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sheetId="1" r:id="rId5"/>
    <sheet state="visible" name="B2B_NEGOZI" sheetId="2" r:id="rId6"/>
    <sheet state="visible" name="DB_B2B" sheetId="3" r:id="rId7"/>
    <sheet state="hidden" name="VARIANT_SYNC_LOG" sheetId="4" r:id="rId8"/>
    <sheet state="visible" name="CONTA_INBOX" sheetId="5" r:id="rId9"/>
    <sheet state="visible" name="CONTA_INPUT" sheetId="6" r:id="rId10"/>
    <sheet state="visible" name="SKU_HISTORY" sheetId="7" r:id="rId11"/>
    <sheet state="visible" name="CATALOG_SYNC_V2" sheetId="8" r:id="rId12"/>
    <sheet state="visible" name="VARIANT_SYNC_V2_LOG" sheetId="9" r:id="rId13"/>
    <sheet state="visible" name="VARIANT_SYNC_V2" sheetId="10" r:id="rId14"/>
    <sheet state="visible" name="VARIANT_SYNC" sheetId="11" r:id="rId15"/>
    <sheet state="hidden" name="META_ADS_LOG" sheetId="12" r:id="rId16"/>
    <sheet state="hidden" name="META_ADS_DAILY" sheetId="13" r:id="rId17"/>
    <sheet state="visible" name="CHECK" sheetId="14" r:id="rId18"/>
    <sheet state="visible" name="CE_TOTALE" sheetId="15" r:id="rId19"/>
    <sheet state="visible" name="CE_AMIMI" sheetId="16" r:id="rId20"/>
    <sheet state="visible" name="EXPENSES MASTER" sheetId="17" r:id="rId21"/>
    <sheet state="visible" name="PRODUCT_COGS&amp;PRICE" sheetId="18" r:id="rId22"/>
    <sheet state="visible" name="ACQUISTI" sheetId="19" r:id="rId23"/>
    <sheet state="visible" name="DB_QROMO" sheetId="20" r:id="rId24"/>
    <sheet state="visible" name="GIFT_OFFLINE" sheetId="21" r:id="rId25"/>
    <sheet state="visible" name="DB Shopify" sheetId="22" r:id="rId26"/>
    <sheet state="visible" name="PRODUCT_MAP" sheetId="23" r:id="rId27"/>
    <sheet state="hidden" name="BUDGET 2026 DRAFT1" sheetId="24" r:id="rId28"/>
    <sheet state="hidden" name="Sheet1" sheetId="25" r:id="rId29"/>
    <sheet state="hidden" name="2024--&gt;" sheetId="26" r:id="rId30"/>
    <sheet state="hidden" name="Sales Dashboard" sheetId="27" r:id="rId31"/>
    <sheet state="hidden" name="Expenses Dashboards" sheetId="28" r:id="rId32"/>
    <sheet state="hidden" name="2024 Costs" sheetId="29" r:id="rId33"/>
    <sheet state="hidden" name="2024 Sales" sheetId="30" r:id="rId34"/>
    <sheet state="hidden" name="DB_Online Sales_24" sheetId="31" r:id="rId35"/>
    <sheet state="hidden" name="DB_Offline Sales_24" sheetId="32" r:id="rId36"/>
    <sheet state="visible" name="INVENTARIO_PRODOTTI" sheetId="33" r:id="rId37"/>
    <sheet state="visible" name="PRODUCT_INTAKE" sheetId="34" r:id="rId38"/>
    <sheet state="visible" name="Import" sheetId="35" r:id="rId39"/>
    <sheet state="hidden" name="Ops_Map" sheetId="36" r:id="rId40"/>
    <sheet state="hidden" name="Debug" sheetId="37" r:id="rId41"/>
    <sheet state="visible" name="NAV_HOME" sheetId="38" r:id="rId42"/>
    <sheet state="hidden" name="INVENTARIO_MATERIALI" sheetId="39" r:id="rId43"/>
    <sheet state="hidden" name="SPESE_Draft" sheetId="40" r:id="rId44"/>
  </sheets>
  <definedNames>
    <definedName name="Agata_Bag">#REF!</definedName>
    <definedName localSheetId="35" name="Tshirt">#REF!</definedName>
    <definedName localSheetId="35" name="MARKETING">#REF!</definedName>
    <definedName localSheetId="35" name="Annie_Bag_Silk">#REF!</definedName>
    <definedName localSheetId="35" name="Charm_Bon.VI_x_AMI">#REF!</definedName>
    <definedName localSheetId="35" name="Airpods_Case_Con_Moschettone">#REF!</definedName>
    <definedName localSheetId="35" name="OPEX">#REF!</definedName>
    <definedName localSheetId="35" name="Annie_Bag_Pailletes_Con_Catena">#REF!</definedName>
    <definedName name="Annie_Bag_Pailletes">#REF!</definedName>
    <definedName localSheetId="35" name="Lea_Bag">#REF!</definedName>
    <definedName name="Annie_Bag_Pailletes_Con_Catena">#REF!</definedName>
    <definedName name="MARKETING">#REF!</definedName>
    <definedName name="A1A250">PRODUCT_MAP!$A$1</definedName>
    <definedName localSheetId="35" name="LOGISTICA">#REF!</definedName>
    <definedName localSheetId="35" name="Clessidra_Bag">#REF!</definedName>
    <definedName name="Valentina_Bag">#REF!</definedName>
    <definedName name="LOGISTICA">#REF!</definedName>
    <definedName name="Airpods_Case_Con_Moschettone">#REF!</definedName>
    <definedName localSheetId="35" name="Annie_Bag_Pailletes">#REF!</definedName>
    <definedName name="Lea_Bag">#REF!</definedName>
    <definedName name="Charm_Bon.VI_x_AMI">#REF!</definedName>
    <definedName localSheetId="35" name="Valentina_Bag">#REF!</definedName>
    <definedName localSheetId="35" name="Lola_Bag">#REF!</definedName>
    <definedName name="Tshirt">#REF!</definedName>
    <definedName name="Clessidra_Bag">#REF!</definedName>
    <definedName localSheetId="35" name="Agata_Bag">#REF!</definedName>
    <definedName name="Annie_Bag_Silk">#REF!</definedName>
    <definedName name="Lola_Bag">#REF!</definedName>
    <definedName name="OPEX">#REF!</definedName>
    <definedName hidden="1" localSheetId="16" name="_xlnm._FilterDatabase">'EXPENSES MASTER'!$A$1:$J$1059</definedName>
    <definedName hidden="1" localSheetId="18" name="_xlnm._FilterDatabase">ACQUISTI!$A$1:$O$234</definedName>
    <definedName hidden="1" localSheetId="19" name="_xlnm._FilterDatabase">DB_QROMO!$A$1:$N$151</definedName>
    <definedName hidden="1" localSheetId="20" name="_xlnm._FilterDatabase">GIFT_OFFLINE!$A$1:$N$132</definedName>
    <definedName hidden="1" localSheetId="21" name="_xlnm._FilterDatabase">'DB Shopify'!$A$1:$CM$467</definedName>
    <definedName hidden="1" localSheetId="22" name="_xlnm._FilterDatabase">PRODUCT_MAP!$A$1:$E$246</definedName>
    <definedName hidden="1" localSheetId="23" name="_xlnm._FilterDatabase">'BUDGET 2026 DRAFT1'!$A$6:$AU$58</definedName>
    <definedName hidden="1" localSheetId="28" name="_xlnm._FilterDatabase">'2024 Costs'!$A$1:$F$226</definedName>
    <definedName hidden="1" localSheetId="29" name="_xlnm._FilterDatabase">'2024 Sales'!$A$2:$O$618</definedName>
    <definedName hidden="1" localSheetId="31" name="_xlnm._FilterDatabase">'DB_Offline Sales_24'!$A$1:$L$452</definedName>
    <definedName hidden="1" localSheetId="32" name="_xlnm._FilterDatabase">INVENTARIO_PRODOTTI!$A$1:$X$2156</definedName>
    <definedName hidden="1" localSheetId="39" name="_xlnm._FilterDatabase">SPESE_Draft!$A$1:$E$27</definedName>
  </definedNames>
  <calcPr/>
  <pivotCaches>
    <pivotCache cacheId="0" r:id="rId45"/>
    <pivotCache cacheId="1" r:id="rId46"/>
    <pivotCache cacheId="2" r:id="rId47"/>
    <pivotCache cacheId="3" r:id="rId4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tc={0adedc95-ec81-4778-8dd8-e38482d2e824}</author>
    <author>tc={0c1817c5-4014-42ad-b788-0b3264a45335}</author>
    <author>tc={0ca58040-be52-480a-bdc8-fb9358f88ad3}</author>
    <author>tc={0f5bca7f-a2c4-4d48-ae40-040ae1559962}</author>
    <author>tc={15f8d32e-573e-439d-895d-7a1aa7d60b2f}</author>
    <author>tc={18c87085-9c85-41c4-b064-2b0c507ea2ed}</author>
    <author>tc={1f9c00ed-2e6e-4a35-b6ea-d4141b7523e3}</author>
    <author>tc={23097680-239f-4a37-92a9-7feacc21c41f}</author>
    <author>tc={2b3e0c85-2c83-412a-9482-b27f358eab3a}</author>
    <author>tc={2fcbf7e1-2334-4bde-a822-45f2aed1ff35}</author>
    <author>tc={31cd7bc0-9bd1-4c9b-981c-4fc283ee760e}</author>
    <author>tc={3207b39c-6052-42d9-af26-9dfb99f0f7ec}</author>
    <author>tc={36c27735-44ba-49de-9273-00dc309423a7}</author>
    <author>tc={3c40c6c4-44f1-47ac-9e99-b2e3ce3c8f9c}</author>
    <author>tc={409f0418-1f91-45b6-b06a-18eba5eaa5c5}</author>
    <author>tc={49b5e18f-55bf-4f9a-a73f-0bae261d3a42}</author>
    <author>tc={4dc5a2cb-6e30-43f6-98cc-7fbb3739487c}</author>
    <author>tc={4f6ba52c-736a-495e-94e7-9551ed67fc68}</author>
    <author>tc={56649ea3-0c9b-4956-90de-0b2a4282b884}</author>
    <author>tc={576cb9c3-ae06-4e60-b811-ecd4040202b3}</author>
    <author>tc={5bdf9a23-b74d-4d8e-a7a3-5a049a818bcd}</author>
    <author>tc={671e8951-89e9-432a-875e-257033ce7ecf}</author>
    <author>tc={67508756-dc82-4ed1-be37-9a24988488c3}</author>
    <author>tc={6b905e67-893d-4167-a1b0-6b169db4e57e}</author>
    <author>tc={6d9316f4-7d1b-46ea-b3ad-185226cc6432}</author>
    <author>tc={71c5e8ac-1e41-4d40-a18e-4f63600f6853}</author>
    <author>tc={7c3f8de6-d282-4779-9f4f-3474b48d0160}</author>
    <author>tc={8a778ab9-8451-4e33-b60f-c4d17f13d12a}</author>
    <author>tc={8cca3f36-dc12-41f5-bf7b-74de15158416}</author>
    <author>tc={907cc75f-c310-44e6-b10d-01fc0a34d97a}</author>
    <author>tc={91838320-40a7-43f1-b37e-4ad230fd0d7f}</author>
    <author>tc={a0438ffc-b6ea-429a-b4b1-24eb71f70f22}</author>
    <author>tc={aa7a2155-cba9-41a7-ba7f-e58491c6e991}</author>
    <author>tc={ab830057-74ba-4e10-b96d-2adc788528d7}</author>
    <author>tc={ac88beeb-6b1a-4d45-99d1-e4bd43305ed7}</author>
    <author>tc={aec1ef5c-4866-4ec0-bb0d-205ec17be7b6}</author>
    <author>tc={af335995-e4aa-4793-a6e9-d0f1860ce143}</author>
    <author>tc={b00750f0-d204-4de7-a352-58262f262576}</author>
    <author>tc={b1a813a6-4395-4f37-935a-1b7cc4b7b6de}</author>
    <author>tc={b6eceba8-cf92-4744-b508-e7d1db0633e9}</author>
    <author>tc={b76a45e5-3db8-452c-9829-5a7f1116e473}</author>
    <author>tc={b7c135c6-ef0f-424a-96c9-57ef7c4d1ff3}</author>
    <author>tc={c0ecf897-4914-4bb9-9927-d9d7cb18f0b4}</author>
    <author>tc={c39639cd-0008-423c-a746-b61ee636e4fb}</author>
    <author>tc={cc31e7f1-0fbd-4b1d-8c96-65058832f9de}</author>
    <author>tc={d9a23fc0-56f6-4e1b-86b2-c56fe91f911b}</author>
    <author>tc={d9c7fa16-852c-4c8f-b8d7-8d64de89936f}</author>
    <author>tc={e0b63c3d-484f-4fe0-b55b-1877954a61ee}</author>
    <author>tc={efba4be1-3543-4dfd-bc58-a6375910d195}</author>
    <author>tc={f2ca583e-8acd-4960-a1f3-c78894ef6d17}</author>
    <author>tc={f690cc14-5d81-4af5-8641-5c5b410025ed}</author>
    <author>tc={ff457ce4-3ebc-414c-940f-2ed82a755171}</author>
  </authors>
  <commentList>
    <comment authorId="0" xr:uid="{0adedc95-ec81-4778-8dd8-e38482d2e824}" ref="A1">
      <text>
        <t xml:space="preserve">[Threaded comment]
 Your version of Excel allows you to read this threaded comment; however, any edits to it will get removed if the file is opened in a newer version of Excel. Learn more: https://go.microsoft.com/fwlink/?linkid=870924
Comment:
	RED
</t>
      </text>
    </comment>
    <comment authorId="1" xr:uid="{0c1817c5-4014-42ad-b788-0b3264a45335}"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AOV deriving from FY 2024 Sales
</t>
      </text>
    </comment>
    <comment authorId="2" xr:uid="{0ca58040-be52-480a-bdc8-fb9358f88ad3}" ref="A1">
      <text>
        <t xml:space="preserve">[Threaded comment]
 Your version of Excel allows you to read this threaded comment; however, any edits to it will get removed if the file is opened in a newer version of Excel. Learn more: https://go.microsoft.com/fwlink/?linkid=870924
Comment:
	leopardo scuro
</t>
      </text>
    </comment>
    <comment authorId="3" xr:uid="{0f5bca7f-a2c4-4d48-ae40-040ae1559962}" ref="A1">
      <text>
        <t xml:space="preserve">[Threaded comment]
 Your version of Excel allows you to read this threaded comment; however, any edits to it will get removed if the file is opened in a newer version of Excel. Learn more: https://go.microsoft.com/fwlink/?linkid=870924
Comment:
	Charm (Bustina SMALL)
</t>
      </text>
    </comment>
    <comment authorId="4" xr:uid="{15f8d32e-573e-439d-895d-7a1aa7d60b2f}" ref="A1">
      <text>
        <t xml:space="preserve">[Threaded comment]
 Your version of Excel allows you to read this threaded comment; however, any edits to it will get removed if the file is opened in a newer version of Excel. Learn more: https://go.microsoft.com/fwlink/?linkid=870924
Comment:
	QUA DA NON GUARDARE LO INSERISCO SOLO COME REMINDER CHE SONO SOLDI CHE CI DEVONO RESTITUIRE
</t>
      </text>
    </comment>
    <comment authorId="5" xr:uid="{18c87085-9c85-41c4-b064-2b0c507ea2ed}" ref="A1">
      <text>
        <t xml:space="preserve">[Threaded comment]
 Your version of Excel allows you to read this threaded comment; however, any edits to it will get removed if the file is opened in a newer version of Excel. Learn more: https://go.microsoft.com/fwlink/?linkid=870924
Comment:
	FUCSIA
</t>
      </text>
    </comment>
    <comment authorId="6" xr:uid="{1f9c00ed-2e6e-4a35-b6ea-d4141b7523e3}" ref="A1">
      <text>
        <t xml:space="preserve">[Threaded comment]
 Your version of Excel allows you to read this threaded comment; however, any edits to it will get removed if the file is opened in a newer version of Excel. Learn more: https://go.microsoft.com/fwlink/?linkid=870924
Comment:
	PINK
</t>
      </text>
    </comment>
    <comment authorId="7" xr:uid="{23097680-239f-4a37-92a9-7feacc21c41f}" ref="A1">
      <text>
        <t xml:space="preserve">[Threaded comment]
 Your version of Excel allows you to read this threaded comment; however, any edits to it will get removed if the file is opened in a newer version of Excel. Learn more: https://go.microsoft.com/fwlink/?linkid=870924
Comment:
	@barnaba.nicoletti@vivaioventures.it cena a roma x pop up rientra nei costi del pop up quindi eventi o OPEX è corretto?
Assigned to barnaba.nicoletti@vivaioventures.it
</t>
      </text>
    </comment>
    <comment authorId="8" xr:uid="{2b3e0c85-2c83-412a-9482-b27f358eab3a}" ref="A1">
      <text>
        <t xml:space="preserve">[Threaded comment]
 Your version of Excel allows you to read this threaded comment; however, any edits to it will get removed if the file is opened in a newer version of Excel. Learn more: https://go.microsoft.com/fwlink/?linkid=870924
Comment:
	mucca
</t>
      </text>
    </comment>
    <comment authorId="9" xr:uid="{2fcbf7e1-2334-4bde-a822-45f2aed1ff35}" ref="A1">
      <text>
        <t xml:space="preserve">[Threaded comment]
 Your version of Excel allows you to read this threaded comment; however, any edits to it will get removed if the file is opened in a newer version of Excel. Learn more: https://go.microsoft.com/fwlink/?linkid=870924
Comment:
	annie bag
</t>
      </text>
    </comment>
    <comment authorId="10" xr:uid="{31cd7bc0-9bd1-4c9b-981c-4fc283ee760e}" ref="A1">
      <text>
        <t xml:space="preserve">[Threaded comment]
 Your version of Excel allows you to read this threaded comment; however, any edits to it will get removed if the file is opened in a newer version of Excel. Learn more: https://go.microsoft.com/fwlink/?linkid=870924
Comment:
	dato corretto
</t>
      </text>
    </comment>
    <comment authorId="11" xr:uid="{3207b39c-6052-42d9-af26-9dfb99f0f7ec}" ref="A1">
      <text>
        <t xml:space="preserve">[Threaded comment]
 Your version of Excel allows you to read this threaded comment; however, any edits to it will get removed if the file is opened in a newer version of Excel. Learn more: https://go.microsoft.com/fwlink/?linkid=870924
Comment:
	ZEBRATA MARRONE
</t>
      </text>
    </comment>
    <comment authorId="12" xr:uid="{36c27735-44ba-49de-9273-00dc309423a7}" ref="A1">
      <text>
        <t xml:space="preserve">[Threaded comment]
 Your version of Excel allows you to read this threaded comment; however, any edits to it will get removed if the file is opened in a newer version of Excel. Learn more: https://go.microsoft.com/fwlink/?linkid=870924
Comment:
	@barnaba.nicoletti@vivaioventures.it se il costo non è all'interno dell estratto conto ma fuori dove lo inseriamo? riporto qua per non dimenticarmi x ora
Assigned to barnaba.nicoletti@vivaioventures.it
</t>
      </text>
    </comment>
    <comment authorId="13" xr:uid="{3c40c6c4-44f1-47ac-9e99-b2e3ce3c8f9c}"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14" xr:uid="{409f0418-1f91-45b6-b06a-18eba5eaa5c5}" ref="A1">
      <text>
        <t xml:space="preserve">[Threaded comment]
 Your version of Excel allows you to read this threaded comment; however, any edits to it will get removed if the file is opened in a newer version of Excel. Learn more: https://go.microsoft.com/fwlink/?linkid=870924
Comment:
	dark blu
</t>
      </text>
    </comment>
    <comment authorId="15" xr:uid="{49b5e18f-55bf-4f9a-a73f-0bae261d3a42}"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16" xr:uid="{4dc5a2cb-6e30-43f6-98cc-7fbb3739487c}" ref="A1">
      <text>
        <t xml:space="preserve">[Threaded comment]
 Your version of Excel allows you to read this threaded comment; however, any edits to it will get removed if the file is opened in a newer version of Excel. Learn more: https://go.microsoft.com/fwlink/?linkid=870924
Comment:
	ORANGE
</t>
      </text>
    </comment>
    <comment authorId="17" xr:uid="{4f6ba52c-736a-495e-94e7-9551ed67fc68}"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We most likely have to segment this into more granular categories
</t>
      </text>
    </comment>
    <comment authorId="18" xr:uid="{56649ea3-0c9b-4956-90de-0b2a4282b884}"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We most likely have to segment this into more granular categories
</t>
      </text>
    </comment>
    <comment authorId="19" xr:uid="{576cb9c3-ae06-4e60-b811-ecd4040202b3}" ref="A1">
      <text>
        <t xml:space="preserve">[Threaded comment]
 Your version of Excel allows you to read this threaded comment; however, any edits to it will get removed if the file is opened in a newer version of Excel. Learn more: https://go.microsoft.com/fwlink/?linkid=870924
Comment:
	chiedere a ginni quale e come ha pagato
</t>
      </text>
    </comment>
    <comment authorId="20" xr:uid="{5bdf9a23-b74d-4d8e-a7a3-5a049a818bcd}" ref="A1">
      <text>
        <t xml:space="preserve">[Threaded comment]
 Your version of Excel allows you to read this threaded comment; however, any edits to it will get removed if the file is opened in a newer version of Excel. Learn more: https://go.microsoft.com/fwlink/?linkid=870924
Comment:
	dove lo categorizziamo l hosting sito? OPEX? @barnaba.nicoletti@vivaioventures.it
Assigned to barnaba.nicoletti@vivaioventures.it
</t>
      </text>
    </comment>
    <comment authorId="21" xr:uid="{671e8951-89e9-432a-875e-257033ce7ecf}"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22" xr:uid="{67508756-dc82-4ed1-be37-9a24988488c3}" ref="A1">
      <text>
        <t xml:space="preserve">[Threaded comment]
 Your version of Excel allows you to read this threaded comment; however, any edits to it will get removed if the file is opened in a newer version of Excel. Learn more: https://go.microsoft.com/fwlink/?linkid=870924
Comment:
	annie bag
</t>
      </text>
    </comment>
    <comment authorId="23" xr:uid="{6b905e67-893d-4167-a1b0-6b169db4e57e}" ref="A1">
      <text>
        <t xml:space="preserve">[Threaded comment]
 Your version of Excel allows you to read this threaded comment; however, any edits to it will get removed if the file is opened in a newer version of Excel. Learn more: https://go.microsoft.com/fwlink/?linkid=870924
Comment:
	agata bag
</t>
      </text>
    </comment>
    <comment authorId="24" xr:uid="{6d9316f4-7d1b-46ea-b3ad-185226cc6432}" ref="A1">
      <text>
        <t xml:space="preserve">[Threaded comment]
 Your version of Excel allows you to read this threaded comment; however, any edits to it will get removed if the file is opened in a newer version of Excel. Learn more: https://go.microsoft.com/fwlink/?linkid=870924
Comment:
	chiedere a ginni
</t>
      </text>
    </comment>
    <comment authorId="25" xr:uid="{71c5e8ac-1e41-4d40-a18e-4f63600f6853}"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26" xr:uid="{7c3f8de6-d282-4779-9f4f-3474b48d0160}" ref="A1">
      <text>
        <t xml:space="preserve">[Threaded comment]
 Your version of Excel allows you to read this threaded comment; however, any edits to it will get removed if the file is opened in a newer version of Excel. Learn more: https://go.microsoft.com/fwlink/?linkid=870924
Comment:
	LEOPARDO
</t>
      </text>
    </comment>
    <comment authorId="27" xr:uid="{8a778ab9-8451-4e33-b60f-c4d17f13d12a}" ref="A1">
      <text>
        <t xml:space="preserve">[Threaded comment]
 Your version of Excel allows you to read this threaded comment; however, any edits to it will get removed if the file is opened in a newer version of Excel. Learn more: https://go.microsoft.com/fwlink/?linkid=870924
Comment:
	chiedere a ginni
</t>
      </text>
    </comment>
    <comment authorId="28" xr:uid="{8cca3f36-dc12-41f5-bf7b-74de15158416}" ref="A1">
      <text>
        <t xml:space="preserve">[Threaded comment]
 Your version of Excel allows you to read this threaded comment; however, any edits to it will get removed if the file is opened in a newer version of Excel. Learn more: https://go.microsoft.com/fwlink/?linkid=870924
Comment:
	ZEBRA
</t>
      </text>
    </comment>
    <comment authorId="29" xr:uid="{907cc75f-c310-44e6-b10d-01fc0a34d97a}" ref="A1">
      <text>
        <t xml:space="preserve">[Threaded comment]
 Your version of Excel allows you to read this threaded comment; however, any edits to it will get removed if the file is opened in a newer version of Excel. Learn more: https://go.microsoft.com/fwlink/?linkid=870924
Comment:
	ZEBRATA MARRONE
</t>
      </text>
    </comment>
    <comment authorId="30" xr:uid="{91838320-40a7-43f1-b37e-4ad230fd0d7f}"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31" xr:uid="{a0438ffc-b6ea-429a-b4b1-24eb71f70f22}" ref="A1">
      <text>
        <t xml:space="preserve">[Threaded comment]
 Your version of Excel allows you to read this threaded comment; however, any edits to it will get removed if the file is opened in a newer version of Excel. Learn more: https://go.microsoft.com/fwlink/?linkid=870924
Comment:
	BLU
</t>
      </text>
    </comment>
    <comment authorId="32" xr:uid="{aa7a2155-cba9-41a7-ba7f-e58491c6e991}" ref="A1">
      <text>
        <t xml:space="preserve">[Threaded comment]
 Your version of Excel allows you to read this threaded comment; however, any edits to it will get removed if the file is opened in a newer version of Excel. Learn more: https://go.microsoft.com/fwlink/?linkid=870924
Comment:
	zebra marrone
</t>
      </text>
    </comment>
    <comment authorId="33" xr:uid="{ab830057-74ba-4e10-b96d-2adc788528d7}"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AOV deriving from FY 2024 Sales
</t>
      </text>
    </comment>
    <comment authorId="34" xr:uid="{ac88beeb-6b1a-4d45-99d1-e4bd43305ed7}" ref="A1">
      <text>
        <t xml:space="preserve">[Threaded comment]
 Your version of Excel allows you to read this threaded comment; however, any edits to it will get removed if the file is opened in a newer version of Excel. Learn more: https://go.microsoft.com/fwlink/?linkid=870924
Comment:
	T-Shirt
</t>
      </text>
    </comment>
    <comment authorId="35" xr:uid="{aec1ef5c-4866-4ec0-bb0d-205ec17be7b6}" ref="A1">
      <text>
        <t xml:space="preserve">[Threaded comment]
 Your version of Excel allows you to read this threaded comment; however, any edits to it will get removed if the file is opened in a newer version of Excel. Learn more: https://go.microsoft.com/fwlink/?linkid=870924
Comment:
	RED
</t>
      </text>
    </comment>
    <comment authorId="36" xr:uid="{af335995-e4aa-4793-a6e9-d0f1860ce143}" ref="A1">
      <text>
        <t xml:space="preserve">[Threaded comment]
 Your version of Excel allows you to read this threaded comment; however, any edits to it will get removed if the file is opened in a newer version of Excel. Learn more: https://go.microsoft.com/fwlink/?linkid=870924
Comment:
	anche qui stesso dubbio x pop up torino @barnaba.nicoletti@vivaioventures.it
Assigned to barnaba.nicoletti@vivaioventures.it
</t>
      </text>
    </comment>
    <comment authorId="37" xr:uid="{b00750f0-d204-4de7-a352-58262f262576}" ref="A1">
      <text>
        <t xml:space="preserve">[Threaded comment]
 Your version of Excel allows you to read this threaded comment; however, any edits to it will get removed if the file is opened in a newer version of Excel. Learn more: https://go.microsoft.com/fwlink/?linkid=870924
Comment:
	@barnaba.nicoletti@vivaioventures.it ciao barni, qua il costo del treno per il pop up cosa metto?
Assigned to barnaba.nicoletti@vivaioventures.it
</t>
      </text>
    </comment>
    <comment authorId="38" xr:uid="{b1a813a6-4395-4f37-935a-1b7cc4b7b6de}" ref="A1">
      <text>
        <t xml:space="preserve">[Threaded comment]
 Your version of Excel allows you to read this threaded comment; however, any edits to it will get removed if the file is opened in a newer version of Excel. Learn more: https://go.microsoft.com/fwlink/?linkid=870924
Comment:
	qui è spesa commercialista, lo mettiamo Opex? Commercialista? @alepodasca@gmail.com
Assigned to alepodasca@gmail.com
</t>
      </text>
    </comment>
    <comment authorId="39" xr:uid="{b6eceba8-cf92-4744-b508-e7d1db0633e9}" ref="A1">
      <text>
        <t xml:space="preserve">[Threaded comment]
 Your version of Excel allows you to read this threaded comment; however, any edits to it will get removed if the file is opened in a newer version of Excel. Learn more: https://go.microsoft.com/fwlink/?linkid=870924
Comment:
	MUCCATA MARRONE
</t>
      </text>
    </comment>
    <comment authorId="40" xr:uid="{b76a45e5-3db8-452c-9829-5a7f1116e473}" ref="A1">
      <text>
        <t xml:space="preserve">[Threaded comment]
 Your version of Excel allows you to read this threaded comment; however, any edits to it will get removed if the file is opened in a newer version of Excel. Learn more: https://go.microsoft.com/fwlink/?linkid=870924
Comment:
	@barnaba.nicoletti@vivaioventures.it benzina in OPEX?
Assigned to barnaba.nicoletti@vivaioventures.it
</t>
      </text>
    </comment>
    <comment authorId="41" xr:uid="{b7c135c6-ef0f-424a-96c9-57ef7c4d1ff3}" ref="A1">
      <text>
        <t xml:space="preserve">[Threaded comment]
 Your version of Excel allows you to read this threaded comment; however, any edits to it will get removed if the file is opened in a newer version of Excel. Learn more: https://go.microsoft.com/fwlink/?linkid=870924
Comment:
	per quanto riguarda la lea bag c'è una piccola variante rispetto alle pelli, in base al costo della pelle abbiamo differenze di prezzo che oscillano tra i 100 e i 150 euro. Forse qua varrebbe la pena o fare un discorso singolo per le diverse colorazioni oppure fare una stima come fatta ad oggi?
</t>
      </text>
    </comment>
    <comment authorId="42" xr:uid="{c0ecf897-4914-4bb9-9927-d9d7cb18f0b4}"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43" xr:uid="{c39639cd-0008-423c-a746-b61ee636e4fb}"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44" xr:uid="{cc31e7f1-0fbd-4b1d-8c96-65058832f9de}" ref="A1">
      <text>
        <t xml:space="preserve">[Threaded comment]
 Your version of Excel allows you to read this threaded comment; however, any edits to it will get removed if the file is opened in a newer version of Excel. Learn more: https://go.microsoft.com/fwlink/?linkid=870924
Comment:
	QUESTI SONO I CONTRIBUTI
</t>
      </text>
    </comment>
    <comment authorId="45" xr:uid="{d9a23fc0-56f6-4e1b-86b2-c56fe91f911b}" ref="A1">
      <text>
        <t xml:space="preserve">[Threaded comment]
 Your version of Excel allows you to read this threaded comment; however, any edits to it will get removed if the file is opened in a newer version of Excel. Learn more: https://go.microsoft.com/fwlink/?linkid=870924
Comment:
	muccata marrone
</t>
      </text>
    </comment>
    <comment authorId="46" xr:uid="{d9c7fa16-852c-4c8f-b8d7-8d64de89936f}" ref="A1">
      <text>
        <t xml:space="preserve">[Threaded comment]
 Your version of Excel allows you to read this threaded comment; however, any edits to it will get removed if the file is opened in a newer version of Excel. Learn more: https://go.microsoft.com/fwlink/?linkid=870924
Comment:
	TBD
</t>
      </text>
    </comment>
    <comment authorId="47" xr:uid="{e0b63c3d-484f-4fe0-b55b-1877954a61ee}" ref="A1">
      <text>
        <t xml:space="preserve">[Threaded comment]
 Your version of Excel allows you to read this threaded comment; however, any edits to it will get removed if the file is opened in a newer version of Excel. Learn more: https://go.microsoft.com/fwlink/?linkid=870924
Comment:
	annie bag
</t>
      </text>
    </comment>
    <comment authorId="48" xr:uid="{efba4be1-3543-4dfd-bc58-a6375910d195}" ref="A1">
      <text>
        <t xml:space="preserve">[Threaded comment]
 Your version of Excel allows you to read this threaded comment; however, any edits to it will get removed if the file is opened in a newer version of Excel. Learn more: https://go.microsoft.com/fwlink/?linkid=870924
Comment:
	vernice red
</t>
      </text>
    </comment>
    <comment authorId="49" xr:uid="{f2ca583e-8acd-4960-a1f3-c78894ef6d17}" ref="A1">
      <text>
        <t xml:space="preserve">[Threaded comment]
 Your version of Excel allows you to read this threaded comment; however, any edits to it will get removed if the file is opened in a newer version of Excel. Learn more: https://go.microsoft.com/fwlink/?linkid=870924
Comment:
	dato corretto
</t>
      </text>
    </comment>
    <comment authorId="50" xr:uid="{f690cc14-5d81-4af5-8641-5c5b410025ed}"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51" xr:uid="{ff457ce4-3ebc-414c-940f-2ed82a755171}" ref="A1">
      <text>
        <t xml:space="preserve">[Threaded comment]
 Your version of Excel allows you to read this threaded comment; however, any edits to it will get removed if the file is opened in a newer version of Excel. Learn more: https://go.microsoft.com/fwlink/?linkid=870924
Comment:
	la benzina dove mi conviene metterla? opex o logistica? @barnaba.nicoletti@vivaioventures.it
Assigned to barnaba.nicoletti@vivaioventures.it
Reply:
	Opex!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tc={da3eda30-2f43-485f-a928-7351ca4dde39}</author>
  </authors>
  <commentList>
    <comment authorId="0" xr:uid="{da3eda30-2f43-485f-a928-7351ca4dde39}" ref="I19">
      <text>
        <t xml:space="preserve">[Threaded comment]
 Your version of Excel allows you to read this threaded comment; however, any edits to it will get removed if the file is opened in a newer version of Excel. Learn more: https://go.microsoft.com/fwlink/?linkid=870924
Comment:
	questo è sbagliato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tc={f1f225d7-3191-4115-8979-4c2e6593c1f5}</author>
  </authors>
  <commentList>
    <comment authorId="0" xr:uid="{f1f225d7-3191-4115-8979-4c2e6593c1f5}" ref="H39">
      <text>
        <t xml:space="preserve">[Threaded comment]
 Your version of Excel allows you to read this threaded comment; however, any edits to it will get removed if the file is opened in a newer version of Excel. Learn more: https://go.microsoft.com/fwlink/?linkid=870924
Comment:
	Dovrò aggiungere commissioni qromo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tc={022c98cc-bde0-4bc2-adb4-72e1979de9d4}</author>
    <author>tc={0f89ee1e-0b96-4bfd-bf15-342c0cf90d61}</author>
    <author>tc={1d64b1bc-adda-4be5-ab64-0ea23f8d3048}</author>
    <author>tc={1fb9f224-a018-431c-ae09-1b4f0ebc435b}</author>
    <author>tc={30c88b07-3e8a-46b2-9c06-f82e1900ab87}</author>
    <author>tc={40770c92-df4f-47ae-b7c2-a549727f946c}</author>
    <author>tc={695dc282-f5a2-4830-a51c-2eea30786d33}</author>
    <author>tc={6be50185-daa6-43fc-baa9-dc3a93a1ce15}</author>
    <author>tc={88ef0ad2-902d-4f62-b8f7-43d659672467}</author>
    <author>tc={8cb69691-fa92-42b3-b0f1-a30e45566cfb}</author>
    <author>tc={93ffe602-408f-4e4e-b841-d61a6cc3fd15}</author>
    <author>tc={9dd7c3d1-e91b-46b1-8591-1b63e145e411}</author>
    <author>tc={c7c061a2-a36f-4ff4-b2f2-8b3114a9ca07}</author>
  </authors>
  <commentList>
    <comment authorId="0" xr:uid="{022c98cc-bde0-4bc2-adb4-72e1979de9d4}" ref="H192">
      <text>
        <t xml:space="preserve">[Threaded comment]
 Your version of Excel allows you to read this threaded comment; however, any edits to it will get removed if the file is opened in a newer version of Excel. Learn more: https://go.microsoft.com/fwlink/?linkid=870924
Comment:
	vogliamo mettere in OPEX spese consulenza?
Reply:
	si
</t>
      </text>
    </comment>
    <comment authorId="1" xr:uid="{0f89ee1e-0b96-4bfd-bf15-342c0cf90d61}" ref="H89">
      <text>
        <t xml:space="preserve">[Threaded comment]
 Your version of Excel allows you to read this threaded comment; however, any edits to it will get removed if the file is opened in a newer version of Excel. Learn more: https://go.microsoft.com/fwlink/?linkid=870924
Comment:
	qui non so se è corretto mettere tasse o stessa voce in cui mettiamo il costo del notaio @alepodasca@gmail.com
Assigned to alepodasca@gmail.com
</t>
      </text>
    </comment>
    <comment authorId="2" xr:uid="{1d64b1bc-adda-4be5-ab64-0ea23f8d3048}" ref="J164">
      <text>
        <t xml:space="preserve">[Threaded comment]
 Your version of Excel allows you to read this threaded comment; however, any edits to it will get removed if the file is opened in a newer version of Excel. Learn more: https://go.microsoft.com/fwlink/?linkid=870924
Comment:
	questo è stato spesa evento video campagna , metterei in marketing eventi @alepodasca@gmail.com che dici?
Assigned to alepodasca@gmail.com
</t>
      </text>
    </comment>
    <comment authorId="3" xr:uid="{1fb9f224-a018-431c-ae09-1b4f0ebc435b}" ref="J186">
      <text>
        <t xml:space="preserve">[Threaded comment]
 Your version of Excel allows you to read this threaded comment; however, any edits to it will get removed if the file is opened in a newer version of Excel. Learn more: https://go.microsoft.com/fwlink/?linkid=870924
Comment:
	qui metterei LOGISTICA , alla fine è legato al nostro trasporto x presa merce , spedizioni su mi , ecc.
Reply:
	quello direi comunque OPEX - perchè logistica per noi è solo spedizioni
</t>
      </text>
    </comment>
    <comment authorId="4" xr:uid="{30c88b07-3e8a-46b2-9c06-f82e1900ab87}" ref="G207">
      <text>
        <t xml:space="preserve">[Threaded comment]
 Your version of Excel allows you to read this threaded comment; however, any edits to it will get removed if the file is opened in a newer version of Excel. Learn more: https://go.microsoft.com/fwlink/?linkid=870924
Comment:
	questo è packaging sacchetti cotone india
</t>
      </text>
    </comment>
    <comment authorId="5" xr:uid="{40770c92-df4f-47ae-b7c2-a549727f946c}" ref="G204">
      <text>
        <t xml:space="preserve">[Threaded comment]
 Your version of Excel allows you to read this threaded comment; however, any edits to it will get removed if the file is opened in a newer version of Excel. Learn more: https://go.microsoft.com/fwlink/?linkid=870924
Comment:
	QUESTA SPESA E LEGATA ALLE SPEDIZIONI INDIA
Reply:
	ah perfetto
</t>
      </text>
    </comment>
    <comment authorId="6" xr:uid="{695dc282-f5a2-4830-a51c-2eea30786d33}" ref="E228">
      <text>
        <t xml:space="preserve">[Threaded comment]
 Your version of Excel allows you to read this threaded comment; however, any edits to it will get removed if the file is opened in a newer version of Excel. Learn more: https://go.microsoft.com/fwlink/?linkid=870924
Comment:
	qui è spesa durante shooting, metterei marketing, che dici?
</t>
      </text>
    </comment>
    <comment authorId="7" xr:uid="{6be50185-daa6-43fc-baa9-dc3a93a1ce15}" ref="J172">
      <text>
        <t xml:space="preserve">[Threaded comment]
 Your version of Excel allows you to read this threaded comment; however, any edits to it will get removed if the file is opened in a newer version of Excel. Learn more: https://go.microsoft.com/fwlink/?linkid=870924
Comment:
	questo è ricerca di anteriorità e deposizione marchio, in cosa abbiamo deciso di metterlo? è una voce a se burocratica diciamo @alepodasca@gmail.com
Assigned to alepodasca@gmail.com
Reply:
	legale commercialista ci sta
</t>
      </text>
    </comment>
    <comment authorId="8" xr:uid="{88ef0ad2-902d-4f62-b8f7-43d659672467}" ref="E6">
      <text>
        <t xml:space="preserve">[Threaded comment]
 Your version of Excel allows you to read this threaded comment; however, any edits to it will get removed if the file is opened in a newer version of Excel. Learn more: https://go.microsoft.com/fwlink/?linkid=870924
Comment:
	@alepodasca@gmail.com google workspace in che macrocategoria lo inseriamo?
Assigned to alepodasca@gmail.com
</t>
      </text>
    </comment>
    <comment authorId="9" xr:uid="{8cb69691-fa92-42b3-b0f1-a30e45566cfb}" ref="H213">
      <text>
        <t xml:space="preserve">[Threaded comment]
 Your version of Excel allows you to read this threaded comment; however, any edits to it will get removed if the file is opened in a newer version of Excel. Learn more: https://go.microsoft.com/fwlink/?linkid=870924
Comment:
	chatgpt teniamo in opex? non so se poi potremmo inserire anche in marketing
Reply:
	opex per ora
</t>
      </text>
    </comment>
    <comment authorId="10" xr:uid="{93ffe602-408f-4e4e-b841-d61a6cc3fd15}" ref="J163">
      <text>
        <t xml:space="preserve">[Threaded comment]
 Your version of Excel allows you to read this threaded comment; however, any edits to it will get removed if the file is opened in a newer version of Excel. Learn more: https://go.microsoft.com/fwlink/?linkid=870924
Comment:
	non riesco a capire cos'è mannaggia
</t>
      </text>
    </comment>
    <comment authorId="11" xr:uid="{9dd7c3d1-e91b-46b1-8591-1b63e145e411}" ref="J180">
      <text>
        <t xml:space="preserve">[Threaded comment]
 Your version of Excel allows you to read this threaded comment; however, any edits to it will get removed if the file is opened in a newer version of Excel. Learn more: https://go.microsoft.com/fwlink/?linkid=870924
Comment:
	pranzo durante pop up weekend - facciamo sempre marketing eventi? NO OPEX?
Reply:
	facciamo eventi si dai, cosi fa tutto parte della parte di vendita e opex diventa meno generico
</t>
      </text>
    </comment>
    <comment authorId="12" xr:uid="{c7c061a2-a36f-4ff4-b2f2-8b3114a9ca07}" ref="E94">
      <text>
        <t xml:space="preserve">[Threaded comment]
 Your version of Excel allows you to read this threaded comment; however, any edits to it will get removed if the file is opened in a newer version of Excel. Learn more: https://go.microsoft.com/fwlink/?linkid=870924
Comment:
	tema notaio non abbiamo una macrocategoria ad hoc giusto? lasciato OPEX?
</t>
      </text>
    </comment>
  </commentList>
</comments>
</file>

<file path=xl/sharedStrings.xml><?xml version="1.0" encoding="utf-8"?>
<sst xmlns="http://schemas.openxmlformats.org/spreadsheetml/2006/main" count="79139" uniqueCount="9608">
  <si>
    <t>Conta fisica inventario Amimi</t>
  </si>
  <si>
    <t>Dati di riferimento aggiornati allo snapshot del 2026-06-16 03:27 (gestionale + Shopify).</t>
  </si>
  <si>
    <t>Come si compila il foglio CONTA (Benedetta / Ginny):</t>
  </si>
  <si>
    <t>Per ogni prodotto vedete gia': quante DOVREBBERO essercene (gestionale), quante sono CARICATE online (Shopify) e lo STATO su Shopify (ACTIVE = pubblicata, DRAFT = bozza).</t>
  </si>
  <si>
    <t>Contate i pezzi reali e scriveteli nella colonna gialla PEZZI CONTATI (scrivete 0 se finiti). Usate NOTE per qualsiasi cosa strana (difettoso, in showroom, prestato...).</t>
  </si>
  <si>
    <t>Le colonne Delta e Azione si compilano da sole: servono ad Ale per la riconciliazione. Voi potete ignorarle.</t>
  </si>
  <si>
    <t>Non toccate Shopify ne' il gestionale: basta questo file. Poi premete il bottone 🧾 Amimì &gt; Registra conta.</t>
  </si>
  <si>
    <t>Le colonne, in breve:</t>
  </si>
  <si>
    <t>Dovrebbero essere = giacenza calcolata dal gestionale oggi.  Caricate online = pezzi mostrati sul sito.  Stato Shopify = ACTIVE/DRAFT/assente.</t>
  </si>
  <si>
    <t>Delta = contati meno dovrebbero. Negativo = mancano pezzi (Ale aggiunge righe in GIFT_OFFLINE). Positivo = trovati in piu' (riga ACQUISTI).</t>
  </si>
  <si>
    <t>NB: i numeri di riferimento sono dello snapshot 2026-06-16 03:27. Se la conta slitta di giorni, ripremete "Prepara foglio conta" per rigenerarli.</t>
  </si>
  <si>
    <t>NOME</t>
  </si>
  <si>
    <t>CITTA</t>
  </si>
  <si>
    <t>CONTATTO</t>
  </si>
  <si>
    <t>TIPO_DEAL</t>
  </si>
  <si>
    <t>PERC_COMMISSIONE</t>
  </si>
  <si>
    <t>FEE_FISSA</t>
  </si>
  <si>
    <t>FEE_FREQUENZA</t>
  </si>
  <si>
    <t>DATA_INIZIO</t>
  </si>
  <si>
    <t>DATA_FINE</t>
  </si>
  <si>
    <t>STATO</t>
  </si>
  <si>
    <t>NOTE</t>
  </si>
  <si>
    <t>Test_Scheda_QA</t>
  </si>
  <si>
    <t>Milano</t>
  </si>
  <si>
    <t>QA Test</t>
  </si>
  <si>
    <t>commissione</t>
  </si>
  <si>
    <t>settimana</t>
  </si>
  <si>
    <t>attivo</t>
  </si>
  <si>
    <t>TEST FASE D - perc modificata a 35</t>
  </si>
  <si>
    <t>DATA</t>
  </si>
  <si>
    <t>ANNO</t>
  </si>
  <si>
    <t>MESE</t>
  </si>
  <si>
    <t>CODICE</t>
  </si>
  <si>
    <t>QUANTITA</t>
  </si>
  <si>
    <t>MODELLO</t>
  </si>
  <si>
    <t>TIPO_MOVIMENTO</t>
  </si>
  <si>
    <t>NEGOZIO</t>
  </si>
  <si>
    <t>PREZZO_RETAIL</t>
  </si>
  <si>
    <t>PERC_NEGOZIO</t>
  </si>
  <si>
    <t>RETAIL_TOT</t>
  </si>
  <si>
    <t>QUOTA_NEGOZIO</t>
  </si>
  <si>
    <t>INCASSO_AMIMI</t>
  </si>
  <si>
    <t>COGS</t>
  </si>
  <si>
    <t>MOV_ID</t>
  </si>
  <si>
    <t>Nina_Bag_Maxi_STRIPES_REED</t>
  </si>
  <si>
    <t>wholesale</t>
  </si>
  <si>
    <t>venduto</t>
  </si>
  <si>
    <t>Como</t>
  </si>
  <si>
    <t>TEST B2B (alta giacenza, no rischio)</t>
  </si>
  <si>
    <t>Nina_Bag_STRIPES_PETROL_BLUE</t>
  </si>
  <si>
    <t>Levanto</t>
  </si>
  <si>
    <t/>
  </si>
  <si>
    <t>Agata_Bag_FLORAL_DUSTY_PINK_EMBROIDERY</t>
  </si>
  <si>
    <t>conto_vendita</t>
  </si>
  <si>
    <t>invio</t>
  </si>
  <si>
    <t>Gsmqoaeldusxno-0</t>
  </si>
  <si>
    <t>TEST_NEGOZIO_QA</t>
  </si>
  <si>
    <t>GqaInvioA-0</t>
  </si>
  <si>
    <t>annullato</t>
  </si>
  <si>
    <t>GqaVendA-0</t>
  </si>
  <si>
    <t>reso</t>
  </si>
  <si>
    <t>GqaResoA-0</t>
  </si>
  <si>
    <t>GqaWholeB-0</t>
  </si>
  <si>
    <t>Agata_Bag_FLORAL_BORDEAUX_EMBROIDERY</t>
  </si>
  <si>
    <t>ZZ_TEST_NUOVO_2306</t>
  </si>
  <si>
    <t>test casi reali</t>
  </si>
  <si>
    <t>Gwsnuovo2306-0</t>
  </si>
  <si>
    <t>ZZ_TEST_CONTO_2306</t>
  </si>
  <si>
    <t>test conto nuovo</t>
  </si>
  <si>
    <t>Gcontonuovo2306-0</t>
  </si>
  <si>
    <t>ZZ_MATRIX_2306</t>
  </si>
  <si>
    <t>matrix</t>
  </si>
  <si>
    <t>Gmx_invio-0</t>
  </si>
  <si>
    <t>Gmx_vend-0</t>
  </si>
  <si>
    <t>Gmx_reso-0</t>
  </si>
  <si>
    <t>backdate</t>
  </si>
  <si>
    <t>Gmx_back-0</t>
  </si>
  <si>
    <t>ZZ_BK_2306</t>
  </si>
  <si>
    <t>backdate recente</t>
  </si>
  <si>
    <t>Gmx_bk2-0</t>
  </si>
  <si>
    <t>ZZ_TZ_2306</t>
  </si>
  <si>
    <t>tz fix test</t>
  </si>
  <si>
    <t>Gtz_fix1-0</t>
  </si>
  <si>
    <t>tz fix2</t>
  </si>
  <si>
    <t>Gtz_fix2-0</t>
  </si>
  <si>
    <t>oggi</t>
  </si>
  <si>
    <t>Gtz_fix3-0</t>
  </si>
  <si>
    <t>Timestamp</t>
  </si>
  <si>
    <t>Type</t>
  </si>
  <si>
    <t>Order_ID</t>
  </si>
  <si>
    <t>Detail</t>
  </si>
  <si>
    <t>BUILD_MAP</t>
  </si>
  <si>
    <t>21 ACTIVE+published 2-variant Catena bags written</t>
  </si>
  <si>
    <t>FULL_SYNC</t>
  </si>
  <si>
    <t>Full sync: 0/21 OK | Errors: | AGATA BAG FLORAL BORDEAUX EMBROIDERY: [{"field":["input","ignoreCompareQuantity"],"message":"The compareQuantity argument must be given to each quantity or ignored using ignoreCompareQuantity."}] | AGATA BAG FLORAL DUSTY PINK EMBROIDERY: [{"field":["input","ignoreCompareQuantity"],"message":"The compareQuantity argument must be given to each quantity or ignored using ignoreCompareQuantity."}] | AGATA BAG FLORAL GREEN EMBROIDERY: [{"field":["input","ignoreCompareQuantity"],"message":"The compareQuantity argument must be given to each quantity or ignored using ignoreCompareQuantity."}] | AGATA BAG FLORAL ORANGE EMBROIDERY: [{"field":["input","ignoreCompareQuantity"],"message":"The compareQuantity argument must be given to each quantity or ignored using ignoreCompareQuantity."}] | AGATA BAG FLORAL PINK EMBROIDERY: [{"field":["input","ignoreCompareQuantity"],"message":"The compareQuantity argument must be given to each quantity or ignored using ignoreCompareQuantity."}] | AGATA BAG PAILLETTES PINK: [{"field":["input","ignoreCompareQuantity"],"message":"The compareQuantity argument must be given to each quantity or ignored using ignoreCompareQuantity."}] | AGATA BAG ROSE BLUE: [{"field":["input","ignoreCompareQuantity"],"message":"The compareQuantity argument must be given to each quantity or ignored using ignoreCompareQuantity."}] | AGATA BAG ROSE BUTTER: [{"field":["input","ignoreCompareQuantity"],"message":"The compareQuantity argument must be given to each quantity or ignored using ignoreCompareQuantity."}] | AGATA BAG ROSE PINK: [{"field":["input","ignoreCompareQuantity"],"message":"The compareQuantity argument must be given to each quantity or ignored using ignoreCompareQuantity."}] | AGATA BAG TIE DYE ORANGE: [{"field":["input","ignoreCompareQuantity"],"message":"The compareQuantity argument must be given to each quantity or ignored using ignoreCompareQuantity."}] | AGATA BAG TIE DYE PINK: [{"field":["input","ignoreCompareQuantity"],"message":"The compareQuantity argument must be given to each quantity or ignored using ignoreCompareQuantity."}] | ANNIE BAG BLUE: [{"field":["input","ignoreCompareQuantity"],"message":"The compareQuantity argument must be given to each quantity or ignored using ignoreCompareQuantity."}] | ANNIE BAG BROWN: [{"field":["input","ignoreCompareQuantity"],"message":"The compareQuantity argument must be given to each quantity or ignored using ignoreCompareQuantity."}] | ANNIE BAG LILAC: [{"field":["input","ignoreCompareQuantity"],"message":"The compareQuantity argument must be given to each quantity or ignored using ignoreCompareQuantity."}] | ANNIE BAG PAILLETTES LIGHT BLUE: [{"field":["input","ignoreCompareQuantity"],"message":"The compareQuantity argument must be given to each quantity or ignored using ignoreCompareQuantity."}] | ANNIE BAG PAILLETTES LIGHT GREEN: [{"field":["input","ignoreCompareQuantity"],"message":"The compareQuantity argument must be given to each quantity or ignored using ignoreCompareQuantity."}] | ANNIE BAG PAILLETTES NUDE: [{"field":["input","ignoreCompareQuantity"],"message":"The compareQuantity argument must be given to each quantity or ignored using ignoreCompareQuantity."}] | ANNIE BAG PAILLETTES PINK: [{"field":["input","ignoreCompareQuantity"],"message":"The compareQuantity argument must be given to each quantity or ignored using ignoreCompareQuantity."}] | ANNIE BAG PEARL GREY: [{"field":["input","ignoreCompareQuantity"],"message":"The compareQuantity argument must be given to each quantity or ignored using ignoreCompareQuantity."}] | ANNIE BAG PINK: [{"field":["input","ignoreCompareQuantity"],"message":"The compareQuantity argument must be given to each quantity or ignored using ignoreCompareQuantity."}] | ANNIE BAG STRIPES PINK: [{"field":["input","ignoreCompareQuantity"],"message":"The compareQuantity argument must be given to each quantity or ignored using ignoreCompareQuantity."}]</t>
  </si>
  <si>
    <t>WEBHOOK_REGISTER</t>
  </si>
  <si>
    <t>Registered orders/create webhook gid://shopify/WebhookSubscription/2221675708743 URL: https://script.google.com/macros/s/AKfycbzi1GmsPGj4qFeHiTPZVaj3K5ZgSjuWUqRQPd_v2tE3D9FPXSzOA17nDAYbxwdeurWXKQ/exec?token=1cf735f7-79ac-4a73-aea1-0df461dac6e5</t>
  </si>
  <si>
    <t>Full sync: 21/21 OK</t>
  </si>
  <si>
    <t>SYNCED</t>
  </si>
  <si>
    <t>AGATA BAG ROSE PINK -1 -&gt; 3</t>
  </si>
  <si>
    <t>RESTOCK</t>
  </si>
  <si>
    <t>AGATA BAG ROSE PINK -&gt; 4</t>
  </si>
  <si>
    <t>DAILY_REPORT</t>
  </si>
  <si>
    <t>risk=7 drift=0</t>
  </si>
  <si>
    <t>NO_MATCH</t>
  </si>
  <si>
    <t>No Catena-pair bags in this order</t>
  </si>
  <si>
    <t>DUPLICATE</t>
  </si>
  <si>
    <t>Already processed, skipped</t>
  </si>
  <si>
    <t>AGATA BAG FLORAL GREEN EMBROIDERY -1 -&gt; 0; AGATA BAG FLORAL PINK EMBROIDERY -1 -&gt; 3</t>
  </si>
  <si>
    <t>AGATA BAG FLORAL PINK EMBROIDERY -1 -&gt; 2</t>
  </si>
  <si>
    <t>risk=6 drift=0</t>
  </si>
  <si>
    <t>AGATA BAG FLORAL PINK EMBROIDERY -1 -&gt; 1</t>
  </si>
  <si>
    <t>risk=7 drift=1</t>
  </si>
  <si>
    <t>ANNIE BAG PAILLETTES NUDE -1 -&gt; 1</t>
  </si>
  <si>
    <t>ANNIE BAG LILAC -1 -&gt; 0</t>
  </si>
  <si>
    <t>AGATA BAG TIE DYE ORANGE -1 -&gt; 0</t>
  </si>
  <si>
    <t>risk=6 drift=1</t>
  </si>
  <si>
    <t>ANNIE BAG PAILLETTES NUDE -1 -&gt; 0</t>
  </si>
  <si>
    <t>ANNIE BAG PAILLETTES PINK -1 -&gt; 1</t>
  </si>
  <si>
    <t>ANNIE BAG PEARL GREY -1 -&gt; 0</t>
  </si>
  <si>
    <t>AGATA BAG ROSE BLUE -1 -&gt; 3</t>
  </si>
  <si>
    <t>ANNIE BAG PAILLETTES LIGHT BLUE -1 -&gt; 2</t>
  </si>
  <si>
    <t>ANNIE BAG PAILLETTES LIGHT BLUE -1 -&gt; 1</t>
  </si>
  <si>
    <t>ANNIE BAG PAILLETTES PINK -1 -&gt; 0</t>
  </si>
  <si>
    <t>risk=5 drift=3</t>
  </si>
  <si>
    <t>ANNIE BAG PAILLETTES LIGHT BLUE -1 -&gt; 0</t>
  </si>
  <si>
    <t>ANNIE BAG PAILLETTES LIGHT GREEN -1 -&gt; 0</t>
  </si>
  <si>
    <t>AGATA BAG FLORAL PINK EMBROIDERY -1 -&gt; 0</t>
  </si>
  <si>
    <t>risk=2 drift=2</t>
  </si>
  <si>
    <t>AGATA BAG ROSE BUTTER -1 -&gt; 1</t>
  </si>
  <si>
    <t>risk=3 drift=1</t>
  </si>
  <si>
    <t>ANNIE BAG BLUE -1 -&gt; 1</t>
  </si>
  <si>
    <t>AGATA BAG ROSE PINK -1 -&gt; 2</t>
  </si>
  <si>
    <t>AGATA BAG ROSE BUTTER -&gt; 5</t>
  </si>
  <si>
    <t>AGATA BAG ROSE BUTTER -&gt; 2</t>
  </si>
  <si>
    <t>risk=3 drift=0</t>
  </si>
  <si>
    <t>AGATA BAG ROSE BLUE -1 -&gt; 2</t>
  </si>
  <si>
    <t>AGATA BAG FLORAL DUSTY PINK EMBROIDERY -1 -&gt; 3</t>
  </si>
  <si>
    <t>AGATA BAG ROSE PINK -1 -&gt; 1</t>
  </si>
  <si>
    <t>23 ACTIVE+published 2-variant Catena bags written</t>
  </si>
  <si>
    <t>Full sync: 23/23 OK</t>
  </si>
  <si>
    <t>AGATA BAG FLORAL BORDEAUX EMBROIDERY -1 -&gt; 1</t>
  </si>
  <si>
    <t>AGATA BAG FLORAL GREY -1 -&gt; 1</t>
  </si>
  <si>
    <t>WEBHOOK_DELETE</t>
  </si>
  <si>
    <t>Deleted 0 orders/create webhook(s) pointing at this script.</t>
  </si>
  <si>
    <t>UNAUTHORIZED</t>
  </si>
  <si>
    <t>doGet action con token errato</t>
  </si>
  <si>
    <t>GH_DISPATCH_OK</t>
  </si>
  <si>
    <t>wf=coda-deploy.yml rischio=basso dir= mode=safe brief=test-browser http=204</t>
  </si>
  <si>
    <t>CODA_CALLBACK</t>
  </si>
  <si>
    <t>status=ok push=http 429 detail=Test pipeline ok per 'test-browser' (nessun deploy_dir).</t>
  </si>
  <si>
    <t>timestamp</t>
  </si>
  <si>
    <t>data_conta</t>
  </si>
  <si>
    <t>modello</t>
  </si>
  <si>
    <t>variante</t>
  </si>
  <si>
    <t>contati</t>
  </si>
  <si>
    <t>giac_oggi</t>
  </si>
  <si>
    <t>delta</t>
  </si>
  <si>
    <t>chi</t>
  </si>
  <si>
    <t>nota</t>
  </si>
  <si>
    <t>stato</t>
  </si>
  <si>
    <t>Lea_Bag_COCCO_BLACK</t>
  </si>
  <si>
    <t>Lea Bag</t>
  </si>
  <si>
    <t>COCCO BLACK</t>
  </si>
  <si>
    <t>cofounder</t>
  </si>
  <si>
    <t xml:space="preserve"> | ammanco 5 &gt;= soglia 3: serve indagine sulla causa</t>
  </si>
  <si>
    <t>ignorato (test 16-06)</t>
  </si>
  <si>
    <t>Lea_Bag_Zebra_Dark</t>
  </si>
  <si>
    <t>Zebra Dark</t>
  </si>
  <si>
    <t xml:space="preserve"> | surplus +2: possibile acquisto mancante / reso / errore conta (decisione umana)</t>
  </si>
  <si>
    <t>Modello</t>
  </si>
  <si>
    <t>Variante / Descrizione</t>
  </si>
  <si>
    <t>CODICE_AMIIMI</t>
  </si>
  <si>
    <t>Dovrebbero essere (gestionale)</t>
  </si>
  <si>
    <t>Caricate online (Shopify)</t>
  </si>
  <si>
    <t>Stato Shopify</t>
  </si>
  <si>
    <t>PEZZI CONTATI</t>
  </si>
  <si>
    <t>Delta (contati - gestionale)</t>
  </si>
  <si>
    <t>Azione suggerita</t>
  </si>
  <si>
    <t>CONTA_APPLICATA</t>
  </si>
  <si>
    <t>LEOPARDO SAVANA</t>
  </si>
  <si>
    <t>Lea_Bag_LEOPARDO_SAVANA</t>
  </si>
  <si>
    <t>ACTIVE</t>
  </si>
  <si>
    <t>PONY COCCO BLACK</t>
  </si>
  <si>
    <t>Lea_Bag_PONY_COCCO_BLACK</t>
  </si>
  <si>
    <t>JUNGLE</t>
  </si>
  <si>
    <t>Lea_Bag_JUNGLE</t>
  </si>
  <si>
    <t>DRAFT</t>
  </si>
  <si>
    <t>GREEN MILITARY</t>
  </si>
  <si>
    <t>Lea_Bag_GREEN_MILITARY</t>
  </si>
  <si>
    <t>KAKI GREEN PONY</t>
  </si>
  <si>
    <t>Lea_Bag_KAKI_GREEN_PONY</t>
  </si>
  <si>
    <t>Cavallino Chocolate</t>
  </si>
  <si>
    <t>Lea_Bag_Cavallino_Chocolate</t>
  </si>
  <si>
    <t>n/d</t>
  </si>
  <si>
    <t>Cavallino Light Brown</t>
  </si>
  <si>
    <t>Lea_Bag_Cavallino_Light_Brown</t>
  </si>
  <si>
    <t>Cavallino Bordeaux</t>
  </si>
  <si>
    <t>Lea_Bag_Cavallino_Bordeaux</t>
  </si>
  <si>
    <t>ESPRESSO PONY</t>
  </si>
  <si>
    <t>Lea_Bag_ESPRESSO_PONY</t>
  </si>
  <si>
    <t>BLACK</t>
  </si>
  <si>
    <t>Lea_Bag_BLACK</t>
  </si>
  <si>
    <t>Maria Bag</t>
  </si>
  <si>
    <t>Red</t>
  </si>
  <si>
    <t>Maria_Bag_Red</t>
  </si>
  <si>
    <t>RED PIERCING</t>
  </si>
  <si>
    <t>Maria_Bag_RED_PIERCING</t>
  </si>
  <si>
    <t>Valentina Bag</t>
  </si>
  <si>
    <t>CHOCOLATE</t>
  </si>
  <si>
    <t>Valentina_Bag_CHOCOLATE</t>
  </si>
  <si>
    <t>Nina Bag</t>
  </si>
  <si>
    <t>Stripes Strawberry</t>
  </si>
  <si>
    <t>Nina_Bag_Stripes_Strawberry</t>
  </si>
  <si>
    <t>PEACH</t>
  </si>
  <si>
    <t>Nina_Bag_PEACH</t>
  </si>
  <si>
    <t>Checks Navy Blue</t>
  </si>
  <si>
    <t>Nina_Bag_Checks_Navy_Blue</t>
  </si>
  <si>
    <t>Stripes Mint</t>
  </si>
  <si>
    <t>Nina_Bag_Stripes_Mint</t>
  </si>
  <si>
    <t>BLACK WHITE PONY</t>
  </si>
  <si>
    <t>Lea_Bag_BLACK_WHITE_PONY</t>
  </si>
  <si>
    <t>RED PATENT</t>
  </si>
  <si>
    <t>Lea_Bag_RED_PATENT</t>
  </si>
  <si>
    <t>BLUE ELECTRIC</t>
  </si>
  <si>
    <t>Lea_Bag_BLUE_ELECTRIC</t>
  </si>
  <si>
    <t>Bordeaux</t>
  </si>
  <si>
    <t>Lea_Bag_Bordeaux</t>
  </si>
  <si>
    <t>ZEBRA</t>
  </si>
  <si>
    <t>Lea_Bag_ZEBRA</t>
  </si>
  <si>
    <t>MUCCATA MARRONE</t>
  </si>
  <si>
    <t>Lea_Bag_MUCCATA_MARRONE</t>
  </si>
  <si>
    <t>TOASTED LEATHER</t>
  </si>
  <si>
    <t>Lea_Bag_TOASTED_LEATHER</t>
  </si>
  <si>
    <t>SMOOTH BROWN LEATHER</t>
  </si>
  <si>
    <t>Lea_Bag_SMOOTH_BROWN_LEATHER</t>
  </si>
  <si>
    <t>COCCO CHOCOLATE</t>
  </si>
  <si>
    <t>Lea_Bag_COCCO_CHOCOLATE</t>
  </si>
  <si>
    <t>VERNICE PURPLE PATENT</t>
  </si>
  <si>
    <t>Lea_Bag_VERNICE_PURPLE_PATENT</t>
  </si>
  <si>
    <t>TOASTED LEATHER GREEN</t>
  </si>
  <si>
    <t>Lea_Bag_TOASTED_LEATHER_GREEN</t>
  </si>
  <si>
    <t>Lea Bag Maxi</t>
  </si>
  <si>
    <t>SUEDE CHOCOLATE CHARM</t>
  </si>
  <si>
    <t>Lea_Bag_Maxi_SUEDE_CHOCOLATE_CHARM</t>
  </si>
  <si>
    <t>SUEDE CHOCOLATE</t>
  </si>
  <si>
    <t>Lea_Bag_Maxi_SUEDE_CHOCOLATE</t>
  </si>
  <si>
    <t>Lea_Bag_Maxi_COCCO_BLACK</t>
  </si>
  <si>
    <t>RED</t>
  </si>
  <si>
    <t>Valentina_Bag_RED</t>
  </si>
  <si>
    <t>Valentina_Bag_COCCO_BLACK</t>
  </si>
  <si>
    <t>Valentina_Bag_GREEN_MILITARY</t>
  </si>
  <si>
    <t>Annie Bag</t>
  </si>
  <si>
    <t>BROWN</t>
  </si>
  <si>
    <t>Annie_Bag_BROWN</t>
  </si>
  <si>
    <t>PAILLETTES PINK</t>
  </si>
  <si>
    <t>Annie_Bag_PAILLETTES_PINK</t>
  </si>
  <si>
    <t>BLUE</t>
  </si>
  <si>
    <t>Annie_Bag_BLUE</t>
  </si>
  <si>
    <t>PINK</t>
  </si>
  <si>
    <t>Annie_Bag_PINK</t>
  </si>
  <si>
    <t>PAILLETTES GREY</t>
  </si>
  <si>
    <t>Annie_Bag_PAILLETTES_GREY</t>
  </si>
  <si>
    <t>PAILLETTES LIGHT BLUE</t>
  </si>
  <si>
    <t>Annie_Bag_PAILLETTES_LIGHT_BLUE</t>
  </si>
  <si>
    <t>PAILLETTES LIGHT GREEN</t>
  </si>
  <si>
    <t>Annie_Bag_PAILLETTES_LIGHT_GREEN</t>
  </si>
  <si>
    <t>PAILLETTES NUDE</t>
  </si>
  <si>
    <t>Annie_Bag_PAILLETTES_NUDE</t>
  </si>
  <si>
    <t>Agata Bag</t>
  </si>
  <si>
    <t>FLORAL GREEN EMBROIDERY</t>
  </si>
  <si>
    <t>Agata_Bag_FLORAL_GREEN_EMBROIDERY</t>
  </si>
  <si>
    <t>FLORAL PINK EMBROIDERY</t>
  </si>
  <si>
    <t>Agata_Bag_FLORAL_PINK_EMBROIDERY</t>
  </si>
  <si>
    <t>ROSE PINK</t>
  </si>
  <si>
    <t>Agata_Bag_ROSE_PINK</t>
  </si>
  <si>
    <t>Rose Blue</t>
  </si>
  <si>
    <t>Agata_Bag_Rose_Blue</t>
  </si>
  <si>
    <t>TIE DYE ORANGE</t>
  </si>
  <si>
    <t>Agata_Bag_TIE_DYE_ORANGE</t>
  </si>
  <si>
    <t>TIE DYE PINK</t>
  </si>
  <si>
    <t>Agata_Bag_TIE_DYE_PINK</t>
  </si>
  <si>
    <t>FLORAL BORDEAUX EMBROIDERY</t>
  </si>
  <si>
    <t>FLORAL DUSTY PINK EMBROIDERY</t>
  </si>
  <si>
    <t>PEARL GREY</t>
  </si>
  <si>
    <t>Annie_Bag_PEARL_GREY</t>
  </si>
  <si>
    <t>Zebra Pony</t>
  </si>
  <si>
    <t>Lea_Bag_Zebra_Pony</t>
  </si>
  <si>
    <t>COCCO_ORANGE</t>
  </si>
  <si>
    <t>Lea_Bag_COCCO_ORANGE</t>
  </si>
  <si>
    <t>COCCO_BEIGE</t>
  </si>
  <si>
    <t>Lea_Bag_COCCO_BEIGE</t>
  </si>
  <si>
    <t>COCCO_PURPLE</t>
  </si>
  <si>
    <t>Lea_Bag_COCCO_PURPLE</t>
  </si>
  <si>
    <t>BURRO_PIERCING</t>
  </si>
  <si>
    <t>Maria_Bag_BURRO_PIERCING</t>
  </si>
  <si>
    <t>Lea_Bag_Maxi_COCCO_CHOCOLATE</t>
  </si>
  <si>
    <t>COCCO PINK</t>
  </si>
  <si>
    <t>Lea_Bag_COCCO_PINK</t>
  </si>
  <si>
    <t>COCCO GREEN</t>
  </si>
  <si>
    <t>Lea_Bag_COCCO_GREEN</t>
  </si>
  <si>
    <t>ROSE BUTTER</t>
  </si>
  <si>
    <t>Agata_Bag_ROSE_BUTTER</t>
  </si>
  <si>
    <t>ROSE BUTTER GREEN</t>
  </si>
  <si>
    <t>Agata_Bag_ROSE_BUTTER_GREEN</t>
  </si>
  <si>
    <t>Agata_Bag_PAILLETTES_PINK</t>
  </si>
  <si>
    <t>PAILLETTES BEIGE</t>
  </si>
  <si>
    <t>Annie_Bag_PAILLETTES_BEIGE</t>
  </si>
  <si>
    <t>STRIPES PETROL BLUE</t>
  </si>
  <si>
    <t>STRIPES ICE GREEN</t>
  </si>
  <si>
    <t>Nina_Bag_STRIPES_ICE_GREEN</t>
  </si>
  <si>
    <t>STRIPES ORANGE RED</t>
  </si>
  <si>
    <t>Nina_Bag_STRIPES_ORANGE_RED</t>
  </si>
  <si>
    <t>STRIPES AZURE RED</t>
  </si>
  <si>
    <t>Nina_Bag_STRIPES_AZURE_RED</t>
  </si>
  <si>
    <t>STRIPES JUNGLE GREEN</t>
  </si>
  <si>
    <t>Nina_Bag_STRIPES_JUNGLE_GREEN</t>
  </si>
  <si>
    <t>POIS</t>
  </si>
  <si>
    <t>Nina_Bag_POIS</t>
  </si>
  <si>
    <t>Nina Bag Maxi</t>
  </si>
  <si>
    <t>Nina_Bag_Maxi_STRIPES_ICE_GREEN</t>
  </si>
  <si>
    <t>Nina_Bag_Maxi_STRIPES_ORANGE_RED</t>
  </si>
  <si>
    <t>Nina_Bag_Maxi_STRIPES_AZURE_RED</t>
  </si>
  <si>
    <t>Nina_Bag_Maxi_STRIPES_JUNGLE_GREEN</t>
  </si>
  <si>
    <t>STRIPES REED</t>
  </si>
  <si>
    <t>CHECKS CHERRY YELLOW</t>
  </si>
  <si>
    <t>Nina_Bag_Maxi_CHECKS_CHERRY_YELLOW</t>
  </si>
  <si>
    <t>Airpod Cover</t>
  </si>
  <si>
    <t>7X9 STRIPES MUSTARD ROSE</t>
  </si>
  <si>
    <t>Airpod_Cover_7X9_STRIPES_MUSTARD_ROSE</t>
  </si>
  <si>
    <t>7X9 STRIPES PINK OLIVE</t>
  </si>
  <si>
    <t>Airpod_Cover_7X9_STRIPES_PINK_OLIVE</t>
  </si>
  <si>
    <t>7X9 STRIPES REED</t>
  </si>
  <si>
    <t>Airpod_Cover_7X9_STRIPES_REED</t>
  </si>
  <si>
    <t>7X9 STRIPES AZURE RED</t>
  </si>
  <si>
    <t>Airpod_Cover_7X9_STRIPES_AZURE_RED</t>
  </si>
  <si>
    <t>7X9 CHECKS CHERRY PINK</t>
  </si>
  <si>
    <t>Airpod_Cover_7X9_CHECKS_CHERRY_PINK</t>
  </si>
  <si>
    <t>7X9 CHECKS OLIVE CREAM</t>
  </si>
  <si>
    <t>Airpod_Cover_7X9_CHECKS_OLIVE_CREAM</t>
  </si>
  <si>
    <t>9X11 STRIPES MUSTARD ROSE</t>
  </si>
  <si>
    <t>Airpod_Cover_9X11_STRIPES_MUSTARD_ROSE</t>
  </si>
  <si>
    <t>9X11 STRIPES PINK OLIVE</t>
  </si>
  <si>
    <t>Airpod_Cover_9X11_STRIPES_PINK_OLIVE</t>
  </si>
  <si>
    <t>9X11 STRIPES REED</t>
  </si>
  <si>
    <t>Airpod_Cover_9X11_STRIPES_REED</t>
  </si>
  <si>
    <t>9X11 STRIPES AZURE RED</t>
  </si>
  <si>
    <t>Airpod_Cover_9X11_STRIPES_AZURE_RED</t>
  </si>
  <si>
    <t>9X11 CHECKS CHERRY PINK</t>
  </si>
  <si>
    <t>Airpod_Cover_9X11_CHECKS_CHERRY_PINK</t>
  </si>
  <si>
    <t>9X11 CHECKS OLIVE CREAM</t>
  </si>
  <si>
    <t>Airpod_Cover_9X11_CHECKS_OLIVE_CREAM</t>
  </si>
  <si>
    <t>Sunglass Cover</t>
  </si>
  <si>
    <t>18X9 STRIPES MUSTARD ROSE</t>
  </si>
  <si>
    <t>Sunglass_Cover_18X9_STRIPES_MUSTARD_ROSE</t>
  </si>
  <si>
    <t>18X9 STRIPES PINK OLIVE</t>
  </si>
  <si>
    <t>Sunglass_Cover_18X9_STRIPES_PINK_OLIVE</t>
  </si>
  <si>
    <t>18X9 STRIPES REED</t>
  </si>
  <si>
    <t>Sunglass_Cover_18X9_STRIPES_REED</t>
  </si>
  <si>
    <t>18X9 STRIPES AZURE RED</t>
  </si>
  <si>
    <t>Sunglass_Cover_18X9_STRIPES_AZURE_RED</t>
  </si>
  <si>
    <t>18X9 CHECKS CHERRY PINK</t>
  </si>
  <si>
    <t>Sunglass_Cover_18X9_CHECKS_CHERRY_PINK</t>
  </si>
  <si>
    <t>18X9 CHECKS OLIVE CREAM</t>
  </si>
  <si>
    <t>Sunglass_Cover_18X9_CHECKS_OLIVE_CREAM</t>
  </si>
  <si>
    <t>Laptop Cover</t>
  </si>
  <si>
    <t>26X37 STRIPES MUSTARD ROSE</t>
  </si>
  <si>
    <t>Laptop_Cover_26X37_STRIPES_MUSTARD_ROSE</t>
  </si>
  <si>
    <t>26X37 STRIPES PINK OLIVE</t>
  </si>
  <si>
    <t>Laptop_Cover_26X37_STRIPES_PINK_OLIVE</t>
  </si>
  <si>
    <t>26X37 STRIPES REED</t>
  </si>
  <si>
    <t>Laptop_Cover_26X37_STRIPES_REED</t>
  </si>
  <si>
    <t>26X37 STRIPES AZURE RED</t>
  </si>
  <si>
    <t>Laptop_Cover_26X37_STRIPES_AZURE_RED</t>
  </si>
  <si>
    <t>26X37 STRIPES CHERRY PINK</t>
  </si>
  <si>
    <t>Laptop_Cover_26X37_STRIPES_CHERRY_PINK</t>
  </si>
  <si>
    <t>26X37 STRIPES OLIVE CREAM</t>
  </si>
  <si>
    <t>Laptop_Cover_26X37_STRIPES_OLIVE_CREAM</t>
  </si>
  <si>
    <t>26X37 CHECKS CHERRY YELLOW</t>
  </si>
  <si>
    <t>Laptop_Cover_26X37_CHECKS_CHERRY_YELLOW</t>
  </si>
  <si>
    <t>PINK CRYSTAL BEADS</t>
  </si>
  <si>
    <t>Agata_Bag_PINK_CRYSTAL_BEADS</t>
  </si>
  <si>
    <t>FLORAL LIGHT BLUE</t>
  </si>
  <si>
    <t>Agata_Bag_FLORAL_LIGHT_BLUE</t>
  </si>
  <si>
    <t>FLORAL GREY</t>
  </si>
  <si>
    <t>Agata_Bag_FLORAL_GREY</t>
  </si>
  <si>
    <t>PAILLETTES CANDY PINK</t>
  </si>
  <si>
    <t>Annie_Bag_PAILLETTES_CANDY_PINK</t>
  </si>
  <si>
    <t>PAILLETTES PURPLE</t>
  </si>
  <si>
    <t>Annie_Bag_PAILLETTES_PURPLE</t>
  </si>
  <si>
    <t>FLORAL LIGHT GREY</t>
  </si>
  <si>
    <t>Agata_Bag_FLORAL_LIGHT_GREY</t>
  </si>
  <si>
    <t>PERSONALIZZAZIONE Matrimonio</t>
  </si>
  <si>
    <t>Annie_Bag_PERSONALIZZAZIONE_Matrimonio</t>
  </si>
  <si>
    <t>ts</t>
  </si>
  <si>
    <t>date</t>
  </si>
  <si>
    <t>json</t>
  </si>
  <si>
    <t>{"ts":"2026-06-09 20:57","date":"2026-06-09","total":214,"active":94,"draft":120,"archived":0,"active_instock":77,"active_oos":17,"instock_not_active":5,"var_active_instock":93,"by_line":{"AGATA":{"active":14,"active_instock":8,"active_oos":6},"AIRPODS":{"active":6,"active_instock":6,"active_oos":0},"ANNIE":{"active":11,"active_instock":4,"active_oos":7},"GIFT":{"active":1,"active_instock":0,"active_oos":1},"LAPTOP":{"active":7,"active_instock":7,"active_oos":0},"LEA":{"active":20,"active_instock":17,"active_oos":3},"MARIA":{"active":2,"active_instock":2,"active_oos":0},"MINI":{"active":6,"active_instock":6,"active_oos":0},"NINA":{"active":16,"active_instock":16,"active_oos":0},"SUNGLASS":{"active":6,"active_instock":6,"active_oos":0},"TIGER":{"active":1,"active_instock":1,"active_oos":0},"VALENTINA":{"active":4,"active_instock":4,"active_oos":0}},"by_macro":{"Tessuto":{"active":41,"active_instock":28,"active_oos":13},"Pelle":{"active":26,"active_instock":23,"active_oos":3},"Accessori":{"active":26,"active_instock":26,"active_oos":0},"Altro":{"active":1,"active_instock":0,"active_oos":1}}}</t>
  </si>
  <si>
    <t>{"ts":"2026-06-09 21:13","date":"2026-06-09","total":214,"active":94,"draft":120,"archived":0,"active_instock":77,"active_oos":17,"instock_not_active":5,"var_active_instock":93,"by_line":{"AGATA":{"active":14,"active_instock":8,"active_oos":6},"AIRPODS":{"active":6,"active_instock":6,"active_oos":0},"ANNIE":{"active":11,"active_instock":4,"active_oos":7},"GIFT":{"active":1,"active_instock":0,"active_oos":1},"LAPTOP":{"active":7,"active_instock":7,"active_oos":0},"LEA":{"active":20,"active_instock":17,"active_oos":3},"MARIA":{"active":2,"active_instock":2,"active_oos":0},"MINI":{"active":6,"active_instock":6,"active_oos":0},"NINA":{"active":16,"active_instock":16,"active_oos":0},"SUNGLASS":{"active":6,"active_instock":6,"active_oos":0},"TIGER":{"active":1,"active_instock":1,"active_oos":0},"VALENTINA":{"active":4,"active_instock":4,"active_oos":0}},"by_macro":{"Tessuto":{"active":41,"active_instock":28,"active_oos":13},"Pelle":{"active":26,"active_instock":23,"active_oos":3},"Accessori":{"active":26,"active_instock":26,"active_oos":0},"Altro":{"active":1,"active_instock":0,"active_oos":1}}}</t>
  </si>
  <si>
    <t>{"ts":"2026-06-09 22:03","date":"2026-06-09","total":214,"active":94,"draft":120,"archived":0,"active_instock":77,"active_oos":17,"instock_not_active":5,"var_active_instock":93,"by_line":{"AGATA":{"active":14,"active_instock":8,"active_oos":6},"AIRPODS":{"active":6,"active_instock":6,"active_oos":0},"ANNIE":{"active":11,"active_instock":4,"active_oos":7},"GIFT":{"active":1,"active_instock":0,"active_oos":1},"LAPTOP":{"active":7,"active_instock":7,"active_oos":0},"LEA":{"active":20,"active_instock":17,"active_oos":3},"MARIA":{"active":2,"active_instock":2,"active_oos":0},"MINI":{"active":6,"active_instock":6,"active_oos":0},"NINA":{"active":16,"active_instock":16,"active_oos":0},"SUNGLASS":{"active":6,"active_instock":6,"active_oos":0},"TIGER":{"active":1,"active_instock":1,"active_oos":0},"VALENTINA":{"active":4,"active_instock":4,"active_oos":0}},"by_macro":{"Tessuto":{"active":41,"active_instock":28,"active_oos":13},"Pelle":{"active":26,"active_instock":23,"active_oos":3},"Accessori":{"active":26,"active_instock":26,"active_oos":0},"Altro":{"active":1,"active_instock":0,"active_oos":1}}}</t>
  </si>
  <si>
    <t>{"ts":"2026-06-09 23:48","date":"2026-06-09","total":214,"active":94,"draft":120,"archived":0,"active_instock":79,"active_oos":15,"instock_not_active":5,"var_active_instock":96,"by_line":{"AGATA":{"active":14,"active_instock":8,"active_oos":6},"AIRPODS":{"active":6,"active_instock":6,"active_oos":0},"ANNIE":{"active":11,"active_instock":5,"active_oos":6},"GIFT":{"active":1,"active_instock":0,"active_oos":1},"LAPTOP":{"active":7,"active_instock":7,"active_oos":0},"LEA":{"active":20,"active_instock":18,"active_oos":2},"MARIA":{"active":2,"active_instock":2,"active_oos":0},"MINI":{"active":6,"active_instock":6,"active_oos":0},"NINA":{"active":16,"active_instock":16,"active_oos":0},"SUNGLASS":{"active":6,"active_instock":6,"active_oos":0},"TIGER":{"active":1,"active_instock":1,"active_oos":0},"VALENTINA":{"active":4,"active_instock":4,"active_oos":0}},"by_macro":{"Tessuto":{"active":41,"active_instock":29,"active_oos":12},"Pelle":{"active":26,"active_instock":24,"active_oos":2},"Accessori":{"active":26,"active_instock":26,"active_oos":0},"Altro":{"active":1,"active_instock":0,"active_oos":1}}}</t>
  </si>
  <si>
    <t>{"ts":"2026-06-10 17:19","date":"2026-06-10","total":214,"active":94,"draft":120,"archived":0,"active_instock":80,"active_oos":14,"instock_not_active":2,"var_active_instock":101,"by_line":{"AGATA":{"active":14,"active_instock":10,"active_oos":4},"AIRPODS":{"active":6,"active_instock":6,"active_oos":0},"ANNIE":{"active":11,"active_instock":7,"active_oos":4},"GIFT":{"active":1,"active_instock":0,"active_oos":1},"LAPTOP":{"active":7,"active_instock":7,"active_oos":0},"LEA":{"active":20,"active_instock":15,"active_oos":5},"MARIA":{"active":2,"active_instock":2,"active_oos":0},"MINI":{"active":6,"active_instock":6,"active_oos":0},"NINA":{"active":16,"active_instock":16,"active_oos":0},"SUNGLASS":{"active":6,"active_instock":6,"active_oos":0},"TIGER":{"active":1,"active_instock":1,"active_oos":0},"VALENTINA":{"active":4,"active_instock":4,"active_oos":0}},"by_macro":{"Tessuto":{"active":41,"active_instock":33,"active_oos":8},"Pelle":{"active":26,"active_instock":21,"active_oos":5},"Accessori":{"active":26,"active_instock":26,"active_oos":0},"Altro":{"active":1,"active_instock":0,"active_oos":1}}}</t>
  </si>
  <si>
    <t>{"ts":"2026-06-10 22:17","date":"2026-06-10","total":214,"active":94,"draft":120,"archived":0,"active_instock":80,"active_oos":14,"instock_not_active":2,"var_active_instock":101,"by_line":{"AGATA":{"active":14,"active_instock":10,"active_oos":4},"AIRPODS":{"active":6,"active_instock":6,"active_oos":0},"ANNIE":{"active":11,"active_instock":7,"active_oos":4},"GIFT":{"active":1,"active_instock":0,"active_oos":1},"LAPTOP":{"active":7,"active_instock":7,"active_oos":0},"LEA":{"active":20,"active_instock":15,"active_oos":5},"MARIA":{"active":2,"active_instock":2,"active_oos":0},"MINI":{"active":6,"active_instock":6,"active_oos":0},"NINA":{"active":16,"active_instock":16,"active_oos":0},"SUNGLASS":{"active":6,"active_instock":6,"active_oos":0},"TIGER":{"active":1,"active_instock":1,"active_oos":0},"VALENTINA":{"active":4,"active_instock":4,"active_oos":0}},"by_macro":{"Tessuto":{"active":41,"active_instock":33,"active_oos":8},"Pelle":{"active":26,"active_instock":21,"active_oos":5},"Accessori":{"active":26,"active_instock":26,"active_oos":0},"Altro":{"active":1,"active_instock":0,"active_oos":1}}}</t>
  </si>
  <si>
    <t>{"ts":"2026-06-13 21:54","date":"2026-06-13","total":214,"active":94,"draft":120,"archived":0,"active_instock":79,"active_oos":15,"instock_not_active":2,"var_active_instock":99,"by_line":{"AGATA":{"active":14,"active_instock":10,"active_oos":4},"AIRPODS":{"active":6,"active_instock":6,"active_oos":0},"ANNIE":{"active":11,"active_instock":6,"active_oos":5},"GIFT":{"active":1,"active_instock":0,"active_oos":1},"LAPTOP":{"active":7,"active_instock":7,"active_oos":0},"LEA":{"active":20,"active_instock":15,"active_oos":5},"MARIA":{"active":2,"active_instock":2,"active_oos":0},"MINI":{"active":6,"active_instock":6,"active_oos":0},"NINA":{"active":16,"active_instock":16,"active_oos":0},"SUNGLASS":{"active":6,"active_instock":6,"active_oos":0},"TIGER":{"active":1,"active_instock":1,"active_oos":0},"VALENTINA":{"active":4,"active_instock":4,"active_oos":0}},"by_macro":{"Tessuto":{"active":41,"active_instock":32,"active_oos":9},"Pelle":{"active":26,"active_instock":21,"active_oos":5},"Accessori":{"active":26,"active_instock":26,"active_oos":0},"Altro":{"active":1,"active_instock":0,"active_oos":1}}}</t>
  </si>
  <si>
    <t>{"ts":"2026-06-14 13:25","date":"2026-06-14","total":214,"active":94,"draft":120,"archived":0,"active_instock":75,"active_oos":19,"instock_not_active":2,"var_active_instock":92,"by_line":{"AGATA":{"active":14,"active_instock":8,"active_oos":6},"AIRPODS":{"active":6,"active_instock":6,"active_oos":0},"ANNIE":{"active":11,"active_instock":5,"active_oos":6},"GIFT":{"active":1,"active_instock":0,"active_oos":1},"LAPTOP":{"active":7,"active_instock":7,"active_oos":0},"LEA":{"active":20,"active_instock":14,"active_oos":6},"MARIA":{"active":2,"active_instock":2,"active_oos":0},"MINI":{"active":6,"active_instock":6,"active_oos":0},"NINA":{"active":16,"active_instock":16,"active_oos":0},"SUNGLASS":{"active":6,"active_instock":6,"active_oos":0},"TIGER":{"active":1,"active_instock":1,"active_oos":0},"VALENTINA":{"active":4,"active_instock":4,"active_oos":0}},"by_macro":{"Tessuto":{"active":41,"active_instock":29,"active_oos":12},"Pelle":{"active":26,"active_instock":20,"active_oos":6},"Accessori":{"active":26,"active_instock":26,"active_oos":0},"Altro":{"active":1,"active_instock":0,"active_oos":1}}}</t>
  </si>
  <si>
    <t>{"ts":"2026-06-15 13:25","date":"2026-06-15","total":214,"active":94,"draft":120,"archived":0,"active_instock":76,"active_oos":18,"instock_not_active":2,"var_active_instock":94,"by_line":{"AGATA":{"active":14,"active_instock":8,"active_oos":6},"AIRPODS":{"active":6,"active_instock":6,"active_oos":0},"ANNIE":{"active":11,"active_instock":6,"active_oos":5},"GIFT":{"active":1,"active_instock":0,"active_oos":1},"LAPTOP":{"active":7,"active_instock":7,"active_oos":0},"LEA":{"active":20,"active_instock":14,"active_oos":6},"MARIA":{"active":2,"active_instock":2,"active_oos":0},"MINI":{"active":6,"active_instock":6,"active_oos":0},"NINA":{"active":16,"active_instock":16,"active_oos":0},"SUNGLASS":{"active":6,"active_instock":6,"active_oos":0},"TIGER":{"active":1,"active_instock":1,"active_oos":0},"VALENTINA":{"active":4,"active_instock":4,"active_oos":0}},"by_macro":{"Tessuto":{"active":41,"active_instock":30,"active_oos":11},"Pelle":{"active":26,"active_instock":20,"active_oos":6},"Accessori":{"active":26,"active_instock":26,"active_oos":0},"Altro":{"active":1,"active_instock":0,"active_oos":1}}}</t>
  </si>
  <si>
    <t>{"ts":"2026-06-16 13:25","date":"2026-06-16","total":214,"active":94,"draft":120,"archived":0,"active_instock":76,"active_oos":18,"instock_not_active":2,"var_active_instock":94,"by_line":{"AGATA":{"active":14,"active_instock":8,"active_oos":6},"AIRPODS":{"active":6,"active_instock":6,"active_oos":0},"ANNIE":{"active":11,"active_instock":6,"active_oos":5},"GIFT":{"active":1,"active_instock":0,"active_oos":1},"LAPTOP":{"active":7,"active_instock":7,"active_oos":0},"LEA":{"active":20,"active_instock":14,"active_oos":6},"MARIA":{"active":2,"active_instock":2,"active_oos":0},"MINI":{"active":6,"active_instock":6,"active_oos":0},"NINA":{"active":16,"active_instock":16,"active_oos":0},"SUNGLASS":{"active":6,"active_instock":6,"active_oos":0},"TIGER":{"active":1,"active_instock":1,"active_oos":0},"VALENTINA":{"active":4,"active_instock":4,"active_oos":0}},"by_macro":{"Tessuto":{"active":41,"active_instock":30,"active_oos":11},"Pelle":{"active":26,"active_instock":20,"active_oos":6},"Accessori":{"active":26,"active_instock":26,"active_oos":0},"Altro":{"active":1,"active_instock":0,"active_oos":1}}}</t>
  </si>
  <si>
    <t>{"ts":"2026-06-17 13:25","date":"2026-06-17","total":214,"active":94,"draft":120,"archived":0,"active_instock":75,"active_oos":19,"instock_not_active":2,"var_active_instock":92,"by_line":{"AGATA":{"active":14,"active_instock":6,"active_oos":8},"AIRPODS":{"active":6,"active_instock":6,"active_oos":0},"ANNIE":{"active":11,"active_instock":7,"active_oos":4},"GIFT":{"active":1,"active_instock":0,"active_oos":1},"LAPTOP":{"active":7,"active_instock":7,"active_oos":0},"LEA":{"active":20,"active_instock":14,"active_oos":6},"MARIA":{"active":2,"active_instock":2,"active_oos":0},"MINI":{"active":6,"active_instock":6,"active_oos":0},"NINA":{"active":16,"active_instock":16,"active_oos":0},"SUNGLASS":{"active":6,"active_instock":6,"active_oos":0},"TIGER":{"active":1,"active_instock":1,"active_oos":0},"VALENTINA":{"active":4,"active_instock":4,"active_oos":0}},"by_macro":{"Tessuto":{"active":41,"active_instock":29,"active_oos":12},"Pelle":{"active":26,"active_instock":20,"active_oos":6},"Accessori":{"active":26,"active_instock":26,"active_oos":0},"Altro":{"active":1,"active_instock":0,"active_oos":1}}}</t>
  </si>
  <si>
    <t>{"ts":"2026-06-18 13:25","date":"2026-06-18","total":214,"active":94,"draft":120,"archived":0,"active_instock":76,"active_oos":18,"instock_not_active":2,"var_active_instock":90,"by_line":{"AGATA":{"active":14,"active_instock":6,"active_oos":8},"AIRPODS":{"active":6,"active_instock":6,"active_oos":0},"ANNIE":{"active":11,"active_instock":8,"active_oos":3},"GIFT":{"active":1,"active_instock":0,"active_oos":1},"LAPTOP":{"active":7,"active_instock":7,"active_oos":0},"LEA":{"active":20,"active_instock":14,"active_oos":6},"MARIA":{"active":2,"active_instock":2,"active_oos":0},"MINI":{"active":6,"active_instock":6,"active_oos":0},"NINA":{"active":16,"active_instock":16,"active_oos":0},"SUNGLASS":{"active":6,"active_instock":6,"active_oos":0},"TIGER":{"active":1,"active_instock":1,"active_oos":0},"VALENTINA":{"active":4,"active_instock":4,"active_oos":0}},"by_macro":{"Tessuto":{"active":41,"active_instock":30,"active_oos":11},"Pelle":{"active":26,"active_instock":20,"active_oos":6},"Accessori":{"active":26,"active_instock":26,"active_oos":0},"Altro":{"active":1,"active_instock":0,"active_oos":1}}}</t>
  </si>
  <si>
    <t>{"ts":"2026-06-19 13:25","date":"2026-06-19","total":214,"active":95,"draft":119,"archived":0,"active_instock":76,"active_oos":19,"instock_not_active":2,"var_active_instock":91,"by_line":{"AGATA":{"active":15,"active_instock":7,"active_oos":8},"AIRPODS":{"active":6,"active_instock":6,"active_oos":0},"ANNIE":{"active":11,"active_instock":8,"active_oos":3},"GIFT":{"active":1,"active_instock":0,"active_oos":1},"LAPTOP":{"active":7,"active_instock":7,"active_oos":0},"LEA":{"active":20,"active_instock":13,"active_oos":7},"MARIA":{"active":2,"active_instock":2,"active_oos":0},"MINI":{"active":6,"active_instock":6,"active_oos":0},"NINA":{"active":16,"active_instock":16,"active_oos":0},"SUNGLASS":{"active":6,"active_instock":6,"active_oos":0},"TIGER":{"active":1,"active_instock":1,"active_oos":0},"VALENTINA":{"active":4,"active_instock":4,"active_oos":0}},"by_macro":{"Tessuto":{"active":42,"active_instock":31,"active_oos":11},"Pelle":{"active":26,"active_instock":19,"active_oos":7},"Accessori":{"active":26,"active_instock":26,"active_oos":0},"Altro":{"active":1,"active_instock":0,"active_oos":1}}}</t>
  </si>
  <si>
    <t>{"ts":"2026-06-20 13:25","date":"2026-06-20","total":214,"active":95,"draft":119,"archived":0,"active_instock":76,"active_oos":19,"instock_not_active":2,"var_active_instock":91,"by_line":{"AGATA":{"active":15,"active_instock":7,"active_oos":8},"AIRPODS":{"active":6,"active_instock":6,"active_oos":0},"ANNIE":{"active":11,"active_instock":8,"active_oos":3},"GIFT":{"active":1,"active_instock":0,"active_oos":1},"LAPTOP":{"active":7,"active_instock":7,"active_oos":0},"LEA":{"active":20,"active_instock":13,"active_oos":7},"MARIA":{"active":2,"active_instock":2,"active_oos":0},"MINI":{"active":6,"active_instock":6,"active_oos":0},"NINA":{"active":16,"active_instock":16,"active_oos":0},"SUNGLASS":{"active":6,"active_instock":6,"active_oos":0},"TIGER":{"active":1,"active_instock":1,"active_oos":0},"VALENTINA":{"active":4,"active_instock":4,"active_oos":0}},"by_macro":{"Tessuto":{"active":42,"active_instock":31,"active_oos":11},"Pelle":{"active":26,"active_instock":19,"active_oos":7},"Accessori":{"active":26,"active_instock":26,"active_oos":0},"Altro":{"active":1,"active_instock":0,"active_oos":1}}}</t>
  </si>
  <si>
    <t>{"ts":"2026-06-21 13:25","date":"2026-06-21","total":214,"active":95,"draft":119,"archived":0,"active_instock":76,"active_oos":19,"instock_not_active":2,"var_active_instock":91,"by_line":{"AGATA":{"active":15,"active_instock":7,"active_oos":8},"AIRPODS":{"active":6,"active_instock":6,"active_oos":0},"ANNIE":{"active":11,"active_instock":8,"active_oos":3},"GIFT":{"active":1,"active_instock":0,"active_oos":1},"LAPTOP":{"active":7,"active_instock":7,"active_oos":0},"LEA":{"active":20,"active_instock":13,"active_oos":7},"MARIA":{"active":2,"active_instock":2,"active_oos":0},"MINI":{"active":6,"active_instock":6,"active_oos":0},"NINA":{"active":16,"active_instock":16,"active_oos":0},"SUNGLASS":{"active":6,"active_instock":6,"active_oos":0},"TIGER":{"active":1,"active_instock":1,"active_oos":0},"VALENTINA":{"active":4,"active_instock":4,"active_oos":0}},"by_macro":{"Tessuto":{"active":42,"active_instock":31,"active_oos":11},"Pelle":{"active":26,"active_instock":19,"active_oos":7},"Accessori":{"active":26,"active_instock":26,"active_oos":0},"Altro":{"active":1,"active_instock":0,"active_oos":1}}}</t>
  </si>
  <si>
    <t>{"ts":"2026-06-22 13:25","date":"2026-06-22","total":214,"active":95,"draft":119,"archived":0,"active_instock":76,"active_oos":19,"instock_not_active":2,"var_active_instock":91,"by_line":{"AGATA":{"active":15,"active_instock":7,"active_oos":8},"AIRPODS":{"active":6,"active_instock":6,"active_oos":0},"ANNIE":{"active":11,"active_instock":8,"active_oos":3},"GIFT":{"active":1,"active_instock":0,"active_oos":1},"LAPTOP":{"active":7,"active_instock":7,"active_oos":0},"LEA":{"active":20,"active_instock":13,"active_oos":7},"MARIA":{"active":2,"active_instock":2,"active_oos":0},"MINI":{"active":6,"active_instock":6,"active_oos":0},"NINA":{"active":16,"active_instock":16,"active_oos":0},"SUNGLASS":{"active":6,"active_instock":6,"active_oos":0},"TIGER":{"active":1,"active_instock":1,"active_oos":0},"VALENTINA":{"active":4,"active_instock":4,"active_oos":0}},"by_macro":{"Tessuto":{"active":42,"active_instock":31,"active_oos":11},"Pelle":{"active":26,"active_instock":19,"active_oos":7},"Accessori":{"active":26,"active_instock":26,"active_oos":0},"Altro":{"active":1,"active_instock":0,"active_oos":1}}}</t>
  </si>
  <si>
    <t>{"ts":"2026-06-23 13:25","date":"2026-06-23","total":217,"active":95,"draft":122,"archived":0,"active_instock":75,"active_oos":20,"instock_not_active":2,"var_active_instock":90,"by_line":{"AGATA":{"active":15,"active_instock":7,"active_oos":8},"AIRPODS":{"active":6,"active_instock":6,"active_oos":0},"ANNIE":{"active":11,"active_instock":8,"active_oos":3},"GIFT":{"active":1,"active_instock":0,"active_oos":1},"LAPTOP":{"active":7,"active_instock":7,"active_oos":0},"LEA":{"active":20,"active_instock":12,"active_oos":8},"MARIA":{"active":2,"active_instock":2,"active_oos":0},"MINI":{"active":6,"active_instock":6,"active_oos":0},"NINA":{"active":16,"active_instock":16,"active_oos":0},"SUNGLASS":{"active":6,"active_instock":6,"active_oos":0},"TIGER":{"active":1,"active_instock":1,"active_oos":0},"VALENTINA":{"active":4,"active_instock":4,"active_oos":0}},"by_macro":{"Tessuto":{"active":42,"active_instock":31,"active_oos":11},"Pelle":{"active":26,"active_instock":18,"active_oos":8},"Accessori":{"active":26,"active_instock":26,"active_oos":0},"Altro":{"active":1,"active_instock":0,"active_oos":1}}}</t>
  </si>
  <si>
    <t>{"ts":"2026-06-24 13:25","date":"2026-06-24","total":217,"active":98,"draft":119,"archived":0,"active_instock":73,"active_oos":25,"instock_not_active":2,"var_active_instock":86,"by_line":{"AGATA":{"active":15,"active_instock":7,"active_oos":8},"AIRPODS":{"active":6,"active_instock":6,"active_oos":0},"ANNIE":{"active":11,"active_instock":6,"active_oos":5},"GIFT":{"active":1,"active_instock":0,"active_oos":1},"LAPTOP":{"active":7,"active_instock":7,"active_oos":0},"LEA":{"active":20,"active_instock":12,"active_oos":8},"MARIA":{"active":5,"active_instock":2,"active_oos":3},"MINI":{"active":6,"active_instock":6,"active_oos":0},"NINA":{"active":16,"active_instock":16,"active_oos":0},"SUNGLASS":{"active":6,"active_instock":6,"active_oos":0},"TIGER":{"active":1,"active_instock":1,"active_oos":0},"VALENTINA":{"active":4,"active_instock":4,"active_oos":0}},"by_macro":{"Tessuto":{"active":42,"active_instock":29,"active_oos":13},"Pelle":{"active":29,"active_instock":18,"active_oos":11},"Accessori":{"active":26,"active_instock":26,"active_oos":0},"Altro":{"active":1,"active_instock":0,"active_oos":1}}}</t>
  </si>
  <si>
    <t>{"ts":"2026-06-25 13:25","date":"2026-06-25","total":217,"active":98,"draft":119,"archived":0,"active_instock":77,"active_oos":21,"instock_not_active":2,"var_active_instock":91,"by_line":{"AGATA":{"active":15,"active_instock":7,"active_oos":8},"AIRPODS":{"active":6,"active_instock":6,"active_oos":0},"ANNIE":{"active":11,"active_instock":7,"active_oos":4},"GIFT":{"active":1,"active_instock":0,"active_oos":1},"LAPTOP":{"active":7,"active_instock":7,"active_oos":0},"LEA":{"active":20,"active_instock":12,"active_oos":8},"MARIA":{"active":5,"active_instock":5,"active_oos":0},"MINI":{"active":6,"active_instock":6,"active_oos":0},"NINA":{"active":16,"active_instock":16,"active_oos":0},"SUNGLASS":{"active":6,"active_instock":6,"active_oos":0},"TIGER":{"active":1,"active_instock":1,"active_oos":0},"VALENTINA":{"active":4,"active_instock":4,"active_oos":0}},"by_macro":{"Tessuto":{"active":42,"active_instock":30,"active_oos":12},"Pelle":{"active":29,"active_instock":21,"active_oos":8},"Accessori":{"active":26,"active_instock":26,"active_oos":0},"Altro":{"active":1,"active_instock":0,"active_oos":1}}}</t>
  </si>
  <si>
    <t>{"ts":"2026-06-26 13:25","date":"2026-06-26","total":217,"active":98,"draft":119,"archived":0,"active_instock":77,"active_oos":21,"instock_not_active":2,"var_active_instock":91,"by_line":{"AGATA":{"active":15,"active_instock":7,"active_oos":8},"AIRPODS":{"active":6,"active_instock":6,"active_oos":0},"ANNIE":{"active":11,"active_instock":7,"active_oos":4},"GIFT":{"active":1,"active_instock":0,"active_oos":1},"LAPTOP":{"active":7,"active_instock":7,"active_oos":0},"LEA":{"active":20,"active_instock":12,"active_oos":8},"MARIA":{"active":5,"active_instock":5,"active_oos":0},"MINI":{"active":6,"active_instock":6,"active_oos":0},"NINA":{"active":16,"active_instock":16,"active_oos":0},"SUNGLASS":{"active":6,"active_instock":6,"active_oos":0},"TIGER":{"active":1,"active_instock":1,"active_oos":0},"VALENTINA":{"active":4,"active_instock":4,"active_oos":0}},"by_macro":{"Tessuto":{"active":42,"active_instock":30,"active_oos":12},"Pelle":{"active":29,"active_instock":21,"active_oos":8},"Accessori":{"active":26,"active_instock":26,"active_oos":0},"Altro":{"active":1,"active_instock":0,"active_oos":1}}}</t>
  </si>
  <si>
    <t>{"ts":"2026-06-27 13:25","date":"2026-06-27","total":217,"active":98,"draft":119,"archived":0,"active_instock":77,"active_oos":21,"instock_not_active":2,"var_active_instock":91,"by_line":{"AGATA":{"active":15,"active_instock":7,"active_oos":8},"AIRPODS":{"active":6,"active_instock":6,"active_oos":0},"ANNIE":{"active":11,"active_instock":7,"active_oos":4},"GIFT":{"active":1,"active_instock":0,"active_oos":1},"LAPTOP":{"active":7,"active_instock":7,"active_oos":0},"LEA":{"active":20,"active_instock":12,"active_oos":8},"MARIA":{"active":5,"active_instock":5,"active_oos":0},"MINI":{"active":6,"active_instock":6,"active_oos":0},"NINA":{"active":16,"active_instock":16,"active_oos":0},"SUNGLASS":{"active":6,"active_instock":6,"active_oos":0},"TIGER":{"active":1,"active_instock":1,"active_oos":0},"VALENTINA":{"active":4,"active_instock":4,"active_oos":0}},"by_macro":{"Tessuto":{"active":42,"active_instock":30,"active_oos":12},"Pelle":{"active":29,"active_instock":21,"active_oos":8},"Accessori":{"active":26,"active_instock":26,"active_oos":0},"Altro":{"active":1,"active_instock":0,"active_oos":1}}}</t>
  </si>
  <si>
    <t>{"ts":"2026-06-28 13:25","date":"2026-06-28","total":217,"active":98,"draft":119,"archived":0,"active_instock":76,"active_oos":22,"instock_not_active":2,"var_active_instock":89,"by_line":{"AGATA":{"active":15,"active_instock":7,"active_oos":8},"AIRPODS":{"active":6,"active_instock":6,"active_oos":0},"ANNIE":{"active":11,"active_instock":6,"active_oos":5},"GIFT":{"active":1,"active_instock":0,"active_oos":1},"LAPTOP":{"active":7,"active_instock":7,"active_oos":0},"LEA":{"active":20,"active_instock":12,"active_oos":8},"MARIA":{"active":5,"active_instock":5,"active_oos":0},"MINI":{"active":6,"active_instock":6,"active_oos":0},"NINA":{"active":16,"active_instock":16,"active_oos":0},"SUNGLASS":{"active":6,"active_instock":6,"active_oos":0},"TIGER":{"active":1,"active_instock":1,"active_oos":0},"VALENTINA":{"active":4,"active_instock":4,"active_oos":0}},"by_macro":{"Tessuto":{"active":42,"active_instock":29,"active_oos":13},"Pelle":{"active":29,"active_instock":21,"active_oos":8},"Accessori":{"active":26,"active_instock":26,"active_oos":0},"Altro":{"active":1,"active_instock":0,"active_oos":1}}}</t>
  </si>
  <si>
    <t>{"ts":"2026-06-29 13:25","date":"2026-06-29","total":218,"active":98,"draft":120,"archived":0,"active_instock":74,"active_oos":24,"instock_not_active":2,"var_active_instock":86,"by_line":{"AGATA":{"active":15,"active_instock":6,"active_oos":9},"AIRPODS":{"active":6,"active_instock":6,"active_oos":0},"ANNIE":{"active":11,"active_instock":6,"active_oos":5},"GIFT":{"active":1,"active_instock":0,"active_oos":1},"LAPTOP":{"active":7,"active_instock":7,"active_oos":0},"LEA":{"active":20,"active_instock":11,"active_oos":9},"MARIA":{"active":5,"active_instock":5,"active_oos":0},"MINI":{"active":6,"active_instock":6,"active_oos":0},"NINA":{"active":16,"active_instock":16,"active_oos":0},"SUNGLASS":{"active":6,"active_instock":6,"active_oos":0},"TIGER":{"active":1,"active_instock":1,"active_oos":0},"VALENTINA":{"active":4,"active_instock":4,"active_oos":0}},"by_macro":{"Tessuto":{"active":42,"active_instock":28,"active_oos":14},"Pelle":{"active":29,"active_instock":20,"active_oos":9},"Accessori":{"active":26,"active_instock":26,"active_oos":0},"Altro":{"active":1,"active_instock":0,"active_oos":1}}}</t>
  </si>
  <si>
    <t>{"ts":"2026-06-30 13:25","date":"2026-06-30","total":218,"active":98,"draft":120,"archived":0,"active_instock":73,"active_oos":25,"instock_not_active":2,"var_active_instock":84,"by_line":{"AGATA":{"active":16,"active_instock":7,"active_oos":9},"AIRPODS":{"active":6,"active_instock":6,"active_oos":0},"ANNIE":{"active":10,"active_instock":4,"active_oos":6},"GIFT":{"active":1,"active_instock":0,"active_oos":1},"LAPTOP":{"active":7,"active_instock":7,"active_oos":0},"LEA":{"active":20,"active_instock":11,"active_oos":9},"MARIA":{"active":5,"active_instock":5,"active_oos":0},"MINI":{"active":6,"active_instock":6,"active_oos":0},"NINA":{"active":16,"active_instock":16,"active_oos":0},"SUNGLASS":{"active":6,"active_instock":6,"active_oos":0},"TIGER":{"active":1,"active_instock":1,"active_oos":0},"VALENTINA":{"active":4,"active_instock":4,"active_oos":0}},"by_macro":{"Tessuto":{"active":42,"active_instock":27,"active_oos":15},"Pelle":{"active":29,"active_instock":20,"active_oos":9},"Accessori":{"active":26,"active_instock":26,"active_oos":0},"Altro":{"active":1,"active_instock":0,"active_oos":1}}}</t>
  </si>
  <si>
    <t>{"ts":"2026-07-01 13:25","date":"2026-07-01","total":218,"active":93,"draft":125,"archived":0,"active_instock":72,"active_oos":21,"instock_not_active":2,"var_active_instock":82,"by_line":{"AGATA":{"active":16,"active_instock":6,"active_oos":10},"AIRPODS":{"active":6,"active_instock":6,"active_oos":0},"ANNIE":{"active":10,"active_instock":4,"active_oos":6},"GIFT":{"active":1,"active_instock":0,"active_oos":1},"LAPTOP":{"active":7,"active_instock":7,"active_oos":0},"LEA":{"active":15,"active_instock":11,"active_oos":4},"MARIA":{"active":5,"active_instock":5,"active_oos":0},"MINI":{"active":6,"active_instock":6,"active_oos":0},"NINA":{"active":16,"active_instock":16,"active_oos":0},"SUNGLASS":{"active":6,"active_instock":6,"active_oos":0},"TIGER":{"active":1,"active_instock":1,"active_oos":0},"VALENTINA":{"active":4,"active_instock":4,"active_oos":0}},"by_macro":{"Tessuto":{"active":42,"active_instock":26,"active_oos":16},"Pelle":{"active":24,"active_instock":20,"active_oos":4},"Accessori":{"active":26,"active_instock":26,"active_oos":0},"Altro":{"active":1,"active_instock":0,"active_oos":1}}}</t>
  </si>
  <si>
    <t>{"ts":"2026-07-02 13:25","date":"2026-07-02","total":218,"active":93,"draft":125,"archived":0,"active_instock":71,"active_oos":22,"instock_not_active":2,"var_active_instock":80,"by_line":{"AGATA":{"active":16,"active_instock":5,"active_oos":11},"AIRPODS":{"active":6,"active_instock":6,"active_oos":0},"ANNIE":{"active":10,"active_instock":4,"active_oos":6},"GIFT":{"active":1,"active_instock":0,"active_oos":1},"LAPTOP":{"active":7,"active_instock":7,"active_oos":0},"LEA":{"active":15,"active_instock":11,"active_oos":4},"MARIA":{"active":5,"active_instock":5,"active_oos":0},"MINI":{"active":6,"active_instock":6,"active_oos":0},"NINA":{"active":16,"active_instock":16,"active_oos":0},"SUNGLASS":{"active":6,"active_instock":6,"active_oos":0},"TIGER":{"active":1,"active_instock":1,"active_oos":0},"VALENTINA":{"active":4,"active_instock":4,"active_oos":0}},"by_macro":{"Tessuto":{"active":42,"active_instock":25,"active_oos":17},"Pelle":{"active":24,"active_instock":20,"active_oos":4},"Accessori":{"active":26,"active_instock":26,"active_oos":0},"Altro":{"active":1,"active_instock":0,"active_oos":1}}}</t>
  </si>
  <si>
    <t>Product_Name</t>
  </si>
  <si>
    <t>Product_ID</t>
  </si>
  <si>
    <t>Variant_ID</t>
  </si>
  <si>
    <t>InventoryItem_ID</t>
  </si>
  <si>
    <t>Location_ID</t>
  </si>
  <si>
    <t>Note</t>
  </si>
  <si>
    <t>Handle</t>
  </si>
  <si>
    <t>SKIP</t>
  </si>
  <si>
    <t>CONTA_VERIFICATA</t>
  </si>
  <si>
    <t>AIRPODS CASE CANDY PINK</t>
  </si>
  <si>
    <t>gid://shopify/Product/10795764023623</t>
  </si>
  <si>
    <t>gid://shopify/ProductVariant/53909681406279</t>
  </si>
  <si>
    <t>gid://shopify/InventoryItem/55500846301511</t>
  </si>
  <si>
    <t>gid://shopify/Location/107986518343</t>
  </si>
  <si>
    <t>Airpod_Cover_7X9_STRIPES_CANDY_PINK</t>
  </si>
  <si>
    <t>airpods-case-stripes-pink-olive</t>
  </si>
  <si>
    <t>AIRPODS CASE CHERRY PINK</t>
  </si>
  <si>
    <t>gid://shopify/Product/10795764220231</t>
  </si>
  <si>
    <t>gid://shopify/ProductVariant/53909681701191</t>
  </si>
  <si>
    <t>gid://shopify/InventoryItem/55500846596423</t>
  </si>
  <si>
    <t>airpods-case-checks-cherry-pink</t>
  </si>
  <si>
    <t>AIRPODS CASE FOREST GREEN</t>
  </si>
  <si>
    <t>gid://shopify/Product/10795764252999</t>
  </si>
  <si>
    <t>gid://shopify/ProductVariant/53909681733959</t>
  </si>
  <si>
    <t>gid://shopify/InventoryItem/55500846629191</t>
  </si>
  <si>
    <t>Airpod_Cover_7X9_CHECKS_FOREST_GREEN</t>
  </si>
  <si>
    <t>airpods-case-checks-olive-cream</t>
  </si>
  <si>
    <t>AIRPODS CASE LIGHT BLUE</t>
  </si>
  <si>
    <t>gid://shopify/Product/10795764154695</t>
  </si>
  <si>
    <t>gid://shopify/ProductVariant/53909681602887</t>
  </si>
  <si>
    <t>gid://shopify/InventoryItem/55500846498119</t>
  </si>
  <si>
    <t>Airpod_Cover_7X9_STRIPES_LIGHT_BLUE</t>
  </si>
  <si>
    <t>airpods-case-stripes-azure-red</t>
  </si>
  <si>
    <t>AIRPODS CASE LIME PINK</t>
  </si>
  <si>
    <t>gid://shopify/Product/10795763990855</t>
  </si>
  <si>
    <t>gid://shopify/ProductVariant/53909681373511</t>
  </si>
  <si>
    <t>gid://shopify/InventoryItem/55500846268743</t>
  </si>
  <si>
    <t>Airpod_Cover_7X9_STRIPES_LIME_PINK</t>
  </si>
  <si>
    <t>airpods-case-stripes-mustard-rose</t>
  </si>
  <si>
    <t>AIRPODS CASE RED</t>
  </si>
  <si>
    <t>gid://shopify/Product/10795764121927</t>
  </si>
  <si>
    <t>gid://shopify/ProductVariant/53909681570119</t>
  </si>
  <si>
    <t>gid://shopify/InventoryItem/55500846465351</t>
  </si>
  <si>
    <t>Airpod_Cover_7X9_STRIPES_RED</t>
  </si>
  <si>
    <t>airpods-case-stripes-reed</t>
  </si>
  <si>
    <t>LAPTOP COVER CANDY PINK</t>
  </si>
  <si>
    <t>gid://shopify/Product/10795763564871</t>
  </si>
  <si>
    <t>gid://shopify/ProductVariant/53909680750919</t>
  </si>
  <si>
    <t>gid://shopify/InventoryItem/55500845646151</t>
  </si>
  <si>
    <t>Laptop_Cover_26X37_STRIPES_CANDY_PINK</t>
  </si>
  <si>
    <t>laptop-cover-stripes-pink-olive</t>
  </si>
  <si>
    <t>LAPTOP COVER CHECKS ORANGE</t>
  </si>
  <si>
    <t>gid://shopify/Product/10795763794247</t>
  </si>
  <si>
    <t>gid://shopify/ProductVariant/53909681209671</t>
  </si>
  <si>
    <t>gid://shopify/InventoryItem/55500846104903</t>
  </si>
  <si>
    <t>Laptop_Cover_26X37_CHECKS_ORANGE</t>
  </si>
  <si>
    <t>laptop-cover-checks-cherry-yellow</t>
  </si>
  <si>
    <t>LAPTOP COVER CHERRY PINK</t>
  </si>
  <si>
    <t>gid://shopify/Product/10795763695943</t>
  </si>
  <si>
    <t>gid://shopify/ProductVariant/53909681013063</t>
  </si>
  <si>
    <t>gid://shopify/InventoryItem/55500845908295</t>
  </si>
  <si>
    <t>laptop-cover-stripes-cherry-pink</t>
  </si>
  <si>
    <t>LAPTOP COVER FOREST GREEN</t>
  </si>
  <si>
    <t>gid://shopify/Product/10795763761479</t>
  </si>
  <si>
    <t>gid://shopify/ProductVariant/53909681078599</t>
  </si>
  <si>
    <t>gid://shopify/InventoryItem/55500845973831</t>
  </si>
  <si>
    <t>Laptop_Cover_26X37_STRIPES_FOREST_GREEN</t>
  </si>
  <si>
    <t>laptop-cover-stripes-olive-cream</t>
  </si>
  <si>
    <t>LAPTOP COVER LIGHT BLUE</t>
  </si>
  <si>
    <t>gid://shopify/Product/10795763663175</t>
  </si>
  <si>
    <t>gid://shopify/ProductVariant/53909680980295</t>
  </si>
  <si>
    <t>gid://shopify/InventoryItem/55500845875527</t>
  </si>
  <si>
    <t>Laptop_Cover_26X37_STRIPES_LIGHT_BLUE</t>
  </si>
  <si>
    <t>laptop-cover-stripes-azure-red</t>
  </si>
  <si>
    <t>LAPTOP COVER LIME PINK</t>
  </si>
  <si>
    <t>gid://shopify/Product/10795763466567</t>
  </si>
  <si>
    <t>gid://shopify/ProductVariant/53909680652615</t>
  </si>
  <si>
    <t>gid://shopify/InventoryItem/55500845547847</t>
  </si>
  <si>
    <t>Laptop_Cover_26X37_STRIPES_LIME_PINK</t>
  </si>
  <si>
    <t>laptop-cover-stripes-mustard-rose</t>
  </si>
  <si>
    <t>LAPTOP COVER RED</t>
  </si>
  <si>
    <t>gid://shopify/Product/10795763630407</t>
  </si>
  <si>
    <t>gid://shopify/ProductVariant/53909680849223</t>
  </si>
  <si>
    <t>gid://shopify/InventoryItem/55500845744455</t>
  </si>
  <si>
    <t>Laptop_Cover_26X37_STRIPES_RED</t>
  </si>
  <si>
    <t>laptop-cover-stripes-reed</t>
  </si>
  <si>
    <t>LEA BAG BLACK COCCO</t>
  </si>
  <si>
    <t>gid://shopify/Product/10606557659463</t>
  </si>
  <si>
    <t>gid://shopify/ProductVariant/53147874820423</t>
  </si>
  <si>
    <t>gid://shopify/InventoryItem/54729895018823</t>
  </si>
  <si>
    <t>lea-bag-cocco-black</t>
  </si>
  <si>
    <t>LEA BAG BLACK PONY</t>
  </si>
  <si>
    <t>gid://shopify/Product/10606560084295</t>
  </si>
  <si>
    <t>gid://shopify/ProductVariant/53147885240647</t>
  </si>
  <si>
    <t>gid://shopify/InventoryItem/54729905275207</t>
  </si>
  <si>
    <t>lea-bag-black</t>
  </si>
  <si>
    <t>LEA BAG COCCO BEIGE</t>
  </si>
  <si>
    <t>gid://shopify/Product/10801084105031</t>
  </si>
  <si>
    <t>gid://shopify/ProductVariant/53934512570695</t>
  </si>
  <si>
    <t>gid://shopify/InventoryItem/55525765316935</t>
  </si>
  <si>
    <t>lea-bag-cocco-beige</t>
  </si>
  <si>
    <t>LEA BAG COCCO GREEN</t>
  </si>
  <si>
    <t>gid://shopify/Product/10801085153607</t>
  </si>
  <si>
    <t>gid://shopify/ProductVariant/53934518534471</t>
  </si>
  <si>
    <t>gid://shopify/InventoryItem/55525771280711</t>
  </si>
  <si>
    <t>lea-bag-cocco-green</t>
  </si>
  <si>
    <t>LEA BAG COCCO PINK</t>
  </si>
  <si>
    <t>gid://shopify/Product/10801084989767</t>
  </si>
  <si>
    <t>gid://shopify/ProductVariant/53934518272327</t>
  </si>
  <si>
    <t>gid://shopify/InventoryItem/55525771018567</t>
  </si>
  <si>
    <t>lea-bag-cocco-pink</t>
  </si>
  <si>
    <t>LEA BAG COCCO PURPLE</t>
  </si>
  <si>
    <t>gid://shopify/Product/10801084629319</t>
  </si>
  <si>
    <t>gid://shopify/ProductVariant/53934515290439</t>
  </si>
  <si>
    <t>gid://shopify/InventoryItem/55525768036679</t>
  </si>
  <si>
    <t>lea-bag-cocco-purple</t>
  </si>
  <si>
    <t>LEA BAG DARK ZEBRA PONY</t>
  </si>
  <si>
    <t>gid://shopify/Product/10606554874183</t>
  </si>
  <si>
    <t>gid://shopify/ProductVariant/53147865547079</t>
  </si>
  <si>
    <t>gid://shopify/InventoryItem/54729885909319</t>
  </si>
  <si>
    <t>lea-bag-dark-zebra-1</t>
  </si>
  <si>
    <t>LEA BAG LIGHT BROWN PONY</t>
  </si>
  <si>
    <t>gid://shopify/Product/10606560641351</t>
  </si>
  <si>
    <t>gid://shopify/ProductVariant/53147885994311</t>
  </si>
  <si>
    <t>gid://shopify/InventoryItem/54729905996103</t>
  </si>
  <si>
    <t>lea-bag-marron-chocolate</t>
  </si>
  <si>
    <t>LEA BAG MAXI COCCO BLACK</t>
  </si>
  <si>
    <t>gid://shopify/Product/10695941652807</t>
  </si>
  <si>
    <t>gid://shopify/ProductVariant/53495138058567</t>
  </si>
  <si>
    <t>gid://shopify/InventoryItem/55079187611975</t>
  </si>
  <si>
    <t>lea-bag-maxi-cocco-black</t>
  </si>
  <si>
    <t>LEA BAG MAXI COCCO CHOCOLATE</t>
  </si>
  <si>
    <t>gid://shopify/Product/10801081811271</t>
  </si>
  <si>
    <t>gid://shopify/ProductVariant/53934503297351</t>
  </si>
  <si>
    <t>gid://shopify/InventoryItem/55525756043591</t>
  </si>
  <si>
    <t>lea-bag-maxi-cocco-chocolate</t>
  </si>
  <si>
    <t>LEA BAG MAXI SUEDE CHOCOLATE</t>
  </si>
  <si>
    <t>gid://shopify/Product/10695954596167</t>
  </si>
  <si>
    <t>gid://shopify/ProductVariant/53495186784583</t>
  </si>
  <si>
    <t>gid://shopify/InventoryItem/55079238041927</t>
  </si>
  <si>
    <t>lea-bag-maxi-suede-chocolate</t>
  </si>
  <si>
    <t>LEA BAG MAXI SUEDE CHOCOLATE CHARM</t>
  </si>
  <si>
    <t>gid://shopify/Product/10695962362183</t>
  </si>
  <si>
    <t>gid://shopify/ProductVariant/53495234134343</t>
  </si>
  <si>
    <t>gid://shopify/InventoryItem/55079286309191</t>
  </si>
  <si>
    <t>lea-bag-maxi-suede-chocolate-charm</t>
  </si>
  <si>
    <t>LEA BAG RED PATENT</t>
  </si>
  <si>
    <t>gid://shopify/Product/10606559625543</t>
  </si>
  <si>
    <t>gid://shopify/ProductVariant/53147884519751</t>
  </si>
  <si>
    <t>gid://shopify/InventoryItem/54729904685383</t>
  </si>
  <si>
    <t>lea-bag-vernice-rosso</t>
  </si>
  <si>
    <t>LEA BAG SAVANA LEOPARD PONY</t>
  </si>
  <si>
    <t>gid://shopify/Product/10606560674119</t>
  </si>
  <si>
    <t>gid://shopify/ProductVariant/53147886027079</t>
  </si>
  <si>
    <t>gid://shopify/InventoryItem/54729906028871</t>
  </si>
  <si>
    <t>lea-bag-leopardo</t>
  </si>
  <si>
    <t>LEA BAG VERNICE PURPLE PATENT</t>
  </si>
  <si>
    <t>gid://shopify/Product/10606559035719</t>
  </si>
  <si>
    <t>gid://shopify/ProductVariant/53147880587591</t>
  </si>
  <si>
    <t>gid://shopify/InventoryItem/54729900753223</t>
  </si>
  <si>
    <t>lea-bag-vernice-viola-malva</t>
  </si>
  <si>
    <t>MARIA BAG BLACK PIERCING</t>
  </si>
  <si>
    <t>gid://shopify/Product/10868713947463</t>
  </si>
  <si>
    <t>gid://shopify/ProductVariant/54213275517255</t>
  </si>
  <si>
    <t>gid://shopify/InventoryItem/55808339050823</t>
  </si>
  <si>
    <t>Maria_Bag_BLACK_PIERCING</t>
  </si>
  <si>
    <t>maria-bag-black-piercing</t>
  </si>
  <si>
    <t>MARIA BAG BURRO PIERCING</t>
  </si>
  <si>
    <t>gid://shopify/Product/10801086366023</t>
  </si>
  <si>
    <t>gid://shopify/ProductVariant/53934519648583</t>
  </si>
  <si>
    <t>gid://shopify/InventoryItem/55525772394823</t>
  </si>
  <si>
    <t>maria-bag-burro-piercing</t>
  </si>
  <si>
    <t>MARIA BAG GREEN PIERCING</t>
  </si>
  <si>
    <t>gid://shopify/Product/10868713619783</t>
  </si>
  <si>
    <t>gid://shopify/ProductVariant/54213275091271</t>
  </si>
  <si>
    <t>gid://shopify/InventoryItem/55808338624839</t>
  </si>
  <si>
    <t>Maria_Bag_GREEN_PIERCING</t>
  </si>
  <si>
    <t>maria-bag-green-piercing</t>
  </si>
  <si>
    <t>MARIA BAG ICE BLUE PIERCING</t>
  </si>
  <si>
    <t>gid://shopify/Product/10868713849159</t>
  </si>
  <si>
    <t>gid://shopify/ProductVariant/54213275418951</t>
  </si>
  <si>
    <t>gid://shopify/InventoryItem/55808338952519</t>
  </si>
  <si>
    <t>Maria_Bag_ICE_BLUE_PIERCING</t>
  </si>
  <si>
    <t>maria-bag-ice-blue-piercing</t>
  </si>
  <si>
    <t>MARIA BAG RED PIERCING</t>
  </si>
  <si>
    <t>gid://shopify/Product/10655260410183</t>
  </si>
  <si>
    <t>gid://shopify/ProductVariant/53347013067079</t>
  </si>
  <si>
    <t>gid://shopify/InventoryItem/54930251317575</t>
  </si>
  <si>
    <t>maria-bag-bordeaux</t>
  </si>
  <si>
    <t>MINI CASE CANDY PINK</t>
  </si>
  <si>
    <t>gid://shopify/Product/10795764351303</t>
  </si>
  <si>
    <t>gid://shopify/ProductVariant/53909682323783</t>
  </si>
  <si>
    <t>gid://shopify/InventoryItem/55500847219015</t>
  </si>
  <si>
    <t>Airpod_Cover_9X11_STRIPES_CANDY_PINK</t>
  </si>
  <si>
    <t>mini-case-stripes-pink-olive</t>
  </si>
  <si>
    <t>MINI CASE CHERRY PINK</t>
  </si>
  <si>
    <t>gid://shopify/Product/10795764482375</t>
  </si>
  <si>
    <t>gid://shopify/ProductVariant/53909682422087</t>
  </si>
  <si>
    <t>gid://shopify/InventoryItem/55500847317319</t>
  </si>
  <si>
    <t>mini-case-checks-cherry-pink</t>
  </si>
  <si>
    <t>MINI CASE FOREST GREEN</t>
  </si>
  <si>
    <t>gid://shopify/Product/10795764613447</t>
  </si>
  <si>
    <t>gid://shopify/ProductVariant/53909682553159</t>
  </si>
  <si>
    <t>gid://shopify/InventoryItem/55500847448391</t>
  </si>
  <si>
    <t>Airpod_Cover_9X11_CHECKS_FOREST_GREEN</t>
  </si>
  <si>
    <t>mini-case-checks-olive-cream</t>
  </si>
  <si>
    <t>MINI CASE LIGHT BLUE</t>
  </si>
  <si>
    <t>gid://shopify/Product/10795764449607</t>
  </si>
  <si>
    <t>gid://shopify/ProductVariant/53909682389319</t>
  </si>
  <si>
    <t>gid://shopify/InventoryItem/55500847284551</t>
  </si>
  <si>
    <t>Airpod_Cover_9X11_STRIPES_LIGHT_BLUE</t>
  </si>
  <si>
    <t>mini-case-stripes-azure-red</t>
  </si>
  <si>
    <t>MINI CASE LIME PINK</t>
  </si>
  <si>
    <t>gid://shopify/Product/10795764285767</t>
  </si>
  <si>
    <t>gid://shopify/ProductVariant/53909682258247</t>
  </si>
  <si>
    <t>gid://shopify/InventoryItem/55500847153479</t>
  </si>
  <si>
    <t>Airpod_Cover_9X11_STRIPES_LIME_PINK</t>
  </si>
  <si>
    <t>mini-case-stripes-mustard-rose</t>
  </si>
  <si>
    <t>MINI CASE RED</t>
  </si>
  <si>
    <t>gid://shopify/Product/10795764384071</t>
  </si>
  <si>
    <t>gid://shopify/ProductVariant/53909682356551</t>
  </si>
  <si>
    <t>gid://shopify/InventoryItem/55500847251783</t>
  </si>
  <si>
    <t>Airpod_Cover_9X11_STRIPES_RED</t>
  </si>
  <si>
    <t>mini-case-stripes-reed</t>
  </si>
  <si>
    <t>NINA BAG CHECKS NAVY BLUE</t>
  </si>
  <si>
    <t>gid://shopify/Product/10606555234631</t>
  </si>
  <si>
    <t>gid://shopify/ProductVariant/53147866169671</t>
  </si>
  <si>
    <t>gid://shopify/InventoryItem/54729886564679</t>
  </si>
  <si>
    <t>nina-bag-checks-navy-blue</t>
  </si>
  <si>
    <t>NINA BAG ICE</t>
  </si>
  <si>
    <t>gid://shopify/Product/10795765760327</t>
  </si>
  <si>
    <t>gid://shopify/ProductVariant/53909684617543</t>
  </si>
  <si>
    <t>gid://shopify/InventoryItem/55500849512775</t>
  </si>
  <si>
    <t>nina-bag-stripes-ice-green</t>
  </si>
  <si>
    <t>NINA BAG JUNGLE GREEN</t>
  </si>
  <si>
    <t>gid://shopify/Product/10795765858631</t>
  </si>
  <si>
    <t>gid://shopify/ProductVariant/53909684715847</t>
  </si>
  <si>
    <t>gid://shopify/InventoryItem/55500849611079</t>
  </si>
  <si>
    <t>nina-bag-stripes-jungle-green</t>
  </si>
  <si>
    <t>NINA BAG LIGHT BLUE</t>
  </si>
  <si>
    <t>gid://shopify/Product/10795765825863</t>
  </si>
  <si>
    <t>gid://shopify/ProductVariant/53909684683079</t>
  </si>
  <si>
    <t>gid://shopify/InventoryItem/55500849578311</t>
  </si>
  <si>
    <t>nina-bag-stripes-azure-red</t>
  </si>
  <si>
    <t>NINA BAG MAXI CHECK ORANGE</t>
  </si>
  <si>
    <t>gid://shopify/Product/10795766481223</t>
  </si>
  <si>
    <t>gid://shopify/ProductVariant/53909686124871</t>
  </si>
  <si>
    <t>gid://shopify/InventoryItem/55500851020103</t>
  </si>
  <si>
    <t>nina-bag-maxi-checks-cherry-yellow</t>
  </si>
  <si>
    <t>NINA BAG MAXI ICE</t>
  </si>
  <si>
    <t>gid://shopify/Product/10795766120775</t>
  </si>
  <si>
    <t>gid://shopify/ProductVariant/53909685502279</t>
  </si>
  <si>
    <t>gid://shopify/InventoryItem/55500850397511</t>
  </si>
  <si>
    <t>nina-bag-maxi-stripes-ice-green</t>
  </si>
  <si>
    <t>NINA BAG MAXI JUNGLE GREEN</t>
  </si>
  <si>
    <t>gid://shopify/Product/10795766415687</t>
  </si>
  <si>
    <t>gid://shopify/ProductVariant/53909685862727</t>
  </si>
  <si>
    <t>gid://shopify/InventoryItem/55500850757959</t>
  </si>
  <si>
    <t>nina-bag-maxi-stripes-jungle-green</t>
  </si>
  <si>
    <t>NINA BAG MAXI LIGHT BLUE</t>
  </si>
  <si>
    <t>gid://shopify/Product/10795766317383</t>
  </si>
  <si>
    <t>gid://shopify/ProductVariant/53909685731655</t>
  </si>
  <si>
    <t>gid://shopify/InventoryItem/55500850626887</t>
  </si>
  <si>
    <t>nina-bag-maxi-stripes-azure-red</t>
  </si>
  <si>
    <t>NINA BAG MAXI ORANGE</t>
  </si>
  <si>
    <t>gid://shopify/Product/10795766219079</t>
  </si>
  <si>
    <t>gid://shopify/ProductVariant/53909685567815</t>
  </si>
  <si>
    <t>gid://shopify/InventoryItem/55500850463047</t>
  </si>
  <si>
    <t>nina-bag-maxi-stripes-orange-red</t>
  </si>
  <si>
    <t>NINA BAG MAXI RED</t>
  </si>
  <si>
    <t>gid://shopify/Product/10795766448455</t>
  </si>
  <si>
    <t>gid://shopify/ProductVariant/53909685895495</t>
  </si>
  <si>
    <t>gid://shopify/InventoryItem/55500850790727</t>
  </si>
  <si>
    <t>nina-bag-maxi-stripes-reed</t>
  </si>
  <si>
    <t>NINA BAG ORANGE</t>
  </si>
  <si>
    <t>gid://shopify/Product/10795765793095</t>
  </si>
  <si>
    <t>gid://shopify/ProductVariant/53909684650311</t>
  </si>
  <si>
    <t>gid://shopify/InventoryItem/55500849545543</t>
  </si>
  <si>
    <t>nina-bag-stripes-orange-red</t>
  </si>
  <si>
    <t>NINA BAG PETROL BLUE</t>
  </si>
  <si>
    <t>gid://shopify/Product/10606555201863</t>
  </si>
  <si>
    <t>gid://shopify/ProductVariant/53147866136903</t>
  </si>
  <si>
    <t>gid://shopify/InventoryItem/54729886531911</t>
  </si>
  <si>
    <t>nina-bag-stripes-petrol-blue</t>
  </si>
  <si>
    <t>NINA BAG POIS BLUE</t>
  </si>
  <si>
    <t>gid://shopify/Product/10795765891399</t>
  </si>
  <si>
    <t>gid://shopify/ProductVariant/53909684748615</t>
  </si>
  <si>
    <t>gid://shopify/InventoryItem/55500849643847</t>
  </si>
  <si>
    <t>nina-bag-pois</t>
  </si>
  <si>
    <t>NINA BAG STRIPES MINT</t>
  </si>
  <si>
    <t>gid://shopify/Product/10606555365703</t>
  </si>
  <si>
    <t>gid://shopify/ProductVariant/53147866333511</t>
  </si>
  <si>
    <t>gid://shopify/InventoryItem/54729886728519</t>
  </si>
  <si>
    <t>nina-bag-stripes-emerald-green</t>
  </si>
  <si>
    <t>NINA BAG STRIPES PEACH</t>
  </si>
  <si>
    <t>gid://shopify/Product/10606555267399</t>
  </si>
  <si>
    <t>gid://shopify/ProductVariant/53147866202439</t>
  </si>
  <si>
    <t>gid://shopify/InventoryItem/54729886597447</t>
  </si>
  <si>
    <t>nina-bag-stripes-peach</t>
  </si>
  <si>
    <t>NINA BAG STRIPES STRAWBERRY</t>
  </si>
  <si>
    <t>gid://shopify/Product/10606555332935</t>
  </si>
  <si>
    <t>gid://shopify/ProductVariant/53147866300743</t>
  </si>
  <si>
    <t>gid://shopify/InventoryItem/54729886695751</t>
  </si>
  <si>
    <t>nina-bag-stripes-fucsia-pink</t>
  </si>
  <si>
    <t>SUNGLASS COVER CANDY PINK</t>
  </si>
  <si>
    <t>gid://shopify/Product/10795762909511</t>
  </si>
  <si>
    <t>gid://shopify/ProductVariant/53909679767879</t>
  </si>
  <si>
    <t>gid://shopify/InventoryItem/55500844663111</t>
  </si>
  <si>
    <t>Sunglass_Cover_18X9_STRIPES_CANDY_PINK</t>
  </si>
  <si>
    <t>sunglass-cover-stripes-pink-olive</t>
  </si>
  <si>
    <t>SUNGLASS COVER CHERRY PINK</t>
  </si>
  <si>
    <t>gid://shopify/Product/10795763007815</t>
  </si>
  <si>
    <t>gid://shopify/ProductVariant/53909679898951</t>
  </si>
  <si>
    <t>gid://shopify/InventoryItem/55500844794183</t>
  </si>
  <si>
    <t>sunglass-cover-checks-cherry-pink</t>
  </si>
  <si>
    <t>SUNGLASS COVER FOREST GREEN</t>
  </si>
  <si>
    <t>gid://shopify/Product/10795763040583</t>
  </si>
  <si>
    <t>gid://shopify/ProductVariant/53909679931719</t>
  </si>
  <si>
    <t>gid://shopify/InventoryItem/55500844826951</t>
  </si>
  <si>
    <t>Sunglass_Cover_18X9_CHECKS_FOREST_GREEN</t>
  </si>
  <si>
    <t>sunglass-cover-checks-olive-cream</t>
  </si>
  <si>
    <t>SUNGLASS COVER LIGHT BLUE</t>
  </si>
  <si>
    <t>gid://shopify/Product/10795762975047</t>
  </si>
  <si>
    <t>gid://shopify/ProductVariant/53909679866183</t>
  </si>
  <si>
    <t>gid://shopify/InventoryItem/55500844761415</t>
  </si>
  <si>
    <t>Sunglass_Cover_18X9_STRIPES_LIGHT_BLUE</t>
  </si>
  <si>
    <t>sunglass-cover-stripes-azure-red</t>
  </si>
  <si>
    <t>SUNGLASS COVER LIME PINK</t>
  </si>
  <si>
    <t>gid://shopify/Product/10795746787655</t>
  </si>
  <si>
    <t>gid://shopify/ProductVariant/53909655519559</t>
  </si>
  <si>
    <t>gid://shopify/InventoryItem/55500820316487</t>
  </si>
  <si>
    <t>Sunglass_Cover_18X9_STRIPES_LIME_PINK</t>
  </si>
  <si>
    <t>sunglass-cover-stripes-mustard-rose</t>
  </si>
  <si>
    <t>SUNGLASS COVER RED</t>
  </si>
  <si>
    <t>gid://shopify/Product/10795762942279</t>
  </si>
  <si>
    <t>gid://shopify/ProductVariant/53909679833415</t>
  </si>
  <si>
    <t>gid://shopify/InventoryItem/55500844728647</t>
  </si>
  <si>
    <t>Sunglass_Cover_18X9_STRIPES_RED</t>
  </si>
  <si>
    <t>sunglass-cover-stripes-reed</t>
  </si>
  <si>
    <t>Tiger Charm Chain</t>
  </si>
  <si>
    <t>gid://shopify/Product/10696479146311</t>
  </si>
  <si>
    <t>gid://shopify/ProductVariant/53497326764359</t>
  </si>
  <si>
    <t>gid://shopify/InventoryItem/55081492644167</t>
  </si>
  <si>
    <t>CHAIN_TIGER</t>
  </si>
  <si>
    <t>tiger-charm-chain</t>
  </si>
  <si>
    <t>VALENTINA BAG CHOCOLATE</t>
  </si>
  <si>
    <t>gid://shopify/Product/10606557757767</t>
  </si>
  <si>
    <t>gid://shopify/ProductVariant/53147874951495</t>
  </si>
  <si>
    <t>gid://shopify/InventoryItem/54729895117127</t>
  </si>
  <si>
    <t>valentina-bag-brown</t>
  </si>
  <si>
    <t>VALENTINA BAG COCCO BLACK</t>
  </si>
  <si>
    <t>gid://shopify/Product/10745057313095</t>
  </si>
  <si>
    <t>gid://shopify/ProductVariant/53697477574983</t>
  </si>
  <si>
    <t>gid://shopify/InventoryItem/55286463627591</t>
  </si>
  <si>
    <t>valentina-bag-cocco-black</t>
  </si>
  <si>
    <t>VALENTINA BAG GREEN MILITARY</t>
  </si>
  <si>
    <t>gid://shopify/Product/10745072714055</t>
  </si>
  <si>
    <t>gid://shopify/ProductVariant/53697542127943</t>
  </si>
  <si>
    <t>gid://shopify/InventoryItem/55286537781575</t>
  </si>
  <si>
    <t>valentina-bag-green-military</t>
  </si>
  <si>
    <t>VALENTINA BAG RED</t>
  </si>
  <si>
    <t>gid://shopify/Product/10606561296711</t>
  </si>
  <si>
    <t>gid://shopify/ProductVariant/53147888222535</t>
  </si>
  <si>
    <t>gid://shopify/InventoryItem/54729908191559</t>
  </si>
  <si>
    <t>valentina-bag</t>
  </si>
  <si>
    <t>Bag</t>
  </si>
  <si>
    <t>BUILD_MAP_V2</t>
  </si>
  <si>
    <t>VARIANT_SYNC_V2 built: 23 bags, 0 senza CODICE risolto</t>
  </si>
  <si>
    <t>SIMULATE</t>
  </si>
  <si>
    <t>AGATA BAG FLORAL BORDEAUX EMBROIDERY</t>
  </si>
  <si>
    <t>1 -&gt; 2 (Agata_Bag_FLORAL_BORDEAUX_EMBROIDERY)</t>
  </si>
  <si>
    <t>AGATA BAG FLORAL DUSTY PINK EMBROIDERY</t>
  </si>
  <si>
    <t>3 -&gt; 5 (Agata_Bag_FLORAL_DUSTY_PINK_EMBROIDERY)</t>
  </si>
  <si>
    <t>AGATA BAG FLORAL GREEN EMBROIDERY</t>
  </si>
  <si>
    <t>0 -&gt; 1 (Agata_Bag_FLORAL_GREEN_EMBROIDERY)</t>
  </si>
  <si>
    <t>SKIP_NOT_IN_INV</t>
  </si>
  <si>
    <t>AGATA BAG FLORAL ORANGE EMBROIDERY</t>
  </si>
  <si>
    <t>CODICE Agata_Bag_floral_orange_embroidery assente in INVENTARIO</t>
  </si>
  <si>
    <t>CLAMP_NEG</t>
  </si>
  <si>
    <t>AGATA BAG FLORAL PINK EMBROIDERY</t>
  </si>
  <si>
    <t>INVENTARIO -2 -&gt; 0 (Agata_Bag_FLORAL_PINK_EMBROIDERY)</t>
  </si>
  <si>
    <t>AGATA BAG PAILLETTES PINK</t>
  </si>
  <si>
    <t>1 -&gt; 9 (Agata_Bag_PAILLETTES_PINK)</t>
  </si>
  <si>
    <t>AGATA BAG ROSE PINK</t>
  </si>
  <si>
    <t>1 -&gt; 3 (Agata_Bag_ROSE_PINK)</t>
  </si>
  <si>
    <t>AGATA BAG TIE DYE PINK</t>
  </si>
  <si>
    <t>3 -&gt; 4 (Agata_Bag_TIE_DYE_PINK)</t>
  </si>
  <si>
    <t>ANNIE BAG BLUE</t>
  </si>
  <si>
    <t>1 -&gt; 7 (Annie_Bag_BLUE)</t>
  </si>
  <si>
    <t>ANNIE BAG LILAC</t>
  </si>
  <si>
    <t>CODICE Annie_Bag_LILAC assente in INVENTARIO</t>
  </si>
  <si>
    <t>ANNIE BAG PAILLETTES LIGHT BLUE</t>
  </si>
  <si>
    <t>0 -&gt; 5 (Annie_Bag_PAILLETTES_LIGHT_BLUE)</t>
  </si>
  <si>
    <t>ANNIE BAG PAILLETTES LIGHT GREEN</t>
  </si>
  <si>
    <t>0 -&gt; 1 (Annie_Bag_PAILLETTES_LIGHT_GREEN)</t>
  </si>
  <si>
    <t>ANNIE BAG PAILLETTES NUDE</t>
  </si>
  <si>
    <t>INVENTARIO -3 -&gt; 0 (Annie_Bag_PAILLETTES_NUDE)</t>
  </si>
  <si>
    <t>ANNIE BAG PAILLETTES PINK</t>
  </si>
  <si>
    <t>0 -&gt; 8 (Annie_Bag_PAILLETTES_PINK)</t>
  </si>
  <si>
    <t>ANNIE BAG PAILLETTES PURPLE</t>
  </si>
  <si>
    <t>5 -&gt; 10 (Annie_Bag_PAILLETTES_PURPLE)</t>
  </si>
  <si>
    <t>ANNIE BAG PEARL GREY</t>
  </si>
  <si>
    <t>0 -&gt; 1 (Annie_Bag_PEARL_GREY)</t>
  </si>
  <si>
    <t>ANNIE BAG PINK</t>
  </si>
  <si>
    <t>INVENTARIO -2 -&gt; 0 (Annie_Bag_PINK)</t>
  </si>
  <si>
    <t>BIG_DROP_SKIPPED</t>
  </si>
  <si>
    <t>attuale 2 -&gt; gestionale 0 (safe mode: NON abbassato, rivedi)</t>
  </si>
  <si>
    <t>ANNIE BAG STRIPES PINK</t>
  </si>
  <si>
    <t>CODICE Annie_Bag_STRIPES_PINK assente in INVENTARIO</t>
  </si>
  <si>
    <t>RECONCILE_DONE</t>
  </si>
  <si>
    <t>[DRY-RUN] reconcile V2 — simulate=12, noop=7, skip=3, flagged=1, errors=0</t>
  </si>
  <si>
    <t>FLAG_VERIFICA2</t>
  </si>
  <si>
    <t>gestionale 2 -&gt; sito 1 (Agata_Bag_FLORAL_BORDEAUX_EMBROIDERY)</t>
  </si>
  <si>
    <t>AGATA BAG FLORAL GREY</t>
  </si>
  <si>
    <t>gestionale 2 -&gt; sito 1 (Agata_Bag_FLORAL_GREY)</t>
  </si>
  <si>
    <t>FLAG_NEGATIVO</t>
  </si>
  <si>
    <t>gestionale -2 -&gt; sito 0 (Agata_Bag_FLORAL_PINK_EMBROIDERY)</t>
  </si>
  <si>
    <t>CHANGE_SKIPPED</t>
  </si>
  <si>
    <t>sito 1 -&gt; 7 (delta 6) — safe-mode: NON applicato, rivedi</t>
  </si>
  <si>
    <t>AGATA BAG ROSE BLUE</t>
  </si>
  <si>
    <t>gestionale 2 -&gt; sito 1 (Agata_Bag_ROSE_BLUE)</t>
  </si>
  <si>
    <t>SET</t>
  </si>
  <si>
    <t>2 -&gt; 1</t>
  </si>
  <si>
    <t>AGATA BAG ROSE BUTTER</t>
  </si>
  <si>
    <t>gestionale 2 -&gt; sito 1 (Agata_Bag_ROSE_BUTTER)</t>
  </si>
  <si>
    <t>AGATA BAG ROSE BUTTER GREEN</t>
  </si>
  <si>
    <t>5 -&gt; 3</t>
  </si>
  <si>
    <t>3 -&gt; 2</t>
  </si>
  <si>
    <t>sito 1 -&gt; 5 (delta 4) — safe-mode: NON applicato, rivedi</t>
  </si>
  <si>
    <t>sito 0 -&gt; 3 (delta 3) — safe-mode: NON applicato, rivedi</t>
  </si>
  <si>
    <t>gestionale -3 -&gt; sito 0 (Annie_Bag_PAILLETTES_NUDE)</t>
  </si>
  <si>
    <t>sito 0 -&gt; 6 (delta 6) — safe-mode: NON applicato, rivedi</t>
  </si>
  <si>
    <t>sito 5 -&gt; 8 (delta 3) — safe-mode: NON applicato, rivedi</t>
  </si>
  <si>
    <t>gestionale -2 -&gt; sito 0 (Annie_Bag_PINK)</t>
  </si>
  <si>
    <t>sito 2 -&gt; 0 (gestionale NEGATIVO) — safe-mode: NON applicato, rivedi</t>
  </si>
  <si>
    <t>[APPLY] reconcile V2 — set=4, noop=10, skip=3, flagged=6, errors=0</t>
  </si>
  <si>
    <t>[APPLY] reconcile V2 — set=0, noop=14, skip=3, flagged=6, errors=0</t>
  </si>
  <si>
    <t>1 -&gt; 0</t>
  </si>
  <si>
    <t>gestionale 2 -&gt; sito 1 (Agata_Bag_ROSE_PINK)</t>
  </si>
  <si>
    <t>[APPLY] reconcile V2 — set=2, noop=12, skip=3, flagged=6, errors=0</t>
  </si>
  <si>
    <t>ANOMALY_REPORT</t>
  </si>
  <si>
    <t>unresolved=0 notInInv=3 neg=3 drift=6</t>
  </si>
  <si>
    <t>[APPLY] reconcile V2 — set=2, noop=14, skip=3, flagged=4, errors=0</t>
  </si>
  <si>
    <t>[APPLY] reconcile V2 — set=0, noop=16, skip=3, flagged=4, errors=0</t>
  </si>
  <si>
    <t>CODICE Agata_Bag_FLORAL_BORDEAUX_EMBROIDERY assente in INVENTARIO</t>
  </si>
  <si>
    <t>CODICE Agata_Bag_FLORAL_DUSTY_PINK_EMBROIDERY assente in INVENTARIO</t>
  </si>
  <si>
    <t>CODICE Agata_Bag_FLORAL_GREEN_EMBROIDERY assente in INVENTARIO</t>
  </si>
  <si>
    <t>CODICE Agata_Bag_FLORAL_GREY assente in INVENTARIO</t>
  </si>
  <si>
    <t>CODICE Agata_Bag_FLORAL_PINK_EMBROIDERY assente in INVENTARIO</t>
  </si>
  <si>
    <t>CODICE Agata_Bag_PAILLETTES_PINK assente in INVENTARIO</t>
  </si>
  <si>
    <t>CODICE Agata_Bag_ROSE_BLUE assente in INVENTARIO</t>
  </si>
  <si>
    <t>CODICE Agata_Bag_ROSE_BUTTER assente in INVENTARIO</t>
  </si>
  <si>
    <t>CODICE Agata_Bag_ROSE_BUTTER_GREEN assente in INVENTARIO</t>
  </si>
  <si>
    <t>CODICE Agata_Bag_ROSE_PINK assente in INVENTARIO</t>
  </si>
  <si>
    <t>AGATA BAG TIE DYE ORANGE</t>
  </si>
  <si>
    <t>CODICE Agata_Bag_TIE_DYE_ORANGE assente in INVENTARIO</t>
  </si>
  <si>
    <t>CODICE Agata_Bag_TIE_DYE_PINK assente in INVENTARIO</t>
  </si>
  <si>
    <t>CODICE Annie_Bag_BLUE assente in INVENTARIO</t>
  </si>
  <si>
    <t>CODICE Annie_Bag_PAILLETTES_LIGHT_BLUE assente in INVENTARIO</t>
  </si>
  <si>
    <t>CODICE Annie_Bag_PAILLETTES_LIGHT_GREEN assente in INVENTARIO</t>
  </si>
  <si>
    <t>CODICE Annie_Bag_PAILLETTES_NUDE assente in INVENTARIO</t>
  </si>
  <si>
    <t>CODICE Annie_Bag_PAILLETTES_PINK assente in INVENTARIO</t>
  </si>
  <si>
    <t>CODICE Annie_Bag_PAILLETTES_PURPLE assente in INVENTARIO</t>
  </si>
  <si>
    <t>CODICE Annie_Bag_PEARL_GREY assente in INVENTARIO</t>
  </si>
  <si>
    <t>CODICE Annie_Bag_PINK assente in INVENTARIO</t>
  </si>
  <si>
    <t>[APPLY] reconcile V2 — set=0, noop=0, skip=23, flagged=0, errors=0</t>
  </si>
  <si>
    <t>2 -&gt; 4</t>
  </si>
  <si>
    <t>[APPLY] reconcile V2 — set=2, noop=15, skip=3, flagged=3, errors=0</t>
  </si>
  <si>
    <t>[APPLY] reconcile V2 — set=0, noop=17, skip=3, flagged=3, errors=0</t>
  </si>
  <si>
    <t>BUILD_MAP_CATALOG</t>
  </si>
  <si>
    <t>CATALOG_SYNC_V2 built: 68 prodotti singola variante, 0 senza CODICE, 4 in SKIP</t>
  </si>
  <si>
    <t>RECONCILE_CATALOG_DONE</t>
  </si>
  <si>
    <t>[DRY-RUN catalogo] simulate=55, noop=6, skip=7, flagged=0, errors=0</t>
  </si>
  <si>
    <t>12 -&gt; 14 [catalogo]</t>
  </si>
  <si>
    <t>15 -&gt; 17 [catalogo]</t>
  </si>
  <si>
    <t>sito 16 -&gt; 19 (delta 3) — safe-mode catalogo: NON applicato, rivedi</t>
  </si>
  <si>
    <t>sito 20 -&gt; 23 (delta 3) — safe-mode catalogo: NON applicato, rivedi</t>
  </si>
  <si>
    <t>11 -&gt; 13 [catalogo]</t>
  </si>
  <si>
    <t>sito 19 -&gt; 22 (delta 3) — safe-mode catalogo: NON applicato, rivedi</t>
  </si>
  <si>
    <t>sito 17 -&gt; 20 (delta 3) — safe-mode catalogo: NON applicato, rivedi</t>
  </si>
  <si>
    <t>16 -&gt; 18 [catalogo]</t>
  </si>
  <si>
    <t>12 -&gt; 13 [catalogo]</t>
  </si>
  <si>
    <t>9 -&gt; 7 [catalogo]</t>
  </si>
  <si>
    <t>2 -&gt; 1 [catalogo]</t>
  </si>
  <si>
    <t>7 -&gt; 5 [catalogo]</t>
  </si>
  <si>
    <t>10 -&gt; 8 [catalogo]</t>
  </si>
  <si>
    <t>LEA BAG COCCO ORANGE</t>
  </si>
  <si>
    <t>1 -&gt; 0 [catalogo]</t>
  </si>
  <si>
    <t>4 -&gt; 2 [catalogo]</t>
  </si>
  <si>
    <t>6 -&gt; 4 [catalogo]</t>
  </si>
  <si>
    <t>sito 3 -&gt; 11 (delta 8) — safe-mode catalogo: NON applicato, rivedi</t>
  </si>
  <si>
    <t>sito 10 -&gt; 7 (delta 3) — safe-mode catalogo: NON applicato, rivedi</t>
  </si>
  <si>
    <t>2 -&gt; 3 [catalogo]</t>
  </si>
  <si>
    <t>LEA BAG PONY COCCO BLACK</t>
  </si>
  <si>
    <t>5 -&gt; 3 [catalogo]</t>
  </si>
  <si>
    <t>sito 1 -&gt; 8 (delta 7) — safe-mode catalogo: NON applicato, rivedi</t>
  </si>
  <si>
    <t>8 -&gt; 7 [catalogo]</t>
  </si>
  <si>
    <t>11 -&gt; 9 [catalogo]</t>
  </si>
  <si>
    <t>2 -&gt; 4 [catalogo]</t>
  </si>
  <si>
    <t>22 -&gt; 20 [catalogo]</t>
  </si>
  <si>
    <t>11 -&gt; 12 [catalogo]</t>
  </si>
  <si>
    <t>sito 13 -&gt; 16 (delta 3) — safe-mode catalogo: NON applicato, rivedi</t>
  </si>
  <si>
    <t>20 -&gt; 22 [catalogo]</t>
  </si>
  <si>
    <t>sito 23 -&gt; 28 (delta 5) — safe-mode catalogo: NON applicato, rivedi</t>
  </si>
  <si>
    <t>7 -&gt; 6 [catalogo]</t>
  </si>
  <si>
    <t>24 -&gt; 22 [catalogo]</t>
  </si>
  <si>
    <t>sito 23 -&gt; 20 (delta 3) — safe-mode catalogo: NON applicato, rivedi</t>
  </si>
  <si>
    <t>sito 10 -&gt; 5 (delta 5) — safe-mode catalogo: NON applicato, rivedi</t>
  </si>
  <si>
    <t>sito 7 -&gt; 14 (delta 7) — safe-mode catalogo: NON applicato, rivedi</t>
  </si>
  <si>
    <t>[APPLY catalogo] set=41, noop=6, skip=7, flagged=14, errors=0</t>
  </si>
  <si>
    <t>CATALOG_ENABLED</t>
  </si>
  <si>
    <t>fase 2 attiva nel run orario</t>
  </si>
  <si>
    <t>[APPLY] reconcile V2 — set=0, noop=18, skip=3, flagged=2, errors=0</t>
  </si>
  <si>
    <t>[APPLY catalogo] set=0, noop=47, skip=7, flagged=14, errors=0</t>
  </si>
  <si>
    <t>[APPLY catalogo] set=0, noop=55, skip=7, flagged=6, errors=0</t>
  </si>
  <si>
    <t>LEA BAG TOASTED LEATHER</t>
  </si>
  <si>
    <t>3 -&gt; 1 [catalogo]</t>
  </si>
  <si>
    <t>[APPLY catalogo] set=2, noop=54, skip=6, flagged=6, errors=0</t>
  </si>
  <si>
    <t>[APPLY catalogo] set=0, noop=56, skip=6, flagged=6, errors=0</t>
  </si>
  <si>
    <t>unresolved=0 notInInv=6 neg=2 drift=8</t>
  </si>
  <si>
    <t>[APPLY catalogo] set=1, noop=56, skip=6, flagged=5, errors=0</t>
  </si>
  <si>
    <t>[APPLY catalogo] set=0, noop=57, skip=6, flagged=5, errors=0</t>
  </si>
  <si>
    <t>0 -&gt; 1 [catalogo]</t>
  </si>
  <si>
    <t>sito 2 -&gt; 11 (delta 9) — safe-mode catalogo: NON applicato, rivedi</t>
  </si>
  <si>
    <t>1 -&gt; 2</t>
  </si>
  <si>
    <t>2 -&gt; 3</t>
  </si>
  <si>
    <t>sito 1 -&gt; 6 (delta 5) — safe-mode: NON applicato, rivedi</t>
  </si>
  <si>
    <t>7 -&gt; 8</t>
  </si>
  <si>
    <t>2 -&gt; 0</t>
  </si>
  <si>
    <t>3 -&gt; 4</t>
  </si>
  <si>
    <t>[APPLY] reconcile V2 — set=10, noop=9, skip=3, flagged=1, errors=0</t>
  </si>
  <si>
    <t>4 -&gt; 5 [catalogo]</t>
  </si>
  <si>
    <t>1 -&gt; 2 [catalogo]</t>
  </si>
  <si>
    <t>sito 1 -&gt; 4 (delta 3) — safe-mode catalogo: NON applicato, rivedi</t>
  </si>
  <si>
    <t>sito 7 -&gt; 11 (delta 4) — safe-mode catalogo: NON applicato, rivedi</t>
  </si>
  <si>
    <t>sito 0 -&gt; 3 (delta 3) — safe-mode catalogo: NON applicato, rivedi</t>
  </si>
  <si>
    <t>6 -&gt; 8 [catalogo]</t>
  </si>
  <si>
    <t>[APPLY catalogo] set=6, noop=50, skip=6, flagged=6, errors=0</t>
  </si>
  <si>
    <t>[APPLY] reconcile V2 — set=0, noop=19, skip=3, flagged=1, errors=0</t>
  </si>
  <si>
    <t>CONTA_SEED</t>
  </si>
  <si>
    <t>seed conta verificata 2026-06-10: 32 date scritte su 38 CODICI; non trovati in mappa: LEA_BAG_BLUE_ELECTRIC, MARIA_BAG_RED, AGATA_BAG_FLORAL_LIGHT_BLUE, ANNIE_BAG_PAILLETTES_CANDY_PINK, ANNIE_BAG_PAILLETTES_GREY, ANNIE_BAG_BROWN</t>
  </si>
  <si>
    <t>0 -&gt; 1 [VERIFIED]</t>
  </si>
  <si>
    <t>gestionale 2 -&gt; sito 1 (Annie_Bag_PAILLETTES_LIGHT_BLUE)</t>
  </si>
  <si>
    <t>3 -&gt; 1</t>
  </si>
  <si>
    <t>8 -&gt; 7</t>
  </si>
  <si>
    <t>0 -&gt; 1</t>
  </si>
  <si>
    <t>sito 4 -&gt; 1 (delta 3) — safe-mode: NON applicato, rivedi</t>
  </si>
  <si>
    <t>[APPLY] reconcile V2 — set=8, noop=11, skip=3, flagged=1, errors=0</t>
  </si>
  <si>
    <t>7 -&gt; 8 [catalogo]</t>
  </si>
  <si>
    <t>5 -&gt; 4 [catalogo]</t>
  </si>
  <si>
    <t>0 -&gt; 1 [VERIFIED] [catalogo]</t>
  </si>
  <si>
    <t>LEA BAG KAKI GREEN PONY</t>
  </si>
  <si>
    <t>8 -&gt; 6 [catalogo]</t>
  </si>
  <si>
    <t>[APPLY catalogo] set=9, noop=51, skip=5, flagged=3, errors=0</t>
  </si>
  <si>
    <t>[APPLY] reconcile V2 — set=0, noop=20, skip=3, flagged=0, errors=0</t>
  </si>
  <si>
    <t>[APPLY catalogo] set=0, noop=60, skip=5, flagged=3, errors=0</t>
  </si>
  <si>
    <t>CONTA_EXPOSE</t>
  </si>
  <si>
    <t>1/1 -&gt; 3</t>
  </si>
  <si>
    <t>1/1 -&gt; 2</t>
  </si>
  <si>
    <t>5/5 -&gt; 7</t>
  </si>
  <si>
    <t>7/7 -&gt; 9</t>
  </si>
  <si>
    <t>8 -&gt; 10 [catalogo]</t>
  </si>
  <si>
    <t>4 -&gt; 6 [catalogo]</t>
  </si>
  <si>
    <t>1 -&gt; 3 [catalogo]</t>
  </si>
  <si>
    <t>1 -&gt; 6 [catalogo]</t>
  </si>
  <si>
    <t>8 -&gt; 9 [catalogo]</t>
  </si>
  <si>
    <t>CONTA_EXPOSE_DONE</t>
  </si>
  <si>
    <t>conta-expose: set=19, noop=9, skip=2, errors=0</t>
  </si>
  <si>
    <t>VERIFIED_HOLD</t>
  </si>
  <si>
    <t>sito 9 sotto target 10 [VERIFIED] — rialzo NON automatico (vendita in transito?), se il pezzo c'è usa conta-expose [catalogo]</t>
  </si>
  <si>
    <t>20 -&gt; 19 [catalogo]</t>
  </si>
  <si>
    <t>[APPLY catalogo] set=1, noop=59, skip=5, flagged=3, errors=0</t>
  </si>
  <si>
    <t>[APPLY catalogo] set=0, noop=61, skip=5, flagged=2, errors=0</t>
  </si>
  <si>
    <t>1 -&gt; 1 [VERIFIED]</t>
  </si>
  <si>
    <t>[APPLY] reconcile V2 — set=1, noop=19, skip=3, flagged=0, errors=0</t>
  </si>
  <si>
    <t>6 -&gt; 6 [VERIFIED]</t>
  </si>
  <si>
    <t>conta-expose: set=0, noop=28, skip=2, errors=0</t>
  </si>
  <si>
    <t>daContare=2 unresolved=0 notInInv=5 neg=2 drift=2</t>
  </si>
  <si>
    <t>sito 1/2 sotto target 2 [VERIFIED] — rialzo NON automatico (vendita in transito?), se il pezzo c'è usa conta-expose; varianti allineate a 1</t>
  </si>
  <si>
    <t>3 -&gt; 3</t>
  </si>
  <si>
    <t>13 -&gt; 14 [catalogo]</t>
  </si>
  <si>
    <t>[APPLY catalogo] set=1, noop=60, skip=5, flagged=2, errors=0</t>
  </si>
  <si>
    <t>14 -&gt; 13 [catalogo]</t>
  </si>
  <si>
    <t>sito 0/1 sotto target 1 [VERIFIED] — rialzo NON automatico (vendita in transito?), se il pezzo c'è usa conta-expose; varianti allineate a 0</t>
  </si>
  <si>
    <t>6 -&gt; 7 [catalogo]</t>
  </si>
  <si>
    <t>7 -&gt; 6 [VERIFIED] [catalogo]</t>
  </si>
  <si>
    <t>sito 6 -&gt; 13 (delta 7) — safe-mode catalogo: NON applicato, rivedi</t>
  </si>
  <si>
    <t>sito 2 sotto target 4 [VERIFIED] — rialzo NON automatico (vendita in transito?), se il pezzo c'è usa conta-expose [catalogo]</t>
  </si>
  <si>
    <t>sito 8 -&gt; 20 (delta 12) — safe-mode catalogo: NON applicato, rivedi</t>
  </si>
  <si>
    <t>[APPLY catalogo] set=0, noop=62, skip=2, flagged=4, errors=0</t>
  </si>
  <si>
    <t>18 -&gt; 17 [catalogo]</t>
  </si>
  <si>
    <t>30 -&gt; 29 [catalogo]</t>
  </si>
  <si>
    <t>[APPLY catalogo] set=3, noop=59, skip=2, flagged=4, errors=0</t>
  </si>
  <si>
    <t>sito 6 sotto target 8 [VERIFIED] — rialzo NON automatico (vendita in transito?), se il pezzo c'è usa conta-expose [catalogo]</t>
  </si>
  <si>
    <t>[APPLY catalogo] set=0, noop=61, skip=2, flagged=5, errors=0</t>
  </si>
  <si>
    <t>daContare=2 unresolved=0 notInInv=5 neg=2 drift=5</t>
  </si>
  <si>
    <t>0 -&gt; 0</t>
  </si>
  <si>
    <t>[APPLY] reconcile V2 — set=2, noop=18, skip=3, flagged=0, errors=0</t>
  </si>
  <si>
    <t>sito 2/3 sotto target 3 [VERIFIED] — rialzo NON automatico (vendita in transito?), se il pezzo c'è usa conta-expose; varianti allineate a 2</t>
  </si>
  <si>
    <t>gestionale -1 -&gt; sito 0 (Agata_Bag_FLORAL_BORDEAUX_EMBROIDERY)</t>
  </si>
  <si>
    <t>3 -&gt; 2 [VERIFIED]</t>
  </si>
  <si>
    <t>gestionale -4 -&gt; sito 0 (Annie_Bag_PAILLETTES_NUDE)</t>
  </si>
  <si>
    <t>2 -&gt; 1 [VERIFIED]</t>
  </si>
  <si>
    <t>9 -&gt; 8 [VERIFIED] [catalogo]</t>
  </si>
  <si>
    <t>sito 8 -&gt; 19 (delta 11) — safe-mode catalogo: NON applicato, rivedi</t>
  </si>
  <si>
    <t>[APPLY catalogo] set=1, noop=60, skip=2, flagged=5, errors=0</t>
  </si>
  <si>
    <t>8 -&gt; 6 [VERIFIED] [catalogo]</t>
  </si>
  <si>
    <t>5 -&gt; 4 [VERIFIED] [catalogo]</t>
  </si>
  <si>
    <t>18 -&gt; 19 [catalogo]</t>
  </si>
  <si>
    <t>sito 5/6 sotto target 6 [VERIFIED] — rialzo NON automatico (vendita in transito?), se il pezzo c'è usa conta-expose; varianti allineate a 5</t>
  </si>
  <si>
    <t>19 -&gt; 18 [catalogo]</t>
  </si>
  <si>
    <t>conta-expose __AUTHTEST_NOOP__: set=0, noop=0, skip=0, errors=0</t>
  </si>
  <si>
    <t>daContare=2 unresolved=0 notInInv=5 neg=4 drift=5</t>
  </si>
  <si>
    <t>sito 0/0 sotto target 1 [VERIFIED] — rialzo NON automatico (vendita in transito?), se il pezzo c'è usa conta-expose</t>
  </si>
  <si>
    <t>0/0 -&gt; 1</t>
  </si>
  <si>
    <t>conta-expose: set=3, noop=27, skip=2, errors=0</t>
  </si>
  <si>
    <t>conta-expose: set=0, noop=30, skip=2, errors=0</t>
  </si>
  <si>
    <t>[APPLY catalogo] set=0, noop=63, skip=2, flagged=3, errors=0</t>
  </si>
  <si>
    <t>sito 1/1 sotto target 2 [VERIFIED] — rialzo NON automatico (vendita in transito?), se il pezzo c'è usa conta-expose</t>
  </si>
  <si>
    <t>sito 0 -&gt; 8 (delta 8) — safe-mode: NON applicato, rivedi</t>
  </si>
  <si>
    <t>sito 9/9 sotto target 10 [VERIFIED] — rialzo NON automatico (vendita in transito?), se il pezzo c'è usa conta-expose</t>
  </si>
  <si>
    <t>sito 3/3 sotto target 4 [VERIFIED] — rialzo NON automatico (vendita in transito?), se il pezzo c'è usa conta-expose</t>
  </si>
  <si>
    <t>[APPLY] reconcile V2 — set=1, noop=15, skip=2, flagged=5, errors=0</t>
  </si>
  <si>
    <t>sito 8 sotto target 9 [VERIFIED] — rialzo NON automatico (vendita in transito?), se il pezzo c'è usa conta-expose [catalogo]</t>
  </si>
  <si>
    <t>sito 3 sotto target 4 [VERIFIED] — rialzo NON automatico (vendita in transito?), se il pezzo c'è usa conta-expose [catalogo]</t>
  </si>
  <si>
    <t>[APPLY catalogo] set=0, noop=60, skip=2, flagged=6, errors=0</t>
  </si>
  <si>
    <t>9/9 -&gt; 10</t>
  </si>
  <si>
    <t>3/3 -&gt; 4</t>
  </si>
  <si>
    <t>3 -&gt; 4 [catalogo]</t>
  </si>
  <si>
    <t>conta-expose: set=7, noop=24, skip=2, errors=0</t>
  </si>
  <si>
    <t>[APPLY] reconcile V2 — set=0, noop=20, skip=2, flagged=1, errors=0</t>
  </si>
  <si>
    <t>[APPLY] reconcile V2 — set=0, noop=19, skip=2, flagged=2, errors=0</t>
  </si>
  <si>
    <t>sito 4 sotto target 6 [VERIFIED] — rialzo NON automatico (vendita in transito?), se il pezzo c'è usa conta-expose [catalogo]</t>
  </si>
  <si>
    <t>daContare=1 unresolved=0 notInInv=4 neg=1 drift=5</t>
  </si>
  <si>
    <t>[APPLY] reconcile V2 — set=1, noop=20, skip=2, flagged=0, errors=0</t>
  </si>
  <si>
    <t>[APPLY] reconcile V2 — set=0, noop=21, skip=2, flagged=0, errors=0</t>
  </si>
  <si>
    <t>5 -&gt; 4 [VERIFIED]</t>
  </si>
  <si>
    <t>8 -&gt; 7 [VERIFIED] [catalogo]</t>
  </si>
  <si>
    <t>4 -&gt; 3 [VERIFIED] [catalogo]</t>
  </si>
  <si>
    <t>3 -&gt; 2 [VERIFIED] [catalogo]</t>
  </si>
  <si>
    <t>6 -&gt; 5 [VERIFIED] [catalogo]</t>
  </si>
  <si>
    <t>[APPLY catalogo] set=10, noop=52, skip=2, flagged=4, errors=0</t>
  </si>
  <si>
    <t>sito 7 sotto target 8 [VERIFIED] — rialzo NON automatico (vendita in transito?), se il pezzo c'è usa conta-expose [catalogo]</t>
  </si>
  <si>
    <t>20 -&gt; 21 [catalogo]</t>
  </si>
  <si>
    <t>[APPLY catalogo] set=1, noop=59, skip=2, flagged=6, errors=0</t>
  </si>
  <si>
    <t>7 -&gt; 7</t>
  </si>
  <si>
    <t>21 -&gt; 20 [catalogo]</t>
  </si>
  <si>
    <t>APPLIED_LARGE_UP</t>
  </si>
  <si>
    <t>8 -&gt; 19 (delta 11, restock) — auto-applicato + avviso [catalogo]</t>
  </si>
  <si>
    <t>APPLIED_LARGE_DOWN</t>
  </si>
  <si>
    <t>10 -&gt; 5 (delta 5, calo) — auto-applicato + avviso [catalogo]</t>
  </si>
  <si>
    <t>6 -&gt; 13 (delta 7, restock) — auto-applicato + avviso [catalogo]</t>
  </si>
  <si>
    <t>[APPLY catalogo] set=4, noop=60, skip=2, flagged=2, errors=0</t>
  </si>
  <si>
    <t>WARN_EMAIL_SENT</t>
  </si>
  <si>
    <t>3 cambi grossi auto-applicati, mail a info@amimi.it</t>
  </si>
  <si>
    <t>[APPLY catalogo] set=0, noop=64, skip=2, flagged=2, errors=0</t>
  </si>
  <si>
    <t>7 -&gt; 6</t>
  </si>
  <si>
    <t>NTFY_TEST_OK</t>
  </si>
  <si>
    <t>{"ok":true,"code":200} [editor]</t>
  </si>
  <si>
    <t>daContare=1 unresolved=0 notInInv=4 neg=0 drift=2</t>
  </si>
  <si>
    <t>sito 6 sotto target 7 [VERIFIED] — rialzo NON automatico (vendita in transito?), se il pezzo c'è usa conta-expose [catalogo]</t>
  </si>
  <si>
    <t>5 -&gt; 6</t>
  </si>
  <si>
    <t>6 -&gt; 5</t>
  </si>
  <si>
    <t>2 -&gt; 2 [VERIFIED]</t>
  </si>
  <si>
    <t>19 -&gt; 20 [catalogo]</t>
  </si>
  <si>
    <t>27 -&gt; 28 [catalogo]</t>
  </si>
  <si>
    <t>[APPLY catalogo] set=3, noop=61, skip=2, flagged=2, errors=0</t>
  </si>
  <si>
    <t>4 -&gt; 4</t>
  </si>
  <si>
    <t>16 -&gt; 15 [catalogo]</t>
  </si>
  <si>
    <t>12 -&gt; 11 [catalogo]</t>
  </si>
  <si>
    <t>28 -&gt; 27 [catalogo]</t>
  </si>
  <si>
    <t>VARIANT_SYNC_V2 built: 26 bags, 0 senza CODICE risolto</t>
  </si>
  <si>
    <t>ANNIE BAG BROWN SILK</t>
  </si>
  <si>
    <t>[APPLY] reconcile V2 — set=1, noop=24, skip=1, flagged=0, errors=0</t>
  </si>
  <si>
    <t>[APPLY] reconcile V2 — set=0, noop=25, skip=1, flagged=0, errors=0</t>
  </si>
  <si>
    <t>TRIGGER_BUILDMAP_INSTALL</t>
  </si>
  <si>
    <t>Trigger giornaliero buildMapV2 installato (03:00). Duplicati rimossi: 0.</t>
  </si>
  <si>
    <t>Trigger giornaliero buildMapV2 installato (03:00). Duplicati rimossi: 1.</t>
  </si>
  <si>
    <t>4 -&gt; 4 [VERIFIED]</t>
  </si>
  <si>
    <t>3 -&gt; 2 [catalogo]</t>
  </si>
  <si>
    <t>[APPLY catalogo] set=2, noop=62, skip=2, flagged=2, errors=0</t>
  </si>
  <si>
    <t>sito 5 sotto target 6 [VERIFIED] — rialzo NON automatico (vendita in transito?), se il pezzo c'è usa conta-expose [catalogo]</t>
  </si>
  <si>
    <t>sito 4/4 sotto target 6 [VERIFIED] — rialzo NON automatico (vendita in transito?), se il pezzo c'è usa conta-expose</t>
  </si>
  <si>
    <t>[APPLY] reconcile V2 — set=0, noop=24, skip=1, flagged=1, errors=0</t>
  </si>
  <si>
    <t>daContare=1 unresolved=0 notInInv=3 neg=0 drift=3</t>
  </si>
  <si>
    <t>4 -&gt; 3</t>
  </si>
  <si>
    <t>[APPLY] reconcile V2 — set=1, noop=23, skip=1, flagged=1, errors=0</t>
  </si>
  <si>
    <t>DISPONIBILI_ON</t>
  </si>
  <si>
    <t>FASE 2 attivata (one-shot da Claude Code)</t>
  </si>
  <si>
    <t>27 -&gt; 26 [catalogo]</t>
  </si>
  <si>
    <t>26 -&gt; 27 [catalogo]</t>
  </si>
  <si>
    <t>[APPLY catalogo] set=0, noop=43, skip=23, flagged=2, errors=0</t>
  </si>
  <si>
    <t>sito 3/4 sotto target 4 [VERIFIED] — rialzo NON automatico (vendita in transito?), se il pezzo c'è usa conta-expose; varianti allineate a 3</t>
  </si>
  <si>
    <t>[APPLY] reconcile V2 — set=0, noop=23, skip=1, flagged=2, errors=0</t>
  </si>
  <si>
    <t>AGATA BAG FLORAL LIGHT GREY</t>
  </si>
  <si>
    <t>[APPLY catalogo] set=2, noop=41, skip=23, flagged=2, errors=0</t>
  </si>
  <si>
    <t>27 -&gt; 25 [catalogo]</t>
  </si>
  <si>
    <t>26 -&gt; 24 [catalogo]</t>
  </si>
  <si>
    <t>daContare=1 unresolved=0 notInInv=24 neg=0 drift=3</t>
  </si>
  <si>
    <t>[APPLY catalogo] set=0, noop=42, skip=23, flagged=3, errors=0</t>
  </si>
  <si>
    <t>AGATA BAG FLORAL LIGHT BLUE</t>
  </si>
  <si>
    <t>gestionale 2 -&gt; sito 1 (Annie_Bag_BROWN)</t>
  </si>
  <si>
    <t>25 -&gt; 28 (delta 3, restock) — auto-applicato + avviso [catalogo]</t>
  </si>
  <si>
    <t>[APPLY catalogo] set=1, noop=42, skip=23, flagged=2, errors=0</t>
  </si>
  <si>
    <t>ERROR</t>
  </si>
  <si>
    <t>syncWarnFlush_ ntfy: HTTP 429</t>
  </si>
  <si>
    <t>1 -&gt; 1</t>
  </si>
  <si>
    <t>gestionale -4 -&gt; sito 0 (Agata_Bag_FLORAL_BORDEAUX_EMBROIDERY)</t>
  </si>
  <si>
    <t>sito 2 sotto target 12 [VERIFIED] — rialzo NON automatico (vendita in transito?), se il pezzo c'è usa conta-expose [catalogo]</t>
  </si>
  <si>
    <t>daContare=2 unresolved=0 notInInv=24 neg=0 drift=4</t>
  </si>
  <si>
    <t>[APPLY catalogo] set=1, noop=41, skip=23, flagged=3, errors=0</t>
  </si>
  <si>
    <t>gestionale 2 -&gt; sito 1 (Annie_Bag_PAILLETTES_NUDE)</t>
  </si>
  <si>
    <t>5 -&gt; 4</t>
  </si>
  <si>
    <t>sito 1 sotto target 11 [VERIFIED] — rialzo NON automatico (vendita in transito?), se il pezzo c'è usa conta-expose [catalogo]</t>
  </si>
  <si>
    <t>daContare=4 unresolved=0 notInInv=24 neg=0 drift=4</t>
  </si>
  <si>
    <t>[APPLY catalogo] set=0, noop=41, skip=23, flagged=4, errors=0</t>
  </si>
  <si>
    <t>[APPLY] reconcile V2 — set=3, noop=21, skip=1, flagged=1, errors=0</t>
  </si>
  <si>
    <t>10 -&gt; 9 [VERIFIED]</t>
  </si>
  <si>
    <t>sito 8/9 sotto target 9 [VERIFIED] — rialzo NON automatico (vendita in transito?), se il pezzo c'è usa conta-expose; varianti allineate a 8</t>
  </si>
  <si>
    <t>[APPLY] reconcile V2 — set=1, noop=22, skip=1, flagged=2, errors=0</t>
  </si>
  <si>
    <t>ANNIE BAG PAILLETTES CANDY PINK</t>
  </si>
  <si>
    <t>[APPLY] reconcile V2 — set=2, noop=22, skip=1, flagged=1, errors=0</t>
  </si>
  <si>
    <t>4/4 -&gt; 6</t>
  </si>
  <si>
    <t>1 -&gt; 11 [catalogo]</t>
  </si>
  <si>
    <t>conta-expose: set=3, noop=28, skip=2, errors=0</t>
  </si>
  <si>
    <t>[APPLY catalogo] set=0, noop=45, skip=23, flagged=0, errors=0</t>
  </si>
  <si>
    <t>CATALOG_SYNC_V2 built: 71 prodotti singola variante, 0 senza CODICE, 0 in SKIP</t>
  </si>
  <si>
    <t>[DRY-RUN catalogo] simulate=6, noop=64, skip=1, flagged=0, errors=0</t>
  </si>
  <si>
    <t>23 -&gt; 22 [catalogo]</t>
  </si>
  <si>
    <t>0 -&gt; 8 (delta 8, restock) — auto-applicato + avviso [catalogo]</t>
  </si>
  <si>
    <t>0 -&gt; 4 (delta 4, restock) — auto-applicato + avviso [catalogo]</t>
  </si>
  <si>
    <t>[APPLY catalogo] set=6, noop=64, skip=1, flagged=0, errors=0</t>
  </si>
  <si>
    <t>[DRY-RUN catalogo] simulate=0, noop=70, skip=1, flagged=0, errors=0</t>
  </si>
  <si>
    <t>[APPLY catalogo] set=0, noop=70, skip=1, flagged=0, errors=0</t>
  </si>
  <si>
    <t>daContare=4 unresolved=0 notInInv=2 neg=0 drift=0</t>
  </si>
  <si>
    <t>13 -&gt; 12 [catalogo]</t>
  </si>
  <si>
    <t>10 -&gt; 9 [catalogo]</t>
  </si>
  <si>
    <t>[APPLY catalogo] set=2, noop=68, skip=1, flagged=0, errors=0</t>
  </si>
  <si>
    <t>0 -&gt; 8 (delta 8, restock) — auto-applicato + avviso</t>
  </si>
  <si>
    <t>[APPLY catalogo] set=0, noop=69, skip=1, flagged=1, errors=0</t>
  </si>
  <si>
    <t>syncWarnFlush_ ntfy: Exception: Address unavailable: https://ntfy.sh</t>
  </si>
  <si>
    <t>6 -&gt; 5 [catalogo]</t>
  </si>
  <si>
    <t>[APPLY catalogo] set=1, noop=69, skip=1, flagged=0, errors=0</t>
  </si>
  <si>
    <t>gestionale 2 -&gt; sito 1 (Agata_Bag_FLORAL_LIGHT_BLUE)</t>
  </si>
  <si>
    <t>21 -&gt; 22 [catalogo]</t>
  </si>
  <si>
    <t>22 -&gt; 21 [catalogo]</t>
  </si>
  <si>
    <t>6 -&gt; 7</t>
  </si>
  <si>
    <t>4 -&gt; 3 [catalogo]</t>
  </si>
  <si>
    <t>sito 4 sotto target 5 [VERIFIED] — rialzo NON automatico (vendita in transito?), se il pezzo c'è usa conta-expose [catalogo]</t>
  </si>
  <si>
    <t>8 -&gt; 7 [VERIFIED]</t>
  </si>
  <si>
    <t>gestionale -1 -&gt; sito 0 (Annie_Bag_PAILLETTES_PINK)</t>
  </si>
  <si>
    <t>daContare=4 unresolved=0 notInInv=2 neg=1 drift=0</t>
  </si>
  <si>
    <t>17 -&gt; 18 [catalogo]</t>
  </si>
  <si>
    <t>5 -&gt; 5</t>
  </si>
  <si>
    <t>sito 1 sotto target 2 [VERIFIED] — rialzo NON automatico (vendita in transito?), se il pezzo c'è usa conta-expose [catalogo]</t>
  </si>
  <si>
    <t>[APPLY catalogo] set=1, noop=68, skip=1, flagged=1, errors=0</t>
  </si>
  <si>
    <t>sito 10 sotto target 11 [VERIFIED] — rialzo NON automatico (vendita in transito?), se il pezzo c'è usa conta-expose [catalogo]</t>
  </si>
  <si>
    <t>daContare=5 unresolved=0 notInInv=2 neg=1 drift=0</t>
  </si>
  <si>
    <t>sito 2 sotto target 3 [VERIFIED] — rialzo NON automatico (vendita in transito?), se il pezzo c'è usa conta-expose [catalogo]</t>
  </si>
  <si>
    <t>gestionale 2 -&gt; sito 1 (Agata_Bag_FLORAL_DUSTY_PINK_EMBROIDERY)</t>
  </si>
  <si>
    <t>7 -&gt; 6 [VERIFIED]</t>
  </si>
  <si>
    <t>daContare=6 unresolved=0 notInInv=2 neg=1 drift=0</t>
  </si>
  <si>
    <t>[APPLY] reconcile V2 — set=2, noop=23, skip=1, flagged=0, errors=0</t>
  </si>
  <si>
    <t>4 -&gt; 2</t>
  </si>
  <si>
    <t>sito 0/0 sotto target 5 [VERIFIED] — rialzo NON automatico (vendita in transito?), se il pezzo c'è usa conta-expose</t>
  </si>
  <si>
    <t>VARIANT_SYNC_V2 built: 27 bags, 0 senza CODICE risolto</t>
  </si>
  <si>
    <t>[APPLY] reconcile V2 — set=0, noop=26, skip=1, flagged=0, errors=0</t>
  </si>
  <si>
    <t>[APPLY] reconcile V2 — set=1, noop=25, skip=1, flagged=0, errors=0</t>
  </si>
  <si>
    <t>AGATA BAG EMBROIDERY WHITE</t>
  </si>
  <si>
    <t>5 -&gt; 3 (delta 2, calo) — auto-applicato + avviso</t>
  </si>
  <si>
    <t>[APPLY] reconcile V2 — set=2, noop=23, skip=1, flagged=1, errors=0</t>
  </si>
  <si>
    <t>[APPLY] reconcile V2 — set=0, noop=25, skip=1, flagged=1, errors=0</t>
  </si>
  <si>
    <t>CATALOG_SYNC_V2 built: 66 prodotti singola variante, 0 senza CODICE, 0 in SKIP</t>
  </si>
  <si>
    <t>[APPLY catalogo] set=0, noop=65, skip=1, flagged=0, errors=0</t>
  </si>
  <si>
    <t>daContare=6 unresolved=0 notInInv=2 neg=0 drift=0</t>
  </si>
  <si>
    <t>[APPLY catalogo] set=1, noop=64, skip=1, flagged=0, errors=0</t>
  </si>
  <si>
    <t>daContare=7 unresolved=0 notInInv=2 neg=1 drift=0</t>
  </si>
  <si>
    <t>[APPLY catalogo] set=0, noop=64, skip=1, flagged=1, errors=0</t>
  </si>
  <si>
    <t>[APPLY catalogo] set=2, noop=63, skip=1, flagged=0, errors=0</t>
  </si>
  <si>
    <t>5 -&gt; 5 [VERIFIED]</t>
  </si>
  <si>
    <t>sito 0 sotto target 10 [VERIFIED] — rialzo NON automatico (vendita in transito?), se il pezzo c'è usa conta-expose [catalogo]</t>
  </si>
  <si>
    <t>[APPLY catalogo] set=1, noop=63, skip=1, flagged=1, errors=0</t>
  </si>
  <si>
    <t>Bag_Name</t>
  </si>
  <si>
    <t>SC_Variant_ID</t>
  </si>
  <si>
    <t>SC_InventoryItem_ID</t>
  </si>
  <si>
    <t>CC_Variant_ID</t>
  </si>
  <si>
    <t>CC_InventoryItem_ID</t>
  </si>
  <si>
    <t>gid://shopify/Product/10881080983879</t>
  </si>
  <si>
    <t>gid://shopify/ProductVariant/54254925971783</t>
  </si>
  <si>
    <t>gid://shopify/InventoryItem/55850551214407</t>
  </si>
  <si>
    <t>gid://shopify/ProductVariant/54254926725447</t>
  </si>
  <si>
    <t>gid://shopify/InventoryItem/55850551968071</t>
  </si>
  <si>
    <t>Agata_Bag_EMBROIDERY_WHITE</t>
  </si>
  <si>
    <t>agata-bag-embroidery-white</t>
  </si>
  <si>
    <t>gid://shopify/Product/10606554448199</t>
  </si>
  <si>
    <t>gid://shopify/ProductVariant/53147863810375</t>
  </si>
  <si>
    <t>gid://shopify/InventoryItem/54729884205383</t>
  </si>
  <si>
    <t>gid://shopify/ProductVariant/53147863843143</t>
  </si>
  <si>
    <t>gid://shopify/InventoryItem/54729884238151</t>
  </si>
  <si>
    <t>agata-bag-floral-dusty-pink-embroidery-copia</t>
  </si>
  <si>
    <t>gid://shopify/Product/10606554480967</t>
  </si>
  <si>
    <t>gid://shopify/ProductVariant/53147863908679</t>
  </si>
  <si>
    <t>gid://shopify/InventoryItem/54729884303687</t>
  </si>
  <si>
    <t>gid://shopify/ProductVariant/53147863941447</t>
  </si>
  <si>
    <t>gid://shopify/InventoryItem/54729884336455</t>
  </si>
  <si>
    <t>agata-bag</t>
  </si>
  <si>
    <t>gid://shopify/Product/10606555595079</t>
  </si>
  <si>
    <t>gid://shopify/ProductVariant/53147866857799</t>
  </si>
  <si>
    <t>gid://shopify/InventoryItem/54729887252807</t>
  </si>
  <si>
    <t>gid://shopify/ProductVariant/53147866890567</t>
  </si>
  <si>
    <t>gid://shopify/InventoryItem/54729887285575</t>
  </si>
  <si>
    <t>agata-bag-floral-green-embroidery</t>
  </si>
  <si>
    <t>gid://shopify/Product/10842502758727</t>
  </si>
  <si>
    <t>gid://shopify/ProductVariant/54103244833095</t>
  </si>
  <si>
    <t>gid://shopify/InventoryItem/55696991617351</t>
  </si>
  <si>
    <t>gid://shopify/ProductVariant/54103244865863</t>
  </si>
  <si>
    <t>gid://shopify/InventoryItem/55696991650119</t>
  </si>
  <si>
    <t>agata-bag-floral-grey</t>
  </si>
  <si>
    <t>gid://shopify/Product/10842502725959</t>
  </si>
  <si>
    <t>gid://shopify/ProductVariant/54103244570951</t>
  </si>
  <si>
    <t>gid://shopify/InventoryItem/55696991355207</t>
  </si>
  <si>
    <t>gid://shopify/ProductVariant/54103244603719</t>
  </si>
  <si>
    <t>gid://shopify/InventoryItem/55696991387975</t>
  </si>
  <si>
    <t>agata-bag-floral-light-blue</t>
  </si>
  <si>
    <t>gid://shopify/Product/10843855749447</t>
  </si>
  <si>
    <t>gid://shopify/ProductVariant/54106970259783</t>
  </si>
  <si>
    <t>gid://shopify/InventoryItem/55700730675527</t>
  </si>
  <si>
    <t>gid://shopify/ProductVariant/54106970292551</t>
  </si>
  <si>
    <t>gid://shopify/InventoryItem/55700730708295</t>
  </si>
  <si>
    <t>agata-bag-floral-light-grey</t>
  </si>
  <si>
    <t>gid://shopify/Product/10606553268551</t>
  </si>
  <si>
    <t>gid://shopify/ProductVariant/53147861778759</t>
  </si>
  <si>
    <t>gid://shopify/InventoryItem/54729882042695</t>
  </si>
  <si>
    <t>gid://shopify/ProductVariant/53147861811527</t>
  </si>
  <si>
    <t>gid://shopify/InventoryItem/54729882075463</t>
  </si>
  <si>
    <t>Agata_Bag_floral_orange_embroidery</t>
  </si>
  <si>
    <t>agata-bag-floral-orange-embroidery</t>
  </si>
  <si>
    <t>gid://shopify/Product/10606555627847</t>
  </si>
  <si>
    <t>gid://shopify/ProductVariant/53147866956103</t>
  </si>
  <si>
    <t>gid://shopify/InventoryItem/54729887351111</t>
  </si>
  <si>
    <t>gid://shopify/ProductVariant/53147866988871</t>
  </si>
  <si>
    <t>gid://shopify/InventoryItem/54729887383879</t>
  </si>
  <si>
    <t>agata-bag-pink-pearl</t>
  </si>
  <si>
    <t>gid://shopify/Product/10819276833095</t>
  </si>
  <si>
    <t>gid://shopify/ProductVariant/54012891857223</t>
  </si>
  <si>
    <t>gid://shopify/InventoryItem/55605296103751</t>
  </si>
  <si>
    <t>gid://shopify/ProductVariant/54012891889991</t>
  </si>
  <si>
    <t>gid://shopify/InventoryItem/55605296136519</t>
  </si>
  <si>
    <t>risolto da nome base prodotto</t>
  </si>
  <si>
    <t>agata-bag-paillettes-pink</t>
  </si>
  <si>
    <t>gid://shopify/Product/10606556348743</t>
  </si>
  <si>
    <t>gid://shopify/ProductVariant/53147871543623</t>
  </si>
  <si>
    <t>gid://shopify/InventoryItem/54729891840327</t>
  </si>
  <si>
    <t>gid://shopify/ProductVariant/53147871576391</t>
  </si>
  <si>
    <t>gid://shopify/InventoryItem/54729891873095</t>
  </si>
  <si>
    <t>Agata_Bag_ROSE_BLUE</t>
  </si>
  <si>
    <t>agata-bag-rose-blue</t>
  </si>
  <si>
    <t>gid://shopify/Product/10816781156679</t>
  </si>
  <si>
    <t>gid://shopify/ProductVariant/53999357002055</t>
  </si>
  <si>
    <t>gid://shopify/InventoryItem/55591563788615</t>
  </si>
  <si>
    <t>gid://shopify/ProductVariant/53999357034823</t>
  </si>
  <si>
    <t>gid://shopify/InventoryItem/55591563821383</t>
  </si>
  <si>
    <t>agata-bag-rose-butter</t>
  </si>
  <si>
    <t>gid://shopify/Product/10842502398279</t>
  </si>
  <si>
    <t>gid://shopify/ProductVariant/54103244112199</t>
  </si>
  <si>
    <t>gid://shopify/InventoryItem/55696990896455</t>
  </si>
  <si>
    <t>gid://shopify/ProductVariant/54103244144967</t>
  </si>
  <si>
    <t>gid://shopify/InventoryItem/55696990929223</t>
  </si>
  <si>
    <t>agata-bag-rose-butter-green</t>
  </si>
  <si>
    <t>gid://shopify/Product/10606556283207</t>
  </si>
  <si>
    <t>gid://shopify/ProductVariant/53147871445319</t>
  </si>
  <si>
    <t>gid://shopify/InventoryItem/54729891742023</t>
  </si>
  <si>
    <t>gid://shopify/ProductVariant/53147871478087</t>
  </si>
  <si>
    <t>gid://shopify/InventoryItem/54729891774791</t>
  </si>
  <si>
    <t>agata-bag-rose-pink</t>
  </si>
  <si>
    <t>gid://shopify/Product/10606556447047</t>
  </si>
  <si>
    <t>gid://shopify/ProductVariant/53147871772999</t>
  </si>
  <si>
    <t>gid://shopify/InventoryItem/54729892036935</t>
  </si>
  <si>
    <t>gid://shopify/ProductVariant/53147871805767</t>
  </si>
  <si>
    <t>gid://shopify/InventoryItem/54729892069703</t>
  </si>
  <si>
    <t>agata-bag-tie-dye-orange</t>
  </si>
  <si>
    <t>gid://shopify/Product/10606556479815</t>
  </si>
  <si>
    <t>gid://shopify/ProductVariant/53147871838535</t>
  </si>
  <si>
    <t>gid://shopify/InventoryItem/54729892102471</t>
  </si>
  <si>
    <t>gid://shopify/ProductVariant/53147871871303</t>
  </si>
  <si>
    <t>gid://shopify/InventoryItem/54729892135239</t>
  </si>
  <si>
    <t>agata-bag-tie-dye-pink</t>
  </si>
  <si>
    <t>gid://shopify/Product/10757208211783</t>
  </si>
  <si>
    <t>gid://shopify/ProductVariant/53752082891079</t>
  </si>
  <si>
    <t>gid://shopify/InventoryItem/55341449183559</t>
  </si>
  <si>
    <t>gid://shopify/ProductVariant/53752082923847</t>
  </si>
  <si>
    <t>gid://shopify/InventoryItem/55341449216327</t>
  </si>
  <si>
    <t>annie-bag-seta-blu</t>
  </si>
  <si>
    <t>gid://shopify/Product/10606556184903</t>
  </si>
  <si>
    <t>gid://shopify/ProductVariant/53147871019335</t>
  </si>
  <si>
    <t>gid://shopify/InventoryItem/54729891348807</t>
  </si>
  <si>
    <t>gid://shopify/ProductVariant/53147871052103</t>
  </si>
  <si>
    <t>gid://shopify/InventoryItem/54729891381575</t>
  </si>
  <si>
    <t>annie-bag-brown-silk</t>
  </si>
  <si>
    <t>gid://shopify/Product/10842502824263</t>
  </si>
  <si>
    <t>gid://shopify/ProductVariant/54103245062471</t>
  </si>
  <si>
    <t>gid://shopify/InventoryItem/55696991846727</t>
  </si>
  <si>
    <t>gid://shopify/ProductVariant/54103245095239</t>
  </si>
  <si>
    <t>gid://shopify/InventoryItem/55696991879495</t>
  </si>
  <si>
    <t>annie-bag-paillettes-candy-pink</t>
  </si>
  <si>
    <t>gid://shopify/Product/10606557233479</t>
  </si>
  <si>
    <t>gid://shopify/ProductVariant/53746540478791</t>
  </si>
  <si>
    <t>gid://shopify/InventoryItem/55335876264263</t>
  </si>
  <si>
    <t>gid://shopify/ProductVariant/53746540446023</t>
  </si>
  <si>
    <t>gid://shopify/InventoryItem/55335876231495</t>
  </si>
  <si>
    <t>annie-bag-paillettes-light-blue-new</t>
  </si>
  <si>
    <t>gid://shopify/Product/10606557462855</t>
  </si>
  <si>
    <t>gid://shopify/ProductVariant/53746566988103</t>
  </si>
  <si>
    <t>gid://shopify/InventoryItem/55335902773575</t>
  </si>
  <si>
    <t>gid://shopify/ProductVariant/53746566955335</t>
  </si>
  <si>
    <t>gid://shopify/InventoryItem/55335902740807</t>
  </si>
  <si>
    <t>annie-bag-paillettes-verde-new</t>
  </si>
  <si>
    <t>gid://shopify/Product/10606559822151</t>
  </si>
  <si>
    <t>gid://shopify/ProductVariant/53746531631431</t>
  </si>
  <si>
    <t>gid://shopify/InventoryItem/55335867416903</t>
  </si>
  <si>
    <t>gid://shopify/ProductVariant/53746531598663</t>
  </si>
  <si>
    <t>gid://shopify/InventoryItem/55335867384135</t>
  </si>
  <si>
    <t>annie-bag-paillettes-beige</t>
  </si>
  <si>
    <t>gid://shopify/Product/10606557397319</t>
  </si>
  <si>
    <t>gid://shopify/ProductVariant/53746523078983</t>
  </si>
  <si>
    <t>gid://shopify/InventoryItem/55335858864455</t>
  </si>
  <si>
    <t>gid://shopify/ProductVariant/53746523046215</t>
  </si>
  <si>
    <t>gid://shopify/InventoryItem/55335858831687</t>
  </si>
  <si>
    <t>annie-bag-paillettes-pink-new</t>
  </si>
  <si>
    <t>gid://shopify/Product/10606557331783</t>
  </si>
  <si>
    <t>gid://shopify/ProductVariant/53147874427207</t>
  </si>
  <si>
    <t>gid://shopify/InventoryItem/54729894625607</t>
  </si>
  <si>
    <t>gid://shopify/ProductVariant/53147874459975</t>
  </si>
  <si>
    <t>gid://shopify/InventoryItem/54729894658375</t>
  </si>
  <si>
    <t>annie-bag-paillettes-purple-new</t>
  </si>
  <si>
    <t>gid://shopify/Product/10757204574535</t>
  </si>
  <si>
    <t>gid://shopify/ProductVariant/53752058511687</t>
  </si>
  <si>
    <t>gid://shopify/InventoryItem/55341424705863</t>
  </si>
  <si>
    <t>gid://shopify/ProductVariant/53752058544455</t>
  </si>
  <si>
    <t>gid://shopify/InventoryItem/55341424738631</t>
  </si>
  <si>
    <t>annie-bag-seta-rosa</t>
  </si>
  <si>
    <t>gid://shopify/Product/10757201953095</t>
  </si>
  <si>
    <t>gid://shopify/ProductVariant/53752036065607</t>
  </si>
  <si>
    <t>gid://shopify/InventoryItem/55341402030407</t>
  </si>
  <si>
    <t>gid://shopify/ProductVariant/53752036098375</t>
  </si>
  <si>
    <t>gid://shopify/InventoryItem/55341402063175</t>
  </si>
  <si>
    <t>Annie_Bag_STRIPES_PINK</t>
  </si>
  <si>
    <t>annie-bag-seta-rosa-antico</t>
  </si>
  <si>
    <t>Giacenza_Reale</t>
  </si>
  <si>
    <t>gid://shopify/Product/10606555922759</t>
  </si>
  <si>
    <t>gid://shopify/ProductVariant/53147870134599</t>
  </si>
  <si>
    <t>gid://shopify/InventoryItem/54729890529607</t>
  </si>
  <si>
    <t>gid://shopify/ProductVariant/53147870167367</t>
  </si>
  <si>
    <t>gid://shopify/InventoryItem/54729890562375</t>
  </si>
  <si>
    <t>annie-bag-lilac</t>
  </si>
  <si>
    <t>gid://shopify/Product/10757192646983</t>
  </si>
  <si>
    <t>gid://shopify/ProductVariant/53751939432775</t>
  </si>
  <si>
    <t>gid://shopify/InventoryItem/55341304774983</t>
  </si>
  <si>
    <t>gid://shopify/ProductVariant/53751939465543</t>
  </si>
  <si>
    <t>gid://shopify/InventoryItem/55341304807751</t>
  </si>
  <si>
    <t>annie-bag-pearl-grey</t>
  </si>
  <si>
    <t>context</t>
  </si>
  <si>
    <t>message</t>
  </si>
  <si>
    <t>2026-05-24T05:29:29.356Z</t>
  </si>
  <si>
    <t>dailyMetaPull/fatal</t>
  </si>
  <si>
    <t>HTTP 400 — {"error":{"message":"API access blocked.","type":"OAuthException","code":200,"fbtrace_id":"Av3SY0BLx51VlALgADhsQNt"}}</t>
  </si>
  <si>
    <t>2026-05-25T05:29:32.488Z</t>
  </si>
  <si>
    <t>HTTP 400 — {"error":{"message":"API access blocked.","type":"OAuthException","code":200,"fbtrace_id":"ARsk6USPcefTpnZXmoH21m4"}}</t>
  </si>
  <si>
    <t>2026-05-26T05:29:28.831Z</t>
  </si>
  <si>
    <t>HTTP 400 — {"error":{"message":"API access blocked.","type":"OAuthException","code":200,"fbtrace_id":"Aw40kuRGyYfM3dW1g35I7VR"}}</t>
  </si>
  <si>
    <t>2026-05-27T05:29:28.533Z</t>
  </si>
  <si>
    <t>HTTP 400 — {"error":{"message":"API access blocked.","type":"OAuthException","code":200,"fbtrace_id":"A7NWX-5M1Gr2nXrQxMJoQ5z"}}</t>
  </si>
  <si>
    <t>2026-05-28T05:29:27.801Z</t>
  </si>
  <si>
    <t>HTTP 400 — {"error":{"message":"API access blocked.","type":"OAuthException","code":200,"fbtrace_id":"AQVnG9_p070eej4PySK4enM"}}</t>
  </si>
  <si>
    <t>2026-05-29T05:29:28.309Z</t>
  </si>
  <si>
    <t>HTTP 400 — {"error":{"message":"API access blocked.","type":"OAuthException","code":200,"fbtrace_id":"AYsCvxif8JYvxrs24zvOnPu"}}</t>
  </si>
  <si>
    <t>2026-05-30T05:29:55.685Z</t>
  </si>
  <si>
    <t>HTTP 400 — {"error":{"message":"API access blocked.","type":"OAuthException","code":200,"fbtrace_id":"AYxqpZbXTz9-hFL2ayNFiv6"}}</t>
  </si>
  <si>
    <t>2026-05-30T13:38:23.605Z</t>
  </si>
  <si>
    <t>HTTP 400 — {"error":{"message":"API access blocked.","type":"OAuthException","code":200,"fbtrace_id":"Aj0ybGaD0IDEjEn7u1gUsri"}}</t>
  </si>
  <si>
    <t>2026-05-30T13:50:17.612Z</t>
  </si>
  <si>
    <t>HTTP 400 — {"error":{"message":"API access blocked.","type":"OAuthException","code":200,"fbtrace_id":"AIXI0PDj8-ffiPiRdPIrn2W"}}</t>
  </si>
  <si>
    <t>campaign_id</t>
  </si>
  <si>
    <t>campaign_name</t>
  </si>
  <si>
    <t>campaign_status</t>
  </si>
  <si>
    <t>campaign_objective</t>
  </si>
  <si>
    <t>spend_eur</t>
  </si>
  <si>
    <t>impressions</t>
  </si>
  <si>
    <t>reach</t>
  </si>
  <si>
    <t>frequency</t>
  </si>
  <si>
    <t>clicks</t>
  </si>
  <si>
    <t>link_clicks</t>
  </si>
  <si>
    <t>ctr</t>
  </si>
  <si>
    <t>cpc</t>
  </si>
  <si>
    <t>cpm</t>
  </si>
  <si>
    <t>landing_page_views</t>
  </si>
  <si>
    <t>view_content</t>
  </si>
  <si>
    <t>add_to_cart</t>
  </si>
  <si>
    <t>initiate_checkout</t>
  </si>
  <si>
    <t>add_payment_info</t>
  </si>
  <si>
    <t>purchases</t>
  </si>
  <si>
    <t>purchase_value_eur</t>
  </si>
  <si>
    <t>cpa_eur</t>
  </si>
  <si>
    <t>roas</t>
  </si>
  <si>
    <t>pulled_at</t>
  </si>
  <si>
    <t>120241930909210731</t>
  </si>
  <si>
    <t>SUPER HOT</t>
  </si>
  <si>
    <t>OUTCOME_SALES</t>
  </si>
  <si>
    <t>2026-05-22T22:13:28.980Z</t>
  </si>
  <si>
    <t>2026-05-22T22:13:32.367Z</t>
  </si>
  <si>
    <t>2026-05-22T22:13:35.835Z</t>
  </si>
  <si>
    <t>2026-05-22T22:13:38.790Z</t>
  </si>
  <si>
    <t>2026-05-22T22:13:42.425Z</t>
  </si>
  <si>
    <t>2026-05-22T22:13:45.308Z</t>
  </si>
  <si>
    <t>2026-05-22T22:13:48.236Z</t>
  </si>
  <si>
    <t>2026-05-22T22:13:51.273Z</t>
  </si>
  <si>
    <t>2026-05-22T22:13:54.659Z</t>
  </si>
  <si>
    <t>2026-05-22T22:13:57.510Z</t>
  </si>
  <si>
    <t>2026-05-22T22:14:00.706Z</t>
  </si>
  <si>
    <t>2026-05-22T22:14:05.289Z</t>
  </si>
  <si>
    <t>120244032235930731</t>
  </si>
  <si>
    <t>COLD</t>
  </si>
  <si>
    <t>2026-05-22T22:14:08.037Z</t>
  </si>
  <si>
    <t>2026-05-22T22:14:09.243Z</t>
  </si>
  <si>
    <t>2026-05-22T22:14:12.053Z</t>
  </si>
  <si>
    <t>2026-05-22T22:14:12.930Z</t>
  </si>
  <si>
    <t>2026-05-22T22:14:16.066Z</t>
  </si>
  <si>
    <t>2026-05-22T22:14:19.283Z</t>
  </si>
  <si>
    <t>2026-05-22T22:14:21.939Z</t>
  </si>
  <si>
    <t>2026-05-22T22:14:25.073Z</t>
  </si>
  <si>
    <t>2026-05-22T22:14:27.555Z</t>
  </si>
  <si>
    <t>2026-05-22T22:14:28.433Z</t>
  </si>
  <si>
    <t>2026-05-22T22:14:31.695Z</t>
  </si>
  <si>
    <t>2026-05-22T22:14:32.646Z</t>
  </si>
  <si>
    <t>2026-05-22T22:14:34.957Z</t>
  </si>
  <si>
    <t>2026-05-22T22:14:36.045Z</t>
  </si>
  <si>
    <t>2026-05-22T22:14:38.755Z</t>
  </si>
  <si>
    <t>2026-05-22T22:14:39.645Z</t>
  </si>
  <si>
    <t>2026-05-22T22:14:42.075Z</t>
  </si>
  <si>
    <t>2026-05-22T22:14:43.023Z</t>
  </si>
  <si>
    <t>2026-05-22T22:14:45.232Z</t>
  </si>
  <si>
    <t>2026-05-22T22:14:46.193Z</t>
  </si>
  <si>
    <t>2026-05-22T22:14:48.817Z</t>
  </si>
  <si>
    <t>2026-05-22T22:14:50.283Z</t>
  </si>
  <si>
    <t>2026-05-22T22:14:52.400Z</t>
  </si>
  <si>
    <t>2026-05-22T22:14:53.454Z</t>
  </si>
  <si>
    <t>2026-05-22T22:14:55.773Z</t>
  </si>
  <si>
    <t>2026-05-22T22:14:56.665Z</t>
  </si>
  <si>
    <t>2026-05-22T22:14:58.742Z</t>
  </si>
  <si>
    <t>2026-05-22T22:14:59.633Z</t>
  </si>
  <si>
    <t>2026-05-22T22:15:01.874Z</t>
  </si>
  <si>
    <t>2026-05-22T22:15:02.863Z</t>
  </si>
  <si>
    <t>2026-05-22T22:15:05.413Z</t>
  </si>
  <si>
    <t>2026-05-22T22:15:06.302Z</t>
  </si>
  <si>
    <t>2026-05-30T21:39:17.069Z</t>
  </si>
  <si>
    <t>2026-05-30T21:39:18.170Z</t>
  </si>
  <si>
    <t>2026-05-30T21:39:29.949Z</t>
  </si>
  <si>
    <t>2026-05-30T21:39:31.013Z</t>
  </si>
  <si>
    <t>2026-05-30T21:39:46.977Z</t>
  </si>
  <si>
    <t>2026-05-30T21:39:48.040Z</t>
  </si>
  <si>
    <t>2026-05-30T21:39:55.111Z</t>
  </si>
  <si>
    <t>2026-05-30T21:39:56.113Z</t>
  </si>
  <si>
    <t>2026-05-30T21:40:01.822Z</t>
  </si>
  <si>
    <t>2026-05-30T21:40:03.077Z</t>
  </si>
  <si>
    <t>2026-05-30T21:40:09.384Z</t>
  </si>
  <si>
    <t>2026-05-30T21:40:10.526Z</t>
  </si>
  <si>
    <t>2026-05-30T21:40:16.947Z</t>
  </si>
  <si>
    <t>2026-05-30T21:40:18.204Z</t>
  </si>
  <si>
    <t>2026-05-30T21:40:23.706Z</t>
  </si>
  <si>
    <t>2026-05-30T21:40:24.801Z</t>
  </si>
  <si>
    <t>2026-05-31T05:29:30.715Z</t>
  </si>
  <si>
    <t>2026-05-31T05:29:31.830Z</t>
  </si>
  <si>
    <t>2026-06-01T05:29:35.400Z</t>
  </si>
  <si>
    <t>2026-06-01T05:29:36.934Z</t>
  </si>
  <si>
    <t>2026-06-02T05:29:31.461Z</t>
  </si>
  <si>
    <t>2026-06-02T05:29:32.599Z</t>
  </si>
  <si>
    <t>2026-06-03T05:29:29.711Z</t>
  </si>
  <si>
    <t>2026-06-03T05:29:31.115Z</t>
  </si>
  <si>
    <t>2026-06-04T05:29:31.519Z</t>
  </si>
  <si>
    <t>2026-06-04T05:29:33.672Z</t>
  </si>
  <si>
    <t>2026-06-05T05:29:31.779Z</t>
  </si>
  <si>
    <t>2026-06-05T05:29:33.775Z</t>
  </si>
  <si>
    <t>2026-06-06T05:29:28.268Z</t>
  </si>
  <si>
    <t>2026-06-06T05:29:29.978Z</t>
  </si>
  <si>
    <t>2026-06-06T12:27:05.698Z</t>
  </si>
  <si>
    <t>2026-06-06T12:27:07.630Z</t>
  </si>
  <si>
    <t>2026-06-07T05:29:31.328Z</t>
  </si>
  <si>
    <t>2026-06-07T05:29:33.247Z</t>
  </si>
  <si>
    <t>2026-06-08T05:29:30.917Z</t>
  </si>
  <si>
    <t>2026-06-08T05:29:32.827Z</t>
  </si>
  <si>
    <t>2026-06-09T05:29:31.242Z</t>
  </si>
  <si>
    <t>2026-06-09T05:29:33.482Z</t>
  </si>
  <si>
    <t>2026-06-10T05:29:30.542Z</t>
  </si>
  <si>
    <t>2026-06-10T05:29:32.391Z</t>
  </si>
  <si>
    <t>2026-06-11T05:29:30.764Z</t>
  </si>
  <si>
    <t>2026-06-11T05:29:32.812Z</t>
  </si>
  <si>
    <t>2026-06-12T05:29:29.666Z</t>
  </si>
  <si>
    <t>2026-06-12T05:29:31.590Z</t>
  </si>
  <si>
    <t>2026-06-13T05:29:30.533Z</t>
  </si>
  <si>
    <t>2026-06-13T05:29:31.987Z</t>
  </si>
  <si>
    <t>2026-06-14T05:29:30.506Z</t>
  </si>
  <si>
    <t>2026-06-14T05:29:32.268Z</t>
  </si>
  <si>
    <t>2026-06-15T05:29:32.756Z</t>
  </si>
  <si>
    <t>2026-06-15T05:29:35.172Z</t>
  </si>
  <si>
    <t>2026-06-15T09:01:41.299Z</t>
  </si>
  <si>
    <t>2026-06-15T09:01:43.664Z</t>
  </si>
  <si>
    <t>2026-06-16T05:29:28.015Z</t>
  </si>
  <si>
    <t>2026-06-16T05:29:30.037Z</t>
  </si>
  <si>
    <t>2026-06-17T05:29:31.955Z</t>
  </si>
  <si>
    <t>2026-06-17T05:29:35.058Z</t>
  </si>
  <si>
    <t>2026-06-18T05:29:28.291Z</t>
  </si>
  <si>
    <t>2026-06-18T05:29:30.287Z</t>
  </si>
  <si>
    <t>2026-06-19T05:29:30.774Z</t>
  </si>
  <si>
    <t>2026-06-19T05:29:33.661Z</t>
  </si>
  <si>
    <t>2026-06-20T05:29:29.204Z</t>
  </si>
  <si>
    <t>2026-06-20T05:29:31.598Z</t>
  </si>
  <si>
    <t>2026-06-21T05:29:33.917Z</t>
  </si>
  <si>
    <t>2026-06-21T05:29:37.191Z</t>
  </si>
  <si>
    <t>2026-06-22T05:29:27.293Z</t>
  </si>
  <si>
    <t>2026-06-22T05:29:28.948Z</t>
  </si>
  <si>
    <t>2026-06-23T05:29:28.954Z</t>
  </si>
  <si>
    <t>2026-06-23T05:29:31.852Z</t>
  </si>
  <si>
    <t>2026-06-24T05:29:28.596Z</t>
  </si>
  <si>
    <t>2026-06-24T05:29:31.044Z</t>
  </si>
  <si>
    <t>2026-06-25T05:29:29.200Z</t>
  </si>
  <si>
    <t>2026-06-25T05:29:31.217Z</t>
  </si>
  <si>
    <t>2026-06-26T05:29:27.739Z</t>
  </si>
  <si>
    <t>2026-06-26T05:29:29.850Z</t>
  </si>
  <si>
    <t>2026-06-27T05:29:28.022Z</t>
  </si>
  <si>
    <t>2026-06-27T05:29:29.890Z</t>
  </si>
  <si>
    <t>2026-06-28T05:29:26.838Z</t>
  </si>
  <si>
    <t>2026-06-28T05:29:28.935Z</t>
  </si>
  <si>
    <t>2026-06-29T05:29:28.110Z</t>
  </si>
  <si>
    <t>2026-06-29T05:29:30.749Z</t>
  </si>
  <si>
    <t>2026-06-30T05:29:27.008Z</t>
  </si>
  <si>
    <t>2026-06-30T05:29:28.945Z</t>
  </si>
  <si>
    <t>2026-07-01T05:29:27.154Z</t>
  </si>
  <si>
    <t>2026-07-01T05:29:29.107Z</t>
  </si>
  <si>
    <t>2026-07-02T05:29:27.012Z</t>
  </si>
  <si>
    <t>2026-07-02T05:29:29.484Z</t>
  </si>
  <si>
    <t>SECTION</t>
  </si>
  <si>
    <t>CHECK NAME</t>
  </si>
  <si>
    <t>STATUS</t>
  </si>
  <si>
    <t>DETAIL</t>
  </si>
  <si>
    <t>LAST REFRESHED</t>
  </si>
  <si>
    <t>📦 PRODUCTS</t>
  </si>
  <si>
    <t>ACQUISTI products not in Product_Map</t>
  </si>
  <si>
    <t>✅</t>
  </si>
  <si>
    <t>All Prodotto Finito items are mapped</t>
  </si>
  <si>
    <t>Products with COGS = 0 or blank</t>
  </si>
  <si>
    <t>Products with Selling Price = 0 or blank</t>
  </si>
  <si>
    <t>Duplicate CODICE_AMIIMI in Product_Map</t>
  </si>
  <si>
    <t>ℹ️</t>
  </si>
  <si>
    <t>Duplicate CODICE rows in col B: 152 (intentional: size variants / multiple Shopify names per CODICE). Old formula pointed at empty col J.</t>
  </si>
  <si>
    <t>💰 SALES</t>
  </si>
  <si>
    <t>DB Shopify has order data</t>
  </si>
  <si>
    <t>DB_QROMO has order data</t>
  </si>
  <si>
    <t>No stale 2025 dates in Import</t>
  </si>
  <si>
    <t>No stale 2025 years in DB_QROMO</t>
  </si>
  <si>
    <t>📊 EXPENSES</t>
  </si>
  <si>
    <t>EXPENSES MASTER - Amimi? values valid</t>
  </si>
  <si>
    <t>EXPENSES MASTER - CATEGORIA values valid</t>
  </si>
  <si>
    <t>ACQUISTI - Tipologia values valid</t>
  </si>
  <si>
    <t>No uncategorized expenses</t>
  </si>
  <si>
    <t>📈 CE / P&amp;L</t>
  </si>
  <si>
    <t>CE_AMIMI shows revenue in at least 1 month</t>
  </si>
  <si>
    <t>CE_AMIMI shows COGS in at least 1 month</t>
  </si>
  <si>
    <t>GIFT_OFFLINE - no stale 2025 dates</t>
  </si>
  <si>
    <t>Record counts across all tabs</t>
  </si>
  <si>
    <t>OVERALL STATUS</t>
  </si>
  <si>
    <t>Last refreshed</t>
  </si>
  <si>
    <t>AC</t>
  </si>
  <si>
    <t>YEAR</t>
  </si>
  <si>
    <t>MONTH</t>
  </si>
  <si>
    <t>QUARTER</t>
  </si>
  <si>
    <t>YTD</t>
  </si>
  <si>
    <t>IVA</t>
  </si>
  <si>
    <t>Categoria</t>
  </si>
  <si>
    <t>Sottocategoria</t>
  </si>
  <si>
    <t>Voce</t>
  </si>
  <si>
    <t>GENNAIO</t>
  </si>
  <si>
    <t>FEBBRAIO</t>
  </si>
  <si>
    <t>MARZO</t>
  </si>
  <si>
    <t>APRILE</t>
  </si>
  <si>
    <t>MAGGIO</t>
  </si>
  <si>
    <t>GIUGNO</t>
  </si>
  <si>
    <t>LUGLIO</t>
  </si>
  <si>
    <t>AGOSTO</t>
  </si>
  <si>
    <t>SETTEMBRE</t>
  </si>
  <si>
    <t>OTTOBRE</t>
  </si>
  <si>
    <t>NOVEMBRE</t>
  </si>
  <si>
    <t>DICEMBRE</t>
  </si>
  <si>
    <t>FY 2026</t>
  </si>
  <si>
    <t>SI</t>
  </si>
  <si>
    <t>Fatturato</t>
  </si>
  <si>
    <t>Online</t>
  </si>
  <si>
    <t>Ordini</t>
  </si>
  <si>
    <t>Pezzi/Ordine</t>
  </si>
  <si>
    <t>Pezzi</t>
  </si>
  <si>
    <t>Carrello medio</t>
  </si>
  <si>
    <t>Vendite</t>
  </si>
  <si>
    <t>Sconti</t>
  </si>
  <si>
    <t>Free Shipping</t>
  </si>
  <si>
    <t>Spedizioni</t>
  </si>
  <si>
    <t>Fatturato Lordo</t>
  </si>
  <si>
    <t>NO</t>
  </si>
  <si>
    <t>Fatturato Netto</t>
  </si>
  <si>
    <t xml:space="preserve">Offline </t>
  </si>
  <si>
    <t>B2B</t>
  </si>
  <si>
    <t>Omnichannel</t>
  </si>
  <si>
    <t>Costi</t>
  </si>
  <si>
    <t>Variabili</t>
  </si>
  <si>
    <t>COGS (Cost of goods sold)</t>
  </si>
  <si>
    <t>Packaging</t>
  </si>
  <si>
    <t>Cartolina</t>
  </si>
  <si>
    <t>Adesivi</t>
  </si>
  <si>
    <t>E-Commerce Box</t>
  </si>
  <si>
    <t>Carta Velina</t>
  </si>
  <si>
    <t>Sachetto di Cotone</t>
  </si>
  <si>
    <t>Nastro Sigillante</t>
  </si>
  <si>
    <t>Commissioni sui pagamenti</t>
  </si>
  <si>
    <t>Logistica</t>
  </si>
  <si>
    <t>Resi</t>
  </si>
  <si>
    <t>Total</t>
  </si>
  <si>
    <t>Margine di Contribuzione_1</t>
  </si>
  <si>
    <t>Fissi</t>
  </si>
  <si>
    <t>SALARI</t>
  </si>
  <si>
    <t>TASSE</t>
  </si>
  <si>
    <t>MAGAZZINO</t>
  </si>
  <si>
    <t>LOGISTICA</t>
  </si>
  <si>
    <t>OPEX</t>
  </si>
  <si>
    <t>Legale_Commercialista</t>
  </si>
  <si>
    <t>Campionatura</t>
  </si>
  <si>
    <t>Ufficio</t>
  </si>
  <si>
    <t>Vivaio</t>
  </si>
  <si>
    <t>Others</t>
  </si>
  <si>
    <t>EVENTI</t>
  </si>
  <si>
    <t>MARKETING</t>
  </si>
  <si>
    <t>Shooting</t>
  </si>
  <si>
    <t>Meta Ads</t>
  </si>
  <si>
    <t xml:space="preserve">Total </t>
  </si>
  <si>
    <t>Margine di Contribuzione_2</t>
  </si>
  <si>
    <t>SPEDIZIONI</t>
  </si>
  <si>
    <t>DATE REPORTED</t>
  </si>
  <si>
    <t>DATE PAID</t>
  </si>
  <si>
    <t>OPERAZIONE</t>
  </si>
  <si>
    <t>COSTO</t>
  </si>
  <si>
    <t>CATEGORIA</t>
  </si>
  <si>
    <t>Column 10</t>
  </si>
  <si>
    <t>Amimi?</t>
  </si>
  <si>
    <t>PAYPAL *FACEBOOK 4029357733 IE Carta N.</t>
  </si>
  <si>
    <t>No</t>
  </si>
  <si>
    <t>Amazon.it*ZG7ON9F14 www.amazon.it LU</t>
  </si>
  <si>
    <t>Imposta di bollo di conto corrente del 31.12.2025</t>
  </si>
  <si>
    <t>PAYPAL *ITUNESAPPST AP 4029357733 IE</t>
  </si>
  <si>
    <t>Google Workspace_ami-m Milan IT Carta N. ***</t>
  </si>
  <si>
    <t>Ben: VERPELL DI VERRASCINA FRANCESCO</t>
  </si>
  <si>
    <t>Cogs</t>
  </si>
  <si>
    <t>Ben: FADA TESSUTI Ins: 09/01/2026 18:47:</t>
  </si>
  <si>
    <t>Ben: Eredi Colombo Srl Ins: 09/01/2026</t>
  </si>
  <si>
    <t>Ben: ZEROW SRL Ins: 09/01/2026 18:03:34</t>
  </si>
  <si>
    <t>Ben: MLM Mazzola srl Ins: 09/01/2026</t>
  </si>
  <si>
    <t>Ben: T.W.S Express Courier s.r.l. Ins:</t>
  </si>
  <si>
    <t>Ben: SIPEC S.p.a Ins: 09/01/2026 17:50:2</t>
  </si>
  <si>
    <t>PACKAGING</t>
  </si>
  <si>
    <t>Ben: vivaio ventures srl Ins: 09/01/2026</t>
  </si>
  <si>
    <t>Google One Dublin IE Carta N. ***** 994</t>
  </si>
  <si>
    <t>SHOPIFY* 470881321 DUBLIN IE Carta N. ****</t>
  </si>
  <si>
    <t>Revolut**1771* Dublin IE Carta N. ***** 994</t>
  </si>
  <si>
    <t>Ben: ULLRICH MARTIN Ins: 12/01/2026</t>
  </si>
  <si>
    <t>ULLRICH MARTIN</t>
  </si>
  <si>
    <t>Ben: MLM Mazzola srl Ins: 12/01/2026</t>
  </si>
  <si>
    <t>Ben: T.W.S Express Courier s.r.l. Ins: 1 3/01/202</t>
  </si>
  <si>
    <t>FORNO LE RAGAZZE MILANO IT Carta</t>
  </si>
  <si>
    <t>PASTICCERIA RANIERI MILANO IT</t>
  </si>
  <si>
    <t>PAYPAL *ITUNESAPPST AP 4029357733 IE Ca</t>
  </si>
  <si>
    <t>FiverrEU Limassol CY Carta N. ***** 994 Data</t>
  </si>
  <si>
    <t>Adobe Systems Software Saggart, Dubl IE Cart</t>
  </si>
  <si>
    <t>Revolut**1771* Dublin IE Carta N. ***** 994 Dat</t>
  </si>
  <si>
    <t>WWW.AMAZON.* 0B6RH9735 LUXEMBOURG</t>
  </si>
  <si>
    <t>Ad free for PrimeVideo primevideo.co IT Carta</t>
  </si>
  <si>
    <t>BFM SRL 0187676438 IT Carta N. ***** 994 Dat</t>
  </si>
  <si>
    <t>OPENAI *CHATGPT SUBSCR OPENAI.COM</t>
  </si>
  <si>
    <t>Revolut**1771* Dublin IE Carta N. ***** 994 Data op</t>
  </si>
  <si>
    <t>KLAVIYO INC. SOFTWARE KLAVIYO.COM</t>
  </si>
  <si>
    <t>Beneficiario: ginevra lina maria garibol di IBAN</t>
  </si>
  <si>
    <t>A T.w.s Express Courier S.r.l.</t>
  </si>
  <si>
    <t>A Cisapelli Srl</t>
  </si>
  <si>
    <t>SPAZIO VIA PLINIO</t>
  </si>
  <si>
    <t>FOTOGRAFA</t>
  </si>
  <si>
    <t>SHOPIFY* 485534617 DUBLIN IE Carta</t>
  </si>
  <si>
    <t>TAMOIL 2517 CUSANO MILANI IT Carta</t>
  </si>
  <si>
    <t>BALLABIO MILANO IT Carta N. ***** 994</t>
  </si>
  <si>
    <t>FORNO LE RAGAZZE MILANO IT</t>
  </si>
  <si>
    <t>PIXARTPRINTING QUARTO D'ALRM</t>
  </si>
  <si>
    <t>VIRGIN ACTIVE MILANO . MILANO IT Carta</t>
  </si>
  <si>
    <t>Adobe Systems Software Saggart, Dubl IE</t>
  </si>
  <si>
    <t>MOSCATELLI MILANO IT Carta N. ***** 994</t>
  </si>
  <si>
    <t>TANGRAM MILANO IT Carta N. ***** 994</t>
  </si>
  <si>
    <t>PATTINI MILANO IT Carta N. ***** 994 Data</t>
  </si>
  <si>
    <t xml:space="preserve">CORAL MILANO IT Carta N. ***** 994 Data </t>
  </si>
  <si>
    <t>PATTINI MILANO IT Carta N. ***** 994</t>
  </si>
  <si>
    <t>Ben: T.W.S Express Courier s.r.l.</t>
  </si>
  <si>
    <t>Shopify Addebito SDD fattura a Vs carico da</t>
  </si>
  <si>
    <t>da verificare cos'è</t>
  </si>
  <si>
    <t>PAVE MILANO IT Carta N. ***** 994 Data</t>
  </si>
  <si>
    <t>WWW.A2AENERGIA.EU MILANO IT Carta</t>
  </si>
  <si>
    <t>Salari</t>
  </si>
  <si>
    <t>Si</t>
  </si>
  <si>
    <t>FLOW MILANO MILANO IT Carta N. ***** 994</t>
  </si>
  <si>
    <t>PAYPAL *FACEBOOK 4029357733 IE Carta</t>
  </si>
  <si>
    <t>Ben: ginevra lina maria gariboldi</t>
  </si>
  <si>
    <t>Ben: benedetta vannucchi Ins: 09/03/2026</t>
  </si>
  <si>
    <t>Delega I24</t>
  </si>
  <si>
    <t>Spazio VIA PLINIO</t>
  </si>
  <si>
    <t>Verpell di verrascina francesco</t>
  </si>
  <si>
    <t>COMMISSIONI FIL: 00013</t>
  </si>
  <si>
    <t>è corretto mettere opex?</t>
  </si>
  <si>
    <t>Commissioni pagamenti paesi NON UE</t>
  </si>
  <si>
    <t>C/O KLAVIYO INC. SOFTWARE KLAVIYO.COM</t>
  </si>
  <si>
    <t>C/O BFM SRL 0187676438</t>
  </si>
  <si>
    <t>C/O Dutchlabelshop Amsterdam</t>
  </si>
  <si>
    <t>ETICHETTE</t>
  </si>
  <si>
    <t>Liotex s.r.l ddt 145</t>
  </si>
  <si>
    <t>CORDINI ANNIE BAG</t>
  </si>
  <si>
    <t>MLM Mazzola s.r.l. n documento 31/2026</t>
  </si>
  <si>
    <t>COSTO DEL SERVIZIO CARTA N. 497018 - ******9253</t>
  </si>
  <si>
    <t>DA CHIEDERE ALLA BANCA</t>
  </si>
  <si>
    <t>C/O TESSUTI E SCAMPOLI MILANO</t>
  </si>
  <si>
    <t>BASSI Mol*Maxilia B.V. Kesteren CARTA N. 497018******3299 -</t>
  </si>
  <si>
    <t>723724632 Ben: Verpell di verrascina francesco e c. snc saldo fattura 8/26</t>
  </si>
  <si>
    <t>COMMISSIONI</t>
  </si>
  <si>
    <t>DELEGHE VIRTUALI DA ADE 068 145595 80965 I24 76</t>
  </si>
  <si>
    <t>ADDEBITO DIRETTO CORE RCUR Prg.Car .: 4D6J225BLAW8Q AMIMI MILANO S.R.L. LU96ZZZ PayPal Europe S.a...</t>
  </si>
  <si>
    <t>UPS_IT Milano CARTA N. 497018******3299 -</t>
  </si>
  <si>
    <t>724969978 Ben: BONVICINI GUIA A1/2026</t>
  </si>
  <si>
    <t>725179211 Ben: RATTI TRIMARCHI NOTAI atto costitutivo della societa con capitale di euro 10.000</t>
  </si>
  <si>
    <t>ADDEBITO DIRETTO CORE RCUR Prg.Car .: 13612928 AMIMI MILANO S.R.L IE19ZZZ361694 Google Ireland Li...</t>
  </si>
  <si>
    <t>FACEBK *TQP3SHZNL2 fb.me/ads CARTA N. 497018******3299 -</t>
  </si>
  <si>
    <t>725860647 Ben: ZEUS SRL Documento n. 27 del 28/02/2026</t>
  </si>
  <si>
    <t>TESSUTI E SCAMPOLI MILANO CARTA N. 497018******3299 -</t>
  </si>
  <si>
    <t>Pagamenti paesi NON UE carta N. 00 0 DEL 23/03/26 Valuta USD Uniti KLAVIYO INC. SOFTWARE KLAVIYO....</t>
  </si>
  <si>
    <t xml:space="preserve">questa è la fattura della newsletter </t>
  </si>
  <si>
    <t>727276857 Ben: martina cabassi FATTURA 1/001</t>
  </si>
  <si>
    <t>727278824 Ben: Verpell di verrascina francesco e c. snc FPV 11/26</t>
  </si>
  <si>
    <t>IL PANE DI LUCA MILANO IT Carta N. ***** 67</t>
  </si>
  <si>
    <t>Eventi</t>
  </si>
  <si>
    <t>ESSELUNGA LOSANNA 1 MILANO IT Carta N</t>
  </si>
  <si>
    <t>PAM LOCAL MILANO IT Carta N. ***** 671</t>
  </si>
  <si>
    <t>ORSONERO COFFEE SRL MILANO IT Carta N. *</t>
  </si>
  <si>
    <t>EDICOLE QUISCO MILANO IT Carta N. *****</t>
  </si>
  <si>
    <t>Imposta di bollo di conto corrente del 31.03.2026</t>
  </si>
  <si>
    <t>PATTINI MILANO IT Carta N. ***** 671 Data</t>
  </si>
  <si>
    <t>FARINA DEL MIO SACCO MILANO IT Carta N. *</t>
  </si>
  <si>
    <t>CUM PANIS -BRONZETTI MILANO IT Carta N.</t>
  </si>
  <si>
    <t>HU ZHIWEI MILANO IT Carta N. ***** 671</t>
  </si>
  <si>
    <t>Ué COME TU MI VUOI MILANO IT Carta N. ****</t>
  </si>
  <si>
    <t>Beneficiario: ginevra lina maria garibol di IBAN: IT</t>
  </si>
  <si>
    <t>FATTORIE MILANO IT Carta N. ***** 671 Data</t>
  </si>
  <si>
    <t>BROLO MILANO IT Carta N. ***** 671 Data</t>
  </si>
  <si>
    <t>RADICETONDA SPALLANZAN MILANO IT</t>
  </si>
  <si>
    <t>PEPEN MILANO SRL MILANO IT Carta N. ***** 671</t>
  </si>
  <si>
    <t>IGINIO MASSARI MILANO IT Carta N. ***** 67</t>
  </si>
  <si>
    <t>Ué COME TU MI VUOI MILANO IT Carta N. **</t>
  </si>
  <si>
    <t>KEROPETROL MILANO IT Carta N. ***** 671</t>
  </si>
  <si>
    <t>ESSELUNGA MONTE ROSA MILANO IT Carta</t>
  </si>
  <si>
    <t>LIDL 1447 CORMANO IT Carta N. ***** 671</t>
  </si>
  <si>
    <t xml:space="preserve">B RESTAURANT MILANO IT Carta N. ***** 671 </t>
  </si>
  <si>
    <t>WWW.A2AENERGIA.EU MILANO IT Carta N. ***</t>
  </si>
  <si>
    <t>BAR AFFARI MILANO IT Carta N. ***** 671 Data operazione</t>
  </si>
  <si>
    <t>Rito srl Milano IT Carta N. ***** 671 Data operazi</t>
  </si>
  <si>
    <t>MILANESE CAFE' MILANO IT Carta N. ***** 671</t>
  </si>
  <si>
    <t>EATALY SPA MILANO MILANO IT Carta N. ***</t>
  </si>
  <si>
    <t>Le Petit Bistrot Milano IT Carta N. ***** 671 Data o</t>
  </si>
  <si>
    <t xml:space="preserve">CAFE' FABRIQUE VIA G.. MILANO IT Carta N. </t>
  </si>
  <si>
    <t>MONDOCOPIA SNC MILANO IT Carta N. ***** 6</t>
  </si>
  <si>
    <t>MONDOCOPIA SNC MILANO IT Carta N. ***** 67</t>
  </si>
  <si>
    <t>EL PRESTIN DEL CANTUN MILANO IT Carta N</t>
  </si>
  <si>
    <t>IMPOSTA DI BOLLO SU RENDICONTO REC - UPERO PERIODO DAL 10/02/26 AL 31/03/26</t>
  </si>
  <si>
    <t>AUTO</t>
  </si>
  <si>
    <t>Pagamenti paesi UE carta N. 000 DE - L 30/03/26 Valuta EUR Paese Irlanda C/O FACEBK *5LCE9JVNL2 fb.me/ads CARTA N. 497018******3299 - CIRCUITO VISA</t>
  </si>
  <si>
    <t>COMMISSIONI FIL: 00013 N.DIST.: 00 - 0000026803145/000</t>
  </si>
  <si>
    <t>728433730 - REMOTE BANKING-VS/DISPOSIZIONE A FAVORE DI BEYOND DI ULLRICH MARTIN documento n 8 FIL: 00013 N.DIST.: 000000026803145/000 MOD.REG.: BO</t>
  </si>
  <si>
    <t>CONFERMATO 2026-05-06</t>
  </si>
  <si>
    <t>COMMISSIONI FIL: 00013 N.DIST.: 00 - 0000026803124/000</t>
  </si>
  <si>
    <t>728434137 - REMOTE BANKING-VS/DISPOSIZIONE A FAVORE DI TWS EXPRESS COURIER SRL Documento n. 1833 FIL: 00013 N.DIST.: 000000026803124/000 MOD.REG.: BO</t>
  </si>
  <si>
    <t>Magazzino</t>
  </si>
  <si>
    <t>COMMISSIONI FIL: 00013 N.DIST.: 00 - 0000026806672/000</t>
  </si>
  <si>
    <t>728449951 - REMOTE BANKING-VS/DISPOSIZIONE A FAVORE DI BEYOND DI ULLRICH MARTIN FPR 1/26 FIL: 00013 N.DIST.: 000000026806672/000 MOD.REG.: BO</t>
  </si>
  <si>
    <t>COMMISSIONI FIL: 00013 N.DIST.: 00 - 0000026803662/000</t>
  </si>
  <si>
    <t>728449505 - REMOTE BANKING-VS/DISPOSIZIONE A FAVORE DI Verpell di verrascina francesco e c. snc fattura 15/26 FIL: 00013 N.DIST.: 000000026803662/000 MOD.REG.: BO</t>
  </si>
  <si>
    <t>Verpell</t>
  </si>
  <si>
    <t>Pagamenti paesi UE carta N. 000 DE - L 01/04/26 Valuta EUR Paese Italia C/O GOOGLE*WORKSPACE AMIMI CC GOOGLE.COM CARTA N. 497018******3299 - CIRCUITO VISA</t>
  </si>
  <si>
    <t>COMPETENZE - SPESE DI TENUTA CONTO</t>
  </si>
  <si>
    <t>COMMISSIONI FIL: 00013 N.DIST.: 00 - 0000026822162/000</t>
  </si>
  <si>
    <t>728851299 - REMOTE BANKING-VS/DISPOSIZIONE A FAVORE DI Greta Monari 30 percento acconto prima fattura FIL: 00013 N.DIST.: 000000026822162/000 MOD.REG.: BO</t>
  </si>
  <si>
    <t>Greta Monari</t>
  </si>
  <si>
    <t>COMMISSIONI FIL: 00013 N.DIST.: 00 - 0000026822135/000</t>
  </si>
  <si>
    <t>728849358 - REMOTE BANKING-VS/DISPOSIZIONE A FAVORE DI Roberta Bergamini 30 percento acconto prima fattura FIL: 00013 N.DIST.: 000000026822135/000 MOD.REG.: BO</t>
  </si>
  <si>
    <t>Roberta Bergamini</t>
  </si>
  <si>
    <t>ADDEBITO DIRETTO CORE RCUR Prg.Car - .: 260920488000440 13612928 AMIMI MILANO S.R.L IE19ZZZ361694 Google Ireland Limited - ADWORDS:8661239284:GG104C3FFU - CITIIE2X</t>
  </si>
  <si>
    <t>COMMISSIONI FIL: 00013 N.DIST.: 00 - 0000026847792/000</t>
  </si>
  <si>
    <t>729450200 - REMOTE BANKING-VS/DISPOSIZIONE A FAVORE DI Antonio Pallotta Saldo servizi Temporary Shop Melzo 19 FIL: 00013 N.DIST.: 000000026847792/000 MOD.REG.: BO</t>
  </si>
  <si>
    <t>OK - VERIFICATO</t>
  </si>
  <si>
    <t>Pagamenti paesi UE carta N. 000 DE - L 07/04/26 Valuta EUR Paese Italia C/O PISOTTI SRL MILANO CARTA N. 497018******3299 - CIRCUITO VISA</t>
  </si>
  <si>
    <t>Pagamenti paesi UE carta N. 000 DE - L 10/04/26 Valuta EUR Paese Italia C/O ADC PESCHIERA BRM CARTA N. 497018******3299 - CIRCUITO VISA</t>
  </si>
  <si>
    <t>VERIFICATO</t>
  </si>
  <si>
    <t>Pagamenti paesi UE carta N. 000 DE - L 08/04/26 Valuta EUR Paese Italia C/O ESSELUNGA PORTA VITTORIA MILANO CARTA N. 497018******3299 - CIRCUITO VISA</t>
  </si>
  <si>
    <t>COMMISSIONI FIL: 00013 N.DIST.: 00 - 0000026886173/000</t>
  </si>
  <si>
    <t>730366619 - REMOTE BANKING-VS/DISPOSIZIONE A FAVORE DI TWS EXPRESS COURIER SRL fattura 2777 FIL: 00013 N.DIST.: 000000026886173/000 MOD.REG.: BO</t>
  </si>
  <si>
    <t>DELEGHE VIRTUALI DA ADE 068 145595 - 80965 I24 25918633139 53</t>
  </si>
  <si>
    <t>F24</t>
  </si>
  <si>
    <t>COMMISSIONI FIL: 00013 N.DIST.: 00 - 0000026913255/000</t>
  </si>
  <si>
    <t>731017809 - REMOTE BANKING-VS/DISPOSIZIONE A FAVORE DI Le Milanesi SAS di Alberta del Bono Collaborazione Pop Up FIL: 00013 N.DIST.: 000000026913255/000 MOD.REG.: BO</t>
  </si>
  <si>
    <t>ADDEBITO DIRETTO CORE RCUR Prg.Car - .: 261040488000443 13612928 AMIMI MILANO S.R.L IE19ZZZ361694 Google Ireland Limited - ADWORDS:8661239284:GG104CL1A4 - CITIIE2X</t>
  </si>
  <si>
    <t>COMMISSIONI FIL: 00013 N.DIST.: 00 - 0000026925054/000</t>
  </si>
  <si>
    <t>731276959 - REMOTE BANKING-VS/DISPOSIZIONE A FAVORE DI EMMA LAURA FRANCESCA GRACIS Documento n. 3/bis FIL: 00013 N.DIST.: 000000026925054/000 MOD.REG.: BO</t>
  </si>
  <si>
    <t>Pagamenti paesi UE carta N. 000 DE - L 16/04/26 Valuta EUR Paese Italia C/O FADA TESSUTI SRL CERNUSCO SUL CARTA N. 497018******3299 - CIRCUITO VISA</t>
  </si>
  <si>
    <t>Fada Tessuti</t>
  </si>
  <si>
    <t>Pagamenti paesi UE carta N. 000 DE - L 17/04/26 Valuta EUR Paese Italia C/O TESSUTI E SCAMPOLI MILANO CARTA N. 497018******3299 - CIRCUITO VISA</t>
  </si>
  <si>
    <t>Tessuti e Scampoli</t>
  </si>
  <si>
    <t>Pagamenti paesi UE carta N. 000 DE - L 17/04/26 Valuta EUR Paese Italia C/O SP ZEROW SCANDICCI CARTA N. 497018******3299 - CIRCUITO VISA</t>
  </si>
  <si>
    <t>SP Zerow</t>
  </si>
  <si>
    <t>COMMISSIONI FIL: 00013 N.DIST.: 00 - 0000026934615/000</t>
  </si>
  <si>
    <t>731484204 - REMOTE BANKING-VS/DISPOSIZIONE A FAVORE DI Verpell di verrascina francesco e c. snc fattura del 19/03 FIL: 00013 N.DIST.: 000000026934615/000 MOD.REG.: BO</t>
  </si>
  <si>
    <t>ADDEBITO CORE FRST Prg.Car.: 26110 - 0306015381 BQU014C9HFR AMIMI' MILANO S.R.L. IT500520000004107060966 NEXI PAYMENTS S.P.A - NEXI PAYMENTS - FATTURA NR. 000007060204 DEL 14/04/2026 - SERVIZIO INNOVATION BANKING - CIPBITMMXXX</t>
  </si>
  <si>
    <t>ADDEBITO DIRETTO CORE RCUR Prg.Car - .: 261071264000204 4D6J225BLAW8Q AMIMI MILANO S.R.L. LU96ZZZ0000000000000000058 PayPal Europe S.a.r.l. et Cie S.C.A - 1049671338940/PAYPAL - PPLXLUL2</t>
  </si>
  <si>
    <t>Pagamenti paesi UE carta N. 000 DE - L 18/04/26 Valuta EUR Paese Italia C/O LA PIADINERIA MILANO CARTA N. 497018******3299 - CIRCUITO VISA</t>
  </si>
  <si>
    <t>COMMISSIONI FIL: 00013 N.DIST.: 00 - 0000026955975/000</t>
  </si>
  <si>
    <t>731965610 - REMOTE BANKING-VS/DISPOSIZIONE A FAVORE DI Greta Monari acconto fattura 3 FIL: 00013 N.DIST.: 000000026955975/000 MOD.REG.: BO</t>
  </si>
  <si>
    <t>COMMISSIONI FIL: 00013 N.DIST.: 00 - 0000026955953/000</t>
  </si>
  <si>
    <t>731965819 - REMOTE BANKING-VS/DISPOSIZIONE A FAVORE DI Roberta Bergamini acconto fattura 3 FIL: 00013 N.DIST.: 000000026955953/000 MOD.REG.: BO</t>
  </si>
  <si>
    <t>Pagamenti paesi NON UE carta N. 00 - 0 DEL 23/04/26 Valuta USD Paese Stati Uniti C/O KLAVIYO INC. SOFTWARE KLAVIYO.COM CARTA N. 497018******3299 - CIRCUITO VISA</t>
  </si>
  <si>
    <t>Pagamenti paesi UE carta N. 000 DE - L 22/04/26 Valuta EUR Paese Italia C/O ENI CORMANO CORMANO CARTA N. 497018******3299 - CIRCUITO VISA</t>
  </si>
  <si>
    <t>COMMISSIONI FIL: 00013 N.DIST.: 00 - 0000026993434/000</t>
  </si>
  <si>
    <t>732719342 - REMOTE BANKING-VS/DISPOSIZIONE A FAVORE DI arcobaleno srl fattura FIL: 00013 N.DIST.: 000000026993434/000 MOD.REG.: BO</t>
  </si>
  <si>
    <t>Pagamenti paesi UE carta N. 000 DE L 30/04/26 Valuta EUR Paese Irlanda C/O FACEBK *TU5W8NRNL2 fb.me/ads CARTA N. 497018******3299 - CIRCUITO VISA</t>
  </si>
  <si>
    <t>Pagamenti paesi UE carta N. 000 DE L 01/05/26 Valuta EUR Paese Italia C/O GOOGLE*WORKSPACE AMIMI CC GOOGLE.COM CARTA N. 497018******3299 - CIRCUITO VISA</t>
  </si>
  <si>
    <t>733673814 REMOTE BANKING-VS/DISPOSIZIONE A FAVORE DI Luca Senesi consulenza e ottimizzazione sito Shopify FIL: 00013 N.DIST.: 000000027035557/000 MOD.REG.: BO</t>
  </si>
  <si>
    <t>COMMISSIONI FIL: 00013 N.DIST.: 00 0000027035557/000</t>
  </si>
  <si>
    <t>ADDEBITO DIRETTO CORE RCUR Prg.Car .: 261240816001563 13612928 AMIMI MILANO S.R.L IE19ZZZ361694 Google Ireland Limited - ADWORDS:8661239284:GG104DDJCO - CITIIE2X</t>
  </si>
  <si>
    <t>734451268 REMOTE BANKING-VS/DISPOSIZIONE A FAVORE DI Greta Monari saldo finale fattura 08/04 FIL: 00013 N.DIST.: 000000027068394/000 MOD.REG.: BO</t>
  </si>
  <si>
    <t>734451251 REMOTE BANKING-VS/DISPOSIZIONE A FAVORE DI Roberta Bergamini saldo finale fattura 08/04 FIL: 00013 N.DIST.: 000000027068392/000 MOD.REG.: BO</t>
  </si>
  <si>
    <t>Bonifico - SEPA istantaneo Tessuti e Scampoli SRL Bonifico Disposto In: Internet Coor.Benef.: IT73 B030 6932 6232 2480 8049 170 Banca Destinataria: 03069/32623-BCITITMM326 Data Ordine: 08/05/26 Data Regolamento: 08/05/26 Cro: 45FF09CBF68746A4A45A6A113BCE3CE1 ISTANTANEO DA IT47F0344001600000003669900 (AMIMI'M</t>
  </si>
  <si>
    <t>Pagamenti paesi NON UE carta N. 00 0 DEL 05/05/26 Valuta USD Paese Stati Uniti C/O KLAVIYO INC. SOFTWARE KLAVIYO.COM CARTA N. 497018******3299 - CIRCUITO VISA</t>
  </si>
  <si>
    <t>COMMISSIONI FIL: 00013 N.DIST.: 00 0000027068394/000</t>
  </si>
  <si>
    <t>COMMISSIONI FIL: 00013 N.DIST.: 00 0000027068392/000</t>
  </si>
  <si>
    <t>commissioni su bonifici istantanei</t>
  </si>
  <si>
    <t>Pagamenti paesi UE carta N. 000 DE L 08/05/26 Valuta EUR Paese Italia C/O UPS_IT Milano CARTA N. 497018******3299 - CIRCUITO VISA</t>
  </si>
  <si>
    <t>734826432 REMOTE BANKING-VS/DISPOSIZIONE A FAVORE DI Bomber S.a.s Consulenza Web Marketing FIL: 00013 N.DIST.: 000000027083901/000 MOD.REG.: BO</t>
  </si>
  <si>
    <t>COMMISSIONI FIL: 00013 N.DIST.: 00 0000027083901/000</t>
  </si>
  <si>
    <t>BONIFICI ALL'ESTERO DATA OP.: 2026 -05-15 N.LOG: 00006203 Sita Crafts Sanganer,Jaipur invoice SC26 27-021 AND invoice SC2 5 26-153 RIF. Sita Crafts IMP.SPESE 15,00 COMMISSIONI 3,00 RECUPERO SPESE OUR 0,00 DIVISA PAGAMENTO EUR IMPORTO ORIGINARIO 1.265,90 CAMBIO A. 1,00000000 NUMERO CONTO BEN. UTIB0000010 PAESE BEN. 114 INDIA BANCA BEN. AXISINBB433</t>
  </si>
  <si>
    <t>OPERAZIONI ESTERO - COMMISSIONI E SPESE DATA OP.: 2026-05-15 N.LOG: 00006203 COMM.INTERVENTO</t>
  </si>
  <si>
    <t>DELEGHE VIRTUALI DA ADE 068 145595 80965 I24 26399553432 43</t>
  </si>
  <si>
    <t>736257175 REMOTE BANKING-VS/DISPOSIZIONE A FAVORE DI MLM Mazzola s.r.l. n 501/2026 FIL: 00013 N.DIST.: 000000027147509/000 MOD.REG.: BO</t>
  </si>
  <si>
    <t>736257162 REMOTE BANKING-VS/DISPOSIZIONE A FAVORE DI TWS EXPRESS COURIER SRL Documento n. 3684/ 2026 FIL: 00013 N.DIST.: 000000027147508/000 MOD.REG.: BO</t>
  </si>
  <si>
    <t>736257125 REMOTE BANKING-VS/DISPOSIZIONE A FAVORE DI MLM Mazzola s.r.l. 647/2026 FIL: 00013 N.DIST.: 000000027147507/000 MOD.REG.: BO</t>
  </si>
  <si>
    <t>Pagamenti paesi UE carta N. 000 DE L 15/05/26 Valuta EUR Paese Irlanda C/O OPENAI *CHATGPT SUBSCR DUBLIN CARTA N. 497018******3299 - CIRCUITO VISA</t>
  </si>
  <si>
    <t>COMMISSIONI FIL: 00013 N.DIST.: 00 0000027147509/000</t>
  </si>
  <si>
    <t>COMMISSIONI FIL: 00013 N.DIST.: 00 0000027147508/000</t>
  </si>
  <si>
    <t>COMMISSIONI FIL: 00013 N.DIST.: 00 0000027147507/000</t>
  </si>
  <si>
    <t>ADDEBITO DIRETTO CORE RCUR Prg.Car .: 261391116000133 4D6J225BLAW8Q AMIMI MILANO S.R.L. LU96ZZZ0000000000000000058 PayPal Europe S.a.r.l. et Cie S.C.A - 1050395945613/PAYPAL - PPLXLUL2</t>
  </si>
  <si>
    <t>DA VERIFICARE (PayPal Acquisto da Gifa s.r.l.)</t>
  </si>
  <si>
    <t>736869238 REMOTE BANKING-VS/DISPOSIZIONE A FAVORE DI Verpell di verrascina francesco e c. snc fatture fpv 30/26 primo saldo FIL: 00013 N.DIST.: 000000027175873/000 MOD.REG.: BO</t>
  </si>
  <si>
    <t>Pagamenti paesi UE carta N. 000 DE L 18/05/26 Valuta EUR Paese Italia C/O MMIMMAGINE SIRONE CARTA N. 497018******3299 - CIRCUITO VISA</t>
  </si>
  <si>
    <t>COMMISSIONI FIL: 00013 N.DIST.: 00 0000027175873/000</t>
  </si>
  <si>
    <t>Pagamenti paesi UE carta N. 000 DE L 19/05/26 Valuta EUR Paese Irlanda C/O Adobe Saggart, Dubl CARTA N. 497018******3299 - CIRCUITO VISA</t>
  </si>
  <si>
    <t>Pagamenti paesi UE carta N. 000 DE L 19/05/26 Valuta EUR Paese Spagna C/O PACKLINK - AUCTANE SL MADRID CARTA N. 497018******3299 - CIRCUITO VISA</t>
  </si>
  <si>
    <t>737304531 REMOTE BANKING-VS/DISPOSIZIONE A FAVORE DI STUDIO ASSOCIATO TRIBUTARIO E SOCIETARIO CSSF Documento n. 305/2026 FIL: 00013 N.DIST.: 000000027195598/000 MOD.REG.: BO</t>
  </si>
  <si>
    <t>737298078 REMOTE BANKING-VS/DISPOSIZIONE A FAVORE DI arcobaleno srl ultima fattura FIL: 00013 N.DIST.: 000000027195281/000 MOD.REG.: BO</t>
  </si>
  <si>
    <t>DA VERIFICARE (Arcobaleno)</t>
  </si>
  <si>
    <t>COMMISSIONI FIL: 00013 N.DIST.: 00 0000027195598/000</t>
  </si>
  <si>
    <t>COMMISSIONI FIL: 00013 N.DIST.: 00 0000027195281/000</t>
  </si>
  <si>
    <t>Pagamenti paesi UE carta N. 000 DE L 22/05/26 Valuta EUR Paese Italia C/O ENI 02188 MILANO CARTA N. 497018******3299 - CIRCUITO VISA</t>
  </si>
  <si>
    <t>DA VERIFICARE (carburante ENI)</t>
  </si>
  <si>
    <t>Pagamenti paesi UE carta N. 000 DE L 22/05/26 Valuta EUR Paese Italia C/O SCIAMADDA SESTRI LEVANT CARTA N. 497018******3299 - CIRCUITO VISA</t>
  </si>
  <si>
    <t>ADDEBITO DIRETTO CORE RCUR Prg.Car .: 261460576000343 4D6J225BLAW8Q AMIMI MILANO S.R.L. LU96ZZZ0000000000000000058 PayPal Europe S.a.r.l. et Cie S.C.A - 1050536474616/PAYPAL - PPLXLUL2</t>
  </si>
  <si>
    <t>AUTO (PayPal SEPA a Roberta Bergamini, pag.25/05)</t>
  </si>
  <si>
    <t>ADDEBITO DIRETTO CORE RCUR Prg.Car .: 261460576000342 4D6J225BLAW8Q AMIMI MILANO S.R.L. LU96ZZZ0000000000000000058 PayPal Europe S.a.r.l. et Cie S.C.A - 1050531323319/PAYPAL - PPLXLUL2</t>
  </si>
  <si>
    <t>AUTO (PayPal SEPA a Greta Monari, pag.25/05)</t>
  </si>
  <si>
    <t>Pagamenti paesi NON UE carta N. 00 0 DEL 23/05/26 Valuta USD Paese Stati Uniti C/O KLAVIYO INC. SOFTWARE KLAVIYO.COM CARTA N. 497018******3299 - CIRCUITO VISA</t>
  </si>
  <si>
    <t>Pagamenti paesi UE carta N. 000 DE L 23/05/26 Valuta EUR Paese Italia C/O PENNY MARKET S.R.L. MILANO CARTA N. 497018******3299 - CIRCUITO VISA</t>
  </si>
  <si>
    <t>Pagamenti paesi UE carta N. 000 DE L 25/05/26 Valuta EUR Paese Spagna C/O PACKLINK - AUCTANE SL MADRID CARTA N. 497018******3299 - CIRCUITO VISA</t>
  </si>
  <si>
    <t>PayPal - Pagamento a Roberta Bergamini (addebito SEPA atteso giugno)</t>
  </si>
  <si>
    <t>AUTO (PayPal, non ancora a estratto banca)</t>
  </si>
  <si>
    <t>PayPal - Pagamento a Greta Monari (addebito SEPA atteso giugno)</t>
  </si>
  <si>
    <t>PayPal - Pagamento a Meta Platforms, Inc. (addebito SEPA atteso giugno)</t>
  </si>
  <si>
    <t>COMMISSIONI FIL: 00013 N.DIST.: 00 0000027238715/000</t>
  </si>
  <si>
    <t>738238293 REMOTE BANKING-VS/DISPOSIZIONE A FAVORE DI Verpell di verrascina francesco e c. snc seconda tranche fattura30/26 FIL: 00013 N.DIST.: 000000027238715/000 MOD.REG.: BO</t>
  </si>
  <si>
    <t>Pagamenti paesi UE carta N. 000 DE L 28/05/26 Valuta EUR Paese Italia C/O ENI CORMANO CORMANO CARTA N. 497018******3299 CIRCUITO VISA</t>
  </si>
  <si>
    <t>DA VERIFICARE - carburante trasferta</t>
  </si>
  <si>
    <t>Pagamenti paesi UE carta N. 000 DE L 01/06/26 Valuta EUR Paese Italia C/O GOOGLE*WORKSPACE AMIMI CC GOOGLE.COM CARTA N. 497018******3299 CIRCUITO VISA</t>
  </si>
  <si>
    <t>COMMISSIONI FIL: 00013 N.DIST.: 00 0000027276045/000</t>
  </si>
  <si>
    <t>739042832 REMOTE BANKING-VS/DISPOSIZIONE A FAVORE DI BEYOND DI ULLRICH MARTIN fattura 8/26 del 13/04 FIL: 00013 N.DIST.: 000000027276045/000 MOD.REG.: BO</t>
  </si>
  <si>
    <t>COMMISSIONI FIL: 00013 N.DIST.: 00 0000027304354/000</t>
  </si>
  <si>
    <t>COMPETENZE SPESE DI TENUTA CONTO</t>
  </si>
  <si>
    <t>Pagamenti paesi UE carta N. 000 DE L 06/06/26 Valuta EUR Paese Spagna C/O TIBERI CIUTADELLA CARTA N. 497018******3299 CIRCUITO VISA</t>
  </si>
  <si>
    <t>DA VERIFICARE - pasto/ristorante (possibile Eventi)</t>
  </si>
  <si>
    <t>739689925 REMOTE BANKING-VS/DISPOSIZIONE A FAVORE DI BIONDO BROTHERS S.A.S. DI MARIO BIONDO PREVENTIVO 574 FIL: 00013 N.DIST.: 000000027304354/000 MOD.REG.: BO</t>
  </si>
  <si>
    <t>DA VERIFICARE - fornitore (preventivo 574), possibile COGS</t>
  </si>
  <si>
    <t>COMMISSIONI FIL: 00013 N.DIST.: 00 0000027320335/000</t>
  </si>
  <si>
    <t>740056784 REMOTE BANKING-VS/DISPOSIZIONE A FAVORE DI SIPEC S.P.A. saldo ultima fattura FIL: 00013 N.DIST.: 000000027320335/000 MOD.REG.: BO</t>
  </si>
  <si>
    <t>DA VERIFICARE - fornitore (saldo fattura), possibile COGS</t>
  </si>
  <si>
    <t>COMMISSIONI FIL: 00013 N.DIST.: 00 0000027342653/000</t>
  </si>
  <si>
    <t>740583565 REMOTE BANKING-VS/DISPOSIZIONE A FAVORE DI FADA TESSUTI SRL 386/F FIL: 00013 N.DIST.: 000000027342653/000 MOD.REG.: BO</t>
  </si>
  <si>
    <t>Pagamenti paesi UE carta N. 000 DE L 09/06/26 Valuta EUR Paese Italia C/O GRASSI PIERA SAS MILANO CARTA N. 497018******3299 CIRCUITO VISA</t>
  </si>
  <si>
    <t>Pagamenti paesi UE carta N. 000 DE L 09/06/26 Valuta EUR Paese Italia C/O DA RITA E ANTONIO MILANO CARTA N. 497018******3299 CIRCUITO VISA</t>
  </si>
  <si>
    <t>Pagamenti paesi NON UE carta N. 00 0 DEL 08/06/26 Valuta GBP Paese Stati Uniti C/O ANTHROPIC* CLAUDE SUB ANTHROPIC.COM CARTA N. 497018******3299 CIRCUITO VISA</t>
  </si>
  <si>
    <t>DA VERIFICARE - software (possibile Ufficio)</t>
  </si>
  <si>
    <t>DELEGHE VIRTUALI DA ADE 068 145595 80965 I24 27265792039 53</t>
  </si>
  <si>
    <t>OPERAZIONI ESTERO COMMISSIONI E SPESE DATA OP.: 2026-06-17 N.LOG: 00011281 COMM.INTERVENTO</t>
  </si>
  <si>
    <t>DA VERIFICARE - commissioni bonifico estero (banca)</t>
  </si>
  <si>
    <t>BONIFICI ALL'ESTERO DATA OP.: 2026 -06-17 N.LOG: 00011281 SITA CRAFTS INDIA FIRST TRANCHE INVOICE SC26 27-020 RIF. SITA CRAFTS IMP.SPESE 15,00 COMMISSIONI 3,00 RECUPERO SPESE OUR 0,00 DIVISA PAGAMENTO</t>
  </si>
  <si>
    <t>Sita Crafts</t>
  </si>
  <si>
    <t>DA VERIFICARE - fornitore India accessori (COGS, non sommato in CE)</t>
  </si>
  <si>
    <t>Pagamenti paesi UE carta N. 000 DE L 15/06/26 Valuta EUR Paese Italia C/O CAFE' FABRIQUE VIA G... MILANO CARTA N. 497018******3299 CIRCUITO VISA</t>
  </si>
  <si>
    <t>Pagamenti paesi UE carta N. 000 DE L 15/06/26 Valuta EUR Paese Irlanda C/O OPENAI *CHATGPT SUBSCR DUBLIN CARTA N. 497018******3299 CIRCUITO VISA</t>
  </si>
  <si>
    <t>COMMISSIONI FIL: 00013 N.DIST.: 00 0000027398813/000</t>
  </si>
  <si>
    <t>Pagamenti paesi UE carta N. 000 DE L 16/06/26 Valuta EUR Paese Italia C/O Cactus KitchenBar Milano CARTA N. 497018******3299 CIRCUITO VISA</t>
  </si>
  <si>
    <t>Pagamenti paesi UE carta N. 000 DE L 16/06/26 Valuta EUR Paese Italia C/O TESSUTI E SCAMPOLI MILANO CARTA N. 497018******3299 CIRCUITO VISA</t>
  </si>
  <si>
    <t>741872540 REMOTE BANKING-VS/DISPOSIZIONE A FAVORE DI Verpell di verrascina francesco e c. snc nr. FPV 39/26 FIL: 00013 N.DIST.: 000000027398813/000 MOD.REG.: BO</t>
  </si>
  <si>
    <t>Pagamenti paesi UE carta N. 000 DE L 17/06/26 Valuta EUR Paese Italia C/O Cactus KitchenBar Milano CARTA N. 497018******3299 CIRCUITO VISA</t>
  </si>
  <si>
    <t>Pagamenti paesi UE carta N. 000 DE L 19/06/26 Valuta EUR Paese Irlanda C/O Adobe Systems Software IrSaggart, Dubl CARTA N. 497018******3299 CIRCUITO VISA</t>
  </si>
  <si>
    <t>Pagamenti paesi UE carta N. 000 DE L 17/06/26 Valuta EUR Paese Italia C/O BFP SERVICES SRLS Lomagna CARTA N. 497018******3299 CIRCUITO VISA</t>
  </si>
  <si>
    <t>DA VERIFICARE</t>
  </si>
  <si>
    <t>Pagamenti paesi UE carta N. 000 DE L 20/06/26 Valuta EUR Paese Irlanda C/O Adobe Systems Software IrSaggart, Dubl CARTA N. 497018******3299 CIRCUITO VISA</t>
  </si>
  <si>
    <t>Pagamenti paesi UE carta N. 000 DE L 22/06/26 Valuta EUR Paese Italia C/O CAFE' FABRIQUE VIA G... MILANO CARTA N. 497018******3299 CIRCUITO VISA</t>
  </si>
  <si>
    <t>Pagamenti paesi UE carta N. 000 DE L 23/06/26 Valuta EUR Paese Italia C/O BAKERY PRINCI MOSCOVA MILANO CARTA N. 497018******3299 CIRCUITO VISA</t>
  </si>
  <si>
    <t>Pagamenti paesi UE carta N. 000 DE L 23/06/26 Valuta EUR Paese Italia C/O BOTTADIVITA S.R.L. MILANO CARTA N. 497018******3299 CIRCUITO VISA</t>
  </si>
  <si>
    <t>Pagamenti paesi NON UE carta N. 00 0 DEL 23/06/26 Valuta USD Paese Stati Uniti C/O KLAVIYO INC. SOFTWARE KLAVIYO.COM CARTA N. 497018******3299 CIRCUITO VISA</t>
  </si>
  <si>
    <t>PayPal - Pagamento a Roberta Bergamini (bonifico SEPA su Banco Desio a luglio)</t>
  </si>
  <si>
    <t>DA PayPal 29/06 - COGS - SALTARE l'addebito SEPA su Banco Desio a luglio</t>
  </si>
  <si>
    <t>PayPal - Pagamento a Greta Monari (bonifico SEPA su Banco Desio a luglio)</t>
  </si>
  <si>
    <t>PayPal - Pagamento a BOMA EU B.V. Dutchlabelshop (da saldo PayPal, non transita su banca)</t>
  </si>
  <si>
    <t>Dutchlabelshop</t>
  </si>
  <si>
    <t>DA PayPal 29/06 - COGS etichette (fornitore gia' COGS r79 02/03) - pagato da saldo PayPal, non arriva su Banco Desio</t>
  </si>
  <si>
    <t>Column 2</t>
  </si>
  <si>
    <t>Column 3</t>
  </si>
  <si>
    <t>Selling Price</t>
  </si>
  <si>
    <t>Retail price senza IVA ADJ netto discount</t>
  </si>
  <si>
    <t>Markup Effettivo</t>
  </si>
  <si>
    <t>Markup con IVA</t>
  </si>
  <si>
    <t>Retail Price con IVA (cost plus)</t>
  </si>
  <si>
    <t>IVA (22%)</t>
  </si>
  <si>
    <t>Retail Price netto IVA</t>
  </si>
  <si>
    <t>0</t>
  </si>
  <si>
    <t>Retail Price con IVA (prezzo di listino)</t>
  </si>
  <si>
    <t>Retail Price senza IVA</t>
  </si>
  <si>
    <t>Markup con IVA (listino)</t>
  </si>
  <si>
    <t>Markup netto IVA</t>
  </si>
  <si>
    <t>Sell Thru</t>
  </si>
  <si>
    <t>Full price</t>
  </si>
  <si>
    <t>Discount</t>
  </si>
  <si>
    <t>% Discount</t>
  </si>
  <si>
    <t>Markup Lordo IVA ADJ</t>
  </si>
  <si>
    <t>Markup Netto IVA ADJ</t>
  </si>
  <si>
    <t>Retail price con IVA ADJ netto sconto</t>
  </si>
  <si>
    <t>MdC Retail</t>
  </si>
  <si>
    <t>% MdC Retail</t>
  </si>
  <si>
    <t>MarkUp Wholesale</t>
  </si>
  <si>
    <t>Wholesale price (cost plus)</t>
  </si>
  <si>
    <t>MarkUp Retail</t>
  </si>
  <si>
    <t>Suggested retail price</t>
  </si>
  <si>
    <t>MdC Wholesale</t>
  </si>
  <si>
    <t>% MdC Wholesale</t>
  </si>
  <si>
    <t>Ordine minimo</t>
  </si>
  <si>
    <t>Fatturato Wholesale</t>
  </si>
  <si>
    <t>MdC Wholesale minimo</t>
  </si>
  <si>
    <t>Canali Vendita</t>
  </si>
  <si>
    <t>Retail</t>
  </si>
  <si>
    <t>On-line</t>
  </si>
  <si>
    <t>Wholesale</t>
  </si>
  <si>
    <t>Lea_Bag_Maxi_Asole</t>
  </si>
  <si>
    <t>Isabella_Scarf</t>
  </si>
  <si>
    <t>Isabella_Hand_Warmer</t>
  </si>
  <si>
    <t>Lea_Bag_BLUETTE</t>
  </si>
  <si>
    <t>Lea_Bag_DARK_LEOPARD_PONY</t>
  </si>
  <si>
    <t>Lea_Bag_ROSE</t>
  </si>
  <si>
    <t>LEA_BAG_DARK_ZEBRA</t>
  </si>
  <si>
    <t>Lea_Bag_VERNICE_VIOLA</t>
  </si>
  <si>
    <t>Lola_Bag_CIPRIA_VELVET</t>
  </si>
  <si>
    <t>Valentina_Bag_LEOPARDO</t>
  </si>
  <si>
    <t>Valentina_Bag_PINK</t>
  </si>
  <si>
    <t>Lea_Bag_Cavallino_Verde_Militare</t>
  </si>
  <si>
    <t>Lea_Bag_Cavallino_Verde_Kaki</t>
  </si>
  <si>
    <t>Lea_Bag_Espresso</t>
  </si>
  <si>
    <t>Agata_Bag_Floral_Orange_Embroidery</t>
  </si>
  <si>
    <t>Isabella_Hand_warmer_Burgundy_and_Light_Blue</t>
  </si>
  <si>
    <t>Lea_Bag_Maxi</t>
  </si>
  <si>
    <t>Lola_Bag</t>
  </si>
  <si>
    <t>Lea_Bag_TEST_BOTFIX</t>
  </si>
  <si>
    <t>Valentina_Bag_RED_PELLE_RUVIDA</t>
  </si>
  <si>
    <t>Lea_Bag_GREEN</t>
  </si>
  <si>
    <t>Annie_Bag_Pink/Interno_Verde</t>
  </si>
  <si>
    <t>Lea_Bag_Vernice_Blu</t>
  </si>
  <si>
    <t>Annie_Bag_Black</t>
  </si>
  <si>
    <t>Annie_Bag_Difetto</t>
  </si>
  <si>
    <t>Charm</t>
  </si>
  <si>
    <t>Airpodscase_Zebra</t>
  </si>
  <si>
    <t>Lea_Bag_Suede_Light_Grey</t>
  </si>
  <si>
    <t>Agata_Bag_PAILLETTES_NUDE</t>
  </si>
  <si>
    <t>Agata_Bag_GREEN_EMBROIDERY</t>
  </si>
  <si>
    <t>Agata_Bag_PINK_EMBROIDERY</t>
  </si>
  <si>
    <t>ANNIE_BAG_BROWN_CHOCOLATE</t>
  </si>
  <si>
    <t>AGATA_BAG_ROSE_PINK</t>
  </si>
  <si>
    <t>Agata_Bag_Paillettes_Black</t>
  </si>
  <si>
    <t>Annie_Bag_Silk_Grey</t>
  </si>
  <si>
    <t>Annie_Bag_paillettes_Green</t>
  </si>
  <si>
    <t>Agata_Bag_Tie_Dye_Orange</t>
  </si>
  <si>
    <t>Lola_Bag_Velvet_Purple</t>
  </si>
  <si>
    <t>Lola_Bag_Yellow</t>
  </si>
  <si>
    <t>Nina_Bag_PISTACCHIO</t>
  </si>
  <si>
    <t>Red Patent</t>
  </si>
  <si>
    <t>Annie_Bag_Paillettes_Turquoise</t>
  </si>
  <si>
    <t>Lea_Bag_Muccata_Nera</t>
  </si>
  <si>
    <t>Cocco_Orange</t>
  </si>
  <si>
    <t>Lea_Bag_COCCO_VIOLA</t>
  </si>
  <si>
    <t>Cocco_Viola</t>
  </si>
  <si>
    <t>Maxi Suede Chocolate</t>
  </si>
  <si>
    <t>Lea_Bag_SUEDE_CHOCOLATE_CHARM</t>
  </si>
  <si>
    <t>Suede Chocolate Charm</t>
  </si>
  <si>
    <t>Cocco Pink</t>
  </si>
  <si>
    <t>cocco green</t>
  </si>
  <si>
    <t>Sveva_Bag_LIGHT_CHOCOLATE</t>
  </si>
  <si>
    <t>Rose Butter</t>
  </si>
  <si>
    <t>Rose Butter Green</t>
  </si>
  <si>
    <t>Annie_Bag_SILK_PINK</t>
  </si>
  <si>
    <t>SILK PINK</t>
  </si>
  <si>
    <t>Nina_Bag_PINK_BARBIE</t>
  </si>
  <si>
    <t>Cocco Purple</t>
  </si>
  <si>
    <t>Pink Crystal Beads</t>
  </si>
  <si>
    <t>Cocco Beige</t>
  </si>
  <si>
    <t>Annie_Bag_LILAC</t>
  </si>
  <si>
    <t>Annie_Bag_DEEP_PURPLE</t>
  </si>
  <si>
    <t>Annie_Bag_TURQUOISE_SILK</t>
  </si>
  <si>
    <t>Agata_Bag_TIE_DYE_RED</t>
  </si>
  <si>
    <t>Annie_Bag_paillettes_Bordeaux</t>
  </si>
  <si>
    <t>Nina_Bag_Maxi_Blue_Ocean</t>
  </si>
  <si>
    <t>Annie_Bag_Silk_Lilla</t>
  </si>
  <si>
    <t>Green Piercing</t>
  </si>
  <si>
    <t>Ice Blue Piercing</t>
  </si>
  <si>
    <t>Black Piercing</t>
  </si>
  <si>
    <t>Sveva_Bag_Black</t>
  </si>
  <si>
    <t>Embroidery White</t>
  </si>
  <si>
    <t>ID_Acquisto</t>
  </si>
  <si>
    <t>Data</t>
  </si>
  <si>
    <t>Tipologia</t>
  </si>
  <si>
    <t>Item</t>
  </si>
  <si>
    <t>Variant</t>
  </si>
  <si>
    <t>Quantita</t>
  </si>
  <si>
    <t>Unita_Misura</t>
  </si>
  <si>
    <t>Costo_Unitario</t>
  </si>
  <si>
    <t>Costo_Totale</t>
  </si>
  <si>
    <t>Fornitore</t>
  </si>
  <si>
    <t>Riferimento_Documento</t>
  </si>
  <si>
    <t>ONLINE</t>
  </si>
  <si>
    <t>Acquisto1</t>
  </si>
  <si>
    <t>16/02/2026</t>
  </si>
  <si>
    <t>Prodotto Finito</t>
  </si>
  <si>
    <t>BAG</t>
  </si>
  <si>
    <t>Francesco VERPELL</t>
  </si>
  <si>
    <t>1 ha difetto</t>
  </si>
  <si>
    <t>Acquisto2</t>
  </si>
  <si>
    <t>Acquisto3</t>
  </si>
  <si>
    <t>2 ha difetto</t>
  </si>
  <si>
    <t>Acquisto4</t>
  </si>
  <si>
    <t>Acquisto5</t>
  </si>
  <si>
    <t>Acquisto6</t>
  </si>
  <si>
    <t>Acquisto7</t>
  </si>
  <si>
    <t>Ricodificato da Cavallino Verde Kaki (codice italiano orfano), conta fisica 10-06</t>
  </si>
  <si>
    <t>Acquisto8</t>
  </si>
  <si>
    <t>Acquisto9</t>
  </si>
  <si>
    <t>Acquisto10</t>
  </si>
  <si>
    <t>Acquisto11</t>
  </si>
  <si>
    <t>Acquisto12</t>
  </si>
  <si>
    <t>Acquisto13</t>
  </si>
  <si>
    <t>Acquisto14</t>
  </si>
  <si>
    <t>Acquisto15</t>
  </si>
  <si>
    <t>LISCIO_ROSSO</t>
  </si>
  <si>
    <t>Materia Prima</t>
  </si>
  <si>
    <t>PELLE</t>
  </si>
  <si>
    <t>LISCIO</t>
  </si>
  <si>
    <t>ROSSO</t>
  </si>
  <si>
    <t>Metri Quadrati</t>
  </si>
  <si>
    <t>CISA PELLI</t>
  </si>
  <si>
    <t>Acquisto16</t>
  </si>
  <si>
    <t>NAPPA_ROSSA</t>
  </si>
  <si>
    <t>NAPPA</t>
  </si>
  <si>
    <t>ROSSA</t>
  </si>
  <si>
    <t>ZEUS</t>
  </si>
  <si>
    <t>Acquisto17</t>
  </si>
  <si>
    <t>NAPPA_BURRO</t>
  </si>
  <si>
    <t>BURRO</t>
  </si>
  <si>
    <t>Acquisto18</t>
  </si>
  <si>
    <t>NAPPA_VERDE_MELA</t>
  </si>
  <si>
    <t>VERDE MELA</t>
  </si>
  <si>
    <t>Acquisto19</t>
  </si>
  <si>
    <t>NAPPA_BORDEAUX</t>
  </si>
  <si>
    <t>BORDEAUX</t>
  </si>
  <si>
    <t>Acquisto20</t>
  </si>
  <si>
    <t>NAPPA_ROSSO_SCURO</t>
  </si>
  <si>
    <t>ROSSO SCURO</t>
  </si>
  <si>
    <t>Acquisto21</t>
  </si>
  <si>
    <t>COCCO_ROSSO</t>
  </si>
  <si>
    <t>COCCO</t>
  </si>
  <si>
    <t>Acquisto22</t>
  </si>
  <si>
    <t>COCCO_BURRO</t>
  </si>
  <si>
    <t>Acquisto23</t>
  </si>
  <si>
    <t>COCCO_VIOLA</t>
  </si>
  <si>
    <t>VIOLA</t>
  </si>
  <si>
    <t>Acquisto24</t>
  </si>
  <si>
    <t>COCCO_ARANCIO</t>
  </si>
  <si>
    <t>ARANCIO</t>
  </si>
  <si>
    <t>Acquisto25</t>
  </si>
  <si>
    <t>COCCO_VERDE</t>
  </si>
  <si>
    <t>VERDE</t>
  </si>
  <si>
    <t>Acquisto26</t>
  </si>
  <si>
    <t>COCCO_MILITARE</t>
  </si>
  <si>
    <t>MILITARE</t>
  </si>
  <si>
    <t>Acquisto27</t>
  </si>
  <si>
    <t>COCCO_ROSA</t>
  </si>
  <si>
    <t>ROSA</t>
  </si>
  <si>
    <t>Acquisto28</t>
  </si>
  <si>
    <t>COCCO_BLACK</t>
  </si>
  <si>
    <t>Acquisto29</t>
  </si>
  <si>
    <t>CAVALLINO_ASTRACAN_BLACK</t>
  </si>
  <si>
    <t>CAVALLINO</t>
  </si>
  <si>
    <t>ASTRACAN BLACK</t>
  </si>
  <si>
    <t>Acquisto30</t>
  </si>
  <si>
    <t>CAVALLINO_LEOPARDO</t>
  </si>
  <si>
    <t>LEOPARDO</t>
  </si>
  <si>
    <t>Acquisto31</t>
  </si>
  <si>
    <t>CAVALLINO_VERDE_KAKI</t>
  </si>
  <si>
    <t>VERDE KAKI</t>
  </si>
  <si>
    <t>Acquisto32</t>
  </si>
  <si>
    <t>CAVALLINO_ZEBRA_VERED</t>
  </si>
  <si>
    <t>ZEBRA VERED</t>
  </si>
  <si>
    <t>Acquisto33</t>
  </si>
  <si>
    <t>CAVALLINO_BLACK</t>
  </si>
  <si>
    <t>Acquisto34</t>
  </si>
  <si>
    <t>CAVALLINO_MARRONE</t>
  </si>
  <si>
    <t>MARRONE</t>
  </si>
  <si>
    <t>Acquisto35</t>
  </si>
  <si>
    <t>CAVALLINO_MARRONE_SCURO</t>
  </si>
  <si>
    <t>MARRONE SCURO</t>
  </si>
  <si>
    <t>Acquisto36</t>
  </si>
  <si>
    <t>CAVALLINO_POIS</t>
  </si>
  <si>
    <t>Acquisto37</t>
  </si>
  <si>
    <t>CAVALLINO_GIRAFFA</t>
  </si>
  <si>
    <t>GIRAFFA</t>
  </si>
  <si>
    <t>Acquisto38</t>
  </si>
  <si>
    <t>CAVALLINO_COCCO_NERO</t>
  </si>
  <si>
    <t>COCCO NERO</t>
  </si>
  <si>
    <t>Acquisto39</t>
  </si>
  <si>
    <t>CAVALLINO_BORDEAUX</t>
  </si>
  <si>
    <t>Acquisto40</t>
  </si>
  <si>
    <t>SUEDE_SENAPE</t>
  </si>
  <si>
    <t>SUEDE</t>
  </si>
  <si>
    <t>SENAPE</t>
  </si>
  <si>
    <t>Acquisto41</t>
  </si>
  <si>
    <t>SUEDE_VERDE_ACQUA</t>
  </si>
  <si>
    <t>VERDE ACQUA</t>
  </si>
  <si>
    <t>Acquisto42</t>
  </si>
  <si>
    <t>SUEDE_AZZURRO</t>
  </si>
  <si>
    <t>AZZURRO</t>
  </si>
  <si>
    <t>Acquisto43</t>
  </si>
  <si>
    <t>SUEDE_VERDE_BOTTIGLIA</t>
  </si>
  <si>
    <t>VERDE BOTTIGLIA</t>
  </si>
  <si>
    <t>Acquisto44</t>
  </si>
  <si>
    <t>19/02/2026</t>
  </si>
  <si>
    <t>Martina</t>
  </si>
  <si>
    <t>Acquisto45</t>
  </si>
  <si>
    <t>Acquisto46</t>
  </si>
  <si>
    <t>Acquisto47</t>
  </si>
  <si>
    <t>Acquisto48</t>
  </si>
  <si>
    <t>Acquisto49</t>
  </si>
  <si>
    <t>23/02/2026</t>
  </si>
  <si>
    <t>Acquisto50</t>
  </si>
  <si>
    <t>gift</t>
  </si>
  <si>
    <t>Acquisto51</t>
  </si>
  <si>
    <t>Acquisto52</t>
  </si>
  <si>
    <t>Acquisto53</t>
  </si>
  <si>
    <t>Fodera_Cotone_BURRO</t>
  </si>
  <si>
    <t>FODERE</t>
  </si>
  <si>
    <t>Fodera Cotone</t>
  </si>
  <si>
    <t>Metri</t>
  </si>
  <si>
    <t>TESSUTI &amp; SCAMPOLI SRL</t>
  </si>
  <si>
    <t>Acquisto54</t>
  </si>
  <si>
    <t>Acquisto57</t>
  </si>
  <si>
    <t>recov_01</t>
  </si>
  <si>
    <t>Fodera_Cotone_AZZURRO</t>
  </si>
  <si>
    <t>FODERA</t>
  </si>
  <si>
    <t>recov_02</t>
  </si>
  <si>
    <t>Fodera_Cotone_VERDE_ACQUA</t>
  </si>
  <si>
    <t>recov_03</t>
  </si>
  <si>
    <t>Fodera_Cotone_ROSA_CIPRIA</t>
  </si>
  <si>
    <t>ROSA CIPRIA</t>
  </si>
  <si>
    <t>recov_04</t>
  </si>
  <si>
    <t>Fodera_Cotone_GRIGRIO_TOPO</t>
  </si>
  <si>
    <t>GRIGRIO TOPO</t>
  </si>
  <si>
    <t>recov_05</t>
  </si>
  <si>
    <t>Fodera_Cotone_GRIGIO_PERLA</t>
  </si>
  <si>
    <t>GRIGIO PERLA</t>
  </si>
  <si>
    <t>recov_06</t>
  </si>
  <si>
    <t>Fodera_Cotone_BLU_NOTTE</t>
  </si>
  <si>
    <t>BLU NOTTE</t>
  </si>
  <si>
    <t>recov_07</t>
  </si>
  <si>
    <t>Fodera_Poliseta_ROSA_CIPRIA</t>
  </si>
  <si>
    <t>Fodera Poliseta</t>
  </si>
  <si>
    <t>1 metro x 3 m altezza</t>
  </si>
  <si>
    <t>recov_08</t>
  </si>
  <si>
    <t>Fodera_Poliseta_VERDE_ACQUA</t>
  </si>
  <si>
    <t>0.7 m</t>
  </si>
  <si>
    <t>recov_09</t>
  </si>
  <si>
    <t>Cordini_4000_Beige_11</t>
  </si>
  <si>
    <t>ACCESSORIO</t>
  </si>
  <si>
    <t>Cordini_4000</t>
  </si>
  <si>
    <t>Beige_11</t>
  </si>
  <si>
    <t>LIOTEX</t>
  </si>
  <si>
    <t>recov_10</t>
  </si>
  <si>
    <t>Cordini_4000_Turchese_95</t>
  </si>
  <si>
    <t>Turchese_95</t>
  </si>
  <si>
    <t>recov_11</t>
  </si>
  <si>
    <t>Cordini_4000_Verde_Chiaro_11</t>
  </si>
  <si>
    <t>Verde Chiaro_11</t>
  </si>
  <si>
    <t>recov_12</t>
  </si>
  <si>
    <t>Cordini_4000_Rosa_Cipria_23</t>
  </si>
  <si>
    <t>Rosa Cipria_23</t>
  </si>
  <si>
    <t>recov_13</t>
  </si>
  <si>
    <t>Cordini_4000_Ruggine_36</t>
  </si>
  <si>
    <t>Ruggine_36</t>
  </si>
  <si>
    <t>da4509f7</t>
  </si>
  <si>
    <t>Cordini_4000_Grigio_Topo_29</t>
  </si>
  <si>
    <t>Grigio Topo_29</t>
  </si>
  <si>
    <t>e7a903d2</t>
  </si>
  <si>
    <t>Cordini_4000_Fucsia_40</t>
  </si>
  <si>
    <t>Fucsia_40</t>
  </si>
  <si>
    <t>737f883a</t>
  </si>
  <si>
    <t>Cordini_4000_Rosa_Antico_07</t>
  </si>
  <si>
    <t>Rosa Antico_07</t>
  </si>
  <si>
    <t>1b651cd2</t>
  </si>
  <si>
    <t>Cordini_4000_Blu_50</t>
  </si>
  <si>
    <t>Blu_50</t>
  </si>
  <si>
    <t>2a1f9618</t>
  </si>
  <si>
    <t>Cordini_4000_Verde_Militare_41</t>
  </si>
  <si>
    <t>Verde Militare_41</t>
  </si>
  <si>
    <t>67c10f24</t>
  </si>
  <si>
    <t>Cordini_4000_Blu_Scuro_25</t>
  </si>
  <si>
    <t>Blu Scuro_25</t>
  </si>
  <si>
    <t>7ad0682d</t>
  </si>
  <si>
    <t>Cordini_4000_Marrone_Cioccolato_24</t>
  </si>
  <si>
    <t>Marrone Cioccolato_24</t>
  </si>
  <si>
    <t>aee46acf</t>
  </si>
  <si>
    <t>fe1bc37f</t>
  </si>
  <si>
    <t>195b9178</t>
  </si>
  <si>
    <t>654adabf</t>
  </si>
  <si>
    <t>fca1dda6</t>
  </si>
  <si>
    <t>81496330</t>
  </si>
  <si>
    <t>837e4cdb</t>
  </si>
  <si>
    <t>non ancora presenti sul sito</t>
  </si>
  <si>
    <t>31106945</t>
  </si>
  <si>
    <t>b675d69a</t>
  </si>
  <si>
    <t>f4402c99</t>
  </si>
  <si>
    <t>6c9749ee</t>
  </si>
  <si>
    <t>05f2efa1</t>
  </si>
  <si>
    <t>VERPELL</t>
  </si>
  <si>
    <t>4168cc1b</t>
  </si>
  <si>
    <t>944ec385</t>
  </si>
  <si>
    <t>25ebef8a</t>
  </si>
  <si>
    <t>d0b5cd6a</t>
  </si>
  <si>
    <t>Roberta&amp;Greta</t>
  </si>
  <si>
    <t>00eecf71</t>
  </si>
  <si>
    <t>Riga DOPPIA azzerata (ordine reale era 10, vedi r96), conta fisica 10-06</t>
  </si>
  <si>
    <t>dba4f177</t>
  </si>
  <si>
    <t>885b1937</t>
  </si>
  <si>
    <t>91045699</t>
  </si>
  <si>
    <t>44bd228b</t>
  </si>
  <si>
    <t>3f9d3ad3</t>
  </si>
  <si>
    <t>aac34cbe</t>
  </si>
  <si>
    <t>d86b6b04</t>
  </si>
  <si>
    <t>91aa076e</t>
  </si>
  <si>
    <t>c95811f2</t>
  </si>
  <si>
    <t>1826b3ec</t>
  </si>
  <si>
    <t>10e923f9</t>
  </si>
  <si>
    <t>1cb20cf3</t>
  </si>
  <si>
    <t>9ed1b5f1</t>
  </si>
  <si>
    <t>a5f4360a</t>
  </si>
  <si>
    <t>ebbac121</t>
  </si>
  <si>
    <t>_</t>
  </si>
  <si>
    <t>aa55b3a1</t>
  </si>
  <si>
    <t>6ad2f755</t>
  </si>
  <si>
    <t>941ecc27</t>
  </si>
  <si>
    <t>19320b91</t>
  </si>
  <si>
    <t>ebbe8d84</t>
  </si>
  <si>
    <t>21e6b080</t>
  </si>
  <si>
    <t>0733e2b4</t>
  </si>
  <si>
    <t>9a542efb</t>
  </si>
  <si>
    <t>224466f6</t>
  </si>
  <si>
    <t>2eea7fdf</t>
  </si>
  <si>
    <t>d3216d24</t>
  </si>
  <si>
    <t>94e790ea</t>
  </si>
  <si>
    <t>d8171739</t>
  </si>
  <si>
    <t>42d040b3</t>
  </si>
  <si>
    <t>5e1923cb</t>
  </si>
  <si>
    <t>df73c910</t>
  </si>
  <si>
    <t>a8726d6e</t>
  </si>
  <si>
    <t>81cd2a0f</t>
  </si>
  <si>
    <t>01a89745</t>
  </si>
  <si>
    <t>f49d0185</t>
  </si>
  <si>
    <t>68b7c768</t>
  </si>
  <si>
    <t>7ecf97a9</t>
  </si>
  <si>
    <t>c1e3506b</t>
  </si>
  <si>
    <t>4b53e6c9</t>
  </si>
  <si>
    <t>6802c94d</t>
  </si>
  <si>
    <t>3905389c</t>
  </si>
  <si>
    <t>0b154aa5</t>
  </si>
  <si>
    <t>355bdc3a</t>
  </si>
  <si>
    <t>503a0600</t>
  </si>
  <si>
    <t>36de3a66</t>
  </si>
  <si>
    <t>Acq_ee82b88a</t>
  </si>
  <si>
    <t>India</t>
  </si>
  <si>
    <t>Acq_15fb7c9c</t>
  </si>
  <si>
    <t>Acq_7833161c</t>
  </si>
  <si>
    <t>Acq_31c5c648</t>
  </si>
  <si>
    <t>Acq_cafeb74a</t>
  </si>
  <si>
    <t>Acq_d96272e2</t>
  </si>
  <si>
    <t>Acq_381b0207</t>
  </si>
  <si>
    <t>Acq_7e9b7d82</t>
  </si>
  <si>
    <t>Acq_d9de06e1</t>
  </si>
  <si>
    <t>Acq_a5c26be5</t>
  </si>
  <si>
    <t>Acq_4e9dc792</t>
  </si>
  <si>
    <t>Acq_bda955a2</t>
  </si>
  <si>
    <t>Acq_ca4d2de0</t>
  </si>
  <si>
    <t>ACCESSORY</t>
  </si>
  <si>
    <t>7X9 STRIPES LIME PINK</t>
  </si>
  <si>
    <t>Acq_c491ea7a</t>
  </si>
  <si>
    <t>7X9 STRIPES CANDY PINK</t>
  </si>
  <si>
    <t>Acq_4b2b6ed3</t>
  </si>
  <si>
    <t>7X9 STRIPES RED</t>
  </si>
  <si>
    <t>Acq_ac43b125</t>
  </si>
  <si>
    <t>7X9 STRIPES LIGHT BLUE</t>
  </si>
  <si>
    <t>Acq_d6564f69</t>
  </si>
  <si>
    <t>Acq_98e8487d</t>
  </si>
  <si>
    <t>7X9 CHECKS FOREST GREEN</t>
  </si>
  <si>
    <t>Acq_9257f9e8</t>
  </si>
  <si>
    <t>9X11 STRIPES LIME PINK</t>
  </si>
  <si>
    <t>Acq_e170e644</t>
  </si>
  <si>
    <t>9X11 STRIPES CANDY PINK</t>
  </si>
  <si>
    <t>Acq_25228833</t>
  </si>
  <si>
    <t>9X11 STRIPES RED</t>
  </si>
  <si>
    <t>Acq_73c9b8b1</t>
  </si>
  <si>
    <t>9X11 STRIPES LIGHT BLUE</t>
  </si>
  <si>
    <t>Acq_a24baa3d</t>
  </si>
  <si>
    <t>Acq_5ea9e78a</t>
  </si>
  <si>
    <t>9X11 CHECKS FOREST GREEN</t>
  </si>
  <si>
    <t>Acq_f6bf63ec</t>
  </si>
  <si>
    <t>18X9 STRIPES LIME PINK</t>
  </si>
  <si>
    <t>Acq_b379a4db</t>
  </si>
  <si>
    <t>18X9 STRIPES CANDY PINK</t>
  </si>
  <si>
    <t>Acq_612fa03f</t>
  </si>
  <si>
    <t>18X9 STRIPES RED</t>
  </si>
  <si>
    <t>Acq_57e78a57</t>
  </si>
  <si>
    <t>18X9 STRIPES LIGHT BLUE</t>
  </si>
  <si>
    <t>Acq_ca986813</t>
  </si>
  <si>
    <t>Acq_0805f540</t>
  </si>
  <si>
    <t>18X9 CHECKS FOREST GREEN</t>
  </si>
  <si>
    <t>Acq_8c2047f9</t>
  </si>
  <si>
    <t>26X37 STRIPES LIME PINK</t>
  </si>
  <si>
    <t>Acq_8c4a3a95</t>
  </si>
  <si>
    <t>26X37 STRIPES CANDY PINK</t>
  </si>
  <si>
    <t>Acq_f00bf08b</t>
  </si>
  <si>
    <t>26X37 STRIPES RED</t>
  </si>
  <si>
    <t>Acq_f4917e6c</t>
  </si>
  <si>
    <t>26X37 STRIPES LIGHT BLUE</t>
  </si>
  <si>
    <t>Acq_983dfe9e</t>
  </si>
  <si>
    <t>Acq_094e1f39</t>
  </si>
  <si>
    <t>26X37 STRIPES FOREST GREEN</t>
  </si>
  <si>
    <t>Acq_8843cc86</t>
  </si>
  <si>
    <t>26X37 CHECKS ORANGE</t>
  </si>
  <si>
    <t>b8283b1a</t>
  </si>
  <si>
    <t>4d13aa20</t>
  </si>
  <si>
    <t>926d3428</t>
  </si>
  <si>
    <t>dfc0a47d</t>
  </si>
  <si>
    <t>c6fd5c7f</t>
  </si>
  <si>
    <t>1358b21d</t>
  </si>
  <si>
    <t>4e3c6c7a</t>
  </si>
  <si>
    <t>eb32b4ba</t>
  </si>
  <si>
    <t>ADJ_Bordeaux_20260608</t>
  </si>
  <si>
    <t>Ami Milano</t>
  </si>
  <si>
    <t>Rettifica giacenza: 2 pz stock pre-migrazione Ami Milano mai caricati (giac era -2). Conferma Ale/Benedetta 08/06/2026, COGS standard listino.</t>
  </si>
  <si>
    <t>f7a2c9e1</t>
  </si>
  <si>
    <t>ARR_Lea_Bag_Maxi_COCCO_BLACK_20260609</t>
  </si>
  <si>
    <t>Francesco (pelle)</t>
  </si>
  <si>
    <t>ARR_Lea_Bag_COCCO_BLACK_20260609</t>
  </si>
  <si>
    <t>ARR_Lea_Bag_COCCO_PURPLE_20260609</t>
  </si>
  <si>
    <t>COCCO PURPLE</t>
  </si>
  <si>
    <t>ARR_Lea_Bag_COCCO_GREEN_20260609</t>
  </si>
  <si>
    <t>ARR_Lea_Bag_LEOPARDO_SAVANA_20260609</t>
  </si>
  <si>
    <t>ADJ_Valentina_CHOCOLATE_20260609</t>
  </si>
  <si>
    <t>Rettifica giacenza: conteggio fisico 22 pz del 09/06/2026 (giacenza sistema era 10; vendute 12 = 8 Shopify + 4 offline). COGS standard listino.</t>
  </si>
  <si>
    <t>ADJ_Lea_Bag_Zebra_Dark_20260609</t>
  </si>
  <si>
    <t>Regolarizzazione sito-wins 2026-06-09: Shopify 6 vs gestionale 5 (LEA BAG DARK ZEBRA PONY)</t>
  </si>
  <si>
    <t>ADJ_Lea_Bag_PONY_COCCO_BLACK_20260609</t>
  </si>
  <si>
    <t>Regolarizzazione sito-wins 2026-06-09: Shopify 5 vs gestionale 0 (LEA BAG PONY COCCO BLACK) | AZZERATA conta fisica 10-06: reale 0, il sito aveva torto</t>
  </si>
  <si>
    <t>a6b1c835</t>
  </si>
  <si>
    <t>Personalizzazione matrimonio Cristina Amalto, vendita GIFT_OFFLINE r46</t>
  </si>
  <si>
    <t>5c27d6d9</t>
  </si>
  <si>
    <t>Seconda meta ordine da 10 (in origine caricate solo 5), conta fisica 10-06</t>
  </si>
  <si>
    <t>ADJ_Agata_Bag_Rose_Blue_20260610</t>
  </si>
  <si>
    <t>RETTIFICA conta fisica 10-06: reale 3 vs gestionale 2, costo 0</t>
  </si>
  <si>
    <t>ADJ_Lea_Bag_COCCO_BLACK_20260610</t>
  </si>
  <si>
    <t>RETTIFICA conta fisica 10-06: reale 10 vs gestionale 9, costo 0</t>
  </si>
  <si>
    <t>ADJ_Lea_Bag_BLUE_ELECTRIC_20260610</t>
  </si>
  <si>
    <t>RETTIFICA conta fisica 10-06: gestionale -1, reale 0, costo 0</t>
  </si>
  <si>
    <t>ADJ_Lea_Bag_GREEN_MILITARY_20260610</t>
  </si>
  <si>
    <t>RETTIFICA conta fisica 10-06: gestionale -1, reale 1, costo 0</t>
  </si>
  <si>
    <t>68e427ec</t>
  </si>
  <si>
    <t>Fodera_Poliseta_Bianca</t>
  </si>
  <si>
    <t>Bianca</t>
  </si>
  <si>
    <t>b4f33f2b</t>
  </si>
  <si>
    <t>Tessuto_Organza_Embroidery_White</t>
  </si>
  <si>
    <t>Tessuto Esterno</t>
  </si>
  <si>
    <t>Tessuto Organza</t>
  </si>
  <si>
    <t>Embroidery_White</t>
  </si>
  <si>
    <t>879661d4</t>
  </si>
  <si>
    <t>Fodera_Poliseta_Prugna</t>
  </si>
  <si>
    <t>Prugna</t>
  </si>
  <si>
    <t>1b93d185</t>
  </si>
  <si>
    <t>e7380f92</t>
  </si>
  <si>
    <t>Tessuto_Organza_Viola_Giallo</t>
  </si>
  <si>
    <t>Viola_Giallo</t>
  </si>
  <si>
    <t>cffbc562</t>
  </si>
  <si>
    <t>6e7ec62c</t>
  </si>
  <si>
    <t>4c8822ec</t>
  </si>
  <si>
    <t>b6633c21</t>
  </si>
  <si>
    <t>Fodera_Cotone_Beige</t>
  </si>
  <si>
    <t>Beige</t>
  </si>
  <si>
    <t>ARR_Annie_Bag_PAILLETTES_NUDE_20260616</t>
  </si>
  <si>
    <t>CONTA20260616_01</t>
  </si>
  <si>
    <t>RETTIFICA CONTA 16-06-2026</t>
  </si>
  <si>
    <t>acq mancante conta 16-06 (vendita reale)</t>
  </si>
  <si>
    <t>CONTA20260616_02</t>
  </si>
  <si>
    <t>acq mancante conta 16-06 (vendite reali)</t>
  </si>
  <si>
    <t>CONTA20260616_03</t>
  </si>
  <si>
    <t>CONTA20260616_04</t>
  </si>
  <si>
    <t>CONTA20260616_05</t>
  </si>
  <si>
    <t>acq mancante conta 16-06 (2 vendite reali)</t>
  </si>
  <si>
    <t>CONTA20260616_06</t>
  </si>
  <si>
    <t>pezzo trovato conta 16-06</t>
  </si>
  <si>
    <t>CONTA20260616_07</t>
  </si>
  <si>
    <t>CONTA20260616_08</t>
  </si>
  <si>
    <t>CONTA20260616_09</t>
  </si>
  <si>
    <t>pezzo trovato conta 16-06 (annullato 17-06: giac riportata a 1, prodotto fuori catalogo Shopify, decisione Ale)</t>
  </si>
  <si>
    <t>CONTA20260616_10</t>
  </si>
  <si>
    <t>CONTA20260616_11</t>
  </si>
  <si>
    <t>stock vecchio AMI, trovato conta 16-06</t>
  </si>
  <si>
    <t>ARR_Annie_Bag_STRIPES_PINK_20260616</t>
  </si>
  <si>
    <t>STRIPES PINK</t>
  </si>
  <si>
    <t>Carico inventario: prodotto creato su Shopify senza riga ACQUISTI. 2 pz, costo 0 (richiesta utente 16/06/2026); COGS reale su PRODUCT_COGS&amp;PRICE (16,5).</t>
  </si>
  <si>
    <t>CONTA_Annie_Bag_STRIPES_PINK_20260616</t>
  </si>
  <si>
    <t>Conta fisica verificata 16/06/2026: pezzo trovato +1. Giac calcolata era 1 (2 acq r223 meno 1 vend Qromo 20/05), conta reale 2 rimanenti.</t>
  </si>
  <si>
    <t>ARR_Lea_Bag_COCCO_PURPLE_20260622</t>
  </si>
  <si>
    <t>ARR_Maria_Bag_GREEN_PIERCING_20260623</t>
  </si>
  <si>
    <t>GREEN PIERCING</t>
  </si>
  <si>
    <t>ARR_Maria_Bag_ICE_BLUE_PIERCING_20260623</t>
  </si>
  <si>
    <t>ICE BLUE PIERCING</t>
  </si>
  <si>
    <t>ARR_Maria_Bag_BLACK_PIERCING_20260623</t>
  </si>
  <si>
    <t>BLACK PIERCING</t>
  </si>
  <si>
    <t>ARR_Annie_Bag_PAILLETTES_NUDE_20260625</t>
  </si>
  <si>
    <t>ARR_Agata_Bag_ROSE_PINK_20260629</t>
  </si>
  <si>
    <t>ANNULLATO arrivo errato 29/06 (segnato per sbaglio, era Embroidery White)</t>
  </si>
  <si>
    <t>ARR_Agata_Bag_EMBROIDERY_WHITE_20260627</t>
  </si>
  <si>
    <t>EMBROIDERY WHITE</t>
  </si>
  <si>
    <t>df9fddf6</t>
  </si>
  <si>
    <t>RESO CAMBIO 30-06-2026</t>
  </si>
  <si>
    <t>2 resi da cambi non registrati a suo tempo (clienti hanno preso Maria Red Piercing e Annie Nude). Riconciliazione 30-06: giac -1 -&gt; +1</t>
  </si>
  <si>
    <t>ARR_Lea_Bag_COCCO_GREEN_20260708</t>
  </si>
  <si>
    <t>Riordino, ordine WhatsApp 01/07/2026 (Benedetta), consegna prevista 08/07/2026, segnato ricevuto su richiesta utente 02/07/2026</t>
  </si>
  <si>
    <t>ARR_Lea_Bag_COCCO_BLACK_20260708</t>
  </si>
  <si>
    <t>DATE</t>
  </si>
  <si>
    <t>COGNOME</t>
  </si>
  <si>
    <t>ITEM</t>
  </si>
  <si>
    <t>VARIANT</t>
  </si>
  <si>
    <t>PAYMENT METHOD</t>
  </si>
  <si>
    <t>PREZZO</t>
  </si>
  <si>
    <t>SaleID</t>
  </si>
  <si>
    <t>Lea_Bag_Green_Military</t>
  </si>
  <si>
    <t>stripe</t>
  </si>
  <si>
    <t>cash</t>
  </si>
  <si>
    <t>ANNIE_BAG_PAILLETTES_BEIGE</t>
  </si>
  <si>
    <t>Maria_Bag_Red_PIERCING</t>
  </si>
  <si>
    <t>Lea_Bag_Cocco_Black</t>
  </si>
  <si>
    <t>Chain_Tiger</t>
  </si>
  <si>
    <t>LEA_BAG_COCCO_BLACK</t>
  </si>
  <si>
    <t>ANNIE_BAG_PAILLETTES_TURQUOISE</t>
  </si>
  <si>
    <t>AGATA_BAG_FLORAL_GREEN_EMBROIDERY</t>
  </si>
  <si>
    <t>Lea_Bag_Muccata_Marrone</t>
  </si>
  <si>
    <t>Annie_Bag_Paillettes_Beige</t>
  </si>
  <si>
    <t>LEA_BAG_GREEN_MILITARY</t>
  </si>
  <si>
    <t>Agata_Bag_Floral_Pink_Embroidery</t>
  </si>
  <si>
    <t>DOPPIONE ordine 9715218 rimosso 2026-06-10: vendita reale 1x Lea_Bag_TOASTED_LEATHER 110 EUR (verifica backoffice Qromo). Riga neutralizzata (qty/prezzo 0, YEAR/MONTH svuotati per escluderla dal CE), data originale in col C.</t>
  </si>
  <si>
    <t>Annie_Bag_Paillettes_Grey</t>
  </si>
  <si>
    <t>Agata_Bag_Floral_Green_Embroidery</t>
  </si>
  <si>
    <t>Agata_Bag_Floral_Bordeaux_Embroidery</t>
  </si>
  <si>
    <t>Valentina_Bag_Green_Military</t>
  </si>
  <si>
    <t>Lea_Bag_Black</t>
  </si>
  <si>
    <t>Annie_Bag_Paillettes_Pink</t>
  </si>
  <si>
    <t>Lea_Bag_Cocco_Purple</t>
  </si>
  <si>
    <t>Lea_Bag_Maxi_Cocco_Chocolate</t>
  </si>
  <si>
    <t>Agata_Bag_Floral_Dusty_Pink_Embroidery</t>
  </si>
  <si>
    <t>Agata_Bag_Paillettes_Pink</t>
  </si>
  <si>
    <t>Agata_Bag_Pink_Crystal_Beads</t>
  </si>
  <si>
    <t>Annie_Bag_Blue</t>
  </si>
  <si>
    <t>Vendita_Generica</t>
  </si>
  <si>
    <t>Vendita Generica</t>
  </si>
  <si>
    <t>Amount Qromo, aggiunta manuale 2026-06-21 (vendita importo libero senza prodotto)</t>
  </si>
  <si>
    <t>AMOUNT_20260328_011</t>
  </si>
  <si>
    <t>AMOUNT_20260328_008</t>
  </si>
  <si>
    <t>Agata_Bag_Beads_Pink</t>
  </si>
  <si>
    <t>Lola Bag Orange</t>
  </si>
  <si>
    <t>Annie_Bag_Tiffany</t>
  </si>
  <si>
    <t>Column 1</t>
  </si>
  <si>
    <t>Nota</t>
  </si>
  <si>
    <t>GIFT_ID</t>
  </si>
  <si>
    <t>Sofia</t>
  </si>
  <si>
    <t>Attolico</t>
  </si>
  <si>
    <t>PAYPAL</t>
  </si>
  <si>
    <t>Margherita</t>
  </si>
  <si>
    <t>Decio</t>
  </si>
  <si>
    <t>Isabella Scarf</t>
  </si>
  <si>
    <t>Lavinia</t>
  </si>
  <si>
    <t>Bonvini</t>
  </si>
  <si>
    <t>Chocolate</t>
  </si>
  <si>
    <t>Lulu</t>
  </si>
  <si>
    <t>Balbo</t>
  </si>
  <si>
    <t>CASH</t>
  </si>
  <si>
    <t>De Langhe</t>
  </si>
  <si>
    <t>Floral orange embroidery</t>
  </si>
  <si>
    <t>Giulia</t>
  </si>
  <si>
    <t>Travaglia</t>
  </si>
  <si>
    <t>Lola Bag</t>
  </si>
  <si>
    <t xml:space="preserve">Carola </t>
  </si>
  <si>
    <t>Brina</t>
  </si>
  <si>
    <t>Carlotta</t>
  </si>
  <si>
    <t>Procida</t>
  </si>
  <si>
    <t>Light</t>
  </si>
  <si>
    <t>e858f2d0</t>
  </si>
  <si>
    <t>Lea_Bag_Zebra</t>
  </si>
  <si>
    <t>236efb34</t>
  </si>
  <si>
    <t>Michela</t>
  </si>
  <si>
    <t>Di Battista</t>
  </si>
  <si>
    <t>paypal benny</t>
  </si>
  <si>
    <t>Airpods Case</t>
  </si>
  <si>
    <t>Zebra</t>
  </si>
  <si>
    <t>a5bae56b</t>
  </si>
  <si>
    <t>Anita</t>
  </si>
  <si>
    <t>Gracis</t>
  </si>
  <si>
    <t>Pagata su Qromo 08/04 ord.9645209 EUR135; riga azzerata per non duplicare vendita/stock (08/06/2026)</t>
  </si>
  <si>
    <t>823cf894</t>
  </si>
  <si>
    <t>Isabella</t>
  </si>
  <si>
    <t>Petrosillo</t>
  </si>
  <si>
    <t>GIFT</t>
  </si>
  <si>
    <t>6257cdf4</t>
  </si>
  <si>
    <t>Laura</t>
  </si>
  <si>
    <t>De Iuliis</t>
  </si>
  <si>
    <t>723e5e40</t>
  </si>
  <si>
    <t>Cabassi</t>
  </si>
  <si>
    <t>e5cdadad</t>
  </si>
  <si>
    <t>mirella</t>
  </si>
  <si>
    <t>lamacchia</t>
  </si>
  <si>
    <t>18bade50</t>
  </si>
  <si>
    <t>Alessia</t>
  </si>
  <si>
    <t>Morelli</t>
  </si>
  <si>
    <t>2696e12e</t>
  </si>
  <si>
    <t>Matilde</t>
  </si>
  <si>
    <t>Prestinari</t>
  </si>
  <si>
    <t>1a370ed5</t>
  </si>
  <si>
    <t>Beatrice</t>
  </si>
  <si>
    <t>Berenchi</t>
  </si>
  <si>
    <t>Pay Pal</t>
  </si>
  <si>
    <t>ac27c372</t>
  </si>
  <si>
    <t>Monica</t>
  </si>
  <si>
    <t>Sabbatini</t>
  </si>
  <si>
    <t>088b1e44</t>
  </si>
  <si>
    <t>Giorgia</t>
  </si>
  <si>
    <t>Martini</t>
  </si>
  <si>
    <t>REVOLUT</t>
  </si>
  <si>
    <t>b9af3f10</t>
  </si>
  <si>
    <t>f69fb300</t>
  </si>
  <si>
    <t>Galli</t>
  </si>
  <si>
    <t>Annie Bag Silk</t>
  </si>
  <si>
    <t>62b43085</t>
  </si>
  <si>
    <t>Irene</t>
  </si>
  <si>
    <t>Sangoi</t>
  </si>
  <si>
    <t>d2fc2c6d</t>
  </si>
  <si>
    <t>Costantini</t>
  </si>
  <si>
    <t>Black</t>
  </si>
  <si>
    <t>af291035</t>
  </si>
  <si>
    <t>Ponticelli</t>
  </si>
  <si>
    <t>6e8313b9</t>
  </si>
  <si>
    <t>Chiara</t>
  </si>
  <si>
    <t>Chirichigno</t>
  </si>
  <si>
    <t>Annie_Bag</t>
  </si>
  <si>
    <t>0f6c476a</t>
  </si>
  <si>
    <t>Diletta</t>
  </si>
  <si>
    <t>Savoldi</t>
  </si>
  <si>
    <t>Valentina_Bag_Chocolate</t>
  </si>
  <si>
    <t>6a41ecdf</t>
  </si>
  <si>
    <t>Aurora</t>
  </si>
  <si>
    <t>Savi</t>
  </si>
  <si>
    <t>Vernice Blu</t>
  </si>
  <si>
    <t>f3ce911f</t>
  </si>
  <si>
    <t>Cecilia</t>
  </si>
  <si>
    <t>Pozzi</t>
  </si>
  <si>
    <t>8807a56d</t>
  </si>
  <si>
    <t>Alice</t>
  </si>
  <si>
    <t>344f2c44</t>
  </si>
  <si>
    <t>4068c7a5</t>
  </si>
  <si>
    <t>Ragazza Pop Up</t>
  </si>
  <si>
    <t>7ed50f2f</t>
  </si>
  <si>
    <t>Stabellini</t>
  </si>
  <si>
    <t>Agata_Bag</t>
  </si>
  <si>
    <t>540bcbef</t>
  </si>
  <si>
    <t>fcfaf2fe</t>
  </si>
  <si>
    <t>Marta</t>
  </si>
  <si>
    <t>Cinelli</t>
  </si>
  <si>
    <t>Sveva Bag</t>
  </si>
  <si>
    <t>LIGHT CHOCOLATE</t>
  </si>
  <si>
    <t>e532ad42</t>
  </si>
  <si>
    <t>c27548aa</t>
  </si>
  <si>
    <t>Rita</t>
  </si>
  <si>
    <t>Benedetto</t>
  </si>
  <si>
    <t>49cb10dc</t>
  </si>
  <si>
    <t>7986f5a4</t>
  </si>
  <si>
    <t>7b754852</t>
  </si>
  <si>
    <t>Elsa</t>
  </si>
  <si>
    <t>Maria</t>
  </si>
  <si>
    <t>Lea_Bag_Rose</t>
  </si>
  <si>
    <t>ROSE</t>
  </si>
  <si>
    <t>152d7ce1</t>
  </si>
  <si>
    <t>da capire pagamento ancora</t>
  </si>
  <si>
    <t>ed1a64c1</t>
  </si>
  <si>
    <t>Elena</t>
  </si>
  <si>
    <t>Materi</t>
  </si>
  <si>
    <t>3b7ac072</t>
  </si>
  <si>
    <t>Cristina</t>
  </si>
  <si>
    <t>Amalto</t>
  </si>
  <si>
    <t>fuori da Amimì perche comprono contributi Benny</t>
  </si>
  <si>
    <t>bacde180</t>
  </si>
  <si>
    <t>RETTIFICA</t>
  </si>
  <si>
    <t>CONTA FISICA 10-06</t>
  </si>
  <si>
    <t>Rettifica conta fisica 10-06: vendite non registrate da indagare, reale 3</t>
  </si>
  <si>
    <t>5dc808f7</t>
  </si>
  <si>
    <t>Rettifica conta fisica 10-06: vendita su codice rinominato da rintracciare, reale 3</t>
  </si>
  <si>
    <t>3e3c8f33</t>
  </si>
  <si>
    <t>Rettifica conta fisica 10-06: pezzo non trovato (sospetto pacco in macchina), reale 8</t>
  </si>
  <si>
    <t>74c883ff</t>
  </si>
  <si>
    <t>Rettifica conta fisica 10-06: finita, reale 0</t>
  </si>
  <si>
    <t>Annie Bag paillettes</t>
  </si>
  <si>
    <t>GRIGIO</t>
  </si>
  <si>
    <t>c9321c08</t>
  </si>
  <si>
    <t>Vendita offline</t>
  </si>
  <si>
    <t>Ginevra</t>
  </si>
  <si>
    <t>Vendita offline Ginevra mai registrata, prezzo 90 come listino Paillettes Light Blue (conta 10-06)</t>
  </si>
  <si>
    <t>LIGHT BLUE</t>
  </si>
  <si>
    <t>8edaa773</t>
  </si>
  <si>
    <t>Rettifica conta fisica 10-06: 2 mancanti, reale 2</t>
  </si>
  <si>
    <t>2ed90388</t>
  </si>
  <si>
    <t>fd8620d8</t>
  </si>
  <si>
    <t>Rettifica conta fisica 10-06: probabile vendita fisica non registrata, reale 0</t>
  </si>
  <si>
    <t>LIGHT GREEN</t>
  </si>
  <si>
    <t>bec716ff</t>
  </si>
  <si>
    <t>Rettifica conta fisica 10-06: 2 mancanti (oltre alla riga acquisti doppia azzerata), reale 1</t>
  </si>
  <si>
    <t>bbc568df</t>
  </si>
  <si>
    <t>1e42fff4</t>
  </si>
  <si>
    <t>Rettifica conta fisica 10-06: 1 mancante, reale 9</t>
  </si>
  <si>
    <t>PURPLE</t>
  </si>
  <si>
    <t>a22eacaf</t>
  </si>
  <si>
    <t>Rettifica conta fisica 10-06: 3 mancanti (dopo riga acquisti +5 della seconda meta ordine), reale 3</t>
  </si>
  <si>
    <t>7184238f</t>
  </si>
  <si>
    <t>103f33c6</t>
  </si>
  <si>
    <t>d8f48fe4</t>
  </si>
  <si>
    <t>TRASFORMAZIONE</t>
  </si>
  <si>
    <t>RICAMO</t>
  </si>
  <si>
    <t>Trasformata in Annie ricamo libellula, nuovo prodotto in arrivo dal tracker (conta 10-06)</t>
  </si>
  <si>
    <t>8c86d6f8</t>
  </si>
  <si>
    <t>Rettifica conta fisica 10-06: 2 mancanti, reale 3</t>
  </si>
  <si>
    <t>32c32b81</t>
  </si>
  <si>
    <t>fafb9c7c</t>
  </si>
  <si>
    <t>Amalto (sposa)</t>
  </si>
  <si>
    <t>Uscita inventario vendita sposa: ricavo 1040 gia registrato in GIFT_ID bacde180, prezzo qui 0 per non duplicare</t>
  </si>
  <si>
    <t>8809f6ce</t>
  </si>
  <si>
    <t>638b10a9</t>
  </si>
  <si>
    <t>f607e0b2</t>
  </si>
  <si>
    <t>d7cad8f7</t>
  </si>
  <si>
    <t>c5fd3207</t>
  </si>
  <si>
    <t>fc5e44c3</t>
  </si>
  <si>
    <t>a5a79fc2</t>
  </si>
  <si>
    <t>75da083a</t>
  </si>
  <si>
    <t>37e6bd8c</t>
  </si>
  <si>
    <t>Trasformata in Annie Brown Ricamo, nuovo prodotto in arrivo dal tracker (conta 10-06)</t>
  </si>
  <si>
    <t>31e87e7c</t>
  </si>
  <si>
    <t>Rettifica conta fisica 10-06: reale 0, da indagare</t>
  </si>
  <si>
    <t>c9ebf5b7</t>
  </si>
  <si>
    <t>1b81b4f4</t>
  </si>
  <si>
    <t>96da744e</t>
  </si>
  <si>
    <t>Rettifica conta fisica 10-06: 1 mancante, reale 6</t>
  </si>
  <si>
    <t>COCCO BEIGE</t>
  </si>
  <si>
    <t>7a4c412d</t>
  </si>
  <si>
    <t>Rettifica conta fisica 10-06: 1 mancante (incluso cambio cliente in corso), reale 3</t>
  </si>
  <si>
    <t>c5d1545b</t>
  </si>
  <si>
    <t>Rettifica conta fisica 10-06: vendite/omaggi non segnati (padre di Joe e altri, verificare con Benny), reale 10</t>
  </si>
  <si>
    <t>Cocco Black</t>
  </si>
  <si>
    <t>9605b188</t>
  </si>
  <si>
    <t>13b10976</t>
  </si>
  <si>
    <t>Gift</t>
  </si>
  <si>
    <t>Ana</t>
  </si>
  <si>
    <t>Gift Ana, da confermare con Benny (conta 10-06)</t>
  </si>
  <si>
    <t>a2f63520</t>
  </si>
  <si>
    <t>SOSTITUZIONE</t>
  </si>
  <si>
    <t>cliente</t>
  </si>
  <si>
    <t>Sostituzione: cliente ha ricevuto la versione con charm al posto della suede senza charm (conta 10-06)</t>
  </si>
  <si>
    <t>122a10db</t>
  </si>
  <si>
    <t>Rettifica conta fisica 10-06: reale 0, uscite da ricostruire</t>
  </si>
  <si>
    <t>d8bb94b2</t>
  </si>
  <si>
    <t>d7c9b0b5</t>
  </si>
  <si>
    <t>17e895ec</t>
  </si>
  <si>
    <t>Rettifica conta fisica 10-06: 2 mancanti, reale 8</t>
  </si>
  <si>
    <t>a2f1ce8c</t>
  </si>
  <si>
    <t>ac6d2f2c</t>
  </si>
  <si>
    <t>Rettifica conta fisica 10-06: reale 1 dopo spedizione vendita 08-06</t>
  </si>
  <si>
    <t>Lea Bag Cavallino Light Brown</t>
  </si>
  <si>
    <t>Light Brown</t>
  </si>
  <si>
    <t>db76df04</t>
  </si>
  <si>
    <t>b6fcb639</t>
  </si>
  <si>
    <t>Rettifica conta fisica 10-06: 2 mancanti, reale 4</t>
  </si>
  <si>
    <t>ecaede04</t>
  </si>
  <si>
    <t>2af66876</t>
  </si>
  <si>
    <t>ANNULLATA (G=0): la vendita gia registrata sul codice spiegava il pezzo mancante; reale 1 = 2 acquisti - 1 vendita</t>
  </si>
  <si>
    <t>f6d4a038</t>
  </si>
  <si>
    <t>Rettifica conta fisica 10-06: 1 mancante (post fix doppione Qromo 9715218), reale 2 incl. vendita di oggi da spedire</t>
  </si>
  <si>
    <t>30de06e0</t>
  </si>
  <si>
    <t>Rettifica conta fisica 10-06: reale 4 di cui 1 difettata, mai su Shopify</t>
  </si>
  <si>
    <t>Toasted Leather Green</t>
  </si>
  <si>
    <t>bc6dccc8</t>
  </si>
  <si>
    <t>Paolo</t>
  </si>
  <si>
    <t>Vannucchi</t>
  </si>
  <si>
    <t>deve pagare ma segno</t>
  </si>
  <si>
    <t>bb09a660</t>
  </si>
  <si>
    <t>Federica</t>
  </si>
  <si>
    <t>Garimoldi</t>
  </si>
  <si>
    <t>deve ancora pagare</t>
  </si>
  <si>
    <t>bc73344f</t>
  </si>
  <si>
    <t>Signora</t>
  </si>
  <si>
    <t>86d7e46e</t>
  </si>
  <si>
    <t>Martinelli</t>
  </si>
  <si>
    <t>a1136d32</t>
  </si>
  <si>
    <t>Ludovica</t>
  </si>
  <si>
    <t>Audisio</t>
  </si>
  <si>
    <t>ceb32d6a</t>
  </si>
  <si>
    <t>Edoardo</t>
  </si>
  <si>
    <t>Vigo</t>
  </si>
  <si>
    <t>Floral Brown</t>
  </si>
  <si>
    <t>5b4af729</t>
  </si>
  <si>
    <t>Michele</t>
  </si>
  <si>
    <t>Iurlaro</t>
  </si>
  <si>
    <t>63a2b809</t>
  </si>
  <si>
    <t>Pigi</t>
  </si>
  <si>
    <t>1c68ac7c</t>
  </si>
  <si>
    <t>Diana</t>
  </si>
  <si>
    <t>Salina</t>
  </si>
  <si>
    <t>regalo diana x shooting</t>
  </si>
  <si>
    <t>9f9dbdb9</t>
  </si>
  <si>
    <t>CONTA FISICA 16-06-2026</t>
  </si>
  <si>
    <t>Ammanco conta fisica 16-06</t>
  </si>
  <si>
    <t>CONTA_Agata_Bag_PINK_CRYSTAL_BEADS_2026-06-16_1</t>
  </si>
  <si>
    <t>CONTA_Lea_Bag_Cavallino_Bordeaux_2026-06-16_1</t>
  </si>
  <si>
    <t>CONTA_Lea_Bag_Cavallino_Bordeaux_2026-06-16_2</t>
  </si>
  <si>
    <t>CONTA_Lea_Bag_JUNGLE_2026-06-16_1</t>
  </si>
  <si>
    <t>CONTA_Lea_Bag_TOASTED_LEATHER_GREEN_2026-06-16_1</t>
  </si>
  <si>
    <t>Bandini</t>
  </si>
  <si>
    <t>88b48aff</t>
  </si>
  <si>
    <t>BOTTEGA</t>
  </si>
  <si>
    <t>TREMEZZO</t>
  </si>
  <si>
    <t>BONIFICO</t>
  </si>
  <si>
    <t>02e4657c</t>
  </si>
  <si>
    <t>bf3ff5b3</t>
  </si>
  <si>
    <t>f526290e</t>
  </si>
  <si>
    <t>DARK LEOPARD PONY</t>
  </si>
  <si>
    <t>b57cb937</t>
  </si>
  <si>
    <t>ed308303</t>
  </si>
  <si>
    <t>c03fbd3c</t>
  </si>
  <si>
    <t>a8bf401d</t>
  </si>
  <si>
    <t>9214ca4f</t>
  </si>
  <si>
    <t>6747f5d1</t>
  </si>
  <si>
    <t>VERNICE VIOLA</t>
  </si>
  <si>
    <t>35b70d59</t>
  </si>
  <si>
    <t>ec2c127a</t>
  </si>
  <si>
    <t>Cocco Chocolate</t>
  </si>
  <si>
    <t>0bf7a4e3</t>
  </si>
  <si>
    <t>Anna</t>
  </si>
  <si>
    <t>Facheris</t>
  </si>
  <si>
    <t>9f0609ab</t>
  </si>
  <si>
    <t>QA</t>
  </si>
  <si>
    <t>Test</t>
  </si>
  <si>
    <t>GqaGiftC-0</t>
  </si>
  <si>
    <t>CONTA FISICA 30-06-2026</t>
  </si>
  <si>
    <t>Rettifica conta fisica 30-06: reale 0 (era gestionale 1). Pezzo non presente; prodotto messo in bozza su Shopify.</t>
  </si>
  <si>
    <t>CONTA_Annie_Bag_PEARL_GREY_2026-06-30_1</t>
  </si>
  <si>
    <t>CAMBIO</t>
  </si>
  <si>
    <t>PAILLETTES PINK 30-06</t>
  </si>
  <si>
    <t>Annie Nude data in cambio per reso Paillettes Pink (riconciliazione 30-06)</t>
  </si>
  <si>
    <t>CAMBIO_Annie_Bag_PAILLETTES_NUDE_2026-06-30_1</t>
  </si>
  <si>
    <t>Maria Red Piercing data in cambio per reso Paillettes Pink (riconciliazione 30-06)</t>
  </si>
  <si>
    <t>CAMBIO_Maria_Bag_RED_PIERCING_2026-06-30_1</t>
  </si>
  <si>
    <t>Rettifica conta fisica 30-06: reale 0 (era gestionale 1). Segnalato da Benedetta.</t>
  </si>
  <si>
    <t>ROSE BLUE</t>
  </si>
  <si>
    <t>CONTA_Agata_Bag_Rose_Blue_2026-06-30_1</t>
  </si>
  <si>
    <t>lavinia</t>
  </si>
  <si>
    <t>fanfani</t>
  </si>
  <si>
    <t>wip</t>
  </si>
  <si>
    <t>bf853c68</t>
  </si>
  <si>
    <t>chiara</t>
  </si>
  <si>
    <t>fuori dal sito</t>
  </si>
  <si>
    <t>SVEVA_BAG_PURPLE</t>
  </si>
  <si>
    <t>usiamo x pagare spazio</t>
  </si>
  <si>
    <t>0a175d02</t>
  </si>
  <si>
    <t>Silvia Copertina Mia</t>
  </si>
  <si>
    <t>Lea_Bag_Green</t>
  </si>
  <si>
    <t>utilizziamo per pagare spazio</t>
  </si>
  <si>
    <t>GREEN</t>
  </si>
  <si>
    <t>b9ac78b9</t>
  </si>
  <si>
    <t>Name</t>
  </si>
  <si>
    <t>Email</t>
  </si>
  <si>
    <t>Financial Status</t>
  </si>
  <si>
    <t>Paid at</t>
  </si>
  <si>
    <t>Fulfillment Status</t>
  </si>
  <si>
    <t>Fulfilled at</t>
  </si>
  <si>
    <t>Accepts Marketing</t>
  </si>
  <si>
    <t>Currency</t>
  </si>
  <si>
    <t>Subtotal</t>
  </si>
  <si>
    <t>Shipping</t>
  </si>
  <si>
    <t>Taxes</t>
  </si>
  <si>
    <t>Discount Code</t>
  </si>
  <si>
    <t>Discount Amount</t>
  </si>
  <si>
    <t>Shipping Method</t>
  </si>
  <si>
    <t>Created at</t>
  </si>
  <si>
    <t>Lineitem quantity</t>
  </si>
  <si>
    <t>Lineitem name</t>
  </si>
  <si>
    <t>Lineitem price</t>
  </si>
  <si>
    <t>Lineitem compare at price</t>
  </si>
  <si>
    <t>Lineitem sku</t>
  </si>
  <si>
    <t>Lineitem requires shipping</t>
  </si>
  <si>
    <t>Lineitem taxable</t>
  </si>
  <si>
    <t>Lineitem fulfillment status</t>
  </si>
  <si>
    <t>Billing Name</t>
  </si>
  <si>
    <t>Billing Street</t>
  </si>
  <si>
    <t>Billing Address1</t>
  </si>
  <si>
    <t>Billing Address2</t>
  </si>
  <si>
    <t>Billing Company</t>
  </si>
  <si>
    <t>Billing City</t>
  </si>
  <si>
    <t>Billing Zip</t>
  </si>
  <si>
    <t>Billing Province</t>
  </si>
  <si>
    <t>Billing Country</t>
  </si>
  <si>
    <t>Billing Phone</t>
  </si>
  <si>
    <t>Shipping Name</t>
  </si>
  <si>
    <t>Shipping Street</t>
  </si>
  <si>
    <t>Shipping Address1</t>
  </si>
  <si>
    <t>Shipping Address2</t>
  </si>
  <si>
    <t>Shipping Company</t>
  </si>
  <si>
    <t>Shipping City</t>
  </si>
  <si>
    <t>Shipping Zip</t>
  </si>
  <si>
    <t>Shipping Province</t>
  </si>
  <si>
    <t>Shipping Country</t>
  </si>
  <si>
    <t>Shipping Phone</t>
  </si>
  <si>
    <t>Notes</t>
  </si>
  <si>
    <t>Note Attributes</t>
  </si>
  <si>
    <t>Cancelled at</t>
  </si>
  <si>
    <t>Payment Method</t>
  </si>
  <si>
    <t>Payment Reference</t>
  </si>
  <si>
    <t>Refunded Amount</t>
  </si>
  <si>
    <t>Vendor</t>
  </si>
  <si>
    <t>Outstanding Balance</t>
  </si>
  <si>
    <t>Employee</t>
  </si>
  <si>
    <t>Location</t>
  </si>
  <si>
    <t>Device ID</t>
  </si>
  <si>
    <t>Id</t>
  </si>
  <si>
    <t>Tags</t>
  </si>
  <si>
    <t>Risk Level</t>
  </si>
  <si>
    <t>Source</t>
  </si>
  <si>
    <t>Lineitem discount</t>
  </si>
  <si>
    <t>Tax 1 Name</t>
  </si>
  <si>
    <t>Tax 1 Value</t>
  </si>
  <si>
    <t>Tax 2 Name</t>
  </si>
  <si>
    <t>Tax 2 Value</t>
  </si>
  <si>
    <t>Tax 3 Name</t>
  </si>
  <si>
    <t>Tax 3 Value</t>
  </si>
  <si>
    <t>Tax 4 Name</t>
  </si>
  <si>
    <t>Tax 4 Value</t>
  </si>
  <si>
    <t>Tax 5 Name</t>
  </si>
  <si>
    <t>Tax 5 Value</t>
  </si>
  <si>
    <t>Phone</t>
  </si>
  <si>
    <t>Receipt Number</t>
  </si>
  <si>
    <t>Duties</t>
  </si>
  <si>
    <t>Billing Province Name</t>
  </si>
  <si>
    <t>Shipping Province Name</t>
  </si>
  <si>
    <t>Payment ID</t>
  </si>
  <si>
    <t>Payment Terms Name</t>
  </si>
  <si>
    <t>Next Payment Due At</t>
  </si>
  <si>
    <t>Payment References</t>
  </si>
  <si>
    <t>ORDER COUNT</t>
  </si>
  <si>
    <t>ITEMS</t>
  </si>
  <si>
    <t>FREE SHIPPING</t>
  </si>
  <si>
    <t>PAYMENT FEES</t>
  </si>
  <si>
    <t>LINE ITEM DISCOUNTS</t>
  </si>
  <si>
    <t>TOT. DISCOUNT</t>
  </si>
  <si>
    <t>ITEM_MAPPING</t>
  </si>
  <si>
    <t>#1001</t>
  </si>
  <si>
    <t>lusenesi@gmail.com</t>
  </si>
  <si>
    <t>paid</t>
  </si>
  <si>
    <t>2026-02-16T12:58:46+01:00</t>
  </si>
  <si>
    <t>fulfilled</t>
  </si>
  <si>
    <t>2026-02-16T13:00:53+01:00</t>
  </si>
  <si>
    <t>yes</t>
  </si>
  <si>
    <t>EUR</t>
  </si>
  <si>
    <t>Standard</t>
  </si>
  <si>
    <t>2026-02-16T12:58:49+01:00</t>
  </si>
  <si>
    <t>LEA BAG BLUE ELECTRIC</t>
  </si>
  <si>
    <t>LB04BE</t>
  </si>
  <si>
    <t>Luca Senesi</t>
  </si>
  <si>
    <t>Via Giuseppe Arimondi 5</t>
  </si>
  <si>
    <t>MI</t>
  </si>
  <si>
    <t>IT</t>
  </si>
  <si>
    <t>shopify_payments</t>
  </si>
  <si>
    <t>Amì-Milano</t>
  </si>
  <si>
    <t>web</t>
  </si>
  <si>
    <t>IT IVA</t>
  </si>
  <si>
    <t>#1002</t>
  </si>
  <si>
    <t>martagalli94@gmail.com</t>
  </si>
  <si>
    <t>partially_refunded</t>
  </si>
  <si>
    <t>2026-02-16T18:36:21+01:00</t>
  </si>
  <si>
    <t>2026-02-16T18:36:47+01:00</t>
  </si>
  <si>
    <t>no</t>
  </si>
  <si>
    <t>2026-02-16T18:36:26+01:00</t>
  </si>
  <si>
    <t>LEA BAG DARK ZEBRA</t>
  </si>
  <si>
    <t>LB15LS</t>
  </si>
  <si>
    <t>Marta Galli</t>
  </si>
  <si>
    <t>Via Maldonado 8</t>
  </si>
  <si>
    <t>Verona</t>
  </si>
  <si>
    <t>VR</t>
  </si>
  <si>
    <t>Corso Di Porta Vittoria</t>
  </si>
  <si>
    <t>Amimì Milano</t>
  </si>
  <si>
    <t>#1003</t>
  </si>
  <si>
    <t>ila.scipli@gmail.com</t>
  </si>
  <si>
    <t>2026-02-16T22:22:19+01:00</t>
  </si>
  <si>
    <t>2026-02-24T23:35:26+01:00</t>
  </si>
  <si>
    <t>Punto di ritiro</t>
  </si>
  <si>
    <t>2026-02-16T22:22:24+01:00</t>
  </si>
  <si>
    <t>LEA BAG MUCCATA MARRONE</t>
  </si>
  <si>
    <t>LB14MM</t>
  </si>
  <si>
    <t>Ilaria Sciplino</t>
  </si>
  <si>
    <t>Piero Capponi 5</t>
  </si>
  <si>
    <t>#1004</t>
  </si>
  <si>
    <t>alenale95@gmail.com</t>
  </si>
  <si>
    <t>2026-02-17T20:12:33+01:00</t>
  </si>
  <si>
    <t>2026-02-23T16:56:49+01:00</t>
  </si>
  <si>
    <t>2026-02-17T20:12:36+01:00</t>
  </si>
  <si>
    <t>LEA BAG VERNICE ROSSA</t>
  </si>
  <si>
    <t>LB02Vr</t>
  </si>
  <si>
    <t>Alessandra Nalesso</t>
  </si>
  <si>
    <t>Via Carlo Goldoni 31</t>
  </si>
  <si>
    <t>Treviso</t>
  </si>
  <si>
    <t>TV</t>
  </si>
  <si>
    <t>alessandra nalesso</t>
  </si>
  <si>
    <t>Via Tonale 3/A</t>
  </si>
  <si>
    <t>#1005</t>
  </si>
  <si>
    <t>mariapa.riccio@gmail.com</t>
  </si>
  <si>
    <t>2026-02-18T00:57:18+01:00</t>
  </si>
  <si>
    <t>2026-02-23T16:57:23+01:00</t>
  </si>
  <si>
    <t>2026-02-18T00:57:19+01:00</t>
  </si>
  <si>
    <t>LEA BAG COCCO BLACK</t>
  </si>
  <si>
    <t>LB15CB</t>
  </si>
  <si>
    <t>Mariapaola Riccio</t>
  </si>
  <si>
    <t>Via Vincenzo D’Annibale 18</t>
  </si>
  <si>
    <t>Napoli</t>
  </si>
  <si>
    <t>NA</t>
  </si>
  <si>
    <t>paypal</t>
  </si>
  <si>
    <t>#1006</t>
  </si>
  <si>
    <t>f.ospite998@gmail.com</t>
  </si>
  <si>
    <t>2026-02-18T07:57:44+01:00</t>
  </si>
  <si>
    <t>unfulfilled</t>
  </si>
  <si>
    <t>2026-02-18T07:57:50+01:00</t>
  </si>
  <si>
    <t>Federica Ospite</t>
  </si>
  <si>
    <t>Via Giovanni Scheiwiller 12, Scala C</t>
  </si>
  <si>
    <t>Via Giovanni Scheiwiller 12</t>
  </si>
  <si>
    <t>Scala C</t>
  </si>
  <si>
    <t>#1007</t>
  </si>
  <si>
    <t>marianna96russo@gmail.com</t>
  </si>
  <si>
    <t>2026-02-18T13:25:11+01:00</t>
  </si>
  <si>
    <t>2026-02-18T13:25:34+01:00</t>
  </si>
  <si>
    <t>2026-02-18T13:25:16+01:00</t>
  </si>
  <si>
    <t>LEA BAG GREEN MILITARY</t>
  </si>
  <si>
    <t>Marianna Russo</t>
  </si>
  <si>
    <t>Via Paolo Borsellino, 35</t>
  </si>
  <si>
    <t>Via Paolo Borsellino</t>
  </si>
  <si>
    <t>Caselle</t>
  </si>
  <si>
    <t>#1008</t>
  </si>
  <si>
    <t>chiara.maritan@gmail.com</t>
  </si>
  <si>
    <t>2026-02-19T11:47:26+01:00</t>
  </si>
  <si>
    <t>2026-02-23T16:57:57+01:00</t>
  </si>
  <si>
    <t>50EURO</t>
  </si>
  <si>
    <t>2026-02-19T11:47:27+01:00</t>
  </si>
  <si>
    <t>Chiara Maritan</t>
  </si>
  <si>
    <t>Via Don Bosco 34</t>
  </si>
  <si>
    <t>Selvazzano Dentro</t>
  </si>
  <si>
    <t>PD</t>
  </si>
  <si>
    <t>Padova</t>
  </si>
  <si>
    <t>#1009</t>
  </si>
  <si>
    <t>martinabalzi2@gmail.com</t>
  </si>
  <si>
    <t>2026-02-19T20:46:11+01:00</t>
  </si>
  <si>
    <t>2026-02-19T20:46:12+01:00</t>
  </si>
  <si>
    <t>Martina Balzi</t>
  </si>
  <si>
    <t>Via Alcide de Gasperi 227</t>
  </si>
  <si>
    <t>Vignola</t>
  </si>
  <si>
    <t>MO</t>
  </si>
  <si>
    <t>+393319232531</t>
  </si>
  <si>
    <t>Modena</t>
  </si>
  <si>
    <t>#1010</t>
  </si>
  <si>
    <t>salvatorecaccioppoli.n@gmail.com</t>
  </si>
  <si>
    <t>2026-02-20T04:44:19+01:00</t>
  </si>
  <si>
    <t>2026-02-20T17:16:04+01:00</t>
  </si>
  <si>
    <t>2026-02-20T04:44:20+01:00</t>
  </si>
  <si>
    <t>LEA BAG JUNGLE</t>
  </si>
  <si>
    <t>Salvatore Caccioppoli</t>
  </si>
  <si>
    <t>Via Clefi</t>
  </si>
  <si>
    <t>#1011</t>
  </si>
  <si>
    <t>ludovica.muzzi@outlook.it</t>
  </si>
  <si>
    <t>2026-02-21T07:39:47+01:00</t>
  </si>
  <si>
    <t>2026-02-23T16:58:45+01:00</t>
  </si>
  <si>
    <t>2026-02-21T07:39:54+01:00</t>
  </si>
  <si>
    <t>Ludovica Muzzi</t>
  </si>
  <si>
    <t>Rue Champ Du roi 143</t>
  </si>
  <si>
    <t>Brussels</t>
  </si>
  <si>
    <t>BE</t>
  </si>
  <si>
    <t>Via Alberto Legnani 6</t>
  </si>
  <si>
    <t>Bologna</t>
  </si>
  <si>
    <t>BO</t>
  </si>
  <si>
    <t>#1012</t>
  </si>
  <si>
    <t>marinapiragine@icloud.com</t>
  </si>
  <si>
    <t>2026-02-21T19:24:46+01:00</t>
  </si>
  <si>
    <t>2026-02-25T16:05:11+01:00</t>
  </si>
  <si>
    <t>2026-02-21T19:24:51+01:00</t>
  </si>
  <si>
    <t>Marina Piragine</t>
  </si>
  <si>
    <t>Via baracca 17</t>
  </si>
  <si>
    <t>Pisa</t>
  </si>
  <si>
    <t>PI</t>
  </si>
  <si>
    <t>Marina Piragine De Vicentis</t>
  </si>
  <si>
    <t>Via Foscolo 7</t>
  </si>
  <si>
    <t>Roma</t>
  </si>
  <si>
    <t>RM</t>
  </si>
  <si>
    <t>#1013</t>
  </si>
  <si>
    <t>a.dangiolella@hotmail.it</t>
  </si>
  <si>
    <t>2026-02-23T22:30:35+01:00</t>
  </si>
  <si>
    <t>2026-02-25T11:49:08+01:00</t>
  </si>
  <si>
    <t>2026-02-23T22:30:37+01:00</t>
  </si>
  <si>
    <t>Alessia D'angiolella</t>
  </si>
  <si>
    <t>Via Giuseppe Ripamonti, 170</t>
  </si>
  <si>
    <t>#1014</t>
  </si>
  <si>
    <t>silvia.sauli@gmail.com</t>
  </si>
  <si>
    <t>2026-02-25T01:25:33+01:00</t>
  </si>
  <si>
    <t>2026-02-25T16:04:20+01:00</t>
  </si>
  <si>
    <t>AMIMI10</t>
  </si>
  <si>
    <t>2026-02-25T01:25:38+01:00</t>
  </si>
  <si>
    <t>LEA BAG BROWN &amp; WHITE PONY</t>
  </si>
  <si>
    <t>Silvia Sauli</t>
  </si>
  <si>
    <t>Via Lago Di Paola, 53</t>
  </si>
  <si>
    <t>Tivoli</t>
  </si>
  <si>
    <t>Viale Regina Giovanna 42</t>
  </si>
  <si>
    <t>#1015</t>
  </si>
  <si>
    <t>marty.arcu@gmail.com</t>
  </si>
  <si>
    <t>2026-02-25T09:33:28+01:00</t>
  </si>
  <si>
    <t>2026-02-25T16:03:29+01:00</t>
  </si>
  <si>
    <t>2026-02-25T09:33:32+01:00</t>
  </si>
  <si>
    <t>LEA BAG DARK LEOPARD PONY</t>
  </si>
  <si>
    <t>Martina Arcuri</t>
  </si>
  <si>
    <t>Michelangelo Da Caravaggio 22</t>
  </si>
  <si>
    <t>Arezzo</t>
  </si>
  <si>
    <t>AR</t>
  </si>
  <si>
    <t>Via Michelangelo da Caravaggio 22</t>
  </si>
  <si>
    <t>+393349610770</t>
  </si>
  <si>
    <t>#1016</t>
  </si>
  <si>
    <t>camilla.bigatti@gmail.com</t>
  </si>
  <si>
    <t>2026-02-25T23:02:49+01:00</t>
  </si>
  <si>
    <t>2026-03-02T22:20:40+01:00</t>
  </si>
  <si>
    <t>2026-02-25T23:03:00+01:00</t>
  </si>
  <si>
    <t>camilla bigatti</t>
  </si>
  <si>
    <t>Via Privata Duccio di Boninsegna 27, citofono P2</t>
  </si>
  <si>
    <t>Via Privata Duccio di Boninsegna 27</t>
  </si>
  <si>
    <t>citofono P2</t>
  </si>
  <si>
    <t>#1017</t>
  </si>
  <si>
    <t>camilla.quaglia99@gmail.com</t>
  </si>
  <si>
    <t>2026-02-27T17:05:20+01:00</t>
  </si>
  <si>
    <t>2026-02-27T17:05:24+01:00</t>
  </si>
  <si>
    <t>LEA BAG BORDEAUX PONY</t>
  </si>
  <si>
    <t>LB02OR</t>
  </si>
  <si>
    <t>Camilla Quaglia</t>
  </si>
  <si>
    <t>Via Firenze 14</t>
  </si>
  <si>
    <t>Alessandria</t>
  </si>
  <si>
    <t>AL</t>
  </si>
  <si>
    <t>#1018</t>
  </si>
  <si>
    <t>cristiana.caio@gmail.com</t>
  </si>
  <si>
    <t>2026-03-01T10:20:30+01:00</t>
  </si>
  <si>
    <t>2026-03-02T22:20:08+01:00</t>
  </si>
  <si>
    <t>2026-03-01T10:20:32+01:00</t>
  </si>
  <si>
    <t>CRISTIANA CAIO</t>
  </si>
  <si>
    <t>Via Winkelau 9</t>
  </si>
  <si>
    <t>dr schaer</t>
  </si>
  <si>
    <t>Zona di Produzione Winkelau</t>
  </si>
  <si>
    <t>BZ</t>
  </si>
  <si>
    <t>Bolzano</t>
  </si>
  <si>
    <t>#1019</t>
  </si>
  <si>
    <t>zucchi_marta@libero.it</t>
  </si>
  <si>
    <t>2026-03-01T15:02:40+01:00</t>
  </si>
  <si>
    <t>2026-03-02T22:19:43+01:00</t>
  </si>
  <si>
    <t>2026-03-01T15:02:41+01:00</t>
  </si>
  <si>
    <t>Marta Zucchi</t>
  </si>
  <si>
    <t>Via Legro 19</t>
  </si>
  <si>
    <t>Pettenasco</t>
  </si>
  <si>
    <t>Novara</t>
  </si>
  <si>
    <t>#1020</t>
  </si>
  <si>
    <t>giuliavallone97@gmail.com</t>
  </si>
  <si>
    <t>2026-03-01T17:28:48+01:00</t>
  </si>
  <si>
    <t>Giulia Avallone</t>
  </si>
  <si>
    <t>Cherubini 8</t>
  </si>
  <si>
    <t>#1021</t>
  </si>
  <si>
    <t>desantisarianna1998@gmail.com</t>
  </si>
  <si>
    <t>2026-03-02T17:00:26+01:00</t>
  </si>
  <si>
    <t>2026-03-02T17:00:31+01:00</t>
  </si>
  <si>
    <t>LEA BAG ZEBRA</t>
  </si>
  <si>
    <t>Arianna De santis</t>
  </si>
  <si>
    <t>Verolengo 26, Via Verolengo 26</t>
  </si>
  <si>
    <t>Verolengo 26</t>
  </si>
  <si>
    <t>Via Verolengo 26</t>
  </si>
  <si>
    <t>Arianna De Santis</t>
  </si>
  <si>
    <t>Via Verolengo, 26</t>
  </si>
  <si>
    <t>#1022</t>
  </si>
  <si>
    <t>ludo.giovannini@gmail.com</t>
  </si>
  <si>
    <t>2026-03-02T18:37:44+01:00</t>
  </si>
  <si>
    <t>2026-03-02T18:37:50+01:00</t>
  </si>
  <si>
    <t>Ludovica Giovannini</t>
  </si>
  <si>
    <t>Via del Lauro 1, 2 piano</t>
  </si>
  <si>
    <t>Via del Lauro 1</t>
  </si>
  <si>
    <t>2 piano</t>
  </si>
  <si>
    <t>BU Italy srl</t>
  </si>
  <si>
    <t>#1023</t>
  </si>
  <si>
    <t>marta.gianre94@gmail.com</t>
  </si>
  <si>
    <t>2026-03-02T20:43:13+01:00</t>
  </si>
  <si>
    <t>2026-03-02T20:43:14+01:00</t>
  </si>
  <si>
    <t>Sofia Pellegrini</t>
  </si>
  <si>
    <t>Via Giuseppe Ripamonti 133, Reception Amplifon</t>
  </si>
  <si>
    <t>Via Giuseppe Ripamonti 133</t>
  </si>
  <si>
    <t>Reception Amplifon</t>
  </si>
  <si>
    <t>#1024</t>
  </si>
  <si>
    <t>valeria.santamariaherrera@gmail.com</t>
  </si>
  <si>
    <t>2026-03-02T21:08:27+01:00</t>
  </si>
  <si>
    <t>2026-03-02T21:08:28+01:00</t>
  </si>
  <si>
    <t>Valeria Santamaria</t>
  </si>
  <si>
    <t>Via Cavour 51</t>
  </si>
  <si>
    <t>Rosate</t>
  </si>
  <si>
    <t>Valeria Santamaria Spin Master</t>
  </si>
  <si>
    <t>Strada 6, A12</t>
  </si>
  <si>
    <t>Strada 6</t>
  </si>
  <si>
    <t>A12</t>
  </si>
  <si>
    <t>Spin Master</t>
  </si>
  <si>
    <t>Assago</t>
  </si>
  <si>
    <t>#1025</t>
  </si>
  <si>
    <t>morosinicarola@gmail.com</t>
  </si>
  <si>
    <t>2026-03-03T17:16:58+01:00</t>
  </si>
  <si>
    <t>2026-03-03T17:17:07+01:00</t>
  </si>
  <si>
    <t>Carola Morosini</t>
  </si>
  <si>
    <t>Via Pio XII, 6</t>
  </si>
  <si>
    <t>Via Pio XII</t>
  </si>
  <si>
    <t>Castronno</t>
  </si>
  <si>
    <t>VA</t>
  </si>
  <si>
    <t>+393488208101</t>
  </si>
  <si>
    <t>Varese</t>
  </si>
  <si>
    <t>#1026</t>
  </si>
  <si>
    <t>bianca0809@hotmail.it</t>
  </si>
  <si>
    <t>2026-03-05T14:47:51+01:00</t>
  </si>
  <si>
    <t>2026-03-05T18:01:30+01:00</t>
  </si>
  <si>
    <t>2026-03-05T14:47:52+01:00</t>
  </si>
  <si>
    <t>LEA BAG ZEBRA PONY</t>
  </si>
  <si>
    <t>Bianca Branca</t>
  </si>
  <si>
    <t>Via Dario Papa 21</t>
  </si>
  <si>
    <t>Milan</t>
  </si>
  <si>
    <t>#1027</t>
  </si>
  <si>
    <t>salaclaudia96@gmail.com</t>
  </si>
  <si>
    <t>2026-03-05T21:43:54+01:00</t>
  </si>
  <si>
    <t>PERTE</t>
  </si>
  <si>
    <t>2026-03-05T21:43:58+01:00</t>
  </si>
  <si>
    <t>Lea_Bag_Zebra_dark</t>
  </si>
  <si>
    <t>Claudia Sala</t>
  </si>
  <si>
    <t>Via Dario Russo 13</t>
  </si>
  <si>
    <t>Capaci</t>
  </si>
  <si>
    <t>PA</t>
  </si>
  <si>
    <t>Palermo</t>
  </si>
  <si>
    <t>#1028</t>
  </si>
  <si>
    <t>sara.tavella@outlook.it</t>
  </si>
  <si>
    <t>2026-03-06T17:14:06+01:00</t>
  </si>
  <si>
    <t>2026-03-06T17:14:07+01:00</t>
  </si>
  <si>
    <t>LEA BAG SMOOTH BROWN LEATHER</t>
  </si>
  <si>
    <t>Lea_Bag_brown</t>
  </si>
  <si>
    <t>Sara Tavella</t>
  </si>
  <si>
    <t>Viale Ammiraglio Giorgio Des Geneys 18</t>
  </si>
  <si>
    <t>Genova</t>
  </si>
  <si>
    <t>GE</t>
  </si>
  <si>
    <t>#1029</t>
  </si>
  <si>
    <t>anna.magelli@gmail.com</t>
  </si>
  <si>
    <t>2026-03-08T10:00:29+01:00</t>
  </si>
  <si>
    <t>2026-03-08T10:00:33+01:00</t>
  </si>
  <si>
    <t>Anna magelli</t>
  </si>
  <si>
    <t>Via Luigi Vanvitelli, 19</t>
  </si>
  <si>
    <t>#1030</t>
  </si>
  <si>
    <t>dodo.albergo@gmail.com</t>
  </si>
  <si>
    <t>2026-03-08T14:08:15+01:00</t>
  </si>
  <si>
    <t>2026-03-08T14:08:21+01:00</t>
  </si>
  <si>
    <t>Lea_Bag_LEOPARDO_SCURO</t>
  </si>
  <si>
    <t>dorotea albergo</t>
  </si>
  <si>
    <t>orazio 22</t>
  </si>
  <si>
    <t>napoli</t>
  </si>
  <si>
    <t>Via Orazio 22, Via Orazio 22</t>
  </si>
  <si>
    <t>Via Orazio 22</t>
  </si>
  <si>
    <t>#1031</t>
  </si>
  <si>
    <t>scuola.boniforti@gmail.com</t>
  </si>
  <si>
    <t>2026-03-08T14:37:13+01:00</t>
  </si>
  <si>
    <t>2026-03-08T14:37:17+01:00</t>
  </si>
  <si>
    <t>Silvia Chiara Boniforti</t>
  </si>
  <si>
    <t>Via Bertani 36</t>
  </si>
  <si>
    <t>CERRO MAGGIORE (MI)</t>
  </si>
  <si>
    <t>#1032</t>
  </si>
  <si>
    <t>ceci5318@gmail.com</t>
  </si>
  <si>
    <t>2026-03-08T19:10:43+01:00</t>
  </si>
  <si>
    <t>2026-03-08T19:10:47+01:00</t>
  </si>
  <si>
    <t>LEA BAG COCCO CHOCOLATE</t>
  </si>
  <si>
    <t>Cecilia Gnudi</t>
  </si>
  <si>
    <t>Via Annone 1</t>
  </si>
  <si>
    <t>Monza</t>
  </si>
  <si>
    <t>MB</t>
  </si>
  <si>
    <t>Monza e Brianza</t>
  </si>
  <si>
    <t>#1033</t>
  </si>
  <si>
    <t>cecites00@virgilio.it</t>
  </si>
  <si>
    <t>2026-03-08T21:23:56+01:00</t>
  </si>
  <si>
    <t>2026-03-08T21:24:00+01:00</t>
  </si>
  <si>
    <t>Cecilia Tessenda</t>
  </si>
  <si>
    <t>Via della Madonna Alta, 41</t>
  </si>
  <si>
    <t>Via della Madonna Alta</t>
  </si>
  <si>
    <t>Perugia</t>
  </si>
  <si>
    <t>PG</t>
  </si>
  <si>
    <t>Via Cerva 1, Prco</t>
  </si>
  <si>
    <t>Via Cerva 1</t>
  </si>
  <si>
    <t>Prco</t>
  </si>
  <si>
    <t>#1034</t>
  </si>
  <si>
    <t>alice98bonelli@gmail.com</t>
  </si>
  <si>
    <t>2026-03-08T23:43:15+01:00</t>
  </si>
  <si>
    <t>2026-03-08T23:43:21+01:00</t>
  </si>
  <si>
    <t>Alice Bonelli</t>
  </si>
  <si>
    <t>Via Trento 14, Presso Elettromeccanica Bonelli</t>
  </si>
  <si>
    <t>Via Trento 14</t>
  </si>
  <si>
    <t>Presso Elettromeccanica Bonelli</t>
  </si>
  <si>
    <t>Mondovì</t>
  </si>
  <si>
    <t>CN</t>
  </si>
  <si>
    <t>Cuneo</t>
  </si>
  <si>
    <t>#1035</t>
  </si>
  <si>
    <t>sabine.roschitz@gmx.at</t>
  </si>
  <si>
    <t>2026-03-09T08:10:30+01:00</t>
  </si>
  <si>
    <t>Standard Internazionale</t>
  </si>
  <si>
    <t>2026-03-09T08:10:31+01:00</t>
  </si>
  <si>
    <t>Sabine Heißenberger</t>
  </si>
  <si>
    <t>Kaiserwaldweg 25a</t>
  </si>
  <si>
    <t>Graz</t>
  </si>
  <si>
    <t>AT</t>
  </si>
  <si>
    <t>#1036</t>
  </si>
  <si>
    <t>giorgiamartini61@gmail.com</t>
  </si>
  <si>
    <t>2026-03-09T14:26:12+01:00</t>
  </si>
  <si>
    <t>2026-03-09T18:01:39+01:00</t>
  </si>
  <si>
    <t>2026-03-09T14:26:14+01:00</t>
  </si>
  <si>
    <t>Giorgia Martini</t>
  </si>
  <si>
    <t>Via San Giovanni alla Paglia 6</t>
  </si>
  <si>
    <t>#1037</t>
  </si>
  <si>
    <t>nicole.urrico99@icloud.com</t>
  </si>
  <si>
    <t>2026-03-09T22:11:12+01:00</t>
  </si>
  <si>
    <t>2026-03-09T22:11:17+01:00</t>
  </si>
  <si>
    <t>Nicole Urrico</t>
  </si>
  <si>
    <t>Via Ludovico Ariosto 109</t>
  </si>
  <si>
    <t>Sesto San Giovanni</t>
  </si>
  <si>
    <t>#1038</t>
  </si>
  <si>
    <t>2026-03-11T12:50:33+01:00</t>
  </si>
  <si>
    <t>2026-03-11T12:50:37+01:00</t>
  </si>
  <si>
    <t>Gaia Klinger</t>
  </si>
  <si>
    <t>Ramazzini 1</t>
  </si>
  <si>
    <t>+393928839913</t>
  </si>
  <si>
    <t>#1039</t>
  </si>
  <si>
    <t>letiziatirocchi21@icloud.com</t>
  </si>
  <si>
    <t>2026-03-11T13:32:35+01:00</t>
  </si>
  <si>
    <t>2026-03-11T13:32:39+01:00</t>
  </si>
  <si>
    <t>Letizia Tirocchi</t>
  </si>
  <si>
    <t>Via M.buonarroti, N.55</t>
  </si>
  <si>
    <t>Norma</t>
  </si>
  <si>
    <t>LT</t>
  </si>
  <si>
    <t>Via M.buonarroti, 55, N.55</t>
  </si>
  <si>
    <t>Via M.buonarroti, 55</t>
  </si>
  <si>
    <t>N.55</t>
  </si>
  <si>
    <t>Latina</t>
  </si>
  <si>
    <t>#1040</t>
  </si>
  <si>
    <t>alisiabernardini@gmail.com</t>
  </si>
  <si>
    <t>2026-03-11T22:18:55+01:00</t>
  </si>
  <si>
    <t>2026-03-11T22:18:57+01:00</t>
  </si>
  <si>
    <t>Alisia Bernardini</t>
  </si>
  <si>
    <t>Via Di Ponte 4a</t>
  </si>
  <si>
    <t>Sarzana</t>
  </si>
  <si>
    <t>SP</t>
  </si>
  <si>
    <t>La Spezia</t>
  </si>
  <si>
    <t>#1041</t>
  </si>
  <si>
    <t>francescategas@gmail.com</t>
  </si>
  <si>
    <t>2026-03-12T09:33:39+01:00</t>
  </si>
  <si>
    <t>2026-03-12T09:33:41+01:00</t>
  </si>
  <si>
    <t>Filippo Ferrigno</t>
  </si>
  <si>
    <t>Via Camillo Benso Conte di Cavour 75, Citofono FERRIGNO</t>
  </si>
  <si>
    <t>Via Camillo Benso Conte di Cavour 75</t>
  </si>
  <si>
    <t>Citofono FERRIGNO</t>
  </si>
  <si>
    <t>Cernusco sul Naviglio</t>
  </si>
  <si>
    <t>#1042</t>
  </si>
  <si>
    <t>rebe.graziano00@gmail.com</t>
  </si>
  <si>
    <t>2026-03-12T13:27:07+01:00</t>
  </si>
  <si>
    <t>2026-03-12T16:33:12+01:00</t>
  </si>
  <si>
    <t>2026-03-12T13:27:09+01:00</t>
  </si>
  <si>
    <t>Rebecca Graziano</t>
  </si>
  <si>
    <t>Viale Ippocrate 104</t>
  </si>
  <si>
    <t>#1043</t>
  </si>
  <si>
    <t>irene.mochi1969@gmail.com</t>
  </si>
  <si>
    <t>2026-03-12T14:51:57+01:00</t>
  </si>
  <si>
    <t>2026-03-12T16:32:49+01:00</t>
  </si>
  <si>
    <t>2026-03-12T14:52:03+01:00</t>
  </si>
  <si>
    <t>Irene Mochi</t>
  </si>
  <si>
    <t>via Padre Donato Camacci 86</t>
  </si>
  <si>
    <t>Loro Piceno</t>
  </si>
  <si>
    <t>MC</t>
  </si>
  <si>
    <t>Macerata</t>
  </si>
  <si>
    <t>#1044</t>
  </si>
  <si>
    <t>ronchitelli0596@gmail.com</t>
  </si>
  <si>
    <t>2026-03-12T18:07:00+01:00</t>
  </si>
  <si>
    <t>2026-03-12T18:07:01+01:00</t>
  </si>
  <si>
    <t>Lea_Bag_VERNICE_ROSSA</t>
  </si>
  <si>
    <t>Maria Teresa Ronchitelli</t>
  </si>
  <si>
    <t>Via Della Transumanza 41</t>
  </si>
  <si>
    <t>Trinitapoli</t>
  </si>
  <si>
    <t>BT</t>
  </si>
  <si>
    <t>Barletta-Andria-Trani</t>
  </si>
  <si>
    <t>#1045</t>
  </si>
  <si>
    <t>fancelluele@gmail.com</t>
  </si>
  <si>
    <t>2026-03-12T19:09:37+01:00</t>
  </si>
  <si>
    <t>elena fancellu</t>
  </si>
  <si>
    <t>Via Giacomo Boni 1</t>
  </si>
  <si>
    <t>#1046</t>
  </si>
  <si>
    <t>e.baldi90@gmail.com</t>
  </si>
  <si>
    <t>2026-03-13T15:54:20+01:00</t>
  </si>
  <si>
    <t>2026-03-13T15:54:24+01:00</t>
  </si>
  <si>
    <t>Edoardo Baldi</t>
  </si>
  <si>
    <t>Via della Valluccia 1, Baldi</t>
  </si>
  <si>
    <t>Via della Valluccia 1</t>
  </si>
  <si>
    <t>Baldi</t>
  </si>
  <si>
    <t>Prato</t>
  </si>
  <si>
    <t>PO</t>
  </si>
  <si>
    <t>#1047</t>
  </si>
  <si>
    <t>federica.stirone@gmail.com</t>
  </si>
  <si>
    <t>2026-03-13T18:19:29+01:00</t>
  </si>
  <si>
    <t>2026-03-13T18:19:33+01:00</t>
  </si>
  <si>
    <t>LEA BAG ESPRESSO PONY</t>
  </si>
  <si>
    <t>Federica Stirone</t>
  </si>
  <si>
    <t>2040 Robert Rd</t>
  </si>
  <si>
    <t>Meadowbrook</t>
  </si>
  <si>
    <t>US</t>
  </si>
  <si>
    <t>Via dei Grani 21D</t>
  </si>
  <si>
    <t>Casale Monferrato</t>
  </si>
  <si>
    <t>Pennsylvania</t>
  </si>
  <si>
    <t>#1048</t>
  </si>
  <si>
    <t>anto.peccianti@gmail.com</t>
  </si>
  <si>
    <t>2026-03-13T22:57:56+01:00</t>
  </si>
  <si>
    <t>2026-03-13T22:58:00+01:00</t>
  </si>
  <si>
    <t>Antonella Peccianti</t>
  </si>
  <si>
    <t>Via Enrico Costa 32</t>
  </si>
  <si>
    <t>Cagliari</t>
  </si>
  <si>
    <t>CA</t>
  </si>
  <si>
    <t>#1049</t>
  </si>
  <si>
    <t>a.sguazziniv@gmail.com</t>
  </si>
  <si>
    <t>2026-03-15T09:57:38+01:00</t>
  </si>
  <si>
    <t>2026-03-15T09:57:44+01:00</t>
  </si>
  <si>
    <t>Anna Sguazzini Viscontini</t>
  </si>
  <si>
    <t>Baluardo Partigiani 2, Scala D</t>
  </si>
  <si>
    <t>Baluardo Partigiani 2</t>
  </si>
  <si>
    <t>Scala D</t>
  </si>
  <si>
    <t>Via Giovanni Battista Morgagni 31, Citofono BC</t>
  </si>
  <si>
    <t>Via Giovanni Battista Morgagni 31</t>
  </si>
  <si>
    <t>Citofono BC</t>
  </si>
  <si>
    <t>+393356978076</t>
  </si>
  <si>
    <t>#1050</t>
  </si>
  <si>
    <t>greta.gnolfi@gmail.com</t>
  </si>
  <si>
    <t>2026-03-15T17:01:50+01:00</t>
  </si>
  <si>
    <t>2026-03-15T17:01:54+01:00</t>
  </si>
  <si>
    <t>Greta Gnolfi</t>
  </si>
  <si>
    <t>Piazza Nazioni Unite</t>
  </si>
  <si>
    <t>Terontola</t>
  </si>
  <si>
    <t>#1051</t>
  </si>
  <si>
    <t>bianca_frigerio@yahoo.com</t>
  </si>
  <si>
    <t>2026-03-16T09:57:48+01:00</t>
  </si>
  <si>
    <t>2026-03-16T09:57:50+01:00</t>
  </si>
  <si>
    <t>Bianca Frigerio</t>
  </si>
  <si>
    <t>Via Giovanni Battista Fauchè 9</t>
  </si>
  <si>
    <t>#1052</t>
  </si>
  <si>
    <t>vittoriabetti1@gmail.com</t>
  </si>
  <si>
    <t>2026-03-16T13:18:31+01:00</t>
  </si>
  <si>
    <t>2026-03-16T13:18:32+01:00</t>
  </si>
  <si>
    <t>Vittoria Betti</t>
  </si>
  <si>
    <t>Via Bonacorsa, 11</t>
  </si>
  <si>
    <t>#1053</t>
  </si>
  <si>
    <t>silvia.giovannetti93@gmail.com</t>
  </si>
  <si>
    <t>2026-03-18T10:53:20+01:00</t>
  </si>
  <si>
    <t>2026-03-18T10:53:25+01:00</t>
  </si>
  <si>
    <t>Silvia Giovannetti</t>
  </si>
  <si>
    <t>Via Residenza Fontana, 461</t>
  </si>
  <si>
    <t>Via Residenza Fontana</t>
  </si>
  <si>
    <t>Segrate</t>
  </si>
  <si>
    <t>#1054</t>
  </si>
  <si>
    <t>lauragandolfi00@gmail.com</t>
  </si>
  <si>
    <t>2026-03-18T11:21:33+01:00</t>
  </si>
  <si>
    <t>2026-03-18T11:21:34+01:00</t>
  </si>
  <si>
    <t>Laura Gandolfi</t>
  </si>
  <si>
    <t>Via Andrea Costa 43</t>
  </si>
  <si>
    <t>Rastignano</t>
  </si>
  <si>
    <t>#1055</t>
  </si>
  <si>
    <t>carlottaviolante@gmail.com</t>
  </si>
  <si>
    <t>2026-03-18T16:59:49+01:00</t>
  </si>
  <si>
    <t>2026-03-18T16:59:53+01:00</t>
  </si>
  <si>
    <t>Carlotta Violante</t>
  </si>
  <si>
    <t>Via Bruxelles 79, Interno 11, 5 Piano</t>
  </si>
  <si>
    <t>Via Bruxelles 79</t>
  </si>
  <si>
    <t>Interno 11, 5 Piano</t>
  </si>
  <si>
    <t>#1056</t>
  </si>
  <si>
    <t>veninifrancesca02@gmail.com</t>
  </si>
  <si>
    <t>2026-03-18T18:09:02+01:00</t>
  </si>
  <si>
    <t>2026-03-18T18:09:06+01:00</t>
  </si>
  <si>
    <t>Francesca Venini</t>
  </si>
  <si>
    <t>Via Liutprando 3</t>
  </si>
  <si>
    <t>Pavia</t>
  </si>
  <si>
    <t>PV</t>
  </si>
  <si>
    <t>#1057</t>
  </si>
  <si>
    <t>maddalenaleccisi@gmail.com</t>
  </si>
  <si>
    <t>2026-03-18T18:18:54+01:00</t>
  </si>
  <si>
    <t>Maddalena Leccisi</t>
  </si>
  <si>
    <t>Viale Otranto 91, citofono i Leccisi</t>
  </si>
  <si>
    <t>Viale Otranto 91</t>
  </si>
  <si>
    <t>citofono i Leccisi</t>
  </si>
  <si>
    <t>Lecce</t>
  </si>
  <si>
    <t>LE</t>
  </si>
  <si>
    <t>#1058</t>
  </si>
  <si>
    <t>truccogiulia@libero.it</t>
  </si>
  <si>
    <t>2026-03-18T18:34:44+01:00</t>
  </si>
  <si>
    <t>2026-03-18T18:34:46+01:00</t>
  </si>
  <si>
    <t>Giulia Trucco</t>
  </si>
  <si>
    <t>Via Luigi Bertelli 4</t>
  </si>
  <si>
    <t>#1059</t>
  </si>
  <si>
    <t>corallaletizialaudiero@gmail.com</t>
  </si>
  <si>
    <t>2026-03-18T19:50:31+01:00</t>
  </si>
  <si>
    <t>2026-03-18T19:50:32+01:00</t>
  </si>
  <si>
    <t>Coralla Letizia</t>
  </si>
  <si>
    <t>Via Giovanni Battista Niccolini 23</t>
  </si>
  <si>
    <t>#1060</t>
  </si>
  <si>
    <t>serafini.elena13@gmail.com</t>
  </si>
  <si>
    <t>2026-03-18T21:14:55+01:00</t>
  </si>
  <si>
    <t>2026-03-18T21:14:58+01:00</t>
  </si>
  <si>
    <t>Elena Serafini</t>
  </si>
  <si>
    <t>Via Tollara 9</t>
  </si>
  <si>
    <t>Poviglio</t>
  </si>
  <si>
    <t>RE</t>
  </si>
  <si>
    <t>Reggio Emilia</t>
  </si>
  <si>
    <t>#1061</t>
  </si>
  <si>
    <t>cuccagnachiara@gmail.com</t>
  </si>
  <si>
    <t>2026-03-18T21:26:42+01:00</t>
  </si>
  <si>
    <t>2026-03-18T21:26:48+01:00</t>
  </si>
  <si>
    <t>Alessandro Cuccagna</t>
  </si>
  <si>
    <t>CNI SPA Via dei Marmisti 11</t>
  </si>
  <si>
    <t>Spoleto</t>
  </si>
  <si>
    <t>#1062</t>
  </si>
  <si>
    <t>beatrice.capurro07@gmail.com</t>
  </si>
  <si>
    <t>2026-03-19T00:53:35+01:00</t>
  </si>
  <si>
    <t>2026-03-19T00:53:38+01:00</t>
  </si>
  <si>
    <t>Beatrice Capurro</t>
  </si>
  <si>
    <t>Via Ciro Menotti 21</t>
  </si>
  <si>
    <t>#1063</t>
  </si>
  <si>
    <t>valeria.oberti96@gmail.com</t>
  </si>
  <si>
    <t>2026-03-19T10:56:30+01:00</t>
  </si>
  <si>
    <t>2026-03-19T10:56:36+01:00</t>
  </si>
  <si>
    <t>Valeria Oberti</t>
  </si>
  <si>
    <t>via monte adamello 2</t>
  </si>
  <si>
    <t>seriate</t>
  </si>
  <si>
    <t>BG</t>
  </si>
  <si>
    <t>Via Monte Adamello 2, .</t>
  </si>
  <si>
    <t>Via Monte Adamello 2</t>
  </si>
  <si>
    <t>.</t>
  </si>
  <si>
    <t>Seriate</t>
  </si>
  <si>
    <t>Bergamo</t>
  </si>
  <si>
    <t>#1064</t>
  </si>
  <si>
    <t>marti.ughetti@gmail.com</t>
  </si>
  <si>
    <t>2026-03-19T14:39:07+01:00</t>
  </si>
  <si>
    <t>2026-03-19T14:39:09+01:00</t>
  </si>
  <si>
    <t>Martina Ughetti</t>
  </si>
  <si>
    <t>Via Reinaud 9</t>
  </si>
  <si>
    <t>Paesana</t>
  </si>
  <si>
    <t>#1065</t>
  </si>
  <si>
    <t>irymarconi@gmail.com</t>
  </si>
  <si>
    <t>2026-03-20T19:43:14+01:00</t>
  </si>
  <si>
    <t>2026-03-20T19:43:18+01:00</t>
  </si>
  <si>
    <t>Irene Marconi</t>
  </si>
  <si>
    <t>Via Francesco Datini 32, citofono Marconi</t>
  </si>
  <si>
    <t>Via Francesco Datini 32</t>
  </si>
  <si>
    <t>citofono Marconi</t>
  </si>
  <si>
    <t>Firenze</t>
  </si>
  <si>
    <t>FI</t>
  </si>
  <si>
    <t>#1066</t>
  </si>
  <si>
    <t>jade.sdrourececcacci@gmail.com</t>
  </si>
  <si>
    <t>2026-03-23T07:42:23+01:00</t>
  </si>
  <si>
    <t>2026-03-23T22:58:21+01:00</t>
  </si>
  <si>
    <t>2026-03-23T07:42:27+01:00</t>
  </si>
  <si>
    <t>Jade Ceccacci</t>
  </si>
  <si>
    <t>Via Migliara 51 Sx 1834</t>
  </si>
  <si>
    <t>Pontinia</t>
  </si>
  <si>
    <t>#1067</t>
  </si>
  <si>
    <t>patrunotommaso03@gmail.com</t>
  </si>
  <si>
    <t>2026-03-23T12:09:43+01:00</t>
  </si>
  <si>
    <t>2026-03-23T23:00:17+01:00</t>
  </si>
  <si>
    <t>2026-03-23T12:09:49+01:00</t>
  </si>
  <si>
    <t>tommaso patruno</t>
  </si>
  <si>
    <t>Via Girasoli 148</t>
  </si>
  <si>
    <t>Taranto</t>
  </si>
  <si>
    <t>TA</t>
  </si>
  <si>
    <t>Lidia Catapano</t>
  </si>
  <si>
    <t>via giuseppe tornielli 26</t>
  </si>
  <si>
    <t>#1068</t>
  </si>
  <si>
    <t>2026-03-24T11:20:07+01:00</t>
  </si>
  <si>
    <t>2026-03-24T11:20:12+01:00</t>
  </si>
  <si>
    <t>Chiara Bonivento</t>
  </si>
  <si>
    <t>Poste Nuove</t>
  </si>
  <si>
    <t>Mestre</t>
  </si>
  <si>
    <t>VE</t>
  </si>
  <si>
    <t>+393407981678</t>
  </si>
  <si>
    <t>Venezia</t>
  </si>
  <si>
    <t>#1069</t>
  </si>
  <si>
    <t>otti.minidago@hotmail.it</t>
  </si>
  <si>
    <t>2026-03-25T15:55:42+01:00</t>
  </si>
  <si>
    <t>2026-03-25T15:55:46+01:00</t>
  </si>
  <si>
    <t>Ottavia D Agostino</t>
  </si>
  <si>
    <t>Viale Abruzzi 44</t>
  </si>
  <si>
    <t>Ottavia D'Agostino</t>
  </si>
  <si>
    <t>#1070</t>
  </si>
  <si>
    <t>ottaviadagostino8@gmail.com</t>
  </si>
  <si>
    <t>2026-03-25T16:19:29+01:00</t>
  </si>
  <si>
    <t>2026-03-25T16:19:33+01:00</t>
  </si>
  <si>
    <t>Virginia Sacconi</t>
  </si>
  <si>
    <t>Via Emilio Morosini 14</t>
  </si>
  <si>
    <t>#1071</t>
  </si>
  <si>
    <t>rossettivittoria@outlook.it</t>
  </si>
  <si>
    <t>2026-03-26T15:10:43+01:00</t>
  </si>
  <si>
    <t>2026-03-26T15:10:44+01:00</t>
  </si>
  <si>
    <t>Vittoria Rossetti</t>
  </si>
  <si>
    <t>Viale Monte Grappa 7, cit. 3P</t>
  </si>
  <si>
    <t>Viale Monte Grappa 7</t>
  </si>
  <si>
    <t>cit. 3P</t>
  </si>
  <si>
    <t>#1072</t>
  </si>
  <si>
    <t>giorgia.salafia@icloud.com</t>
  </si>
  <si>
    <t>2026-03-27T12:41:09+01:00</t>
  </si>
  <si>
    <t>2026-03-27T12:41:13+01:00</t>
  </si>
  <si>
    <t>Giorgia Salafia</t>
  </si>
  <si>
    <t>via giuseppe pastori 101, 101</t>
  </si>
  <si>
    <t>via giuseppe pastori 101</t>
  </si>
  <si>
    <t>orzivecchi</t>
  </si>
  <si>
    <t>BS</t>
  </si>
  <si>
    <t>Via Giuseppe Pastori 101/101/101, 101</t>
  </si>
  <si>
    <t>Via Giuseppe Pastori 101/101/101</t>
  </si>
  <si>
    <t>Orzivecchi</t>
  </si>
  <si>
    <t>Brescia</t>
  </si>
  <si>
    <t>#1073</t>
  </si>
  <si>
    <t>carola.martelli@live.it</t>
  </si>
  <si>
    <t>2026-03-27T17:39:15+01:00</t>
  </si>
  <si>
    <t>2026-03-27T17:39:20+01:00</t>
  </si>
  <si>
    <t>ANNIE BAG PAILLETTES BEIGE</t>
  </si>
  <si>
    <t>Annie_Bag_paillettes_BEIGE</t>
  </si>
  <si>
    <t>Carola Martelli</t>
  </si>
  <si>
    <t>Via Ugo Foscolo 39</t>
  </si>
  <si>
    <t>Cusago</t>
  </si>
  <si>
    <t>#1074</t>
  </si>
  <si>
    <t>inesmaria0421@gmail.com</t>
  </si>
  <si>
    <t>2026-03-27T18:55:54+01:00</t>
  </si>
  <si>
    <t>2026-03-27T19:04:15+01:00</t>
  </si>
  <si>
    <t>2026-03-27T18:55:59+01:00</t>
  </si>
  <si>
    <t>Ines Pagano</t>
  </si>
  <si>
    <t>Largo Tel Aviv 1, Portineria</t>
  </si>
  <si>
    <t>Largo Tel Aviv 1</t>
  </si>
  <si>
    <t>Portineria</t>
  </si>
  <si>
    <t>#1075</t>
  </si>
  <si>
    <t>erica.ugolini@gmail.com</t>
  </si>
  <si>
    <t>2026-03-27T19:03:12+01:00</t>
  </si>
  <si>
    <t>2026-03-27T19:04:07+01:00</t>
  </si>
  <si>
    <t>2026-03-27T19:03:16+01:00</t>
  </si>
  <si>
    <t>Lea Bag Leather Green</t>
  </si>
  <si>
    <t>Erica Ugolini</t>
  </si>
  <si>
    <t>Via Luigi Canonica 27</t>
  </si>
  <si>
    <t>Via Melzi D'eril 3</t>
  </si>
  <si>
    <t>shopify_draft_order</t>
  </si>
  <si>
    <t>#1076</t>
  </si>
  <si>
    <t>luvi15@tiscali.it</t>
  </si>
  <si>
    <t>2026-03-27T20:27:08+01:00</t>
  </si>
  <si>
    <t>2026-03-27T20:27:13+01:00</t>
  </si>
  <si>
    <t>Ludovica Marchesi</t>
  </si>
  <si>
    <t>Via Olona 5</t>
  </si>
  <si>
    <t>#1077</t>
  </si>
  <si>
    <t>valeria.saija@gmail.com</t>
  </si>
  <si>
    <t>2026-03-28T08:00:19+01:00</t>
  </si>
  <si>
    <t>2026-03-28T08:00:21+01:00</t>
  </si>
  <si>
    <t>VALERIA SAIJA</t>
  </si>
  <si>
    <t>VIA BAVENO 42</t>
  </si>
  <si>
    <t>TORINO</t>
  </si>
  <si>
    <t>TO</t>
  </si>
  <si>
    <t>Torino</t>
  </si>
  <si>
    <t>#1078</t>
  </si>
  <si>
    <t>federicapoletto@icloud.com</t>
  </si>
  <si>
    <t>2026-03-28T13:42:15+01:00</t>
  </si>
  <si>
    <t>2026-03-28T13:42:18+01:00</t>
  </si>
  <si>
    <t>Annie_Bag_paillettes_PINK</t>
  </si>
  <si>
    <t>Federica Poletto</t>
  </si>
  <si>
    <t>Via Dossi 1</t>
  </si>
  <si>
    <t>Tremosine sul Garda</t>
  </si>
  <si>
    <t>Via delle Laste 2</t>
  </si>
  <si>
    <t>Trento</t>
  </si>
  <si>
    <t>TN</t>
  </si>
  <si>
    <t>#1079</t>
  </si>
  <si>
    <t>2026-03-28T14:07:55+01:00</t>
  </si>
  <si>
    <t>2026-03-28T14:07:59+01:00</t>
  </si>
  <si>
    <t>MARIA BAG RED</t>
  </si>
  <si>
    <t>Maria_Bag_RED</t>
  </si>
  <si>
    <t>Luigi Candia</t>
  </si>
  <si>
    <t>Via della Fisica 3</t>
  </si>
  <si>
    <t>Candia Srl</t>
  </si>
  <si>
    <t>Thiene</t>
  </si>
  <si>
    <t>VI</t>
  </si>
  <si>
    <t>+393458122246</t>
  </si>
  <si>
    <t>Vicenza</t>
  </si>
  <si>
    <t>#1080</t>
  </si>
  <si>
    <t>valerio.obino@gmail.com</t>
  </si>
  <si>
    <t>2026-03-28T15:08:36+01:00</t>
  </si>
  <si>
    <t>2026-03-28T15:08:40+01:00</t>
  </si>
  <si>
    <t>Valerio Obino</t>
  </si>
  <si>
    <t>Corso Regina Margherita 165bus</t>
  </si>
  <si>
    <t>Via Bardonecchia 185</t>
  </si>
  <si>
    <t>Ziccat</t>
  </si>
  <si>
    <t>#1081</t>
  </si>
  <si>
    <t>anna.sterle@edhec.com</t>
  </si>
  <si>
    <t>2026-03-29T13:53:09+02:00</t>
  </si>
  <si>
    <t>2026-03-29T13:53:13+02:00</t>
  </si>
  <si>
    <t>Anna Sterle</t>
  </si>
  <si>
    <t>Via Carducci 112</t>
  </si>
  <si>
    <t>Malo</t>
  </si>
  <si>
    <t>Via Antonio Kramer 18</t>
  </si>
  <si>
    <t>#1082</t>
  </si>
  <si>
    <t>dani.camisa@gmail.com</t>
  </si>
  <si>
    <t>2026-03-29T15:08:22+02:00</t>
  </si>
  <si>
    <t>2026-03-29T15:08:23+02:00</t>
  </si>
  <si>
    <t>Daniela Camisa</t>
  </si>
  <si>
    <t>Via Roma 58, Arona</t>
  </si>
  <si>
    <t>Via Roma 58</t>
  </si>
  <si>
    <t>Arona</t>
  </si>
  <si>
    <t>#1083</t>
  </si>
  <si>
    <t>karinatsvetkova@icloud.com</t>
  </si>
  <si>
    <t>2026-03-30T08:16:41+02:00</t>
  </si>
  <si>
    <t>2026-03-30T08:16:42+02:00</t>
  </si>
  <si>
    <t>Annie Bag Paillettes Grey</t>
  </si>
  <si>
    <t>Karyna Tsvyetkova</t>
  </si>
  <si>
    <t>Piazza Sant'Eufemia 8</t>
  </si>
  <si>
    <t>Toplife/ion Group reception</t>
  </si>
  <si>
    <t>#1084</t>
  </si>
  <si>
    <t>silvia.lacecco@gmail.com</t>
  </si>
  <si>
    <t>2026-03-30T10:38:51+02:00</t>
  </si>
  <si>
    <t>2026-03-30T10:38:52+02:00</t>
  </si>
  <si>
    <t>Silvia Cecconato</t>
  </si>
  <si>
    <t>Santandrá 39, Azienda Tre Ponti Srl</t>
  </si>
  <si>
    <t>Santandrá 39</t>
  </si>
  <si>
    <t>Azienda Tre Ponti Srl</t>
  </si>
  <si>
    <t>Tre Ponti</t>
  </si>
  <si>
    <t>Ponzano Veneto</t>
  </si>
  <si>
    <t>#1085</t>
  </si>
  <si>
    <t>giovanninoe96@gmail.com</t>
  </si>
  <si>
    <t>2026-03-30T10:52:34+02:00</t>
  </si>
  <si>
    <t>2026-03-30T10:52:38+02:00</t>
  </si>
  <si>
    <t>Giovanni Noè</t>
  </si>
  <si>
    <t>Via Monte Grappa 1</t>
  </si>
  <si>
    <t>Robecco Sul Naviglio</t>
  </si>
  <si>
    <t>#1086</t>
  </si>
  <si>
    <t>2026-03-30T16:15:34+02:00</t>
  </si>
  <si>
    <t>2026-03-30T16:15:38+02:00</t>
  </si>
  <si>
    <t>Fabiola Martino</t>
  </si>
  <si>
    <t>Cesare cabella</t>
  </si>
  <si>
    <t>+393927741458</t>
  </si>
  <si>
    <t>#1087</t>
  </si>
  <si>
    <t>puccetti.luci@gmail.com</t>
  </si>
  <si>
    <t>2026-03-31T15:52:33+02:00</t>
  </si>
  <si>
    <t>2026-03-31T15:52:41+02:00</t>
  </si>
  <si>
    <t>LEA BAG BLACK &amp; WHITE PONY</t>
  </si>
  <si>
    <t>Lea_Bag_MUCCATA_NERA</t>
  </si>
  <si>
    <t>Lucia Puccetti</t>
  </si>
  <si>
    <t>Via Inigo Campioni 145</t>
  </si>
  <si>
    <t>Lucca</t>
  </si>
  <si>
    <t>LU</t>
  </si>
  <si>
    <t>#1088</t>
  </si>
  <si>
    <t>martissima.di@gmail.com</t>
  </si>
  <si>
    <t>2026-03-31T20:15:24+02:00</t>
  </si>
  <si>
    <t>2026-03-31T20:15:28+02:00</t>
  </si>
  <si>
    <t>marta di natale</t>
  </si>
  <si>
    <t>via giovanni falcone</t>
  </si>
  <si>
    <t>priolo gargallo</t>
  </si>
  <si>
    <t>SR</t>
  </si>
  <si>
    <t>Siracusa</t>
  </si>
  <si>
    <t>#1089</t>
  </si>
  <si>
    <t>cla.fimelli@gmail.com</t>
  </si>
  <si>
    <t>2026-04-01T00:14:26+02:00</t>
  </si>
  <si>
    <t>2026-04-01T00:14:32+02:00</t>
  </si>
  <si>
    <t>Claudia Fimelli</t>
  </si>
  <si>
    <t>Via Carlo D'Adda 22, Citofono 11</t>
  </si>
  <si>
    <t>Via Carlo D'Adda 22</t>
  </si>
  <si>
    <t>Citofono 11</t>
  </si>
  <si>
    <t>#1090</t>
  </si>
  <si>
    <t>francesca.teso@gmail.com</t>
  </si>
  <si>
    <t>2026-04-01T20:31:26+02:00</t>
  </si>
  <si>
    <t>2026-04-01T20:31:27+02:00</t>
  </si>
  <si>
    <t>Annie_Bag_paillettes_BEIGE_con_catena</t>
  </si>
  <si>
    <t>Francesca Teso</t>
  </si>
  <si>
    <t>Strada Comunale San Vitale 29/E</t>
  </si>
  <si>
    <t>#1091</t>
  </si>
  <si>
    <t>giorgia.gasbarri99@gmail.com</t>
  </si>
  <si>
    <t>2026-04-02T14:34:22+02:00</t>
  </si>
  <si>
    <t>Giorgia Gasbarri</t>
  </si>
  <si>
    <t>Via Cicco Simonetta 18</t>
  </si>
  <si>
    <t>Alessandra Battista</t>
  </si>
  <si>
    <t>Via Puglia 10</t>
  </si>
  <si>
    <t>L'Aquila</t>
  </si>
  <si>
    <t>AQ</t>
  </si>
  <si>
    <t>#1092</t>
  </si>
  <si>
    <t>spinzi97@gmail.com</t>
  </si>
  <si>
    <t>2026-04-03T12:02:45+02:00</t>
  </si>
  <si>
    <t>2026-04-03T12:02:49+02:00</t>
  </si>
  <si>
    <t>Maria Bag Red Piercing</t>
  </si>
  <si>
    <t>Marta Spinzi</t>
  </si>
  <si>
    <t>via Ovada 19</t>
  </si>
  <si>
    <t>MILANO</t>
  </si>
  <si>
    <t>Via Ovada 19</t>
  </si>
  <si>
    <t>#1093</t>
  </si>
  <si>
    <t>grga.rossi@gmail.com</t>
  </si>
  <si>
    <t>2026-04-04T09:28:08+02:00</t>
  </si>
  <si>
    <t>2026-04-04T09:28:09+02:00</t>
  </si>
  <si>
    <t>Giorgia Rossi</t>
  </si>
  <si>
    <t>Via del Monte delle Capre 9</t>
  </si>
  <si>
    <t>Capranica</t>
  </si>
  <si>
    <t>VT</t>
  </si>
  <si>
    <t>Viterbo</t>
  </si>
  <si>
    <t>#1094</t>
  </si>
  <si>
    <t>giuliafigari94@gmail.com</t>
  </si>
  <si>
    <t>2026-04-04T10:03:53+02:00</t>
  </si>
  <si>
    <t>2026-04-04T10:03:55+02:00</t>
  </si>
  <si>
    <t>Giulia Figari</t>
  </si>
  <si>
    <t>Via di San Sebastiano 14, 4</t>
  </si>
  <si>
    <t>Via di San Sebastiano 14</t>
  </si>
  <si>
    <t>#1095</t>
  </si>
  <si>
    <t>paola.samaritani@libero.it</t>
  </si>
  <si>
    <t>2026-04-04T13:28:21+02:00</t>
  </si>
  <si>
    <t>2026-04-04T13:28:23+02:00</t>
  </si>
  <si>
    <t>Paola Samaritani</t>
  </si>
  <si>
    <t>Via Francesco Cornaro 56</t>
  </si>
  <si>
    <t>#1096</t>
  </si>
  <si>
    <t>francesca.buzzatti@gmail.com</t>
  </si>
  <si>
    <t>2026-04-05T15:54:15+02:00</t>
  </si>
  <si>
    <t>2026-04-05T15:54:19+02:00</t>
  </si>
  <si>
    <t>Annie_Bag_Pailletes_BEIGE_con_catena</t>
  </si>
  <si>
    <t>Francesca Buzzatti</t>
  </si>
  <si>
    <t>Via G Pascoli 8</t>
  </si>
  <si>
    <t>Sedico</t>
  </si>
  <si>
    <t>BL</t>
  </si>
  <si>
    <t>Via Fratelli Cervi 2, (Buzzatti Nicola 5piano)</t>
  </si>
  <si>
    <t>Via Fratelli Cervi 2</t>
  </si>
  <si>
    <t>(Buzzatti Nicola 5piano)</t>
  </si>
  <si>
    <t>Belluno</t>
  </si>
  <si>
    <t>#1097</t>
  </si>
  <si>
    <t>accardovito15@gmail.com</t>
  </si>
  <si>
    <t>2026-04-05T22:21:43+02:00</t>
  </si>
  <si>
    <t>2026-04-05T22:21:47+02:00</t>
  </si>
  <si>
    <t>Annie_Bag_Pailletes_LIGHT_GREEN</t>
  </si>
  <si>
    <t>Vito Accardo</t>
  </si>
  <si>
    <t>Via Vittorio Emanuele II 283</t>
  </si>
  <si>
    <t>Campobello di Mazara</t>
  </si>
  <si>
    <t>TP</t>
  </si>
  <si>
    <t>+393336858751</t>
  </si>
  <si>
    <t>Garibaldi 33</t>
  </si>
  <si>
    <t>Campobello di Campobello di Mazara</t>
  </si>
  <si>
    <t>Trapani</t>
  </si>
  <si>
    <t>#1098</t>
  </si>
  <si>
    <t>giovannatombacco@gmail.com</t>
  </si>
  <si>
    <t>2026-04-07T10:10:19+02:00</t>
  </si>
  <si>
    <t>2026-04-07T10:10:24+02:00</t>
  </si>
  <si>
    <t>Giovanna Tombacco</t>
  </si>
  <si>
    <t>Via Francesco Pigozzi 4, 5</t>
  </si>
  <si>
    <t>Via Francesco Pigozzi 4</t>
  </si>
  <si>
    <t>Oderzo</t>
  </si>
  <si>
    <t>+393400548779</t>
  </si>
  <si>
    <t>#1099</t>
  </si>
  <si>
    <t>giuliabosica2@gmail.com</t>
  </si>
  <si>
    <t>2026-04-07T10:27:01+02:00</t>
  </si>
  <si>
    <t>2026-04-07T10:27:04+02:00</t>
  </si>
  <si>
    <t>Giulia Bosica</t>
  </si>
  <si>
    <t>Via Bologna 10</t>
  </si>
  <si>
    <t>Castellalto</t>
  </si>
  <si>
    <t>TE</t>
  </si>
  <si>
    <t>Teramo</t>
  </si>
  <si>
    <t>#1100</t>
  </si>
  <si>
    <t>franci.baroni@gmail.com</t>
  </si>
  <si>
    <t>2026-04-08T11:06:25+02:00</t>
  </si>
  <si>
    <t>2026-04-08T11:06:29+02:00</t>
  </si>
  <si>
    <t>FRANCESCA BARONI</t>
  </si>
  <si>
    <t>Via dei Ciclamini 11, Citofono 53 o lasciare al portinaio</t>
  </si>
  <si>
    <t>Via dei Ciclamini 11</t>
  </si>
  <si>
    <t>Citofono 53 o lasciare al portinaio</t>
  </si>
  <si>
    <t>+393477473232</t>
  </si>
  <si>
    <t>#1101</t>
  </si>
  <si>
    <t>claudiacannellac@gmail.com</t>
  </si>
  <si>
    <t>2026-04-09T11:58:16+02:00</t>
  </si>
  <si>
    <t>Personalizzata</t>
  </si>
  <si>
    <t>2026-04-09T11:58:21+02:00</t>
  </si>
  <si>
    <t>Agata Bag Floral Brown</t>
  </si>
  <si>
    <t>Claudia Cannella</t>
  </si>
  <si>
    <t>Via Saline 100g</t>
  </si>
  <si>
    <t>Via Gualtiero da Caltagirone 13, 13/d</t>
  </si>
  <si>
    <t>Via Gualtiero da Caltagirone 13</t>
  </si>
  <si>
    <t>13/d</t>
  </si>
  <si>
    <t>#1102</t>
  </si>
  <si>
    <t>elenamaria.turco2@gmail.com</t>
  </si>
  <si>
    <t>2026-04-09T17:19:41+02:00</t>
  </si>
  <si>
    <t>2026-04-09T17:19:45+02:00</t>
  </si>
  <si>
    <t>AGATA BAG FLORAL PINK EMBROIDERY - Senza Catena</t>
  </si>
  <si>
    <t>elena turco</t>
  </si>
  <si>
    <t>Via Giambattista Balbis 1</t>
  </si>
  <si>
    <t>#1103</t>
  </si>
  <si>
    <t>gabfoglia@gmail.com</t>
  </si>
  <si>
    <t>2026-04-09T22:12:21+02:00</t>
  </si>
  <si>
    <t>2026-04-09T22:12:25+02:00</t>
  </si>
  <si>
    <t>AGATA BAG TIE DYE PINK - Senza Catena</t>
  </si>
  <si>
    <t>Gabriella Bello Foglia</t>
  </si>
  <si>
    <t>Via San Gerolamo Emiliani, 3</t>
  </si>
  <si>
    <t>Via San Gerolamo Emiliani 3</t>
  </si>
  <si>
    <t>+393392268983</t>
  </si>
  <si>
    <t>#1104</t>
  </si>
  <si>
    <t>sveva@serantoni.it</t>
  </si>
  <si>
    <t>2026-04-09T22:26:43+02:00</t>
  </si>
  <si>
    <t>2026-04-09T22:26:44+02:00</t>
  </si>
  <si>
    <t>Sveva Serantoni</t>
  </si>
  <si>
    <t>Via Maria Vittoria 52-54, suonare Serantoni e Associati</t>
  </si>
  <si>
    <t>Via Maria Vittoria 52-54</t>
  </si>
  <si>
    <t>suonare Serantoni e Associati</t>
  </si>
  <si>
    <t>Serantoni e Associati</t>
  </si>
  <si>
    <t>#1105</t>
  </si>
  <si>
    <t>costi.sandrucci@gmail.com</t>
  </si>
  <si>
    <t>2026-04-10T08:54:59+02:00</t>
  </si>
  <si>
    <t>AGATA BAG FLORAL PINK EMBROIDERY - Catena in 110 cm</t>
  </si>
  <si>
    <t>AGATABAGTIEDYERED-2</t>
  </si>
  <si>
    <t>Costanza Sandrucci</t>
  </si>
  <si>
    <t>Via Gaetano Donizetti 41</t>
  </si>
  <si>
    <t>#1106</t>
  </si>
  <si>
    <t>2026-04-10T09:37:27+02:00</t>
  </si>
  <si>
    <t>2026-04-10T09:37:32+02:00</t>
  </si>
  <si>
    <t>Maria Piccinini</t>
  </si>
  <si>
    <t>Via Padre Semeria 27/4, suonare 204/203/202</t>
  </si>
  <si>
    <t>Via Padre Semeria 27/4</t>
  </si>
  <si>
    <t>suonare 204/203/202</t>
  </si>
  <si>
    <t>+393396560563</t>
  </si>
  <si>
    <t>#1107</t>
  </si>
  <si>
    <t>amira.delbono6@gmail.com</t>
  </si>
  <si>
    <t>2026-04-10T19:19:30+02:00</t>
  </si>
  <si>
    <t>2026-04-10T19:19:36+02:00</t>
  </si>
  <si>
    <t>Amira Del Bono</t>
  </si>
  <si>
    <t>Via Quintino Sella 3, Citofono LB</t>
  </si>
  <si>
    <t>Via Quintino Sella 3</t>
  </si>
  <si>
    <t>Citofono LB</t>
  </si>
  <si>
    <t>AGATA BAG FLORAL GREEN EMBROIDERY - Senza Catena</t>
  </si>
  <si>
    <t>#1108</t>
  </si>
  <si>
    <t>cecimontanari9@gmail.com</t>
  </si>
  <si>
    <t>2026-04-10T21:39:53+02:00</t>
  </si>
  <si>
    <t>2026-04-10T21:39:57+02:00</t>
  </si>
  <si>
    <t>Cecilia Montanari</t>
  </si>
  <si>
    <t>Via Santa Chiara 155</t>
  </si>
  <si>
    <t>Cesena</t>
  </si>
  <si>
    <t>FC</t>
  </si>
  <si>
    <t>Forlì-Cesena</t>
  </si>
  <si>
    <t>#1109</t>
  </si>
  <si>
    <t>benedetta.negridaoleggio@gmail.com</t>
  </si>
  <si>
    <t>2026-04-11T14:36:43+02:00</t>
  </si>
  <si>
    <t>2026-04-11T14:36:44+02:00</t>
  </si>
  <si>
    <t>ANNIE BAG PAILLETTES GREY</t>
  </si>
  <si>
    <t>Annie_Bag_Pailletes_GRIGIO</t>
  </si>
  <si>
    <t>Giulia Santagostino</t>
  </si>
  <si>
    <t>Largo Francesco Richini 2</t>
  </si>
  <si>
    <t>#1110</t>
  </si>
  <si>
    <t>giovanni.dimasi@hotmail.it</t>
  </si>
  <si>
    <t>2026-04-12T16:24:29+02:00</t>
  </si>
  <si>
    <t>2026-04-12T16:24:33+02:00</t>
  </si>
  <si>
    <t>Giovanni Maria Di Masi</t>
  </si>
  <si>
    <t>Viale Italo Calvino 49</t>
  </si>
  <si>
    <t>#1111</t>
  </si>
  <si>
    <t>mavevigo@gmail.com</t>
  </si>
  <si>
    <t>2026-04-12T22:55:56+02:00</t>
  </si>
  <si>
    <t>2026-04-12T22:56:00+02:00</t>
  </si>
  <si>
    <t>Maria Veronica Vigoriti</t>
  </si>
  <si>
    <t>Piazza Indipendenza 17</t>
  </si>
  <si>
    <t>Cervignano Del Friuli</t>
  </si>
  <si>
    <t>UD</t>
  </si>
  <si>
    <t>Cinzia Macor</t>
  </si>
  <si>
    <t>Piazza del Grano 16</t>
  </si>
  <si>
    <t>San Giorgio di Nogaro</t>
  </si>
  <si>
    <t>Udine</t>
  </si>
  <si>
    <t>#1112</t>
  </si>
  <si>
    <t>delbonorinaldo@gmail.com</t>
  </si>
  <si>
    <t>2026-04-13T13:18:30+02:00</t>
  </si>
  <si>
    <t>2026-04-13T13:18:37+02:00</t>
  </si>
  <si>
    <t>Rinaldo Del Bono</t>
  </si>
  <si>
    <t>Via Pietro Mascagni 15</t>
  </si>
  <si>
    <t>+393338402408</t>
  </si>
  <si>
    <t>Dado Del Bono</t>
  </si>
  <si>
    <t>Via Pietro Mascagni 20</t>
  </si>
  <si>
    <t>#1113</t>
  </si>
  <si>
    <t>matildedenti@libero.it</t>
  </si>
  <si>
    <t>2026-04-13T19:28:40+02:00</t>
  </si>
  <si>
    <t>2026-04-13T19:28:41+02:00</t>
  </si>
  <si>
    <t>Valentina_Bag_Cocco_Black</t>
  </si>
  <si>
    <t>Matilde Denti</t>
  </si>
  <si>
    <t>Via San Bernardino 31</t>
  </si>
  <si>
    <t>#1114</t>
  </si>
  <si>
    <t>ilaria.ghiglione@live.it</t>
  </si>
  <si>
    <t>2026-04-13T20:05:57+02:00</t>
  </si>
  <si>
    <t>2026-04-13T20:06:01+02:00</t>
  </si>
  <si>
    <t>Ilaria Ghiglione</t>
  </si>
  <si>
    <t>Via Lodovico Il Moro 133</t>
  </si>
  <si>
    <t>Via Ettore Ponti 39, Citofono Di Nunno</t>
  </si>
  <si>
    <t>Via Ettore Ponti 39</t>
  </si>
  <si>
    <t>Citofono Di Nunno</t>
  </si>
  <si>
    <t>+393385736332</t>
  </si>
  <si>
    <t>#1115</t>
  </si>
  <si>
    <t>settimibeatrice@gmail.com</t>
  </si>
  <si>
    <t>2026-04-13T21:25:00+02:00</t>
  </si>
  <si>
    <t>2026-04-13T21:25:01+02:00</t>
  </si>
  <si>
    <t>Beatrice Settimi</t>
  </si>
  <si>
    <t>Via Cola di Rienzo 212</t>
  </si>
  <si>
    <t>+393668625649</t>
  </si>
  <si>
    <t>#1116</t>
  </si>
  <si>
    <t>costanzo.claudia.1@gmail.com</t>
  </si>
  <si>
    <t>2026-04-14T16:24:08+02:00</t>
  </si>
  <si>
    <t>2026-04-14T16:24:12+02:00</t>
  </si>
  <si>
    <t>Claudia Costanzo</t>
  </si>
  <si>
    <t>Via Vertoiba 4, 1309 o portineria</t>
  </si>
  <si>
    <t>Via Vertoiba 4</t>
  </si>
  <si>
    <t>1309 o portineria</t>
  </si>
  <si>
    <t>#1117</t>
  </si>
  <si>
    <t>bianca.citterio97@gmail.com</t>
  </si>
  <si>
    <t>2026-04-15T07:34:34+02:00</t>
  </si>
  <si>
    <t>2026-04-15T07:34:37+02:00</t>
  </si>
  <si>
    <t>Bianca Citterio</t>
  </si>
  <si>
    <t>Via Sardegna 34A</t>
  </si>
  <si>
    <t>+393207860864</t>
  </si>
  <si>
    <t>#1118</t>
  </si>
  <si>
    <t>lindabonalumi2003@gmail.com</t>
  </si>
  <si>
    <t>2026-04-15T09:33:57+02:00</t>
  </si>
  <si>
    <t>2026-04-15T09:34:00+02:00</t>
  </si>
  <si>
    <t>LINDA BONALUMI</t>
  </si>
  <si>
    <t>Via alle Brughiere 1</t>
  </si>
  <si>
    <t>Sotto il Monte Giovanni XXIII</t>
  </si>
  <si>
    <t>#1119</t>
  </si>
  <si>
    <t>dalilabisconti@hotmail.it</t>
  </si>
  <si>
    <t>2026-04-15T12:28:24+02:00</t>
  </si>
  <si>
    <t>2026-04-15T12:28:25+02:00</t>
  </si>
  <si>
    <t>AGATA BAG ROSE PINK - Senza Catena</t>
  </si>
  <si>
    <t>Dalila Bisconti</t>
  </si>
  <si>
    <t>Via Roma 8</t>
  </si>
  <si>
    <t>San Fermo della Battaglia</t>
  </si>
  <si>
    <t>CO</t>
  </si>
  <si>
    <t>#1120</t>
  </si>
  <si>
    <t>rosa.lukic@hotmail.it</t>
  </si>
  <si>
    <t>2026-04-15T17:43:59+02:00</t>
  </si>
  <si>
    <t>2026-04-15T17:44:03+02:00</t>
  </si>
  <si>
    <t>Ruza Lukic c/o La Nuova Posta</t>
  </si>
  <si>
    <t>Via L. Colombo 25A</t>
  </si>
  <si>
    <t>Lavena Ponte Tresa</t>
  </si>
  <si>
    <t>#1121</t>
  </si>
  <si>
    <t>mazzonetto56@gmail.com</t>
  </si>
  <si>
    <t>2026-04-15T20:54:41+02:00</t>
  </si>
  <si>
    <t>2026-04-15T20:54:42+02:00</t>
  </si>
  <si>
    <t>sara mazzonetto</t>
  </si>
  <si>
    <t>Via Ambrogio Spinola 8, 8E</t>
  </si>
  <si>
    <t>Via Ambrogio Spinola 8</t>
  </si>
  <si>
    <t>8E</t>
  </si>
  <si>
    <t>#1122</t>
  </si>
  <si>
    <t>gaia.cristinelli001@gmail.com</t>
  </si>
  <si>
    <t>2026-04-15T21:00:01+02:00</t>
  </si>
  <si>
    <t>2026-04-15T21:00:02+02:00</t>
  </si>
  <si>
    <t>AGATA BAG FLORAL DUSTY PINK EMBROIDERY - Senza Catena</t>
  </si>
  <si>
    <t>gaia cristinelli</t>
  </si>
  <si>
    <t>Via Trieste 11, bar corallo</t>
  </si>
  <si>
    <t>Via Trieste 11</t>
  </si>
  <si>
    <t>bar corallo</t>
  </si>
  <si>
    <t>Credaro</t>
  </si>
  <si>
    <t>#1123</t>
  </si>
  <si>
    <t>lucarizz1997@gmail.com</t>
  </si>
  <si>
    <t>2026-04-15T22:38:38+02:00</t>
  </si>
  <si>
    <t>2026-04-15T22:38:39+02:00</t>
  </si>
  <si>
    <t>Luca Rizzuto</t>
  </si>
  <si>
    <t>Via della Birona 58d, 58/D</t>
  </si>
  <si>
    <t>Via della Birona 58d</t>
  </si>
  <si>
    <t>58/D</t>
  </si>
  <si>
    <t>#1124</t>
  </si>
  <si>
    <t>martinacesana@outlook.it</t>
  </si>
  <si>
    <t>2026-04-16T14:31:28+02:00</t>
  </si>
  <si>
    <t>2026-04-16T14:31:29+02:00</t>
  </si>
  <si>
    <t>martina cesana</t>
  </si>
  <si>
    <t>Viale Brianza 40</t>
  </si>
  <si>
    <t>Carate Brianza</t>
  </si>
  <si>
    <t>#1125</t>
  </si>
  <si>
    <t>filosantagada@hotmail.com</t>
  </si>
  <si>
    <t>2026-04-16T15:14:46+02:00</t>
  </si>
  <si>
    <t>2026-04-16T15:14:48+02:00</t>
  </si>
  <si>
    <t>filomena santagada</t>
  </si>
  <si>
    <t>via dell'alpinismo 10</t>
  </si>
  <si>
    <t>#1126</t>
  </si>
  <si>
    <t>taddeidaria@gmail.com</t>
  </si>
  <si>
    <t>2026-04-16T19:37:09+02:00</t>
  </si>
  <si>
    <t>2026-04-16T19:37:13+02:00</t>
  </si>
  <si>
    <t>AGATA BAG FLORAL BORDEAUX EMBROIDERY - Senza Catena</t>
  </si>
  <si>
    <t>AGATABAG_SC</t>
  </si>
  <si>
    <t>Daria Taddei</t>
  </si>
  <si>
    <t>Via Salvador Allende 7, suonare entrambi i campanelli</t>
  </si>
  <si>
    <t>Via Salvador Allende 7</t>
  </si>
  <si>
    <t>suonare entrambi i campanelli</t>
  </si>
  <si>
    <t>Rufina</t>
  </si>
  <si>
    <t>#1127</t>
  </si>
  <si>
    <t>nickybettini@icloud.com</t>
  </si>
  <si>
    <t>2026-04-16T20:19:26+02:00</t>
  </si>
  <si>
    <t>2026-04-16T20:19:30+02:00</t>
  </si>
  <si>
    <t>Giuliano Bettini</t>
  </si>
  <si>
    <t>Via Degli Orti Flaviani 37</t>
  </si>
  <si>
    <t>nicole bettini</t>
  </si>
  <si>
    <t>#1128</t>
  </si>
  <si>
    <t>giulia.bernardone@gmail.com</t>
  </si>
  <si>
    <t>2026-04-17T10:48:34+02:00</t>
  </si>
  <si>
    <t>2026-04-17T17:35:00+02:00</t>
  </si>
  <si>
    <t>2026-04-17T10:48:35+02:00</t>
  </si>
  <si>
    <t>Giulia Bernardone</t>
  </si>
  <si>
    <t>Corso Re Umberto 65, Portineria 8,30-12,30 14,30-18</t>
  </si>
  <si>
    <t>Corso Re Umberto 65</t>
  </si>
  <si>
    <t>Portineria 8,30-12,30 14,30-18</t>
  </si>
  <si>
    <t>Arpa Consulting</t>
  </si>
  <si>
    <t>#1129</t>
  </si>
  <si>
    <t>saramoroso00@icloud.com</t>
  </si>
  <si>
    <t>2026-04-17T12:50:18+02:00</t>
  </si>
  <si>
    <t>2026-04-17T17:35:20+02:00</t>
  </si>
  <si>
    <t>2026-04-17T12:50:19+02:00</t>
  </si>
  <si>
    <t>Sara Amoroso</t>
  </si>
  <si>
    <t>Via Andrea da Bari 87</t>
  </si>
  <si>
    <t>c/o Piumini Danesi</t>
  </si>
  <si>
    <t>Bari</t>
  </si>
  <si>
    <t>BA</t>
  </si>
  <si>
    <t>#1130</t>
  </si>
  <si>
    <t>ppiliele@gmail.com</t>
  </si>
  <si>
    <t>2026-04-17T12:52:41+02:00</t>
  </si>
  <si>
    <t>2026-04-17T17:35:46+02:00</t>
  </si>
  <si>
    <t>2026-04-17T12:52:42+02:00</t>
  </si>
  <si>
    <t>NINA BAG STRIPES PISTACCHIO</t>
  </si>
  <si>
    <t>Elena Pillitteri</t>
  </si>
  <si>
    <t>Via Tortona 10</t>
  </si>
  <si>
    <t>#1131</t>
  </si>
  <si>
    <t>caterinaaliuzzi@gmail.com</t>
  </si>
  <si>
    <t>2026-04-17T12:56:49+02:00</t>
  </si>
  <si>
    <t>2026-04-17T17:36:09+02:00</t>
  </si>
  <si>
    <t>2026-04-17T12:56:53+02:00</t>
  </si>
  <si>
    <t>caterina liuzzi</t>
  </si>
  <si>
    <t>Via Giacomo Leopardi 4</t>
  </si>
  <si>
    <t>Casciago</t>
  </si>
  <si>
    <t>#1132</t>
  </si>
  <si>
    <t>noemi.belve@gmail.com</t>
  </si>
  <si>
    <t>2026-04-17T15:35:39+02:00</t>
  </si>
  <si>
    <t>2026-04-17T15:35:43+02:00</t>
  </si>
  <si>
    <t>Noemi Belvedere</t>
  </si>
  <si>
    <t>Via Privata Alessandro Antonelli 8, citofono Lab Belvedere</t>
  </si>
  <si>
    <t>Via Privata Alessandro Antonelli 8</t>
  </si>
  <si>
    <t>citofono Lab Belvedere</t>
  </si>
  <si>
    <t>#1133</t>
  </si>
  <si>
    <t>peccatoric@gmail.com</t>
  </si>
  <si>
    <t>2026-04-17T18:44:22+02:00</t>
  </si>
  <si>
    <t>2026-04-17T18:44:26+02:00</t>
  </si>
  <si>
    <t>Caterina Peccatori</t>
  </si>
  <si>
    <t>Cesariano, 10</t>
  </si>
  <si>
    <t>Via cesariano, 10</t>
  </si>
  <si>
    <t>#1134</t>
  </si>
  <si>
    <t>caterina.albarello@gmail.com</t>
  </si>
  <si>
    <t>2026-04-18T12:05:52+02:00</t>
  </si>
  <si>
    <t>2026-04-18T12:05:53+02:00</t>
  </si>
  <si>
    <t>Caterina Albarello</t>
  </si>
  <si>
    <t>Via Ferruccio Parri 17</t>
  </si>
  <si>
    <t>Kiez Agency C</t>
  </si>
  <si>
    <t>Via Franco Bolognese 27</t>
  </si>
  <si>
    <t>#1135</t>
  </si>
  <si>
    <t>boggio.elisabetta@gmail.com</t>
  </si>
  <si>
    <t>2026-04-18T22:45:22+02:00</t>
  </si>
  <si>
    <t>2026-04-18T22:45:26+02:00</t>
  </si>
  <si>
    <t>Elisabetta Boggio</t>
  </si>
  <si>
    <t>Strada San Vito Revigliasco 74</t>
  </si>
  <si>
    <t>#1136</t>
  </si>
  <si>
    <t>erminimartino@gmail.com</t>
  </si>
  <si>
    <t>2026-04-19T12:50:49+02:00</t>
  </si>
  <si>
    <t>2026-04-19T12:50:53+02:00</t>
  </si>
  <si>
    <t>Martino Ermini</t>
  </si>
  <si>
    <t>Via Chiusi 5, Appartamento 411</t>
  </si>
  <si>
    <t>Via Chiusi 5</t>
  </si>
  <si>
    <t>Appartamento 411</t>
  </si>
  <si>
    <t>#1137</t>
  </si>
  <si>
    <t>costanza.volpini@gmail.com</t>
  </si>
  <si>
    <t>2026-04-19T17:27:12+02:00</t>
  </si>
  <si>
    <t>2026-04-19T17:27:15+02:00</t>
  </si>
  <si>
    <t>Costanza Volpini</t>
  </si>
  <si>
    <t>piazza bertagni 8</t>
  </si>
  <si>
    <t>Massa</t>
  </si>
  <si>
    <t>MS</t>
  </si>
  <si>
    <t>Massa-Carrara</t>
  </si>
  <si>
    <t>#1138</t>
  </si>
  <si>
    <t>ange.penco@icloud.com</t>
  </si>
  <si>
    <t>2026-04-20T22:31:58+02:00</t>
  </si>
  <si>
    <t>2026-04-20T22:32:02+02:00</t>
  </si>
  <si>
    <t>Angelo Penco</t>
  </si>
  <si>
    <t>Mylius, 2a</t>
  </si>
  <si>
    <t>Mylius</t>
  </si>
  <si>
    <t>2a</t>
  </si>
  <si>
    <t>+393450383960</t>
  </si>
  <si>
    <t>Via Aleardo Aleardi, 14/44 Scala b</t>
  </si>
  <si>
    <t>Via Aleardo Aleardi</t>
  </si>
  <si>
    <t>14/44 Scala b</t>
  </si>
  <si>
    <t>#1139</t>
  </si>
  <si>
    <t>carolinaelsamarchi@gmail.com</t>
  </si>
  <si>
    <t>2026-04-21T13:27:23+02:00</t>
  </si>
  <si>
    <t>2026-04-21T13:27:24+02:00</t>
  </si>
  <si>
    <t>ANNIE BAG PAILLETTES GREY - catena</t>
  </si>
  <si>
    <t>Annie_Bag_Pailletes_GRIGIO-1</t>
  </si>
  <si>
    <t>Carolina Marchi</t>
  </si>
  <si>
    <t>Via Giulio e Corrado Venini 38/1</t>
  </si>
  <si>
    <t>#1140</t>
  </si>
  <si>
    <t>donatella.tuzi@live.com</t>
  </si>
  <si>
    <t>2026-04-21T23:56:49+02:00</t>
  </si>
  <si>
    <t>2026-04-21T23:56:50+02:00</t>
  </si>
  <si>
    <t>Donatella Tuzi</t>
  </si>
  <si>
    <t>Corso della Repubblica 19 c/o Edilizia Setina srl</t>
  </si>
  <si>
    <t>Sezze</t>
  </si>
  <si>
    <t>#1141</t>
  </si>
  <si>
    <t>ginevramantovani9@gmail.com</t>
  </si>
  <si>
    <t>2026-04-22T11:31:02+02:00</t>
  </si>
  <si>
    <t>2026-04-22T11:31:06+02:00</t>
  </si>
  <si>
    <t>ANNIE BAG PAILLETTES LIGHT GREEN - catena</t>
  </si>
  <si>
    <t>Annie_Bag_Pailletes_LIGHT_GREEN-1</t>
  </si>
  <si>
    <t>Ginevra Mantovani</t>
  </si>
  <si>
    <t>Via tintoretto 5</t>
  </si>
  <si>
    <t>#1142</t>
  </si>
  <si>
    <t>elefante.roberto1998@gmail.com</t>
  </si>
  <si>
    <t>2026-04-22T13:25:29+02:00</t>
  </si>
  <si>
    <t>2026-04-22T13:25:32+02:00</t>
  </si>
  <si>
    <t>Roberto Elefante</t>
  </si>
  <si>
    <t>Via Pietro Mascagni 30</t>
  </si>
  <si>
    <t>#1143</t>
  </si>
  <si>
    <t>teresa.polverini00@gmail.com</t>
  </si>
  <si>
    <t>2026-04-22T22:36:21+02:00</t>
  </si>
  <si>
    <t>2026-04-22T22:36:22+02:00</t>
  </si>
  <si>
    <t>ANNIE BAG PAILLETTES PINK - senza catena</t>
  </si>
  <si>
    <t>Annie_Bag_Pailletes_PINK-2</t>
  </si>
  <si>
    <t>Teresa Polverini</t>
  </si>
  <si>
    <t>Via San Frediano</t>
  </si>
  <si>
    <t>Monterchi</t>
  </si>
  <si>
    <t>#1144</t>
  </si>
  <si>
    <t>valentina.vaglia@gmail.com</t>
  </si>
  <si>
    <t>2026-04-25T20:13:29+02:00</t>
  </si>
  <si>
    <t>2026-04-25T20:13:30+02:00</t>
  </si>
  <si>
    <t>ANNIE BAG PAILLETTES NUDE - senza catena</t>
  </si>
  <si>
    <t>Annie_Bag_Pailletes_BEIGE_con_catena-2</t>
  </si>
  <si>
    <t>VALENTINA VAGLIA</t>
  </si>
  <si>
    <t>Via Eugenio Villoresi 26</t>
  </si>
  <si>
    <t>#1145</t>
  </si>
  <si>
    <t>mary_gio13@hotmail.it</t>
  </si>
  <si>
    <t>2026-04-26T19:40:05+02:00</t>
  </si>
  <si>
    <t>2026-04-26T19:40:10+02:00</t>
  </si>
  <si>
    <t>Maria Giovanna Scasserra</t>
  </si>
  <si>
    <t>Via Edelweiss Rodriguez Senior 38</t>
  </si>
  <si>
    <t>Rimini</t>
  </si>
  <si>
    <t>RN</t>
  </si>
  <si>
    <t>Edelweiss Rodriguez Senior 38</t>
  </si>
  <si>
    <t>#1146</t>
  </si>
  <si>
    <t>giulia.libralato95@gmail.com</t>
  </si>
  <si>
    <t>2026-04-27T09:11:43+02:00</t>
  </si>
  <si>
    <t>2026-04-27T09:11:44+02:00</t>
  </si>
  <si>
    <t>giulia libralato</t>
  </si>
  <si>
    <t>Via Francesco Daverio 33</t>
  </si>
  <si>
    <t>Cantù</t>
  </si>
  <si>
    <t>Giulia Libralato</t>
  </si>
  <si>
    <t>Via la Vigna 11</t>
  </si>
  <si>
    <t>#1147</t>
  </si>
  <si>
    <t>beatrice.pasta@gmail.com</t>
  </si>
  <si>
    <t>2026-04-27T15:28:36+02:00</t>
  </si>
  <si>
    <t>2026-04-27T15:28:40+02:00</t>
  </si>
  <si>
    <t>Beatrice Pasta</t>
  </si>
  <si>
    <t>Via Orti 4</t>
  </si>
  <si>
    <t>#1148</t>
  </si>
  <si>
    <t>martinabranzanti16@gmail.com</t>
  </si>
  <si>
    <t>2026-04-28T12:04:42+02:00</t>
  </si>
  <si>
    <t>2026-04-28T12:04:43+02:00</t>
  </si>
  <si>
    <t>Maria Bag Burro Piercing</t>
  </si>
  <si>
    <t>Martina Branzanti</t>
  </si>
  <si>
    <t>viale roma 74</t>
  </si>
  <si>
    <t>Mercato Saraceno</t>
  </si>
  <si>
    <t>#1149</t>
  </si>
  <si>
    <t>francesca.pieri18@gmail.com</t>
  </si>
  <si>
    <t>2026-04-28T15:26:41+02:00</t>
  </si>
  <si>
    <t>2026-04-28T15:26:46+02:00</t>
  </si>
  <si>
    <t>Francesca Pieri</t>
  </si>
  <si>
    <t>Via dell'Unione 3, Milano</t>
  </si>
  <si>
    <t>#1150</t>
  </si>
  <si>
    <t>guiamaze05@gmail.com</t>
  </si>
  <si>
    <t>2026-04-28T16:48:26+02:00</t>
  </si>
  <si>
    <t>2026-04-28T16:48:30+02:00</t>
  </si>
  <si>
    <t>ANNIE BAG PAILLETTES NUDE - catena</t>
  </si>
  <si>
    <t>Annie_Bag_Pailletes_BEIGE_con_catena-1</t>
  </si>
  <si>
    <t>guia maze cimatti</t>
  </si>
  <si>
    <t>via morozzo della rocca 6</t>
  </si>
  <si>
    <t>#1151</t>
  </si>
  <si>
    <t>martariva24@gmail.com</t>
  </si>
  <si>
    <t>2026-04-29T13:01:39+02:00</t>
  </si>
  <si>
    <t>2026-04-29T13:01:40+02:00</t>
  </si>
  <si>
    <t>Maria Pia Bianchi</t>
  </si>
  <si>
    <t>Via Santo Stefano 16</t>
  </si>
  <si>
    <t>#1152</t>
  </si>
  <si>
    <t>francesco.torri@fastwebnet.it</t>
  </si>
  <si>
    <t>2026-04-29T22:10:31+02:00</t>
  </si>
  <si>
    <t>2026-04-29T22:10:36+02:00</t>
  </si>
  <si>
    <t>Francesco Torri</t>
  </si>
  <si>
    <t>Via Terenzio 12</t>
  </si>
  <si>
    <t>+393480132779</t>
  </si>
  <si>
    <t>Via Terenzio 12, H43</t>
  </si>
  <si>
    <t>H43</t>
  </si>
  <si>
    <t>#1153</t>
  </si>
  <si>
    <t>auroratandura@gmail.com</t>
  </si>
  <si>
    <t>2026-04-29T23:49:39+02:00</t>
  </si>
  <si>
    <t>2026-04-29T23:49:44+02:00</t>
  </si>
  <si>
    <t>Aurora Tandura</t>
  </si>
  <si>
    <t>Via De gasperi 14</t>
  </si>
  <si>
    <t>Villorba</t>
  </si>
  <si>
    <t>Aurora Zannin Tandura</t>
  </si>
  <si>
    <t>Via Lorenzo Da Ponte 18c</t>
  </si>
  <si>
    <t>Casier</t>
  </si>
  <si>
    <t>#1154</t>
  </si>
  <si>
    <t>elemateri@gmail.com</t>
  </si>
  <si>
    <t>2026-04-30T09:46:33+02:00</t>
  </si>
  <si>
    <t>2026-04-30T09:46:34+02:00</t>
  </si>
  <si>
    <t>Elena Materi</t>
  </si>
  <si>
    <t>Via Don Giovanni Calabria 18</t>
  </si>
  <si>
    <t>Via Don Giovanni Calabria 19, scala A</t>
  </si>
  <si>
    <t>Via Don Giovanni Calabria 19</t>
  </si>
  <si>
    <t>scala A</t>
  </si>
  <si>
    <t>#1155</t>
  </si>
  <si>
    <t>fede.nardi93@gmail.com</t>
  </si>
  <si>
    <t>2026-04-30T12:39:44+02:00</t>
  </si>
  <si>
    <t>2026-04-30T12:39:45+02:00</t>
  </si>
  <si>
    <t>Federica Nardi</t>
  </si>
  <si>
    <t>Via Postioma, 124/A</t>
  </si>
  <si>
    <t>Provincia di Treviso</t>
  </si>
  <si>
    <t>#1156</t>
  </si>
  <si>
    <t>francescadurazzi19@gmail.com</t>
  </si>
  <si>
    <t>2026-04-30T18:22:55+02:00</t>
  </si>
  <si>
    <t>2026-04-30T18:22:58+02:00</t>
  </si>
  <si>
    <t>Nina_Bag_STRAWBERRY</t>
  </si>
  <si>
    <t>Margherita Cagliata</t>
  </si>
  <si>
    <t>Via Generale Gamerra Giovanni 12</t>
  </si>
  <si>
    <t>Livorno</t>
  </si>
  <si>
    <t>LI</t>
  </si>
  <si>
    <t>+393661886472</t>
  </si>
  <si>
    <t>#1157</t>
  </si>
  <si>
    <t>gensui90@gmail.com</t>
  </si>
  <si>
    <t>2026-04-30T23:47:02+02:00</t>
  </si>
  <si>
    <t>2026-04-30T23:47:04+02:00</t>
  </si>
  <si>
    <t>Jessica Mansueto</t>
  </si>
  <si>
    <t>Strada Bellaria 407</t>
  </si>
  <si>
    <t>#1158</t>
  </si>
  <si>
    <t>caterinasimonato81@gmail.com</t>
  </si>
  <si>
    <t>refunded</t>
  </si>
  <si>
    <t>2026-05-01T10:13:32+02:00</t>
  </si>
  <si>
    <t>2026-05-01T10:13:33+02:00</t>
  </si>
  <si>
    <t>Caterina Simonato</t>
  </si>
  <si>
    <t>Via delle Panche 91/3</t>
  </si>
  <si>
    <t>#1159</t>
  </si>
  <si>
    <t>antonica.emma@gmail.com</t>
  </si>
  <si>
    <t>2026-05-01T16:43:48+02:00</t>
  </si>
  <si>
    <t>2026-05-01T16:43:52+02:00</t>
  </si>
  <si>
    <t>AGATA BAG FLORAL BORDEAUX EMBROIDERY - Catena in 110 cm</t>
  </si>
  <si>
    <t>AGATABAG_CC</t>
  </si>
  <si>
    <t>Diletta Giorgia Quarta</t>
  </si>
  <si>
    <t>Via Emilio Morosini 15</t>
  </si>
  <si>
    <t>Emma Antonica</t>
  </si>
  <si>
    <t>Via Cogoleto 7, SCALA B, CITOFONO ANTONICA</t>
  </si>
  <si>
    <t>Via Cogoleto 7</t>
  </si>
  <si>
    <t>SCALA B, CITOFONO ANTONICA</t>
  </si>
  <si>
    <t>+393276881017</t>
  </si>
  <si>
    <t>#1160</t>
  </si>
  <si>
    <t>evarenifilo@yahoo.it</t>
  </si>
  <si>
    <t>2026-05-01T17:57:39+02:00</t>
  </si>
  <si>
    <t>2026-05-01T17:57:40+02:00</t>
  </si>
  <si>
    <t>Eva Renifilo</t>
  </si>
  <si>
    <t>Via Francesco de Sanctis 57</t>
  </si>
  <si>
    <t>#1161</t>
  </si>
  <si>
    <t>irebarro98@gmail.com</t>
  </si>
  <si>
    <t>2026-05-02T13:04:15+02:00</t>
  </si>
  <si>
    <t>2026-05-02T13:04:20+02:00</t>
  </si>
  <si>
    <t>Irene Barro</t>
  </si>
  <si>
    <t>Via saccon Di Lorenzaga 7</t>
  </si>
  <si>
    <t>Motta Di Livenza</t>
  </si>
  <si>
    <t>Clara Barro</t>
  </si>
  <si>
    <t>Via Ferrovia Nord 45</t>
  </si>
  <si>
    <t>San Vendemiano</t>
  </si>
  <si>
    <t>#1162</t>
  </si>
  <si>
    <t>chiarazanin.it@gmail.com</t>
  </si>
  <si>
    <t>2026-05-02T15:42:28+02:00</t>
  </si>
  <si>
    <t>2026-05-02T15:42:30+02:00</t>
  </si>
  <si>
    <t>AGATA BAG ROSE BLUE - Senza Catena</t>
  </si>
  <si>
    <t>Chiara Zanin</t>
  </si>
  <si>
    <t>Localitá molini di croce 22</t>
  </si>
  <si>
    <t>Visso</t>
  </si>
  <si>
    <t>#1163</t>
  </si>
  <si>
    <t>2026-05-03T11:00:53+02:00</t>
  </si>
  <si>
    <t>2026-05-03T11:00:57+02:00</t>
  </si>
  <si>
    <t>Aurora Ceccarelli</t>
  </si>
  <si>
    <t>Via Giacomo Leopardi, 7</t>
  </si>
  <si>
    <t>Marina Di Monemarciano</t>
  </si>
  <si>
    <t>AN</t>
  </si>
  <si>
    <t>Piazza Luigi Ferrari 22, scala B, interno 48 (stringara)</t>
  </si>
  <si>
    <t>Piazza Luigi Ferrari 22</t>
  </si>
  <si>
    <t>scala B, interno 48 (stringara)</t>
  </si>
  <si>
    <t>+393478491805</t>
  </si>
  <si>
    <t>Ancona</t>
  </si>
  <si>
    <t>#1164</t>
  </si>
  <si>
    <t>giustinaomi@yahoo.it</t>
  </si>
  <si>
    <t>2026-05-03T14:34:45+02:00</t>
  </si>
  <si>
    <t>2026-05-03T14:34:49+02:00</t>
  </si>
  <si>
    <t>Naomi Francesca Giusti</t>
  </si>
  <si>
    <t>Via Sant’andrea 25</t>
  </si>
  <si>
    <t>Naomi Giusti</t>
  </si>
  <si>
    <t>Via Sant'Andrea, 25</t>
  </si>
  <si>
    <t>Via Sant'Andrea</t>
  </si>
  <si>
    <t>#1165</t>
  </si>
  <si>
    <t>ludi.2000@icloud.com</t>
  </si>
  <si>
    <t>2026-05-03T23:36:54+02:00</t>
  </si>
  <si>
    <t>2026-05-03T23:36:56+02:00</t>
  </si>
  <si>
    <t>Ludovica Giaconia</t>
  </si>
  <si>
    <t>Piazza Virgilio, 4</t>
  </si>
  <si>
    <t>#1166</t>
  </si>
  <si>
    <t>tagliettielisa@gmail.com</t>
  </si>
  <si>
    <t>2026-05-04T12:07:44+02:00</t>
  </si>
  <si>
    <t>2026-05-04T12:26:19+02:00</t>
  </si>
  <si>
    <t>2026-05-04T12:07:46+02:00</t>
  </si>
  <si>
    <t>Elisa Taglietti</t>
  </si>
  <si>
    <t>Via Antonio Kramer 13</t>
  </si>
  <si>
    <t>#1167</t>
  </si>
  <si>
    <t>lavoromail17@gmail.com</t>
  </si>
  <si>
    <t>2026-05-04T13:30:11+02:00</t>
  </si>
  <si>
    <t>Martina Socrate</t>
  </si>
  <si>
    <t>via marco ulpio traiano 35a</t>
  </si>
  <si>
    <t>milano</t>
  </si>
  <si>
    <t>#1168</t>
  </si>
  <si>
    <t>ceciliarossini@icloud.com</t>
  </si>
  <si>
    <t>2026-05-05T14:07:12+02:00</t>
  </si>
  <si>
    <t>2026-05-05T14:07:16+02:00</t>
  </si>
  <si>
    <t>Cecilia Rossini</t>
  </si>
  <si>
    <t>Viale Principe Amedeo 42</t>
  </si>
  <si>
    <t>#1169</t>
  </si>
  <si>
    <t>saraamodeoo@gmail.com</t>
  </si>
  <si>
    <t>2026-05-05T17:41:26+02:00</t>
  </si>
  <si>
    <t>GIANLUCA CESARONI</t>
  </si>
  <si>
    <t>Via Santa Maria Segreta, 2 N3</t>
  </si>
  <si>
    <t>Via Santa Maria Segreta</t>
  </si>
  <si>
    <t>2 N3</t>
  </si>
  <si>
    <t>BAIN &amp; COMPANY</t>
  </si>
  <si>
    <t>#1170</t>
  </si>
  <si>
    <t>chiararasenti@icloud.com</t>
  </si>
  <si>
    <t>2026-05-05T19:30:52+02:00</t>
  </si>
  <si>
    <t>2026-05-05T19:30:56+02:00</t>
  </si>
  <si>
    <t>ANNIE BAG PAILLETTES LIGHT GREEN - senza catena</t>
  </si>
  <si>
    <t>Annie_Bag_Pailletes_LIGHT_GREEN-2</t>
  </si>
  <si>
    <t>Chiara Rasenti</t>
  </si>
  <si>
    <t>Via Genova 55</t>
  </si>
  <si>
    <t>Olbia</t>
  </si>
  <si>
    <t>SS</t>
  </si>
  <si>
    <t>Via Agnello 8, Clearwater</t>
  </si>
  <si>
    <t>Via Agnello 8</t>
  </si>
  <si>
    <t>Clearwater</t>
  </si>
  <si>
    <t>Sassari</t>
  </si>
  <si>
    <t>#1171</t>
  </si>
  <si>
    <t>xfranci22@gmail.com</t>
  </si>
  <si>
    <t>2026-05-06T10:37:45+02:00</t>
  </si>
  <si>
    <t>2026-05-06T10:37:47+02:00</t>
  </si>
  <si>
    <t>Francesca Poddighe</t>
  </si>
  <si>
    <t>Via Piemonte 8</t>
  </si>
  <si>
    <t>#1172</t>
  </si>
  <si>
    <t>giudittacenni@libero.it</t>
  </si>
  <si>
    <t>2026-05-06T11:06:56+02:00</t>
  </si>
  <si>
    <t>2026-05-06T11:06:58+02:00</t>
  </si>
  <si>
    <t>Giuditta Cenni</t>
  </si>
  <si>
    <t>Via Frà Paolo Sarpi 6</t>
  </si>
  <si>
    <t>#1173</t>
  </si>
  <si>
    <t>marilisa.cioffi@libero.it</t>
  </si>
  <si>
    <t>2026-05-06T15:39:58+02:00</t>
  </si>
  <si>
    <t>2026-05-06T15:40:03+02:00</t>
  </si>
  <si>
    <t>Marilisa Cioffi</t>
  </si>
  <si>
    <t>Via Serrone 3</t>
  </si>
  <si>
    <t>Casamassima</t>
  </si>
  <si>
    <t>#1174</t>
  </si>
  <si>
    <t>cimini.camille@gmail.com</t>
  </si>
  <si>
    <t>2026-05-06T17:16:57+02:00</t>
  </si>
  <si>
    <t>2026-05-06T17:17:03+02:00</t>
  </si>
  <si>
    <t>Camilla Cimini</t>
  </si>
  <si>
    <t>Via Gennaro Mondaini 34</t>
  </si>
  <si>
    <t>#1175</t>
  </si>
  <si>
    <t>ceciliamoroni95@gmail.com</t>
  </si>
  <si>
    <t>2026-05-06T17:47:27+02:00</t>
  </si>
  <si>
    <t>2026-05-06T17:47:28+02:00</t>
  </si>
  <si>
    <t>Cecilia Moroni</t>
  </si>
  <si>
    <t>Via Desiderio da Settignano 26</t>
  </si>
  <si>
    <t>#1176</t>
  </si>
  <si>
    <t>2026-05-07T10:10:01+02:00</t>
  </si>
  <si>
    <t>2026-05-07T10:10:06+02:00</t>
  </si>
  <si>
    <t>Laudomia Liberali</t>
  </si>
  <si>
    <t>Via Vivaio</t>
  </si>
  <si>
    <t>+393485611323</t>
  </si>
  <si>
    <t>#1177</t>
  </si>
  <si>
    <t>VELEUTERI@GMAIL.COM</t>
  </si>
  <si>
    <t>2026-05-07T11:14:54+02:00</t>
  </si>
  <si>
    <t>2026-05-07T20:49:24+02:00</t>
  </si>
  <si>
    <t>SPEDIZIONE SUPPLEMENTO</t>
  </si>
  <si>
    <t>2026-05-07T11:14:59+02:00</t>
  </si>
  <si>
    <t>Veronica Eleuteri</t>
  </si>
  <si>
    <t>Via Vincenzo Tiberio, 64</t>
  </si>
  <si>
    <t>#1178</t>
  </si>
  <si>
    <t>doriszjalic@gmail.com</t>
  </si>
  <si>
    <t>2026-05-07T13:37:43+02:00</t>
  </si>
  <si>
    <t>2026-05-07T13:37:47+02:00</t>
  </si>
  <si>
    <t>Doris Zjalic</t>
  </si>
  <si>
    <t>Admiraliteitskade 40</t>
  </si>
  <si>
    <t>Rotterdam</t>
  </si>
  <si>
    <t>3063 ED</t>
  </si>
  <si>
    <t>NL</t>
  </si>
  <si>
    <t>+393454558446</t>
  </si>
  <si>
    <t>#1179</t>
  </si>
  <si>
    <t>valeria.nalin@icloud.com</t>
  </si>
  <si>
    <t>2026-05-07T14:01:09+02:00</t>
  </si>
  <si>
    <t>2026-05-07T14:01:12+02:00</t>
  </si>
  <si>
    <t>Valeria Nalin</t>
  </si>
  <si>
    <t>Via dei Colli della Farnesina 116</t>
  </si>
  <si>
    <t>#1180</t>
  </si>
  <si>
    <t>Luisa.popaj@gmail.com</t>
  </si>
  <si>
    <t>2026-05-08T19:28:03+02:00</t>
  </si>
  <si>
    <t>2026-05-08T19:28:07+02:00</t>
  </si>
  <si>
    <t>Imelda Popaj</t>
  </si>
  <si>
    <t>Via Garibaldi 8</t>
  </si>
  <si>
    <t>Novate Milanese</t>
  </si>
  <si>
    <t>#1181</t>
  </si>
  <si>
    <t>dalilamonosi@gmail.com</t>
  </si>
  <si>
    <t>2026-05-08T20:12:39+02:00</t>
  </si>
  <si>
    <t>2026-05-08T20:12:40+02:00</t>
  </si>
  <si>
    <t>Dalila Monosi</t>
  </si>
  <si>
    <t>Via dell'Industria 54, ABC</t>
  </si>
  <si>
    <t>Via dell'Industria 54</t>
  </si>
  <si>
    <t>ABC</t>
  </si>
  <si>
    <t>Tadeo srl</t>
  </si>
  <si>
    <t>#1182</t>
  </si>
  <si>
    <t>enrica.sartorio@hotmail.it</t>
  </si>
  <si>
    <t>2026-05-09T15:42:06+02:00</t>
  </si>
  <si>
    <t>2026-05-09T15:42:11+02:00</t>
  </si>
  <si>
    <t>AGATA BAG TIE DYE ORANGE - Senza Catena</t>
  </si>
  <si>
    <t>Enrica Sartorio</t>
  </si>
  <si>
    <t>Via dei Cappuccini 6</t>
  </si>
  <si>
    <t>Conegliano</t>
  </si>
  <si>
    <t>#1183</t>
  </si>
  <si>
    <t>aldogeraci11@gmail.com</t>
  </si>
  <si>
    <t>2026-05-10T11:25:08+02:00</t>
  </si>
  <si>
    <t>2026-05-10T11:25:50+02:00</t>
  </si>
  <si>
    <t>2026-05-10T11:25:09+02:00</t>
  </si>
  <si>
    <t>Aldo Geraci</t>
  </si>
  <si>
    <t>Corso Genova 5</t>
  </si>
  <si>
    <t>+393273339031</t>
  </si>
  <si>
    <t>#1184</t>
  </si>
  <si>
    <t>fiammettaspano@gmail.com</t>
  </si>
  <si>
    <t>2026-05-10T17:32:25+02:00</t>
  </si>
  <si>
    <t>2026-05-10T17:32:30+02:00</t>
  </si>
  <si>
    <t>ANNIE BAG PAILLETTES GREY - senza catena</t>
  </si>
  <si>
    <t>Annie_Bag_Pailletes_GRIGIO-2</t>
  </si>
  <si>
    <t>Fiammetta Spano</t>
  </si>
  <si>
    <t>Via Mario Jacchia 4</t>
  </si>
  <si>
    <t>Casalecchio Di Reno</t>
  </si>
  <si>
    <t>Michele Pinco</t>
  </si>
  <si>
    <t>Via Cá Bianca 1260</t>
  </si>
  <si>
    <t>C/o ROBOPAC PACKERS</t>
  </si>
  <si>
    <t>Cà Bianca</t>
  </si>
  <si>
    <t>#1185</t>
  </si>
  <si>
    <t>fra.merli@hotmail.it</t>
  </si>
  <si>
    <t>2026-05-10T19:17:30+02:00</t>
  </si>
  <si>
    <t>2026-05-10T19:17:38+02:00</t>
  </si>
  <si>
    <t>Francesca Merli</t>
  </si>
  <si>
    <t>Vicolo San Marcellino 1, Tribunale penale</t>
  </si>
  <si>
    <t>Vicolo San Marcellino 1</t>
  </si>
  <si>
    <t>Tribunale penale</t>
  </si>
  <si>
    <t>Parma</t>
  </si>
  <si>
    <t>PR</t>
  </si>
  <si>
    <t>#1186</t>
  </si>
  <si>
    <t>martinasollai1@gmail.com</t>
  </si>
  <si>
    <t>2026-05-10T19:54:51+02:00</t>
  </si>
  <si>
    <t>2026-05-10T19:54:52+02:00</t>
  </si>
  <si>
    <t>Martina Sollai</t>
  </si>
  <si>
    <t>Via Fleming 4</t>
  </si>
  <si>
    <t>Cornaredo</t>
  </si>
  <si>
    <t>#1187</t>
  </si>
  <si>
    <t>cristinacasadei22@libero.it</t>
  </si>
  <si>
    <t>2026-05-10T20:33:11+02:00</t>
  </si>
  <si>
    <t>2026-05-10T20:33:16+02:00</t>
  </si>
  <si>
    <t>Cristina Casadei</t>
  </si>
  <si>
    <t>Via Don Giovanni Minzoni 41</t>
  </si>
  <si>
    <t>Savignano sul Rubicone</t>
  </si>
  <si>
    <t>Viale Giosuè Carducci 278</t>
  </si>
  <si>
    <t>Valverde</t>
  </si>
  <si>
    <t>#1188</t>
  </si>
  <si>
    <t>lsassan@hotmail.it</t>
  </si>
  <si>
    <t>2026-05-11T17:30:35+02:00</t>
  </si>
  <si>
    <t>2026-05-11T17:30:40+02:00</t>
  </si>
  <si>
    <t>Laura Sassano</t>
  </si>
  <si>
    <t>Via, Della Costituzione 3</t>
  </si>
  <si>
    <t>Via</t>
  </si>
  <si>
    <t>Della Costituzione 3</t>
  </si>
  <si>
    <t>Buccinasco</t>
  </si>
  <si>
    <t>Laura Sassano c/o Moncler</t>
  </si>
  <si>
    <t>Via Broni, c/o Moncler</t>
  </si>
  <si>
    <t>Via Broni</t>
  </si>
  <si>
    <t>c/o Moncler</t>
  </si>
  <si>
    <t>#1189</t>
  </si>
  <si>
    <t>giogiov03@icloud.com</t>
  </si>
  <si>
    <t>2026-05-11T19:15:10+02:00</t>
  </si>
  <si>
    <t>2026-05-11T19:15:14+02:00</t>
  </si>
  <si>
    <t>giorgia giovagnoli</t>
  </si>
  <si>
    <t>Via Enrichetta Dominici 8</t>
  </si>
  <si>
    <t>Castelfidardo</t>
  </si>
  <si>
    <t>Giorgia Giovagnoli</t>
  </si>
  <si>
    <t>Via Enrichetta Dominici 8A</t>
  </si>
  <si>
    <t>+393662874929</t>
  </si>
  <si>
    <t>#1190</t>
  </si>
  <si>
    <t>michela.francavilla@hotmail.it</t>
  </si>
  <si>
    <t>2026-05-12T10:34:06+02:00</t>
  </si>
  <si>
    <t>2026-05-12T10:34:08+02:00</t>
  </si>
  <si>
    <t>Michela Francavilla</t>
  </si>
  <si>
    <t>Piazza Armando Diaz 2, Piano 5 white and case</t>
  </si>
  <si>
    <t>Piazza Armando Diaz 2</t>
  </si>
  <si>
    <t>Piano 5 white and case</t>
  </si>
  <si>
    <t>#1191</t>
  </si>
  <si>
    <t>fra_corbetta@hotmail.it</t>
  </si>
  <si>
    <t>2026-05-12T11:33:22+02:00</t>
  </si>
  <si>
    <t>Francesca Corbetta</t>
  </si>
  <si>
    <t>Via Giuseppe Parini 42</t>
  </si>
  <si>
    <t>Giussano</t>
  </si>
  <si>
    <t>#1192</t>
  </si>
  <si>
    <t>giuliacssr@gmail.com</t>
  </si>
  <si>
    <t>2026-05-12T11:43:04+02:00</t>
  </si>
  <si>
    <t>Giulia Cassaro</t>
  </si>
  <si>
    <t>Strada Ponte Verde 31</t>
  </si>
  <si>
    <t>Nizza Monferrato</t>
  </si>
  <si>
    <t>Asti</t>
  </si>
  <si>
    <t>#1193</t>
  </si>
  <si>
    <t>mje_3@hotmail.com</t>
  </si>
  <si>
    <t>2026-05-12T14:54:14+02:00</t>
  </si>
  <si>
    <t>2026-05-12T14:54:15+02:00</t>
  </si>
  <si>
    <t>Maria Barba</t>
  </si>
  <si>
    <t>Calle Londres 96, 1º 1ª</t>
  </si>
  <si>
    <t>Barcelona</t>
  </si>
  <si>
    <t>B</t>
  </si>
  <si>
    <t>ES</t>
  </si>
  <si>
    <t>#1194</t>
  </si>
  <si>
    <t>lauraperrone27@gmail.com</t>
  </si>
  <si>
    <t>2026-05-12T23:01:38+02:00</t>
  </si>
  <si>
    <t>2026-05-12T23:01:43+02:00</t>
  </si>
  <si>
    <t>AGATA BAG FLORAL GREEN EMBROIDERY - Catena in 110 cm</t>
  </si>
  <si>
    <t>Laura Perrone</t>
  </si>
  <si>
    <t>Viale Felice Cavallotti, n. 4, Lecce, LE, Appartamento 7 terzo piano</t>
  </si>
  <si>
    <t>Viale Felice Cavallotti, n. 4, Lecce, LE</t>
  </si>
  <si>
    <t>Appartamento 7 terzo piano</t>
  </si>
  <si>
    <t>#1195</t>
  </si>
  <si>
    <t>mirescigno16@gmail.com</t>
  </si>
  <si>
    <t>2026-05-13T15:50:48+02:00</t>
  </si>
  <si>
    <t>2026-05-13T15:50:52+02:00</t>
  </si>
  <si>
    <t>Miriam Rescigno</t>
  </si>
  <si>
    <t>Via Bartolomeo D'Alviano 21, Lucinio Domenico</t>
  </si>
  <si>
    <t>Via Bartolomeo D'Alviano 21</t>
  </si>
  <si>
    <t>Lucinio Domenico</t>
  </si>
  <si>
    <t>#1196</t>
  </si>
  <si>
    <t>martinanocera7@gmail.com</t>
  </si>
  <si>
    <t>2026-05-14T10:57:32+02:00</t>
  </si>
  <si>
    <t>2026-05-14T10:57:33+02:00</t>
  </si>
  <si>
    <t>Martina Nocera</t>
  </si>
  <si>
    <t>Via Santorre di Santarosa 4</t>
  </si>
  <si>
    <t>#1197</t>
  </si>
  <si>
    <t>silviaxfoco@gmail.com</t>
  </si>
  <si>
    <t>2026-05-14T13:51:52+02:00</t>
  </si>
  <si>
    <t>2026-05-14T13:51:55+02:00</t>
  </si>
  <si>
    <t>Silvia Foco</t>
  </si>
  <si>
    <t>Via San Carlo, 29/35</t>
  </si>
  <si>
    <t>San Francesco Al Campo</t>
  </si>
  <si>
    <t>+39 349 106 9773</t>
  </si>
  <si>
    <t>San Carlo</t>
  </si>
  <si>
    <t>#1198</t>
  </si>
  <si>
    <t>noemi.giandoriggio@gmail.com</t>
  </si>
  <si>
    <t>2026-05-14T21:00:47+02:00</t>
  </si>
  <si>
    <t>2026-05-14T21:00:48+02:00</t>
  </si>
  <si>
    <t>Noemi Giandoriggio</t>
  </si>
  <si>
    <t>Via Giuseppe Ne Nava 40D, Papos Cafe</t>
  </si>
  <si>
    <t>Via Giuseppe Ne Nava 40D</t>
  </si>
  <si>
    <t>Papos Cafe</t>
  </si>
  <si>
    <t>Reggio Calabria</t>
  </si>
  <si>
    <t>RC</t>
  </si>
  <si>
    <t>#1199</t>
  </si>
  <si>
    <t>ridolfilaura13@gmail.com</t>
  </si>
  <si>
    <t>2026-05-15T09:45:05+02:00</t>
  </si>
  <si>
    <t>2026-05-15T18:51:31+02:00</t>
  </si>
  <si>
    <t>2026-05-15T09:45:06+02:00</t>
  </si>
  <si>
    <t>Laura Ridolfi</t>
  </si>
  <si>
    <t>Via Raffaello Sanzio 5</t>
  </si>
  <si>
    <t>Pescara</t>
  </si>
  <si>
    <t>PE</t>
  </si>
  <si>
    <t>#1200</t>
  </si>
  <si>
    <t>pcolamorea@outlook.com</t>
  </si>
  <si>
    <t>2026-05-15T09:56:37+02:00</t>
  </si>
  <si>
    <t>2026-05-15T18:58:15+02:00</t>
  </si>
  <si>
    <t>2026-05-15T09:56:38+02:00</t>
  </si>
  <si>
    <t>Paolo Colamorea</t>
  </si>
  <si>
    <t>Via Vittorio Polacco 11</t>
  </si>
  <si>
    <t>#1201</t>
  </si>
  <si>
    <t>elena.parrini03@gmail.com</t>
  </si>
  <si>
    <t>2026-05-15T14:33:32+02:00</t>
  </si>
  <si>
    <t>2026-05-15T18:58:42+02:00</t>
  </si>
  <si>
    <t>2026-05-15T14:33:33+02:00</t>
  </si>
  <si>
    <t>elena parrini</t>
  </si>
  <si>
    <t>Via Francana 7/g, appartamento, scala g</t>
  </si>
  <si>
    <t>Via Francana 7/g</t>
  </si>
  <si>
    <t>appartamento, scala g</t>
  </si>
  <si>
    <t>PAVIA</t>
  </si>
  <si>
    <t>#1202</t>
  </si>
  <si>
    <t>g.danza@hotmail.it</t>
  </si>
  <si>
    <t>2026-05-15T14:55:02+02:00</t>
  </si>
  <si>
    <t>2026-05-15T18:59:50+02:00</t>
  </si>
  <si>
    <t>2026-05-15T14:55:06+02:00</t>
  </si>
  <si>
    <t>ANNIE BAG PINK - Senza Catena</t>
  </si>
  <si>
    <t>Giulia Romanelli</t>
  </si>
  <si>
    <t>Via XXIV maggio 21</t>
  </si>
  <si>
    <t>Varallo</t>
  </si>
  <si>
    <t>VC</t>
  </si>
  <si>
    <t>Via Xxiv Maggio 21</t>
  </si>
  <si>
    <t>Vercelli</t>
  </si>
  <si>
    <t>#1203</t>
  </si>
  <si>
    <t>marzia.alb@icloud.com</t>
  </si>
  <si>
    <t>2026-05-15T18:29:45+02:00</t>
  </si>
  <si>
    <t>2026-05-15T18:29:46+02:00</t>
  </si>
  <si>
    <t>Marzia Albanese</t>
  </si>
  <si>
    <t>Viale Delle Provincie 19, C/O 2alcore computers FP</t>
  </si>
  <si>
    <t>Viale Delle Provincie 19</t>
  </si>
  <si>
    <t>C/O 2alcore computers FP</t>
  </si>
  <si>
    <t>#1204</t>
  </si>
  <si>
    <t>mariavinati@gmail.com</t>
  </si>
  <si>
    <t>2026-05-15T21:43:16+02:00</t>
  </si>
  <si>
    <t>2026-05-15T21:43:17+02:00</t>
  </si>
  <si>
    <t>Maria Vinati</t>
  </si>
  <si>
    <t>via poggio dei ciliegi 2</t>
  </si>
  <si>
    <t>Polaveno</t>
  </si>
  <si>
    <t>#1205</t>
  </si>
  <si>
    <t>federicacarucci.1@gmail.com</t>
  </si>
  <si>
    <t>2026-05-15T22:03:12+02:00</t>
  </si>
  <si>
    <t>2026-05-15T22:03:13+02:00</t>
  </si>
  <si>
    <t>Federica Carucci</t>
  </si>
  <si>
    <t>Via Fiume 1</t>
  </si>
  <si>
    <t>Foggia</t>
  </si>
  <si>
    <t>FG</t>
  </si>
  <si>
    <t>#1206</t>
  </si>
  <si>
    <t>laura.s.m.gehring@gmail.com</t>
  </si>
  <si>
    <t>2026-05-16T12:58:08+02:00</t>
  </si>
  <si>
    <t>2026-05-16T12:58:12+02:00</t>
  </si>
  <si>
    <t>ANNIE BAG PEARL GREY - Catena in ottone 60 cm</t>
  </si>
  <si>
    <t>ANNIEBAGLILAC-CC</t>
  </si>
  <si>
    <t>Laura Gehring</t>
  </si>
  <si>
    <t>128 Hatherley Court, Hatherley Grove</t>
  </si>
  <si>
    <t>128 Hatherley Court</t>
  </si>
  <si>
    <t>Hatherley Grove</t>
  </si>
  <si>
    <t>London</t>
  </si>
  <si>
    <t>W2 5RG</t>
  </si>
  <si>
    <t>ENG</t>
  </si>
  <si>
    <t>GB</t>
  </si>
  <si>
    <t>+41796776329</t>
  </si>
  <si>
    <t>England</t>
  </si>
  <si>
    <t>#1207</t>
  </si>
  <si>
    <t>anitagioiafischetti@hotmail.com</t>
  </si>
  <si>
    <t>2026-05-16T15:06:54+02:00</t>
  </si>
  <si>
    <t>2026-05-16T15:06:58+02:00</t>
  </si>
  <si>
    <t>Anita Gioia Fischetti</t>
  </si>
  <si>
    <t>Piazza Crati 20</t>
  </si>
  <si>
    <t>Piazza Crati 20, Citofono M.M.A.F.</t>
  </si>
  <si>
    <t>Citofono M.M.A.F.</t>
  </si>
  <si>
    <t>#1208</t>
  </si>
  <si>
    <t>federica.216@hotmail.it</t>
  </si>
  <si>
    <t>2026-05-16T17:37:16+02:00</t>
  </si>
  <si>
    <t>2026-05-16T17:37:21+02:00</t>
  </si>
  <si>
    <t>Federica Sabetta</t>
  </si>
  <si>
    <t>Via don Mezzera</t>
  </si>
  <si>
    <t>Nova Milanese</t>
  </si>
  <si>
    <t>Via Don Carlo Mezzera 2</t>
  </si>
  <si>
    <t>#1209</t>
  </si>
  <si>
    <t>2026-05-16T21:50:21+02:00</t>
  </si>
  <si>
    <t>#1210</t>
  </si>
  <si>
    <t>costanza.lopez1@gmail.com</t>
  </si>
  <si>
    <t>2026-05-17T11:32:41+02:00</t>
  </si>
  <si>
    <t>Fabrizio Marchi</t>
  </si>
  <si>
    <t>Via Eraclea 7</t>
  </si>
  <si>
    <t>#1211</t>
  </si>
  <si>
    <t>murinss@gmail.com</t>
  </si>
  <si>
    <t>2026-05-17T13:56:35+02:00</t>
  </si>
  <si>
    <t>2026-05-17T13:56:36+02:00</t>
  </si>
  <si>
    <t>Filippo Bosio</t>
  </si>
  <si>
    <t>Via Luca Blesi 54</t>
  </si>
  <si>
    <t>Acqui Terme</t>
  </si>
  <si>
    <t>+393387018740</t>
  </si>
  <si>
    <t>#1212</t>
  </si>
  <si>
    <t>lucia.volonnino74@gmail.com</t>
  </si>
  <si>
    <t>2026-05-17T19:53:49+02:00</t>
  </si>
  <si>
    <t>2026-05-17T19:53:51+02:00</t>
  </si>
  <si>
    <t>Lucia Volonnino</t>
  </si>
  <si>
    <t>Piazza Massaua 1 FARMACIA, FARMACIA</t>
  </si>
  <si>
    <t>Piazza Massaua 1 FARMACIA</t>
  </si>
  <si>
    <t>FARMACIA</t>
  </si>
  <si>
    <t>#1213</t>
  </si>
  <si>
    <t>giuliadicerbo30@gmail.com</t>
  </si>
  <si>
    <t>2026-05-17T21:06:16+02:00</t>
  </si>
  <si>
    <t>2026-05-17T21:06:20+02:00</t>
  </si>
  <si>
    <t>ANNIE BAG PINK - Catena in ottone 60 cm</t>
  </si>
  <si>
    <t>Giulia Di Cerbo</t>
  </si>
  <si>
    <t>Viale Montenero 31</t>
  </si>
  <si>
    <t>Grazia Ventrone</t>
  </si>
  <si>
    <t>Via Cucciarella 38</t>
  </si>
  <si>
    <t>Maddaloni</t>
  </si>
  <si>
    <t>CE</t>
  </si>
  <si>
    <t>Caserta</t>
  </si>
  <si>
    <t>#1214</t>
  </si>
  <si>
    <t>luisa.dicerbo@libero.it</t>
  </si>
  <si>
    <t>2026-05-18T09:58:03+02:00</t>
  </si>
  <si>
    <t>2026-05-18T09:58:07+02:00</t>
  </si>
  <si>
    <t>Luisa Di Cerbo</t>
  </si>
  <si>
    <t>Viale guidoni</t>
  </si>
  <si>
    <t>Luisa di cerbo</t>
  </si>
  <si>
    <t>Viale Alessandro Guidoni 2/C</t>
  </si>
  <si>
    <t>#1215</t>
  </si>
  <si>
    <t>annamariadonofrio95@gmail.com</t>
  </si>
  <si>
    <t>2026-05-18T12:22:22+02:00</t>
  </si>
  <si>
    <t>2026-05-18T12:22:26+02:00</t>
  </si>
  <si>
    <t>Anna Maria D’Onofrio</t>
  </si>
  <si>
    <t>Via Antonio Salieri 1, Interno 020</t>
  </si>
  <si>
    <t>Via Antonio Salieri 1</t>
  </si>
  <si>
    <t>Interno 020</t>
  </si>
  <si>
    <t>#1216</t>
  </si>
  <si>
    <t>martina.pezzotta@hotmail.com</t>
  </si>
  <si>
    <t>2026-05-18T17:37:04+02:00</t>
  </si>
  <si>
    <t>2026-05-18T17:37:07+02:00</t>
  </si>
  <si>
    <t>Martina Pezzotta</t>
  </si>
  <si>
    <t>Flat 2, 52 Queen's Gardens</t>
  </si>
  <si>
    <t>W2 3AA</t>
  </si>
  <si>
    <t>Via Fetonte 12</t>
  </si>
  <si>
    <t>#1217</t>
  </si>
  <si>
    <t>vittorianiccolini@yahoo.it</t>
  </si>
  <si>
    <t>2026-05-19T18:35:42+02:00</t>
  </si>
  <si>
    <t>2026-05-19T18:35:43+02:00</t>
  </si>
  <si>
    <t>Vittoria Niccolini</t>
  </si>
  <si>
    <t>Via Isonzo 7</t>
  </si>
  <si>
    <t>#1218</t>
  </si>
  <si>
    <t>federicatosto21@gmail.com</t>
  </si>
  <si>
    <t>2026-05-20T14:28:49+02:00</t>
  </si>
  <si>
    <t>2026-05-20T14:28:55+02:00</t>
  </si>
  <si>
    <t>Federica Tosto</t>
  </si>
  <si>
    <t>Via Savona 63b</t>
  </si>
  <si>
    <t>#1219</t>
  </si>
  <si>
    <t>chiarabellini97@hotmail.it</t>
  </si>
  <si>
    <t>2026-05-20T17:34:20+02:00</t>
  </si>
  <si>
    <t>2026-05-20T17:34:21+02:00</t>
  </si>
  <si>
    <t>Chiara Bellini</t>
  </si>
  <si>
    <t>Via Carlo Cattaneo 55</t>
  </si>
  <si>
    <t>CAPITOLIUM ART</t>
  </si>
  <si>
    <t>#1220</t>
  </si>
  <si>
    <t>irenefasoli9801@gmail.com</t>
  </si>
  <si>
    <t>2026-05-20T17:48:30+02:00</t>
  </si>
  <si>
    <t>2026-05-20T17:48:34+02:00</t>
  </si>
  <si>
    <t>ANNIE-PEARLGREY-CC</t>
  </si>
  <si>
    <t>irene fasoli</t>
  </si>
  <si>
    <t>Via Giuseppe Arrigoni, 14</t>
  </si>
  <si>
    <t>Soresina</t>
  </si>
  <si>
    <t>CR</t>
  </si>
  <si>
    <t>Cremona</t>
  </si>
  <si>
    <t>#1221</t>
  </si>
  <si>
    <t>giulia01.mazzoli@gmail.com</t>
  </si>
  <si>
    <t>2026-05-20T19:01:35+02:00</t>
  </si>
  <si>
    <t>2026-05-20T19:01:37+02:00</t>
  </si>
  <si>
    <t>Giulia Mazzoli</t>
  </si>
  <si>
    <t>Via F.lli Manfredi 14</t>
  </si>
  <si>
    <t>Novellara</t>
  </si>
  <si>
    <t>#1222</t>
  </si>
  <si>
    <t>smemoranda187@gmail.com</t>
  </si>
  <si>
    <t>2026-05-20T19:55:28+02:00</t>
  </si>
  <si>
    <t>2026-05-20T19:55:30+02:00</t>
  </si>
  <si>
    <t>Maria Pegoraro</t>
  </si>
  <si>
    <t>41 Bd Paul Vaillant Couturier</t>
  </si>
  <si>
    <t>Montreuil</t>
  </si>
  <si>
    <t>FR</t>
  </si>
  <si>
    <t>9 Avenue Matignon</t>
  </si>
  <si>
    <t>Christie's</t>
  </si>
  <si>
    <t>Paris</t>
  </si>
  <si>
    <t>#1223</t>
  </si>
  <si>
    <t>brunoviti1998@gmail.com</t>
  </si>
  <si>
    <t>2026-05-21T08:38:00+02:00</t>
  </si>
  <si>
    <t>2026-05-21T08:38:01+02:00</t>
  </si>
  <si>
    <t>Bruno Viti</t>
  </si>
  <si>
    <t>Neutorgasse 46, Post Offices</t>
  </si>
  <si>
    <t>Neutorgasse 46</t>
  </si>
  <si>
    <t>Post Offices</t>
  </si>
  <si>
    <t>+4368110771650</t>
  </si>
  <si>
    <t>#1224</t>
  </si>
  <si>
    <t>camilla.cavallucci@gmail.com</t>
  </si>
  <si>
    <t>2026-05-21T10:44:06+02:00</t>
  </si>
  <si>
    <t>2026-05-21T10:44:10+02:00</t>
  </si>
  <si>
    <t>Camilla Cavallucci</t>
  </si>
  <si>
    <t>Viale Cesare Pavese 435</t>
  </si>
  <si>
    <t>#1225</t>
  </si>
  <si>
    <t>casagaia2000@virgilio.it</t>
  </si>
  <si>
    <t>2026-05-21T13:41:18+02:00</t>
  </si>
  <si>
    <t>2026-05-21T13:41:23+02:00</t>
  </si>
  <si>
    <t>NINA BAG STRIPES PINK BARBIE</t>
  </si>
  <si>
    <t>Annalisa Benetti</t>
  </si>
  <si>
    <t>Via Tiziano 21</t>
  </si>
  <si>
    <t>Dueville</t>
  </si>
  <si>
    <t>#1226</t>
  </si>
  <si>
    <t>letizia.grillo22@gmail.com</t>
  </si>
  <si>
    <t>2026-05-21T17:42:45+02:00</t>
  </si>
  <si>
    <t>2026-05-21T17:42:51+02:00</t>
  </si>
  <si>
    <t>Letizia Grillo</t>
  </si>
  <si>
    <t>Via Celestino Rosatelli 82C, 82C</t>
  </si>
  <si>
    <t>Via Celestino Rosatelli 82C</t>
  </si>
  <si>
    <t>82C</t>
  </si>
  <si>
    <t>Rieti</t>
  </si>
  <si>
    <t>RI</t>
  </si>
  <si>
    <t>#1227</t>
  </si>
  <si>
    <t>gabriellacirigliano16@gmail.com</t>
  </si>
  <si>
    <t>2026-05-21T21:28:39+02:00</t>
  </si>
  <si>
    <t>2026-05-21T21:28:41+02:00</t>
  </si>
  <si>
    <t>Gabriella Cirigliano</t>
  </si>
  <si>
    <t>Via Aurelio Saffi 18</t>
  </si>
  <si>
    <t>#1228</t>
  </si>
  <si>
    <t>elena.grosso72@gmail.com</t>
  </si>
  <si>
    <t>2026-05-22T06:33:03+02:00</t>
  </si>
  <si>
    <t>2026-05-22T06:33:04+02:00</t>
  </si>
  <si>
    <t>Elena Grosso</t>
  </si>
  <si>
    <t>VIA HERMADA 3, C/O PORTINERIA</t>
  </si>
  <si>
    <t>VIA HERMADA 3</t>
  </si>
  <si>
    <t>C/O PORTINERIA</t>
  </si>
  <si>
    <t>VARESE</t>
  </si>
  <si>
    <t>#1229</t>
  </si>
  <si>
    <t>lorenzo.corno@difspa.it</t>
  </si>
  <si>
    <t>2026-05-22T10:18:18+02:00</t>
  </si>
  <si>
    <t>2026-05-22T10:18:19+02:00</t>
  </si>
  <si>
    <t>Lorenzo Corno</t>
  </si>
  <si>
    <t>Via Torni 28</t>
  </si>
  <si>
    <t>Via Liguria 2</t>
  </si>
  <si>
    <t>DIFSPA</t>
  </si>
  <si>
    <t>Località del Cucco</t>
  </si>
  <si>
    <t>#1230</t>
  </si>
  <si>
    <t>fraeliop@gmail.com</t>
  </si>
  <si>
    <t>2026-05-22T16:54:15+02:00</t>
  </si>
  <si>
    <t>2026-05-22T16:54:21+02:00</t>
  </si>
  <si>
    <t>Francesca Panseri</t>
  </si>
  <si>
    <t>Via bergamo</t>
  </si>
  <si>
    <t>Pontida</t>
  </si>
  <si>
    <t>Via Bergamo 1401, C/o Chimiver panseri Spa</t>
  </si>
  <si>
    <t>Via Bergamo 1401</t>
  </si>
  <si>
    <t>C/o Chimiver panseri Spa</t>
  </si>
  <si>
    <t>+393459286696</t>
  </si>
  <si>
    <t>#1231</t>
  </si>
  <si>
    <t>stefy_00@hotmail.it</t>
  </si>
  <si>
    <t>2026-05-23T17:05:53+02:00</t>
  </si>
  <si>
    <t>2026-05-23T17:05:55+02:00</t>
  </si>
  <si>
    <t>ANNIE-PINK-SC</t>
  </si>
  <si>
    <t>Stefania Medori</t>
  </si>
  <si>
    <t>Viale Firenze 94</t>
  </si>
  <si>
    <t>Grottammare</t>
  </si>
  <si>
    <t>AP</t>
  </si>
  <si>
    <t>Ascoli Piceno</t>
  </si>
  <si>
    <t>#1232</t>
  </si>
  <si>
    <t>chiaramunari97@gmail.com</t>
  </si>
  <si>
    <t>2026-05-24T14:02:47+02:00</t>
  </si>
  <si>
    <t>2026-05-24T14:02:51+02:00</t>
  </si>
  <si>
    <t>Chiara Munari</t>
  </si>
  <si>
    <t>144 Kings Road Flat 2, Flat D</t>
  </si>
  <si>
    <t>144 Kings Road Flat 2</t>
  </si>
  <si>
    <t>Flat D</t>
  </si>
  <si>
    <t>W1H 1QY</t>
  </si>
  <si>
    <t>chiara munari</t>
  </si>
  <si>
    <t>127 west end lane, flat 6</t>
  </si>
  <si>
    <t>127 west end lane</t>
  </si>
  <si>
    <t>flat 6</t>
  </si>
  <si>
    <t>london</t>
  </si>
  <si>
    <t>NW6 2PD</t>
  </si>
  <si>
    <t>ANNIE BAG BLUE - Senza Catena</t>
  </si>
  <si>
    <t>ANNIE-BLUE-SC</t>
  </si>
  <si>
    <t>#1233</t>
  </si>
  <si>
    <t>chiaraslongoni@yahoo.it</t>
  </si>
  <si>
    <t>2026-05-24T15:20:33+02:00</t>
  </si>
  <si>
    <t>2026-05-24T15:20:34+02:00</t>
  </si>
  <si>
    <t>ANNIE BAG PEARL GREY - Senza Catena</t>
  </si>
  <si>
    <t>ANNIE-PEARLGREY-SC</t>
  </si>
  <si>
    <t>Chiara Longoni</t>
  </si>
  <si>
    <t>Via Savona 94</t>
  </si>
  <si>
    <t>+393428612525</t>
  </si>
  <si>
    <t>#1234</t>
  </si>
  <si>
    <t>albanodonat@gmail.com</t>
  </si>
  <si>
    <t>2026-05-24T16:11:50+02:00</t>
  </si>
  <si>
    <t>2026-05-24T16:11:51+02:00</t>
  </si>
  <si>
    <t>Donatella Albano</t>
  </si>
  <si>
    <t>Via Massaua 8</t>
  </si>
  <si>
    <t>Bernalda</t>
  </si>
  <si>
    <t>MT</t>
  </si>
  <si>
    <t>Matera</t>
  </si>
  <si>
    <t>#1235</t>
  </si>
  <si>
    <t>2026-05-24T16:41:55+02:00</t>
  </si>
  <si>
    <t>2026-05-24T16:41:56+02:00</t>
  </si>
  <si>
    <t>#1236</t>
  </si>
  <si>
    <t>vittoria.n9@gmail.com</t>
  </si>
  <si>
    <t>2026-05-25T18:36:17+02:00</t>
  </si>
  <si>
    <t>2026-05-25T18:36:22+02:00</t>
  </si>
  <si>
    <t>AGATA-FLORAL-GREEN-SC</t>
  </si>
  <si>
    <t>Vittoria Nembri</t>
  </si>
  <si>
    <t>Via Numa Pompilio 14</t>
  </si>
  <si>
    <t>#1237</t>
  </si>
  <si>
    <t>nathalie.alquati@gmail.com</t>
  </si>
  <si>
    <t>2026-05-26T12:56:46+02:00</t>
  </si>
  <si>
    <t>2026-05-26T12:56:49+02:00</t>
  </si>
  <si>
    <t>Nathalie Alquati Bonisoli</t>
  </si>
  <si>
    <t>Piazza Mirabello 1</t>
  </si>
  <si>
    <t>#1238</t>
  </si>
  <si>
    <t>gaiaschillaci1999@gmail.com</t>
  </si>
  <si>
    <t>2026-05-27T09:50:41+02:00</t>
  </si>
  <si>
    <t>2026-05-27T09:50:42+02:00</t>
  </si>
  <si>
    <t>Gaia Vita</t>
  </si>
  <si>
    <t>Via Giuseppe Simili 11</t>
  </si>
  <si>
    <t>Gravina di Catania</t>
  </si>
  <si>
    <t>CT</t>
  </si>
  <si>
    <t>Catania</t>
  </si>
  <si>
    <t>#1239</t>
  </si>
  <si>
    <t>2026-05-27T18:05:36+02:00</t>
  </si>
  <si>
    <t>2026-05-27T18:05:37+02:00</t>
  </si>
  <si>
    <t>#1240</t>
  </si>
  <si>
    <t>Ludovico.digaudio@outlook.it</t>
  </si>
  <si>
    <t>2026-05-27T18:08:03+02:00</t>
  </si>
  <si>
    <t>2026-05-27T18:08:04+02:00</t>
  </si>
  <si>
    <t>Ludovico Di Gaudio</t>
  </si>
  <si>
    <t>Via dei Corsi, 35</t>
  </si>
  <si>
    <t>Carrara</t>
  </si>
  <si>
    <t>#1241</t>
  </si>
  <si>
    <t>lucyturchetto@gmail.com</t>
  </si>
  <si>
    <t>2026-05-27T18:10:41+02:00</t>
  </si>
  <si>
    <t>2026-05-27T18:10:45+02:00</t>
  </si>
  <si>
    <t>Lucia Turchetto</t>
  </si>
  <si>
    <t>Via Romatino 13</t>
  </si>
  <si>
    <t>Concordia Sagittaria</t>
  </si>
  <si>
    <t>#1242</t>
  </si>
  <si>
    <t>julia.fantasiaa@gmail.com</t>
  </si>
  <si>
    <t>2026-05-27T18:28:05+02:00</t>
  </si>
  <si>
    <t>2026-05-27T18:28:11+02:00</t>
  </si>
  <si>
    <t>Julia Fantasia</t>
  </si>
  <si>
    <t>Via R. Venuti 101</t>
  </si>
  <si>
    <t>Via Ridolfino Venuti 101, Appartamento</t>
  </si>
  <si>
    <t>Via Ridolfino Venuti 101</t>
  </si>
  <si>
    <t>Appartamento</t>
  </si>
  <si>
    <t>#1243</t>
  </si>
  <si>
    <t>carlucci99@gmail.com</t>
  </si>
  <si>
    <t>2026-05-27T18:58:48+02:00</t>
  </si>
  <si>
    <t>2026-05-27T18:58:52+02:00</t>
  </si>
  <si>
    <t>Francesca Carlucci</t>
  </si>
  <si>
    <t>Via Gaetano De Castillia</t>
  </si>
  <si>
    <t>#1244</t>
  </si>
  <si>
    <t>glbattis@alice.it</t>
  </si>
  <si>
    <t>2026-05-27T19:07:15+02:00</t>
  </si>
  <si>
    <t>2026-05-27T19:07:19+02:00</t>
  </si>
  <si>
    <t>ANNIE BAG PAILLETTES LIGHT BLUE - senza catena</t>
  </si>
  <si>
    <t>Annie_Bag_Pailletes_LIGHT_BLUE-2</t>
  </si>
  <si>
    <t>Gloria Battistelli</t>
  </si>
  <si>
    <t>Via Altinia 269a</t>
  </si>
  <si>
    <t>#1245</t>
  </si>
  <si>
    <t>Valeria.Carrieri@gmail.com</t>
  </si>
  <si>
    <t>2026-05-27T19:27:39+02:00</t>
  </si>
  <si>
    <t>2026-05-27T19:27:43+02:00</t>
  </si>
  <si>
    <t>Valeria Carrieri</t>
  </si>
  <si>
    <t>Via per Lizzano 3</t>
  </si>
  <si>
    <t>Fragagnano</t>
  </si>
  <si>
    <t>+39 328 552 4573</t>
  </si>
  <si>
    <t>VIA PER LIZZANO 13</t>
  </si>
  <si>
    <t>FRAGAGNANO</t>
  </si>
  <si>
    <t>#1246</t>
  </si>
  <si>
    <t>eledalleshopping@gmail.com</t>
  </si>
  <si>
    <t>2026-05-27T20:03:08+02:00</t>
  </si>
  <si>
    <t>2026-05-27T20:03:09+02:00</t>
  </si>
  <si>
    <t>Elena Dalle Cort</t>
  </si>
  <si>
    <t>Via Raffaello 27</t>
  </si>
  <si>
    <t>#1247</t>
  </si>
  <si>
    <t>claudia.2114@icloud.com</t>
  </si>
  <si>
    <t>2026-05-27T21:42:32+02:00</t>
  </si>
  <si>
    <t>2026-05-27T21:42:34+02:00</t>
  </si>
  <si>
    <t>giovanni sangiorgio</t>
  </si>
  <si>
    <t>Via Teodosio 80</t>
  </si>
  <si>
    <t>#1248</t>
  </si>
  <si>
    <t>arigussss@gmail.com</t>
  </si>
  <si>
    <t>2026-05-28T09:23:09+02:00</t>
  </si>
  <si>
    <t>2026-05-28T09:23:11+02:00</t>
  </si>
  <si>
    <t>Arianna Gusella</t>
  </si>
  <si>
    <t>Via della Torre 13A</t>
  </si>
  <si>
    <t>Vergiate</t>
  </si>
  <si>
    <t>#1249</t>
  </si>
  <si>
    <t>carolina.agopov@gmail.com</t>
  </si>
  <si>
    <t>2026-05-28T09:30:26+02:00</t>
  </si>
  <si>
    <t>2026-05-28T09:30:30+02:00</t>
  </si>
  <si>
    <t>Carolina Vassileva Agopov</t>
  </si>
  <si>
    <t>Viale Legioni Romane 65</t>
  </si>
  <si>
    <t>Carolina Agopov</t>
  </si>
  <si>
    <t>Via Gaetano Previati 10, Orari Portineria 8-13 Lun-ven</t>
  </si>
  <si>
    <t>Via Gaetano Previati 10</t>
  </si>
  <si>
    <t>Orari Portineria 8-13 Lun-ven</t>
  </si>
  <si>
    <t>#1250</t>
  </si>
  <si>
    <t>carlotta.zitta@gmail.com</t>
  </si>
  <si>
    <t>2026-05-28T12:33:16+02:00</t>
  </si>
  <si>
    <t>2026-05-28T12:33:21+02:00</t>
  </si>
  <si>
    <t>Carlotta Zitta</t>
  </si>
  <si>
    <t>Via Biglia 15</t>
  </si>
  <si>
    <t>Mondovi</t>
  </si>
  <si>
    <t>#1251</t>
  </si>
  <si>
    <t>mati-93@hotmail.it</t>
  </si>
  <si>
    <t>2026-05-28T15:08:26+02:00</t>
  </si>
  <si>
    <t>2026-05-28T15:08:31+02:00</t>
  </si>
  <si>
    <t>AGATA-ROSE-PINK-SC</t>
  </si>
  <si>
    <t>matilde gasparini</t>
  </si>
  <si>
    <t>via ferrante aporti 32</t>
  </si>
  <si>
    <t>Via Ferrante Aporti 32</t>
  </si>
  <si>
    <t>#1252</t>
  </si>
  <si>
    <t>simonetti.eva@gmail.com</t>
  </si>
  <si>
    <t>2026-05-28T15:25:00+02:00</t>
  </si>
  <si>
    <t>2026-05-28T15:25:03+02:00</t>
  </si>
  <si>
    <t>Eva Simonetti</t>
  </si>
  <si>
    <t>Piazza Eugenio Biffi 9</t>
  </si>
  <si>
    <t>#1253</t>
  </si>
  <si>
    <t>lauralocatelli87@gmail.com</t>
  </si>
  <si>
    <t>2026-05-28T22:07:51+02:00</t>
  </si>
  <si>
    <t>Locatelli Laura</t>
  </si>
  <si>
    <t>Via Luigi Settembrini 37</t>
  </si>
  <si>
    <t>#1254</t>
  </si>
  <si>
    <t>roberta.maugeri@hotmail.it</t>
  </si>
  <si>
    <t>2026-05-29T11:12:00+02:00</t>
  </si>
  <si>
    <t>2026-05-29T11:12:04+02:00</t>
  </si>
  <si>
    <t>Roberta Maugeri</t>
  </si>
  <si>
    <t>Via Merano, 40, Ecogruppo italia</t>
  </si>
  <si>
    <t>Via Merano, 40</t>
  </si>
  <si>
    <t>Ecogruppo italia</t>
  </si>
  <si>
    <t>San Giovanni la punta</t>
  </si>
  <si>
    <t>#1255</t>
  </si>
  <si>
    <t>angelkibi@hotmail.it</t>
  </si>
  <si>
    <t>2026-05-30T07:14:37+02:00</t>
  </si>
  <si>
    <t>2026-05-30T07:14:40+02:00</t>
  </si>
  <si>
    <t>Gianluca Marangon</t>
  </si>
  <si>
    <t>Viale Adige 11, Albergo Lorella</t>
  </si>
  <si>
    <t>Viale Adige 11</t>
  </si>
  <si>
    <t>Albergo Lorella</t>
  </si>
  <si>
    <t>Chioggia</t>
  </si>
  <si>
    <t>#1256</t>
  </si>
  <si>
    <t>alessiadileo14@gmail.com</t>
  </si>
  <si>
    <t>2026-05-30T13:35:29+02:00</t>
  </si>
  <si>
    <t>2026-05-30T13:35:31+02:00</t>
  </si>
  <si>
    <t>Alessia Di Leo</t>
  </si>
  <si>
    <t>Via Giorgio De Chirico 12</t>
  </si>
  <si>
    <t>#1257</t>
  </si>
  <si>
    <t>eleonora.daddabbo@icloud.com</t>
  </si>
  <si>
    <t>2026-05-30T14:32:59+02:00</t>
  </si>
  <si>
    <t>2026-05-30T14:33:03+02:00</t>
  </si>
  <si>
    <t>Eleonora D’Addabbo</t>
  </si>
  <si>
    <t>Via Della Repubblica 35</t>
  </si>
  <si>
    <t>Stroppiana</t>
  </si>
  <si>
    <t>Della Repubblica 35</t>
  </si>
  <si>
    <t>#1258</t>
  </si>
  <si>
    <t>leodalila95@gmail.com</t>
  </si>
  <si>
    <t>2026-05-30T20:56:41+02:00</t>
  </si>
  <si>
    <t>2026-05-30T20:56:45+02:00</t>
  </si>
  <si>
    <t>Dalila Leo</t>
  </si>
  <si>
    <t>Corso Vercelli 42/52, NEGOZIO OVS CONSEGNA</t>
  </si>
  <si>
    <t>Corso Vercelli 42/52</t>
  </si>
  <si>
    <t>NEGOZIO OVS CONSEGNA</t>
  </si>
  <si>
    <t>#1259</t>
  </si>
  <si>
    <t>matilde.raimondo@gmail.com</t>
  </si>
  <si>
    <t>2026-05-30T21:17:27+02:00</t>
  </si>
  <si>
    <t>Matilde Raimondo</t>
  </si>
  <si>
    <t>Via Archimede 43</t>
  </si>
  <si>
    <t>#1260</t>
  </si>
  <si>
    <t>francanicolosi@yahoo.it</t>
  </si>
  <si>
    <t>2026-05-31T19:40:20+02:00</t>
  </si>
  <si>
    <t>2026-05-31T19:40:24+02:00</t>
  </si>
  <si>
    <t>LEA-MAXI-SUEDE-CHOCOLATE</t>
  </si>
  <si>
    <t>Francesco Di Geronimo</t>
  </si>
  <si>
    <t>Via Grigna</t>
  </si>
  <si>
    <t>#1261</t>
  </si>
  <si>
    <t>enrica.mirra98@gmail.com</t>
  </si>
  <si>
    <t>2026-05-31T22:18:03+02:00</t>
  </si>
  <si>
    <t>2026-05-31T22:18:07+02:00</t>
  </si>
  <si>
    <t>Enrica Mirra</t>
  </si>
  <si>
    <t>via Luigia Sanfelice</t>
  </si>
  <si>
    <t>#1262</t>
  </si>
  <si>
    <t>bonottonoemi98@gmail.com</t>
  </si>
  <si>
    <t>2026-06-01T08:18:00+02:00</t>
  </si>
  <si>
    <t>2026-06-01T08:18:04+02:00</t>
  </si>
  <si>
    <t>Noemi Bonotto</t>
  </si>
  <si>
    <t>Via Roma 16</t>
  </si>
  <si>
    <t>Colceresa</t>
  </si>
  <si>
    <t>Via Belfe 26, Interno 4</t>
  </si>
  <si>
    <t>Via Belfe 26</t>
  </si>
  <si>
    <t>Interno 4</t>
  </si>
  <si>
    <t>Marostica</t>
  </si>
  <si>
    <t>#1263</t>
  </si>
  <si>
    <t>tomassi.chiara268@gmail.com</t>
  </si>
  <si>
    <t>2026-06-01T11:48:25+02:00</t>
  </si>
  <si>
    <t>2026-06-01T11:48:30+02:00</t>
  </si>
  <si>
    <t>Chiara Tomassi</t>
  </si>
  <si>
    <t>Via dei Colli Albani 170</t>
  </si>
  <si>
    <t>#1264</t>
  </si>
  <si>
    <t>cturchetta95@gmail.com</t>
  </si>
  <si>
    <t>2026-06-01T13:04:44+02:00</t>
  </si>
  <si>
    <t>2026-06-01T13:04:49+02:00</t>
  </si>
  <si>
    <t>LEA-MAXI-COCCO-BLACK</t>
  </si>
  <si>
    <t>Chiara Turchetta</t>
  </si>
  <si>
    <t>Via Federico Campana 17, Citofonare al numero 2</t>
  </si>
  <si>
    <t>Via Federico Campana 17</t>
  </si>
  <si>
    <t>Citofonare al numero 2</t>
  </si>
  <si>
    <t>+393314266362</t>
  </si>
  <si>
    <t>#1265</t>
  </si>
  <si>
    <t>ilalabby@gmail.com</t>
  </si>
  <si>
    <t>2026-06-01T13:34:52+02:00</t>
  </si>
  <si>
    <t>ilaria grassini</t>
  </si>
  <si>
    <t>Via Irnerio 8, Citofono: PAOLINI</t>
  </si>
  <si>
    <t>Via Irnerio 8</t>
  </si>
  <si>
    <t>Citofono: PAOLINI</t>
  </si>
  <si>
    <t>#1266</t>
  </si>
  <si>
    <t>fracostantino@hotmail.it</t>
  </si>
  <si>
    <t>2026-06-01T14:21:42+02:00</t>
  </si>
  <si>
    <t>2026-06-01T14:21:43+02:00</t>
  </si>
  <si>
    <t>Francesca Costantino Scirocco</t>
  </si>
  <si>
    <t>Via Georgia 18a</t>
  </si>
  <si>
    <t>#1267</t>
  </si>
  <si>
    <t>federicavalente91@gmail.com</t>
  </si>
  <si>
    <t>2026-06-01T14:32:23+02:00</t>
  </si>
  <si>
    <t>2026-06-01T14:32:25+02:00</t>
  </si>
  <si>
    <t>Federica Valente</t>
  </si>
  <si>
    <t>Via Case Puntellate 43, Scala B interno 11</t>
  </si>
  <si>
    <t>Via Case Puntellate 43</t>
  </si>
  <si>
    <t>Scala B interno 11</t>
  </si>
  <si>
    <t>#1268</t>
  </si>
  <si>
    <t>lauralidonni@gmail.com</t>
  </si>
  <si>
    <t>2026-06-01T14:59:17+02:00</t>
  </si>
  <si>
    <t>2026-06-01T14:59:18+02:00</t>
  </si>
  <si>
    <t>Laura Li Donni</t>
  </si>
  <si>
    <t>Via Andrea Mantegna 6, 202</t>
  </si>
  <si>
    <t>Via Andrea Mantegna 6</t>
  </si>
  <si>
    <t>#1269</t>
  </si>
  <si>
    <t>giulia.cappelletti33@gmail.com</t>
  </si>
  <si>
    <t>2026-06-02T10:13:15+02:00</t>
  </si>
  <si>
    <t>2026-06-02T10:13:18+02:00</t>
  </si>
  <si>
    <t>Giulia Cappelletti</t>
  </si>
  <si>
    <t>Piazza della Vittoria 29 lodi, Pinalli</t>
  </si>
  <si>
    <t>Piazza della Vittoria 29 lodi</t>
  </si>
  <si>
    <t>Pinalli</t>
  </si>
  <si>
    <t>Lodi</t>
  </si>
  <si>
    <t>LO</t>
  </si>
  <si>
    <t>+393388606638</t>
  </si>
  <si>
    <t>#1270</t>
  </si>
  <si>
    <t>Mastrippolitoarianna@yahoo.it</t>
  </si>
  <si>
    <t>2026-06-02T14:12:33+02:00</t>
  </si>
  <si>
    <t>2026-06-02T14:12:35+02:00</t>
  </si>
  <si>
    <t>Arianna Mastrippolito</t>
  </si>
  <si>
    <t>Via presolana 8</t>
  </si>
  <si>
    <t>Sig</t>
  </si>
  <si>
    <t>#1271</t>
  </si>
  <si>
    <t>ilaria.rinaldi98@icloud.com</t>
  </si>
  <si>
    <t>2026-06-02T14:50:19+02:00</t>
  </si>
  <si>
    <t>2026-06-02T14:50:21+02:00</t>
  </si>
  <si>
    <t>ANNIE BAG LILAC - Catena in ottone 60 cm</t>
  </si>
  <si>
    <t>ANNIE-LILAC-CC</t>
  </si>
  <si>
    <t>Ilaria Rinaldi</t>
  </si>
  <si>
    <t>Piazzale Lodi 3</t>
  </si>
  <si>
    <t>Heinz</t>
  </si>
  <si>
    <t>#1272</t>
  </si>
  <si>
    <t>flaminia.mereu@gmail.com</t>
  </si>
  <si>
    <t>2026-06-02T20:52:16+02:00</t>
  </si>
  <si>
    <t>2026-06-02T20:52:20+02:00</t>
  </si>
  <si>
    <t>LEA-MAXI-SUEDE-CHOCOLATE-CHARM</t>
  </si>
  <si>
    <t>Flaminia Mereu</t>
  </si>
  <si>
    <t>Via Lima 20, Int.10</t>
  </si>
  <si>
    <t>Via Lima 20</t>
  </si>
  <si>
    <t>Int.10</t>
  </si>
  <si>
    <t>ACC-TIGER-CHARM-CHAIN</t>
  </si>
  <si>
    <t>amimì</t>
  </si>
  <si>
    <t>AGATA-TIEDYE-ORANGE-SC</t>
  </si>
  <si>
    <t>#1273</t>
  </si>
  <si>
    <t>giu.baccari@gmail.com</t>
  </si>
  <si>
    <t>2026-06-03T09:10:56+02:00</t>
  </si>
  <si>
    <t>2026-06-03T09:10:58+02:00</t>
  </si>
  <si>
    <t>Giulia Baccari</t>
  </si>
  <si>
    <t>Piazzale Maresciallo Giardino 1</t>
  </si>
  <si>
    <t>#1274</t>
  </si>
  <si>
    <t>aurora.cardinale06@gmail.com</t>
  </si>
  <si>
    <t>2026-06-03T10:02:51+02:00</t>
  </si>
  <si>
    <t>2026-06-03T10:02:56+02:00</t>
  </si>
  <si>
    <t>Aurora Cardinale</t>
  </si>
  <si>
    <t>Via Beltramelli Vittorio</t>
  </si>
  <si>
    <t>Trescore Cremasco</t>
  </si>
  <si>
    <t>#1275</t>
  </si>
  <si>
    <t>carmen.cucumetti@gmail.com</t>
  </si>
  <si>
    <t>2026-06-03T12:46:32+02:00</t>
  </si>
  <si>
    <t>2026-06-03T12:46:36+02:00</t>
  </si>
  <si>
    <t>Carmen Cucumetti</t>
  </si>
  <si>
    <t>Via Lauro De Bosis 1</t>
  </si>
  <si>
    <t>Siena</t>
  </si>
  <si>
    <t>Carmen Cucumetti c/o LUMINA</t>
  </si>
  <si>
    <t>Via Lodz 44/20, C/o LUMINA</t>
  </si>
  <si>
    <t>Via Lodz 44/20</t>
  </si>
  <si>
    <t>C/o LUMINA</t>
  </si>
  <si>
    <t>#1276</t>
  </si>
  <si>
    <t>giulia.fontanesi2@gmail.com</t>
  </si>
  <si>
    <t>2026-06-03T14:52:37+02:00</t>
  </si>
  <si>
    <t>2026-06-03T14:52:41+02:00</t>
  </si>
  <si>
    <t>Giulia Fontanesi</t>
  </si>
  <si>
    <t>Via Della Moscova 15</t>
  </si>
  <si>
    <t>AMIMI</t>
  </si>
  <si>
    <t>#1277</t>
  </si>
  <si>
    <t>elena.messori98@gmail.com</t>
  </si>
  <si>
    <t>2026-06-03T18:21:18+02:00</t>
  </si>
  <si>
    <t>2026-06-03T18:21:23+02:00</t>
  </si>
  <si>
    <t>AGATA-ROSE-BLUE-SC</t>
  </si>
  <si>
    <t>Elena Messori</t>
  </si>
  <si>
    <t>Via Papa Gregorio VII 2</t>
  </si>
  <si>
    <t>Castellarano</t>
  </si>
  <si>
    <t>#1278</t>
  </si>
  <si>
    <t>mariaskrobak02@gmail.com</t>
  </si>
  <si>
    <t>2026-06-03T19:07:55+02:00</t>
  </si>
  <si>
    <t>2026-06-03T19:08:00+02:00</t>
  </si>
  <si>
    <t>Maria Shkrobak</t>
  </si>
  <si>
    <t>Vicolo Don innocente Cagnin</t>
  </si>
  <si>
    <t>Carbonera</t>
  </si>
  <si>
    <t>Vicolo Don innocente Cagnin 52</t>
  </si>
  <si>
    <t>#1279</t>
  </si>
  <si>
    <t>vale4ever101@gmail.com</t>
  </si>
  <si>
    <t>2026-06-03T20:08:23+02:00</t>
  </si>
  <si>
    <t>2026-06-03T20:08:24+02:00</t>
  </si>
  <si>
    <t>Valentina Sanfratello</t>
  </si>
  <si>
    <t>Ariosto 2/e</t>
  </si>
  <si>
    <t>Bresso</t>
  </si>
  <si>
    <t>#1280</t>
  </si>
  <si>
    <t>laurasferlazza96@gmail.com</t>
  </si>
  <si>
    <t>2026-06-03T22:46:50+02:00</t>
  </si>
  <si>
    <t>2026-06-03T22:46:51+02:00</t>
  </si>
  <si>
    <t>LAURA SFERLAZZA</t>
  </si>
  <si>
    <t>Viale Angelico 36</t>
  </si>
  <si>
    <t>#1281</t>
  </si>
  <si>
    <t>luciaspano9800@icloud.com</t>
  </si>
  <si>
    <t>2026-06-03T23:55:51+02:00</t>
  </si>
  <si>
    <t>2026-06-03T23:55:55+02:00</t>
  </si>
  <si>
    <t>ANNIE BAG PAILLETTES PINK - catena</t>
  </si>
  <si>
    <t>Annie_Bag_Pailletes_PINK-1</t>
  </si>
  <si>
    <t>Lucia Spano</t>
  </si>
  <si>
    <t>Parco Calabria 5</t>
  </si>
  <si>
    <t>Manfredonia</t>
  </si>
  <si>
    <t>Via Lussemburgo 25</t>
  </si>
  <si>
    <t>Curtatone</t>
  </si>
  <si>
    <t>MN</t>
  </si>
  <si>
    <t>Mantova</t>
  </si>
  <si>
    <t>#1282</t>
  </si>
  <si>
    <t>ilaria_98@yahoo.it</t>
  </si>
  <si>
    <t>2026-06-04T15:45:56+02:00</t>
  </si>
  <si>
    <t>2026-06-04T15:45:57+02:00</t>
  </si>
  <si>
    <t>Ilaria Paradiso</t>
  </si>
  <si>
    <t>Corso di Porta Vittoria 5, Mondini Bonora Ginevra Studio Legale</t>
  </si>
  <si>
    <t>Corso di Porta Vittoria 5</t>
  </si>
  <si>
    <t>Mondini Bonora Ginevra Studio Legale</t>
  </si>
  <si>
    <t>#1283</t>
  </si>
  <si>
    <t>diletta.paladini95@gmail.com</t>
  </si>
  <si>
    <t>2026-06-04T15:47:12+02:00</t>
  </si>
  <si>
    <t>2026-06-04T15:47:16+02:00</t>
  </si>
  <si>
    <t>ANNIE BAG PAILLETTES LIGHT BLUE - catena</t>
  </si>
  <si>
    <t>Annie_Bag_Pailletes_LIGHT_BLUE-1</t>
  </si>
  <si>
    <t>diletta paladini</t>
  </si>
  <si>
    <t>Via Mecenate 79</t>
  </si>
  <si>
    <t>#1284</t>
  </si>
  <si>
    <t>zambe12@hotmail.it</t>
  </si>
  <si>
    <t>2026-06-04T16:16:45+02:00</t>
  </si>
  <si>
    <t>2026-06-04T16:16:50+02:00</t>
  </si>
  <si>
    <t>francesca zambeletti</t>
  </si>
  <si>
    <t>Via privata paolo giorza 3</t>
  </si>
  <si>
    <t>Francesca Zambeletti</t>
  </si>
  <si>
    <t>Privata Paolo Giorza 3</t>
  </si>
  <si>
    <t>+393338076257</t>
  </si>
  <si>
    <t>#1285</t>
  </si>
  <si>
    <t>edoardocattaneo@hotmail.it</t>
  </si>
  <si>
    <t>2026-06-04T16:56:54+02:00</t>
  </si>
  <si>
    <t>2026-06-04T16:56:56+02:00</t>
  </si>
  <si>
    <t>Edoardo Cattaneo</t>
  </si>
  <si>
    <t>Via Fontana 53</t>
  </si>
  <si>
    <t>Brembate di Sopra</t>
  </si>
  <si>
    <t>#1286</t>
  </si>
  <si>
    <t>chiaramaria.daros@gmail.com</t>
  </si>
  <si>
    <t>2026-06-04T17:10:47+02:00</t>
  </si>
  <si>
    <t>Chiara Da Ros</t>
  </si>
  <si>
    <t>Via Vincenzo Foppa 19, lascia in portineria</t>
  </si>
  <si>
    <t>Via Vincenzo Foppa 19</t>
  </si>
  <si>
    <t>lascia in portineria</t>
  </si>
  <si>
    <t>#1287</t>
  </si>
  <si>
    <t>paola96costa@gmail.com</t>
  </si>
  <si>
    <t>2026-06-04T19:19:02+02:00</t>
  </si>
  <si>
    <t>2026-06-04T19:19:03+02:00</t>
  </si>
  <si>
    <t>Paola Costa</t>
  </si>
  <si>
    <t>Piazzale Giuseppe Massari 20</t>
  </si>
  <si>
    <t>#1288</t>
  </si>
  <si>
    <t>emma.boccassini@gmail.com</t>
  </si>
  <si>
    <t>2026-06-04T21:34:35+02:00</t>
  </si>
  <si>
    <t>2026-06-04T21:34:40+02:00</t>
  </si>
  <si>
    <t>Emma Boccassini</t>
  </si>
  <si>
    <t>Virgilio</t>
  </si>
  <si>
    <t>Via Virgilio 4</t>
  </si>
  <si>
    <t>+393465773752</t>
  </si>
  <si>
    <t>#1289</t>
  </si>
  <si>
    <t>grossigiada1@gmail.com</t>
  </si>
  <si>
    <t>2026-06-05T10:54:02+02:00</t>
  </si>
  <si>
    <t>2026-06-05T10:54:07+02:00</t>
  </si>
  <si>
    <t>AGATA BAG ROSE BUTTER - Senza Catena</t>
  </si>
  <si>
    <t>AGATA-ROSE-BUTTER-SC</t>
  </si>
  <si>
    <t>Giada Grossi</t>
  </si>
  <si>
    <t>Via Pietro Nenni 96</t>
  </si>
  <si>
    <t>Corso Giuseppe Mazzini 14, C/o BANCA FININT</t>
  </si>
  <si>
    <t>Corso Giuseppe Mazzini 14</t>
  </si>
  <si>
    <t>C/o BANCA FININT</t>
  </si>
  <si>
    <t>#1290</t>
  </si>
  <si>
    <t>piplet@me.com</t>
  </si>
  <si>
    <t>2026-06-05T10:58:28+02:00</t>
  </si>
  <si>
    <t>2026-06-05T10:58:29+02:00</t>
  </si>
  <si>
    <t>rosa maria Tagliavia</t>
  </si>
  <si>
    <t>Via Ippodromo 105</t>
  </si>
  <si>
    <t>#1291</t>
  </si>
  <si>
    <t>keiraever@gmail.com</t>
  </si>
  <si>
    <t>2026-06-05T12:54:57+02:00</t>
  </si>
  <si>
    <t>2026-06-05T12:54:58+02:00</t>
  </si>
  <si>
    <t>Serena Faro</t>
  </si>
  <si>
    <t>Via Stamira d'Ancona 25, Camplus Turro</t>
  </si>
  <si>
    <t>Via Stamira d'Ancona 25</t>
  </si>
  <si>
    <t>Camplus Turro</t>
  </si>
  <si>
    <t>#1292</t>
  </si>
  <si>
    <t>eva.erione@live.it</t>
  </si>
  <si>
    <t>2026-06-05T14:34:50+02:00</t>
  </si>
  <si>
    <t>2026-06-05T14:34:51+02:00</t>
  </si>
  <si>
    <t>Davide Lasalvia</t>
  </si>
  <si>
    <t>Via Fabio Filzi 42</t>
  </si>
  <si>
    <t>#1293</t>
  </si>
  <si>
    <t>mariannanudo@gmail.com</t>
  </si>
  <si>
    <t>2026-06-05T21:49:30+02:00</t>
  </si>
  <si>
    <t>2026-06-05T21:49:32+02:00</t>
  </si>
  <si>
    <t>Marianna Nudo</t>
  </si>
  <si>
    <t>Via Lucrezia Romana 41/47, Presso ICCREA BANCA SPA</t>
  </si>
  <si>
    <t>Via Lucrezia Romana 41/47</t>
  </si>
  <si>
    <t>Presso ICCREA BANCA SPA</t>
  </si>
  <si>
    <t>#1294</t>
  </si>
  <si>
    <t>letiziapetracci@gmail.com</t>
  </si>
  <si>
    <t>2026-06-06T08:43:07+02:00</t>
  </si>
  <si>
    <t>2026-06-06T08:43:08+02:00</t>
  </si>
  <si>
    <t>ANNIE BAG BLUE - Catena in ottone 60 cm</t>
  </si>
  <si>
    <t>ANNIE-BLUE-CC</t>
  </si>
  <si>
    <t>letizia petracci</t>
  </si>
  <si>
    <t>Via Elpidiense Sud, 302</t>
  </si>
  <si>
    <t>Via Elpidiense Sud</t>
  </si>
  <si>
    <t>Montegranaro</t>
  </si>
  <si>
    <t>FM</t>
  </si>
  <si>
    <t>+393331361492</t>
  </si>
  <si>
    <t>Fermo</t>
  </si>
  <si>
    <t>#1295</t>
  </si>
  <si>
    <t>a.riccardi@outlook.it</t>
  </si>
  <si>
    <t>2026-06-06T14:01:08+02:00</t>
  </si>
  <si>
    <t>2026-06-06T14:01:09+02:00</t>
  </si>
  <si>
    <t>Arianna Riccardi</t>
  </si>
  <si>
    <t>Via Giuseppe Dezza 26</t>
  </si>
  <si>
    <t>#1296</t>
  </si>
  <si>
    <t>margherita.ferracci@hotmail.com</t>
  </si>
  <si>
    <t>2026-06-06T17:30:47+02:00</t>
  </si>
  <si>
    <t>2026-06-06T17:30:50+02:00</t>
  </si>
  <si>
    <t>Margherita Ferracci</t>
  </si>
  <si>
    <t>Viale di Antignano 61A</t>
  </si>
  <si>
    <t>Caterina Piacentini</t>
  </si>
  <si>
    <t>Via Vittoria Colonna 8</t>
  </si>
  <si>
    <t>#1297</t>
  </si>
  <si>
    <t>megghi.k@gmail.com</t>
  </si>
  <si>
    <t>2026-06-06T21:20:59+02:00</t>
  </si>
  <si>
    <t>2026-06-06T21:21:00+02:00</t>
  </si>
  <si>
    <t>Megan Kacabani</t>
  </si>
  <si>
    <t>Corso Peschiera 186, A</t>
  </si>
  <si>
    <t>Corso Peschiera 186</t>
  </si>
  <si>
    <t>A</t>
  </si>
  <si>
    <t>#1298</t>
  </si>
  <si>
    <t>claudileone@hotmail.it</t>
  </si>
  <si>
    <t>2026-06-07T09:40:32+02:00</t>
  </si>
  <si>
    <t>2026-06-07T09:40:34+02:00</t>
  </si>
  <si>
    <t>Claudia Leone Purpura</t>
  </si>
  <si>
    <t>Via Giuseppe Insalaco 51</t>
  </si>
  <si>
    <t>#1299</t>
  </si>
  <si>
    <t>francescabiasio@yahoo.com</t>
  </si>
  <si>
    <t>2026-06-07T10:40:28+02:00</t>
  </si>
  <si>
    <t>Francesca Biasio</t>
  </si>
  <si>
    <t>Via G. dai Libri 22</t>
  </si>
  <si>
    <t>#1300</t>
  </si>
  <si>
    <t>ludo.mas.msr@gmail.com</t>
  </si>
  <si>
    <t>2026-06-07T17:29:27+02:00</t>
  </si>
  <si>
    <t>2026-06-07T17:29:31+02:00</t>
  </si>
  <si>
    <t>Ludovica Mastrantuono</t>
  </si>
  <si>
    <t>Tagiura 18</t>
  </si>
  <si>
    <t>#1301</t>
  </si>
  <si>
    <t>leonechiara8@gmail.com</t>
  </si>
  <si>
    <t>2026-06-07T18:48:24+02:00</t>
  </si>
  <si>
    <t>2026-06-07T18:48:27+02:00</t>
  </si>
  <si>
    <t>Chiara Leone</t>
  </si>
  <si>
    <t>Viale Corsica 14</t>
  </si>
  <si>
    <t>#1302</t>
  </si>
  <si>
    <t>antonio.spinatm@gmail.com</t>
  </si>
  <si>
    <t>2026-06-07T21:09:02+02:00</t>
  </si>
  <si>
    <t>SUNSALT10</t>
  </si>
  <si>
    <t>2026-06-07T21:09:03+02:00</t>
  </si>
  <si>
    <t>Via XXIV Maggio 13</t>
  </si>
  <si>
    <t>#1303</t>
  </si>
  <si>
    <t>silviapoma@me.com</t>
  </si>
  <si>
    <t>2026-06-08T09:26:59+02:00</t>
  </si>
  <si>
    <t>2026-06-08T09:27:05+02:00</t>
  </si>
  <si>
    <t>AGATA-FLORAL-DUSTY-PINK-SC</t>
  </si>
  <si>
    <t>Silvia Poma</t>
  </si>
  <si>
    <t>Via Nino Bixio 9</t>
  </si>
  <si>
    <t>Ignazio Borgonovo SIAK sistemi SRL</t>
  </si>
  <si>
    <t>Via Giorgio Perlasca 15</t>
  </si>
  <si>
    <t>Vellezzo Bellini</t>
  </si>
  <si>
    <t>#1304</t>
  </si>
  <si>
    <t>vaccarigiulia@gmail.com</t>
  </si>
  <si>
    <t>2026-06-08T13:30:45+02:00</t>
  </si>
  <si>
    <t>2026-06-08T13:30:46+02:00</t>
  </si>
  <si>
    <t>Tommaso Ciot</t>
  </si>
  <si>
    <t>143 Rue des Pyrénées</t>
  </si>
  <si>
    <t>+33766259111</t>
  </si>
  <si>
    <t>#1305</t>
  </si>
  <si>
    <t>Carlotta.zanicotti@gmail.com</t>
  </si>
  <si>
    <t>2026-06-08T14:56:08+02:00</t>
  </si>
  <si>
    <t>2026-06-08T14:56:12+02:00</t>
  </si>
  <si>
    <t>Artemest Carlotta Zanicotti</t>
  </si>
  <si>
    <t>Via Savona 97 Loft C10</t>
  </si>
  <si>
    <t>Artemest</t>
  </si>
  <si>
    <t>Carlotta Zanicotti</t>
  </si>
  <si>
    <t>Via Savona 97, Loft C10</t>
  </si>
  <si>
    <t>Via Savona 97</t>
  </si>
  <si>
    <t>Loft C10</t>
  </si>
  <si>
    <t>#1306</t>
  </si>
  <si>
    <t>federicaciroletti@hotmail.it</t>
  </si>
  <si>
    <t>2026-06-08T17:18:15+02:00</t>
  </si>
  <si>
    <t>2026-06-08T17:18:16+02:00</t>
  </si>
  <si>
    <t>federica ciroletti</t>
  </si>
  <si>
    <t>Via Andrea Solari 46</t>
  </si>
  <si>
    <t>#1307</t>
  </si>
  <si>
    <t>ireneiannotta8@gmail.com</t>
  </si>
  <si>
    <t>2026-06-08T21:09:54+02:00</t>
  </si>
  <si>
    <t>2026-06-08T21:09:59+02:00</t>
  </si>
  <si>
    <t>Irene Maria Iannotta</t>
  </si>
  <si>
    <t>Via Solera Mantegazza 9</t>
  </si>
  <si>
    <t>#1308</t>
  </si>
  <si>
    <t>biancaluvisotti@gmail.com</t>
  </si>
  <si>
    <t>2026-06-08T22:10:16+02:00</t>
  </si>
  <si>
    <t>2026-06-08T22:10:19+02:00</t>
  </si>
  <si>
    <t>Bianca Luvisotti</t>
  </si>
  <si>
    <t>Via vallombrosa 30</t>
  </si>
  <si>
    <t>+393351329266</t>
  </si>
  <si>
    <t>#1309</t>
  </si>
  <si>
    <t>irenetulli93@gmail.com</t>
  </si>
  <si>
    <t>2026-06-08T23:59:58+02:00</t>
  </si>
  <si>
    <t>2026-06-09T00:00:00+02:00</t>
  </si>
  <si>
    <t>Irene Tulli</t>
  </si>
  <si>
    <t>Via Turati 28/b</t>
  </si>
  <si>
    <t>Trezzano sul Naviglio</t>
  </si>
  <si>
    <t>AGATA BAG FLORAL GREY - Senza Catena</t>
  </si>
  <si>
    <t>AGATA-FLORAL-GREY-SC</t>
  </si>
  <si>
    <t>#1310</t>
  </si>
  <si>
    <t>elevolpato97@gmail.com</t>
  </si>
  <si>
    <t>2026-06-09T08:49:39+02:00</t>
  </si>
  <si>
    <t>2026-06-09T08:49:41+02:00</t>
  </si>
  <si>
    <t>AGATA BAG ROSE BUTTER GREEN - Catena in 110 cm</t>
  </si>
  <si>
    <t>AGATA-ROSE-BUTTER-GREEN-CC</t>
  </si>
  <si>
    <t>Eleonora Volpato</t>
  </si>
  <si>
    <t>Via Calatafimi 27</t>
  </si>
  <si>
    <t>#1311</t>
  </si>
  <si>
    <t>carlottaferrero2000@gmail.com</t>
  </si>
  <si>
    <t>2026-06-09T14:57:54+02:00</t>
  </si>
  <si>
    <t>2026-06-09T14:57:58+02:00</t>
  </si>
  <si>
    <t>Carlotta Ferrero</t>
  </si>
  <si>
    <t>Via San Francesco D'Assisi, Scala A</t>
  </si>
  <si>
    <t>Via San Francesco D'Assisi</t>
  </si>
  <si>
    <t>Scala A</t>
  </si>
  <si>
    <t>#1312</t>
  </si>
  <si>
    <t>michelazoli@icloud.com</t>
  </si>
  <si>
    <t>2026-06-09T18:18:26+02:00</t>
  </si>
  <si>
    <t>2026-06-09T18:18:30+02:00</t>
  </si>
  <si>
    <t>Michela Zoli</t>
  </si>
  <si>
    <t>Via XX Settembre, 12  Gardone val Trompia, Citofono zoli Fabio elena cotelli</t>
  </si>
  <si>
    <t>Via XX Settembre, 12  Gardone val Trompia</t>
  </si>
  <si>
    <t>Citofono zoli Fabio elena cotelli</t>
  </si>
  <si>
    <t>Gardone val Trompia (BS)</t>
  </si>
  <si>
    <t>Via XX Settembre 12, Fabio Zoli Elena Cotelli</t>
  </si>
  <si>
    <t>Via XX Settembre 12</t>
  </si>
  <si>
    <t>Fabio Zoli Elena Cotelli</t>
  </si>
  <si>
    <t>Gardone Val Trompia</t>
  </si>
  <si>
    <t>+393315654635</t>
  </si>
  <si>
    <t>#1313</t>
  </si>
  <si>
    <t>martinaburatti@yahoo.com</t>
  </si>
  <si>
    <t>2026-06-09T21:28:03+02:00</t>
  </si>
  <si>
    <t>2026-06-09T21:28:07+02:00</t>
  </si>
  <si>
    <t>Martina Buratti</t>
  </si>
  <si>
    <t>Via I Maggio 13</t>
  </si>
  <si>
    <t>Cassano D’Adda</t>
  </si>
  <si>
    <t>Federica Motta</t>
  </si>
  <si>
    <t>Via Papa Giovanni XXIII 9, Villetta singola</t>
  </si>
  <si>
    <t>Via Papa Giovanni XXIII 9</t>
  </si>
  <si>
    <t>Villetta singola</t>
  </si>
  <si>
    <t>Cassano D Adda</t>
  </si>
  <si>
    <t>+393480443448</t>
  </si>
  <si>
    <t>#1314</t>
  </si>
  <si>
    <t>muzioginevra@gmail.com</t>
  </si>
  <si>
    <t>2026-06-09T23:26:08+02:00</t>
  </si>
  <si>
    <t>2026-06-09T23:26:12+02:00</t>
  </si>
  <si>
    <t>ANNIE BAG PAILLETTES CANDY PINK - Senza catena</t>
  </si>
  <si>
    <t>ANNIE-CANDY-PINK-SC</t>
  </si>
  <si>
    <t>Ginevra Muzio</t>
  </si>
  <si>
    <t>Milano, Lombardia, Italia, Via Andrea Maria Ampère 101</t>
  </si>
  <si>
    <t>Milano, Lombardia, Italia</t>
  </si>
  <si>
    <t>Via Andrea Maria Ampère 101</t>
  </si>
  <si>
    <t>#1315</t>
  </si>
  <si>
    <t>francescaciamponi@gmail.com</t>
  </si>
  <si>
    <t>2026-06-09T23:55:29+02:00</t>
  </si>
  <si>
    <t>2026-06-09T23:55:30+02:00</t>
  </si>
  <si>
    <t>Francesca Ciamponi</t>
  </si>
  <si>
    <t>Via Francesco Paolo Michetti 36</t>
  </si>
  <si>
    <t>Scafa</t>
  </si>
  <si>
    <t>#1316</t>
  </si>
  <si>
    <t>bianca.papasodero@gmail.com</t>
  </si>
  <si>
    <t>2026-06-10T08:22:30+02:00</t>
  </si>
  <si>
    <t>2026-06-10T08:22:31+02:00</t>
  </si>
  <si>
    <t>Bianca Papasodero</t>
  </si>
  <si>
    <t>Viale Corsica 99</t>
  </si>
  <si>
    <t>#1317</t>
  </si>
  <si>
    <t>maria.rosaria.villanova@gmail.com</t>
  </si>
  <si>
    <t>2026-06-10T09:45:09+02:00</t>
  </si>
  <si>
    <t>2026-06-10T09:45:10+02:00</t>
  </si>
  <si>
    <t>maria rosaria Villanova</t>
  </si>
  <si>
    <t>Via Giammatteo, 35</t>
  </si>
  <si>
    <t>#1318</t>
  </si>
  <si>
    <t>cristinafrancesconi13@gmail.com</t>
  </si>
  <si>
    <t>2026-06-10T10:33:50+02:00</t>
  </si>
  <si>
    <t>2026-06-10T10:33:51+02:00</t>
  </si>
  <si>
    <t>Cristina Francesconi</t>
  </si>
  <si>
    <t>Via Giovanni Battista Bossini 13, Francesconi-saiani o bassani</t>
  </si>
  <si>
    <t>Via Giovanni Battista Bossini 13</t>
  </si>
  <si>
    <t>Francesconi-saiani o bassani</t>
  </si>
  <si>
    <t>#1319</t>
  </si>
  <si>
    <t>lindaroggerone@hotmail.it</t>
  </si>
  <si>
    <t>2026-06-10T13:24:05+02:00</t>
  </si>
  <si>
    <t>2026-06-10T13:24:08+02:00</t>
  </si>
  <si>
    <t>Linda Roggerone</t>
  </si>
  <si>
    <t>Via Pieve di Cadore, 11a/11</t>
  </si>
  <si>
    <t>Via Pieve di Cadore</t>
  </si>
  <si>
    <t>11a/11</t>
  </si>
  <si>
    <t>#1320</t>
  </si>
  <si>
    <t>eleonora.pippi.3@icloud.com</t>
  </si>
  <si>
    <t>2026-06-10T14:05:25+02:00</t>
  </si>
  <si>
    <t>2026-06-10T14:05:27+02:00</t>
  </si>
  <si>
    <t>Eleonora Pippi</t>
  </si>
  <si>
    <t>Piazza della Concordia 25</t>
  </si>
  <si>
    <t>#1321</t>
  </si>
  <si>
    <t>2026-06-10T18:04:37+02:00</t>
  </si>
  <si>
    <t>2026-06-10T18:04:41+02:00</t>
  </si>
  <si>
    <t>ANTONIO PAOLI</t>
  </si>
  <si>
    <t>CORSO MAZZINI 86</t>
  </si>
  <si>
    <t>ANTONIO PAOLI'</t>
  </si>
  <si>
    <t>LODI</t>
  </si>
  <si>
    <t>+393393355630</t>
  </si>
  <si>
    <t>#1322</t>
  </si>
  <si>
    <t>silviaclara.mondini@gmail.com</t>
  </si>
  <si>
    <t>2026-06-10T19:33:54+02:00</t>
  </si>
  <si>
    <t>2026-06-10T19:33:57+02:00</t>
  </si>
  <si>
    <t>silvia Mondini</t>
  </si>
  <si>
    <t>via Alberti leon battista  5</t>
  </si>
  <si>
    <t>#1323</t>
  </si>
  <si>
    <t>alexia.mel@hotmail.it</t>
  </si>
  <si>
    <t>2026-06-10T21:53:06+02:00</t>
  </si>
  <si>
    <t>2026-06-10T21:53:10+02:00</t>
  </si>
  <si>
    <t>Alessia Melis</t>
  </si>
  <si>
    <t>Corso Europa 21</t>
  </si>
  <si>
    <t>Serramanna</t>
  </si>
  <si>
    <t>Daniela Maria Mudu</t>
  </si>
  <si>
    <t>Via Roma 79</t>
  </si>
  <si>
    <t>La sorgente</t>
  </si>
  <si>
    <t>VS</t>
  </si>
  <si>
    <t>Medio Campidano</t>
  </si>
  <si>
    <t>#1324</t>
  </si>
  <si>
    <t>mdl1409@icloud.com</t>
  </si>
  <si>
    <t>2026-06-10T22:50:17+02:00</t>
  </si>
  <si>
    <t>2026-06-10T22:50:20+02:00</t>
  </si>
  <si>
    <t>Mariangela Dalla Longa</t>
  </si>
  <si>
    <t>Via Dei Pra',25</t>
  </si>
  <si>
    <t>Farra Di Soligo</t>
  </si>
  <si>
    <t>Via Dei Pra' 25, 25</t>
  </si>
  <si>
    <t>Via Dei Pra' 25</t>
  </si>
  <si>
    <t>#1325</t>
  </si>
  <si>
    <t>veronika.ghirra.vg@gmail.com</t>
  </si>
  <si>
    <t>2026-06-11T07:27:13+02:00</t>
  </si>
  <si>
    <t>2026-06-11T07:27:17+02:00</t>
  </si>
  <si>
    <t>VERONICA GHIRRA</t>
  </si>
  <si>
    <t>Giacomo Matteotti,3</t>
  </si>
  <si>
    <t>Benetutti</t>
  </si>
  <si>
    <t>Veronica Ghirra</t>
  </si>
  <si>
    <t>#1326</t>
  </si>
  <si>
    <t>giulia.varisco@icloud.com</t>
  </si>
  <si>
    <t>2026-06-11T08:53:54+02:00</t>
  </si>
  <si>
    <t>2026-06-11T08:53:55+02:00</t>
  </si>
  <si>
    <t>Giulia Varisco</t>
  </si>
  <si>
    <t>Del Fante N.8</t>
  </si>
  <si>
    <t>Tolmezzo</t>
  </si>
  <si>
    <t>+393471075983</t>
  </si>
  <si>
    <t>#1327</t>
  </si>
  <si>
    <t>giovanna.bergomi@gmail.com</t>
  </si>
  <si>
    <t>2026-06-11T09:55:43+02:00</t>
  </si>
  <si>
    <t>2026-06-11T09:55:46+02:00</t>
  </si>
  <si>
    <t>Giovanna Bergomi</t>
  </si>
  <si>
    <t>Piazza Sant’agostino 4</t>
  </si>
  <si>
    <t>Wiligelmo</t>
  </si>
  <si>
    <t>#1328</t>
  </si>
  <si>
    <t>mariapancotto@gmail.com</t>
  </si>
  <si>
    <t>2026-06-11T19:42:35+02:00</t>
  </si>
  <si>
    <t>2026-06-11T19:42:37+02:00</t>
  </si>
  <si>
    <t>AGATA BAG FLORAL DUSTY PINK EMBROIDERY - Catena in 110 cm</t>
  </si>
  <si>
    <t>AGATA-FLORAL-DUSTY-PINK-CC</t>
  </si>
  <si>
    <t>Maria Pancotto</t>
  </si>
  <si>
    <t>Via Don Giovanni Bosco 64</t>
  </si>
  <si>
    <t>Montecosaro</t>
  </si>
  <si>
    <t>#1329</t>
  </si>
  <si>
    <t>giuliacattaneo999@gmail.com</t>
  </si>
  <si>
    <t>2026-06-11T20:17:09+02:00</t>
  </si>
  <si>
    <t>2026-06-11T20:17:13+02:00</t>
  </si>
  <si>
    <t>Giulia Cattaneo</t>
  </si>
  <si>
    <t>Via Panfilo Castaldi 41</t>
  </si>
  <si>
    <t>#1330</t>
  </si>
  <si>
    <t>annalisa_09@hotmail.it</t>
  </si>
  <si>
    <t>2026-06-12T05:16:41+02:00</t>
  </si>
  <si>
    <t>2026-06-12T05:16:45+02:00</t>
  </si>
  <si>
    <t>Annalisa Angrisani</t>
  </si>
  <si>
    <t>Via Fabrizio Pinto</t>
  </si>
  <si>
    <t>Salerno</t>
  </si>
  <si>
    <t>SA</t>
  </si>
  <si>
    <t>Via Fabrizio Pinto 2b</t>
  </si>
  <si>
    <t>#1331</t>
  </si>
  <si>
    <t>mazzantini.r@gmail.com</t>
  </si>
  <si>
    <t>2026-06-12T05:28:02+02:00</t>
  </si>
  <si>
    <t>2026-06-12T05:28:04+02:00</t>
  </si>
  <si>
    <t>Roberta Mazzantini</t>
  </si>
  <si>
    <t>Via Don Zeno Saltini 4</t>
  </si>
  <si>
    <t>Carpi</t>
  </si>
  <si>
    <t>#1332</t>
  </si>
  <si>
    <t>assiariccioni@gmail.com</t>
  </si>
  <si>
    <t>2026-06-12T12:29:59+02:00</t>
  </si>
  <si>
    <t>2026-06-12T12:30:00+02:00</t>
  </si>
  <si>
    <t>Assia Riccioni</t>
  </si>
  <si>
    <t>Via Stefano Jacini 47</t>
  </si>
  <si>
    <t>#1333</t>
  </si>
  <si>
    <t>federicareyes23@gmail.com</t>
  </si>
  <si>
    <t>2026-06-13T18:04:15+02:00</t>
  </si>
  <si>
    <t>2026-06-13T18:04:23+02:00</t>
  </si>
  <si>
    <t>Federica Angela Reyes</t>
  </si>
  <si>
    <t>Via Acicastello 85</t>
  </si>
  <si>
    <t>Aci Castello</t>
  </si>
  <si>
    <t>Federica Reyes</t>
  </si>
  <si>
    <t>Via Tommaso Fazello 13, HALLEY SUD</t>
  </si>
  <si>
    <t>Via Tommaso Fazello 13</t>
  </si>
  <si>
    <t>HALLEY SUD</t>
  </si>
  <si>
    <t>HALLEY SUD SRL</t>
  </si>
  <si>
    <t>#1334</t>
  </si>
  <si>
    <t>giulia.bonavitacola@gmail.com</t>
  </si>
  <si>
    <t>2026-06-14T12:48:41+02:00</t>
  </si>
  <si>
    <t>2026-06-14T12:48:45+02:00</t>
  </si>
  <si>
    <t>Alberto Brumana</t>
  </si>
  <si>
    <t>Corso Umberto I N 71</t>
  </si>
  <si>
    <t>Giulia Bonavitacola</t>
  </si>
  <si>
    <t>#1335</t>
  </si>
  <si>
    <t>lavinia.restano@hotmail.it</t>
  </si>
  <si>
    <t>2026-06-14T14:03:24+02:00</t>
  </si>
  <si>
    <t>2026-06-14T14:03:29+02:00</t>
  </si>
  <si>
    <t>Lavinia Restano</t>
  </si>
  <si>
    <t>Via Lodovico Ariosto 32</t>
  </si>
  <si>
    <t>#1336</t>
  </si>
  <si>
    <t>sofiavita@gmail.com</t>
  </si>
  <si>
    <t>2026-06-14T16:09:34+02:00</t>
  </si>
  <si>
    <t>2026-06-14T16:09:38+02:00</t>
  </si>
  <si>
    <t>Sofia Vita</t>
  </si>
  <si>
    <t>Via Bramante 29</t>
  </si>
  <si>
    <t>Via Paolo Sarpi 15, Citofono 42</t>
  </si>
  <si>
    <t>Via Paolo Sarpi 15</t>
  </si>
  <si>
    <t>Citofono 42</t>
  </si>
  <si>
    <t>#1337</t>
  </si>
  <si>
    <t>elisabe.stv@gmail.com</t>
  </si>
  <si>
    <t>2026-06-14T17:05:08+02:00</t>
  </si>
  <si>
    <t>2026-06-14T17:05:12+02:00</t>
  </si>
  <si>
    <t>Elisabetta Stevanello</t>
  </si>
  <si>
    <t>Cavour 30</t>
  </si>
  <si>
    <t>Galleria Telser 12</t>
  </si>
  <si>
    <t>+393495547033</t>
  </si>
  <si>
    <t>#1338</t>
  </si>
  <si>
    <t>Adriana.tufano01@gmail.com</t>
  </si>
  <si>
    <t>2026-06-14T19:20:35+02:00</t>
  </si>
  <si>
    <t>2026-06-14T19:20:39+02:00</t>
  </si>
  <si>
    <t>Adriana Tufano</t>
  </si>
  <si>
    <t>Via Antonio Canova 13</t>
  </si>
  <si>
    <t>#1339</t>
  </si>
  <si>
    <t>francesca.temporin@hotmail.it</t>
  </si>
  <si>
    <t>2026-06-15T12:32:59+02:00</t>
  </si>
  <si>
    <t>2026-06-15T12:33:00+02:00</t>
  </si>
  <si>
    <t>Francesca Temporin</t>
  </si>
  <si>
    <t>Via Antonio Grossich 29</t>
  </si>
  <si>
    <t>#1340</t>
  </si>
  <si>
    <t>meris68@hotmail.it</t>
  </si>
  <si>
    <t>2026-06-15T16:18:57+02:00</t>
  </si>
  <si>
    <t>2026-06-15T16:19:01+02:00</t>
  </si>
  <si>
    <t>Meris Nicolè</t>
  </si>
  <si>
    <t>Via Raffaello, 1, Campanello Gambalonga Vittoria</t>
  </si>
  <si>
    <t>Via Raffaello, 1</t>
  </si>
  <si>
    <t>Campanello Gambalonga Vittoria</t>
  </si>
  <si>
    <t>#1341</t>
  </si>
  <si>
    <t>lobiancoveronica19@gmail.com</t>
  </si>
  <si>
    <t>2026-06-15T17:41:16+02:00</t>
  </si>
  <si>
    <t>2026-06-15T17:41:20+02:00</t>
  </si>
  <si>
    <t>Veronica Lo Bianco</t>
  </si>
  <si>
    <t>Via della Moscova 12</t>
  </si>
  <si>
    <t>#1342</t>
  </si>
  <si>
    <t>matildepazzaglia16@gmail.com</t>
  </si>
  <si>
    <t>2026-06-16T08:09:19+02:00</t>
  </si>
  <si>
    <t>2026-06-16T08:09:20+02:00</t>
  </si>
  <si>
    <t>Matilde Pazzaglia</t>
  </si>
  <si>
    <t>Via delle Ginestre 24a</t>
  </si>
  <si>
    <t>Cervia</t>
  </si>
  <si>
    <t>RA</t>
  </si>
  <si>
    <t>Ravenna</t>
  </si>
  <si>
    <t>#1343</t>
  </si>
  <si>
    <t>giuliznn@gmail.com</t>
  </si>
  <si>
    <t>2026-06-16T12:13:09+02:00</t>
  </si>
  <si>
    <t>2026-06-16T12:13:13+02:00</t>
  </si>
  <si>
    <t>Giulia Zanoni</t>
  </si>
  <si>
    <t>Via Enrico Annibale Butti 15</t>
  </si>
  <si>
    <t>#1344</t>
  </si>
  <si>
    <t>annadellera93@gmail.com</t>
  </si>
  <si>
    <t>2026-06-16T15:14:23+02:00</t>
  </si>
  <si>
    <t>2026-06-16T15:14:24+02:00</t>
  </si>
  <si>
    <t>AGATA BAG FLORAL LIGHT BLUE - Senza Catena</t>
  </si>
  <si>
    <t>AGATA-FLORAL-LIGHT-BLUE-SC</t>
  </si>
  <si>
    <t>Anna Dell'Era</t>
  </si>
  <si>
    <t>Via Bolzano 6, Via Bolzano 6</t>
  </si>
  <si>
    <t>Via Bolzano 6</t>
  </si>
  <si>
    <t>Lecco</t>
  </si>
  <si>
    <t>LC</t>
  </si>
  <si>
    <t>#1345</t>
  </si>
  <si>
    <t>sofia.beccaria@icloud.com</t>
  </si>
  <si>
    <t>2026-06-16T17:03:05+02:00</t>
  </si>
  <si>
    <t>2026-06-16T17:04:33+02:00</t>
  </si>
  <si>
    <t>2026-06-16T17:03:09+02:00</t>
  </si>
  <si>
    <t>sofia beccaria</t>
  </si>
  <si>
    <t>Via Amerigo Vespucci, 7</t>
  </si>
  <si>
    <t>#1346</t>
  </si>
  <si>
    <t>fede_ronchini@hotmail.it</t>
  </si>
  <si>
    <t>2026-06-17T00:26:45+02:00</t>
  </si>
  <si>
    <t>Federica Ronchini</t>
  </si>
  <si>
    <t>Piazza della Repubblica 66</t>
  </si>
  <si>
    <t>Castel del Rio</t>
  </si>
  <si>
    <t>#1347</t>
  </si>
  <si>
    <t>Agnese@miglioratistefani.it</t>
  </si>
  <si>
    <t>2026-06-17T08:31:53+02:00</t>
  </si>
  <si>
    <t>SPEDIZIONEGRATUITA</t>
  </si>
  <si>
    <t>2026-06-17T08:31:54+02:00</t>
  </si>
  <si>
    <t>Agnese Migliorati Stefani</t>
  </si>
  <si>
    <t>Via di San Niccolò 3</t>
  </si>
  <si>
    <t>#1348</t>
  </si>
  <si>
    <t>asia.santona@gmail.com</t>
  </si>
  <si>
    <t>2026-06-17T11:23:55+02:00</t>
  </si>
  <si>
    <t>2026-06-17T11:23:56+02:00</t>
  </si>
  <si>
    <t>ANNIE BAG PAILLETTES NUDE - Senza Catena</t>
  </si>
  <si>
    <t>Asia Santona</t>
  </si>
  <si>
    <t>Via Giovanni Antonio Amadeo 14</t>
  </si>
  <si>
    <t>#1349</t>
  </si>
  <si>
    <t>linda.saraga@icloud.com</t>
  </si>
  <si>
    <t>2026-06-17T13:10:17+02:00</t>
  </si>
  <si>
    <t>2026-06-17T13:10:18+02:00</t>
  </si>
  <si>
    <t>Linda Saraga</t>
  </si>
  <si>
    <t>Via Giovanni Santi, 26</t>
  </si>
  <si>
    <t>Cagli</t>
  </si>
  <si>
    <t>PU</t>
  </si>
  <si>
    <t>Pesaro e Urbino</t>
  </si>
  <si>
    <t>#1350</t>
  </si>
  <si>
    <t>2026-06-17T14:13:56+02:00</t>
  </si>
  <si>
    <t>2026-06-17T14:13:57+02:00</t>
  </si>
  <si>
    <t>#1351</t>
  </si>
  <si>
    <t>stella.ardito@hotmail.it</t>
  </si>
  <si>
    <t>2026-06-17T14:15:41+02:00</t>
  </si>
  <si>
    <t>2026-06-17T14:15:45+02:00</t>
  </si>
  <si>
    <t>ANNIE BAG PAILLETTES CANDY PINK - Senza Catena</t>
  </si>
  <si>
    <t>Stella Ardito</t>
  </si>
  <si>
    <t>Via Fratelli Ruffini 5</t>
  </si>
  <si>
    <t>#1352</t>
  </si>
  <si>
    <t>sofiamigliau@gmail.com</t>
  </si>
  <si>
    <t>2026-06-17T21:58:00+02:00</t>
  </si>
  <si>
    <t>2026-06-17T21:58:01+02:00</t>
  </si>
  <si>
    <t>Sofia Migliau</t>
  </si>
  <si>
    <t>Via Giovanni Pacini 11</t>
  </si>
  <si>
    <t>#1353</t>
  </si>
  <si>
    <t>tuttissimoqua@gmail.com</t>
  </si>
  <si>
    <t>2026-06-17T23:19:29+02:00</t>
  </si>
  <si>
    <t>2026-06-17T23:19:33+02:00</t>
  </si>
  <si>
    <t>Maria Vittoria Piantoni</t>
  </si>
  <si>
    <t>Via dei Carpinoni 14</t>
  </si>
  <si>
    <t>Via Giovanni Segantini 5</t>
  </si>
  <si>
    <t>#1354</t>
  </si>
  <si>
    <t>alice.moltoni@gmail.com</t>
  </si>
  <si>
    <t>2026-06-17T23:35:19+02:00</t>
  </si>
  <si>
    <t>2026-06-17T23:35:20+02:00</t>
  </si>
  <si>
    <t>Alice Moltoni</t>
  </si>
  <si>
    <t>via Europa 19/A</t>
  </si>
  <si>
    <t>Ponte in Valtellina</t>
  </si>
  <si>
    <t>SO</t>
  </si>
  <si>
    <t>Sondrio</t>
  </si>
  <si>
    <t>#1355</t>
  </si>
  <si>
    <t>ariannafrancescone@hotmail.it</t>
  </si>
  <si>
    <t>2026-06-18T00:18:48+02:00</t>
  </si>
  <si>
    <t>2026-06-18T00:18:53+02:00</t>
  </si>
  <si>
    <t>ANNIE BAG PAILLETTES NUDE - Catena in ottone 60 cm</t>
  </si>
  <si>
    <t>Arianna Francescone</t>
  </si>
  <si>
    <t>Via Roma, 73/A, Int.5 Scala B</t>
  </si>
  <si>
    <t>Via Roma, 73/A</t>
  </si>
  <si>
    <t>Int.5 Scala B</t>
  </si>
  <si>
    <t>Grottaferrata</t>
  </si>
  <si>
    <t>#1356</t>
  </si>
  <si>
    <t>cavagnolicarolina@gmail.com</t>
  </si>
  <si>
    <t>2026-06-18T13:56:38+02:00</t>
  </si>
  <si>
    <t>Carolina Cavagnoli</t>
  </si>
  <si>
    <t>Via Solferino 42, Consegnare presso la tabaccheria indicata</t>
  </si>
  <si>
    <t>Via Solferino 42</t>
  </si>
  <si>
    <t>Consegnare presso la tabaccheria indicata</t>
  </si>
  <si>
    <t>Presso Indabox Tabaccheria Solferino</t>
  </si>
  <si>
    <t>#1357</t>
  </si>
  <si>
    <t>laura92corsini@gmail.com</t>
  </si>
  <si>
    <t>2026-06-18T15:37:53+02:00</t>
  </si>
  <si>
    <t>2026-06-18T15:37:54+02:00</t>
  </si>
  <si>
    <t>Laura Corsini</t>
  </si>
  <si>
    <t>Via Coregna 19 G</t>
  </si>
  <si>
    <t>+393428603305</t>
  </si>
  <si>
    <t>#1358</t>
  </si>
  <si>
    <t>benedettacancian@gmail.com</t>
  </si>
  <si>
    <t>2026-06-18T19:51:13+02:00</t>
  </si>
  <si>
    <t>2026-06-18T19:51:14+02:00</t>
  </si>
  <si>
    <t>Benedetta Cancian</t>
  </si>
  <si>
    <t>Tiziano vecellio 27</t>
  </si>
  <si>
    <t>San Pietro Di feletto</t>
  </si>
  <si>
    <t>#1359</t>
  </si>
  <si>
    <t>monique_18@libero.it</t>
  </si>
  <si>
    <t>2026-06-19T10:51:50+02:00</t>
  </si>
  <si>
    <t>2026-06-19T10:51:52+02:00</t>
  </si>
  <si>
    <t>Maria_Bag_Burro_Piercing</t>
  </si>
  <si>
    <t>Monica Amoruso</t>
  </si>
  <si>
    <t>Via Andrea Maria Ampere 15, Citofono 12</t>
  </si>
  <si>
    <t>Via Andrea Maria Ampere 15</t>
  </si>
  <si>
    <t>Citofono 12</t>
  </si>
  <si>
    <t>+393883604208</t>
  </si>
  <si>
    <t>#1360</t>
  </si>
  <si>
    <t>fabicaiazzo16@gmail.com</t>
  </si>
  <si>
    <t>2026-06-19T11:21:43+02:00</t>
  </si>
  <si>
    <t>2026-06-19T11:21:47+02:00</t>
  </si>
  <si>
    <t>Fabiana Caiazzo</t>
  </si>
  <si>
    <t>Via Francesco Reina 35</t>
  </si>
  <si>
    <t>Via Francesco Reina 35, citofono numero 7 opp Martinello</t>
  </si>
  <si>
    <t>citofono numero 7 opp Martinello</t>
  </si>
  <si>
    <t>#1361</t>
  </si>
  <si>
    <t>francesca.campana@outlook.com</t>
  </si>
  <si>
    <t>2026-06-19T11:26:53+02:00</t>
  </si>
  <si>
    <t>2026-06-19T11:26:57+02:00</t>
  </si>
  <si>
    <t>Francesca Campana</t>
  </si>
  <si>
    <t>Via Rubicone 33</t>
  </si>
  <si>
    <t>francesca campana</t>
  </si>
  <si>
    <t>Via Tigrè 36</t>
  </si>
  <si>
    <t>#1362</t>
  </si>
  <si>
    <t>adrienne86@hotmail.it</t>
  </si>
  <si>
    <t>2026-06-19T11:51:32+02:00</t>
  </si>
  <si>
    <t>2026-06-19T11:51:37+02:00</t>
  </si>
  <si>
    <t>Francesca cuccuru</t>
  </si>
  <si>
    <t>via principe di piemonte 38</t>
  </si>
  <si>
    <t>#1363</t>
  </si>
  <si>
    <t>margheritalucchesi19@gmail.com</t>
  </si>
  <si>
    <t>2026-06-19T16:52:18+02:00</t>
  </si>
  <si>
    <t>LEA BAG MILITARY GREEN PONY</t>
  </si>
  <si>
    <t>Margherita Lucchesi</t>
  </si>
  <si>
    <t>Via del Centenario 68</t>
  </si>
  <si>
    <t>Porcari</t>
  </si>
  <si>
    <t>#1364</t>
  </si>
  <si>
    <t>ferrarifrancescaf@gmail.com</t>
  </si>
  <si>
    <t>2026-06-19T21:26:28+02:00</t>
  </si>
  <si>
    <t>2026-06-19T21:26:33+02:00</t>
  </si>
  <si>
    <t>Francesca Ferrari</t>
  </si>
  <si>
    <t>Via Cavallara 10</t>
  </si>
  <si>
    <t>#1365</t>
  </si>
  <si>
    <t>fuccilloserena@gmail.com</t>
  </si>
  <si>
    <t>2026-06-20T09:56:54+02:00</t>
  </si>
  <si>
    <t>2026-06-20T09:56:58+02:00</t>
  </si>
  <si>
    <t>serena fuccillo</t>
  </si>
  <si>
    <t>via, edmondo de amicis 42</t>
  </si>
  <si>
    <t>via</t>
  </si>
  <si>
    <t>edmondo de amicis 42</t>
  </si>
  <si>
    <t>Serena Fuccillo</t>
  </si>
  <si>
    <t>Via Edmondo de Amicis 42, citofono 17</t>
  </si>
  <si>
    <t>Via Edmondo de Amicis 42</t>
  </si>
  <si>
    <t>citofono 17</t>
  </si>
  <si>
    <t>#1366</t>
  </si>
  <si>
    <t>santella.mariangela@gmail.com</t>
  </si>
  <si>
    <t>2026-06-21T08:45:00+02:00</t>
  </si>
  <si>
    <t>2026-06-21T08:45:02+02:00</t>
  </si>
  <si>
    <t>Mariangela Santella</t>
  </si>
  <si>
    <t>Contrada colle Vitero 4 Jelsi</t>
  </si>
  <si>
    <t>Jelsi</t>
  </si>
  <si>
    <t>CB</t>
  </si>
  <si>
    <t>Campobasso</t>
  </si>
  <si>
    <t>#1367</t>
  </si>
  <si>
    <t>millacamy.02@gmail.com</t>
  </si>
  <si>
    <t>2026-06-21T11:25:32+02:00</t>
  </si>
  <si>
    <t>2026-06-21T11:25:36+02:00</t>
  </si>
  <si>
    <t>Camilla Santaroni</t>
  </si>
  <si>
    <t>Via Mario Borsa 87</t>
  </si>
  <si>
    <t>Via Mario Borsa 87, Int.12</t>
  </si>
  <si>
    <t>Int.12</t>
  </si>
  <si>
    <t>#1368</t>
  </si>
  <si>
    <t>laura8pinzolo@virgilio.it</t>
  </si>
  <si>
    <t>2026-06-21T19:24:09+02:00</t>
  </si>
  <si>
    <t>2026-06-21T19:24:10+02:00</t>
  </si>
  <si>
    <t>Laura Pinzolo</t>
  </si>
  <si>
    <t>Via F. Petrarca 5</t>
  </si>
  <si>
    <t>#1369</t>
  </si>
  <si>
    <t>ladybarbara65@yahoo.it</t>
  </si>
  <si>
    <t>2026-06-21T21:07:43+02:00</t>
  </si>
  <si>
    <t>2026-06-21T21:07:44+02:00</t>
  </si>
  <si>
    <t>AGATA BAG FLORAL LIGHT GREY - Catena in 110 cm</t>
  </si>
  <si>
    <t>AGATA-FLORAL-LIGHT-GREY-CC</t>
  </si>
  <si>
    <t>Barbara Santino</t>
  </si>
  <si>
    <t>Via Edoardo Maragliano 22</t>
  </si>
  <si>
    <t>#1370</t>
  </si>
  <si>
    <t>sari.baldrighi@gmail.com</t>
  </si>
  <si>
    <t>2026-06-22T09:14:55+02:00</t>
  </si>
  <si>
    <t>2026-06-22T09:15:00+02:00</t>
  </si>
  <si>
    <t>Sara Baldrighi</t>
  </si>
  <si>
    <t>Via A. Grandi 2A</t>
  </si>
  <si>
    <t>Zelo Buon Persico</t>
  </si>
  <si>
    <t>#1371</t>
  </si>
  <si>
    <t>sara_ts94@live.it</t>
  </si>
  <si>
    <t>2026-06-22T11:20:00+02:00</t>
  </si>
  <si>
    <t>2026-06-22T11:20:02+02:00</t>
  </si>
  <si>
    <t>ANNIE BAG BROWN SILK - Senza Catena</t>
  </si>
  <si>
    <t>Annie_Bag_Silk_BROWN</t>
  </si>
  <si>
    <t>Sara Zamparo</t>
  </si>
  <si>
    <t>Strada di Rozzol 83</t>
  </si>
  <si>
    <t>Trieste</t>
  </si>
  <si>
    <t>TS</t>
  </si>
  <si>
    <t>#1372</t>
  </si>
  <si>
    <t>miriamlauriola@gmail.com</t>
  </si>
  <si>
    <t>2026-06-22T11:48:19+02:00</t>
  </si>
  <si>
    <t>Miriam Lauriola</t>
  </si>
  <si>
    <t>Via Resistenza 28</t>
  </si>
  <si>
    <t>#1373</t>
  </si>
  <si>
    <t>lau.colombini@gmail.com</t>
  </si>
  <si>
    <t>2026-06-22T17:14:11+02:00</t>
  </si>
  <si>
    <t>2026-06-22T17:14:13+02:00</t>
  </si>
  <si>
    <t>Laura Colombini</t>
  </si>
  <si>
    <t>Via Pagani 26</t>
  </si>
  <si>
    <t>Formigine</t>
  </si>
  <si>
    <t>+393479761898</t>
  </si>
  <si>
    <t>#1374</t>
  </si>
  <si>
    <t>dianafagetz@gmail.com</t>
  </si>
  <si>
    <t>2026-06-22T18:43:00+02:00</t>
  </si>
  <si>
    <t>2026-06-22T18:43:03+02:00</t>
  </si>
  <si>
    <t>Diana Fagetti</t>
  </si>
  <si>
    <t>Via Giovanni Cimabue 2</t>
  </si>
  <si>
    <t>#1375</t>
  </si>
  <si>
    <t>Soufiane.guero@gmail.com</t>
  </si>
  <si>
    <t>2026-06-22T18:47:12+02:00</t>
  </si>
  <si>
    <t>2026-06-22T18:47:15+02:00</t>
  </si>
  <si>
    <t>Soufiane Guerouane</t>
  </si>
  <si>
    <t>Via San Carlo 22, Caffè Landini</t>
  </si>
  <si>
    <t>Via San Carlo 22</t>
  </si>
  <si>
    <t>Caffè Landini</t>
  </si>
  <si>
    <t>Bar caffè Landini</t>
  </si>
  <si>
    <t>Poggio Piccolo</t>
  </si>
  <si>
    <t>#1376</t>
  </si>
  <si>
    <t>carolina.zaccagni@gmail.com</t>
  </si>
  <si>
    <t>2026-06-22T20:48:32+02:00</t>
  </si>
  <si>
    <t>2026-06-22T20:48:37+02:00</t>
  </si>
  <si>
    <t>AGATA BAG ROSE BLUE - Catena in 110 cm</t>
  </si>
  <si>
    <t>AGATA-ROSE-BLUE-CC</t>
  </si>
  <si>
    <t>Carolina Zaccagni</t>
  </si>
  <si>
    <t>cattabriga 1</t>
  </si>
  <si>
    <t>Borgo Mantovano</t>
  </si>
  <si>
    <t>Revere</t>
  </si>
  <si>
    <t>#1377</t>
  </si>
  <si>
    <t>chiarabozzo@icloud.com</t>
  </si>
  <si>
    <t>2026-06-23T09:15:25+02:00</t>
  </si>
  <si>
    <t>2026-06-23T09:15:29+02:00</t>
  </si>
  <si>
    <t>Chiara Francecsa Bozzo</t>
  </si>
  <si>
    <t>Fraz. Cavrasto 142/B</t>
  </si>
  <si>
    <t>Bleggio Superiore</t>
  </si>
  <si>
    <t>Lorenzo Marzola</t>
  </si>
  <si>
    <t>Viale Caterina da Forlì 32</t>
  </si>
  <si>
    <t>+393463220345</t>
  </si>
  <si>
    <t>#1378</t>
  </si>
  <si>
    <t>cryamicucci@gmail.com</t>
  </si>
  <si>
    <t>2026-06-23T11:09:46+02:00</t>
  </si>
  <si>
    <t>2026-06-23T11:09:48+02:00</t>
  </si>
  <si>
    <t>Cristiana Amicucci</t>
  </si>
  <si>
    <t>Via dell'Imbrecciato 266 palazzina C interno 5 secondo piano</t>
  </si>
  <si>
    <t>+393487808056</t>
  </si>
  <si>
    <t>#1379</t>
  </si>
  <si>
    <t>giorgiadomenicii@gmail.com</t>
  </si>
  <si>
    <t>2026-06-23T15:56:21+02:00</t>
  </si>
  <si>
    <t>2026-06-23T15:56:26+02:00</t>
  </si>
  <si>
    <t>Giorgia Domenici</t>
  </si>
  <si>
    <t>Via Marcello Provenzale 43</t>
  </si>
  <si>
    <t>giorgia domenici</t>
  </si>
  <si>
    <t>#1380</t>
  </si>
  <si>
    <t>vanessa.bi@hotmail.it</t>
  </si>
  <si>
    <t>2026-06-23T20:57:27+02:00</t>
  </si>
  <si>
    <t>2026-06-23T20:57:32+02:00</t>
  </si>
  <si>
    <t>Vanessa Anna Vacca</t>
  </si>
  <si>
    <t>Via Solferino, 7A</t>
  </si>
  <si>
    <t>Bitonto</t>
  </si>
  <si>
    <t>Via Genova, 52</t>
  </si>
  <si>
    <t>Bari - Santo Spirito</t>
  </si>
  <si>
    <t>#1381</t>
  </si>
  <si>
    <t>federica.baldan023@libero.it</t>
  </si>
  <si>
    <t>2026-06-23T22:10:33+02:00</t>
  </si>
  <si>
    <t>2026-06-23T22:10:37+02:00</t>
  </si>
  <si>
    <t>Federica Baldan</t>
  </si>
  <si>
    <t>San Donà 166</t>
  </si>
  <si>
    <t>Via San Donà 166, Scala B</t>
  </si>
  <si>
    <t>Via San Donà 166</t>
  </si>
  <si>
    <t>Scala B</t>
  </si>
  <si>
    <t>Mestre Venezia</t>
  </si>
  <si>
    <t>#1382</t>
  </si>
  <si>
    <t>melismartina@icloud.com</t>
  </si>
  <si>
    <t>2026-06-23T22:34:25+02:00</t>
  </si>
  <si>
    <t>2026-06-23T22:34:30+02:00</t>
  </si>
  <si>
    <t>Martina Melis</t>
  </si>
  <si>
    <t>Via San Maurizio 7</t>
  </si>
  <si>
    <t>Alpignano</t>
  </si>
  <si>
    <t>My box Martina Melis</t>
  </si>
  <si>
    <t>Via Santa Barbara 11</t>
  </si>
  <si>
    <t>Alba</t>
  </si>
  <si>
    <t>#1383</t>
  </si>
  <si>
    <t>flavia.berruti@gmail.com</t>
  </si>
  <si>
    <t>2026-06-23T22:57:43+02:00</t>
  </si>
  <si>
    <t>2026-06-23T22:57:47+02:00</t>
  </si>
  <si>
    <t>Flavia Berruti</t>
  </si>
  <si>
    <t>Via Luigi Settembrini 17/A</t>
  </si>
  <si>
    <t>Via Emilio de Marchi 33</t>
  </si>
  <si>
    <t>#1384</t>
  </si>
  <si>
    <t>kikkaolimpio@gmail.com</t>
  </si>
  <si>
    <t>2026-06-24T08:51:16+02:00</t>
  </si>
  <si>
    <t>2026-06-24T08:51:20+02:00</t>
  </si>
  <si>
    <t>Francesca Olimpio</t>
  </si>
  <si>
    <t>Via, Corfinio</t>
  </si>
  <si>
    <t>Corfinio</t>
  </si>
  <si>
    <t>Pratola Peligna</t>
  </si>
  <si>
    <t>Via Corfinio, 49</t>
  </si>
  <si>
    <t>Pratola peligna</t>
  </si>
  <si>
    <t>#1385</t>
  </si>
  <si>
    <t>giampetruzzi.angela@gmail.com</t>
  </si>
  <si>
    <t>2026-06-24T09:03:42+02:00</t>
  </si>
  <si>
    <t>2026-06-24T09:03:46+02:00</t>
  </si>
  <si>
    <t>Angela Giampetruzzi</t>
  </si>
  <si>
    <t>Via Japigia 21</t>
  </si>
  <si>
    <t>Santeramo in Colle</t>
  </si>
  <si>
    <t>Largo Piazzolla 21, Ufficio Costruzioni Mg piano terra</t>
  </si>
  <si>
    <t>Largo Piazzolla 21</t>
  </si>
  <si>
    <t>Ufficio Costruzioni Mg piano terra</t>
  </si>
  <si>
    <t>Santeramo In Colle</t>
  </si>
  <si>
    <t>#1386</t>
  </si>
  <si>
    <t>lucreziapelli@gmail.com</t>
  </si>
  <si>
    <t>2026-06-24T10:12:03+02:00</t>
  </si>
  <si>
    <t>2026-06-24T10:12:04+02:00</t>
  </si>
  <si>
    <t>Lucrezia Pelli</t>
  </si>
  <si>
    <t>Via della Moscova 24, lasciare in portineria</t>
  </si>
  <si>
    <t>Via della Moscova 24</t>
  </si>
  <si>
    <t>lasciare in portineria</t>
  </si>
  <si>
    <t>#1387</t>
  </si>
  <si>
    <t>vago.roberta@gmail.com</t>
  </si>
  <si>
    <t>2026-06-24T11:24:53+02:00</t>
  </si>
  <si>
    <t>2026-06-24T11:24:54+02:00</t>
  </si>
  <si>
    <t>Roberta Vago</t>
  </si>
  <si>
    <t>Via Gorizia 37</t>
  </si>
  <si>
    <t>Bovisio Masciago</t>
  </si>
  <si>
    <t>#1388</t>
  </si>
  <si>
    <t>linda.cavana@gmail.com</t>
  </si>
  <si>
    <t>2026-06-24T11:38:41+02:00</t>
  </si>
  <si>
    <t>2026-06-24T11:38:45+02:00</t>
  </si>
  <si>
    <t>AGATA BAG FLORAL LIGHT GREY - Senza Catena</t>
  </si>
  <si>
    <t>AGATA-FLORAL-LIGHT-GREY-SC</t>
  </si>
  <si>
    <t>Linda Cavana</t>
  </si>
  <si>
    <t>Via Della Sila 27</t>
  </si>
  <si>
    <t>#1389</t>
  </si>
  <si>
    <t>chiara.mascelloni@yahoo.it</t>
  </si>
  <si>
    <t>2026-06-24T11:45:43+02:00</t>
  </si>
  <si>
    <t>2026-06-24T11:45:45+02:00</t>
  </si>
  <si>
    <t>Chiara Mascelloni</t>
  </si>
  <si>
    <t>Via Dei Gracchi, 19</t>
  </si>
  <si>
    <t>Grosseto</t>
  </si>
  <si>
    <t>GR</t>
  </si>
  <si>
    <t>#1390</t>
  </si>
  <si>
    <t>2026-06-24T15:26:37+02:00</t>
  </si>
  <si>
    <t>2026-06-24T15:26:42+02:00</t>
  </si>
  <si>
    <t>ANNIE BAG PAILLETTES PURPLE - Senza catena</t>
  </si>
  <si>
    <t>Annie_Bag_PURPLE</t>
  </si>
  <si>
    <t>Virginia Benedetti</t>
  </si>
  <si>
    <t>Mattotti</t>
  </si>
  <si>
    <t>Pavullo Nel Frignano</t>
  </si>
  <si>
    <t>Via Giacomo Matteotti 1</t>
  </si>
  <si>
    <t>+393382335359</t>
  </si>
  <si>
    <t>#1391</t>
  </si>
  <si>
    <t>agneseurso@gmail.com</t>
  </si>
  <si>
    <t>2026-06-24T16:04:29+02:00</t>
  </si>
  <si>
    <t>2026-06-24T16:04:30+02:00</t>
  </si>
  <si>
    <t>Agnese Urso</t>
  </si>
  <si>
    <t>Via Teresa Confalonieri 11</t>
  </si>
  <si>
    <t>#1392</t>
  </si>
  <si>
    <t>vittoriad403@gmail.com</t>
  </si>
  <si>
    <t>2026-06-25T14:17:18+02:00</t>
  </si>
  <si>
    <t>2026-06-25T14:17:20+02:00</t>
  </si>
  <si>
    <t>vittoria sabatini</t>
  </si>
  <si>
    <t>Via P. Togliatti 21, se non risponde suonare al 23</t>
  </si>
  <si>
    <t>Via P. Togliatti 21</t>
  </si>
  <si>
    <t>se non risponde suonare al 23</t>
  </si>
  <si>
    <t>Lamporecchio</t>
  </si>
  <si>
    <t>PT</t>
  </si>
  <si>
    <t>Pistoia</t>
  </si>
  <si>
    <t>#1393</t>
  </si>
  <si>
    <t>franci.balbo.6@gmail.com</t>
  </si>
  <si>
    <t>2026-06-25T15:26:27+02:00</t>
  </si>
  <si>
    <t>2026-06-25T15:26:30+02:00</t>
  </si>
  <si>
    <t>Francesca Balbo</t>
  </si>
  <si>
    <t>Via francesco Arese 7</t>
  </si>
  <si>
    <t>Via Francesco Arese 7</t>
  </si>
  <si>
    <t>#1394</t>
  </si>
  <si>
    <t>gmuzio@toogoodtogo.com</t>
  </si>
  <si>
    <t>2026-06-25T20:28:23+02:00</t>
  </si>
  <si>
    <t>2026-06-25T20:28:29+02:00</t>
  </si>
  <si>
    <t>Too good to go</t>
  </si>
  <si>
    <t>Piazza Vetra 17</t>
  </si>
  <si>
    <t>#1395</t>
  </si>
  <si>
    <t>giulia.ferrari98@gmail.com</t>
  </si>
  <si>
    <t>2026-06-25T20:46:54+02:00</t>
  </si>
  <si>
    <t>2026-06-25T20:46:58+02:00</t>
  </si>
  <si>
    <t>Giulia Ferrari</t>
  </si>
  <si>
    <t>Via Solferino 204</t>
  </si>
  <si>
    <t>Ramiola</t>
  </si>
  <si>
    <t>Solferino 204</t>
  </si>
  <si>
    <t>Medesano</t>
  </si>
  <si>
    <t>#1396</t>
  </si>
  <si>
    <t>rossella-ella@hotmail.it</t>
  </si>
  <si>
    <t>2026-06-25T22:35:04+02:00</t>
  </si>
  <si>
    <t>2026-06-25T22:35:08+02:00</t>
  </si>
  <si>
    <t>Rossella Trappa</t>
  </si>
  <si>
    <t>134 Montreal house</t>
  </si>
  <si>
    <t>SE16 7AQ</t>
  </si>
  <si>
    <t>#1397</t>
  </si>
  <si>
    <t>martacandian25@gmail.com</t>
  </si>
  <si>
    <t>2026-06-25T22:35:49+02:00</t>
  </si>
  <si>
    <t>2026-06-25T22:35:54+02:00</t>
  </si>
  <si>
    <t>Marta Candian</t>
  </si>
  <si>
    <t>Via San Giovanni Bosco 14</t>
  </si>
  <si>
    <t>WNDR</t>
  </si>
  <si>
    <t>Bonate Sotto</t>
  </si>
  <si>
    <t>Via Borgo Santa Caterina 35</t>
  </si>
  <si>
    <t>#1398</t>
  </si>
  <si>
    <t>silvia.bella89@gmail.com</t>
  </si>
  <si>
    <t>2026-06-26T08:51:21+02:00</t>
  </si>
  <si>
    <t>Silvia Bella</t>
  </si>
  <si>
    <t>Helgolandsgade 6B 3</t>
  </si>
  <si>
    <t>1653 København V</t>
  </si>
  <si>
    <t>DK</t>
  </si>
  <si>
    <t>+4553781226</t>
  </si>
  <si>
    <t>#1399</t>
  </si>
  <si>
    <t>palombi.p17@gmail.com</t>
  </si>
  <si>
    <t>2026-06-26T09:34:46+02:00</t>
  </si>
  <si>
    <t>2026-06-26T09:34:48+02:00</t>
  </si>
  <si>
    <t>Paola Palombi</t>
  </si>
  <si>
    <t>Contrada Limate Di Sopra 14</t>
  </si>
  <si>
    <t>Castro Dei Volsci</t>
  </si>
  <si>
    <t>Frosinone</t>
  </si>
  <si>
    <t>#1400</t>
  </si>
  <si>
    <t>Francesca.rossi@soccirossi.it</t>
  </si>
  <si>
    <t>2026-06-26T11:39:35+02:00</t>
  </si>
  <si>
    <t>2026-06-26T11:39:38+02:00</t>
  </si>
  <si>
    <t>Francesca Rossi</t>
  </si>
  <si>
    <t>Via XXIV Maggio 31</t>
  </si>
  <si>
    <t>Studio Socci Rossi</t>
  </si>
  <si>
    <t>Robbio</t>
  </si>
  <si>
    <t>Viale Montegrappa 20</t>
  </si>
  <si>
    <t>Vigevano</t>
  </si>
  <si>
    <t>#1401</t>
  </si>
  <si>
    <t>dilettavannucchi@icloud.com</t>
  </si>
  <si>
    <t>2026-06-26T12:45:21+02:00</t>
  </si>
  <si>
    <t>2026-06-26T12:45:25+02:00</t>
  </si>
  <si>
    <t>Diletta Vannucchi</t>
  </si>
  <si>
    <t>Viale Spartaco Lavagnini 4</t>
  </si>
  <si>
    <t>Jude Ugochukwu Amadi</t>
  </si>
  <si>
    <t>Spartaco Lavagnini 4</t>
  </si>
  <si>
    <t>#1402</t>
  </si>
  <si>
    <t>ludovicascarpa97@gmail.com</t>
  </si>
  <si>
    <t>2026-06-26T15:38:34+02:00</t>
  </si>
  <si>
    <t>2026-06-26T15:38:35+02:00</t>
  </si>
  <si>
    <t>Ludovica Scarpa</t>
  </si>
  <si>
    <t>Via Ugo de Carolis 73</t>
  </si>
  <si>
    <t>Via Vittorio Salmini 4, Citofono 1015, scala a ainistra</t>
  </si>
  <si>
    <t>Via Vittorio Salmini 4</t>
  </si>
  <si>
    <t>Citofono 1015, scala a ainistra</t>
  </si>
  <si>
    <t>+393663603360</t>
  </si>
  <si>
    <t>#1403</t>
  </si>
  <si>
    <t>ferrefederica@gmail.com</t>
  </si>
  <si>
    <t>2026-06-26T16:10:57+02:00</t>
  </si>
  <si>
    <t>2026-06-26T16:11:03+02:00</t>
  </si>
  <si>
    <t>Federica Ferre</t>
  </si>
  <si>
    <t>Via Cola Di Rienzo,34</t>
  </si>
  <si>
    <t>Federica Ferrè</t>
  </si>
  <si>
    <t>+393923535130</t>
  </si>
  <si>
    <t>#1404</t>
  </si>
  <si>
    <t>beatriceponti@yahoo.it</t>
  </si>
  <si>
    <t>2026-06-26T16:28:43+02:00</t>
  </si>
  <si>
    <t>2026-06-26T16:28:47+02:00</t>
  </si>
  <si>
    <t>Beatrice Ponti</t>
  </si>
  <si>
    <t>via Cimabue 73</t>
  </si>
  <si>
    <t>Via Alessandro Manzoni 12, C/o veneziano materassi</t>
  </si>
  <si>
    <t>Via Alessandro Manzoni 12</t>
  </si>
  <si>
    <t>C/o veneziano materassi</t>
  </si>
  <si>
    <t>#1405</t>
  </si>
  <si>
    <t>lmondinifr@gmail.com</t>
  </si>
  <si>
    <t>2026-06-27T09:30:16+02:00</t>
  </si>
  <si>
    <t>2026-06-27T09:30:19+02:00</t>
  </si>
  <si>
    <t>Lucrezia Mondini</t>
  </si>
  <si>
    <t>Via Luigi Zacchetti, 10</t>
  </si>
  <si>
    <t>Via Luigi Zacchetti</t>
  </si>
  <si>
    <t>Quinzano d'Oglio</t>
  </si>
  <si>
    <t>Via Luigi Zacchetti, 10/12</t>
  </si>
  <si>
    <t>#1406</t>
  </si>
  <si>
    <t>flavia.calabria@live.it</t>
  </si>
  <si>
    <t>2026-06-27T11:14:25+02:00</t>
  </si>
  <si>
    <t>2026-06-27T11:14:26+02:00</t>
  </si>
  <si>
    <t>Flavia Calabria</t>
  </si>
  <si>
    <t>Via Stazio 118</t>
  </si>
  <si>
    <t>#1407</t>
  </si>
  <si>
    <t>ilaria.censi91@gmail.com</t>
  </si>
  <si>
    <t>2026-06-27T11:46:41+02:00</t>
  </si>
  <si>
    <t>2026-06-27T11:46:45+02:00</t>
  </si>
  <si>
    <t>Ilaria Censi</t>
  </si>
  <si>
    <t>Via Custoza 43</t>
  </si>
  <si>
    <t>Arzignano</t>
  </si>
  <si>
    <t>#1408</t>
  </si>
  <si>
    <t>allasia.vanessa@gmail.com</t>
  </si>
  <si>
    <t>2026-06-27T13:29:37+02:00</t>
  </si>
  <si>
    <t>2026-06-27T13:29:41+02:00</t>
  </si>
  <si>
    <t>Vanessa Allasia</t>
  </si>
  <si>
    <t>Fontanette 19</t>
  </si>
  <si>
    <t>Santo Stefano Belbo</t>
  </si>
  <si>
    <t>#1409</t>
  </si>
  <si>
    <t>rossellafrattini11@gmail.com</t>
  </si>
  <si>
    <t>2026-06-27T14:33:57+02:00</t>
  </si>
  <si>
    <t>2026-06-27T14:34:03+02:00</t>
  </si>
  <si>
    <t>Rossella Frattini</t>
  </si>
  <si>
    <t>Via Girolamo da Fano 34</t>
  </si>
  <si>
    <t>Fano</t>
  </si>
  <si>
    <t>#1410</t>
  </si>
  <si>
    <t>mariachiara.petitti@gmail.com</t>
  </si>
  <si>
    <t>2026-06-27T15:20:24+02:00</t>
  </si>
  <si>
    <t>2026-06-27T15:20:27+02:00</t>
  </si>
  <si>
    <t>Maria Chiara Petitti</t>
  </si>
  <si>
    <t>Corso Venezia 12, Oliver Peoples</t>
  </si>
  <si>
    <t>Corso Venezia 12</t>
  </si>
  <si>
    <t>Oliver Peoples</t>
  </si>
  <si>
    <t>#1411</t>
  </si>
  <si>
    <t>beatricefalcucci@yahoo.it</t>
  </si>
  <si>
    <t>2026-06-27T15:50:40+02:00</t>
  </si>
  <si>
    <t>2026-06-27T15:50:45+02:00</t>
  </si>
  <si>
    <t>Beatrice Falcucci</t>
  </si>
  <si>
    <t>PiazzaTasso 18</t>
  </si>
  <si>
    <t>Piazza di Cestello 5</t>
  </si>
  <si>
    <t>#1412</t>
  </si>
  <si>
    <t>anushkarlc@gmail.com</t>
  </si>
  <si>
    <t>2026-06-27T19:04:05+02:00</t>
  </si>
  <si>
    <t>2026-06-27T19:10:59+02:00</t>
  </si>
  <si>
    <t>2026-06-27T19:04:09+02:00</t>
  </si>
  <si>
    <t>Ana Relic</t>
  </si>
  <si>
    <t>Via San Simpliciano 5</t>
  </si>
  <si>
    <t>#1413</t>
  </si>
  <si>
    <t>laura.finazzi@icloud.com</t>
  </si>
  <si>
    <t>2026-06-27T21:15:41+02:00</t>
  </si>
  <si>
    <t>2026-06-27T21:15:46+02:00</t>
  </si>
  <si>
    <t>Laura Finazzi</t>
  </si>
  <si>
    <t>Via Ronco basso 11</t>
  </si>
  <si>
    <t>Villa d'Almè</t>
  </si>
  <si>
    <t>#1414</t>
  </si>
  <si>
    <t>emmanotaristefano29@gmail.com</t>
  </si>
  <si>
    <t>2026-06-27T23:30:51+02:00</t>
  </si>
  <si>
    <t>2026-06-27T23:30:55+02:00</t>
  </si>
  <si>
    <t>Emma Notaristefano</t>
  </si>
  <si>
    <t>Via delle Sette Chiese 13</t>
  </si>
  <si>
    <t>#1415</t>
  </si>
  <si>
    <t>dontvisitsardinia@gmail.com</t>
  </si>
  <si>
    <t>2026-06-27T23:42:17+02:00</t>
  </si>
  <si>
    <t>2026-06-27T23:42:18+02:00</t>
  </si>
  <si>
    <t>AGATA BAG ROSE BUTTER GREEN - Senza Catena</t>
  </si>
  <si>
    <t>AGATA-ROSE-BUTTER-GREEN-SC</t>
  </si>
  <si>
    <t>Alice Castelnovo</t>
  </si>
  <si>
    <t>Papa Giovanni XXIII,3</t>
  </si>
  <si>
    <t>Monte Marenzo</t>
  </si>
  <si>
    <t>#1416</t>
  </si>
  <si>
    <t>martaambrosini95@gmail.com</t>
  </si>
  <si>
    <t>2026-06-28T11:58:02+02:00</t>
  </si>
  <si>
    <t>2026-06-28T11:58:06+02:00</t>
  </si>
  <si>
    <t>Marta Ambrosini</t>
  </si>
  <si>
    <t>Via San Vigilio 64E</t>
  </si>
  <si>
    <t>Via Michele Buniva 11, Citofonare portiere per ritiro</t>
  </si>
  <si>
    <t>Via Michele Buniva 11</t>
  </si>
  <si>
    <t>Citofonare portiere per ritiro</t>
  </si>
  <si>
    <t>#1417</t>
  </si>
  <si>
    <t>elombardo13@outlook.it</t>
  </si>
  <si>
    <t>2026-06-28T12:24:57+02:00</t>
  </si>
  <si>
    <t>2026-06-28T12:25:14+02:00</t>
  </si>
  <si>
    <t>2026-06-28T12:24:59+02:00</t>
  </si>
  <si>
    <t>Emanuela Lombardo</t>
  </si>
  <si>
    <t>Viale Renato Serra, 7</t>
  </si>
  <si>
    <t>Viale Renato Serra</t>
  </si>
  <si>
    <t>#1418</t>
  </si>
  <si>
    <t>franci.pizzo11@gmail.com</t>
  </si>
  <si>
    <t>2026-06-28T12:57:32+02:00</t>
  </si>
  <si>
    <t>2026-06-28T12:57:36+02:00</t>
  </si>
  <si>
    <t>Francesca Pizzolitto</t>
  </si>
  <si>
    <t>Via strassoldo 25</t>
  </si>
  <si>
    <t>#1419</t>
  </si>
  <si>
    <t>bassiveronica2000@gmail.com</t>
  </si>
  <si>
    <t>2026-06-28T20:32:12+02:00</t>
  </si>
  <si>
    <t>2026-06-28T20:32:13+02:00</t>
  </si>
  <si>
    <t>Annalisa Jacono</t>
  </si>
  <si>
    <t>Via Mazzini 4</t>
  </si>
  <si>
    <t>C/O Intesasanpaolo</t>
  </si>
  <si>
    <t>Ostiano</t>
  </si>
  <si>
    <t>+393922381449</t>
  </si>
  <si>
    <t>#1420</t>
  </si>
  <si>
    <t>matildefortin@virgilio.it</t>
  </si>
  <si>
    <t>2026-06-28T20:50:08+02:00</t>
  </si>
  <si>
    <t>2026-06-28T20:50:09+02:00</t>
  </si>
  <si>
    <t>Matilde Fortin</t>
  </si>
  <si>
    <t>Via Paracelso 10</t>
  </si>
  <si>
    <t>shopify_payments, paypal</t>
  </si>
  <si>
    <t>#1421</t>
  </si>
  <si>
    <t>nina.mancinixx@gmail.com</t>
  </si>
  <si>
    <t>2026-06-28T22:21:22+02:00</t>
  </si>
  <si>
    <t>2026-06-28T22:21:26+02:00</t>
  </si>
  <si>
    <t>lorenzo tonini</t>
  </si>
  <si>
    <t>Via Eusebio Chini 22</t>
  </si>
  <si>
    <t>#1422</t>
  </si>
  <si>
    <t>martina.perroni03@icloud.com</t>
  </si>
  <si>
    <t>2026-06-28T22:32:07+02:00</t>
  </si>
  <si>
    <t>2026-06-28T22:32:11+02:00</t>
  </si>
  <si>
    <t>Martina Perroni</t>
  </si>
  <si>
    <t>Francesco Fanelli, 16</t>
  </si>
  <si>
    <t>Modigliana</t>
  </si>
  <si>
    <t>Via Francesco Fanelli 16</t>
  </si>
  <si>
    <t>#1423</t>
  </si>
  <si>
    <t>stefania.zornik@gmail.com</t>
  </si>
  <si>
    <t>2026-06-28T23:58:18+02:00</t>
  </si>
  <si>
    <t>2026-06-28T23:58:22+02:00</t>
  </si>
  <si>
    <t>Stefania Zornik</t>
  </si>
  <si>
    <t>Via Trento 74</t>
  </si>
  <si>
    <t>CBRE</t>
  </si>
  <si>
    <t>Brindisi</t>
  </si>
  <si>
    <t>BR</t>
  </si>
  <si>
    <t>Piazza Degli Affari 2, c/o CBRE S.p.A.</t>
  </si>
  <si>
    <t>Piazza Degli Affari 2</t>
  </si>
  <si>
    <t>c/o CBRE S.p.A.</t>
  </si>
  <si>
    <t>#1424</t>
  </si>
  <si>
    <t>matildebadino@gmail.com</t>
  </si>
  <si>
    <t>2026-06-29T11:16:21+02:00</t>
  </si>
  <si>
    <t>2026-06-29T11:16:25+02:00</t>
  </si>
  <si>
    <t>Matilde Badino</t>
  </si>
  <si>
    <t>Via Ciochino 11</t>
  </si>
  <si>
    <t>Pinerolo</t>
  </si>
  <si>
    <t>Vicolo Carceri 10, c/o STUDIO BADINO</t>
  </si>
  <si>
    <t>Vicolo Carceri 10</t>
  </si>
  <si>
    <t>c/o STUDIO BADINO</t>
  </si>
  <si>
    <t>#1425</t>
  </si>
  <si>
    <t>marta.cavazza28@gmail.com</t>
  </si>
  <si>
    <t>2026-06-29T11:47:53+02:00</t>
  </si>
  <si>
    <t>2026-06-29T11:47:54+02:00</t>
  </si>
  <si>
    <t>Marta Cavazza</t>
  </si>
  <si>
    <t>Via Mezzacosta 8/2</t>
  </si>
  <si>
    <t>Via Giuseppe Brini 35, C/O Cargo Compass</t>
  </si>
  <si>
    <t>Via Giuseppe Brini 35</t>
  </si>
  <si>
    <t>C/O Cargo Compass</t>
  </si>
  <si>
    <t>#1426</t>
  </si>
  <si>
    <t>martinaburatti1993@gmail.com</t>
  </si>
  <si>
    <t>2026-06-29T12:50:00+02:00</t>
  </si>
  <si>
    <t>2026-06-29T12:50:01+02:00</t>
  </si>
  <si>
    <t>Okenstraße 11</t>
  </si>
  <si>
    <t>Jena</t>
  </si>
  <si>
    <t>DE</t>
  </si>
  <si>
    <t>+49915739680323</t>
  </si>
  <si>
    <t>#1427</t>
  </si>
  <si>
    <t>tati.gariboldi@gmail.com</t>
  </si>
  <si>
    <t>2026-06-29T12:51:16+02:00</t>
  </si>
  <si>
    <t>2026-06-29T12:51:20+02:00</t>
  </si>
  <si>
    <t>Martina Gariboldi</t>
  </si>
  <si>
    <t>Via dei Ciclamini 6, citofono I600</t>
  </si>
  <si>
    <t>Via dei Ciclamini 6</t>
  </si>
  <si>
    <t>citofono I600</t>
  </si>
  <si>
    <t>+393281646259</t>
  </si>
  <si>
    <t>#1428</t>
  </si>
  <si>
    <t>mainetti.cristina93@gmail.com</t>
  </si>
  <si>
    <t>2026-06-29T17:22:10+02:00</t>
  </si>
  <si>
    <t>2026-06-29T17:22:14+02:00</t>
  </si>
  <si>
    <t>Cristina Mainetti</t>
  </si>
  <si>
    <t>Via Pomatti 7</t>
  </si>
  <si>
    <t>Mese</t>
  </si>
  <si>
    <t>#1429</t>
  </si>
  <si>
    <t>angelicafiorese@outlook.it</t>
  </si>
  <si>
    <t>2026-06-29T20:10:33+02:00</t>
  </si>
  <si>
    <t>2026-06-29T20:10:38+02:00</t>
  </si>
  <si>
    <t>Angelica Fiorese</t>
  </si>
  <si>
    <t>Via Cav Vittorio Veneto 66A</t>
  </si>
  <si>
    <t>Rosà</t>
  </si>
  <si>
    <t>Via cavalieri vittorio veneto 66 A, Fiorese mob</t>
  </si>
  <si>
    <t>Via cavalieri vittorio veneto 66 A</t>
  </si>
  <si>
    <t>Fiorese mob</t>
  </si>
  <si>
    <t>#1430</t>
  </si>
  <si>
    <t>franci.ceccherini@gmail.com</t>
  </si>
  <si>
    <t>2026-06-29T20:54:40+02:00</t>
  </si>
  <si>
    <t>Francesca Ceccherini</t>
  </si>
  <si>
    <t>Via Giorgio Washington 88</t>
  </si>
  <si>
    <t>+393334972752</t>
  </si>
  <si>
    <t>#1431</t>
  </si>
  <si>
    <t>elisagostini13@gmail.com</t>
  </si>
  <si>
    <t>2026-06-30T00:11:05+02:00</t>
  </si>
  <si>
    <t>2026-06-30T00:11:10+02:00</t>
  </si>
  <si>
    <t>Elisa Agostini</t>
  </si>
  <si>
    <t>via Pasolini 17A</t>
  </si>
  <si>
    <t>Montale</t>
  </si>
  <si>
    <t>Via Ganaceto 46</t>
  </si>
  <si>
    <t>#1432</t>
  </si>
  <si>
    <t>gentili.vittoria@gmail.com</t>
  </si>
  <si>
    <t>2026-06-30T13:22:31+02:00</t>
  </si>
  <si>
    <t>2026-06-30T13:22:35+02:00</t>
  </si>
  <si>
    <t>Vittoria Gentili</t>
  </si>
  <si>
    <t>Manzoni</t>
  </si>
  <si>
    <t>Garbagnate</t>
  </si>
  <si>
    <t>Via Alessandro Manzoni 52, Citofono Gentili Comari</t>
  </si>
  <si>
    <t>Via Alessandro Manzoni 52</t>
  </si>
  <si>
    <t>Citofono Gentili Comari</t>
  </si>
  <si>
    <t>Garbagnate Milanese</t>
  </si>
  <si>
    <t>#1433</t>
  </si>
  <si>
    <t>rossinoludovica07@gmail.com</t>
  </si>
  <si>
    <t>2026-06-30T21:50:14+02:00</t>
  </si>
  <si>
    <t>2026-06-30T21:50:15+02:00</t>
  </si>
  <si>
    <t>Nina_Bag_MINT</t>
  </si>
  <si>
    <t>Ludovica Rossino</t>
  </si>
  <si>
    <t>Piazza Cavour 7</t>
  </si>
  <si>
    <t>Valdagno</t>
  </si>
  <si>
    <t>#1434</t>
  </si>
  <si>
    <t>sofia.magi@hotmail.it</t>
  </si>
  <si>
    <t>2026-07-01T15:48:41+02:00</t>
  </si>
  <si>
    <t>2026-07-01T15:48:45+02:00</t>
  </si>
  <si>
    <t>Sofia Magi</t>
  </si>
  <si>
    <t>Via Luigi Vanvitelli 50</t>
  </si>
  <si>
    <t>+393665071668</t>
  </si>
  <si>
    <t>#1435</t>
  </si>
  <si>
    <t>umbertochiappi1994@hotmail.it</t>
  </si>
  <si>
    <t>2026-07-01T16:25:56+02:00</t>
  </si>
  <si>
    <t>2026-07-01T16:26:00+02:00</t>
  </si>
  <si>
    <t>AGATA-TIEDYE-PINK-SC</t>
  </si>
  <si>
    <t>umberto chiappi</t>
  </si>
  <si>
    <t>Via Gerolamo Cardano 5, scala B, piano 4, interno 11</t>
  </si>
  <si>
    <t>Via Gerolamo Cardano 5</t>
  </si>
  <si>
    <t>scala B, piano 4, interno 11</t>
  </si>
  <si>
    <t>#1436</t>
  </si>
  <si>
    <t>Camilla.sabatini1@gmail.com</t>
  </si>
  <si>
    <t>2026-07-02T10:00:06+02:00</t>
  </si>
  <si>
    <t>2026-07-02T10:00:07+02:00</t>
  </si>
  <si>
    <t>Camilla Sabatini</t>
  </si>
  <si>
    <t>Via Gherardo Silvani 90</t>
  </si>
  <si>
    <t>#1437</t>
  </si>
  <si>
    <t>mrtnambrosini@gmail.com</t>
  </si>
  <si>
    <t>2026-07-02T11:41:06+02:00</t>
  </si>
  <si>
    <t>2026-07-02T11:41:10+02:00</t>
  </si>
  <si>
    <t>Martina Ambrosini</t>
  </si>
  <si>
    <t>Via Ercole Ferrario 5</t>
  </si>
  <si>
    <t>Via Giuseppe Frua 21/10</t>
  </si>
  <si>
    <t>#1438</t>
  </si>
  <si>
    <t>aurora.marotta@hotmail.com</t>
  </si>
  <si>
    <t>2026-07-02T22:07:05+02:00</t>
  </si>
  <si>
    <t>2026-07-02T22:07:09+02:00</t>
  </si>
  <si>
    <t>Aurora Marotta</t>
  </si>
  <si>
    <t>Via Renata di Francia 34</t>
  </si>
  <si>
    <t>Ferrara</t>
  </si>
  <si>
    <t>FE</t>
  </si>
  <si>
    <t>Beatrice Pirisi</t>
  </si>
  <si>
    <t>Via San Vitale 23, Citofono Pirisi</t>
  </si>
  <si>
    <t>Via San Vitale 23</t>
  </si>
  <si>
    <t>Citofono Pirisi</t>
  </si>
  <si>
    <t>Siziano</t>
  </si>
  <si>
    <t>SHOPIFY NAME</t>
  </si>
  <si>
    <t>ITEM MOD</t>
  </si>
  <si>
    <t>Valentina_Bag</t>
  </si>
  <si>
    <t>VALENTINA BAG PINK</t>
  </si>
  <si>
    <t>VALENTINA BAG GREEN</t>
  </si>
  <si>
    <t>Valentina_Bag_GREEN</t>
  </si>
  <si>
    <t>T-SHIRT "AMAMI" - 2</t>
  </si>
  <si>
    <t>Tshirt_AMAMI</t>
  </si>
  <si>
    <t>Tshirt</t>
  </si>
  <si>
    <t>AMAMI</t>
  </si>
  <si>
    <t>T-SHIRT "AMAMI" - 1</t>
  </si>
  <si>
    <t>T-SHIRT "AMAMI COME" - 2</t>
  </si>
  <si>
    <t>Tshirt_AMAMI_COME</t>
  </si>
  <si>
    <t>AMAMI COME</t>
  </si>
  <si>
    <t>T-SHIRT "AMAMI COME" - 1</t>
  </si>
  <si>
    <t>MIDI CASE PONY ZEBRA - Senza moschettone aggiuntivo</t>
  </si>
  <si>
    <t>Airpods_Case_Senza_Moschettone_PONY_ZEBRA</t>
  </si>
  <si>
    <t>Airpods Case Senza Moschettone</t>
  </si>
  <si>
    <t>PONY ZEBRA</t>
  </si>
  <si>
    <t>MIDI CASE PONY LEOPARD DARK - Senza moschettone aggiuntivo</t>
  </si>
  <si>
    <t>Airpods_Case_Senza_Moschettone_LEOPARD_DARK</t>
  </si>
  <si>
    <t>LEOPARD DARK</t>
  </si>
  <si>
    <t>LOLA BAG TURCHESE VELVET</t>
  </si>
  <si>
    <t>Lola_Bag_TURCHESE_VELVET</t>
  </si>
  <si>
    <t>TURCHESE VELVET</t>
  </si>
  <si>
    <t>LOLA BAG RED VELVET</t>
  </si>
  <si>
    <t>Lola_Bag_RED_VELVET</t>
  </si>
  <si>
    <t>RED VELVET</t>
  </si>
  <si>
    <t>LOLA BAG PURPLE VELVET</t>
  </si>
  <si>
    <t>LOLA_BAG_PURPLE_VELVET</t>
  </si>
  <si>
    <t>LOLA BAG</t>
  </si>
  <si>
    <t>PURPLE VELVET</t>
  </si>
  <si>
    <t>LOLA BAG GREY CORDUROY</t>
  </si>
  <si>
    <t>Lola_Bag_GREY_CORDUROY</t>
  </si>
  <si>
    <t>GREY CORDUROY</t>
  </si>
  <si>
    <t>LOLA BAG CYPRESS PINK VELVET</t>
  </si>
  <si>
    <t>Lola_Bag_CYPRESS_PINK</t>
  </si>
  <si>
    <t>CYPRESS PINK</t>
  </si>
  <si>
    <t>LOLA BAG BLUETTE VELVET</t>
  </si>
  <si>
    <t>Lola_Bag_BLUETTE_VELVET</t>
  </si>
  <si>
    <t>BLUETTE VELVET</t>
  </si>
  <si>
    <t>LEA BAG ZEBRA MARRON</t>
  </si>
  <si>
    <t>Lea_Bag_ZEBRA_MARRON</t>
  </si>
  <si>
    <t>ZEBRA MARRON</t>
  </si>
  <si>
    <t>LEA BAG VERNICE VIOLA MALVA</t>
  </si>
  <si>
    <t>LEA BAG PINK BARBIE</t>
  </si>
  <si>
    <t>Lea_Bag_PINK_BARBIE</t>
  </si>
  <si>
    <t>PINK BARBIE</t>
  </si>
  <si>
    <t>LEA BAG ORANGE</t>
  </si>
  <si>
    <t>Lea_Bag_ORANGE</t>
  </si>
  <si>
    <t>ORANGE</t>
  </si>
  <si>
    <t>LEA BAG BLACK WHITE PONY</t>
  </si>
  <si>
    <t>LEA BAG LEOPARDO SAVANA</t>
  </si>
  <si>
    <t>LEA BAG LEOPARDO BEIGE</t>
  </si>
  <si>
    <t>Lea_Bag_LEOPARDO_BEIGE</t>
  </si>
  <si>
    <t>LEOPARDO BEIGE</t>
  </si>
  <si>
    <t>LEA BAG LEOPARDO</t>
  </si>
  <si>
    <t>Lea_Bag_LEOPARDO</t>
  </si>
  <si>
    <t>LEA BAG GREY</t>
  </si>
  <si>
    <t>Lea_Bag_GREY</t>
  </si>
  <si>
    <t>GREY</t>
  </si>
  <si>
    <t>LEA BAG GREEN</t>
  </si>
  <si>
    <t>LEA BAG DARK BLUE</t>
  </si>
  <si>
    <t>Lea_Bag_DARK_BLUE</t>
  </si>
  <si>
    <t>DARK BLUE</t>
  </si>
  <si>
    <t>Lea Bag Cocco Nera</t>
  </si>
  <si>
    <t>Lea_Bag_Cocco_Nera</t>
  </si>
  <si>
    <t>Cocco Nera</t>
  </si>
  <si>
    <t>LEA BAG BLACK</t>
  </si>
  <si>
    <t>KEYCHAIN STUD PONY LEOPARD DARK - Con moschettone aggiuntivo 22 mm</t>
  </si>
  <si>
    <t>Keychain_LEOPARD_DARK</t>
  </si>
  <si>
    <t>Keychain</t>
  </si>
  <si>
    <t>KEYCHAIN STUD PONY LEOPARD - Con moschettone aggiuntivo 22 mm</t>
  </si>
  <si>
    <t>Keychain_PONY_LEOPARD</t>
  </si>
  <si>
    <t>PONY LEOPARD</t>
  </si>
  <si>
    <t>KEYCHAIN STUD PONY BLACK - Con moschettone aggiuntivo 22 mm</t>
  </si>
  <si>
    <t>Keychain_PONY_BLACK</t>
  </si>
  <si>
    <t>PONY BLACK</t>
  </si>
  <si>
    <t>KEYCHAIN STUD FLAT PONY LEOPARD - Senza moschettone aggiuntivo</t>
  </si>
  <si>
    <t>Keychain_FLAT_PONY</t>
  </si>
  <si>
    <t>FLAT PONY</t>
  </si>
  <si>
    <t>KEYCHAIN STUD FLAT PATENT LEATHER PURPLE - Con moschettone aggiuntivo 22mm</t>
  </si>
  <si>
    <t>Keychain_</t>
  </si>
  <si>
    <t>CLESSIDRA BAG NUDE</t>
  </si>
  <si>
    <t>Clessidra_Bag_NUDE</t>
  </si>
  <si>
    <t>Clessidra Bag</t>
  </si>
  <si>
    <t>NUDE</t>
  </si>
  <si>
    <t>CLESSIDRA BAG BLACK</t>
  </si>
  <si>
    <t>Clessidra_Bag_BLACK</t>
  </si>
  <si>
    <t>Catena Ottone 110 cm</t>
  </si>
  <si>
    <t>Catena_Ottone_</t>
  </si>
  <si>
    <t>Catena Ottone</t>
  </si>
  <si>
    <t>Catena Dâ€™Oro</t>
  </si>
  <si>
    <t>Catena_Oro_</t>
  </si>
  <si>
    <t>Catena Oro</t>
  </si>
  <si>
    <t>BON.VI x AmÃ¬ Milano - SILVER</t>
  </si>
  <si>
    <t>Charm_Bon.VI_x_AMI_SILVER</t>
  </si>
  <si>
    <t>Charm Bon.VI x AMI</t>
  </si>
  <si>
    <t>SILVER</t>
  </si>
  <si>
    <t>BON.VI x AmÃ¬ Milano - CHOCOLATE</t>
  </si>
  <si>
    <t>Charm_Bon.VI_x_AMI_CHOCOLATE</t>
  </si>
  <si>
    <t>ANNIE BAG PERLINE ROSA</t>
  </si>
  <si>
    <t>Annie_Bag_Paillettes_ROSA</t>
  </si>
  <si>
    <t>ANNIE BAG PAILLETTES VERDE</t>
  </si>
  <si>
    <t>PVERDE</t>
  </si>
  <si>
    <t>ANNIE BAG PAILLETTES TURCHESE</t>
  </si>
  <si>
    <t>TURCHESE</t>
  </si>
  <si>
    <t>ANNIE BAG PAILLETTES ORANGE - Senza Catena</t>
  </si>
  <si>
    <t>Annie_Bag_Paillettes_ORANGE</t>
  </si>
  <si>
    <t>ANNIE BAG PAILLETTES ORANGE - Catena in ottone 60 cm</t>
  </si>
  <si>
    <t>ANNIE BAG PAILLETTES ORANGE</t>
  </si>
  <si>
    <t>ANNIE BAG PAILLETTES LIGHT GREEN - Catena in ottone 60 cm</t>
  </si>
  <si>
    <t>ANNIE BAG PAILLETTES GRIGIO</t>
  </si>
  <si>
    <t>ANNIE BAG PAILLETTES DARK BROWN - Senza catena</t>
  </si>
  <si>
    <t>Annie_Bag_paillettes_DARK_BROWN</t>
  </si>
  <si>
    <t>DARK BROWN</t>
  </si>
  <si>
    <t>ANNIE BAG PAILLETTES DARK BROWN - Catena in ottone 60 cm</t>
  </si>
  <si>
    <t>ANNIE BAG PAILLETTES DARK BROWN</t>
  </si>
  <si>
    <t>ANNIE BAG PAILLETTES BROWN</t>
  </si>
  <si>
    <t>Annie_Bag_paillettes_BROWN</t>
  </si>
  <si>
    <t>AIRPODS CASE PONY ZEBRA - Senza moschettone aggiuntivo</t>
  </si>
  <si>
    <t>AIRPODS CASE PONY ZEBRA - Con moschettone aggiuntivo 22 mm</t>
  </si>
  <si>
    <t>Airpods_Case_Con_Moschettone_PONY_ZEBRA</t>
  </si>
  <si>
    <t>Airpods Case Con Moschettone</t>
  </si>
  <si>
    <t>AIRPODS CASE PONY LEOPARD DARK - Senza moschettone aggiuntivo</t>
  </si>
  <si>
    <t>Airpods_Case_Senza_Moschettone_PONY_LEOPARD</t>
  </si>
  <si>
    <t>AIRPODS CASE PONY LEOPARD - Senza moschettone aggiuntivo</t>
  </si>
  <si>
    <t>AIRPODS CASE PONY LEOPARD - Con moschettone aggiuntivo 22 mm</t>
  </si>
  <si>
    <t>Airpods_Case_Con_Moschettone_PONY_LEOPARD</t>
  </si>
  <si>
    <t>AIRPODS CASE PONY BLACK - Senza moschettone aggiuntivo</t>
  </si>
  <si>
    <t>Airpods_Case_Senza_Moschettone_PONY_BLACK</t>
  </si>
  <si>
    <t>AIRPODS CASE PONY BLACK - Con moschettone aggiuntivo 22 mm</t>
  </si>
  <si>
    <t>Airpods_Case_Con_Moschettone_PONY_BLACK</t>
  </si>
  <si>
    <t>ANNIE BAG PAILLETTES LIGHT GREEN - Senza catena</t>
  </si>
  <si>
    <t>AGATA BAG TIE DYE BLUE</t>
  </si>
  <si>
    <t>Agata_Bag_TIE_DYE_BLUE</t>
  </si>
  <si>
    <t>TIE DYE BLUE</t>
  </si>
  <si>
    <t>ANNIE BAG PAILLETTES LIGHT BLUE - Senza catena</t>
  </si>
  <si>
    <t>ANNIE BAG DEEP PURPLE - Catena in ottone 60 cm</t>
  </si>
  <si>
    <t>DEEP PURPLE</t>
  </si>
  <si>
    <t>ANNIE BAG PAILLETTES BROWN - Catena in ottone 60 cm</t>
  </si>
  <si>
    <t>LOLA BAG CIPRIA VELVET</t>
  </si>
  <si>
    <t>CIPRIA VELVET</t>
  </si>
  <si>
    <t>LOLA BAG BLUE VELVET</t>
  </si>
  <si>
    <t>Lola_Bag_BLUE_VELVET</t>
  </si>
  <si>
    <t>BLUE VELVET</t>
  </si>
  <si>
    <t>ANNIE BAG TURQUOISE SILK - Catena in ottone 60 cm</t>
  </si>
  <si>
    <t>TURQOISE</t>
  </si>
  <si>
    <t>AGATA BAG TIE DYE RED</t>
  </si>
  <si>
    <t>TIE DYE RED</t>
  </si>
  <si>
    <t>ANNIE BAG PAILLETTES BROWN - Senza catena</t>
  </si>
  <si>
    <t>ANNIE BAG PINK SILK - Catena in ottone 60 cm</t>
  </si>
  <si>
    <t>AGATA BAG TIE DYE BLUE - Catena in 110 cm</t>
  </si>
  <si>
    <t>AGATA BAG TIE DYE RED - Catena in 110 cm</t>
  </si>
  <si>
    <t>ANNIE BAG PAILLETTES LIGHT BLUE - Catena in ottone 60 cm</t>
  </si>
  <si>
    <t>ANNIE BAG PINK SILK - Senza Catena</t>
  </si>
  <si>
    <t>AGATA BAG TIE DYE PINK - Catena in 110 cm</t>
  </si>
  <si>
    <t>catena oro</t>
  </si>
  <si>
    <t>BON.VI x AmÃ¬ Milano - RED</t>
  </si>
  <si>
    <t>Charm_Bon.VI_x_AMI_RED</t>
  </si>
  <si>
    <t>ANNIE BAG PAILLETTES PINK - Catena in ottone 60 cm</t>
  </si>
  <si>
    <t>KEYCHAIN STUD PATENT LEATHER PURPLE - Senza moschettone aggiuntivo</t>
  </si>
  <si>
    <t>Keychain_PURPLE</t>
  </si>
  <si>
    <t>KEYCHAIN STUD FLAT PATENT LEATHER PURPLE - Senza moschettone aggiuntivo</t>
  </si>
  <si>
    <t>ANNIE BAG LILAC - Senza Catena</t>
  </si>
  <si>
    <t>LILAC</t>
  </si>
  <si>
    <t>LEA BAG ROSE</t>
  </si>
  <si>
    <t>NINA BAG STRIPES SAILOR RED</t>
  </si>
  <si>
    <t>Nina_Bag_SAILOR_RED</t>
  </si>
  <si>
    <t>SAILOR RED</t>
  </si>
  <si>
    <t>PISTACCHIO</t>
  </si>
  <si>
    <t>MINT</t>
  </si>
  <si>
    <t>AGATA BAG TIE DYE BLUE - Senza Catena</t>
  </si>
  <si>
    <t>LEA BAG BLUETTE</t>
  </si>
  <si>
    <t>BLUETTE</t>
  </si>
  <si>
    <t>ANNIE BAG EMERALD GREEN - Senza Catena</t>
  </si>
  <si>
    <t>Annie_Bag_EMERALD_GREEN</t>
  </si>
  <si>
    <t>EMERALD GREEN</t>
  </si>
  <si>
    <t>AGATA BAG TIE DYE RED - Senza Catena</t>
  </si>
  <si>
    <t>NINA BAG STRIPES PETROL BLUE</t>
  </si>
  <si>
    <t>PETROL BLU</t>
  </si>
  <si>
    <t>ANNIE BAG TURQUOISE SILK - Senza Catena</t>
  </si>
  <si>
    <t>TURQUOISE SILK</t>
  </si>
  <si>
    <t>ANNIE BAG PAILLETTES PURPLE - Catena in ottone 60 cm</t>
  </si>
  <si>
    <t>AGATA BAG TIE DYE ORANGE - Catena in 110 cm</t>
  </si>
  <si>
    <t>ANNIE BAG DEEP PURPLE - Senza Catena</t>
  </si>
  <si>
    <t>LOLA BAG FUCSIA VELVET - Inside Yellow</t>
  </si>
  <si>
    <t>Lola_Bag_FUCSIA_VELVET</t>
  </si>
  <si>
    <t>FUCSIA VELVET</t>
  </si>
  <si>
    <t>STRAWBERRY</t>
  </si>
  <si>
    <t>LOLA BAG VERDE ACQUA VELVET</t>
  </si>
  <si>
    <t>Lola_Bag_VERDE_ACQUA</t>
  </si>
  <si>
    <t>ANNIE BAG EMERALD GREEN - Catena in ottone 60 cm</t>
  </si>
  <si>
    <t>CECILIA BAG PANNA &amp; ROSA</t>
  </si>
  <si>
    <t>Cecilia_Bag_PANNA_&amp;_ROSA</t>
  </si>
  <si>
    <t>Cecilia Bag</t>
  </si>
  <si>
    <t>PANNA &amp; ROSA</t>
  </si>
  <si>
    <t>LOLA BAG FUCSIA VELVET - Inside Orange</t>
  </si>
  <si>
    <t>Lola_Bag_FUSCIA_VELVET</t>
  </si>
  <si>
    <t>FUSCIA VELVET</t>
  </si>
  <si>
    <t>ANNIE BAG BROWN SILK - Catena in ottone 60 cm</t>
  </si>
  <si>
    <t>VALENTINA BAG LEOPARDO</t>
  </si>
  <si>
    <t>Annie_Bag_</t>
  </si>
  <si>
    <t>KEYCHAIN STUD FLAT PONY PINK BARBIE - Con moschettone aggiuntivo 22mm</t>
  </si>
  <si>
    <t>Keychain_PONY_PINK_BARBIE</t>
  </si>
  <si>
    <t>PONY PINK BARBIE</t>
  </si>
  <si>
    <t>AMÃ¬ GIFT CARD - 50,00 â‚¬</t>
  </si>
  <si>
    <t>Gift_Card_</t>
  </si>
  <si>
    <t>Gift Card</t>
  </si>
  <si>
    <t>KEYCHAIN STUD PONY BLACK - Senza moschettone aggiuntivo</t>
  </si>
  <si>
    <t>Lea Bag Zebrata</t>
  </si>
  <si>
    <t>Lea_Bag_ZEBRATA</t>
  </si>
  <si>
    <t>ZEBRATA</t>
  </si>
  <si>
    <t>ANNIE BAG PAILLETTES GREEN - Senza catena</t>
  </si>
  <si>
    <t>Annie_Bag_PAILLETTES_GREEN</t>
  </si>
  <si>
    <t>PAILLETTES GREEN</t>
  </si>
  <si>
    <t>AMÃ¬ GIFT CARD - 170,00 â‚¬</t>
  </si>
  <si>
    <t>SVEVA BAG GREEN</t>
  </si>
  <si>
    <t>Sveva_Bag_GREEN</t>
  </si>
  <si>
    <t>SVEVA BAG LIGHT CHOCOLATE</t>
  </si>
  <si>
    <t>SVEVA BAG BROWN</t>
  </si>
  <si>
    <t>Sveva_Bag_BROWN</t>
  </si>
  <si>
    <t>SVEVA BAG ORANGE</t>
  </si>
  <si>
    <t>Sveva_Bag_ORANGE</t>
  </si>
  <si>
    <t>AMÃ¬ GIFT CARD - 110,00 â‚¬</t>
  </si>
  <si>
    <t>MIDI CASE PONY LEOPARD DARK - Con moschettone aggiuntivo 22 mm</t>
  </si>
  <si>
    <t>Airpods_Case_Con_Moschettone_Pony_Leopard_Dark</t>
  </si>
  <si>
    <t>Pony Leopard Dark</t>
  </si>
  <si>
    <t>LEA BAG VERNICE BLU</t>
  </si>
  <si>
    <t>AIRPODCASE ZEBRATO PANNA</t>
  </si>
  <si>
    <t>Airpods_Case_Senza_Moschettone_Zebrato_Panna</t>
  </si>
  <si>
    <t>Zebrato Panna</t>
  </si>
  <si>
    <t>KEYCHAIN STUD FLAT PONY LEOPARD DARK - Con moschettone aggiuntivo 22mm</t>
  </si>
  <si>
    <t>Keychain_Pony_Leopard_Dark</t>
  </si>
  <si>
    <t>LEA BAG SUEDE RED</t>
  </si>
  <si>
    <t>Lea_Bag_Suede_Red</t>
  </si>
  <si>
    <t>Suede Red</t>
  </si>
  <si>
    <t>LEA BAG SUEDE BURGUNDY</t>
  </si>
  <si>
    <t>Lea_Bag_Suede_Burgundy</t>
  </si>
  <si>
    <t>Suede Burgundy</t>
  </si>
  <si>
    <t>LEA BAG SUEDE PINK</t>
  </si>
  <si>
    <t>Lea_Bag_Suede_Pink</t>
  </si>
  <si>
    <t>Suede Pink</t>
  </si>
  <si>
    <t>LEA BAG SUEDE LIGHT GREY</t>
  </si>
  <si>
    <t>ANNIE BAG PAILLETTES GREEN - Catena in ottone 60 cm</t>
  </si>
  <si>
    <t>Green</t>
  </si>
  <si>
    <t>ANNIE BAG PAILLETTES BORDEAUX - Senza catena</t>
  </si>
  <si>
    <t>brown</t>
  </si>
  <si>
    <t>2 Bustine Large</t>
  </si>
  <si>
    <t>Busitne_</t>
  </si>
  <si>
    <t>Busitne</t>
  </si>
  <si>
    <t>AIRPODS CASE MUCCATO BLACK - With extra 22 mm snap hook</t>
  </si>
  <si>
    <t>Airpods_Case_Con_Moschettone_Bordeaux</t>
  </si>
  <si>
    <t>AIRPODS CASE PONY LEOPARD DARK - Con moschettone aggiuntivo 22 mm</t>
  </si>
  <si>
    <t>Airpods_Case_Con_Moschettone_Leopard_Dark</t>
  </si>
  <si>
    <t>Leopard Dark</t>
  </si>
  <si>
    <t>Annie Bag in Perline</t>
  </si>
  <si>
    <t>Annie_Bag_paillettes_</t>
  </si>
  <si>
    <t>ANNIE BAG LIGHT BLUE - Senza catena</t>
  </si>
  <si>
    <t>Annie_Bag_Light_Blue</t>
  </si>
  <si>
    <t>Light Blue</t>
  </si>
  <si>
    <t>ANNIE BAG PAILLETTES BORDEAUX - Catena in ottone 60 cm</t>
  </si>
  <si>
    <t>ANNIE BAG PAILLETTES GREEN</t>
  </si>
  <si>
    <t>ANNIE BAG PAILLETTES VERDE - Catena in ottone 60 cm</t>
  </si>
  <si>
    <t>ANNIE BAG TIFFANY - Catena in ottone 60 cm</t>
  </si>
  <si>
    <t>Tiffany</t>
  </si>
  <si>
    <t>ANNIE BAG TURQUOISE - Catena in ottone classica</t>
  </si>
  <si>
    <t>Annie_Bag_Turquoise</t>
  </si>
  <si>
    <t>Turquoise</t>
  </si>
  <si>
    <t>Annie Bag Velluto Giallo Canarino</t>
  </si>
  <si>
    <t>Annie_Bag_Giallo_Canarino</t>
  </si>
  <si>
    <t>Giallo Canarino</t>
  </si>
  <si>
    <t>CECILIA BAG PANNA &amp; VERDE</t>
  </si>
  <si>
    <t>Cecilia_Bag_Panna_e_Verde</t>
  </si>
  <si>
    <t>Panna e Verde</t>
  </si>
  <si>
    <t>Isabella Red and Pink Hooded Scarf</t>
  </si>
  <si>
    <t>Isabella_Scarf_Red_and_Pink</t>
  </si>
  <si>
    <t>Red and Pink</t>
  </si>
  <si>
    <t>blue electric</t>
  </si>
  <si>
    <t>LEA BAG BORDEAUX</t>
  </si>
  <si>
    <t>Lea Bag Cocco Marron</t>
  </si>
  <si>
    <t>Lea_Bag_Cocco_Marron</t>
  </si>
  <si>
    <t>Cocco Marron</t>
  </si>
  <si>
    <t>Lea Bag Leonardo Scuro</t>
  </si>
  <si>
    <t>Leopardo Scuro</t>
  </si>
  <si>
    <t>Lea Bag Leopardo Chiaro</t>
  </si>
  <si>
    <t>Lea_Bag_Leopardo_Chiaro</t>
  </si>
  <si>
    <t>Leopardo Chiaro</t>
  </si>
  <si>
    <t>LEA BAG VERNICE NERA</t>
  </si>
  <si>
    <t>Lea_Bag_Vernice_Nera</t>
  </si>
  <si>
    <t>Vernice Nera</t>
  </si>
  <si>
    <t>Lea Bag Vernice Rosso</t>
  </si>
  <si>
    <t>Lea_Bag_Vernice_Rosso</t>
  </si>
  <si>
    <t>Vernice Rosso</t>
  </si>
  <si>
    <t>Lea Bag Vernice Rosso Scuro</t>
  </si>
  <si>
    <t>Lea_Bag_Vernice_Rosso_Scuro</t>
  </si>
  <si>
    <t>Vernice Rosso Scuro</t>
  </si>
  <si>
    <t>LEA BAG WHITE</t>
  </si>
  <si>
    <t>Lea_Bag_White</t>
  </si>
  <si>
    <t>White</t>
  </si>
  <si>
    <t>Lea Bag Zebra Marron/Beige</t>
  </si>
  <si>
    <t>Lea_Bag_Marron/Beige</t>
  </si>
  <si>
    <t>Marron/Beige</t>
  </si>
  <si>
    <t>Lea Bag Zebrata Beige/Marron</t>
  </si>
  <si>
    <t>Lea Bag Zebrata Marron/Beige</t>
  </si>
  <si>
    <t>Lola_Bag_Marron/Beige</t>
  </si>
  <si>
    <t>LOLA BAG BLUE CORDUROY</t>
  </si>
  <si>
    <t>Lola_Bag_Blue_Corduroy</t>
  </si>
  <si>
    <t>Blue Corduroy</t>
  </si>
  <si>
    <t>LOLA BAG VELVET DARK GREEN</t>
  </si>
  <si>
    <t>Lola_Bag_Dark_Green</t>
  </si>
  <si>
    <t>Dark Green</t>
  </si>
  <si>
    <t>MIDI CASE PONY ZEBRA - Con moschettone aggiuntivo 22 mm</t>
  </si>
  <si>
    <t>Airpods_Case_Con_Moschettone_Zebra</t>
  </si>
  <si>
    <t>Prodotto di prova</t>
  </si>
  <si>
    <t>Prova_</t>
  </si>
  <si>
    <t>Prova</t>
  </si>
  <si>
    <t>SVEVA BAG BLACK</t>
  </si>
  <si>
    <t>SVEVA BAG DARK VIOLET</t>
  </si>
  <si>
    <t>Sveva_Bag_Dark_Violet</t>
  </si>
  <si>
    <t>Dark Violet</t>
  </si>
  <si>
    <t>VALENTINA BAG GREY</t>
  </si>
  <si>
    <t>Valentina_Bag_Grey</t>
  </si>
  <si>
    <t>Grey</t>
  </si>
  <si>
    <t>LOLA BAG VELVET OCRA</t>
  </si>
  <si>
    <t>Lola_Bag_Velvet_OCRA</t>
  </si>
  <si>
    <t>Velvet OCRA</t>
  </si>
  <si>
    <t>AGATA BAG BLACK - Senza Catena</t>
  </si>
  <si>
    <t>Agata_Bag_Black</t>
  </si>
  <si>
    <t>Isabella Blue and Cream Hooded Scarf</t>
  </si>
  <si>
    <t>Isabella_Scarf_Blue_and_Cream</t>
  </si>
  <si>
    <t>Blue and Cream</t>
  </si>
  <si>
    <t>ANNIE BAG BLACK - Senza Catena</t>
  </si>
  <si>
    <t>Isabella Burgundy and Light Blue Hooded Scarf</t>
  </si>
  <si>
    <t>Isabella_Scarf_Burgundy_and_Light_Blue</t>
  </si>
  <si>
    <t>Burgundy and Light Blue</t>
  </si>
  <si>
    <t>Isabella Burgundy and Light Blue Arm Warmer</t>
  </si>
  <si>
    <t>Isabella_Hand_Warmer_Burgundy_and_Light_Blue</t>
  </si>
  <si>
    <t>Isabella Hand Warmer</t>
  </si>
  <si>
    <t>AGATA BAG FLORAL ORANGE EMBROIDERY - Catena in 110 cm</t>
  </si>
  <si>
    <t>Agata_Bag_Floral_orange_embroidery</t>
  </si>
  <si>
    <t>ANNIE BAG BLACK - Catena in ottone 60 cm</t>
  </si>
  <si>
    <t>KEYCHAIN STUD FLAT PONY BLACK - Senza moschettone aggiuntivo</t>
  </si>
  <si>
    <t>Keychain_senza_moschettone_Pony_Black</t>
  </si>
  <si>
    <t>Keychain senza moschettone</t>
  </si>
  <si>
    <t>Pony Black</t>
  </si>
  <si>
    <t>KEYCHAIN STUD FLAT PONY LEOPARD DARK - Senza moschettone aggiuntivo</t>
  </si>
  <si>
    <t>Keychain_senza_moschettone_Pony_leopard_dark</t>
  </si>
  <si>
    <t>Pony leopard dark</t>
  </si>
  <si>
    <t>AGATA BAG FLORAL ORANGE EMBROIDERY - Senza Catena</t>
  </si>
  <si>
    <t>floral orange embroidery</t>
  </si>
  <si>
    <t>AIRPODS CASE MUCCATO BLACK - Without extra snap hook</t>
  </si>
  <si>
    <t>Airpods_Case_con_moschettone_Muccato_Black</t>
  </si>
  <si>
    <t>Airpods Case con moschettone</t>
  </si>
  <si>
    <t>Muccato Black</t>
  </si>
  <si>
    <t>VERNICE ROSSA</t>
  </si>
  <si>
    <t>LEOPARDO SCURO</t>
  </si>
  <si>
    <t>ANNIE BAG PAILLETTES VERDE - Senza catena</t>
  </si>
  <si>
    <t>ANNIE BAG PAILLETTES TURCHESE - Senza catena</t>
  </si>
  <si>
    <t>ANNIE BAG PAILLETTES GRIGIO - Senza catena</t>
  </si>
  <si>
    <t>LEA BAG ROSE - pink</t>
  </si>
  <si>
    <t>LEA BAG JUNGLE PONY</t>
  </si>
  <si>
    <t>BLACK COCCO</t>
  </si>
  <si>
    <t>MUCCATA NERA</t>
  </si>
  <si>
    <t>lea Bag</t>
  </si>
  <si>
    <t>ISABELLA HAND WARMER BURGUNDY AND LIGHT BLUE</t>
  </si>
  <si>
    <t>ISABELLA SCARF BURGUNDY AND LIGHT BLUE</t>
  </si>
  <si>
    <t>LEA BAG MAXI</t>
  </si>
  <si>
    <t>LEA BAG TOASTED LEATHER GREEN</t>
  </si>
  <si>
    <t>AIRPODS CASE ZEBRA</t>
  </si>
  <si>
    <t>LEA BAG CAVALLINO BORDEAUX</t>
  </si>
  <si>
    <t>LEA BAG CAVALLINO CHOCOLATE</t>
  </si>
  <si>
    <t>LEA BAG CAVALLINO VERDE KAKI</t>
  </si>
  <si>
    <t>Cavallino Verde Kaki</t>
  </si>
  <si>
    <t>LEA BAG ESPRESSO</t>
  </si>
  <si>
    <t>Espresso</t>
  </si>
  <si>
    <t>Valentina Bag Red Pelle Ruvida</t>
  </si>
  <si>
    <t>Red_Pelle Ruvida</t>
  </si>
  <si>
    <t>Valentina Bag Cocco Black</t>
  </si>
  <si>
    <t>Valentina Bag Green Military</t>
  </si>
  <si>
    <t>Annie Bag Choccolate /</t>
  </si>
  <si>
    <t>Chocolate/Interno Rosa</t>
  </si>
  <si>
    <t>Annie Bag Blue/Interno Burro</t>
  </si>
  <si>
    <t>Blue/Interno Burro</t>
  </si>
  <si>
    <t>ANNIE BAG ROSA CIPRIA</t>
  </si>
  <si>
    <t>Rosa Cipria</t>
  </si>
  <si>
    <t>ANNIE BAG PINK/INTERNO VERDE</t>
  </si>
  <si>
    <t>Pink/Interno Verde</t>
  </si>
  <si>
    <t>CHAIN TIGER</t>
  </si>
  <si>
    <t>Chain</t>
  </si>
  <si>
    <t>Tiger</t>
  </si>
  <si>
    <t>ANNIE BAG PAILLETTES TURQUOISE</t>
  </si>
  <si>
    <t>Green Embroidery</t>
  </si>
  <si>
    <t>Pink Embroidery</t>
  </si>
  <si>
    <t>AGATA BAG FLORAL BROWN</t>
  </si>
  <si>
    <t>AGATA BAG PAILLETTES NUDE</t>
  </si>
  <si>
    <t>Paillettes Nude</t>
  </si>
  <si>
    <t>Floral Pink Embroidery</t>
  </si>
  <si>
    <t>Lea_Bag</t>
  </si>
  <si>
    <t>Annie_Bag_Silk</t>
  </si>
  <si>
    <t>Maria bag</t>
  </si>
  <si>
    <t>Nina_Bag</t>
  </si>
  <si>
    <t>Nina_Bag_Maxi</t>
  </si>
  <si>
    <t>NINA BAG MAXI STRIPES REED</t>
  </si>
  <si>
    <t>Airpod_Cover</t>
  </si>
  <si>
    <t>Sunglass_Cover</t>
  </si>
  <si>
    <t>Laptop_Cover</t>
  </si>
  <si>
    <t>ANNIE BAG BROWN</t>
  </si>
  <si>
    <t>TIGER</t>
  </si>
  <si>
    <t>AGATA BAG FLORAL BORDEAUX EMBROIDERY - catena</t>
  </si>
  <si>
    <t>AGATA BAG FLORAL DUSTY PINK EMBROIDERY - catena</t>
  </si>
  <si>
    <t>AGATA BAG FLORAL ORANGE EMBROIDERY - catena</t>
  </si>
  <si>
    <t>AGATA BAG ROSE BLUE - catena</t>
  </si>
  <si>
    <t>AGATA BAG ROSE BUTTER - catena</t>
  </si>
  <si>
    <t>AGATA BAG ROSE BUTTER - Catena in 110 cm</t>
  </si>
  <si>
    <t>AGATA BAG ROSE PINK - catena</t>
  </si>
  <si>
    <t>AGATA BAG ROSE PINK - Catena in 110 cm</t>
  </si>
  <si>
    <t>AGATA BAG TIE DYE ORANGE - catena</t>
  </si>
  <si>
    <t>AGATA BAG TIE DYE PINK - catena</t>
  </si>
  <si>
    <t>ANNIE BAG BLACK</t>
  </si>
  <si>
    <t>ANNIE BAG BLACK - catena</t>
  </si>
  <si>
    <t>ANNIE BAG LILAC - catena</t>
  </si>
  <si>
    <t>ANNIE BAG PAILLETTES GREEN - catena</t>
  </si>
  <si>
    <t>Annie Bag Paillettes Grey - Catena in ottone 60 cm</t>
  </si>
  <si>
    <t>ANNIE BAG PAILLETTES PURPLE - catena</t>
  </si>
  <si>
    <t>ANNIE BAG PEARL GREY - catena</t>
  </si>
  <si>
    <t>ANNIE BAG PINK - catena</t>
  </si>
  <si>
    <t>ANNIE BAG PINK SILK</t>
  </si>
  <si>
    <t>ANNIE BAG PINK SILK - catena</t>
  </si>
  <si>
    <t>AGATA BAG PINK CRYSTAL BEADS</t>
  </si>
  <si>
    <t>AGATA BAG PINK CRYSTAL BEADS - Senza Catena</t>
  </si>
  <si>
    <t>AGATA BAG PINK CRYSTAL BEADS - Catena in 110 cm</t>
  </si>
  <si>
    <t>AGATA BAG FLORAL LIGHT BLUE - Catena in 110 cm</t>
  </si>
  <si>
    <t>AGATA BAG FLORAL GREY - Catena in 110 cm</t>
  </si>
  <si>
    <t>ANNIE BAG PAILLETTES CANDY PINK - Catena in ottone 60 cm</t>
  </si>
  <si>
    <t>ALIAS storico Qromo (rinomina codici 2026-06-21)</t>
  </si>
  <si>
    <t>AGATA BAG EMBROIDERY WHITE - Senza Catena</t>
  </si>
  <si>
    <t>AGATA BAG EMBROIDERY WHITE - Catena in 110 cm</t>
  </si>
  <si>
    <t>Moltiplicatore Crescita 2026</t>
  </si>
  <si>
    <t>FY 2025</t>
  </si>
  <si>
    <t>FY 2024</t>
  </si>
  <si>
    <t>-</t>
  </si>
  <si>
    <t>Sachetto di Carta</t>
  </si>
  <si>
    <t>UFFICIO</t>
  </si>
  <si>
    <t>Consulente Marketing</t>
  </si>
  <si>
    <t>\\</t>
  </si>
  <si>
    <t>COLORAZIONE</t>
  </si>
  <si>
    <t>QUANTITA BENNI</t>
  </si>
  <si>
    <t>QUANTITA GINNI</t>
  </si>
  <si>
    <t>QUANTITA MARTI</t>
  </si>
  <si>
    <t>QUANTITA BENNI (CASA NONNA)</t>
  </si>
  <si>
    <t>SOMMA TOTALE</t>
  </si>
  <si>
    <t>AGGIUNTA MANUALE (benni)</t>
  </si>
  <si>
    <t>TOTAL</t>
  </si>
  <si>
    <t>VENDITE OMNI DA MAGGIO 9</t>
  </si>
  <si>
    <t>TOTAL STOCK JUNE</t>
  </si>
  <si>
    <t>ADD 04/06</t>
  </si>
  <si>
    <t>AGATA BAG</t>
  </si>
  <si>
    <t>PRODUCT_VARIANT MAPPING</t>
  </si>
  <si>
    <t>Sum of ITEMS</t>
  </si>
  <si>
    <t>01/05/2025</t>
  </si>
  <si>
    <t>Lea_Bag_LEOPARDO SAVANA</t>
  </si>
  <si>
    <t>Lea_Bag_LEOPARDO SCURO</t>
  </si>
  <si>
    <t>Sum of Sum of ITEMS</t>
  </si>
  <si>
    <t>Lea_Bag_VERNICE ROSSA</t>
  </si>
  <si>
    <t>Lea_Bag_VERNICE VIOLA</t>
  </si>
  <si>
    <t xml:space="preserve">Agata_Bag_Con_Catena_RED </t>
  </si>
  <si>
    <t>OK</t>
  </si>
  <si>
    <t>Lea_Bag_ZEBRA MARRON</t>
  </si>
  <si>
    <t>Agata_Bag_Con_Catena_TIE DYE BLUE</t>
  </si>
  <si>
    <t>05/26/25</t>
  </si>
  <si>
    <t>PERLINE ROSE</t>
  </si>
  <si>
    <t>02/05/2025</t>
  </si>
  <si>
    <t>Agata_Bag_Con_Catena_TIE DYE PINK</t>
  </si>
  <si>
    <t>PERLINE GREEN</t>
  </si>
  <si>
    <t>Agata_Bag_ORANGE</t>
  </si>
  <si>
    <t>CECILIA BAG</t>
  </si>
  <si>
    <t>RIGHE MARRONI</t>
  </si>
  <si>
    <t>Agata_Bag_ROSE BLUE</t>
  </si>
  <si>
    <t>RIGHE PINK/TURCHESE</t>
  </si>
  <si>
    <t>03/05/2025</t>
  </si>
  <si>
    <t>Annie_Bag_paillettes_Con_Catena_BROWN</t>
  </si>
  <si>
    <t>Agata_Bag_ROSE PINK</t>
  </si>
  <si>
    <t>RIGHE PINK/MARRONI</t>
  </si>
  <si>
    <t>Annie_Bag_paillettes_Con_Catena_LIGHT GREEN</t>
  </si>
  <si>
    <t>Agata_Bag_TIE DYE BLUE</t>
  </si>
  <si>
    <t>RIGHE ORANGE/TURCHESE</t>
  </si>
  <si>
    <t>Agata_Bag_TIE DYE ORANGE</t>
  </si>
  <si>
    <t>RIGHE PINK/TURCHESE/BIANCO</t>
  </si>
  <si>
    <t>Lea_Bag_MUCCATA MARRONE</t>
  </si>
  <si>
    <t>CLESSIDRA BAG</t>
  </si>
  <si>
    <t>04/05/2025</t>
  </si>
  <si>
    <t>LEA BAG</t>
  </si>
  <si>
    <t>Annie_Bag_paillettes_Con_Catena_BEIGE</t>
  </si>
  <si>
    <t>Lola_Bag_TURCHESE VELVET</t>
  </si>
  <si>
    <t>SAVANA</t>
  </si>
  <si>
    <t>05/05/2025</t>
  </si>
  <si>
    <t>Lea_Bag_LEOPARDO BEIGE</t>
  </si>
  <si>
    <t>Annie_Bag_paillettes_Con_Catena_DARK BROWN</t>
  </si>
  <si>
    <t>06/05/2025</t>
  </si>
  <si>
    <t>Annie_Bag_paillettes_Con_Catena_LIGHT BLUE</t>
  </si>
  <si>
    <t>MUCCATO MARRON</t>
  </si>
  <si>
    <t>07/05/2025</t>
  </si>
  <si>
    <t>Annie_Bag_paillettes_Con_Catena_ORANGE</t>
  </si>
  <si>
    <t>Annie_Bag_paillettes_DARK BROWN</t>
  </si>
  <si>
    <t>VERNICE VIOLA MALVA</t>
  </si>
  <si>
    <t>Agata_Bag_TIE DYE RED</t>
  </si>
  <si>
    <t>Annie_Bag_paillettes_LIGHT BLUE</t>
  </si>
  <si>
    <t>Annie_Bag_paillettes_LIGHT GREEN</t>
  </si>
  <si>
    <t>ARANCIONE</t>
  </si>
  <si>
    <t>Annie_Bag_Silk_TURQOISE</t>
  </si>
  <si>
    <t>Annie_Bag_paillettes_ORANGE</t>
  </si>
  <si>
    <t>FANTASIA</t>
  </si>
  <si>
    <t>COCCO NERA</t>
  </si>
  <si>
    <t>Annie_Bag_Silk_BLUE</t>
  </si>
  <si>
    <t>05/24/25</t>
  </si>
  <si>
    <t>Annie_Bag_Silk_Con_Catena_PINK</t>
  </si>
  <si>
    <t>VALENTINA BAG</t>
  </si>
  <si>
    <t>08/05/2025</t>
  </si>
  <si>
    <t>Annie_Bag_Silk_DEEP PURPLE</t>
  </si>
  <si>
    <t>Annie_Bag_Silk_PINK</t>
  </si>
  <si>
    <t>MACULATA</t>
  </si>
  <si>
    <t>Lola_Bag_BLUE VELVET</t>
  </si>
  <si>
    <t>ANNIE BAG</t>
  </si>
  <si>
    <t>09/05/2025</t>
  </si>
  <si>
    <t>Lea_Bag_COCCO BLACK</t>
  </si>
  <si>
    <t>10/05/2025</t>
  </si>
  <si>
    <t>TIFFANY</t>
  </si>
  <si>
    <t>TURQUIOISE SILK</t>
  </si>
  <si>
    <t>BROWN SILK</t>
  </si>
  <si>
    <t>Lola_Bag_CIPRIA VELVET</t>
  </si>
  <si>
    <t>PINK SILK</t>
  </si>
  <si>
    <t>11/05/2025</t>
  </si>
  <si>
    <t>12/05/2025</t>
  </si>
  <si>
    <t>PAILLETTES BROWN</t>
  </si>
  <si>
    <t>13/05/2025</t>
  </si>
  <si>
    <t>PAILLETTES BROWN FUORI BIANCO</t>
  </si>
  <si>
    <t>PAILLETTES VERDE</t>
  </si>
  <si>
    <t>05/27/25</t>
  </si>
  <si>
    <t>PAILLETTES ORANGE</t>
  </si>
  <si>
    <t>14/05/2025</t>
  </si>
  <si>
    <t>Grand Total</t>
  </si>
  <si>
    <t>LOLA BGA</t>
  </si>
  <si>
    <t>FUCSIA VELVET GIALLO</t>
  </si>
  <si>
    <t>FUSCIA VELVET SALMONE</t>
  </si>
  <si>
    <t>15/05/2025</t>
  </si>
  <si>
    <t>VERDE ACQUA VELVET</t>
  </si>
  <si>
    <t>17/05/2025</t>
  </si>
  <si>
    <t>MAGLIETTA</t>
  </si>
  <si>
    <t>AMAMI TG. 1</t>
  </si>
  <si>
    <t>AMAMI TG. 2</t>
  </si>
  <si>
    <t>18/05/2025</t>
  </si>
  <si>
    <t>AMAMI COME TG.1</t>
  </si>
  <si>
    <t>AMAMI COME TG.2</t>
  </si>
  <si>
    <t>19/05/2025</t>
  </si>
  <si>
    <t>NINA BAG</t>
  </si>
  <si>
    <t>QUADRETTI TURCHESE</t>
  </si>
  <si>
    <t>RIGHE GIALLO/VERDE ACQUA</t>
  </si>
  <si>
    <t>20/05/2025</t>
  </si>
  <si>
    <t>RIGHE ROSSA/VERDE</t>
  </si>
  <si>
    <t>RIGHE BORDEAUX/TURCHESE SCURO</t>
  </si>
  <si>
    <t>RIGHE ROSSO/BLU</t>
  </si>
  <si>
    <t>RIGHE ROSA/ARANCIONE</t>
  </si>
  <si>
    <t>RIGHE ROSSA/ROSA</t>
  </si>
  <si>
    <t>21/05/2025</t>
  </si>
  <si>
    <t>RIGHE BORDEAUX/FUCSIA</t>
  </si>
  <si>
    <t>22/05/2025</t>
  </si>
  <si>
    <t>23/05/2025</t>
  </si>
  <si>
    <t>24/05/2025</t>
  </si>
  <si>
    <t>25/05/2025</t>
  </si>
  <si>
    <t>26/05/2025</t>
  </si>
  <si>
    <t>27/05/2025</t>
  </si>
  <si>
    <t>28/05/2025</t>
  </si>
  <si>
    <t>29/05/2025</t>
  </si>
  <si>
    <t>30/05/2025</t>
  </si>
  <si>
    <t>31/05/2025</t>
  </si>
  <si>
    <t>OFFLINE</t>
  </si>
  <si>
    <t>Charm_Bon.VI_x_AMI_</t>
  </si>
  <si>
    <t>Lola_Bag_</t>
  </si>
  <si>
    <t>Lola_Bag_PURPLE VELVET</t>
  </si>
  <si>
    <t>Tshirt_</t>
  </si>
  <si>
    <t>Airpods_Case_Con_Moschettone_PONY BLACK</t>
  </si>
  <si>
    <t>Airpods_Case_Con_Moschettone_PONY LEOPARD</t>
  </si>
  <si>
    <t>Agata_Bag_TIE DYE PINK</t>
  </si>
  <si>
    <t>Airpods_Case_Con_Moschettone_</t>
  </si>
  <si>
    <t>Annie_Bag_paillettes_ROSA</t>
  </si>
  <si>
    <t>Tshirt_AMAMI COME</t>
  </si>
  <si>
    <t>Sum of TOTAL PRICE</t>
  </si>
  <si>
    <t>TYPE</t>
  </si>
  <si>
    <t>OTHER (FATTURA) Total</t>
  </si>
  <si>
    <t>POP UP CORSO GARIBALDI Total</t>
  </si>
  <si>
    <t>POP UP CORSO GARIBALDI 44 Total</t>
  </si>
  <si>
    <t>POP UP CORSO MAGENTA Total</t>
  </si>
  <si>
    <t>POP UP CORSO VENEZIA Total</t>
  </si>
  <si>
    <t>POP UP CORSO VIA STATUTO Total</t>
  </si>
  <si>
    <t>POP UP GENEVA Total</t>
  </si>
  <si>
    <t>POP UP SCILE Total</t>
  </si>
  <si>
    <t>POP UP VIA LANZONE Total</t>
  </si>
  <si>
    <t>POP UP VIA STATUTO Total</t>
  </si>
  <si>
    <t>SHOPIFY Total</t>
  </si>
  <si>
    <t>XMAS MARKET  Total</t>
  </si>
  <si>
    <t>OnlineFatturato Lordo</t>
  </si>
  <si>
    <t>Offline Fatturato Lordo</t>
  </si>
  <si>
    <t>Sum of QUANTITA</t>
  </si>
  <si>
    <t>OnlinePezzi</t>
  </si>
  <si>
    <t>Offline Pezzi</t>
  </si>
  <si>
    <t>Sum of IMPORTO (EUR)</t>
  </si>
  <si>
    <t>COST</t>
  </si>
  <si>
    <t>EVENTI Total</t>
  </si>
  <si>
    <t>LOGISTICA Total</t>
  </si>
  <si>
    <t>MARKETING Total</t>
  </si>
  <si>
    <t>OPEX Total</t>
  </si>
  <si>
    <t>SALARI Total</t>
  </si>
  <si>
    <t>TASSE Total</t>
  </si>
  <si>
    <t>IMPORTO (EUR)</t>
  </si>
  <si>
    <t>COMMENTI</t>
  </si>
  <si>
    <t>canone mensile conto</t>
  </si>
  <si>
    <t>Affitto &amp; Salari</t>
  </si>
  <si>
    <t>Affitto</t>
  </si>
  <si>
    <t>Ikea</t>
  </si>
  <si>
    <t>Mobile x magazzino</t>
  </si>
  <si>
    <t>Conceria S.Croce</t>
  </si>
  <si>
    <t>Pelli Conceria S.Croce</t>
  </si>
  <si>
    <t xml:space="preserve">Eventi </t>
  </si>
  <si>
    <t>CDC Luxury Chain</t>
  </si>
  <si>
    <t>Catene Ottone (25 m)</t>
  </si>
  <si>
    <t>I24</t>
  </si>
  <si>
    <t>PackHelp</t>
  </si>
  <si>
    <t>scatole (1.59 al pezzo)</t>
  </si>
  <si>
    <t>Packaging?</t>
  </si>
  <si>
    <t>G&amp;A</t>
  </si>
  <si>
    <t>Arcobaleno</t>
  </si>
  <si>
    <t>200 etichette</t>
  </si>
  <si>
    <t>Marketing</t>
  </si>
  <si>
    <t>NOTA SPESE</t>
  </si>
  <si>
    <t>Pranzo con Francesco</t>
  </si>
  <si>
    <t>Abbonamento GLS</t>
  </si>
  <si>
    <t>Personale</t>
  </si>
  <si>
    <t>Fiorella</t>
  </si>
  <si>
    <t>ADV IG - sponsorizzata 1</t>
  </si>
  <si>
    <t>ADV IG - sponsorizzata 2</t>
  </si>
  <si>
    <t>Produzione borse uncinetto + rafia</t>
  </si>
  <si>
    <t>Spazio shooting "The Colour Capsule"</t>
  </si>
  <si>
    <t>Pranzo Shooting</t>
  </si>
  <si>
    <t>MailChimp</t>
  </si>
  <si>
    <t>Pagamento Vale Bag</t>
  </si>
  <si>
    <t>Pagamento tasse Ginni</t>
  </si>
  <si>
    <t>telo shooting vale</t>
  </si>
  <si>
    <t>calze shooting vale</t>
  </si>
  <si>
    <t>nota spesa (pranzo offerto a fotografi)</t>
  </si>
  <si>
    <t>Pelli Francesco</t>
  </si>
  <si>
    <t>Sipec sacchetti personalizzati</t>
  </si>
  <si>
    <t>Fili rafia</t>
  </si>
  <si>
    <t>PackHelp scatole</t>
  </si>
  <si>
    <t>Pisotti</t>
  </si>
  <si>
    <t>Produzione Valentina Bag</t>
  </si>
  <si>
    <t>Recopel</t>
  </si>
  <si>
    <t>Prototipo Valentina Bag</t>
  </si>
  <si>
    <t>Tessuti e scampoli</t>
  </si>
  <si>
    <t>Borse Cecilia</t>
  </si>
  <si>
    <t>Volantini evento</t>
  </si>
  <si>
    <t>EVENTO PAREA -  MILLO</t>
  </si>
  <si>
    <t>TOTE BAG 50</t>
  </si>
  <si>
    <t>/</t>
  </si>
  <si>
    <t>no cost?</t>
  </si>
  <si>
    <t>Implementazione nuovo Logo/Colori website</t>
  </si>
  <si>
    <t>Campagna Valentina Cabassi</t>
  </si>
  <si>
    <t>KODAK x Evento</t>
  </si>
  <si>
    <t>Evento Mimialamer</t>
  </si>
  <si>
    <t>Saldo commercialista '22</t>
  </si>
  <si>
    <t>Pelle ZEROW</t>
  </si>
  <si>
    <t>Tessuti paillettes</t>
  </si>
  <si>
    <t>Valentina Bag - Francesco</t>
  </si>
  <si>
    <t>GLS pagamento abbonamento</t>
  </si>
  <si>
    <t>Pagamento Pelli + Cavallino Santa Croce</t>
  </si>
  <si>
    <t>Caterina Thun (personale)</t>
  </si>
  <si>
    <t>Scatole x Campaign Vale Bag</t>
  </si>
  <si>
    <t>Cartoline (0,20 cent)</t>
  </si>
  <si>
    <t>Poster (4 x la vendita)</t>
  </si>
  <si>
    <t>?</t>
  </si>
  <si>
    <t>ZEROW pelli</t>
  </si>
  <si>
    <t>IVA I trimestre 2024</t>
  </si>
  <si>
    <t>OK?</t>
  </si>
  <si>
    <t>Contributi INPS fissi</t>
  </si>
  <si>
    <t>ok?</t>
  </si>
  <si>
    <t xml:space="preserve">Fili ottone </t>
  </si>
  <si>
    <t>Spazio</t>
  </si>
  <si>
    <t>NOTA SPESA 2 APE POP UP</t>
  </si>
  <si>
    <t>NOTA SPESE POP UP PRANZI BENNI GINNI</t>
  </si>
  <si>
    <t>Verpel (Lea Bag)</t>
  </si>
  <si>
    <t>Fiorella (Annie bag)</t>
  </si>
  <si>
    <t>SPESA EXTRA</t>
  </si>
  <si>
    <t>RIMBORSO SPESE ginni</t>
  </si>
  <si>
    <t>ADV IG (paypal)</t>
  </si>
  <si>
    <t>EVENTO POP UP GENOVA</t>
  </si>
  <si>
    <t>POP UP MIMIALAMER</t>
  </si>
  <si>
    <t>Shooting Morgana</t>
  </si>
  <si>
    <t>Foderazione Cecilia Bag</t>
  </si>
  <si>
    <t>RIMBORSO BENZINA GENOVA</t>
  </si>
  <si>
    <t>PRODUZIONE Valentina Bag (76) + Lea</t>
  </si>
  <si>
    <t>FATTURA COMMERCIALISTA 23</t>
  </si>
  <si>
    <t>pop up corso garibaldi</t>
  </si>
  <si>
    <t>Shooting MARTIN</t>
  </si>
  <si>
    <t>Fili Rafia</t>
  </si>
  <si>
    <t>Sacchetti</t>
  </si>
  <si>
    <t>nota spesa benni (multa)</t>
  </si>
  <si>
    <t>nota spesa pareggio farmacia ginni (Benni)</t>
  </si>
  <si>
    <t>nota spese pop up pranzi</t>
  </si>
  <si>
    <t>Soldi Nina</t>
  </si>
  <si>
    <t>Rimborso spese ginni e benni</t>
  </si>
  <si>
    <t>Rimborso spese maggio + giugno x vari pop</t>
  </si>
  <si>
    <t>Tassa STRIPE</t>
  </si>
  <si>
    <t>Varaibile??</t>
  </si>
  <si>
    <t>Spedizione CA</t>
  </si>
  <si>
    <t>nota spesa</t>
  </si>
  <si>
    <t>SIPEC</t>
  </si>
  <si>
    <t>Rimborso Benni</t>
  </si>
  <si>
    <t>sipec</t>
  </si>
  <si>
    <t>tessuti fada</t>
  </si>
  <si>
    <t>BORSA DA COPIARE</t>
  </si>
  <si>
    <t>Rimborso spese</t>
  </si>
  <si>
    <t>Fattura Sample Lover</t>
  </si>
  <si>
    <t>Espositori</t>
  </si>
  <si>
    <t>LEA BAG FRANCESCO</t>
  </si>
  <si>
    <t xml:space="preserve">Prototipo borsa in paillettes </t>
  </si>
  <si>
    <t>STIPENDIO GINNI E BENNI MESI 4</t>
  </si>
  <si>
    <t>STIPENDIO GINNI</t>
  </si>
  <si>
    <t>STIPENDIO BENNI</t>
  </si>
  <si>
    <t>Nota spesa (pranzi, benzina)</t>
  </si>
  <si>
    <t>Abbonamento amanzon prime</t>
  </si>
  <si>
    <t>VERPEL (Francesco)</t>
  </si>
  <si>
    <t>Shopify</t>
  </si>
  <si>
    <t>Check - should it be OPEX or G&amp;A</t>
  </si>
  <si>
    <t>IVA 2 trimestre 2024</t>
  </si>
  <si>
    <t>RATA INPS</t>
  </si>
  <si>
    <t>Spese varie (pranzi, benzina, ecc.)</t>
  </si>
  <si>
    <t>Amazon</t>
  </si>
  <si>
    <t>Contratto GLS</t>
  </si>
  <si>
    <t>Nuove Etichette</t>
  </si>
  <si>
    <t>Cartucce stampante</t>
  </si>
  <si>
    <t>Dutchlabel etichette</t>
  </si>
  <si>
    <t>Rimborso Toscana</t>
  </si>
  <si>
    <t>ZEROW SRL tessuti</t>
  </si>
  <si>
    <t xml:space="preserve">Benzina </t>
  </si>
  <si>
    <t>Campione</t>
  </si>
  <si>
    <t>Spesa</t>
  </si>
  <si>
    <t>A2A GINNI</t>
  </si>
  <si>
    <t>Senesi Group (1 tranche group)</t>
  </si>
  <si>
    <t>CHECK?</t>
  </si>
  <si>
    <t xml:space="preserve">Fiorella </t>
  </si>
  <si>
    <t>Nota spese (pranzi, benzine, ecc.)</t>
  </si>
  <si>
    <t>Cartoline Qualità Prodotto</t>
  </si>
  <si>
    <t xml:space="preserve">Ricami sposa </t>
  </si>
  <si>
    <t>GIMA srl</t>
  </si>
  <si>
    <t>Fiorella Ciabocco</t>
  </si>
  <si>
    <t>MLM Mazzola</t>
  </si>
  <si>
    <t>PAGAMENTO 50% RECOPEL ORDINE</t>
  </si>
  <si>
    <t>stipendio benni e ginni</t>
  </si>
  <si>
    <t>Accessori GIMA</t>
  </si>
  <si>
    <t>Spese Shooting Clessidra + Charms BonVi</t>
  </si>
  <si>
    <t>Fattura Verpell fornitore</t>
  </si>
  <si>
    <t>HOSTING SITO</t>
  </si>
  <si>
    <t>Arcobaleno (fodera tracolle Lea Bag)</t>
  </si>
  <si>
    <t>ADV IG</t>
  </si>
  <si>
    <t>MLM Accessori Charms + Collab Guia</t>
  </si>
  <si>
    <t>Espositori Amazon</t>
  </si>
  <si>
    <t>Fiorella Lola Bag</t>
  </si>
  <si>
    <t>Zeus Evento</t>
  </si>
  <si>
    <t>Dogana Stickers</t>
  </si>
  <si>
    <t>Evento influencer pop up via statuto 12</t>
  </si>
  <si>
    <t>pop up via statuto 12</t>
  </si>
  <si>
    <t>Delega I24 IVA 3 Trimestre</t>
  </si>
  <si>
    <t>Delega I24 rata INPS</t>
  </si>
  <si>
    <t>GINNI IN PIU (BENNI DA MESE PROX)</t>
  </si>
  <si>
    <t>Stipendio Benni</t>
  </si>
  <si>
    <t>Stipendo Ginni</t>
  </si>
  <si>
    <t>Shooting Clessidra Bag + Still Life</t>
  </si>
  <si>
    <t>CASH A FRANCESCO</t>
  </si>
  <si>
    <t>Nota spese (pranzi, benzine, shooting, ecc.)</t>
  </si>
  <si>
    <t>CISAPELLI</t>
  </si>
  <si>
    <t>STIKERS INDIA</t>
  </si>
  <si>
    <t>PELLI ZEROLAB</t>
  </si>
  <si>
    <t>VERPELL PROD. BORSE</t>
  </si>
  <si>
    <t>SENESi Group (2 tranche group)</t>
  </si>
  <si>
    <t>POP UP TWINS AND SHOUT</t>
  </si>
  <si>
    <t>POP UP SCILE (+evento)</t>
  </si>
  <si>
    <t>Spedizioni TWS</t>
  </si>
  <si>
    <t>?? CHECK</t>
  </si>
  <si>
    <t xml:space="preserve">Pop Up Corso Garibaldi 44 </t>
  </si>
  <si>
    <t>Shooting Natale + Capodanno</t>
  </si>
  <si>
    <t>VOLI INDIA BENNI + GINNI</t>
  </si>
  <si>
    <t>Plinio Pop Up</t>
  </si>
  <si>
    <t>Acconto Francesco</t>
  </si>
  <si>
    <t>Recopel (saldo fattura annie bag)</t>
  </si>
  <si>
    <t>Recopel (cavallino zebrato)</t>
  </si>
  <si>
    <t>Fattura 20 Valentina Bag Red</t>
  </si>
  <si>
    <t>GIFT NATALE FORNITORI</t>
  </si>
  <si>
    <t>Pagamento Pelli Zeus</t>
  </si>
  <si>
    <t>Francesco</t>
  </si>
  <si>
    <t>DELEGA I24</t>
  </si>
  <si>
    <t>Acconto saldo Francesco</t>
  </si>
  <si>
    <t>TWS</t>
  </si>
  <si>
    <t>COLORE</t>
  </si>
  <si>
    <t>PRICE/UNIT</t>
  </si>
  <si>
    <t>TOTAL PRICE</t>
  </si>
  <si>
    <t>SHIPPING</t>
  </si>
  <si>
    <t>GROSS REVENUE</t>
  </si>
  <si>
    <t>COMMENTS</t>
  </si>
  <si>
    <t>SHOPIFY</t>
  </si>
  <si>
    <t>Ossola</t>
  </si>
  <si>
    <t>carta di credito</t>
  </si>
  <si>
    <t>Galletti</t>
  </si>
  <si>
    <t>SOPHIE BAG</t>
  </si>
  <si>
    <t>Francesca</t>
  </si>
  <si>
    <t>Rossini</t>
  </si>
  <si>
    <t>Antonella</t>
  </si>
  <si>
    <t>Cavalieri</t>
  </si>
  <si>
    <t>Domenico</t>
  </si>
  <si>
    <t>Morace</t>
  </si>
  <si>
    <t>Nicola</t>
  </si>
  <si>
    <t>Mattelloni</t>
  </si>
  <si>
    <t>Dell'Anna</t>
  </si>
  <si>
    <t>Fabro</t>
  </si>
  <si>
    <t>Silvia</t>
  </si>
  <si>
    <t>Biagini</t>
  </si>
  <si>
    <t>Arianna</t>
  </si>
  <si>
    <t>Spagnuolo</t>
  </si>
  <si>
    <t>Fanti</t>
  </si>
  <si>
    <t>Luca</t>
  </si>
  <si>
    <t>Valsecchi</t>
  </si>
  <si>
    <t>Rasini</t>
  </si>
  <si>
    <t>Valeria</t>
  </si>
  <si>
    <t>Serioli</t>
  </si>
  <si>
    <t>Pervesi</t>
  </si>
  <si>
    <t>Camilla</t>
  </si>
  <si>
    <t>Marangoni</t>
  </si>
  <si>
    <t>Paola</t>
  </si>
  <si>
    <t>Roncagliolo</t>
  </si>
  <si>
    <t>Frasoldati</t>
  </si>
  <si>
    <t>Cresto</t>
  </si>
  <si>
    <t>Viola</t>
  </si>
  <si>
    <t>Molina</t>
  </si>
  <si>
    <t>Fantini</t>
  </si>
  <si>
    <t>Mancini</t>
  </si>
  <si>
    <t>Rosa</t>
  </si>
  <si>
    <t>Vaccaro</t>
  </si>
  <si>
    <t>Valentina</t>
  </si>
  <si>
    <t>Ferro</t>
  </si>
  <si>
    <t>Magliocco</t>
  </si>
  <si>
    <t>Fabiola</t>
  </si>
  <si>
    <t>Di Ruscio</t>
  </si>
  <si>
    <t>Claudia</t>
  </si>
  <si>
    <t>Righi</t>
  </si>
  <si>
    <t>Maddalena</t>
  </si>
  <si>
    <t>Tridenti</t>
  </si>
  <si>
    <t>Pieri</t>
  </si>
  <si>
    <t>Giuliano</t>
  </si>
  <si>
    <t>Sveva</t>
  </si>
  <si>
    <t>Serantoni</t>
  </si>
  <si>
    <t xml:space="preserve">Giorgia </t>
  </si>
  <si>
    <t>Riglietti</t>
  </si>
  <si>
    <t>Ragusa</t>
  </si>
  <si>
    <t>Torri</t>
  </si>
  <si>
    <t>Maria Teresa</t>
  </si>
  <si>
    <t>Mosillo</t>
  </si>
  <si>
    <t>77,25</t>
  </si>
  <si>
    <t>francesca</t>
  </si>
  <si>
    <t>de lorenzi</t>
  </si>
  <si>
    <t>alyssa</t>
  </si>
  <si>
    <t>ehler</t>
  </si>
  <si>
    <t xml:space="preserve">costanza </t>
  </si>
  <si>
    <t>sandrucci</t>
  </si>
  <si>
    <t>denise</t>
  </si>
  <si>
    <t>carcangiu</t>
  </si>
  <si>
    <t>vittoria</t>
  </si>
  <si>
    <t>pomati</t>
  </si>
  <si>
    <t>giada</t>
  </si>
  <si>
    <t>ammirati</t>
  </si>
  <si>
    <t>ornella</t>
  </si>
  <si>
    <t>cappetta farnetti</t>
  </si>
  <si>
    <t>filippo maria</t>
  </si>
  <si>
    <t>coacci</t>
  </si>
  <si>
    <t>valentina</t>
  </si>
  <si>
    <t>giacalone</t>
  </si>
  <si>
    <t>paola</t>
  </si>
  <si>
    <t>roncagliolo</t>
  </si>
  <si>
    <t>matilde</t>
  </si>
  <si>
    <t>tronconi</t>
  </si>
  <si>
    <t>sofia</t>
  </si>
  <si>
    <t>bellisario</t>
  </si>
  <si>
    <t>viola</t>
  </si>
  <si>
    <t>cicogna</t>
  </si>
  <si>
    <t>angelica</t>
  </si>
  <si>
    <t>campanella</t>
  </si>
  <si>
    <t>clizia</t>
  </si>
  <si>
    <t>varraso</t>
  </si>
  <si>
    <t>beatrice</t>
  </si>
  <si>
    <t>nera</t>
  </si>
  <si>
    <t>sara</t>
  </si>
  <si>
    <t>daldoss</t>
  </si>
  <si>
    <t>stampa savage</t>
  </si>
  <si>
    <t>ilaria</t>
  </si>
  <si>
    <t>botti</t>
  </si>
  <si>
    <t>paillettes</t>
  </si>
  <si>
    <t>bravin</t>
  </si>
  <si>
    <t>stampa leopardata chiara</t>
  </si>
  <si>
    <t>Caterina</t>
  </si>
  <si>
    <t>Spilla</t>
  </si>
  <si>
    <t>Baroni</t>
  </si>
  <si>
    <t>Sophie</t>
  </si>
  <si>
    <t>Floriddia</t>
  </si>
  <si>
    <t>Val</t>
  </si>
  <si>
    <t>Bianca Maria</t>
  </si>
  <si>
    <t>Cattaneo</t>
  </si>
  <si>
    <t>CHECK</t>
  </si>
  <si>
    <t>Davide</t>
  </si>
  <si>
    <t>Rancati</t>
  </si>
  <si>
    <t>Vivienne</t>
  </si>
  <si>
    <t>Frega</t>
  </si>
  <si>
    <t>Giretti</t>
  </si>
  <si>
    <t>Maselli</t>
  </si>
  <si>
    <t>Emma</t>
  </si>
  <si>
    <t>Mazzurana</t>
  </si>
  <si>
    <t>Monaco</t>
  </si>
  <si>
    <t>Giovanni</t>
  </si>
  <si>
    <t>Amodio</t>
  </si>
  <si>
    <t>Giuliana</t>
  </si>
  <si>
    <t>Ruta</t>
  </si>
  <si>
    <t>Dalla Rosa</t>
  </si>
  <si>
    <t>Stabile</t>
  </si>
  <si>
    <t>Bozzia</t>
  </si>
  <si>
    <t>Levi</t>
  </si>
  <si>
    <t>Carolina</t>
  </si>
  <si>
    <t>Bonati</t>
  </si>
  <si>
    <t>Idalba</t>
  </si>
  <si>
    <t>Campanile</t>
  </si>
  <si>
    <t>Carla</t>
  </si>
  <si>
    <t>Pocobene</t>
  </si>
  <si>
    <t>Alma</t>
  </si>
  <si>
    <t>Schianchi</t>
  </si>
  <si>
    <t>Doruntina</t>
  </si>
  <si>
    <t>Kasaj</t>
  </si>
  <si>
    <t>Podenza</t>
  </si>
  <si>
    <t>Bardoni</t>
  </si>
  <si>
    <t>Schapira</t>
  </si>
  <si>
    <t>Daniele</t>
  </si>
  <si>
    <t>Chierici</t>
  </si>
  <si>
    <t>Barbara</t>
  </si>
  <si>
    <t>Ubertini</t>
  </si>
  <si>
    <t>Veronica</t>
  </si>
  <si>
    <t>Feston</t>
  </si>
  <si>
    <t>Tesa</t>
  </si>
  <si>
    <t>Djordjevic</t>
  </si>
  <si>
    <t>Pedron</t>
  </si>
  <si>
    <t>Leopardata</t>
  </si>
  <si>
    <t>Louise</t>
  </si>
  <si>
    <t>Manenti</t>
  </si>
  <si>
    <t>zebrata</t>
  </si>
  <si>
    <t>Franzi</t>
  </si>
  <si>
    <t>paillettes rosa</t>
  </si>
  <si>
    <t>De Pretis</t>
  </si>
  <si>
    <t>stampa animalier</t>
  </si>
  <si>
    <t>Romina</t>
  </si>
  <si>
    <t>Dela Rosa</t>
  </si>
  <si>
    <t>Mariachiara</t>
  </si>
  <si>
    <t xml:space="preserve">Martina </t>
  </si>
  <si>
    <t>Carola</t>
  </si>
  <si>
    <t>Volpicelli</t>
  </si>
  <si>
    <t>Mantello</t>
  </si>
  <si>
    <t>Tamara</t>
  </si>
  <si>
    <t>Sala</t>
  </si>
  <si>
    <t>Sara</t>
  </si>
  <si>
    <t>Antonio</t>
  </si>
  <si>
    <t>Calò</t>
  </si>
  <si>
    <t>Romina Carla</t>
  </si>
  <si>
    <t>De La Rosa</t>
  </si>
  <si>
    <t>Elisa</t>
  </si>
  <si>
    <t>Presutti</t>
  </si>
  <si>
    <t>Polini</t>
  </si>
  <si>
    <t>Kamila</t>
  </si>
  <si>
    <t>Andrzejuk</t>
  </si>
  <si>
    <t>Pink</t>
  </si>
  <si>
    <t>Loredana</t>
  </si>
  <si>
    <t>Arrigoni</t>
  </si>
  <si>
    <t>Invernici</t>
  </si>
  <si>
    <t>Lilla</t>
  </si>
  <si>
    <t>Mattia</t>
  </si>
  <si>
    <t>Oggiano</t>
  </si>
  <si>
    <t>Pietro</t>
  </si>
  <si>
    <t>Fumagalli</t>
  </si>
  <si>
    <t>Mazzuca</t>
  </si>
  <si>
    <t>Clara Peraldo</t>
  </si>
  <si>
    <t>Matton</t>
  </si>
  <si>
    <t>Amanda</t>
  </si>
  <si>
    <t>Confalona</t>
  </si>
  <si>
    <t>Robiglioni</t>
  </si>
  <si>
    <t>Letizia</t>
  </si>
  <si>
    <t>Uguccioni</t>
  </si>
  <si>
    <t>Lisa</t>
  </si>
  <si>
    <t>Donofio</t>
  </si>
  <si>
    <t>Micol</t>
  </si>
  <si>
    <t>Barra</t>
  </si>
  <si>
    <t>Mazzeo</t>
  </si>
  <si>
    <t xml:space="preserve">Janaka Sebastian </t>
  </si>
  <si>
    <t>Geraci</t>
  </si>
  <si>
    <t>Mazzierli</t>
  </si>
  <si>
    <t>Aiello</t>
  </si>
  <si>
    <t>Fedeli</t>
  </si>
  <si>
    <t>Francesca Vittoria</t>
  </si>
  <si>
    <t>De Santis</t>
  </si>
  <si>
    <t>stampa zebrata 2</t>
  </si>
  <si>
    <t>Lia</t>
  </si>
  <si>
    <t>Rossetto</t>
  </si>
  <si>
    <t>stampa zebrata</t>
  </si>
  <si>
    <t>Scarzella</t>
  </si>
  <si>
    <t>Nathalie</t>
  </si>
  <si>
    <t>Alquati Bonisoli</t>
  </si>
  <si>
    <t>Marco</t>
  </si>
  <si>
    <t>Clarissa</t>
  </si>
  <si>
    <t>red</t>
  </si>
  <si>
    <t>Pistilli</t>
  </si>
  <si>
    <t>Rinaldi</t>
  </si>
  <si>
    <t>Martinotti</t>
  </si>
  <si>
    <t>Lazzi</t>
  </si>
  <si>
    <t>D'Andrea</t>
  </si>
  <si>
    <t>Flavio</t>
  </si>
  <si>
    <t>Logo</t>
  </si>
  <si>
    <t>Decet</t>
  </si>
  <si>
    <t>ANNIE BAG PAILLETTES</t>
  </si>
  <si>
    <t>Giada</t>
  </si>
  <si>
    <t>Ruggero</t>
  </si>
  <si>
    <t>Adami</t>
  </si>
  <si>
    <t>Magni</t>
  </si>
  <si>
    <t>Fabio</t>
  </si>
  <si>
    <t>Magnani</t>
  </si>
  <si>
    <t>cascio rizzo</t>
  </si>
  <si>
    <t>Ilaria</t>
  </si>
  <si>
    <t>Polo</t>
  </si>
  <si>
    <t>Marina</t>
  </si>
  <si>
    <t>Venturi</t>
  </si>
  <si>
    <t>Cancellieri</t>
  </si>
  <si>
    <t>Morbello</t>
  </si>
  <si>
    <t>jasmine</t>
  </si>
  <si>
    <t>di carolo</t>
  </si>
  <si>
    <t>Casartelli</t>
  </si>
  <si>
    <t>Muccata</t>
  </si>
  <si>
    <t>Cacciopolli</t>
  </si>
  <si>
    <t>stampa leopardo</t>
  </si>
  <si>
    <t>Ardito</t>
  </si>
  <si>
    <t>Taborelli</t>
  </si>
  <si>
    <t>CONVERTED INTO TWO ORDERS</t>
  </si>
  <si>
    <t>Urru</t>
  </si>
  <si>
    <t>Gemma</t>
  </si>
  <si>
    <t>Ceccarelli</t>
  </si>
  <si>
    <t>Benedetta</t>
  </si>
  <si>
    <t>Massarenti</t>
  </si>
  <si>
    <t>Conchi</t>
  </si>
  <si>
    <t>Zebrata</t>
  </si>
  <si>
    <t>Marchi</t>
  </si>
  <si>
    <t>Dissera</t>
  </si>
  <si>
    <t>Paillettes</t>
  </si>
  <si>
    <t>Ravagni</t>
  </si>
  <si>
    <t>Annavittoria</t>
  </si>
  <si>
    <t>Cameli</t>
  </si>
  <si>
    <t>Leopardo</t>
  </si>
  <si>
    <t>Mazzucca</t>
  </si>
  <si>
    <t>Muccata Marrone</t>
  </si>
  <si>
    <t xml:space="preserve">Eleonora </t>
  </si>
  <si>
    <t>Bolzon</t>
  </si>
  <si>
    <t>Zacchi</t>
  </si>
  <si>
    <t>Serena</t>
  </si>
  <si>
    <t>Raciti</t>
  </si>
  <si>
    <t>Asia</t>
  </si>
  <si>
    <t>Mastropietro</t>
  </si>
  <si>
    <t>Costanza</t>
  </si>
  <si>
    <t>Baserca</t>
  </si>
  <si>
    <t>Ottavia</t>
  </si>
  <si>
    <t>Carissimo</t>
  </si>
  <si>
    <t>Giuditta</t>
  </si>
  <si>
    <t>Chiesta</t>
  </si>
  <si>
    <t>Niccolò</t>
  </si>
  <si>
    <t>Maglia</t>
  </si>
  <si>
    <t>Ronchitelli</t>
  </si>
  <si>
    <t>zebra</t>
  </si>
  <si>
    <t>Farnetti</t>
  </si>
  <si>
    <t>zebra marrone</t>
  </si>
  <si>
    <t>Della Porta</t>
  </si>
  <si>
    <t>Boselli</t>
  </si>
  <si>
    <t>Eva Tyutyundzhieva</t>
  </si>
  <si>
    <t>Lucia</t>
  </si>
  <si>
    <t>Berardi</t>
  </si>
  <si>
    <t>Gallera</t>
  </si>
  <si>
    <t>Blu Elettric</t>
  </si>
  <si>
    <t>Stefano</t>
  </si>
  <si>
    <t>Decurso</t>
  </si>
  <si>
    <t>Vittoria</t>
  </si>
  <si>
    <t>Della Valle</t>
  </si>
  <si>
    <t>Texture Ocra</t>
  </si>
  <si>
    <t>Angelica</t>
  </si>
  <si>
    <t>Orlando</t>
  </si>
  <si>
    <t>Egle</t>
  </si>
  <si>
    <t>Damini</t>
  </si>
  <si>
    <t>Zebrata Marron</t>
  </si>
  <si>
    <t>Lanteri</t>
  </si>
  <si>
    <t>Roberta</t>
  </si>
  <si>
    <t>Maugeri</t>
  </si>
  <si>
    <t>Fosca</t>
  </si>
  <si>
    <t>De Spirit</t>
  </si>
  <si>
    <t>Adriana</t>
  </si>
  <si>
    <t>De Pasquale</t>
  </si>
  <si>
    <t>Fabris</t>
  </si>
  <si>
    <t>Paillettes Green</t>
  </si>
  <si>
    <t>Raponi</t>
  </si>
  <si>
    <t>Pipani</t>
  </si>
  <si>
    <t>Galliano</t>
  </si>
  <si>
    <t>Claudia Olga</t>
  </si>
  <si>
    <t>Rizzati</t>
  </si>
  <si>
    <t>Monzino</t>
  </si>
  <si>
    <t>Fedra</t>
  </si>
  <si>
    <t>Lavorante</t>
  </si>
  <si>
    <t>Annamaria</t>
  </si>
  <si>
    <t>Romano</t>
  </si>
  <si>
    <t>Bussini</t>
  </si>
  <si>
    <t>Giasante</t>
  </si>
  <si>
    <t>Yellow</t>
  </si>
  <si>
    <t>Coletti</t>
  </si>
  <si>
    <t>Pauline</t>
  </si>
  <si>
    <t>Gaetano</t>
  </si>
  <si>
    <t>Marron</t>
  </si>
  <si>
    <t>Crisci</t>
  </si>
  <si>
    <t>Delle Guanti</t>
  </si>
  <si>
    <t>Virginia</t>
  </si>
  <si>
    <t>Bonino</t>
  </si>
  <si>
    <t>Patrizia</t>
  </si>
  <si>
    <t>Buzzi</t>
  </si>
  <si>
    <t>Trogu</t>
  </si>
  <si>
    <t>Schiavi</t>
  </si>
  <si>
    <t>Porroni</t>
  </si>
  <si>
    <t>Enrico</t>
  </si>
  <si>
    <t>Acquarone</t>
  </si>
  <si>
    <t>Veroni</t>
  </si>
  <si>
    <t>Lentini</t>
  </si>
  <si>
    <t>Lionetti</t>
  </si>
  <si>
    <t>Meraviglia</t>
  </si>
  <si>
    <t>Ulivieri</t>
  </si>
  <si>
    <t>Paoli</t>
  </si>
  <si>
    <t>Claudia Vittoria</t>
  </si>
  <si>
    <t>Lezza</t>
  </si>
  <si>
    <t>Simonetta</t>
  </si>
  <si>
    <t>Brozzoni</t>
  </si>
  <si>
    <t>Marron Chocolate</t>
  </si>
  <si>
    <t>Cutini</t>
  </si>
  <si>
    <t>Alessandro</t>
  </si>
  <si>
    <t>Donato</t>
  </si>
  <si>
    <t>Violia</t>
  </si>
  <si>
    <t>Franzese</t>
  </si>
  <si>
    <t>De Vito</t>
  </si>
  <si>
    <t>Raffaella Coccolone</t>
  </si>
  <si>
    <t>ERRE</t>
  </si>
  <si>
    <t>Barani Balli</t>
  </si>
  <si>
    <t>Angela</t>
  </si>
  <si>
    <t>Scotton</t>
  </si>
  <si>
    <t>Santangelo</t>
  </si>
  <si>
    <t>Amoruso</t>
  </si>
  <si>
    <t>Gaia</t>
  </si>
  <si>
    <t>Ghirardi</t>
  </si>
  <si>
    <t>Rossa</t>
  </si>
  <si>
    <t>Mousa</t>
  </si>
  <si>
    <t>Fucsia</t>
  </si>
  <si>
    <t>Baldicci</t>
  </si>
  <si>
    <t>Purple</t>
  </si>
  <si>
    <t>Cefis</t>
  </si>
  <si>
    <t>Roberto</t>
  </si>
  <si>
    <t>Callegari</t>
  </si>
  <si>
    <t>Pocaterra</t>
  </si>
  <si>
    <t>Rebecca</t>
  </si>
  <si>
    <t>Palazzo</t>
  </si>
  <si>
    <t>Alessandra</t>
  </si>
  <si>
    <t>Marcenò</t>
  </si>
  <si>
    <t>Lavarini</t>
  </si>
  <si>
    <t>Oliverio</t>
  </si>
  <si>
    <t>Cantini</t>
  </si>
  <si>
    <t>Corinaldi</t>
  </si>
  <si>
    <t>Elisabetta</t>
  </si>
  <si>
    <t>Mattarelli</t>
  </si>
  <si>
    <t>Filippi</t>
  </si>
  <si>
    <t>De Marco</t>
  </si>
  <si>
    <t>Rosa &amp; Panna</t>
  </si>
  <si>
    <t>Tosca</t>
  </si>
  <si>
    <t>Orange</t>
  </si>
  <si>
    <t>Julie Jamoli</t>
  </si>
  <si>
    <t>Alisia</t>
  </si>
  <si>
    <t>Bernardini</t>
  </si>
  <si>
    <t>Blue Elettric</t>
  </si>
  <si>
    <t>Pace</t>
  </si>
  <si>
    <t>Maccini</t>
  </si>
  <si>
    <t>Mazzotti</t>
  </si>
  <si>
    <t xml:space="preserve">Valentina </t>
  </si>
  <si>
    <t>Giusti</t>
  </si>
  <si>
    <t>Lizzi</t>
  </si>
  <si>
    <t>Kaculi</t>
  </si>
  <si>
    <t>Simona</t>
  </si>
  <si>
    <t>Bladino</t>
  </si>
  <si>
    <t>Bianco</t>
  </si>
  <si>
    <t>Marzano</t>
  </si>
  <si>
    <t>Ambrosini</t>
  </si>
  <si>
    <t>Mazzoleni</t>
  </si>
  <si>
    <t>Donata</t>
  </si>
  <si>
    <t>Pianon</t>
  </si>
  <si>
    <t>Redaelli</t>
  </si>
  <si>
    <t>striata marron</t>
  </si>
  <si>
    <t>Cianciulli</t>
  </si>
  <si>
    <t>Coradazzi</t>
  </si>
  <si>
    <t>Bollini</t>
  </si>
  <si>
    <t>Gariboldi</t>
  </si>
  <si>
    <t>Petrella</t>
  </si>
  <si>
    <t>Garbarino</t>
  </si>
  <si>
    <t>Premoli</t>
  </si>
  <si>
    <t>Pink Barbie</t>
  </si>
  <si>
    <t>Saka</t>
  </si>
  <si>
    <t>Benedeta</t>
  </si>
  <si>
    <t>Bindi</t>
  </si>
  <si>
    <t>Greta</t>
  </si>
  <si>
    <t>Garuti</t>
  </si>
  <si>
    <t>Cappelletto</t>
  </si>
  <si>
    <t>Pantaleoni</t>
  </si>
  <si>
    <t>Jessica</t>
  </si>
  <si>
    <t>Donà</t>
  </si>
  <si>
    <t>Raffaeli</t>
  </si>
  <si>
    <t>Arancione</t>
  </si>
  <si>
    <t>Montinaro</t>
  </si>
  <si>
    <t>Luisa</t>
  </si>
  <si>
    <t>Emanuele</t>
  </si>
  <si>
    <t>Erika</t>
  </si>
  <si>
    <t>Ferone</t>
  </si>
  <si>
    <t>Fiorenza</t>
  </si>
  <si>
    <t>Loretta</t>
  </si>
  <si>
    <t>Eleonora</t>
  </si>
  <si>
    <t>Rinaldo</t>
  </si>
  <si>
    <t>Classic Blue</t>
  </si>
  <si>
    <t>Bertorotta</t>
  </si>
  <si>
    <t>Blue Sky</t>
  </si>
  <si>
    <t>Giannetto</t>
  </si>
  <si>
    <t>Kiara</t>
  </si>
  <si>
    <t>Nichetti</t>
  </si>
  <si>
    <t>Rossato</t>
  </si>
  <si>
    <t>Miola</t>
  </si>
  <si>
    <t>Offredi</t>
  </si>
  <si>
    <t>Caruso</t>
  </si>
  <si>
    <t>Piera</t>
  </si>
  <si>
    <t>Mensi</t>
  </si>
  <si>
    <t>Vitali</t>
  </si>
  <si>
    <t>Faitanini</t>
  </si>
  <si>
    <t>Gnolfi</t>
  </si>
  <si>
    <t>Quintiliani</t>
  </si>
  <si>
    <t>Lorena</t>
  </si>
  <si>
    <t>Magistrato</t>
  </si>
  <si>
    <t>Ferri</t>
  </si>
  <si>
    <t>Dark Blue</t>
  </si>
  <si>
    <t>Pessi</t>
  </si>
  <si>
    <t>Bardazzi</t>
  </si>
  <si>
    <t>Federico</t>
  </si>
  <si>
    <t>Di Cola</t>
  </si>
  <si>
    <t>Sarcinelli</t>
  </si>
  <si>
    <t>Molinaro</t>
  </si>
  <si>
    <t>Lorenzo</t>
  </si>
  <si>
    <t>Marzola</t>
  </si>
  <si>
    <t>Thalita</t>
  </si>
  <si>
    <t>Stefenello</t>
  </si>
  <si>
    <t>Graziella</t>
  </si>
  <si>
    <t>Masciangelo</t>
  </si>
  <si>
    <t>Zanello</t>
  </si>
  <si>
    <t>Tarasconi</t>
  </si>
  <si>
    <t>Leopardo Beige</t>
  </si>
  <si>
    <t>Moradin</t>
  </si>
  <si>
    <t>Zebrata Beige/Marron</t>
  </si>
  <si>
    <t>Boccadutri</t>
  </si>
  <si>
    <t>Boehm</t>
  </si>
  <si>
    <t>Marika</t>
  </si>
  <si>
    <t>Campisi</t>
  </si>
  <si>
    <t>Massarelli</t>
  </si>
  <si>
    <t>Marsella</t>
  </si>
  <si>
    <t>Riccardi</t>
  </si>
  <si>
    <t>Valenti</t>
  </si>
  <si>
    <t>Toselli</t>
  </si>
  <si>
    <t>Boscolo</t>
  </si>
  <si>
    <t>Flavia</t>
  </si>
  <si>
    <t>Pesole</t>
  </si>
  <si>
    <t>Casa Casa</t>
  </si>
  <si>
    <t>Zebra Marron/Beige</t>
  </si>
  <si>
    <t>Soldati</t>
  </si>
  <si>
    <t>Marianna</t>
  </si>
  <si>
    <t>Gervasio</t>
  </si>
  <si>
    <t xml:space="preserve">Ottavia </t>
  </si>
  <si>
    <t>Del Pozzo</t>
  </si>
  <si>
    <t>Zebra Marron</t>
  </si>
  <si>
    <t>Valle</t>
  </si>
  <si>
    <t>Tosatti</t>
  </si>
  <si>
    <t xml:space="preserve">Vittoria </t>
  </si>
  <si>
    <t>Giommi</t>
  </si>
  <si>
    <t>Gabriella</t>
  </si>
  <si>
    <t>Bronzetti</t>
  </si>
  <si>
    <t>Massazza</t>
  </si>
  <si>
    <t>Venini</t>
  </si>
  <si>
    <t>Elisabeth</t>
  </si>
  <si>
    <t>Reinhardt</t>
  </si>
  <si>
    <t>Ilenia</t>
  </si>
  <si>
    <t>Gatti</t>
  </si>
  <si>
    <t>Casalboni</t>
  </si>
  <si>
    <t>Cultrera</t>
  </si>
  <si>
    <t>Zebra Marron (dentro viola)</t>
  </si>
  <si>
    <t>Giacomo</t>
  </si>
  <si>
    <t>Micheli</t>
  </si>
  <si>
    <t>Enrica</t>
  </si>
  <si>
    <t>Calogero</t>
  </si>
  <si>
    <t xml:space="preserve">Diletta </t>
  </si>
  <si>
    <t>Deli</t>
  </si>
  <si>
    <t>Leccisi</t>
  </si>
  <si>
    <t>Agarla</t>
  </si>
  <si>
    <t>Garola</t>
  </si>
  <si>
    <t>Gianetto</t>
  </si>
  <si>
    <t>Puggioli</t>
  </si>
  <si>
    <t>Gulminelli</t>
  </si>
  <si>
    <t>Quattrini</t>
  </si>
  <si>
    <t>Cuzzucoli</t>
  </si>
  <si>
    <t>Leonardo</t>
  </si>
  <si>
    <t>Frassine</t>
  </si>
  <si>
    <t>Fiorica</t>
  </si>
  <si>
    <t>Bellelli</t>
  </si>
  <si>
    <t>De Vicaris</t>
  </si>
  <si>
    <t>De Bernardis</t>
  </si>
  <si>
    <t>Lucrezia</t>
  </si>
  <si>
    <t>Neri</t>
  </si>
  <si>
    <t>Terruzzi</t>
  </si>
  <si>
    <t>Tosetti</t>
  </si>
  <si>
    <t>Niro</t>
  </si>
  <si>
    <t>Christian</t>
  </si>
  <si>
    <t>Somachi</t>
  </si>
  <si>
    <t>Candini</t>
  </si>
  <si>
    <t>Salvagni</t>
  </si>
  <si>
    <t>RIMBORSO</t>
  </si>
  <si>
    <t>De Francesco</t>
  </si>
  <si>
    <t>Rota</t>
  </si>
  <si>
    <t>Zigiotto</t>
  </si>
  <si>
    <t>Rosita</t>
  </si>
  <si>
    <t>Amì Gift Card</t>
  </si>
  <si>
    <t>Riva</t>
  </si>
  <si>
    <t>Trovato</t>
  </si>
  <si>
    <t>Zacheo</t>
  </si>
  <si>
    <t>Graziaplena</t>
  </si>
  <si>
    <t>Elif</t>
  </si>
  <si>
    <t>Kaplan</t>
  </si>
  <si>
    <t>Polchi</t>
  </si>
  <si>
    <t>Persico</t>
  </si>
  <si>
    <t>Sabatini</t>
  </si>
  <si>
    <t>Pasta</t>
  </si>
  <si>
    <t>Lauber</t>
  </si>
  <si>
    <t>Nude</t>
  </si>
  <si>
    <t>Matteo</t>
  </si>
  <si>
    <t>Pizzoni</t>
  </si>
  <si>
    <t>Giuseppina</t>
  </si>
  <si>
    <t>Telesca</t>
  </si>
  <si>
    <t>Imperiale</t>
  </si>
  <si>
    <t>Dalla Betta</t>
  </si>
  <si>
    <t>Pola</t>
  </si>
  <si>
    <t>Panne &amp; Verde</t>
  </si>
  <si>
    <t>Galeazzi</t>
  </si>
  <si>
    <t>Loviglio</t>
  </si>
  <si>
    <t>Lea Bag Grey</t>
  </si>
  <si>
    <t>Manghi</t>
  </si>
  <si>
    <t>Segala</t>
  </si>
  <si>
    <t>Allyson</t>
  </si>
  <si>
    <t>McCrory</t>
  </si>
  <si>
    <t>Casamenti</t>
  </si>
  <si>
    <t>Turchese</t>
  </si>
  <si>
    <t>Santomaso</t>
  </si>
  <si>
    <t>Peron</t>
  </si>
  <si>
    <t>Vernice Rossa</t>
  </si>
  <si>
    <t>Paci</t>
  </si>
  <si>
    <t>Bini</t>
  </si>
  <si>
    <t>Sperti</t>
  </si>
  <si>
    <t>Fontana</t>
  </si>
  <si>
    <t>Pomi</t>
  </si>
  <si>
    <t>Disassonia</t>
  </si>
  <si>
    <t>Maria Giovanna</t>
  </si>
  <si>
    <t>Scassera</t>
  </si>
  <si>
    <t>Silvestri</t>
  </si>
  <si>
    <t>Nicoletta</t>
  </si>
  <si>
    <t>Bosio</t>
  </si>
  <si>
    <t>Borriero</t>
  </si>
  <si>
    <t>De Luca</t>
  </si>
  <si>
    <t>Belen</t>
  </si>
  <si>
    <t>Salas</t>
  </si>
  <si>
    <t>Relic</t>
  </si>
  <si>
    <t>Dominic</t>
  </si>
  <si>
    <t>Gregorin</t>
  </si>
  <si>
    <t>Vita</t>
  </si>
  <si>
    <t>Gigante</t>
  </si>
  <si>
    <t>Soardo</t>
  </si>
  <si>
    <t>Valvano</t>
  </si>
  <si>
    <t>Mozzatti</t>
  </si>
  <si>
    <t xml:space="preserve">Leopardo </t>
  </si>
  <si>
    <t>Leoni</t>
  </si>
  <si>
    <t>Isotta</t>
  </si>
  <si>
    <t>Sportelli</t>
  </si>
  <si>
    <t>Danilo</t>
  </si>
  <si>
    <t>Verde</t>
  </si>
  <si>
    <t>Ciollaro</t>
  </si>
  <si>
    <t>Torazzi</t>
  </si>
  <si>
    <t>Stefania</t>
  </si>
  <si>
    <t>Sangiorgi</t>
  </si>
  <si>
    <t>Pacchiarini</t>
  </si>
  <si>
    <t>Flaminia</t>
  </si>
  <si>
    <t>Mezzi</t>
  </si>
  <si>
    <t>Zago</t>
  </si>
  <si>
    <t>Vito</t>
  </si>
  <si>
    <t>Trombino</t>
  </si>
  <si>
    <t>Strada</t>
  </si>
  <si>
    <t>De Marchi</t>
  </si>
  <si>
    <t>Clarice</t>
  </si>
  <si>
    <t>Cavallaro</t>
  </si>
  <si>
    <t>Felice</t>
  </si>
  <si>
    <t>Angiero</t>
  </si>
  <si>
    <t>Sommaruga</t>
  </si>
  <si>
    <t>Antenna</t>
  </si>
  <si>
    <t>Testino</t>
  </si>
  <si>
    <t>Romano Ferulli</t>
  </si>
  <si>
    <t>Celiento</t>
  </si>
  <si>
    <t>Sarah</t>
  </si>
  <si>
    <t>Rizzo</t>
  </si>
  <si>
    <t>Ferrari</t>
  </si>
  <si>
    <t>Milena</t>
  </si>
  <si>
    <t>Chiola</t>
  </si>
  <si>
    <t>Cotogni</t>
  </si>
  <si>
    <t>Annalena</t>
  </si>
  <si>
    <t>Della Corte</t>
  </si>
  <si>
    <t>Ines</t>
  </si>
  <si>
    <t>Natuzzi</t>
  </si>
  <si>
    <t>Rossella</t>
  </si>
  <si>
    <t>Frattini</t>
  </si>
  <si>
    <t>Pagani</t>
  </si>
  <si>
    <t>Lagomarsino</t>
  </si>
  <si>
    <t>Baldini</t>
  </si>
  <si>
    <t>De Pace</t>
  </si>
  <si>
    <t>Romanetti</t>
  </si>
  <si>
    <t>Zanette</t>
  </si>
  <si>
    <t>Maida</t>
  </si>
  <si>
    <t>Marina Bruns</t>
  </si>
  <si>
    <t>Ruffo</t>
  </si>
  <si>
    <t>Sonia</t>
  </si>
  <si>
    <t>Bonassi</t>
  </si>
  <si>
    <t>Della Chiesa</t>
  </si>
  <si>
    <t>2 Bustine Large + cerchio L</t>
  </si>
  <si>
    <t>Mauri</t>
  </si>
  <si>
    <t>Alexandre</t>
  </si>
  <si>
    <t>Barthere</t>
  </si>
  <si>
    <t>Fenogli</t>
  </si>
  <si>
    <t>Ketty</t>
  </si>
  <si>
    <t>Tripodl</t>
  </si>
  <si>
    <t>Roveglia</t>
  </si>
  <si>
    <t>Valentino</t>
  </si>
  <si>
    <t>Red Velvet</t>
  </si>
  <si>
    <t>Pirani</t>
  </si>
  <si>
    <t>Grando</t>
  </si>
  <si>
    <t>Scardigno</t>
  </si>
  <si>
    <t>Bino</t>
  </si>
  <si>
    <t>Citterio</t>
  </si>
  <si>
    <t>Daniela</t>
  </si>
  <si>
    <t>Falzoni</t>
  </si>
  <si>
    <t>Francesca Costantino</t>
  </si>
  <si>
    <t>Scirocco</t>
  </si>
  <si>
    <t>Natalia</t>
  </si>
  <si>
    <t>Guerra</t>
  </si>
  <si>
    <t>Rubino</t>
  </si>
  <si>
    <t>Di Mario</t>
  </si>
  <si>
    <t>Vernice Viola Malva</t>
  </si>
  <si>
    <t xml:space="preserve">Valeria </t>
  </si>
  <si>
    <t>Olivieri</t>
  </si>
  <si>
    <t>Boroli</t>
  </si>
  <si>
    <t>Susanna</t>
  </si>
  <si>
    <t>Pasolini</t>
  </si>
  <si>
    <t>Padulazzi</t>
  </si>
  <si>
    <t>Airpods Case + Midi Case</t>
  </si>
  <si>
    <t>Maria Eugenia</t>
  </si>
  <si>
    <t>Cardulo</t>
  </si>
  <si>
    <t>AIRPODS CASE</t>
  </si>
  <si>
    <t>Pony Leopard</t>
  </si>
  <si>
    <t>Vaccher</t>
  </si>
  <si>
    <t>Pacelli</t>
  </si>
  <si>
    <t>Marconi</t>
  </si>
  <si>
    <t>Mariangelest</t>
  </si>
  <si>
    <t>Traglia</t>
  </si>
  <si>
    <t>Andrea</t>
  </si>
  <si>
    <t>Muccata Nera</t>
  </si>
  <si>
    <t>Franco</t>
  </si>
  <si>
    <t>Silvia Nicoletta</t>
  </si>
  <si>
    <t>Del Nero</t>
  </si>
  <si>
    <t>Semeraro</t>
  </si>
  <si>
    <t>Armaroli</t>
  </si>
  <si>
    <t>Filippo</t>
  </si>
  <si>
    <t>Giorgi</t>
  </si>
  <si>
    <t>Scalmana</t>
  </si>
  <si>
    <t>Cappelletti</t>
  </si>
  <si>
    <t>Maccagnolo</t>
  </si>
  <si>
    <t>Nera</t>
  </si>
  <si>
    <t>De Angelis</t>
  </si>
  <si>
    <t>Piccoli</t>
  </si>
  <si>
    <t>Marrone Chocolate</t>
  </si>
  <si>
    <t>LOLA BAG + CHARM</t>
  </si>
  <si>
    <t>Bassano</t>
  </si>
  <si>
    <t>Cristiano</t>
  </si>
  <si>
    <t>Crimi</t>
  </si>
  <si>
    <t>Iohn</t>
  </si>
  <si>
    <t>Scuro</t>
  </si>
  <si>
    <t>Mauro</t>
  </si>
  <si>
    <t>Longari</t>
  </si>
  <si>
    <t>Yasmeen</t>
  </si>
  <si>
    <t>Zuffetti</t>
  </si>
  <si>
    <t>Todisco</t>
  </si>
  <si>
    <t>Cambiaso</t>
  </si>
  <si>
    <t>Rocchini</t>
  </si>
  <si>
    <t>Paillettes Beige</t>
  </si>
  <si>
    <t>Angeleri</t>
  </si>
  <si>
    <t>Lea Bag Leopardo Beige</t>
  </si>
  <si>
    <t>Benedetta Gaia</t>
  </si>
  <si>
    <t>Pala</t>
  </si>
  <si>
    <t>De Vicariis</t>
  </si>
  <si>
    <t>Rocchi</t>
  </si>
  <si>
    <t>Erroi</t>
  </si>
  <si>
    <t>Pony Zebra</t>
  </si>
  <si>
    <t>Stucchi</t>
  </si>
  <si>
    <t>Gabriele</t>
  </si>
  <si>
    <t>Rubini</t>
  </si>
  <si>
    <t>Miriam</t>
  </si>
  <si>
    <t>Laurolia</t>
  </si>
  <si>
    <t>Tempestini</t>
  </si>
  <si>
    <t>Maggi</t>
  </si>
  <si>
    <t>Giovanelli</t>
  </si>
  <si>
    <t>MIDI CASE</t>
  </si>
  <si>
    <t>Massimilanio</t>
  </si>
  <si>
    <t>Golleri</t>
  </si>
  <si>
    <t>Cococcia</t>
  </si>
  <si>
    <t>Cozzi</t>
  </si>
  <si>
    <t>Pink Velvet</t>
  </si>
  <si>
    <t>Agostino Villa</t>
  </si>
  <si>
    <t>Luraschi</t>
  </si>
  <si>
    <t>Grossoni</t>
  </si>
  <si>
    <t>Massimiliano</t>
  </si>
  <si>
    <t>Montani</t>
  </si>
  <si>
    <t>Ardemagni</t>
  </si>
  <si>
    <t>Guazzo</t>
  </si>
  <si>
    <t>Rapazzini</t>
  </si>
  <si>
    <t>Munao</t>
  </si>
  <si>
    <t>Gianmarco</t>
  </si>
  <si>
    <t>Pizzuto</t>
  </si>
  <si>
    <t>Mirra</t>
  </si>
  <si>
    <t>Antonietta</t>
  </si>
  <si>
    <t>Caputo</t>
  </si>
  <si>
    <t>Stacchiotti</t>
  </si>
  <si>
    <t>Gianluigi</t>
  </si>
  <si>
    <t>Russo</t>
  </si>
  <si>
    <t>Tito Mario</t>
  </si>
  <si>
    <t>Bassi</t>
  </si>
  <si>
    <t>Giovanna</t>
  </si>
  <si>
    <t>Ruffini</t>
  </si>
  <si>
    <t>Ficcadenti</t>
  </si>
  <si>
    <t>BON.VI x Amì Milano - RED</t>
  </si>
  <si>
    <t>Lolli</t>
  </si>
  <si>
    <t>Guidetti</t>
  </si>
  <si>
    <t>Carutti</t>
  </si>
  <si>
    <t>Meglini</t>
  </si>
  <si>
    <t>ANNIE BAG PERLINE</t>
  </si>
  <si>
    <t>Faustino</t>
  </si>
  <si>
    <t>Cinquini</t>
  </si>
  <si>
    <t>paillettes Green</t>
  </si>
  <si>
    <t>Tronci</t>
  </si>
  <si>
    <t>Fassio</t>
  </si>
  <si>
    <t>OTHER (FATTURA)</t>
  </si>
  <si>
    <t>Olivia</t>
  </si>
  <si>
    <t>Tessari</t>
  </si>
  <si>
    <t>De Grenet</t>
  </si>
  <si>
    <t>revolut</t>
  </si>
  <si>
    <t>da verificare</t>
  </si>
  <si>
    <t>Ragazza</t>
  </si>
  <si>
    <t>Falini</t>
  </si>
  <si>
    <t>bonifico</t>
  </si>
  <si>
    <t>Consorzio</t>
  </si>
  <si>
    <t>Trage</t>
  </si>
  <si>
    <t>Costalunga</t>
  </si>
  <si>
    <t>Anais</t>
  </si>
  <si>
    <t>Fanfani</t>
  </si>
  <si>
    <t>Amico Fred</t>
  </si>
  <si>
    <t>Mita</t>
  </si>
  <si>
    <t>Hanna</t>
  </si>
  <si>
    <t xml:space="preserve">REGALO </t>
  </si>
  <si>
    <t>ANITA COACH</t>
  </si>
  <si>
    <t>Elefanti</t>
  </si>
  <si>
    <t>Mimi a lamer</t>
  </si>
  <si>
    <t>Bellassai</t>
  </si>
  <si>
    <t>NERA</t>
  </si>
  <si>
    <t>Rinalda</t>
  </si>
  <si>
    <t>Grazia</t>
  </si>
  <si>
    <t>Tonoletti</t>
  </si>
  <si>
    <t>RIGHE</t>
  </si>
  <si>
    <t>Clara</t>
  </si>
  <si>
    <t>Lasagna</t>
  </si>
  <si>
    <t>Lomuzio</t>
  </si>
  <si>
    <t>Mariella</t>
  </si>
  <si>
    <t>Capella</t>
  </si>
  <si>
    <t>Elena Benedetta</t>
  </si>
  <si>
    <t>Bruni</t>
  </si>
  <si>
    <t>ludovica</t>
  </si>
  <si>
    <t>audisio</t>
  </si>
  <si>
    <t>29/04/24</t>
  </si>
  <si>
    <t>30/04/24</t>
  </si>
  <si>
    <t>Gianluca</t>
  </si>
  <si>
    <t>Mzf93</t>
  </si>
  <si>
    <t>nome ig</t>
  </si>
  <si>
    <t>contanti</t>
  </si>
  <si>
    <t>VALENTINA</t>
  </si>
  <si>
    <t>CANCELLIERI</t>
  </si>
  <si>
    <t>Chicca</t>
  </si>
  <si>
    <t>MUCCATA</t>
  </si>
  <si>
    <t>Sofia Goetz</t>
  </si>
  <si>
    <t>LISA CORTI</t>
  </si>
  <si>
    <t>pos</t>
  </si>
  <si>
    <t xml:space="preserve">Guglielmo </t>
  </si>
  <si>
    <t>difettata</t>
  </si>
  <si>
    <t>paypal benni</t>
  </si>
  <si>
    <t>RAFIA</t>
  </si>
  <si>
    <t>POP UP CORSO VENEZIA</t>
  </si>
  <si>
    <t>Colucci</t>
  </si>
  <si>
    <t>paillettes marron</t>
  </si>
  <si>
    <t>Ada</t>
  </si>
  <si>
    <t>LEOPARDATA</t>
  </si>
  <si>
    <t>Bisciotti</t>
  </si>
  <si>
    <t>Perinelli</t>
  </si>
  <si>
    <t>Stylist Alessia Lanza</t>
  </si>
  <si>
    <t>Tremolada</t>
  </si>
  <si>
    <t>Annacarla</t>
  </si>
  <si>
    <t>Secchi</t>
  </si>
  <si>
    <t>RAFIA ORO</t>
  </si>
  <si>
    <t>rosa seta</t>
  </si>
  <si>
    <t>Cinzia</t>
  </si>
  <si>
    <t>Cattoni</t>
  </si>
  <si>
    <t>in paillettes</t>
  </si>
  <si>
    <t>velluto rosa</t>
  </si>
  <si>
    <t>EMANUELA</t>
  </si>
  <si>
    <t>FORTUNA</t>
  </si>
  <si>
    <t>arancione</t>
  </si>
  <si>
    <t xml:space="preserve">Giselle </t>
  </si>
  <si>
    <t>Longo</t>
  </si>
  <si>
    <t>VERNICE ROSA</t>
  </si>
  <si>
    <t xml:space="preserve">Cecilia </t>
  </si>
  <si>
    <t>raso bordoux</t>
  </si>
  <si>
    <t>cash (li ha ginni)</t>
  </si>
  <si>
    <t>Giammancheri</t>
  </si>
  <si>
    <t>Broggini</t>
  </si>
  <si>
    <t>Pingu</t>
  </si>
  <si>
    <t>Alberta</t>
  </si>
  <si>
    <t>Bovio</t>
  </si>
  <si>
    <t>Grigia</t>
  </si>
  <si>
    <t>Katerina</t>
  </si>
  <si>
    <t>Guia</t>
  </si>
  <si>
    <t>Bonvicini</t>
  </si>
  <si>
    <t>seta marron</t>
  </si>
  <si>
    <t>Crema</t>
  </si>
  <si>
    <t>rosa antico</t>
  </si>
  <si>
    <t>seta verde</t>
  </si>
  <si>
    <t>Allegra</t>
  </si>
  <si>
    <t>Fiorentino</t>
  </si>
  <si>
    <t>CAMOSCIO</t>
  </si>
  <si>
    <t>carta</t>
  </si>
  <si>
    <t>se ne occupa ginni</t>
  </si>
  <si>
    <t>cash ginni</t>
  </si>
  <si>
    <t>POP UP CORSO MAGENTA</t>
  </si>
  <si>
    <t>raso rosa</t>
  </si>
  <si>
    <t>rosa scuro</t>
  </si>
  <si>
    <t>Lanzoni</t>
  </si>
  <si>
    <t>ZEBRA MARRONE</t>
  </si>
  <si>
    <t>Nilla Spinelli</t>
  </si>
  <si>
    <t>Iannascoli</t>
  </si>
  <si>
    <t>Candida</t>
  </si>
  <si>
    <t>Mistrorigo</t>
  </si>
  <si>
    <t>BLU CLASSIC</t>
  </si>
  <si>
    <t>RIGHE VERDI</t>
  </si>
  <si>
    <t>Borsari</t>
  </si>
  <si>
    <t>Thun</t>
  </si>
  <si>
    <t>RIGHE ROSA</t>
  </si>
  <si>
    <t>cash (me li deve dare)</t>
  </si>
  <si>
    <t>cash che ha ginni</t>
  </si>
  <si>
    <t>revolut ginni</t>
  </si>
  <si>
    <t>Matturi</t>
  </si>
  <si>
    <t>paillettes azzurra</t>
  </si>
  <si>
    <t>Brizzola</t>
  </si>
  <si>
    <t>prototipo (deve 5)</t>
  </si>
  <si>
    <t>Mosca</t>
  </si>
  <si>
    <t>con catena</t>
  </si>
  <si>
    <t>POP UP GENEVA</t>
  </si>
  <si>
    <t>Tronchetti Provera</t>
  </si>
  <si>
    <t>Arancio</t>
  </si>
  <si>
    <t>Greco</t>
  </si>
  <si>
    <t>Carlo</t>
  </si>
  <si>
    <t>Rusconi</t>
  </si>
  <si>
    <t>Difetto</t>
  </si>
  <si>
    <t>Giuliani</t>
  </si>
  <si>
    <t>Matilda</t>
  </si>
  <si>
    <t>Croce</t>
  </si>
  <si>
    <t>petrolio</t>
  </si>
  <si>
    <t>CASH CHE PRENDE GINNI</t>
  </si>
  <si>
    <t>in Paillettes</t>
  </si>
  <si>
    <t>Spiro</t>
  </si>
  <si>
    <t>DEVE PAGARE</t>
  </si>
  <si>
    <t>Pedersoli</t>
  </si>
  <si>
    <t>Amica Mamma Gio</t>
  </si>
  <si>
    <t>rosa cipria</t>
  </si>
  <si>
    <t>Bluette</t>
  </si>
  <si>
    <t>CONSEGNATA DEVE PAGARE</t>
  </si>
  <si>
    <t>ZEBRATA MARRONE</t>
  </si>
  <si>
    <t>Negrisoli</t>
  </si>
  <si>
    <t>paypal benni (adv)</t>
  </si>
  <si>
    <t>POP UP CORSO GARIBALDI</t>
  </si>
  <si>
    <t>Roesen</t>
  </si>
  <si>
    <t>ARANCIO E FUCSIA</t>
  </si>
  <si>
    <t>Domique</t>
  </si>
  <si>
    <t>Ferrario</t>
  </si>
  <si>
    <t>Dominique</t>
  </si>
  <si>
    <t>Sulfaro</t>
  </si>
  <si>
    <t>Rosa chiaro</t>
  </si>
  <si>
    <t xml:space="preserve">Manfredi </t>
  </si>
  <si>
    <t>Maniscalco</t>
  </si>
  <si>
    <t>Francescamaria</t>
  </si>
  <si>
    <t>Salemi</t>
  </si>
  <si>
    <t>Rosa antico</t>
  </si>
  <si>
    <t>Cice Amica Carli</t>
  </si>
  <si>
    <t>BIANCA E VERDE</t>
  </si>
  <si>
    <t>Iuliani</t>
  </si>
  <si>
    <t xml:space="preserve">ANNIE BAG PERLINE </t>
  </si>
  <si>
    <t>con perline</t>
  </si>
  <si>
    <t>Li Donni</t>
  </si>
  <si>
    <t>con paillettes</t>
  </si>
  <si>
    <t>Nacci</t>
  </si>
  <si>
    <t>Pasqualini</t>
  </si>
  <si>
    <t xml:space="preserve">Velluto Ocra </t>
  </si>
  <si>
    <t>Lorenza</t>
  </si>
  <si>
    <t>Quaglia</t>
  </si>
  <si>
    <t>Ragazza vendita</t>
  </si>
  <si>
    <t>Verde petrolio</t>
  </si>
  <si>
    <t>Petrone</t>
  </si>
  <si>
    <t>YELLOW</t>
  </si>
  <si>
    <t>Maria Beatrice</t>
  </si>
  <si>
    <t>Feroci</t>
  </si>
  <si>
    <t>Alberto</t>
  </si>
  <si>
    <t>Agostini</t>
  </si>
  <si>
    <t>BICOLOR</t>
  </si>
  <si>
    <t>RICORDARE</t>
  </si>
  <si>
    <t>OTTAVIA PORCARIA</t>
  </si>
  <si>
    <t xml:space="preserve">Morgana </t>
  </si>
  <si>
    <t>Di Mancini</t>
  </si>
  <si>
    <t>STAMPA ANIMALIER</t>
  </si>
  <si>
    <t xml:space="preserve">lorenza </t>
  </si>
  <si>
    <t>fassio</t>
  </si>
  <si>
    <t>Cagnetta</t>
  </si>
  <si>
    <t>ARDATA</t>
  </si>
  <si>
    <t>rosa paietes</t>
  </si>
  <si>
    <t>Ioanna</t>
  </si>
  <si>
    <t>Fragaki</t>
  </si>
  <si>
    <t>Rayneri</t>
  </si>
  <si>
    <t>scotti</t>
  </si>
  <si>
    <t>rosa pallido</t>
  </si>
  <si>
    <t>Maria Camilla</t>
  </si>
  <si>
    <t>Ferracini</t>
  </si>
  <si>
    <t>e Fucsia</t>
  </si>
  <si>
    <t>maria</t>
  </si>
  <si>
    <t>valtellino</t>
  </si>
  <si>
    <t>Fraioli</t>
  </si>
  <si>
    <t>e Arancio</t>
  </si>
  <si>
    <t>Pedon</t>
  </si>
  <si>
    <t>cordino turchese</t>
  </si>
  <si>
    <t>Trevisan Volta</t>
  </si>
  <si>
    <t>Menozzi</t>
  </si>
  <si>
    <t>Vella</t>
  </si>
  <si>
    <t>ARGENTO</t>
  </si>
  <si>
    <t>Perotti</t>
  </si>
  <si>
    <t>BLU ELETTRIA</t>
  </si>
  <si>
    <t>Ragazza libanese</t>
  </si>
  <si>
    <t>e Bluette</t>
  </si>
  <si>
    <t>Raso Mattone</t>
  </si>
  <si>
    <t>Vaira</t>
  </si>
  <si>
    <t>STRIATA</t>
  </si>
  <si>
    <t xml:space="preserve">Faccioli Eterno </t>
  </si>
  <si>
    <t>Bianchi</t>
  </si>
  <si>
    <t>RAGAZZA STRANIERA</t>
  </si>
  <si>
    <t>Mojioli</t>
  </si>
  <si>
    <t>FUCSIA</t>
  </si>
  <si>
    <t>Petrongari</t>
  </si>
  <si>
    <t>C EST LA VI</t>
  </si>
  <si>
    <t>DA CONSEGNARE</t>
  </si>
  <si>
    <t>Anna Maria</t>
  </si>
  <si>
    <t>Fisichella</t>
  </si>
  <si>
    <t>Paillettes red</t>
  </si>
  <si>
    <t>Bonifico in attesa</t>
  </si>
  <si>
    <t>Ansbacher</t>
  </si>
  <si>
    <t xml:space="preserve">Davide </t>
  </si>
  <si>
    <t>Barni</t>
  </si>
  <si>
    <t>Luce</t>
  </si>
  <si>
    <t>Zuanelli</t>
  </si>
  <si>
    <t xml:space="preserve">Costanza </t>
  </si>
  <si>
    <t>Suriano</t>
  </si>
  <si>
    <t>Santana</t>
  </si>
  <si>
    <t>MARRON</t>
  </si>
  <si>
    <t>AVVISARE</t>
  </si>
  <si>
    <t>giulia.lavarini@hotmail.it</t>
  </si>
  <si>
    <t>cordino verde</t>
  </si>
  <si>
    <t>sofiabodino7@gmail.com</t>
  </si>
  <si>
    <t>fredmazz98@outlook.it</t>
  </si>
  <si>
    <t xml:space="preserve">Elisa </t>
  </si>
  <si>
    <t>Vullo</t>
  </si>
  <si>
    <t>ZEBRATA MARA</t>
  </si>
  <si>
    <t>LEA BAG STRIATA MARA</t>
  </si>
  <si>
    <t>Mottola</t>
  </si>
  <si>
    <t>Di Filippo</t>
  </si>
  <si>
    <t>Notari</t>
  </si>
  <si>
    <t>Binelli</t>
  </si>
  <si>
    <t>Nonna Ginni</t>
  </si>
  <si>
    <t>Nina</t>
  </si>
  <si>
    <t>Barba</t>
  </si>
  <si>
    <t>cash + paypal</t>
  </si>
  <si>
    <t>Annasofia</t>
  </si>
  <si>
    <t>Morini</t>
  </si>
  <si>
    <t xml:space="preserve">MARTA </t>
  </si>
  <si>
    <t>MOLESINI</t>
  </si>
  <si>
    <t>PETROLIO</t>
  </si>
  <si>
    <t>pagamento come?</t>
  </si>
  <si>
    <t>Sasha</t>
  </si>
  <si>
    <t>Regazzoni</t>
  </si>
  <si>
    <t>perlina difetto</t>
  </si>
  <si>
    <t>Meda</t>
  </si>
  <si>
    <t>BLU NIGHT</t>
  </si>
  <si>
    <t>GINEVRA</t>
  </si>
  <si>
    <t>ZANUSO</t>
  </si>
  <si>
    <t>ALEX</t>
  </si>
  <si>
    <t>Berenghi</t>
  </si>
  <si>
    <t>POP UP CORSO VIA STATUTO</t>
  </si>
  <si>
    <t>GRIGIO TOPO</t>
  </si>
  <si>
    <t>Fedrigotti</t>
  </si>
  <si>
    <t>Patechi</t>
  </si>
  <si>
    <t>Farinet</t>
  </si>
  <si>
    <t>De Negris</t>
  </si>
  <si>
    <t>Agnolin</t>
  </si>
  <si>
    <t>Brinza</t>
  </si>
  <si>
    <t>BEIGEA</t>
  </si>
  <si>
    <t>ANIMALIER ZEBRATA</t>
  </si>
  <si>
    <t>Montanelli</t>
  </si>
  <si>
    <t>Mandica</t>
  </si>
  <si>
    <t>Rivelli</t>
  </si>
  <si>
    <t>Masetti</t>
  </si>
  <si>
    <t>Gasperini</t>
  </si>
  <si>
    <t>Galanti</t>
  </si>
  <si>
    <t xml:space="preserve">LEOPARDO SCURO </t>
  </si>
  <si>
    <t>Ribotta</t>
  </si>
  <si>
    <t>Amelie</t>
  </si>
  <si>
    <t>Francavilla</t>
  </si>
  <si>
    <t>Costanza Firpo</t>
  </si>
  <si>
    <t>Daniore</t>
  </si>
  <si>
    <t>Branca</t>
  </si>
  <si>
    <t>ZEBRATA MARRON</t>
  </si>
  <si>
    <t>Dabarto</t>
  </si>
  <si>
    <t>Cataudella</t>
  </si>
  <si>
    <t>LEOPARDO SCURA</t>
  </si>
  <si>
    <t>Poppi</t>
  </si>
  <si>
    <t>Guida</t>
  </si>
  <si>
    <t>Duati</t>
  </si>
  <si>
    <t>TIE DIE NERA</t>
  </si>
  <si>
    <t>Penati</t>
  </si>
  <si>
    <t>Gambarini</t>
  </si>
  <si>
    <t>Rondelli</t>
  </si>
  <si>
    <t>Floro</t>
  </si>
  <si>
    <t>ZEBRATA BEIGE/MARRON</t>
  </si>
  <si>
    <t xml:space="preserve">Alice </t>
  </si>
  <si>
    <t>guidi</t>
  </si>
  <si>
    <t>Cinali</t>
  </si>
  <si>
    <t>Dalla Bona</t>
  </si>
  <si>
    <t>Emi</t>
  </si>
  <si>
    <t>LEOPARDO SCA</t>
  </si>
  <si>
    <t>Antonacci</t>
  </si>
  <si>
    <t>BEIA</t>
  </si>
  <si>
    <t>Promontorio</t>
  </si>
  <si>
    <t>Zakaria</t>
  </si>
  <si>
    <t>Vincenzo</t>
  </si>
  <si>
    <t>CAPIRE COME PAGARE</t>
  </si>
  <si>
    <t>Revolut Ginni o IBAN</t>
  </si>
  <si>
    <t>contanti benni</t>
  </si>
  <si>
    <t>Coazzoli</t>
  </si>
  <si>
    <t>Assicuratore Gio</t>
  </si>
  <si>
    <t>conto ginni (deve prelevare cash)</t>
  </si>
  <si>
    <t>Anna Sofia</t>
  </si>
  <si>
    <t>BLU SCURO</t>
  </si>
  <si>
    <t>MACULATA BEIGE</t>
  </si>
  <si>
    <t>Gambarino</t>
  </si>
  <si>
    <t>Zagaria</t>
  </si>
  <si>
    <t>Amica Alberta Bovio</t>
  </si>
  <si>
    <t>BORDEAUX DIFETTATA</t>
  </si>
  <si>
    <t>Teresa</t>
  </si>
  <si>
    <t>Lazzaroni</t>
  </si>
  <si>
    <t>interno ocra</t>
  </si>
  <si>
    <t>capire con ginni se con o senza catena</t>
  </si>
  <si>
    <t>Maura</t>
  </si>
  <si>
    <t>Cortose</t>
  </si>
  <si>
    <t>LEOPARDO CHA</t>
  </si>
  <si>
    <t>LEOPARDO MEA</t>
  </si>
  <si>
    <t>POP UP VIA STATUTO</t>
  </si>
  <si>
    <t>Covelli</t>
  </si>
  <si>
    <t>Minoia</t>
  </si>
  <si>
    <t>Rusa</t>
  </si>
  <si>
    <t>LEOPARDO MEDIA</t>
  </si>
  <si>
    <t>Mirella</t>
  </si>
  <si>
    <t>Lamacchia</t>
  </si>
  <si>
    <t>BUSTINA SMALL</t>
  </si>
  <si>
    <t>Agnese</t>
  </si>
  <si>
    <t>Verdona Velluto</t>
  </si>
  <si>
    <t>Tronconi</t>
  </si>
  <si>
    <t>Manili</t>
  </si>
  <si>
    <t>Viola Maria</t>
  </si>
  <si>
    <t>Cicogna</t>
  </si>
  <si>
    <t>Chirico</t>
  </si>
  <si>
    <t>BUSTINA LARGE</t>
  </si>
  <si>
    <t>Bustina</t>
  </si>
  <si>
    <t xml:space="preserve">Beatrice </t>
  </si>
  <si>
    <t>Chiarletti</t>
  </si>
  <si>
    <t>revolut benni</t>
  </si>
  <si>
    <t>Bona</t>
  </si>
  <si>
    <t>Lorenzi</t>
  </si>
  <si>
    <t>LEOPARDO CHIARO</t>
  </si>
  <si>
    <t>Di Molfetta</t>
  </si>
  <si>
    <t>Cairoli</t>
  </si>
  <si>
    <t>Paolo Vannucchi</t>
  </si>
  <si>
    <t>Federica Garimoldi</t>
  </si>
  <si>
    <t>Corno</t>
  </si>
  <si>
    <t>VELLUTO ROSSO</t>
  </si>
  <si>
    <t>perline rosa</t>
  </si>
  <si>
    <t>Giovannetti</t>
  </si>
  <si>
    <t>Ferrari Ardicini</t>
  </si>
  <si>
    <t>PORTACHIAVI</t>
  </si>
  <si>
    <t>Marta Molesini</t>
  </si>
  <si>
    <t>Mamma Fil De Pasquale</t>
  </si>
  <si>
    <t>Vernice Viola</t>
  </si>
  <si>
    <t xml:space="preserve">carta di credito </t>
  </si>
  <si>
    <t>Braghenti</t>
  </si>
  <si>
    <t>Nardini</t>
  </si>
  <si>
    <t>Paillettes Verde</t>
  </si>
  <si>
    <t>RAGAZZA</t>
  </si>
  <si>
    <t>Velluto Blu</t>
  </si>
  <si>
    <t>Federica (ANNA)</t>
  </si>
  <si>
    <t>Chiregato (COSTALUNGA)</t>
  </si>
  <si>
    <t>Velluto Ottanio</t>
  </si>
  <si>
    <t xml:space="preserve">Gianluca </t>
  </si>
  <si>
    <t>XX</t>
  </si>
  <si>
    <t>Raso Rosa</t>
  </si>
  <si>
    <t>Cavallino Arancione</t>
  </si>
  <si>
    <t>Maria Laura</t>
  </si>
  <si>
    <t>POP UP SCILE</t>
  </si>
  <si>
    <t xml:space="preserve">Cristina </t>
  </si>
  <si>
    <t>cerchio</t>
  </si>
  <si>
    <t xml:space="preserve">RAGAZZA </t>
  </si>
  <si>
    <t>Margaret</t>
  </si>
  <si>
    <t>Commellato</t>
  </si>
  <si>
    <t>Manfredi</t>
  </si>
  <si>
    <t>Barbera</t>
  </si>
  <si>
    <t>Merati</t>
  </si>
  <si>
    <t>Soave</t>
  </si>
  <si>
    <t>BLU</t>
  </si>
  <si>
    <t>Linda</t>
  </si>
  <si>
    <t>Engel Pelu</t>
  </si>
  <si>
    <t>Lucia Emma</t>
  </si>
  <si>
    <t>Avolio</t>
  </si>
  <si>
    <t>SIGNORE</t>
  </si>
  <si>
    <t>DIFETTATA</t>
  </si>
  <si>
    <t>Vincenzo (era greta)</t>
  </si>
  <si>
    <t>conto ginni x prelievo (revolut)</t>
  </si>
  <si>
    <t>Mariotti</t>
  </si>
  <si>
    <t>Chiarini</t>
  </si>
  <si>
    <t>Marrone</t>
  </si>
  <si>
    <t>Marina Simona</t>
  </si>
  <si>
    <t>Vergini</t>
  </si>
  <si>
    <t>BLACK SCURO</t>
  </si>
  <si>
    <t>Nero + cerchio</t>
  </si>
  <si>
    <t>Melandri</t>
  </si>
  <si>
    <t>VERNICE ROSSO</t>
  </si>
  <si>
    <t>Prandi</t>
  </si>
  <si>
    <t>Paillettes Rosa</t>
  </si>
  <si>
    <t>leopardo</t>
  </si>
  <si>
    <t>Francesca Amica Barbara</t>
  </si>
  <si>
    <t>Velluto Verde</t>
  </si>
  <si>
    <t>Francesconi</t>
  </si>
  <si>
    <t>Crisante</t>
  </si>
  <si>
    <t>LEOPARDO NORMALE</t>
  </si>
  <si>
    <t>COCCO MARRONE</t>
  </si>
  <si>
    <t>Margheria</t>
  </si>
  <si>
    <t>Calegari</t>
  </si>
  <si>
    <t>ginni si mette d'accordo</t>
  </si>
  <si>
    <t xml:space="preserve">Filippo </t>
  </si>
  <si>
    <t>Ruggeri</t>
  </si>
  <si>
    <t xml:space="preserve">Giulia </t>
  </si>
  <si>
    <t>blu velluto</t>
  </si>
  <si>
    <t>conto ginni (revolut)</t>
  </si>
  <si>
    <t>Millo</t>
  </si>
  <si>
    <t>Mamma Gio</t>
  </si>
  <si>
    <t>Borella</t>
  </si>
  <si>
    <t>Jasmine</t>
  </si>
  <si>
    <t>Santhilla Beretta</t>
  </si>
  <si>
    <t>bonifico bancario</t>
  </si>
  <si>
    <t>POP UP CORSO GARIBALDI 44</t>
  </si>
  <si>
    <t>Sana</t>
  </si>
  <si>
    <t>Paillettes Grigio</t>
  </si>
  <si>
    <t>Turchese fodera gialla</t>
  </si>
  <si>
    <t>ragazza</t>
  </si>
  <si>
    <t>ragazza 2</t>
  </si>
  <si>
    <t>MAMMA MATTEO COLUCCI</t>
  </si>
  <si>
    <t>VALLAPERTA</t>
  </si>
  <si>
    <t xml:space="preserve">Minella </t>
  </si>
  <si>
    <t>Minella</t>
  </si>
  <si>
    <t>Vittorio</t>
  </si>
  <si>
    <t>Baglioni</t>
  </si>
  <si>
    <t>paillettes grigio</t>
  </si>
  <si>
    <t>Navila</t>
  </si>
  <si>
    <t>Abdelaziz</t>
  </si>
  <si>
    <t>Davice</t>
  </si>
  <si>
    <t>Bellipace</t>
  </si>
  <si>
    <t>Madein.C</t>
  </si>
  <si>
    <t>SCURO</t>
  </si>
  <si>
    <t>MONTONE NERA</t>
  </si>
  <si>
    <t>Milanese</t>
  </si>
  <si>
    <t>Leopardo chiaro</t>
  </si>
  <si>
    <t>Commercialista</t>
  </si>
  <si>
    <t>turchese|giallo</t>
  </si>
  <si>
    <t>Charm con Bonvi</t>
  </si>
  <si>
    <t>Martino</t>
  </si>
  <si>
    <t>Da Col</t>
  </si>
  <si>
    <t xml:space="preserve">Virginia </t>
  </si>
  <si>
    <t>Lorenzetti</t>
  </si>
  <si>
    <t>PINK BARBIEA</t>
  </si>
  <si>
    <t>Pizzato</t>
  </si>
  <si>
    <t>Attolico (FAKE)</t>
  </si>
  <si>
    <t>Fabbri</t>
  </si>
  <si>
    <t>Leopardo scuro</t>
  </si>
  <si>
    <t>Fabbi</t>
  </si>
  <si>
    <t>Verde Vernice</t>
  </si>
  <si>
    <t xml:space="preserve">XMAS MARKET </t>
  </si>
  <si>
    <t>Antonio Maria</t>
  </si>
  <si>
    <t>Di Marco</t>
  </si>
  <si>
    <t>nera + cerchio</t>
  </si>
  <si>
    <t>Di Sabatino</t>
  </si>
  <si>
    <t>Orsola</t>
  </si>
  <si>
    <t>verde + catena</t>
  </si>
  <si>
    <t>Molesini (FAKE)</t>
  </si>
  <si>
    <t>Roselli</t>
  </si>
  <si>
    <t>Mancini (FAKE)</t>
  </si>
  <si>
    <t>Giorgio</t>
  </si>
  <si>
    <t>Zanelli</t>
  </si>
  <si>
    <t>Zebra Marrone</t>
  </si>
  <si>
    <t>Di Gioia</t>
  </si>
  <si>
    <t>revolut ginn</t>
  </si>
  <si>
    <t>Vannucchi (fake)</t>
  </si>
  <si>
    <t>Elastico</t>
  </si>
  <si>
    <t>Brandani</t>
  </si>
  <si>
    <t>Pierpaolo (silvia)</t>
  </si>
  <si>
    <t>Armellino</t>
  </si>
  <si>
    <t>Gechele</t>
  </si>
  <si>
    <t>Di Terlizzi</t>
  </si>
  <si>
    <t>Cami</t>
  </si>
  <si>
    <t>Grigio</t>
  </si>
  <si>
    <t>Romani</t>
  </si>
  <si>
    <t>Verniciata Verde</t>
  </si>
  <si>
    <t>Paillettes Ocra</t>
  </si>
  <si>
    <t>da capire</t>
  </si>
  <si>
    <t xml:space="preserve">Paolo </t>
  </si>
  <si>
    <t>Soprani</t>
  </si>
  <si>
    <t>deve pagare</t>
  </si>
  <si>
    <t>Zia Ginni</t>
  </si>
  <si>
    <t xml:space="preserve">Carolina </t>
  </si>
  <si>
    <t>Rovinata</t>
  </si>
  <si>
    <t>POP UP VIA LANZONE</t>
  </si>
  <si>
    <t>Villa</t>
  </si>
  <si>
    <t>Verde Paillettes</t>
  </si>
  <si>
    <t>Peraldo</t>
  </si>
  <si>
    <t>Amman</t>
  </si>
  <si>
    <t>Ficca</t>
  </si>
  <si>
    <t>Ton</t>
  </si>
  <si>
    <t>Velluto a Coste Blu</t>
  </si>
  <si>
    <t>Mioccio</t>
  </si>
  <si>
    <t>Valchi</t>
  </si>
  <si>
    <t>Donofrio</t>
  </si>
  <si>
    <t>Charms Bonvi x Amì RED</t>
  </si>
  <si>
    <t>Leopardo + portachiavi</t>
  </si>
  <si>
    <t>RAGAZZA POP UP</t>
  </si>
  <si>
    <t>Zara</t>
  </si>
  <si>
    <t>Alfonso</t>
  </si>
  <si>
    <t>Re</t>
  </si>
  <si>
    <t>VERNICE NERA</t>
  </si>
  <si>
    <t>Alfondo</t>
  </si>
  <si>
    <t>Emilia</t>
  </si>
  <si>
    <t>Dieci10 Brand</t>
  </si>
  <si>
    <t>Airpods Case nero</t>
  </si>
  <si>
    <t>Giulio</t>
  </si>
  <si>
    <t>Giovetti</t>
  </si>
  <si>
    <t>Difettata</t>
  </si>
  <si>
    <t>Mercuri</t>
  </si>
  <si>
    <t>Charms Bonvi x Amì CHOCOLATE</t>
  </si>
  <si>
    <t>Charms Bonvi x Amì SILVER</t>
  </si>
  <si>
    <t>Renato</t>
  </si>
  <si>
    <t>Delfino</t>
  </si>
  <si>
    <t>MUCCATO NERA</t>
  </si>
  <si>
    <t>Flora</t>
  </si>
  <si>
    <t>De Scalzo</t>
  </si>
  <si>
    <t>Carol</t>
  </si>
  <si>
    <t>Gennaio</t>
  </si>
  <si>
    <t>METODO DI PAGAMENTO</t>
  </si>
  <si>
    <t>lola bag</t>
  </si>
  <si>
    <t>Count of PREZZO</t>
  </si>
  <si>
    <t>sophie bag</t>
  </si>
  <si>
    <t>annie bag</t>
  </si>
  <si>
    <t xml:space="preserve">Airpodcase pony leopard </t>
  </si>
  <si>
    <t>Airpodcase pony leopard dark</t>
  </si>
  <si>
    <t>Airpodcase pony zebra</t>
  </si>
  <si>
    <t>Febbraio</t>
  </si>
  <si>
    <t>Airpods Case Pony Black</t>
  </si>
  <si>
    <t>Airpods Case Pony Leopard</t>
  </si>
  <si>
    <t>Annie Bag in Paillettes</t>
  </si>
  <si>
    <t>Annie Bag in perline</t>
  </si>
  <si>
    <t>Annie Bag Paillettes</t>
  </si>
  <si>
    <t>Annie Bag Paillettes Beige</t>
  </si>
  <si>
    <t>Annie Bag Paillettes Green</t>
  </si>
  <si>
    <t>sophie bag x 2</t>
  </si>
  <si>
    <t>Annie Bag Paillettes Turchese</t>
  </si>
  <si>
    <t>Annie Bag Paillettes Verde</t>
  </si>
  <si>
    <t>Cecilia Bag Panna &amp; Verde</t>
  </si>
  <si>
    <t>Clessidra Bag Black</t>
  </si>
  <si>
    <t>Clessidra Bag Nude</t>
  </si>
  <si>
    <t>lea bag</t>
  </si>
  <si>
    <t xml:space="preserve">lea bag </t>
  </si>
  <si>
    <t>Lea Bag / Annie Bag</t>
  </si>
  <si>
    <t>Lea Bag + Annie Bag</t>
  </si>
  <si>
    <t>Lea Bag Black</t>
  </si>
  <si>
    <t>Lea Bag Bordeaux</t>
  </si>
  <si>
    <t>Lea Bag Cocco Chocolate</t>
  </si>
  <si>
    <t>Marzo</t>
  </si>
  <si>
    <t>Lea Bag Dark Blue</t>
  </si>
  <si>
    <t>Lea Bag Green</t>
  </si>
  <si>
    <t>Lea Bag Leopardata</t>
  </si>
  <si>
    <t>Lea Bag Leopardo</t>
  </si>
  <si>
    <t xml:space="preserve">Lea Bag Leopardo </t>
  </si>
  <si>
    <t>Lea Bag Leopardo Scuro</t>
  </si>
  <si>
    <t>Lea Bag maculata</t>
  </si>
  <si>
    <t>Lea Bag Marrone Chocolate</t>
  </si>
  <si>
    <t xml:space="preserve">Lea Bag Muccata </t>
  </si>
  <si>
    <t>Lea Bag Muccata Nera</t>
  </si>
  <si>
    <t>Lea Bag Orange</t>
  </si>
  <si>
    <t>Lea Bag Pink Barbie</t>
  </si>
  <si>
    <t>Lea Bag Vernice Nera</t>
  </si>
  <si>
    <t>Lea Bag Vernice Rossa</t>
  </si>
  <si>
    <t>Lea Bag Vernice Viola Malva</t>
  </si>
  <si>
    <t>Lea Bag Zebra Marron</t>
  </si>
  <si>
    <t>Lea Bag Zebra Marron (dentro viola)</t>
  </si>
  <si>
    <t>Lea Bag zebrata</t>
  </si>
  <si>
    <t>Lea Bag Zebrata Marron</t>
  </si>
  <si>
    <t>Lola Bag + charm</t>
  </si>
  <si>
    <t>Lola Bag Grey</t>
  </si>
  <si>
    <t xml:space="preserve">Lola Bag Grey </t>
  </si>
  <si>
    <t>Lola Bag Pink Velvet</t>
  </si>
  <si>
    <t>Lola Bag Red Velvet</t>
  </si>
  <si>
    <t>Midi case leopard dark</t>
  </si>
  <si>
    <t>Midi case pony leopard dark</t>
  </si>
  <si>
    <t>valentina bag</t>
  </si>
  <si>
    <t xml:space="preserve">Valentina Bag </t>
  </si>
  <si>
    <t>Valentina Bag Green</t>
  </si>
  <si>
    <t>Aprile</t>
  </si>
  <si>
    <t>Valentina Bag Pink</t>
  </si>
  <si>
    <t>Valentina bag red</t>
  </si>
  <si>
    <t>SAMPLE LOVER</t>
  </si>
  <si>
    <t>valentina bag red + Sophie Bag</t>
  </si>
  <si>
    <t>Valetina Bag Red</t>
  </si>
  <si>
    <t>rossa</t>
  </si>
  <si>
    <t>Annie bag</t>
  </si>
  <si>
    <t>Lea bag</t>
  </si>
  <si>
    <t>Maggio</t>
  </si>
  <si>
    <t>Sophie Bag</t>
  </si>
  <si>
    <t>Lea bag zebrata</t>
  </si>
  <si>
    <t>valentina bag red</t>
  </si>
  <si>
    <t>Giugno</t>
  </si>
  <si>
    <t>Luglio</t>
  </si>
  <si>
    <t>Agosto</t>
  </si>
  <si>
    <t>Settembre</t>
  </si>
  <si>
    <t>Valentina Bag Red</t>
  </si>
  <si>
    <t>Ottobre</t>
  </si>
  <si>
    <t>Novembre</t>
  </si>
  <si>
    <t>Paillettes Turchese</t>
  </si>
  <si>
    <t>Dicembre</t>
  </si>
  <si>
    <t xml:space="preserve">Red </t>
  </si>
  <si>
    <t>Airpods case pony leopard</t>
  </si>
  <si>
    <t>Midi Case Pony Leopard Dark</t>
  </si>
  <si>
    <t>PAYMENTH METHOD</t>
  </si>
  <si>
    <t>Nome_Prodotto_Shopify</t>
  </si>
  <si>
    <t>Shopify_SKU</t>
  </si>
  <si>
    <t>Variante</t>
  </si>
  <si>
    <t>Prezzo_Retail</t>
  </si>
  <si>
    <t>Costo_Produzione</t>
  </si>
  <si>
    <t>Totale Prodotto</t>
  </si>
  <si>
    <t>Giacenza_Attuale</t>
  </si>
  <si>
    <t>Totale_Venduto</t>
  </si>
  <si>
    <t>Totale_Venduto_Amimi</t>
  </si>
  <si>
    <t>Margine_Unitario</t>
  </si>
  <si>
    <t>Margine_Percentuale</t>
  </si>
  <si>
    <t>Stato</t>
  </si>
  <si>
    <t>Immagine_URL</t>
  </si>
  <si>
    <t>Check_Balance</t>
  </si>
  <si>
    <t>Valore_Totale</t>
  </si>
  <si>
    <t>B2B_Venduto</t>
  </si>
  <si>
    <t>In_Conto_Vendita</t>
  </si>
  <si>
    <t>Giacenza_Totale_conB2B</t>
  </si>
  <si>
    <t>Disponibili da vendere</t>
  </si>
  <si>
    <t>Shopify_push</t>
  </si>
  <si>
    <t>Row_ID</t>
  </si>
  <si>
    <t>Selling_Price</t>
  </si>
  <si>
    <t>Status</t>
  </si>
  <si>
    <t>3b6fb089</t>
  </si>
  <si>
    <t>TEST ALE</t>
  </si>
  <si>
    <t>TEST VARIANTE</t>
  </si>
  <si>
    <t>TEST_ALE_TEST_VARIANTE</t>
  </si>
  <si>
    <t>FORNITORE TEST ALE</t>
  </si>
  <si>
    <t>Acquisto95</t>
  </si>
  <si>
    <t>ca7dd389</t>
  </si>
  <si>
    <t>ffcac1a1</t>
  </si>
  <si>
    <t>test</t>
  </si>
  <si>
    <t>Acquisto96</t>
  </si>
  <si>
    <t>cf6eb5ff</t>
  </si>
  <si>
    <t>ACQUISTI[Fornitore]</t>
  </si>
  <si>
    <t>Acquisto97</t>
  </si>
  <si>
    <t>9b188e3d</t>
  </si>
  <si>
    <t>Valentina_Bag_TEST_VARIANTE</t>
  </si>
  <si>
    <t>we</t>
  </si>
  <si>
    <t>Acquisto98</t>
  </si>
  <si>
    <t>1d27c0db</t>
  </si>
  <si>
    <t>test ale 1 marzo</t>
  </si>
  <si>
    <t>Acquisto99</t>
  </si>
  <si>
    <t>5d605345</t>
  </si>
  <si>
    <t>ACQUISTI[Variant]</t>
  </si>
  <si>
    <t>Lea_Bag_ACQUISTI[VARIANT]</t>
  </si>
  <si>
    <t>Acquisto100</t>
  </si>
  <si>
    <t>5c49a36e</t>
  </si>
  <si>
    <t>Acquisto101</t>
  </si>
  <si>
    <t>863f02b1</t>
  </si>
  <si>
    <t>test finale</t>
  </si>
  <si>
    <t>Acquisto60</t>
  </si>
  <si>
    <t>Completed</t>
  </si>
  <si>
    <t>5a708e34</t>
  </si>
  <si>
    <t>Lea_Bag_TEST_VARIANTE</t>
  </si>
  <si>
    <t>Acquisto61</t>
  </si>
  <si>
    <t>0c3e0b41</t>
  </si>
  <si>
    <t>Annie_Bag_paillettes_ZEBRA_DARK</t>
  </si>
  <si>
    <t>Acquisto62</t>
  </si>
  <si>
    <t>fb3f86f1</t>
  </si>
  <si>
    <t>Acquisto63</t>
  </si>
  <si>
    <t>957232ed</t>
  </si>
  <si>
    <t>TestAle1</t>
  </si>
  <si>
    <t>TestAle1_COCCO_BLACK</t>
  </si>
  <si>
    <t>Acquisto64</t>
  </si>
  <si>
    <t>d0754bf3</t>
  </si>
  <si>
    <t>Acquisto65</t>
  </si>
  <si>
    <t>4293bda9</t>
  </si>
  <si>
    <t>32ee0364</t>
  </si>
  <si>
    <t>Acquisto58</t>
  </si>
  <si>
    <t>e8bf422a</t>
  </si>
  <si>
    <t>658c63e3</t>
  </si>
  <si>
    <t>a0e95e7e</t>
  </si>
  <si>
    <t>2a2d313c</t>
  </si>
  <si>
    <t>da80eb85</t>
  </si>
  <si>
    <t>a0c13b41</t>
  </si>
  <si>
    <t>7d9e40da</t>
  </si>
  <si>
    <t>è 1 metro x 3 metri di altezza</t>
  </si>
  <si>
    <t>c4aeeb03</t>
  </si>
  <si>
    <t>è 0,7 m</t>
  </si>
  <si>
    <t>496f403a</t>
  </si>
  <si>
    <t>Cordini_4000_BEIGE_11</t>
  </si>
  <si>
    <t>ac1037ea</t>
  </si>
  <si>
    <t>Cordini_4000_TURCHESE_95</t>
  </si>
  <si>
    <t>880a1466</t>
  </si>
  <si>
    <t>Cordini_4000_VERDE_CHIARO_11</t>
  </si>
  <si>
    <t>cca3a2af</t>
  </si>
  <si>
    <t>Cordini_4000_ROSA_CIPRIA_23</t>
  </si>
  <si>
    <t>d5376786</t>
  </si>
  <si>
    <t>Cordini_4000_RUGGINE_36</t>
  </si>
  <si>
    <t>67fbd602</t>
  </si>
  <si>
    <t>TEST</t>
  </si>
  <si>
    <t>Variant_A</t>
  </si>
  <si>
    <t>TEST_VARIANT_A</t>
  </si>
  <si>
    <t>06d39435</t>
  </si>
  <si>
    <t>Variant_B</t>
  </si>
  <si>
    <t>TEST_VARIANT_B</t>
  </si>
  <si>
    <t>Acquisto59</t>
  </si>
  <si>
    <t>cfc8a801</t>
  </si>
  <si>
    <t>TEST_RESTOCK_01 - bot test</t>
  </si>
  <si>
    <t>Acquisto70</t>
  </si>
  <si>
    <t>1f6de4da</t>
  </si>
  <si>
    <t>Cordini_4000_GRIGIO_TOPO_29</t>
  </si>
  <si>
    <t>6aa19ece</t>
  </si>
  <si>
    <t>Cordini_4000_FUCSIA_40</t>
  </si>
  <si>
    <t>Acquisto71</t>
  </si>
  <si>
    <t>73457da1</t>
  </si>
  <si>
    <t>Cordini_4000_ROSA_ANTICO_07</t>
  </si>
  <si>
    <t>Acquisto72</t>
  </si>
  <si>
    <t>01b8fcbd</t>
  </si>
  <si>
    <t>Cordini_4000_BLU_50</t>
  </si>
  <si>
    <t>Acquisto73</t>
  </si>
  <si>
    <t>4ddea1bf</t>
  </si>
  <si>
    <t>Cordini_4000_VERDE_MILITARE_41</t>
  </si>
  <si>
    <t>Acquisto74</t>
  </si>
  <si>
    <t>2ae0ae07</t>
  </si>
  <si>
    <t>Cordini_4000_BLU_SCURO_25</t>
  </si>
  <si>
    <t>Acquisto75</t>
  </si>
  <si>
    <t>b0e6c0b4</t>
  </si>
  <si>
    <t>Cordini_4000_MARRONE_CIOCCOLATO_24</t>
  </si>
  <si>
    <t>Acquisto76</t>
  </si>
  <si>
    <t>0d1d0bbf</t>
  </si>
  <si>
    <t>TEST_BOTFIX</t>
  </si>
  <si>
    <t>TEST_BOTFIX_01 - testing Markup con IVA fix</t>
  </si>
  <si>
    <t>Acquisto77</t>
  </si>
  <si>
    <t>459cc6e2</t>
  </si>
  <si>
    <t>Acquisto78</t>
  </si>
  <si>
    <t>8e1339bf</t>
  </si>
  <si>
    <t>38d07fb3</t>
  </si>
  <si>
    <t>3d7883fa</t>
  </si>
  <si>
    <t>Toasted Leather</t>
  </si>
  <si>
    <t>Acquisto79</t>
  </si>
  <si>
    <t>a4e488cc</t>
  </si>
  <si>
    <t>Acquisto80</t>
  </si>
  <si>
    <t>606b4170</t>
  </si>
  <si>
    <t>Acquisto81</t>
  </si>
  <si>
    <t>775c4b07</t>
  </si>
  <si>
    <t>Acquisto82</t>
  </si>
  <si>
    <t>c9b8fb81</t>
  </si>
  <si>
    <t>Acquisto83</t>
  </si>
  <si>
    <t>172d15df</t>
  </si>
  <si>
    <t>Acquisto84</t>
  </si>
  <si>
    <t>e4e8e119</t>
  </si>
  <si>
    <t>Lea_Bag_Maxi_MAXI_SUEDE_CHOCOLATE</t>
  </si>
  <si>
    <t>8f03f46e</t>
  </si>
  <si>
    <t>b8117cfb</t>
  </si>
  <si>
    <t>Acquisto88</t>
  </si>
  <si>
    <t>c39662fb</t>
  </si>
  <si>
    <t>Acquisto89</t>
  </si>
  <si>
    <t>a0229e2d</t>
  </si>
  <si>
    <t>Acquisto90</t>
  </si>
  <si>
    <t>74c10400</t>
  </si>
  <si>
    <t>Acquisto91</t>
  </si>
  <si>
    <t>7710c01e</t>
  </si>
  <si>
    <t>Annie_Bag_CHOCOLATE/INTERNO_ROSA</t>
  </si>
  <si>
    <t>Acquisto92</t>
  </si>
  <si>
    <t>54f2fa44</t>
  </si>
  <si>
    <t>Annie_Bag_ROSA_CIPRIA</t>
  </si>
  <si>
    <t>3689ec39</t>
  </si>
  <si>
    <t>Annie_Bag_BLUE/INTERNO_BURRO</t>
  </si>
  <si>
    <t>2397e1a3</t>
  </si>
  <si>
    <t>Annie_Bag_PINK/INTERNO_VERDE</t>
  </si>
  <si>
    <t>88902210</t>
  </si>
  <si>
    <t>fa0ca4e7</t>
  </si>
  <si>
    <t>Annie_Bag_paillettes_GREY</t>
  </si>
  <si>
    <t>e1c3dcf3</t>
  </si>
  <si>
    <t>Annie_Bag_paillettes_TURQUOISE</t>
  </si>
  <si>
    <t>730dff6d</t>
  </si>
  <si>
    <t>Annie_Bag_paillettes_GREEN</t>
  </si>
  <si>
    <t>12cddca7</t>
  </si>
  <si>
    <t>e1173dd7</t>
  </si>
  <si>
    <t>ea4ff99a</t>
  </si>
  <si>
    <t>Acquisto102</t>
  </si>
  <si>
    <t>48332f6b</t>
  </si>
  <si>
    <t>Rose Pink</t>
  </si>
  <si>
    <t>Acquisto103</t>
  </si>
  <si>
    <t>36f48539</t>
  </si>
  <si>
    <t>f7a5bf77</t>
  </si>
  <si>
    <t>Tie Dye Orange</t>
  </si>
  <si>
    <t>Acquisto105</t>
  </si>
  <si>
    <t>2ac7f71a</t>
  </si>
  <si>
    <t>Tie Dye Pink</t>
  </si>
  <si>
    <t>1325f137</t>
  </si>
  <si>
    <t>Agata_Bag_FLORAL_BROWN</t>
  </si>
  <si>
    <t>Acquisto107</t>
  </si>
  <si>
    <t>4c6e92fc</t>
  </si>
  <si>
    <t>dc6f5833</t>
  </si>
  <si>
    <t>TEST_ALE_TEST_BOTFIX</t>
  </si>
  <si>
    <t>Acquisto109</t>
  </si>
  <si>
    <t>fe2cd46f</t>
  </si>
  <si>
    <t>82270ccb</t>
  </si>
  <si>
    <t>Annie_Bag_paillettes_LIGHT_BLUE</t>
  </si>
  <si>
    <t>92aee9b1</t>
  </si>
  <si>
    <t>Light Green</t>
  </si>
  <si>
    <t>Annie_Bag_paillettes_LIGHT_GREEN</t>
  </si>
  <si>
    <t>a9410ee6</t>
  </si>
  <si>
    <t>111f9113</t>
  </si>
  <si>
    <t>Annie_Bag_GRIGIO_PERLA</t>
  </si>
  <si>
    <t>93711fc3</t>
  </si>
  <si>
    <t>81d3a5da</t>
  </si>
  <si>
    <t>Lea_Bag_ZEBRA_PONY</t>
  </si>
  <si>
    <t>b601994c</t>
  </si>
  <si>
    <t>f1419a8f</t>
  </si>
  <si>
    <t>Acquisto119</t>
  </si>
  <si>
    <t>453498fc</t>
  </si>
  <si>
    <t>da3a786c</t>
  </si>
  <si>
    <t>Acquisto120</t>
  </si>
  <si>
    <t>314fd0b2</t>
  </si>
  <si>
    <t>Cocco_Beige</t>
  </si>
  <si>
    <t>767dcf71</t>
  </si>
  <si>
    <t>f537a865</t>
  </si>
  <si>
    <t>Red PIERCING</t>
  </si>
  <si>
    <t>113ba7df</t>
  </si>
  <si>
    <t>Piercing_Burro</t>
  </si>
  <si>
    <t>Maria_Bag_PIERCING_BURRO</t>
  </si>
  <si>
    <t>95482403</t>
  </si>
  <si>
    <t>Acquisto125</t>
  </si>
  <si>
    <t>fd4263ee</t>
  </si>
  <si>
    <t>Acquisto126</t>
  </si>
  <si>
    <t>c7bab7a0</t>
  </si>
  <si>
    <t>Lea_Bag_MAXI_SUEDE_CHOCOLATE</t>
  </si>
  <si>
    <t>fec43fc4</t>
  </si>
  <si>
    <t>3a37096a</t>
  </si>
  <si>
    <t>7ff5ef9a</t>
  </si>
  <si>
    <t>00b5e5cf</t>
  </si>
  <si>
    <t>8648c49b</t>
  </si>
  <si>
    <t>ea85065b</t>
  </si>
  <si>
    <t>Acquisto131</t>
  </si>
  <si>
    <t>6a9764cf</t>
  </si>
  <si>
    <t>Acquisto132</t>
  </si>
  <si>
    <t>f466ec89</t>
  </si>
  <si>
    <t>Acquisto133</t>
  </si>
  <si>
    <t>ae868fe3</t>
  </si>
  <si>
    <t>Acquisto134</t>
  </si>
  <si>
    <t>d594eee8</t>
  </si>
  <si>
    <t>Acquisto135</t>
  </si>
  <si>
    <t>237c1bbd</t>
  </si>
  <si>
    <t>SILK BLUE</t>
  </si>
  <si>
    <t>Annie_Bag_SILK_BLUE</t>
  </si>
  <si>
    <t>Acquisto136</t>
  </si>
  <si>
    <t>94015eb1</t>
  </si>
  <si>
    <t>Acquisto137</t>
  </si>
  <si>
    <t>326117ad</t>
  </si>
  <si>
    <t>37b383a3</t>
  </si>
  <si>
    <t>Acquisto139</t>
  </si>
  <si>
    <t>eb34fc9f</t>
  </si>
  <si>
    <t>e3bad12f</t>
  </si>
  <si>
    <t>Acquisto178</t>
  </si>
  <si>
    <t>c1fd93a9</t>
  </si>
  <si>
    <t>Acquisto179</t>
  </si>
  <si>
    <t>08f8ca87</t>
  </si>
  <si>
    <t>Acquisto180</t>
  </si>
  <si>
    <t>d1104212</t>
  </si>
  <si>
    <t>Fodera_Poliseta_BIANCA</t>
  </si>
  <si>
    <t>Acquisto186</t>
  </si>
  <si>
    <t>3ebcf5f7</t>
  </si>
  <si>
    <t>Tessuto_Organza_EMBROIDERY_WHITE</t>
  </si>
  <si>
    <t>6335a1b7</t>
  </si>
  <si>
    <t>Fodera_Poliseta_PRUGNA</t>
  </si>
  <si>
    <t>a39303cb</t>
  </si>
  <si>
    <t>792cb967</t>
  </si>
  <si>
    <t>Tessuto_Organza_VIOLA_GIALLO</t>
  </si>
  <si>
    <t>65fc4c65</t>
  </si>
  <si>
    <t>0daec587</t>
  </si>
  <si>
    <t>4520ba90</t>
  </si>
  <si>
    <t>adf309cf</t>
  </si>
  <si>
    <t>Fodera_Cotone_BEIGE</t>
  </si>
  <si>
    <t>ORDER_DATE</t>
  </si>
  <si>
    <t>ORDER_ID</t>
  </si>
  <si>
    <t>PRODUCT_NAME</t>
  </si>
  <si>
    <t>PAYMENT_METHOD</t>
  </si>
  <si>
    <t>QROMO</t>
  </si>
  <si>
    <t>ANNIE BAG BROWN CHOCOLATE</t>
  </si>
  <si>
    <t>Chain Tiger</t>
  </si>
  <si>
    <t>LEA_BAG_COCCO_black</t>
  </si>
  <si>
    <t>Annie Bag Stripes Pink</t>
  </si>
  <si>
    <t>Agata_Bag_Floral_Light_Blue</t>
  </si>
  <si>
    <t>è mappato?</t>
  </si>
  <si>
    <t>CATEGORY</t>
  </si>
  <si>
    <t>SUBCATEGORY</t>
  </si>
  <si>
    <t>VIvaio</t>
  </si>
  <si>
    <t>Tool Digitali</t>
  </si>
  <si>
    <t>Webhook Type</t>
  </si>
  <si>
    <t>Order ID</t>
  </si>
  <si>
    <t>Paid Raw</t>
  </si>
  <si>
    <t>Paid Interpreted</t>
  </si>
  <si>
    <t>Payload / Error</t>
  </si>
  <si>
    <t>NO_BODY</t>
  </si>
  <si>
    <t>No postData</t>
  </si>
  <si>
    <t>orders.new</t>
  </si>
  <si>
    <t>{"version":1,"type":"orders.new","auth":"test123","business_id":123,"order":{"order_id":999999,"order_date":"2026-03-02 12:00:00","payment_type":"stripe","paid":"true","menu_items":[{"name":"Isabella_Hand_warmer_Burgundy_and_Light_Blue","price":12000,"quantity":1}]}}</t>
  </si>
  <si>
    <t>{"version":1,"type":"orders.new","auth":"test123","business_id":123,"order":{"order_id":12,"order_date":"2026-03-02 12:00:00","payment_type":"stripe","paid":"true","menu_items":[{"name":"Isabella_Hand_warmer_Burgundy_and_Light_Blue","price":12000,"quantity":1}]}}</t>
  </si>
  <si>
    <t>orders.update</t>
  </si>
  <si>
    <t>{"version":1,"type":"orders.update","auth":"Fgw5sp0ORTzn88ubSmN6ZqHEkRv8YCGw","business_id":11476,"order":{"order_id":8824353,"order_number_day":1,"order_link":"https:\/\/.qromo.it\/order\/?id=obio0B7KV5wCj1pDY3L7Eg--","total_items":0,"additional_costs":0.1,"grand_total":0.1,"fee":0,"payment_type":"cash","order_mode":"counter","customer_name":null,"table_name":null,"paid":true,"status":"completed","email_present":false,"phone_present":false,"order_notes":null,"order_date":"2026-03-03 19:14:39","delivery_scheduled_date":null,"delivery_address":null,"takeaway_date":null,"made_by_customer":false,"uses_coupons":false,"coupons":[],"menu_items":[],"menu_items_products":[],"date_last_edit":null,"sms_sent":false,"prebill_requested":false,"subtotal_delta":0.1,"tip":0,"receipt":{"fiscal_status":"fiscalized","type":"digital","data":{"business_receipt_id":1989649,"ade_id":"DCW2026\/5659-2881","total":0.1,"date":"2026-03-03 19:14:40"}},"invoice":null,"email":null,"phone":null}}</t>
  </si>
  <si>
    <t>{"version":1,"type":"orders.new","auth":"Fgw5sp0ORTzn88ubSmN6ZqHEkRv8YCGw","business_id":11476,"order":{"order_id":8824353,"order_number_day":1,"order_link":"https:\/\/.qromo.it\/order\/?id=obio0B7KV5wCj1pDY3L7Eg--","total_items":0,"additional_costs":0.1,"grand_total":0.1,"fee":0,"payment_type":"cash","order_mode":"counter","customer_name":null,"table_name":null,"paid":true,"status":"completed","email_present":false,"phone_present":false,"order_notes":null,"order_date":"2026-03-03 19:14:39","delivery_scheduled_date":null,"delivery_address":null,"takeaway_date":null,"made_by_customer":false,"uses_coupons":false,"coupons":[],"menu_items":[],"menu_items_products":[],"date_last_edit":null,"sms_sent":false,"prebill_requested":false,"subtotal_delta":0.1,"tip":0,"receipt":{"fiscal_status":"not_requested","type":null,"data":null},"invoice":null,"email":null,"phone":null}}</t>
  </si>
  <si>
    <t>{"version":1,"type":"orders.update","auth":"Fgw5sp0ORTzn88ubSmN6ZqHEkRv8YCGw","business_id":11476,"order":{"order_id":8825705,"order_number_day":2,"order_link":"https:\/\/.qromo.it\/order\/?id=orGb1gpQs7IxnjgUug5Cmg--","total_items":120,"additional_costs":0,"grand_total":120,"fee":0,"payment_type":"cash","order_mode":"counter","customer_name":null,"table_name":null,"paid":true,"status":"completed","email_present":false,"phone_present":false,"order_notes":null,"order_date":"2026-03-03 20:29:48","delivery_scheduled_date":null,"delivery_address":null,"takeaway_date":null,"made_by_customer":false,"uses_coupons":false,"coupons":[],"menu_items":[{"order_item_id":16743730,"menu_item_id":702795,"menu_category_id":null,"name":"LEA BAG VERDE MILITARE","sku":null,"price":120,"quantity":1,"note":null,"price_with_products":120,"total_value_in_order":120,"category_name":null,"menu_name":null,"menu_id":null}],"menu_items_products":[],"date_last_edit":null,"sms_sent":false,"prebill_requested":false,"subtotal_delta":0,"tip":0,"receipt":{"fiscal_status":"fiscalized","type":"digital","data":{"business_receipt_id":1989839,"ade_id":"DCW2026\/5661-4193","total":120,"date":"2026-03-03 20:29:48"}},"invoice":null,"email":null,"phone":null}}</t>
  </si>
  <si>
    <t>{"version":1,"type":"orders.new","auth":"Fgw5sp0ORTzn88ubSmN6ZqHEkRv8YCGw","business_id":11476,"order":{"order_id":8825705,"order_number_day":2,"order_link":"https:\/\/.qromo.it\/order\/?id=orGb1gpQs7IxnjgUug5Cmg--","total_items":120,"additional_costs":0,"grand_total":120,"fee":0,"payment_type":"cash","order_mode":"counter","customer_name":null,"table_name":null,"paid":true,"status":"completed","email_present":false,"phone_present":false,"order_notes":null,"order_date":"2026-03-03 20:29:48","delivery_scheduled_date":null,"delivery_address":null,"takeaway_date":null,"made_by_customer":false,"uses_coupons":false,"coupons":[],"menu_items":[{"order_item_id":16743730,"menu_item_id":702795,"menu_category_id":null,"name":"LEA BAG VERDE MILITARE","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</si>
  <si>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8826051,"order_number_day":3,"order_link":"https:\/\/.qromo.it\/order\/?id=G2muoV5Txzv9mDukIwOykg--","total_items":120,"additional_costs":0,"grand_total":120,"fee":0,"payment_type":"cash","order_mode":"counter","customer_name":null,"table_name":null,"paid":true,"status":"completed","email_present":false,"phone_present":false,"order_notes":null,"order_date":"2026-03-03 20:54:36","delivery_scheduled_date":null,"delivery_address":null,"takeaway_date":null,"made_by_customer":false,"uses_coupons":false,"coupons":[],"menu_items":[{"order_item_id":16744471,"menu_item_id":702800,"menu_category_id":null,"name":"LEA BAG BORDEAUX","sku":null,"price":120,"quantity":1,"note":null,"price_with_products":120,"total_value_in_order":120,"category_name":null,"menu_name":null,"menu_id":null}],"menu_items_products":[],"date_last_edit":null,"sms_sent":false,"prebill_requested":false,"subtotal_delta":0,"tip":0,"receipt":{"fiscal_status":"fiscalized","type":"digital","data":{"business_receipt_id":1989894,"ade_id":"DCW2026\/5661-9020","total":120,"date":"2026-03-03 20:54:36"}},"invoice":null,"email":null,"phone":null}}</t>
  </si>
  <si>
    <t>{"version":1,"type":"orders.new","auth":"Fgw5sp0ORTzn88ubSmN6ZqHEkRv8YCGw","business_id":11476,"order":{"order_id":8826051,"order_number_day":3,"order_link":"https:\/\/.qromo.it\/order\/?id=G2muoV5Txzv9mDukIwOykg--","total_items":120,"additional_costs":0,"grand_total":120,"fee":0,"payment_type":"cash","order_mode":"counter","customer_name":null,"table_name":null,"paid":true,"status":"completed","email_present":false,"phone_present":false,"order_notes":null,"order_date":"2026-03-03 20:54:36","delivery_scheduled_date":null,"delivery_address":null,"takeaway_date":null,"made_by_customer":false,"uses_coupons":false,"coupons":[],"menu_items":[{"order_item_id":16744471,"menu_item_id":702800,"menu_category_id":null,"name":"LEA BAG BORDEAUX","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</si>
  <si>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8826090,"order_number_day":4,"order_link":"https:\/\/.qromo.it\/order\/?id=n23rMWpp9CGv4FVbB4CfHQ--","total_items":120,"additional_costs":0,"grand_total":120,"fee":0,"payment_type":"cash","order_mode":"counter","customer_name":null,"table_name":null,"paid":true,"status":"completed","email_present":false,"phone_present":false,"order_notes":null,"order_date":"2026-03-03 20:57:31","delivery_scheduled_date":null,"delivery_address":null,"takeaway_date":null,"made_by_customer":false,"uses_coupons":false,"coupons":[],"menu_items":[{"order_item_id":16744551,"menu_item_id":702894,"menu_category_id":null,"name":"LEA BAG ESPRESSO","sku":null,"price":120,"quantity":1,"note":null,"price_with_products":120,"total_value_in_order":120,"category_name":null,"menu_name":null,"menu_id":null}],"menu_items_products":[],"date_last_edit":null,"sms_sent":false,"prebill_requested":false,"subtotal_delta":0,"tip":0,"receipt":{"fiscal_status":"fiscalized","type":"digital","data":{"business_receipt_id":1989898,"ade_id":"DCW2026\/5661-9503","total":120,"date":"2026-03-03 20:57:31"}},"invoice":null,"email":null,"phone":null}}</t>
  </si>
  <si>
    <t>{"version":1,"type":"orders.new","auth":"Fgw5sp0ORTzn88ubSmN6ZqHEkRv8YCGw","business_id":11476,"order":{"order_id":8826090,"order_number_day":4,"order_link":"https:\/\/.qromo.it\/order\/?id=n23rMWpp9CGv4FVbB4CfHQ--","total_items":120,"additional_costs":0,"grand_total":120,"fee":0,"payment_type":"cash","order_mode":"counter","customer_name":null,"table_name":null,"paid":true,"status":"completed","email_present":false,"phone_present":false,"order_notes":null,"order_date":"2026-03-03 20:57:31","delivery_scheduled_date":null,"delivery_address":null,"takeaway_date":null,"made_by_customer":false,"uses_coupons":false,"coupons":[],"menu_items":[{"order_item_id":16744551,"menu_item_id":702894,"menu_category_id":null,"name":"LEA BAG ESPRESSO","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</si>
  <si>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8826245,"order_number_day":5,"order_link":"https:\/\/.qromo.it\/order\/?id=7nnLuUjTkZTO4VZxvv8m5Q--","total_items":120,"additional_costs":0,"grand_total":120,"fee":0,"payment_type":"cash","order_mode":"counter","customer_name":null,"table_name":null,"paid":true,"status":"completed","email_present":false,"phone_present":false,"order_notes":null,"order_date":"2026-03-03 21:08:55","delivery_scheduled_date":null,"delivery_address":null,"takeaway_date":null,"made_by_customer":false,"uses_coupons":false,"coupons":[],"menu_items":[{"order_item_id":16744824,"menu_item_id":702798,"menu_category_id":null,"name":"LEA BAG COCCO NERA","sku":null,"price":120,"quantity":1,"note":null,"price_with_products":120,"total_value_in_order":120,"category_name":null,"menu_name":null,"menu_id":null}],"menu_items_products":[],"date_last_edit":null,"sms_sent":false,"prebill_requested":false,"subtotal_delta":0,"tip":0,"receipt":{"fiscal_status":"fiscalized","type":"digital","data":{"business_receipt_id":1989918,"ade_id":"DCW2026\/5662-1390","total":120,"date":"2026-03-03 21:08:55"}},"invoice":null,"email":null,"phone":null}}</t>
  </si>
  <si>
    <t>{"version":1,"type":"orders.new","auth":"Fgw5sp0ORTzn88ubSmN6ZqHEkRv8YCGw","business_id":11476,"order":{"order_id":8826245,"order_number_day":5,"order_link":"https:\/\/.qromo.it\/order\/?id=7nnLuUjTkZTO4VZxvv8m5Q--","total_items":120,"additional_costs":0,"grand_total":120,"fee":0,"payment_type":"cash","order_mode":"counter","customer_name":null,"table_name":null,"paid":true,"status":"completed","email_present":false,"phone_present":false,"order_notes":null,"order_date":"2026-03-03 21:08:55","delivery_scheduled_date":null,"delivery_address":null,"takeaway_date":null,"made_by_customer":false,"uses_coupons":false,"coupons":[],"menu_items":[{"order_item_id":16744824,"menu_item_id":702798,"menu_category_id":null,"name":"LEA BAG COCCO NERA","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</si>
  <si>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8827060,"order_number_day":6,"order_link":"https:\/\/.qromo.it\/order\/?id=AiEYaq_jtwQSbq4yS8S.1g--","total_items":120,"additional_costs":0,"grand_total":120,"fee":0,"payment_type":"cash","order_mode":"counter","customer_name":null,"table_name":null,"paid":true,"status":"completed","email_present":false,"phone_present":false,"order_notes":null,"order_date":"2026-03-03 21:56:32","delivery_scheduled_date":null,"delivery_address":null,"takeaway_date":null,"made_by_customer":false,"uses_coupons":false,"coupons":[],"menu_items":[{"order_item_id":16746040,"menu_item_id":702797,"menu_category_id":null,"name":"LEA BAG VERDE KAKI","sku":null,"price":120,"quantity":1,"note":null,"price_with_products":120,"total_value_in_order":120,"category_name":null,"menu_name":null,"menu_id":null}],"menu_items_products":[],"date_last_edit":null,"sms_sent":false,"prebill_requested":false,"subtotal_delta":0,"tip":0,"receipt":{"fiscal_status":"fiscalized","type":"digital","data":{"business_receipt_id":1989996,"ade_id":"DCW2026\/5662-7089","total":120,"date":"2026-03-03 21:56:33"}},"invoice":null,"email":null,"phone":null}}</t>
  </si>
  <si>
    <t>UNMATCHED_PRODUCTS</t>
  </si>
  <si>
    <t>These Qromo product names do NOT match any CODICE_AMIIMI in ACQUISTI: LEA BAG VERDE KAKI | Valid CODICE_AMIIMI count: 25</t>
  </si>
  <si>
    <t>{"version":1,"type":"orders.new","auth":"Fgw5sp0ORTzn88ubSmN6ZqHEkRv8YCGw","business_id":11476,"order":{"order_id":8827060,"order_number_day":6,"order_link":"https:\/\/.qromo.it\/order\/?id=AiEYaq_jtwQSbq4yS8S.1g--","total_items":120,"additional_costs":0,"grand_total":120,"fee":0,"payment_type":"cash","order_mode":"counter","customer_name":null,"table_name":null,"paid":true,"status":"completed","email_present":false,"phone_present":false,"order_notes":null,"order_date":"2026-03-03 21:56:32","delivery_scheduled_date":null,"delivery_address":null,"takeaway_date":null,"made_by_customer":false,"uses_coupons":false,"coupons":[],"menu_items":[{"order_item_id":16746040,"menu_item_id":702797,"menu_category_id":null,"name":"LEA BAG VERDE KAKI","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</si>
  <si>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9022980,"order_number_day":1,"order_link":"https:\/\/.qromo.it\/order\/?id=W0zX8YL1UPwYswBAzRR6pg--","total_items":120,"additional_costs":-12,"grand_total":108,"fee":0,"payment_type":"cash","order_mode":"counter","customer_name":"Sofia Dell\u2019Olio","table_name":null,"paid":true,"status":"completed","email_present":false,"phone_present":false,"order_notes":null,"order_date":"2026-03-13 22:04:43","delivery_scheduled_date":null,"delivery_address":null,"takeaway_date":null,"made_by_customer":false,"uses_coupons":false,"coupons":[],"menu_items":[{"order_item_id":17114942,"menu_item_id":719614,"menu_category_id":null,"name":"Lea_Bag_TOASTED_LEATHER_GREEN","sku":null,"price":120,"quantity":1,"note":null,"price_with_products":120,"total_value_in_order":108,"category_name":null,"menu_name":null,"menu_id":null}],"menu_items_products":[],"date_last_edit":null,"sms_sent":false,"prebill_requested":false,"subtotal_delta":-12,"tip":0,"receipt":{"fiscal_status":"fiscalized","type":"digital","data":{"business_receipt_id":2028342,"ade_id":"DCW2026\/5937-9936","total":108,"date":"2026-03-13 22:04:43"}},"invoice":null,"email":null,"phone":null}}</t>
  </si>
  <si>
    <t>These Qromo product names do NOT match any CODICE_AMIIMI in ACQUISTI: Lea_Bag_TOASTED_LEATHER_GREEN | Valid CODICE_AMIIMI count: 35</t>
  </si>
  <si>
    <t>{"version":1,"type":"orders.new","auth":"Fgw5sp0ORTzn88ubSmN6ZqHEkRv8YCGw","business_id":11476,"order":{"order_id":9022980,"order_number_day":1,"order_link":"https:\/\/.qromo.it\/order\/?id=W0zX8YL1UPwYswBAzRR6pg--","total_items":120,"additional_costs":-12,"grand_total":108,"fee":0,"payment_type":"cash","order_mode":"counter","customer_name":"Sofia Dell\u2019Olio","table_name":null,"paid":true,"status":"completed","email_present":false,"phone_present":false,"order_notes":null,"order_date":"2026-03-13 22:04:43","delivery_scheduled_date":null,"delivery_address":null,"takeaway_date":null,"made_by_customer":false,"uses_coupons":false,"coupons":[],"menu_items":[{"order_item_id":17114942,"menu_item_id":719614,"menu_category_id":null,"name":"Lea_Bag_TOASTED_LEATHER_GREEN","sku":null,"price":120,"quantity":1,"note":null,"price_with_products":120,"total_value_in_order":108,"category_name":null,"menu_name":null,"menu_id":null}],"menu_items_products":[],"date_last_edit":null,"sms_sent":false,"prebill_requested":false,"subtotal_delta":-12,"tip":0,"receipt":{"fiscal_status":"not_requested","type":null,"data":null},"invoice":null,"email":null,"phone":null}}</t>
  </si>
  <si>
    <t>{"version":1,"type":"orders.update","auth":"Fgw5sp0ORTzn88ubSmN6ZqHEkRv8YCGw","business_id":11476,"order":{"order_id":9356014,"order_number_day":7,"order_link":"https:\/\/.qromo.it\/order\/?id=LbdJali.nIHUsuaF0yw.3Q--","total_items":170,"additional_costs":-17,"grand_total":153,"fee":3.45,"payment_type":"stripe","order_mode":"counter","customer_name":null,"table_name":null,"paid":true,"status":"completed","email_present":false,"phone_present":false,"order_notes":null,"order_date":"2026-03-28 10:50:26","delivery_scheduled_date":null,"delivery_address":null,"takeaway_date":null,"made_by_customer":false,"uses_coupons":false,"coupons":[],"menu_items":[{"order_item_id":17738135,"menu_item_id":719624,"menu_category_id":null,"name":"Lea_Bag_Maxi_COCCO_BLACK","sku":null,"price":170,"quantity":1,"note":null,"price_with_products":170,"total_value_in_order":153,"category_name":null,"menu_name":null,"menu_id":null}],"menu_items_products":[],"date_last_edit":null,"sms_sent":false,"prebill_requested":false,"subtotal_delta":-17,"tip":0,"receipt":{"fiscal_status":"fiscalized","type":"digital","data":{"business_receipt_id":2130156,"ade_id":"DCW2026\/6311-9057","total":153,"date":"2026-03-28 10:50:40"}},"invoice":null,"email":null,"phone":null}}</t>
  </si>
  <si>
    <t>{"version":1,"type":"orders.update","auth":"Fgw5sp0ORTzn88ubSmN6ZqHEkRv8YCGw","business_id":11476,"order":{"order_id":9356014,"order_number_day":7,"order_link":"https:\/\/.qromo.it\/order\/?id=LbdJali.nIHUsuaF0yw.3Q--","total_items":170,"additional_costs":-17,"grand_total":153,"fee":3.45,"payment_type":"stripe","order_mode":"counter","customer_name":null,"table_name":null,"paid":true,"status":"completed","email_present":false,"phone_present":false,"order_notes":null,"order_date":"2026-03-28 10:50:26","delivery_scheduled_date":null,"delivery_address":null,"takeaway_date":null,"made_by_customer":false,"uses_coupons":false,"coupons":[],"menu_items":[{"order_item_id":17738135,"menu_item_id":719624,"menu_category_id":null,"name":"Lea_Bag_Maxi_COCCO_BLACK","sku":null,"price":170,"quantity":1,"note":null,"price_with_products":170,"total_value_in_order":153,"category_name":null,"menu_name":null,"menu_id":null}],"menu_items_products":[],"date_last_edit":null,"sms_sent":false,"prebill_requested":false,"subtotal_delta":-17,"tip":0,"receipt":{"fiscal_status":"not_requested","type":null,"data":null},"invoice":null,"email":null,"phone":null}}</t>
  </si>
  <si>
    <t>These Qromo product names do NOT match any CODICE_AMIIMI in ACQUISTI: Lea_Bag_Maxi_COCCO_BLACK | Valid CODICE_AMIIMI count: 49</t>
  </si>
  <si>
    <t>{"version":1,"type":"orders.new","auth":"Fgw5sp0ORTzn88ubSmN6ZqHEkRv8YCGw","business_id":11476,"order":{"order_id":9356014,"order_number_day":7,"order_link":"https:\/\/.qromo.it\/order\/?id=LbdJali.nIHUsuaF0yw.3Q--","total_items":170,"additional_costs":-17,"grand_total":153,"fee":3.45,"payment_type":"stripe","order_mode":"counter","customer_name":null,"table_name":null,"paid":true,"status":"completed","email_present":false,"phone_present":false,"order_notes":null,"order_date":"2026-03-28 10:50:26","delivery_scheduled_date":null,"delivery_address":null,"takeaway_date":null,"made_by_customer":false,"uses_coupons":false,"coupons":[],"menu_items":[{"order_item_id":17738135,"menu_item_id":719624,"menu_category_id":null,"name":"Lea_Bag_Maxi_COCCO_BLACK","sku":null,"price":170,"quantity":1,"note":null,"price_with_products":170,"total_value_in_order":153,"category_name":null,"menu_name":null,"menu_id":null}],"menu_items_products":[],"date_last_edit":null,"sms_sent":false,"prebill_requested":false,"subtotal_delta":-17,"tip":0,"receipt":{"fiscal_status":"not_requested","type":null,"data":null},"invoice":null,"email":null,"phone":null}}</t>
  </si>
  <si>
    <t>{"version":1,"type":"orders.update","auth":"Fgw5sp0ORTzn88ubSmN6ZqHEkRv8YCGw","business_id":11476,"order":{"order_id":9356054,"order_number_day":8,"order_link":"https:\/\/.qromo.it\/order\/?id=LetHINXPumJhQP8ulCD9Nw--","total_items":0,"additional_costs":72,"grand_total":72,"fee":1,"payment_type":"stripe","order_mode":"counter","customer_name":null,"table_name":null,"paid":true,"status":"completed","email_present":false,"phone_present":false,"order_notes":null,"order_date":"2026-03-28 10:51:43","delivery_scheduled_date":null,"delivery_address":null,"takeaway_date":null,"made_by_customer":false,"uses_coupons":false,"coupons":[],"menu_items":[],"menu_items_products":[],"date_last_edit":null,"sms_sent":false,"prebill_requested":false,"subtotal_delta":72,"tip":0,"receipt":{"fiscal_status":"not_requested","type":null,"data":null},"invoice":null,"email":null,"phone":null}}</t>
  </si>
  <si>
    <t>NO_ITEMS</t>
  </si>
  <si>
    <t>Order has 0 menu_items – nothing to import. Grand total: 72</t>
  </si>
  <si>
    <t>{"version":1,"type":"orders.update","auth":"Fgw5sp0ORTzn88ubSmN6ZqHEkRv8YCGw","business_id":11476,"order":{"order_id":9356054,"order_number_day":8,"order_link":"https:\/\/.qromo.it\/order\/?id=LetHINXPumJhQP8ulCD9Nw--","total_items":0,"additional_costs":72,"grand_total":72,"fee":1,"payment_type":"stripe","order_mode":"counter","customer_name":null,"table_name":null,"paid":true,"status":"completed","email_present":false,"phone_present":false,"order_notes":null,"order_date":"2026-03-28 10:51:43","delivery_scheduled_date":null,"delivery_address":null,"takeaway_date":null,"made_by_customer":false,"uses_coupons":false,"coupons":[],"menu_items":[],"menu_items_products":[],"date_last_edit":null,"sms_sent":false,"prebill_requested":false,"subtotal_delta":72,"tip":0,"receipt":{"fiscal_status":"fiscalized","type":"digital","data":{"business_receipt_id":2130169,"ade_id":"DCW2026\/6311-9701","total":72,"date":"2026-03-28 10:51:55"}},"invoice":null,"email":null,"phone":null}}</t>
  </si>
  <si>
    <t>{"version":1,"type":"orders.new","auth":"Fgw5sp0ORTzn88ubSmN6ZqHEkRv8YCGw","business_id":11476,"order":{"order_id":9356054,"order_number_day":8,"order_link":"https:\/\/.qromo.it\/order\/?id=LetHINXPumJhQP8ulCD9Nw--","total_items":0,"additional_costs":72,"grand_total":72,"fee":1,"payment_type":"stripe","order_mode":"counter","customer_name":null,"table_name":null,"paid":true,"status":"completed","email_present":false,"phone_present":false,"order_notes":null,"order_date":"2026-03-28 10:51:43","delivery_scheduled_date":null,"delivery_address":null,"takeaway_date":null,"made_by_customer":false,"uses_coupons":false,"coupons":[],"menu_items":[],"menu_items_products":[],"date_last_edit":null,"sms_sent":false,"prebill_requested":false,"subtotal_delta":72,"tip":0,"receipt":{"fiscal_status":"not_requested","type":null,"data":null},"invoice":null,"email":null,"phone":null}}</t>
  </si>
  <si>
    <t>{"version":1,"type":"orders.update","auth":"Fgw5sp0ORTzn88ubSmN6ZqHEkRv8YCGw","business_id":11476,"order":{"order_id":9356152,"order_number_day":10,"order_link":"https:\/\/.qromo.it\/order\/?id=EuhueHFEeRRhGrYlWe490A--","total_items":170,"additional_costs":-17,"grand_total":153,"fee":1.99,"payment_type":"stripe","order_mode":"counter","customer_name":null,"table_name":null,"paid":true,"status":"completed","email_present":false,"phone_present":false,"order_notes":null,"order_date":"2026-03-28 10:54:45","delivery_scheduled_date":null,"delivery_address":null,"takeaway_date":null,"made_by_customer":false,"uses_coupons":false,"coupons":[],"menu_items":[{"order_item_id":17738364,"menu_item_id":719622,"menu_category_id":null,"name":"Lea_Bag_Maxi_Asole","sku":null,"price":170,"quantity":1,"note":null,"price_with_products":170,"total_value_in_order":153,"category_name":null,"menu_name":null,"menu_id":null}],"menu_items_products":[],"date_last_edit":null,"sms_sent":false,"prebill_requested":false,"subtotal_delta":-17,"tip":0,"receipt":{"fiscal_status":"not_requested","type":null,"data":null},"invoice":null,"email":null,"phone":null}}</t>
  </si>
  <si>
    <t>{"version":1,"type":"orders.update","auth":"Fgw5sp0ORTzn88ubSmN6ZqHEkRv8YCGw","business_id":11476,"order":{"order_id":9356152,"order_number_day":10,"order_link":"https:\/\/.qromo.it\/order\/?id=EuhueHFEeRRhGrYlWe490A--","total_items":170,"additional_costs":-17,"grand_total":153,"fee":1.99,"payment_type":"stripe","order_mode":"counter","customer_name":null,"table_name":null,"paid":true,"status":"completed","email_present":false,"phone_present":false,"order_notes":null,"order_date":"2026-03-28 10:54:45","delivery_scheduled_date":null,"delivery_address":null,"takeaway_date":null,"made_by_customer":false,"uses_coupons":false,"coupons":[],"menu_items":[{"order_item_id":17738364,"menu_item_id":719622,"menu_category_id":null,"name":"Lea_Bag_Maxi_Asole","sku":null,"price":170,"quantity":1,"note":null,"price_with_products":170,"total_value_in_order":153,"category_name":null,"menu_name":null,"menu_id":null}],"menu_items_products":[],"date_last_edit":null,"sms_sent":false,"prebill_requested":false,"subtotal_delta":-17,"tip":0,"receipt":{"fiscal_status":"fiscalized","type":"digital","data":{"business_receipt_id":2130207,"ade_id":"DCW2026\/6312-1215","total":153,"date":"2026-03-28 10:54:52"}},"invoice":null,"email":null,"phone":null}}</t>
  </si>
  <si>
    <t>These Qromo product names do NOT match any CODICE_AMIIMI in ACQUISTI: Lea_Bag_Maxi_Asole | Valid CODICE_AMIIMI count: 49</t>
  </si>
  <si>
    <t>{"version":1,"type":"orders.new","auth":"Fgw5sp0ORTzn88ubSmN6ZqHEkRv8YCGw","business_id":11476,"order":{"order_id":9356152,"order_number_day":10,"order_link":"https:\/\/.qromo.it\/order\/?id=EuhueHFEeRRhGrYlWe490A--","total_items":170,"additional_costs":-17,"grand_total":153,"fee":1.99,"payment_type":"stripe","order_mode":"counter","customer_name":null,"table_name":null,"paid":true,"status":"completed","email_present":false,"phone_present":false,"order_notes":null,"order_date":"2026-03-28 10:54:45","delivery_scheduled_date":null,"delivery_address":null,"takeaway_date":null,"made_by_customer":false,"uses_coupons":false,"coupons":[],"menu_items":[{"order_item_id":17738364,"menu_item_id":719622,"menu_category_id":null,"name":"Lea_Bag_Maxi_Asole","sku":null,"price":170,"quantity":1,"note":null,"price_with_products":170,"total_value_in_order":153,"category_name":null,"menu_name":null,"menu_id":null}],"menu_items_products":[],"date_last_edit":null,"sms_sent":false,"prebill_requested":false,"subtotal_delta":-17,"tip":0,"receipt":{"fiscal_status":"not_requested","type":null,"data":null},"invoice":null,"email":null,"phone":null}}</t>
  </si>
  <si>
    <t>{"version":1,"type":"orders.update","auth":"Fgw5sp0ORTzn88ubSmN6ZqHEkRv8YCGw","business_id":11476,"order":{"order_id":9357384,"order_number_day":11,"order_link":"https:\/\/.qromo.it\/order\/?id=9aAXZDXv9NPD_tqGL22Pyg--","total_items":0,"additional_costs":148,"grand_total":148,"fee":1.93,"payment_type":"stripe","order_mode":"counter","customer_name":null,"table_name":null,"paid":true,"status":"completed","email_present":false,"phone_present":false,"order_notes":null,"order_date":"2026-03-28 11:30:58","delivery_scheduled_date":null,"delivery_address":null,"takeaway_date":null,"made_by_customer":false,"uses_coupons":false,"coupons":[],"menu_items":[],"menu_items_products":[],"date_last_edit":null,"sms_sent":false,"prebill_requested":false,"subtotal_delta":148,"tip":0,"receipt":{"fiscal_status":"not_requested","type":null,"data":null},"invoice":null,"email":null,"phone":null}}</t>
  </si>
  <si>
    <t>{"version":1,"type":"orders.update","auth":"Fgw5sp0ORTzn88ubSmN6ZqHEkRv8YCGw","business_id":11476,"order":{"order_id":9357384,"order_number_day":11,"order_link":"https:\/\/.qromo.it\/order\/?id=9aAXZDXv9NPD_tqGL22Pyg--","total_items":0,"additional_costs":148,"grand_total":148,"fee":1.93,"payment_type":"stripe","order_mode":"counter","customer_name":null,"table_name":null,"paid":true,"status":"completed","email_present":false,"phone_present":false,"order_notes":null,"order_date":"2026-03-28 11:30:58","delivery_scheduled_date":null,"delivery_address":null,"takeaway_date":null,"made_by_customer":false,"uses_coupons":false,"coupons":[],"menu_items":[],"menu_items_products":[],"date_last_edit":null,"sms_sent":false,"prebill_requested":false,"subtotal_delta":148,"tip":0,"receipt":{"fiscal_status":"fiscalized","type":"digital","data":{"business_receipt_id":2130730,"ade_id":"DCW2026\/6313-9835","total":148,"date":"2026-03-28 11:31:17"}},"invoice":null,"email":null,"phone":null}}</t>
  </si>
  <si>
    <t>Order has 0 menu_items – nothing to import. Grand total: 148</t>
  </si>
  <si>
    <t>{"version":1,"type":"orders.new","auth":"Fgw5sp0ORTzn88ubSmN6ZqHEkRv8YCGw","business_id":11476,"order":{"order_id":9357384,"order_number_day":11,"order_link":"https:\/\/.qromo.it\/order\/?id=9aAXZDXv9NPD_tqGL22Pyg--","total_items":0,"additional_costs":148,"grand_total":148,"fee":1.93,"payment_type":"stripe","order_mode":"counter","customer_name":null,"table_name":null,"paid":true,"status":"completed","email_present":false,"phone_present":false,"order_notes":null,"order_date":"2026-03-28 11:30:58","delivery_scheduled_date":null,"delivery_address":null,"takeaway_date":null,"made_by_customer":false,"uses_coupons":false,"coupons":[],"menu_items":[],"menu_items_products":[],"date_last_edit":null,"sms_sent":false,"prebill_requested":false,"subtotal_delta":148,"tip":0,"receipt":{"fiscal_status":"not_requested","type":null,"data":null},"invoice":null,"email":null,"phone":null}}</t>
  </si>
  <si>
    <t>{"version":1,"type":"orders.update","auth":"Fgw5sp0ORTzn88ubSmN6ZqHEkRv8YCGw","business_id":11476,"order":{"order_id":9357493,"order_number_day":13,"order_link":"https:\/\/.qromo.it\/order\/?id=bPeprnYypaYt9v0IWTS5rQ--","total_items":90,"additional_costs":0,"grand_total":90,"fee":3.03,"payment_type":"stripe","order_mode":"counter","customer_name":null,"table_name":null,"paid":true,"status":"completed","email_present":false,"phone_present":false,"order_notes":null,"order_date":"2026-03-28 11:33:29","delivery_scheduled_date":null,"delivery_address":null,"takeaway_date":null,"made_by_customer":false,"uses_coupons":false,"coupons":[],"menu_items":[{"order_item_id":17741093,"menu_item_id":733144,"menu_category_id":null,"name":"ANNIE BAG PAILLETTES 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</si>
  <si>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9357493,"order_number_day":13,"order_link":"https:\/\/.qromo.it\/order\/?id=bPeprnYypaYt9v0IWTS5rQ--","total_items":90,"additional_costs":0,"grand_total":90,"fee":3.03,"payment_type":"stripe","order_mode":"counter","customer_name":null,"table_name":null,"paid":true,"status":"completed","email_present":false,"phone_present":false,"order_notes":null,"order_date":"2026-03-28 11:33:29","delivery_scheduled_date":null,"delivery_address":null,"takeaway_date":null,"made_by_customer":false,"uses_coupons":false,"coupons":[],"menu_items":[{"order_item_id":17741093,"menu_item_id":733144,"menu_category_id":null,"name":"ANNIE BAG PAILLETTES BEIGE","sku":null,"price":90,"quantity":1,"note":null,"price_with_products":90,"total_value_in_order":90,"category_name":null,"menu_name":null,"menu_id":null}],"menu_items_products":[],"date_last_edit":null,"sms_sent":false,"prebill_requested":false,"subtotal_delta":0,"tip":0,"receipt":{"fiscal_status":"fiscalized","type":"digital","data":{"business_receipt_id":2130783,"ade_id":"DCW2026\/6314-1027","total":90,"date":"2026-03-28 11:33:39"}},"invoice":null,"email":null,"phone":null}}</t>
  </si>
  <si>
    <t>These Qromo product names do NOT match any CODICE_AMIIMI in ACQUISTI: ANNIE BAG PAILLETTES BEIGE | Valid CODICE_AMIIMI count: 49</t>
  </si>
  <si>
    <t>{"version":1,"type":"orders.new","auth":"Fgw5sp0ORTzn88ubSmN6ZqHEkRv8YCGw","business_id":11476,"order":{"order_id":9357493,"order_number_day":13,"order_link":"https:\/\/.qromo.it\/order\/?id=bPeprnYypaYt9v0IWTS5rQ--","total_items":90,"additional_costs":0,"grand_total":90,"fee":3.03,"payment_type":"stripe","order_mode":"counter","customer_name":null,"table_name":null,"paid":true,"status":"completed","email_present":false,"phone_present":false,"order_notes":null,"order_date":"2026-03-28 11:33:29","delivery_scheduled_date":null,"delivery_address":null,"takeaway_date":null,"made_by_customer":false,"uses_coupons":false,"coupons":[],"menu_items":[{"order_item_id":17741093,"menu_item_id":733144,"menu_category_id":null,"name":"ANNIE BAG PAILLETTES 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</si>
  <si>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9363340,"order_number_day":15,"order_link":"https:\/\/.qromo.it\/order\/?id=IeiKK4jiQDwRfRRu.MCBCQ--","total_items":120,"additional_costs":0,"grand_total":120,"fee":1.59,"payment_type":"stripe","order_mode":"counter","customer_name":null,"table_name":null,"paid":true,"status":"completed","email_present":false,"phone_present":false,"order_notes":null,"order_date":"2026-03-28 13:40:30","delivery_scheduled_date":null,"delivery_address":null,"takeaway_date":null,"made_by_customer":false,"uses_coupons":false,"coupons":[],"menu_items":[{"order_item_id":17754839,"menu_item_id":702890,"menu_category_id":null,"name":"Maria_Bag_Red_PIERCING","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</si>
  <si>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9363340,"order_number_day":15,"order_link":"https:\/\/.qromo.it\/order\/?id=IeiKK4jiQDwRfRRu.MCBCQ--","total_items":120,"additional_costs":0,"grand_total":120,"fee":1.59,"payment_type":"stripe","order_mode":"counter","customer_name":null,"table_name":null,"paid":true,"status":"completed","email_present":false,"phone_present":false,"order_notes":null,"order_date":"2026-03-28 13:40:30","delivery_scheduled_date":null,"delivery_address":null,"takeaway_date":null,"made_by_customer":false,"uses_coupons":false,"coupons":[],"menu_items":[{"order_item_id":17754839,"menu_item_id":702890,"menu_category_id":null,"name":"Maria_Bag_Red_PIERCING","sku":null,"price":120,"quantity":1,"note":null,"price_with_products":120,"total_value_in_order":120,"category_name":null,"menu_name":null,"menu_id":null}],"menu_items_products":[],"date_last_edit":null,"sms_sent":false,"prebill_requested":false,"subtotal_delta":0,"tip":0,"receipt":{"fiscal_status":"fiscalized","type":"digital","data":{"business_receipt_id":2133513,"ade_id":"DCW2026\/6319-3492","total":120,"date":"2026-03-28 13:40:42"}},"invoice":null,"email":null,"phone":null}}</t>
  </si>
  <si>
    <t>{"version":1,"type":"orders.new","auth":"Fgw5sp0ORTzn88ubSmN6ZqHEkRv8YCGw","business_id":11476,"order":{"order_id":9363340,"order_number_day":15,"order_link":"https:\/\/.qromo.it\/order\/?id=IeiKK4jiQDwRfRRu.MCBCQ--","total_items":120,"additional_costs":0,"grand_total":120,"fee":1.59,"payment_type":"stripe","order_mode":"counter","customer_name":null,"table_name":null,"paid":true,"status":"completed","email_present":false,"phone_present":false,"order_notes":null,"order_date":"2026-03-28 13:40:30","delivery_scheduled_date":null,"delivery_address":null,"takeaway_date":null,"made_by_customer":false,"uses_coupons":false,"coupons":[],"menu_items":[{"order_item_id":17754839,"menu_item_id":702890,"menu_category_id":null,"name":"Maria_Bag_Red_PIERCING","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</si>
  <si>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9363601,"order_number_day":17,"order_link":"https:\/\/.qromo.it\/order\/?id=SRJBQ9w8FRuHi7oy3J9C.w--","total_items":120,"additional_costs":0,"grand_total":120,"fee":1.59,"payment_type":"stripe","order_mode":"counter","customer_name":null,"table_name":null,"paid":true,"status":"completed","email_present":false,"phone_present":false,"order_notes":null,"order_date":"2026-03-28 13:50:56","delivery_scheduled_date":null,"delivery_address":null,"takeaway_date":null,"made_by_customer":false,"uses_coupons":false,"coupons":[],"menu_items":[{"order_item_id":17755395,"menu_item_id":702798,"menu_category_id":null,"name":"Lea_Bag_Cocco_Black","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</si>
  <si>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9363601,"order_number_day":17,"order_link":"https:\/\/.qromo.it\/order\/?id=SRJBQ9w8FRuHi7oy3J9C.w--","total_items":120,"additional_costs":0,"grand_total":120,"fee":1.59,"payment_type":"stripe","order_mode":"counter","customer_name":null,"table_name":null,"paid":true,"status":"completed","email_present":false,"phone_present":false,"order_notes":null,"order_date":"2026-03-28 13:50:56","delivery_scheduled_date":null,"delivery_address":null,"takeaway_date":null,"made_by_customer":false,"uses_coupons":false,"coupons":[],"menu_items":[{"order_item_id":17755395,"menu_item_id":702798,"menu_category_id":null,"name":"Lea_Bag_Cocco_Black","sku":null,"price":120,"quantity":1,"note":null,"price_with_products":120,"total_value_in_order":120,"category_name":null,"menu_name":null,"menu_id":null}],"menu_items_products":[],"date_last_edit":null,"sms_sent":false,"prebill_requested":false,"subtotal_delta":0,"tip":0,"receipt":{"fiscal_status":"fiscalized","type":"digital","data":{"business_receipt_id":2133612,"ade_id":"DCW2026\/6319-7684","total":120,"date":"2026-03-28 13:51:07"}},"invoice":null,"email":null,"phone":null}}</t>
  </si>
  <si>
    <t>{"version":1,"type":"orders.new","auth":"Fgw5sp0ORTzn88ubSmN6ZqHEkRv8YCGw","business_id":11476,"order":{"order_id":9363601,"order_number_day":17,"order_link":"https:\/\/.qromo.it\/order\/?id=SRJBQ9w8FRuHi7oy3J9C.w--","total_items":120,"additional_costs":0,"grand_total":120,"fee":1.59,"payment_type":"stripe","order_mode":"counter","customer_name":null,"table_name":null,"paid":true,"status":"completed","email_present":false,"phone_present":false,"order_notes":null,"order_date":"2026-03-28 13:50:56","delivery_scheduled_date":null,"delivery_address":null,"takeaway_date":null,"made_by_customer":false,"uses_coupons":false,"coupons":[],"menu_items":[{"order_item_id":17755395,"menu_item_id":702798,"menu_category_id":null,"name":"Lea_Bag_Cocco_Black","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</si>
  <si>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9366714,"order_number_day":19,"order_link":"https:\/\/.qromo.it\/order\/?id=sIp9qTHFkCJ6hHm6cILKEA--","total_items":90,"additional_costs":0,"grand_total":90,"fee":1.22,"payment_type":"stripe","order_mode":"counter","customer_name":null,"table_name":null,"paid":true,"status":"completed","email_present":false,"phone_present":false,"order_notes":null,"order_date":"2026-03-28 16:12:06","delivery_scheduled_date":null,"delivery_address":null,"takeaway_date":null,"made_by_customer":false,"uses_coupons":false,"coupons":[],"menu_items":[{"order_item_id":17760679,"menu_item_id":733144,"menu_category_id":null,"name":"ANNIE BAG PAILLETTES 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</si>
  <si>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9366714,"order_number_day":19,"order_link":"https:\/\/.qromo.it\/order\/?id=sIp9qTHFkCJ6hHm6cILKEA--","total_items":90,"additional_costs":0,"grand_total":90,"fee":1.22,"payment_type":"stripe","order_mode":"counter","customer_name":null,"table_name":null,"paid":true,"status":"completed","email_present":false,"phone_present":false,"order_notes":null,"order_date":"2026-03-28 16:12:06","delivery_scheduled_date":null,"delivery_address":null,"takeaway_date":null,"made_by_customer":false,"uses_coupons":false,"coupons":[],"menu_items":[{"order_item_id":17760679,"menu_item_id":733144,"menu_category_id":null,"name":"ANNIE BAG PAILLETTES BEIGE","sku":null,"price":90,"quantity":1,"note":null,"price_with_products":90,"total_value_in_order":90,"category_name":null,"menu_name":null,"menu_id":null}],"menu_items_products":[],"date_last_edit":null,"sms_sent":false,"prebill_requested":false,"subtotal_delta":0,"tip":0,"receipt":{"fiscal_status":"fiscalized","type":"digital","data":{"business_receipt_id":2134791,"ade_id":"DCW2026\/6324-2506","total":90,"date":"2026-03-28 16:12:17"}},"invoice":null,"email":null,"phone":null}}</t>
  </si>
  <si>
    <t>{"version":1,"type":"orders.new","auth":"Fgw5sp0ORTzn88ubSmN6ZqHEkRv8YCGw","business_id":11476,"order":{"order_id":9366714,"order_number_day":19,"order_link":"https:\/\/.qromo.it\/order\/?id=sIp9qTHFkCJ6hHm6cILKEA--","total_items":90,"additional_costs":0,"grand_total":90,"fee":1.22,"payment_type":"stripe","order_mode":"counter","customer_name":null,"table_name":null,"paid":true,"status":"completed","email_present":false,"phone_present":false,"order_notes":null,"order_date":"2026-03-28 16:12:06","delivery_scheduled_date":null,"delivery_address":null,"takeaway_date":null,"made_by_customer":false,"uses_coupons":false,"coupons":[],"menu_items":[{"order_item_id":17760679,"menu_item_id":733144,"menu_category_id":null,"name":"ANNIE BAG PAILLETTES 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</si>
  <si>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9366847,"order_number_day":21,"order_link":"https:\/\/.qromo.it\/order\/?id=DcB1yl4LgI6F8aC23OprSw--","total_items":90,"additional_costs":-9,"grand_total":81,"fee":1.11,"payment_type":"stripe","order_mode":"counter","customer_name":null,"table_name":null,"paid":true,"status":"completed","email_present":false,"phone_present":false,"order_notes":null,"order_date":"2026-03-28 16:17:10","delivery_scheduled_date":null,"delivery_address":null,"takeaway_date":null,"made_by_customer":false,"uses_coupons":false,"coupons":[],"menu_items":[{"order_item_id":17760907,"menu_item_id":733233,"menu_category_id":null,"name":"ANNIE BAG BROWN CHOCOLATE","sku":null,"price":90,"quantity":1,"note":null,"price_with_products":90,"total_value_in_order":81,"category_name":null,"menu_name":null,"menu_id":null}],"menu_items_products":[],"date_last_edit":null,"sms_sent":false,"prebill_requested":false,"subtotal_delta":-9,"tip":0,"receipt":{"fiscal_status":"not_requested","type":null,"data":null},"invoice":null,"email":null,"phone":null}}</t>
  </si>
  <si>
    <t>{"version":1,"type":"orders.update","auth":"Fgw5sp0ORTzn88ubSmN6ZqHEkRv8YCGw","business_id":11476,"order":{"order_id":9366847,"order_number_day":21,"order_link":"https:\/\/.qromo.it\/order\/?id=DcB1yl4LgI6F8aC23OprSw--","total_items":90,"additional_costs":-9,"grand_total":81,"fee":1.11,"payment_type":"stripe","order_mode":"counter","customer_name":null,"table_name":null,"paid":true,"status":"completed","email_present":false,"phone_present":false,"order_notes":null,"order_date":"2026-03-28 16:17:10","delivery_scheduled_date":null,"delivery_address":null,"takeaway_date":null,"made_by_customer":false,"uses_coupons":false,"coupons":[],"menu_items":[{"order_item_id":17760907,"menu_item_id":733233,"menu_category_id":null,"name":"ANNIE BAG BROWN CHOCOLATE","sku":null,"price":90,"quantity":1,"note":null,"price_with_products":90,"total_value_in_order":81,"category_name":null,"menu_name":null,"menu_id":null}],"menu_items_products":[],"date_last_edit":null,"sms_sent":false,"prebill_requested":false,"subtotal_delta":-9,"tip":0,"receipt":{"fiscal_status":"fiscalized","type":"digital","data":{"business_receipt_id":2134856,"ade_id":"DCW2026\/6324-4300","total":81,"date":"2026-03-28 16:17:24"}},"invoice":null,"email":null,"phone":null}}</t>
  </si>
  <si>
    <t>These Qromo product names do NOT match any CODICE_AMIIMI in ACQUISTI: ANNIE BAG BROWN CHOCOLATE | Valid CODICE_AMIIMI count: 49</t>
  </si>
  <si>
    <t>{"version":1,"type":"orders.new","auth":"Fgw5sp0ORTzn88ubSmN6ZqHEkRv8YCGw","business_id":11476,"order":{"order_id":9366847,"order_number_day":21,"order_link":"https:\/\/.qromo.it\/order\/?id=DcB1yl4LgI6F8aC23OprSw--","total_items":90,"additional_costs":-9,"grand_total":81,"fee":1.11,"payment_type":"stripe","order_mode":"counter","customer_name":null,"table_name":null,"paid":true,"status":"completed","email_present":false,"phone_present":false,"order_notes":null,"order_date":"2026-03-28 16:17:10","delivery_scheduled_date":null,"delivery_address":null,"takeaway_date":null,"made_by_customer":false,"uses_coupons":false,"coupons":[],"menu_items":[{"order_item_id":17760907,"menu_item_id":733233,"menu_category_id":null,"name":"ANNIE BAG BROWN CHOCOLATE","sku":null,"price":90,"quantity":1,"note":null,"price_with_products":90,"total_value_in_order":81,"category_name":null,"menu_name":null,"menu_id":null}],"menu_items_products":[],"date_last_edit":null,"sms_sent":false,"prebill_requested":false,"subtotal_delta":-9,"tip":0,"receipt":{"fiscal_status":"not_requested","type":null,"data":null},"invoice":null,"email":null,"phone":null}}</t>
  </si>
  <si>
    <t>{"version":1,"type":"orders.update","auth":"Fgw5sp0ORTzn88ubSmN6ZqHEkRv8YCGw","business_id":11476,"order":{"order_id":9368628,"order_number_day":23,"order_link":"https:\/\/.qromo.it\/order\/?id=79Sdl.KuU69SRTHMyus_.A--","total_items":300,"additional_costs":0,"grand_total":300,"fee":3.78,"payment_type":"stripe","order_mode":"counter","customer_name":null,"table_name":null,"paid":true,"status":"completed","email_present":false,"phone_present":false,"order_notes":null,"order_date":"2026-03-28 17:06:08","delivery_scheduled_date":null,"delivery_address":null,"takeaway_date":null,"made_by_customer":false,"uses_coupons":false,"coupons":[],"menu_items":[{"order_item_id":17763717,"menu_item_id":733252,"menu_category_id":null,"name":"Chain Tiger","sku":null,"price":50,"quantity":3,"note":null,"price_with_products":50,"total_value_in_order":150,"category_name":null,"menu_name":null,"menu_id":null},{"order_item_id":17763718,"menu_item_id":702884,"menu_category_id":null,"name":"LEA BAG COCCO NERA","sku":null,"price":150,"quantity":1,"note":null,"price_with_products":150,"total_value_in_order":150,"category_name":null,"menu_name":null,"menu_id":null}],"menu_items_products":[],"date_last_edit":null,"sms_sent":false,"prebill_requested":false,"subtotal_delta":0,"tip":0,"receipt":{"fiscal_status":"fiscalized","type":"digital","data":{"business_receipt_id":2135676,"ade_id":"DCW2026\/6326-2012","total":300,"date":"2026-03-28 17:06:32"}},"invoice":null,"email":null,"phone":null}}</t>
  </si>
  <si>
    <t>These Qromo product names do NOT match any CODICE_AMIIMI in ACQUISTI: Chain Tiger, LEA BAG COCCO NERA | Valid CODICE_AMIIMI count: 49</t>
  </si>
  <si>
    <t>{"version":1,"type":"orders.update","auth":"Fgw5sp0ORTzn88ubSmN6ZqHEkRv8YCGw","business_id":11476,"order":{"order_id":9368628,"order_number_day":23,"order_link":"https:\/\/.qromo.it\/order\/?id=79Sdl.KuU69SRTHMyus_.A--","total_items":300,"additional_costs":0,"grand_total":300,"fee":3.78,"payment_type":"stripe","order_mode":"counter","customer_name":null,"table_name":null,"paid":true,"status":"completed","email_present":false,"phone_present":false,"order_notes":null,"order_date":"2026-03-28 17:06:08","delivery_scheduled_date":null,"delivery_address":null,"takeaway_date":null,"made_by_customer":false,"uses_coupons":false,"coupons":[],"menu_items":[{"order_item_id":17763717,"menu_item_id":733252,"menu_category_id":null,"name":"Chain Tiger","sku":null,"price":50,"quantity":3,"note":null,"price_with_products":50,"total_value_in_order":150,"category_name":null,"menu_name":null,"menu_id":null},{"order_item_id":17763718,"menu_item_id":702884,"menu_category_id":null,"name":"LEA BAG COCCO NERA","sku":null,"price":150,"quantity":1,"note":null,"price_with_products":150,"total_value_in_order":150,"category_name":null,"menu_name":null,"menu_id":null}],"menu_items_products":[],"date_last_edit":null,"sms_sent":false,"prebill_requested":false,"subtotal_delta":0,"tip":0,"receipt":{"fiscal_status":"not_requested","type":null,"data":null},"invoice":null,"email":null,"phone":null}}</t>
  </si>
  <si>
    <t>{"version":1,"type":"orders.new","auth":"Fgw5sp0ORTzn88ubSmN6ZqHEkRv8YCGw","business_id":11476,"order":{"order_id":9368628,"order_number_day":23,"order_link":"https:\/\/.qromo.it\/order\/?id=79Sdl.KuU69SRTHMyus_.A--","total_items":300,"additional_costs":0,"grand_total":300,"fee":3.78,"payment_type":"stripe","order_mode":"counter","customer_name":null,"table_name":null,"paid":true,"status":"completed","email_present":false,"phone_present":false,"order_notes":null,"order_date":"2026-03-28 17:06:08","delivery_scheduled_date":null,"delivery_address":null,"takeaway_date":null,"made_by_customer":false,"uses_coupons":false,"coupons":[],"menu_items":[{"order_item_id":17763717,"menu_item_id":733252,"menu_category_id":null,"name":"Chain Tiger","sku":null,"price":50,"quantity":3,"note":null,"price_with_products":50,"total_value_in_order":150,"category_name":null,"menu_name":null,"menu_id":null},{"order_item_id":17763718,"menu_item_id":702884,"menu_category_id":null,"name":"LEA BAG COCCO NERA","sku":null,"price":150,"quantity":1,"note":null,"price_with_products":150,"total_value_in_order":150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</si>
  <si>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9370191,"order_number_day":26,"order_link":"https:\/\/.qromo.it\/order\/?id=SX8dA0tyU1YiiVnk4Qu.PA--","total_items":90,"additional_costs":0,"grand_total":90,"fee":0,"payment_type":"cash","order_mode":"counter","customer_name":"Giulia Galbiati","table_name":null,"paid":true,"status":"completed","email_present":false,"phone_present":false,"order_notes":null,"order_date":"2026-03-28 17:40:55","delivery_scheduled_date":null,"delivery_address":null,"takeaway_date":null,"made_by_customer":false,"uses_coupons":false,"coupons":[],"menu_items":[{"order_item_id":17766334,"menu_item_id":733275,"menu_category_id":null,"name":"ANNIE BAG PAILLETTES TURQUOISE","sku":null,"price":90,"quantity":1,"note":null,"price_with_products":90,"total_value_in_order":90,"category_name":null,"menu_name":null,"menu_id":null}],"menu_items_products":[],"date_last_edit":null,"sms_sent":false,"prebill_requested":false,"subtotal_delta":0,"tip":0,"receipt":{"fiscal_status":"fiscalized","type":"digital","data":{"business_receipt_id":2136413,"ade_id":"DCW2026\/6327-4207","total":90,"date":"2026-03-28 17:40:56"}},"invoice":null,"email":null,"phone":null}}</t>
  </si>
  <si>
    <t>These Qromo product names do NOT match any CODICE_AMIIMI in ACQUISTI: ANNIE BAG PAILLETTES TURQUOISE | Valid CODICE_AMIIMI count: 49</t>
  </si>
  <si>
    <t>{"version":1,"type":"orders.new","auth":"Fgw5sp0ORTzn88ubSmN6ZqHEkRv8YCGw","business_id":11476,"order":{"order_id":9370191,"order_number_day":26,"order_link":"https:\/\/.qromo.it\/order\/?id=SX8dA0tyU1YiiVnk4Qu.PA--","total_items":90,"additional_costs":0,"grand_total":90,"fee":0,"payment_type":"cash","order_mode":"counter","customer_name":"Giulia Galbiati","table_name":null,"paid":true,"status":"completed","email_present":false,"phone_present":false,"order_notes":null,"order_date":"2026-03-28 17:40:55","delivery_scheduled_date":null,"delivery_address":null,"takeaway_date":null,"made_by_customer":false,"uses_coupons":false,"coupons":[],"menu_items":[{"order_item_id":17766334,"menu_item_id":733275,"menu_category_id":null,"name":"ANNIE BAG PAILLETTES TURQUOIS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</si>
  <si>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9621299,"order_number_day":2,"order_link":"https:\/\/.qromo.it\/order\/?id=WP.c6PqQeZg4Yetg_FyB_w--","total_items":170,"additional_costs":0,"grand_total":170,"fee":2.2,"payment_type":"stripe","order_mode":"counter","customer_name":null,"table_name":null,"paid":true,"status":"completed","email_present":false,"phone_present":false,"order_notes":null,"order_date":"2026-04-07 09:21:43","delivery_scheduled_date":null,"delivery_address":null,"takeaway_date":null,"made_by_customer":false,"uses_coupons":false,"coupons":[],"menu_items":[{"order_item_id":18235686,"menu_item_id":719624,"menu_category_id":null,"name":"Lea_Bag_Maxi_COCCO_BLACK","sku":null,"price":170,"quantity":1,"note":null,"price_with_products":170,"total_value_in_order":170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</si>
  <si>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9621299,"order_number_day":2,"order_link":"https:\/\/.qromo.it\/order\/?id=WP.c6PqQeZg4Yetg_FyB_w--","total_items":170,"additional_costs":0,"grand_total":170,"fee":2.2,"payment_type":"stripe","order_mode":"counter","customer_name":null,"table_name":null,"paid":true,"status":"completed","email_present":false,"phone_present":false,"order_notes":null,"order_date":"2026-04-07 09:21:43","delivery_scheduled_date":null,"delivery_address":null,"takeaway_date":null,"made_by_customer":false,"uses_coupons":false,"coupons":[],"menu_items":[{"order_item_id":18235686,"menu_item_id":719624,"menu_category_id":null,"name":"Lea_Bag_Maxi_COCCO_BLACK","sku":null,"price":170,"quantity":1,"note":null,"price_with_products":170,"total_value_in_order":170,"category_name":null,"menu_name":null,"menu_id":null}],"menu_items_products":[],"date_last_edit":null,"sms_sent":false,"prebill_requested":false,"subtotal_delta":0,"tip":0,"receipt":{"fiscal_status":"fiscalized","type":"digital","data":{"business_receipt_id":2228363,"ade_id":"DCW2026\/6622-8402","total":170,"date":"2026-04-07 09:21:55"}},"invoice":null,"email":null,"phone":null}}</t>
  </si>
  <si>
    <t>{"version":1,"type":"orders.new","auth":"Fgw5sp0ORTzn88ubSmN6ZqHEkRv8YCGw","business_id":11476,"order":{"order_id":9621299,"order_number_day":2,"order_link":"https:\/\/.qromo.it\/order\/?id=WP.c6PqQeZg4Yetg_FyB_w--","total_items":170,"additional_costs":0,"grand_total":170,"fee":2.2,"payment_type":"stripe","order_mode":"counter","customer_name":null,"table_name":null,"paid":true,"status":"completed","email_present":false,"phone_present":false,"order_notes":null,"order_date":"2026-04-07 09:21:43","delivery_scheduled_date":null,"delivery_address":null,"takeaway_date":null,"made_by_customer":false,"uses_coupons":false,"coupons":[],"menu_items":[{"order_item_id":18235686,"menu_item_id":719624,"menu_category_id":null,"name":"Lea_Bag_Maxi_COCCO_BLACK","sku":null,"price":170,"quantity":1,"note":null,"price_with_products":170,"total_value_in_order":170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</si>
  <si>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9645088,"order_number_day":2,"order_link":"https:\/\/.qromo.it\/order\/?id=cJUzKBKSFNcW.deObR3Jpw--","total_items":80,"additional_costs":-8,"grand_total":72,"fee":1,"payment_type":"stripe","order_mode":"counter","customer_name":null,"table_name":null,"paid":true,"status":"completed","email_present":false,"phone_present":false,"order_notes":null,"order_date":"2026-04-08 18:27:37","delivery_scheduled_date":null,"delivery_address":null,"takeaway_date":null,"made_by_customer":false,"uses_coupons":false,"coupons":[],"menu_items":[{"order_item_id":18281555,"menu_item_id":739747,"menu_category_id":null,"name":"AGATA BAG FLORAL GREEN","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</si>
  <si>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These Qromo product names do NOT match any CODICE_AMIIMI in ACQUISTI: AGATA BAG FLORAL GREEN | Valid CODICE_AMIIMI count: 49</t>
  </si>
  <si>
    <t>{"version":1,"type":"orders.update","auth":"Fgw5sp0ORTzn88ubSmN6ZqHEkRv8YCGw","business_id":11476,"order":{"order_id":9645088,"order_number_day":2,"order_link":"https:\/\/.qromo.it\/order\/?id=cJUzKBKSFNcW.deObR3Jpw--","total_items":80,"additional_costs":-8,"grand_total":72,"fee":1,"payment_type":"stripe","order_mode":"counter","customer_name":null,"table_name":null,"paid":true,"status":"completed","email_present":false,"phone_present":false,"order_notes":null,"order_date":"2026-04-08 18:27:37","delivery_scheduled_date":null,"delivery_address":null,"takeaway_date":null,"made_by_customer":false,"uses_coupons":false,"coupons":[],"menu_items":[{"order_item_id":18281555,"menu_item_id":739747,"menu_category_id":null,"name":"AGATA BAG FLORAL GREEN","sku":null,"price":80,"quantity":1,"note":null,"price_with_products":80,"total_value_in_order":72,"category_name":null,"menu_name":null,"menu_id":null}],"menu_items_products":[],"date_last_edit":null,"sms_sent":false,"prebill_requested":false,"subtotal_delta":-8,"tip":0,"receipt":{"fiscal_status":"fiscalized","type":"digital","data":{"business_receipt_id":2232842,"ade_id":"DCW2026\/6697-5161","total":72,"date":"2026-04-08 18:27:44"}},"invoice":null,"email":null,"phone":null}}</t>
  </si>
  <si>
    <t>{"version":1,"type":"orders.new","auth":"Fgw5sp0ORTzn88ubSmN6ZqHEkRv8YCGw","business_id":11476,"order":{"order_id":9645088,"order_number_day":2,"order_link":"https:\/\/.qromo.it\/order\/?id=cJUzKBKSFNcW.deObR3Jpw--","total_items":80,"additional_costs":-8,"grand_total":72,"fee":1,"payment_type":"stripe","order_mode":"counter","customer_name":null,"table_name":null,"paid":true,"status":"completed","email_present":false,"phone_present":false,"order_notes":null,"order_date":"2026-04-08 18:27:37","delivery_scheduled_date":null,"delivery_address":null,"takeaway_date":null,"made_by_customer":false,"uses_coupons":false,"coupons":[],"menu_items":[{"order_item_id":18281555,"menu_item_id":739747,"menu_category_id":null,"name":"AGATA BAG FLORAL GREEN","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</si>
  <si>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9645109,"order_number_day":4,"order_link":"https:\/\/.qromo.it\/order\/?id=F79ES0Ja3s2v78SIBI6yOA--","total_items":80,"additional_costs":-8,"grand_total":72,"fee":1,"payment_type":"stripe","order_mode":"counter","customer_name":null,"table_name":null,"paid":true,"status":"completed","email_present":false,"phone_present":false,"order_notes":null,"order_date":"2026-04-08 18:28:22","delivery_scheduled_date":null,"delivery_address":null,"takeaway_date":null,"made_by_customer":false,"uses_coupons":false,"coupons":[],"menu_items":[{"order_item_id":18281603,"menu_item_id":739745,"menu_category_id":null,"name":"AGATA BAG ROSE PINK","sku":null,"price":80,"quantity":1,"note":null,"price_with_products":80,"total_value_in_order":72,"category_name":null,"menu_name":null,"menu_id":null}],"menu_items_products":[],"date_last_edit":null,"sms_sent":false,"prebill_requested":false,"subtotal_delta":-8,"tip":0,"receipt":{"fiscal_status":"fiscalized","type":"digital","data":{"business_receipt_id":2232846,"ade_id":"DCW2026\/6697-5437","total":72,"date":"2026-04-08 18:28:33"}},"invoice":null,"email":null,"phone":null}}</t>
  </si>
  <si>
    <t>{"version":1,"type":"orders.update","auth":"Fgw5sp0ORTzn88ubSmN6ZqHEkRv8YCGw","business_id":11476,"order":{"order_id":9645109,"order_number_day":4,"order_link":"https:\/\/.qromo.it\/order\/?id=F79ES0Ja3s2v78SIBI6yOA--","total_items":80,"additional_costs":-8,"grand_total":72,"fee":1,"payment_type":"stripe","order_mode":"counter","customer_name":null,"table_name":null,"paid":true,"status":"completed","email_present":false,"phone_present":false,"order_notes":null,"order_date":"2026-04-08 18:28:22","delivery_scheduled_date":null,"delivery_address":null,"takeaway_date":null,"made_by_customer":false,"uses_coupons":false,"coupons":[],"menu_items":[{"order_item_id":18281603,"menu_item_id":739745,"menu_category_id":null,"name":"AGATA BAG ROSE PINK","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</si>
  <si>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These Qromo product names do NOT match any CODICE_AMIIMI in ACQUISTI: AGATA BAG ROSE PINK | Valid CODICE_AMIIMI count: 49</t>
  </si>
  <si>
    <t>{"version":1,"type":"orders.new","auth":"Fgw5sp0ORTzn88ubSmN6ZqHEkRv8YCGw","business_id":11476,"order":{"order_id":9645109,"order_number_day":4,"order_link":"https:\/\/.qromo.it\/order\/?id=F79ES0Ja3s2v78SIBI6yOA--","total_items":80,"additional_costs":-8,"grand_total":72,"fee":1,"payment_type":"stripe","order_mode":"counter","customer_name":null,"table_name":null,"paid":true,"status":"completed","email_present":false,"phone_present":false,"order_notes":null,"order_date":"2026-04-08 18:28:22","delivery_scheduled_date":null,"delivery_address":null,"takeaway_date":null,"made_by_customer":false,"uses_coupons":false,"coupons":[],"menu_items":[{"order_item_id":18281603,"menu_item_id":739745,"menu_category_id":null,"name":"AGATA BAG ROSE PINK","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</si>
  <si>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9645146,"order_number_day":6,"order_link":"https:\/\/.qromo.it\/order\/?id=U3SpO5LKF8lozSUPMtBJng--","total_items":160,"additional_costs":-16,"grand_total":144,"fee":1.88,"payment_type":"stripe","order_mode":"counter","customer_name":null,"table_name":null,"paid":true,"status":"completed","email_present":false,"phone_present":false,"order_notes":null,"order_date":"2026-04-08 18:29:49","delivery_scheduled_date":null,"delivery_address":null,"takeaway_date":null,"made_by_customer":false,"uses_coupons":false,"coupons":[],"menu_items":[{"order_item_id":18281694,"menu_item_id":739751,"menu_category_id":null,"name":"AGATA BAG FLORAL PINK","sku":null,"price":80,"quantity":1,"note":null,"price_with_products":80,"total_value_in_order":72,"category_name":null,"menu_name":null,"menu_id":null},{"order_item_id":18281695,"menu_item_id":739747,"menu_category_id":null,"name":"AGATA BAG FLORAL GREEN","sku":null,"price":80,"quantity":1,"note":null,"price_with_products":80,"total_value_in_order":72,"category_name":null,"menu_name":null,"menu_id":null}],"menu_items_products":[],"date_last_edit":null,"sms_sent":false,"prebill_requested":false,"subtotal_delta":-16,"tip":0,"receipt":{"fiscal_status":"not_requested","type":null,"data":null},"invoice":null,"email":null,"phone":null}}</t>
  </si>
  <si>
    <t>These Qromo product names do NOT match any CODICE_AMIIMI in ACQUISTI: AGATA BAG FLORAL PINK, AGATA BAG FLORAL GREEN | Valid CODICE_AMIIMI count: 49</t>
  </si>
  <si>
    <t>{"version":1,"type":"orders.update","auth":"Fgw5sp0ORTzn88ubSmN6ZqHEkRv8YCGw","business_id":11476,"order":{"order_id":9645146,"order_number_day":6,"order_link":"https:\/\/.qromo.it\/order\/?id=U3SpO5LKF8lozSUPMtBJng--","total_items":160,"additional_costs":-16,"grand_total":144,"fee":1.88,"payment_type":"stripe","order_mode":"counter","customer_name":null,"table_name":null,"paid":true,"status":"completed","email_present":false,"phone_present":false,"order_notes":null,"order_date":"2026-04-08 18:29:49","delivery_scheduled_date":null,"delivery_address":null,"takeaway_date":null,"made_by_customer":false,"uses_coupons":false,"coupons":[],"menu_items":[{"order_item_id":18281694,"menu_item_id":739751,"menu_category_id":null,"name":"AGATA BAG FLORAL PINK","sku":null,"price":80,"quantity":1,"note":null,"price_with_products":80,"total_value_in_order":72,"category_name":null,"menu_name":null,"menu_id":null},{"order_item_id":18281695,"menu_item_id":739747,"menu_category_id":null,"name":"AGATA BAG FLORAL GREEN","sku":null,"price":80,"quantity":1,"note":null,"price_with_products":80,"total_value_in_order":72,"category_name":null,"menu_name":null,"menu_id":null}],"menu_items_products":[],"date_last_edit":null,"sms_sent":false,"prebill_requested":false,"subtotal_delta":-16,"tip":0,"receipt":{"fiscal_status":"fiscalized","type":"digital","data":{"business_receipt_id":2232854,"ade_id":"DCW2026\/6697-6025","total":144,"date":"2026-04-08 18:30:16"}},"invoice":null,"email":null,"phone":null}}</t>
  </si>
  <si>
    <t>{"version":1,"type":"orders.new","auth":"Fgw5sp0ORTzn88ubSmN6ZqHEkRv8YCGw","business_id":11476,"order":{"order_id":9645146,"order_number_day":6,"order_link":"https:\/\/.qromo.it\/order\/?id=U3SpO5LKF8lozSUPMtBJng--","total_items":160,"additional_costs":-16,"grand_total":144,"fee":1.88,"payment_type":"stripe","order_mode":"counter","customer_name":null,"table_name":null,"paid":true,"status":"completed","email_present":false,"phone_present":false,"order_notes":null,"order_date":"2026-04-08 18:29:49","delivery_scheduled_date":null,"delivery_address":null,"takeaway_date":null,"made_by_customer":false,"uses_coupons":false,"coupons":[],"menu_items":[{"order_item_id":18281694,"menu_item_id":739751,"menu_category_id":null,"name":"AGATA BAG FLORAL PINK","sku":null,"price":80,"quantity":1,"note":null,"price_with_products":80,"total_value_in_order":72,"category_name":null,"menu_name":null,"menu_id":null},{"order_item_id":18281695,"menu_item_id":739747,"menu_category_id":null,"name":"AGATA BAG FLORAL GREEN","sku":null,"price":80,"quantity":1,"note":null,"price_with_products":80,"total_value_in_order":72,"category_name":null,"menu_name":null,"menu_id":null}],"menu_items_products":[],"date_last_edit":null,"sms_sent":false,"prebill_requested":false,"subtotal_delta":-16,"tip":0,"receipt":{"fiscal_status":"not_requested","type":null,"data":null},"invoice":null,"email":null,"phone":null}}</t>
  </si>
  <si>
    <t>{"version":1,"type":"orders.update","auth":"Fgw5sp0ORTzn88ubSmN6ZqHEkRv8YCGw","business_id":11476,"order":{"order_id":9645209,"order_number_day":8,"order_link":"https:\/\/.qromo.it\/order\/?id=vUSMQPMTn65qUqYuh8dZhQ--","total_items":150,"additional_costs":-15,"grand_total":135,"fee":1.77,"payment_type":"stripe","order_mode":"counter","customer_name":null,"table_name":null,"paid":true,"status":"completed","email_present":false,"phone_present":false,"order_notes":null,"order_date":"2026-04-08 18:32:26","delivery_scheduled_date":null,"delivery_address":null,"takeaway_date":null,"made_by_customer":false,"uses_coupons":false,"coupons":[],"menu_items":[{"order_item_id":18281868,"menu_item_id":712230,"menu_category_id":null,"name":"Lea_Bag_Muccata_Marrone","sku":null,"price":150,"quantity":1,"note":null,"price_with_products":150,"total_value_in_order":135,"category_name":null,"menu_name":null,"menu_id":null}],"menu_items_products":[],"date_last_edit":null,"sms_sent":false,"prebill_requested":false,"subtotal_delta":-15,"tip":0,"receipt":{"fiscal_status":"not_requested","type":null,"data":null},"invoice":null,"email":null,"phone":null}}</t>
  </si>
  <si>
    <t>{"version":1,"type":"orders.update","auth":"Fgw5sp0ORTzn88ubSmN6ZqHEkRv8YCGw","business_id":11476,"order":{"order_id":9645209,"order_number_day":8,"order_link":"https:\/\/.qromo.it\/order\/?id=vUSMQPMTn65qUqYuh8dZhQ--","total_items":150,"additional_costs":-15,"grand_total":135,"fee":1.77,"payment_type":"stripe","order_mode":"counter","customer_name":null,"table_name":null,"paid":true,"status":"completed","email_present":false,"phone_present":false,"order_notes":null,"order_date":"2026-04-08 18:32:26","delivery_scheduled_date":null,"delivery_address":null,"takeaway_date":null,"made_by_customer":false,"uses_coupons":false,"coupons":[],"menu_items":[{"order_item_id":18281868,"menu_item_id":712230,"menu_category_id":null,"name":"Lea_Bag_Muccata_Marrone","sku":null,"price":150,"quantity":1,"note":null,"price_with_products":150,"total_value_in_order":135,"category_name":null,"menu_name":null,"menu_id":null}],"menu_items_products":[],"date_last_edit":null,"sms_sent":false,"prebill_requested":false,"subtotal_delta":-15,"tip":0,"receipt":{"fiscal_status":"fiscalized","type":"digital","data":{"business_receipt_id":2232865,"ade_id":"DCW2026\/6697-6765","total":135,"date":"2026-04-08 18:32:33"}},"invoice":null,"email":null,"phone":null}}</t>
  </si>
  <si>
    <t>{"version":1,"type":"orders.new","auth":"Fgw5sp0ORTzn88ubSmN6ZqHEkRv8YCGw","business_id":11476,"order":{"order_id":9645209,"order_number_day":8,"order_link":"https:\/\/.qromo.it\/order\/?id=vUSMQPMTn65qUqYuh8dZhQ--","total_items":150,"additional_costs":-15,"grand_total":135,"fee":1.77,"payment_type":"stripe","order_mode":"counter","customer_name":null,"table_name":null,"paid":true,"status":"completed","email_present":false,"phone_present":false,"order_notes":null,"order_date":"2026-04-08 18:32:26","delivery_scheduled_date":null,"delivery_address":null,"takeaway_date":null,"made_by_customer":false,"uses_coupons":false,"coupons":[],"menu_items":[{"order_item_id":18281868,"menu_item_id":712230,"menu_category_id":null,"name":"Lea_Bag_Muccata_Marrone","sku":null,"price":150,"quantity":1,"note":null,"price_with_products":150,"total_value_in_order":135,"category_name":null,"menu_name":null,"menu_id":null}],"menu_items_products":[],"date_last_edit":null,"sms_sent":false,"prebill_requested":false,"subtotal_delta":-15,"tip":0,"receipt":{"fiscal_status":"not_requested","type":null,"data":null},"invoice":null,"email":null,"phone":null}}</t>
  </si>
  <si>
    <t>{"version":1,"type":"orders.update","auth":"Fgw5sp0ORTzn88ubSmN6ZqHEkRv8YCGw","business_id":11476,"order":{"order_id":9658460,"order_number_day":1,"order_link":"https:\/\/.qromo.it\/order\/?id=4BsqMJQVke2Ku3Yb7yA2DQ--","total_items":90,"additional_costs":0,"grand_total":90,"fee":1.22,"payment_type":"stripe","order_mode":"counter","customer_name":null,"table_name":null,"paid":true,"status":"completed","email_present":false,"phone_present":false,"order_notes":null,"order_date":"2026-04-09 14:55:15","delivery_scheduled_date":null,"delivery_address":null,"takeaway_date":null,"made_by_customer":false,"uses_coupons":false,"coupons":[],"menu_items":[{"order_item_id":18305678,"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</si>
  <si>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Annie_Bag_Paillettes_Beige | Valid CODICE_AMIIMI count: 57</t>
  </si>
  <si>
    <t>{"version":1,"type":"orders.update","auth":"Fgw5sp0ORTzn88ubSmN6ZqHEkRv8YCGw","business_id":11476,"order":{"order_id":9658460,"order_number_day":1,"order_link":"https:\/\/.qromo.it\/order\/?id=4BsqMJQVke2Ku3Yb7yA2DQ--","total_items":90,"additional_costs":0,"grand_total":90,"fee":1.22,"payment_type":"stripe","order_mode":"counter","customer_name":null,"table_name":null,"paid":true,"status":"completed","email_present":false,"phone_present":false,"order_notes":null,"order_date":"2026-04-09 14:55:15","delivery_scheduled_date":null,"delivery_address":null,"takeaway_date":null,"made_by_customer":false,"uses_coupons":false,"coupons":[],"menu_items":[{"order_item_id":18305678,"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fiscalized","type":"digital","data":{"business_receipt_id":2235641,"ade_id":"DCW2026\/6720-0589","total":90,"date":"2026-04-09 14:55:30"}},"invoice":null,"email":null,"phone":null}}</t>
  </si>
  <si>
    <t>{"version":1,"type":"orders.new","auth":"Fgw5sp0ORTzn88ubSmN6ZqHEkRv8YCGw","business_id":11476,"order":{"order_id":9658460,"order_number_day":1,"order_link":"https:\/\/.qromo.it\/order\/?id=4BsqMJQVke2Ku3Yb7yA2DQ--","total_items":90,"additional_costs":0,"grand_total":90,"fee":1.22,"payment_type":"stripe","order_mode":"counter","customer_name":null,"table_name":null,"paid":true,"status":"completed","email_present":false,"phone_present":false,"order_notes":null,"order_date":"2026-04-09 14:55:15","delivery_scheduled_date":null,"delivery_address":null,"takeaway_date":null,"made_by_customer":false,"uses_coupons":false,"coupons":[],"menu_items":[{"order_item_id":18305678,"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</si>
  <si>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9658908,"order_number_day":2,"order_link":"https:\/\/.qromo.it\/order\/?id=7kLvyJDBCr4eAvu_JirPpA--","total_items":50,"additional_costs":0,"grand_total":50,"fee":0.73,"payment_type":"stripe","order_mode":"counter","customer_name":null,"table_name":null,"paid":true,"status":"completed","email_present":false,"phone_present":false,"order_notes":null,"order_date":"2026-04-09 15:35:07","delivery_scheduled_date":null,"delivery_address":null,"takeaway_date":null,"made_by_customer":false,"uses_coupons":false,"coupons":[],"menu_items":[{"order_item_id":18306362,"menu_item_id":712232,"menu_category_id":null,"name":"Nina_Bag_Stripes_Strawberry","sku":null,"price":50,"quantity":1,"note":null,"price_with_products":50,"total_value_in_order":50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</si>
  <si>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9658908,"order_number_day":2,"order_link":"https:\/\/.qromo.it\/order\/?id=7kLvyJDBCr4eAvu_JirPpA--","total_items":50,"additional_costs":0,"grand_total":50,"fee":0.73,"payment_type":"stripe","order_mode":"counter","customer_name":null,"table_name":null,"paid":true,"status":"completed","email_present":false,"phone_present":false,"order_notes":null,"order_date":"2026-04-09 15:35:07","delivery_scheduled_date":null,"delivery_address":null,"takeaway_date":null,"made_by_customer":false,"uses_coupons":false,"coupons":[],"menu_items":[{"order_item_id":18306362,"menu_item_id":712232,"menu_category_id":null,"name":"Nina_Bag_Stripes_Strawberry","sku":null,"price":50,"quantity":1,"note":null,"price_with_products":50,"total_value_in_order":50,"category_name":null,"menu_name":null,"menu_id":null}],"menu_items_products":[],"date_last_edit":null,"sms_sent":false,"prebill_requested":false,"subtotal_delta":0,"tip":0,"receipt":{"fiscal_status":"fiscalized","type":"digital","data":{"business_receipt_id":2235720,"ade_id":"DCW2026\/6721-3642","total":50,"date":"2026-04-09 15:35:19"}},"invoice":null,"email":null,"phone":null}}</t>
  </si>
  <si>
    <t>{"version":1,"type":"orders.new","auth":"Fgw5sp0ORTzn88ubSmN6ZqHEkRv8YCGw","business_id":11476,"order":{"order_id":9658908,"order_number_day":2,"order_link":"https:\/\/.qromo.it\/order\/?id=7kLvyJDBCr4eAvu_JirPpA--","total_items":50,"additional_costs":0,"grand_total":50,"fee":0.73,"payment_type":"stripe","order_mode":"counter","customer_name":null,"table_name":null,"paid":true,"status":"completed","email_present":false,"phone_present":false,"order_notes":null,"order_date":"2026-04-09 15:35:07","delivery_scheduled_date":null,"delivery_address":null,"takeaway_date":null,"made_by_customer":false,"uses_coupons":false,"coupons":[],"menu_items":[{"order_item_id":18306362,"menu_item_id":712232,"menu_category_id":null,"name":"Nina_Bag_Stripes_Strawberry","sku":null,"price":50,"quantity":1,"note":null,"price_with_products":50,"total_value_in_order":50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</si>
  <si>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9675821,"order_number_day":2,"order_link":"https:\/\/.qromo.it\/order\/?id=LB36FjwjMh35w49RpIPiZQ--","total_items":150,"additional_costs":0,"grand_total":150,"fee":1.95,"payment_type":"stripe","order_mode":"counter","customer_name":null,"table_name":null,"paid":true,"status":"completed","email_present":false,"phone_present":false,"order_notes":null,"order_date":"2026-04-10 12:15:41","delivery_scheduled_date":null,"delivery_address":null,"takeaway_date":null,"made_by_customer":false,"uses_coupons":false,"coupons":[],"menu_items":[{"order_item_id":18338068,"menu_item_id":712225,"menu_category_id":null,"name":"Lea_Bag_Muccata_Nera","sku":null,"price":150,"quantity":1,"note":null,"price_with_products":150,"total_value_in_order":150,"category_name":null,"menu_name":null,"menu_id":null}],"menu_items_products":[],"date_last_edit":null,"sms_sent":false,"prebill_requested":false,"subtotal_delta":0,"tip":0,"receipt":{"fiscal_status":"fiscalized","type":"digital","data":{"business_receipt_id":2239450,"ade_id":"DCW2026\/6747-5686","total":150,"date":"2026-04-10 12:15:49"}},"invoice":null,"email":null,"phone":null}}</t>
  </si>
  <si>
    <t>{"version":1,"type":"orders.update","auth":"Fgw5sp0ORTzn88ubSmN6ZqHEkRv8YCGw","business_id":11476,"order":{"order_id":9675821,"order_number_day":2,"order_link":"https:\/\/.qromo.it\/order\/?id=LB36FjwjMh35w49RpIPiZQ--","total_items":150,"additional_costs":0,"grand_total":150,"fee":1.95,"payment_type":"stripe","order_mode":"counter","customer_name":null,"table_name":null,"paid":true,"status":"completed","email_present":false,"phone_present":false,"order_notes":null,"order_date":"2026-04-10 12:15:41","delivery_scheduled_date":null,"delivery_address":null,"takeaway_date":null,"made_by_customer":false,"uses_coupons":false,"coupons":[],"menu_items":[{"order_item_id":18338068,"menu_item_id":712225,"menu_category_id":null,"name":"Lea_Bag_Muccata_Nera","sku":null,"price":150,"quantity":1,"note":null,"price_with_products":150,"total_value_in_order":150,"category_name":null,"menu_name":null,"menu_id":null}],"menu_items_products":[],"date_last_edit":null,"sms_sent":false,"prebill_requested":false,"subtotal_delta":0,"tip":0,"receipt":{"fiscal_status":"not_requested","type":null,"data":null},"invoice":null,"email":null,"phone":null}}</t>
  </si>
  <si>
    <t>{"version":1,"type":"orders.new","auth":"Fgw5sp0ORTzn88ubSmN6ZqHEkRv8YCGw","business_id":11476,"order":{"order_id":9675821,"order_number_day":2,"order_link":"https:\/\/.qromo.it\/order\/?id=LB36FjwjMh35w49RpIPiZQ--","total_items":150,"additional_costs":0,"grand_total":150,"fee":1.95,"payment_type":"stripe","order_mode":"counter","customer_name":null,"table_name":null,"paid":true,"status":"completed","email_present":false,"phone_present":false,"order_notes":null,"order_date":"2026-04-10 12:15:41","delivery_scheduled_date":null,"delivery_address":null,"takeaway_date":null,"made_by_customer":false,"uses_coupons":false,"coupons":[],"menu_items":[{"order_item_id":18338068,"menu_item_id":712225,"menu_category_id":null,"name":"Lea_Bag_Muccata_Nera","sku":null,"price":150,"quantity":1,"note":null,"price_with_products":150,"total_value_in_order":150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</si>
  <si>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9676638,"order_number_day":3,"order_link":"https:\/\/.qromo.it\/order\/?id=IxwBInygAQioV1VElxptog--","total_items":90,"additional_costs":-9,"grand_total":81,"fee":1.11,"payment_type":"stripe","order_mode":"counter","customer_name":null,"table_name":null,"paid":true,"status":"completed","email_present":false,"phone_present":false,"order_notes":null,"order_date":"2026-04-10 13:04:44","delivery_scheduled_date":null,"delivery_address":null,"takeaway_date":null,"made_by_customer":false,"uses_coupons":false,"coupons":[],"menu_items":[{"order_item_id":18339598,"menu_item_id":733144,"menu_category_id":null,"name":"Annie_Bag_Paillettes_Beige","sku":null,"price":90,"quantity":1,"note":null,"price_with_products":90,"total_value_in_order":81,"category_name":null,"menu_name":null,"menu_id":null}],"menu_items_products":[],"date_last_edit":null,"sms_sent":false,"prebill_requested":false,"subtotal_delta":-9,"tip":0,"receipt":{"fiscal_status":"fiscalized","type":"digital","data":{"business_receipt_id":2239633,"ade_id":"DCW2026\/6749-1416","total":81,"date":"2026-04-10 13:04:55"}},"invoice":null,"email":null,"phone":null}}</t>
  </si>
  <si>
    <t>{"version":1,"type":"orders.update","auth":"Fgw5sp0ORTzn88ubSmN6ZqHEkRv8YCGw","business_id":11476,"order":{"order_id":9676638,"order_number_day":3,"order_link":"https:\/\/.qromo.it\/order\/?id=IxwBInygAQioV1VElxptog--","total_items":90,"additional_costs":-9,"grand_total":81,"fee":1.11,"payment_type":"stripe","order_mode":"counter","customer_name":null,"table_name":null,"paid":true,"status":"completed","email_present":false,"phone_present":false,"order_notes":null,"order_date":"2026-04-10 13:04:44","delivery_scheduled_date":null,"delivery_address":null,"takeaway_date":null,"made_by_customer":false,"uses_coupons":false,"coupons":[],"menu_items":[{"order_item_id":18339598,"menu_item_id":733144,"menu_category_id":null,"name":"Annie_Bag_Paillettes_Beige","sku":null,"price":90,"quantity":1,"note":null,"price_with_products":90,"total_value_in_order":81,"category_name":null,"menu_name":null,"menu_id":null}],"menu_items_products":[],"date_last_edit":null,"sms_sent":false,"prebill_requested":false,"subtotal_delta":-9,"tip":0,"receipt":{"fiscal_status":"not_requested","type":null,"data":null},"invoice":null,"email":null,"phone":null}}</t>
  </si>
  <si>
    <t>{"version":1,"type":"orders.new","auth":"Fgw5sp0ORTzn88ubSmN6ZqHEkRv8YCGw","business_id":11476,"order":{"order_id":9676638,"order_number_day":3,"order_link":"https:\/\/.qromo.it\/order\/?id=IxwBInygAQioV1VElxptog--","total_items":90,"additional_costs":-9,"grand_total":81,"fee":1.11,"payment_type":"stripe","order_mode":"counter","customer_name":null,"table_name":null,"paid":true,"status":"completed","email_present":false,"phone_present":false,"order_notes":null,"order_date":"2026-04-10 13:04:44","delivery_scheduled_date":null,"delivery_address":null,"takeaway_date":null,"made_by_customer":false,"uses_coupons":false,"coupons":[],"menu_items":[{"order_item_id":18339598,"menu_item_id":733144,"menu_category_id":null,"name":"Annie_Bag_Paillettes_Beige","sku":null,"price":90,"quantity":1,"note":null,"price_with_products":90,"total_value_in_order":81,"category_name":null,"menu_name":null,"menu_id":null}],"menu_items_products":[],"date_last_edit":null,"sms_sent":false,"prebill_requested":false,"subtotal_delta":-9,"tip":0,"receipt":{"fiscal_status":"not_requested","type":null,"data":null},"invoice":null,"email":null,"phone":null}}</t>
  </si>
  <si>
    <t>{"version":1,"type":"orders.update","auth":"Fgw5sp0ORTzn88ubSmN6ZqHEkRv8YCGw","business_id":11476,"order":{"order_id":9676768,"order_number_day":4,"order_link":"https:\/\/.qromo.it\/order\/?id=KbL2da3gUBv0pESLYMMOAg--","total_items":80,"additional_costs":0,"grand_total":80,"fee":1.1,"payment_type":"stripe","order_mode":"counter","customer_name":null,"table_name":null,"paid":true,"status":"completed","email_present":false,"phone_present":false,"order_notes":null,"order_date":"2026-04-10 13:17:09","delivery_scheduled_date":null,"delivery_address":null,"takeaway_date":null,"made_by_customer":false,"uses_coupons":false,"coupons":[],"menu_items":[{"order_item_id":18339820,"menu_item_id":742220,"menu_category_id":null,"name":"Agata_Bag_Paillettes_Black","sku":null,"price":80,"quantity":1,"note":null,"price_with_products":80,"total_value_in_order":80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</si>
  <si>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Agata_Bag_Paillettes_Black | Valid CODICE_AMIIMI count: 57</t>
  </si>
  <si>
    <t>{"version":1,"type":"orders.update","auth":"Fgw5sp0ORTzn88ubSmN6ZqHEkRv8YCGw","business_id":11476,"order":{"order_id":9676768,"order_number_day":4,"order_link":"https:\/\/.qromo.it\/order\/?id=KbL2da3gUBv0pESLYMMOAg--","total_items":80,"additional_costs":0,"grand_total":80,"fee":1.1,"payment_type":"stripe","order_mode":"counter","customer_name":null,"table_name":null,"paid":true,"status":"completed","email_present":false,"phone_present":false,"order_notes":null,"order_date":"2026-04-10 13:17:09","delivery_scheduled_date":null,"delivery_address":null,"takeaway_date":null,"made_by_customer":false,"uses_coupons":false,"coupons":[],"menu_items":[{"order_item_id":18339820,"menu_item_id":742220,"menu_category_id":null,"name":"Agata_Bag_Paillettes_Black","sku":null,"price":80,"quantity":1,"note":null,"price_with_products":80,"total_value_in_order":80,"category_name":null,"menu_name":null,"menu_id":null}],"menu_items_products":[],"date_last_edit":null,"sms_sent":false,"prebill_requested":false,"subtotal_delta":0,"tip":0,"receipt":{"fiscal_status":"fiscalized","type":"digital","data":{"business_receipt_id":2239662,"ade_id":"DCW2026\/6749-6229","total":80,"date":"2026-04-10 13:17:31"}},"invoice":null,"email":null,"phone":null}}</t>
  </si>
  <si>
    <t>{"version":1,"type":"orders.new","auth":"Fgw5sp0ORTzn88ubSmN6ZqHEkRv8YCGw","business_id":11476,"order":{"order_id":9676768,"order_number_day":4,"order_link":"https:\/\/.qromo.it\/order\/?id=KbL2da3gUBv0pESLYMMOAg--","total_items":80,"additional_costs":0,"grand_total":80,"fee":1.1,"payment_type":"stripe","order_mode":"counter","customer_name":null,"table_name":null,"paid":true,"status":"completed","email_present":false,"phone_present":false,"order_notes":null,"order_date":"2026-04-10 13:17:09","delivery_scheduled_date":null,"delivery_address":null,"takeaway_date":null,"made_by_customer":false,"uses_coupons":false,"coupons":[],"menu_items":[{"order_item_id":18339820,"menu_item_id":742220,"menu_category_id":null,"name":"Agata_Bag_Paillettes_Black","sku":null,"price":80,"quantity":1,"note":null,"price_with_products":80,"total_value_in_order":80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</si>
  <si>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9710035,"order_number_day":3,"order_link":"https:\/\/.qromo.it\/order\/?id=1LiX3eCULNsAKgrD4PNJSg--","total_items":105,"additional_costs":-21,"grand_total":84,"fee":1.15,"payment_type":"stripe","order_mode":"counter","customer_name":null,"table_name":null,"paid":true,"status":"completed","email_present":false,"phone_present":false,"order_notes":null,"order_date":"2026-04-11 11:23:45","delivery_scheduled_date":null,"delivery_address":null,"takeaway_date":null,"made_by_customer":false,"uses_coupons":false,"coupons":[],"menu_items":[{"order_item_id":18400839,"menu_item_id":719630,"menu_category_id":null,"name":"Maria_Bag_Red","sku":null,"price":105,"quantity":1,"note":null,"price_with_products":105,"total_value_in_order":84,"category_name":null,"menu_name":null,"menu_id":null}],"menu_items_products":[],"date_last_edit":null,"sms_sent":false,"prebill_requested":false,"subtotal_delta":-21,"tip":0,"receipt":{"fiscal_status":"not_requested","type":null,"data":null},"invoice":null,"email":null,"phone":null}}</t>
  </si>
  <si>
    <t>{"version":1,"type":"orders.update","auth":"Fgw5sp0ORTzn88ubSmN6ZqHEkRv8YCGw","business_id":11476,"order":{"order_id":9710035,"order_number_day":3,"order_link":"https:\/\/.qromo.it\/order\/?id=1LiX3eCULNsAKgrD4PNJSg--","total_items":105,"additional_costs":-21,"grand_total":84,"fee":1.15,"payment_type":"stripe","order_mode":"counter","customer_name":null,"table_name":null,"paid":true,"status":"completed","email_present":false,"phone_present":false,"order_notes":null,"order_date":"2026-04-11 11:23:45","delivery_scheduled_date":null,"delivery_address":null,"takeaway_date":null,"made_by_customer":false,"uses_coupons":false,"coupons":[],"menu_items":[{"order_item_id":18400839,"menu_item_id":719630,"menu_category_id":null,"name":"Maria_Bag_Red","sku":null,"price":105,"quantity":1,"note":null,"price_with_products":105,"total_value_in_order":84,"category_name":null,"menu_name":null,"menu_id":null}],"menu_items_products":[],"date_last_edit":null,"sms_sent":false,"prebill_requested":false,"subtotal_delta":-21,"tip":0,"receipt":{"fiscal_status":"fiscalized","type":"digital","data":{"business_receipt_id":2252090,"ade_id":"DCW2026\/6794-5817","total":84,"date":"2026-04-11 11:24:00"}},"invoice":null,"email":null,"phone":null}}</t>
  </si>
  <si>
    <t>{"version":1,"type":"orders.new","auth":"Fgw5sp0ORTzn88ubSmN6ZqHEkRv8YCGw","business_id":11476,"order":{"order_id":9710035,"order_number_day":3,"order_link":"https:\/\/.qromo.it\/order\/?id=1LiX3eCULNsAKgrD4PNJSg--","total_items":105,"additional_costs":-21,"grand_total":84,"fee":1.15,"payment_type":"stripe","order_mode":"counter","customer_name":null,"table_name":null,"paid":true,"status":"completed","email_present":false,"phone_present":false,"order_notes":null,"order_date":"2026-04-11 11:23:45","delivery_scheduled_date":null,"delivery_address":null,"takeaway_date":null,"made_by_customer":false,"uses_coupons":false,"coupons":[],"menu_items":[{"order_item_id":18400839,"menu_item_id":719630,"menu_category_id":null,"name":"Maria_Bag_Red","sku":null,"price":105,"quantity":1,"note":null,"price_with_products":105,"total_value_in_order":84,"category_name":null,"menu_name":null,"menu_id":null}],"menu_items_products":[],"date_last_edit":null,"sms_sent":false,"prebill_requested":false,"subtotal_delta":-21,"tip":0,"receipt":{"fiscal_status":"not_requested","type":null,"data":null},"invoice":null,"email":null,"phone":null}}</t>
  </si>
  <si>
    <t>{"version":1,"type":"orders.update","auth":"Fgw5sp0ORTzn88ubSmN6ZqHEkRv8YCGw","business_id":11476,"order":{"order_id":9712742,"order_number_day":5,"order_link":"https:\/\/.qromo.it\/order\/?id=YvwtODY061n4NSaV4fn3Qg--","total_items":120,"additional_costs":0,"grand_total":120,"fee":1.59,"payment_type":"stripe","order_mode":"counter","customer_name":null,"table_name":null,"paid":true,"status":"completed","email_present":false,"phone_present":false,"order_notes":null,"order_date":"2026-04-11 12:17:57","delivery_scheduled_date":null,"delivery_address":null,"takeaway_date":null,"made_by_customer":false,"uses_coupons":false,"coupons":[],"menu_items":[{"order_item_id":18406597,"menu_item_id":724452,"menu_category_id":null,"name":"LEA_BAG_GREEN_MILITARY","sku":null,"price":120,"quantity":1,"note":null,"price_with_products":120,"total_value_in_order":120,"category_name":null,"menu_name":null,"menu_id":null}],"menu_items_products":[],"date_last_edit":null,"sms_sent":false,"prebill_requested":false,"subtotal_delta":0,"tip":0,"receipt":{"fiscal_status":"fiscalized","type":"digital","data":{"business_receipt_id":2253571,"ade_id":"DCW2026\/6796-7987","total":120,"date":"2026-04-11 12:18:13"}},"invoice":null,"email":null,"phone":null}}</t>
  </si>
  <si>
    <t>{"version":1,"type":"orders.update","auth":"Fgw5sp0ORTzn88ubSmN6ZqHEkRv8YCGw","business_id":11476,"order":{"order_id":9712742,"order_number_day":5,"order_link":"https:\/\/.qromo.it\/order\/?id=YvwtODY061n4NSaV4fn3Qg--","total_items":120,"additional_costs":0,"grand_total":120,"fee":1.59,"payment_type":"stripe","order_mode":"counter","customer_name":null,"table_name":null,"paid":true,"status":"completed","email_present":false,"phone_present":false,"order_notes":null,"order_date":"2026-04-11 12:17:57","delivery_scheduled_date":null,"delivery_address":null,"takeaway_date":null,"made_by_customer":false,"uses_coupons":false,"coupons":[],"menu_items":[{"order_item_id":18406597,"menu_item_id":724452,"menu_category_id":null,"name":"LEA_BAG_GREEN_MILITARY","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</si>
  <si>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LEA_BAG_GREEN_MILITARY | Valid CODICE_AMIIMI count: 57</t>
  </si>
  <si>
    <t>{"version":1,"type":"orders.new","auth":"Fgw5sp0ORTzn88ubSmN6ZqHEkRv8YCGw","business_id":11476,"order":{"order_id":9712742,"order_number_day":5,"order_link":"https:\/\/.qromo.it\/order\/?id=YvwtODY061n4NSaV4fn3Qg--","total_items":120,"additional_costs":0,"grand_total":120,"fee":1.59,"payment_type":"stripe","order_mode":"counter","customer_name":null,"table_name":null,"paid":true,"status":"completed","email_present":false,"phone_present":false,"order_notes":null,"order_date":"2026-04-11 12:17:57","delivery_scheduled_date":null,"delivery_address":null,"takeaway_date":null,"made_by_customer":false,"uses_coupons":false,"coupons":[],"menu_items":[{"order_item_id":18406597,"menu_item_id":724452,"menu_category_id":null,"name":"LEA_BAG_GREEN_MILITARY","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</si>
  <si>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9713965,"order_number_day":7,"order_link":"https:\/\/.qromo.it\/order\/?id=xdLumFGe5FZ0ihwXvS.vmw--","total_items":80,"additional_costs":-8,"grand_total":72,"fee":1,"payment_type":"stripe","order_mode":"counter","customer_name":null,"table_name":null,"paid":true,"status":"completed","email_present":false,"phone_present":false,"order_notes":null,"order_date":"2026-04-11 12:58:02","delivery_scheduled_date":null,"delivery_address":null,"takeaway_date":null,"made_by_customer":false,"uses_coupons":false,"coupons":[],"menu_items":[{"order_item_id":18409039,"menu_item_id":739751,"menu_category_id":null,"name":"Agata_Bag_Floral_Pink_Embroidery","sku":null,"price":80,"quantity":1,"note":null,"price_with_products":80,"total_value_in_order":72,"category_name":null,"menu_name":null,"menu_id":null}],"menu_items_products":[],"date_last_edit":null,"sms_sent":false,"prebill_requested":false,"subtotal_delta":-8,"tip":0,"receipt":{"fiscal_status":"fiscalized","type":"digital","data":{"business_receipt_id":2254174,"ade_id":"DCW2026\/6798-2278","total":72,"date":"2026-04-11 12:58:20"}},"invoice":null,"email":null,"phone":null}}</t>
  </si>
  <si>
    <t>{"version":1,"type":"orders.update","auth":"Fgw5sp0ORTzn88ubSmN6ZqHEkRv8YCGw","business_id":11476,"order":{"order_id":9713965,"order_number_day":7,"order_link":"https:\/\/.qromo.it\/order\/?id=xdLumFGe5FZ0ihwXvS.vmw--","total_items":80,"additional_costs":-8,"grand_total":72,"fee":1,"payment_type":"stripe","order_mode":"counter","customer_name":null,"table_name":null,"paid":true,"status":"completed","email_present":false,"phone_present":false,"order_notes":null,"order_date":"2026-04-11 12:58:02","delivery_scheduled_date":null,"delivery_address":null,"takeaway_date":null,"made_by_customer":false,"uses_coupons":false,"coupons":[],"menu_items":[{"order_item_id":18409039,"menu_item_id":739751,"menu_category_id":null,"name":"Agata_Bag_Floral_Pink_Embroidery","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</si>
  <si>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These Qromo product names do NOT match any CODICE_AMIIMI in ACQUISTI: Agata_Bag_Floral_Pink_Embroidery | Valid CODICE_AMIIMI count: 57</t>
  </si>
  <si>
    <t>{"version":1,"type":"orders.new","auth":"Fgw5sp0ORTzn88ubSmN6ZqHEkRv8YCGw","business_id":11476,"order":{"order_id":9713965,"order_number_day":7,"order_link":"https:\/\/.qromo.it\/order\/?id=xdLumFGe5FZ0ihwXvS.vmw--","total_items":80,"additional_costs":-8,"grand_total":72,"fee":1,"payment_type":"stripe","order_mode":"counter","customer_name":null,"table_name":null,"paid":true,"status":"completed","email_present":false,"phone_present":false,"order_notes":null,"order_date":"2026-04-11 12:58:02","delivery_scheduled_date":null,"delivery_address":null,"takeaway_date":null,"made_by_customer":false,"uses_coupons":false,"coupons":[],"menu_items":[{"order_item_id":18409039,"menu_item_id":739751,"menu_category_id":null,"name":"Agata_Bag_Floral_Pink_Embroidery","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</si>
  <si>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9715218,"order_number_day":9,"order_link":"https:\/\/.qromo.it\/order\/?id=MoYZwSgmrXx.3nQ2upbirw--","total_items":110,"additional_costs":0,"grand_total":110,"fee":1.46,"payment_type":"stripe","order_mode":"counter","customer_name":null,"table_name":null,"paid":true,"status":"completed","email_present":false,"phone_present":false,"order_notes":null,"order_date":"2026-04-11 13:45:19","delivery_scheduled_date":null,"delivery_address":null,"takeaway_date":null,"made_by_customer":false,"uses_coupons":false,"coupons":[],"menu_items":[{"order_item_id":18411083,"menu_item_id":719612,"menu_category_id":null,"name":"Lea_Bag_TOASTED_LEATHER","sku":null,"price":110,"quantity":1,"note":null,"price_with_products":110,"total_value_in_order":110,"category_name":null,"menu_name":null,"menu_id":null}],"menu_items_products":[],"date_last_edit":null,"sms_sent":false,"prebill_requested":false,"subtotal_delta":0,"tip":0,"receipt":{"fiscal_status":"fiscalized","type":"digital","data":{"business_receipt_id":2254752,"ade_id":"DCW2026\/6800-2745","total":110,"date":"2026-04-11 13:45:29"}},"invoice":null,"email":null,"phone":null}}</t>
  </si>
  <si>
    <t>{"version":1,"type":"orders.new","auth":"Fgw5sp0ORTzn88ubSmN6ZqHEkRv8YCGw","business_id":11476,"order":{"order_id":9715218,"order_number_day":9,"order_link":"https:\/\/.qromo.it\/order\/?id=MoYZwSgmrXx.3nQ2upbirw--","total_items":110,"additional_costs":0,"grand_total":110,"fee":1.46,"payment_type":"stripe","order_mode":"counter","customer_name":null,"table_name":null,"paid":true,"status":"completed","email_present":false,"phone_present":false,"order_notes":null,"order_date":"2026-04-11 13:45:19","delivery_scheduled_date":null,"delivery_address":null,"takeaway_date":null,"made_by_customer":false,"uses_coupons":false,"coupons":[],"menu_items":[{"order_item_id":18411083,"menu_item_id":719612,"menu_category_id":null,"name":"Lea_Bag_TOASTED_LEATHER","sku":null,"price":110,"quantity":1,"note":null,"price_with_products":110,"total_value_in_order":110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</si>
  <si>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Lea_Bag_TOASTED_LEATHER | Valid CODICE_AMIIMI count: 57</t>
  </si>
  <si>
    <t>{"version":1,"type":"orders.update","auth":"Fgw5sp0ORTzn88ubSmN6ZqHEkRv8YCGw","business_id":11476,"order":{"order_id":9715964,"order_number_day":11,"order_link":"https:\/\/.qromo.it\/order\/?id=ee9tE_DGeyRWhIGwOMU_cQ--","total_items":150,"additional_costs":-15,"grand_total":135,"fee":1.77,"payment_type":"stripe","order_mode":"counter","customer_name":null,"table_name":null,"paid":true,"status":"completed","email_present":false,"phone_present":false,"order_notes":null,"order_date":"2026-04-11 14:15:48","delivery_scheduled_date":null,"delivery_address":null,"takeaway_date":null,"made_by_customer":false,"uses_coupons":false,"coupons":[],"menu_items":[{"order_item_id":18412186,"menu_item_id":724451,"menu_category_id":null,"name":"LEA_BAG_DARK_ZEBRA","sku":null,"price":150,"quantity":1,"note":null,"price_with_products":150,"total_value_in_order":135,"category_name":null,"menu_name":null,"menu_id":null}],"menu_items_products":[],"date_last_edit":null,"sms_sent":false,"prebill_requested":false,"subtotal_delta":-15,"tip":0,"receipt":{"fiscal_status":"fiscalized","type":"digital","data":{"business_receipt_id":2255085,"ade_id":"DCW2026\/6801-5727","total":135,"date":"2026-04-11 14:15:55"}},"invoice":null,"email":null,"phone":null}}</t>
  </si>
  <si>
    <t>{"version":1,"type":"orders.update","auth":"Fgw5sp0ORTzn88ubSmN6ZqHEkRv8YCGw","business_id":11476,"order":{"order_id":9715964,"order_number_day":11,"order_link":"https:\/\/.qromo.it\/order\/?id=ee9tE_DGeyRWhIGwOMU_cQ--","total_items":150,"additional_costs":-15,"grand_total":135,"fee":1.77,"payment_type":"stripe","order_mode":"counter","customer_name":null,"table_name":null,"paid":true,"status":"completed","email_present":false,"phone_present":false,"order_notes":null,"order_date":"2026-04-11 14:15:48","delivery_scheduled_date":null,"delivery_address":null,"takeaway_date":null,"made_by_customer":false,"uses_coupons":false,"coupons":[],"menu_items":[{"order_item_id":18412186,"menu_item_id":724451,"menu_category_id":null,"name":"LEA_BAG_DARK_ZEBRA","sku":null,"price":150,"quantity":1,"note":null,"price_with_products":150,"total_value_in_order":135,"category_name":null,"menu_name":null,"menu_id":null}],"menu_items_products":[],"date_last_edit":null,"sms_sent":false,"prebill_requested":false,"subtotal_delta":-15,"tip":0,"receipt":{"fiscal_status":"not_requested","type":null,"data":null},"invoice":null,"email":null,"phone":null}}</t>
  </si>
  <si>
    <t>These Qromo product names do NOT match any CODICE_AMIIMI in ACQUISTI: LEA_BAG_DARK_ZEBRA | Valid CODICE_AMIIMI count: 57</t>
  </si>
  <si>
    <t>{"version":1,"type":"orders.new","auth":"Fgw5sp0ORTzn88ubSmN6ZqHEkRv8YCGw","business_id":11476,"order":{"order_id":9715964,"order_number_day":11,"order_link":"https:\/\/.qromo.it\/order\/?id=ee9tE_DGeyRWhIGwOMU_cQ--","total_items":150,"additional_costs":-15,"grand_total":135,"fee":1.77,"payment_type":"stripe","order_mode":"counter","customer_name":null,"table_name":null,"paid":true,"status":"completed","email_present":false,"phone_present":false,"order_notes":null,"order_date":"2026-04-11 14:15:48","delivery_scheduled_date":null,"delivery_address":null,"takeaway_date":null,"made_by_customer":false,"uses_coupons":false,"coupons":[],"menu_items":[{"order_item_id":18412186,"menu_item_id":724451,"menu_category_id":null,"name":"LEA_BAG_DARK_ZEBRA","sku":null,"price":150,"quantity":1,"note":null,"price_with_products":150,"total_value_in_order":135,"category_name":null,"menu_name":null,"menu_id":null}],"menu_items_products":[],"date_last_edit":null,"sms_sent":false,"prebill_requested":false,"subtotal_delta":-15,"tip":0,"receipt":{"fiscal_status":"not_requested","type":null,"data":null},"invoice":null,"email":null,"phone":null}}</t>
  </si>
  <si>
    <t>{"version":1,"type":"orders.update","auth":"Fgw5sp0ORTzn88ubSmN6ZqHEkRv8YCGw","business_id":11476,"order":{"order_id":9762846,"order_number_day":2,"order_link":"https:\/\/.qromo.it\/order\/?id=uaANzpw7lLy7jiovyJALJA--","total_items":210,"additional_costs":0,"grand_total":210,"fee":2.68,"payment_type":"stripe","order_mode":"counter","customer_name":null,"table_name":null,"paid":true,"status":"completed","email_present":false,"phone_present":false,"order_notes":null,"order_date":"2026-04-12 10:25:05","delivery_scheduled_date":null,"delivery_address":null,"takeaway_date":null,"made_by_customer":false,"uses_coupons":false,"coupons":[],"menu_items":[{"order_item_id":18496170,"menu_item_id":702798,"menu_category_id":null,"name":"Lea_Bag_Cocco_Black","sku":null,"price":120,"quantity":1,"note":null,"price_with_products":120,"total_value_in_order":120,"category_name":null,"menu_name":null,"menu_id":null},{"order_item_id":18496171,"menu_item_id":743565,"menu_category_id":null,"name":"Annie Bag Paillettes Grey","sku":null,"price":90,"quantity":1,"note":null,"price_with_products":90,"total_value_in_order":90,"category_name":null,"menu_name":null,"menu_id":null}],"menu_items_products":[],"date_last_edit":null,"sms_sent":false,"prebill_requested":false,"subtotal_delta":0,"tip":0,"receipt":{"fiscal_status":"fiscalized","type":"digital","data":{"business_receipt_id":2277413,"ade_id":"DCW2026\/6830-2640","total":210,"date":"2026-04-12 10:25:14"}},"invoice":null,"email":null,"phone":null}}</t>
  </si>
  <si>
    <t>{"version":1,"type":"orders.update","auth":"Fgw5sp0ORTzn88ubSmN6ZqHEkRv8YCGw","business_id":11476,"order":{"order_id":9762846,"order_number_day":2,"order_link":"https:\/\/.qromo.it\/order\/?id=uaANzpw7lLy7jiovyJALJA--","total_items":210,"additional_costs":0,"grand_total":210,"fee":2.68,"payment_type":"stripe","order_mode":"counter","customer_name":null,"table_name":null,"paid":true,"status":"completed","email_present":false,"phone_present":false,"order_notes":null,"order_date":"2026-04-12 10:25:05","delivery_scheduled_date":null,"delivery_address":null,"takeaway_date":null,"made_by_customer":false,"uses_coupons":false,"coupons":[],"menu_items":[{"order_item_id":18496170,"menu_item_id":702798,"menu_category_id":null,"name":"Lea_Bag_Cocco_Black","sku":null,"price":120,"quantity":1,"note":null,"price_with_products":120,"total_value_in_order":120,"category_name":null,"menu_name":null,"menu_id":null},{"order_item_id":18496171,"menu_item_id":743565,"menu_category_id":null,"name":"Annie Bag Paillettes Grey","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</si>
  <si>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Annie Bag Paillettes Grey | Valid CODICE_AMIIMI count: 57</t>
  </si>
  <si>
    <t>{"version":1,"type":"orders.new","auth":"Fgw5sp0ORTzn88ubSmN6ZqHEkRv8YCGw","business_id":11476,"order":{"order_id":9762846,"order_number_day":2,"order_link":"https:\/\/.qromo.it\/order\/?id=uaANzpw7lLy7jiovyJALJA--","total_items":210,"additional_costs":0,"grand_total":210,"fee":2.68,"payment_type":"stripe","order_mode":"counter","customer_name":null,"table_name":null,"paid":true,"status":"completed","email_present":false,"phone_present":false,"order_notes":null,"order_date":"2026-04-12 10:25:05","delivery_scheduled_date":null,"delivery_address":null,"takeaway_date":null,"made_by_customer":false,"uses_coupons":false,"coupons":[],"menu_items":[{"order_item_id":18496170,"menu_item_id":702798,"menu_category_id":null,"name":"Lea_Bag_Cocco_Black","sku":null,"price":120,"quantity":1,"note":null,"price_with_products":120,"total_value_in_order":120,"category_name":null,"menu_name":null,"menu_id":null},{"order_item_id":18496171,"menu_item_id":743565,"menu_category_id":null,"name":"Annie Bag Paillettes Grey","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</si>
  <si>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9763113,"order_number_day":5,"order_link":"https:\/\/.qromo.it\/order\/?id=X.Id4L0VAUTVrJsXQj8EpQ--","total_items":90,"additional_costs":0,"grand_total":90,"fee":1.22,"payment_type":"stripe","order_mode":"counter","customer_name":null,"table_name":null,"paid":true,"status":"completed","email_present":false,"phone_present":false,"order_notes":null,"order_date":"2026-04-12 10:29:34","delivery_scheduled_date":null,"delivery_address":null,"takeaway_date":null,"made_by_customer":false,"uses_coupons":false,"coupons":[],"menu_items":[{"order_item_id":18496714,"menu_item_id":743567,"menu_category_id":null,"name":"Annie_Bag_Silk_Grey","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</si>
  <si>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9763113,"order_number_day":5,"order_link":"https:\/\/.qromo.it\/order\/?id=X.Id4L0VAUTVrJsXQj8EpQ--","total_items":90,"additional_costs":0,"grand_total":90,"fee":1.22,"payment_type":"stripe","order_mode":"counter","customer_name":null,"table_name":null,"paid":true,"status":"completed","email_present":false,"phone_present":false,"order_notes":null,"order_date":"2026-04-12 10:29:34","delivery_scheduled_date":null,"delivery_address":null,"takeaway_date":null,"made_by_customer":false,"uses_coupons":false,"coupons":[],"menu_items":[{"order_item_id":18496714,"menu_item_id":743567,"menu_category_id":null,"name":"Annie_Bag_Silk_Grey","sku":null,"price":90,"quantity":1,"note":null,"price_with_products":90,"total_value_in_order":90,"category_name":null,"menu_name":null,"menu_id":null}],"menu_items_products":[],"date_last_edit":null,"sms_sent":false,"prebill_requested":false,"subtotal_delta":0,"tip":0,"receipt":{"fiscal_status":"fiscalized","type":"digital","data":{"business_receipt_id":2277586,"ade_id":"DCW2026\/6830-4315","total":90,"date":"2026-04-12 10:30:02"}},"invoice":null,"email":null,"phone":null}}</t>
  </si>
  <si>
    <t>These Qromo product names do NOT match any CODICE_AMIIMI in ACQUISTI: Annie_Bag_Silk_Grey | Valid CODICE_AMIIMI count: 57</t>
  </si>
  <si>
    <t>{"version":1,"type":"orders.new","auth":"Fgw5sp0ORTzn88ubSmN6ZqHEkRv8YCGw","business_id":11476,"order":{"order_id":9763113,"order_number_day":5,"order_link":"https:\/\/.qromo.it\/order\/?id=X.Id4L0VAUTVrJsXQj8EpQ--","total_items":90,"additional_costs":0,"grand_total":90,"fee":1.22,"payment_type":"stripe","order_mode":"counter","customer_name":null,"table_name":null,"paid":true,"status":"completed","email_present":false,"phone_present":false,"order_notes":null,"order_date":"2026-04-12 10:29:34","delivery_scheduled_date":null,"delivery_address":null,"takeaway_date":null,"made_by_customer":false,"uses_coupons":false,"coupons":[],"menu_items":[{"order_item_id":18496714,"menu_item_id":743567,"menu_category_id":null,"name":"Annie_Bag_Silk_Grey","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</si>
  <si>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9767442,"order_number_day":6,"order_link":"https:\/\/.qromo.it\/order\/?id=a5XobpgCkN_7kc7dpes0cw--","total_items":80,"additional_costs":0,"grand_total":80,"fee":1.1,"payment_type":"stripe","order_mode":"counter","customer_name":null,"table_name":null,"paid":true,"status":"completed","email_present":false,"phone_present":false,"order_notes":null,"order_date":"2026-04-12 11:31:47","delivery_scheduled_date":null,"delivery_address":null,"takeaway_date":null,"made_by_customer":false,"uses_coupons":false,"coupons":[],"menu_items":[{"order_item_id":18506451,"menu_item_id":739747,"menu_category_id":null,"name":"Agata_Bag_Rose_Blue","sku":null,"price":80,"quantity":1,"note":null,"price_with_products":80,"total_value_in_order":80,"category_name":null,"menu_name":null,"menu_id":null}],"menu_items_products":[],"date_last_edit":null,"sms_sent":false,"prebill_requested":false,"subtotal_delta":0,"tip":0,"receipt":{"fiscal_status":"fiscalized","type":"digital","data":{"business_receipt_id":2280371,"ade_id":"DCW2026\/6832-8330","total":80,"date":"2026-04-12 11:32:01"}},"invoice":null,"email":null,"phone":null}}</t>
  </si>
  <si>
    <t>{"version":1,"type":"orders.update","auth":"Fgw5sp0ORTzn88ubSmN6ZqHEkRv8YCGw","business_id":11476,"order":{"order_id":9767442,"order_number_day":6,"order_link":"https:\/\/.qromo.it\/order\/?id=a5XobpgCkN_7kc7dpes0cw--","total_items":80,"additional_costs":0,"grand_total":80,"fee":1.1,"payment_type":"stripe","order_mode":"counter","customer_name":null,"table_name":null,"paid":true,"status":"completed","email_present":false,"phone_present":false,"order_notes":null,"order_date":"2026-04-12 11:31:47","delivery_scheduled_date":null,"delivery_address":null,"takeaway_date":null,"made_by_customer":false,"uses_coupons":false,"coupons":[],"menu_items":[{"order_item_id":18506451,"menu_item_id":739747,"menu_category_id":null,"name":"Agata_Bag_Rose_Blue","sku":null,"price":80,"quantity":1,"note":null,"price_with_products":80,"total_value_in_order":80,"category_name":null,"menu_name":null,"menu_id":null}],"menu_items_products":[],"date_last_edit":null,"sms_sent":false,"prebill_requested":false,"subtotal_delta":0,"tip":0,"receipt":{"fiscal_status":"not_requested","type":null,"data":null},"invoice":null,"email":null,"phone":null}}</t>
  </si>
  <si>
    <t>{"version":1,"type":"orders.new","auth":"Fgw5sp0ORTzn88ubSmN6ZqHEkRv8YCGw","business_id":11476,"order":{"order_id":9767442,"order_number_day":6,"order_link":"https:\/\/.qromo.it\/order\/?id=a5XobpgCkN_7kc7dpes0cw--","total_items":80,"additional_costs":0,"grand_total":80,"fee":1.1,"payment_type":"stripe","order_mode":"counter","customer_name":null,"table_name":null,"paid":true,"status":"completed","email_present":false,"phone_present":false,"order_notes":null,"order_date":"2026-04-12 11:31:47","delivery_scheduled_date":null,"delivery_address":null,"takeaway_date":null,"made_by_customer":false,"uses_coupons":false,"coupons":[],"menu_items":[{"order_item_id":18506451,"menu_item_id":739747,"menu_category_id":null,"name":"Agata_Bag_Rose_Blue","sku":null,"price":80,"quantity":1,"note":null,"price_with_products":80,"total_value_in_order":80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</si>
  <si>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9773125,"order_number_day":7,"order_link":"https:\/\/.qromo.it\/order\/?id=Np5RiIvOVEsrphM_jn._Bw--","total_items":150,"additional_costs":0,"grand_total":150,"fee":1.95,"payment_type":"stripe","order_mode":"counter","customer_name":null,"table_name":null,"paid":true,"status":"completed","email_present":false,"phone_present":false,"order_notes":null,"order_date":"2026-04-12 13:53:32","delivery_scheduled_date":null,"delivery_address":null,"takeaway_date":null,"made_by_customer":false,"uses_coupons":false,"coupons":[],"menu_items":[{"order_item_id":18518020,"menu_item_id":712225,"menu_category_id":null,"name":"Lea_Bag_Muccata_Nera","sku":null,"price":150,"quantity":1,"note":null,"price_with_products":150,"total_value_in_order":150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</si>
  <si>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9773125,"order_number_day":7,"order_link":"https:\/\/.qromo.it\/order\/?id=Np5RiIvOVEsrphM_jn._Bw--","total_items":150,"additional_costs":0,"grand_total":150,"fee":1.95,"payment_type":"stripe","order_mode":"counter","customer_name":null,"table_name":null,"paid":true,"status":"completed","email_present":false,"phone_present":false,"order_notes":null,"order_date":"2026-04-12 13:53:32","delivery_scheduled_date":null,"delivery_address":null,"takeaway_date":null,"made_by_customer":false,"uses_coupons":false,"coupons":[],"menu_items":[{"order_item_id":18518020,"menu_item_id":712225,"menu_category_id":null,"name":"Lea_Bag_Muccata_Nera","sku":null,"price":150,"quantity":1,"note":null,"price_with_products":150,"total_value_in_order":150,"category_name":null,"menu_name":null,"menu_id":null}],"menu_items_products":[],"date_last_edit":null,"sms_sent":false,"prebill_requested":false,"subtotal_delta":0,"tip":0,"receipt":{"fiscal_status":"fiscalized","type":"digital","data":{"business_receipt_id":2283744,"ade_id":"DCW2026\/6837-7012","total":150,"date":"2026-04-12 13:53:47"}},"invoice":null,"email":null,"phone":null}}</t>
  </si>
  <si>
    <t>{"version":1,"type":"orders.new","auth":"Fgw5sp0ORTzn88ubSmN6ZqHEkRv8YCGw","business_id":11476,"order":{"order_id":9773125,"order_number_day":7,"order_link":"https:\/\/.qromo.it\/order\/?id=Np5RiIvOVEsrphM_jn._Bw--","total_items":150,"additional_costs":0,"grand_total":150,"fee":1.95,"payment_type":"stripe","order_mode":"counter","customer_name":null,"table_name":null,"paid":true,"status":"completed","email_present":false,"phone_present":false,"order_notes":null,"order_date":"2026-04-12 13:53:32","delivery_scheduled_date":null,"delivery_address":null,"takeaway_date":null,"made_by_customer":false,"uses_coupons":false,"coupons":[],"menu_items":[{"order_item_id":18518020,"menu_item_id":712225,"menu_category_id":null,"name":"Lea_Bag_Muccata_Nera","sku":null,"price":150,"quantity":1,"note":null,"price_with_products":150,"total_value_in_order":150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</si>
  <si>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9775008,"order_number_day":10,"order_link":"https:\/\/.qromo.it\/order\/?id=oweOeEzdrLzw1JFUpzVKMA--","total_items":80,"additional_costs":-10,"grand_total":70,"fee":0,"payment_type":"cash","order_mode":"counter","customer_name":"Paola Samaritani","table_name":null,"paid":true,"status":"completed","email_present":false,"phone_present":false,"order_notes":null,"order_date":"2026-04-12 15:14:51","delivery_scheduled_date":null,"delivery_address":null,"takeaway_date":null,"made_by_customer":false,"uses_coupons":false,"coupons":[],"menu_items":[{"order_item_id":18521079,"menu_item_id":739747,"menu_category_id":null,"name":"Agata_Bag_Rose_Blue","sku":null,"price":80,"quantity":1,"note":null,"price_with_products":80,"total_value_in_order":70,"category_name":null,"menu_name":null,"menu_id":null}],"menu_items_products":[],"date_last_edit":null,"sms_sent":false,"prebill_requested":false,"subtotal_delta":-10,"tip":0,"receipt":{"fiscal_status":"fiscalized","type":"digital","data":{"business_receipt_id":2284632,"ade_id":"DCW2026\/6840-1233","total":70,"date":"2026-04-12 15:14:53"}},"invoice":null,"email":null,"phone":null}}</t>
  </si>
  <si>
    <t>{"version":1,"type":"orders.new","auth":"Fgw5sp0ORTzn88ubSmN6ZqHEkRv8YCGw","business_id":11476,"order":{"order_id":9775008,"order_number_day":10,"order_link":"https:\/\/.qromo.it\/order\/?id=oweOeEzdrLzw1JFUpzVKMA--","total_items":80,"additional_costs":-10,"grand_total":70,"fee":0,"payment_type":"cash","order_mode":"counter","customer_name":"Paola Samaritani","table_name":null,"paid":true,"status":"completed","email_present":false,"phone_present":false,"order_notes":null,"order_date":"2026-04-12 15:14:51","delivery_scheduled_date":null,"delivery_address":null,"takeaway_date":null,"made_by_customer":false,"uses_coupons":false,"coupons":[],"menu_items":[{"order_item_id":18521079,"menu_item_id":739747,"menu_category_id":null,"name":"Agata_Bag_Rose_Blue","sku":null,"price":80,"quantity":1,"note":null,"price_with_products":80,"total_value_in_order":70,"category_name":null,"menu_name":null,"menu_id":null}],"menu_items_products":[],"date_last_edit":null,"sms_sent":false,"prebill_requested":false,"subtotal_delta":-10,"tip":0,"receipt":{"fiscal_status":"not_requested","type":null,"data":null},"invoice":null,"email":null,"phone":null}}</t>
  </si>
  <si>
    <t>{"version":1,"type":"orders.update","auth":"Fgw5sp0ORTzn88ubSmN6ZqHEkRv8YCGw","business_id":11476,"order":{"order_id":9776857,"order_number_day":11,"order_link":"https:\/\/.qromo.it\/order\/?id=4CvplKG6e4AuHBYNJj5rrw--","total_items":120,"additional_costs":0,"grand_total":120,"fee":1.59,"payment_type":"stripe","order_mode":"counter","customer_name":null,"table_name":null,"paid":true,"status":"completed","email_present":false,"phone_present":false,"order_notes":null,"order_date":"2026-04-12 16:22:54","delivery_scheduled_date":null,"delivery_address":null,"takeaway_date":null,"made_by_customer":false,"uses_coupons":false,"coupons":[],"menu_items":[{"order_item_id":18524032,"menu_item_id":712223,"menu_category_id":null,"name":"Lea_Bag_Cavallino_Chocolate","sku":null,"price":120,"quantity":1,"note":null,"price_with_products":120,"total_value_in_order":120,"category_name":null,"menu_name":null,"menu_id":null}],"menu_items_products":[],"date_last_edit":null,"sms_sent":false,"prebill_requested":false,"subtotal_delta":0,"tip":0,"receipt":{"fiscal_status":"fiscalized","type":"digital","data":{"business_receipt_id":2285472,"ade_id":"DCW2026\/6842-1526","total":120,"date":"2026-04-12 16:23:05"}},"invoice":null,"email":null,"phone":null}}</t>
  </si>
  <si>
    <t>{"version":1,"type":"orders.update","auth":"Fgw5sp0ORTzn88ubSmN6ZqHEkRv8YCGw","business_id":11476,"order":{"order_id":9776857,"order_number_day":11,"order_link":"https:\/\/.qromo.it\/order\/?id=4CvplKG6e4AuHBYNJj5rrw--","total_items":120,"additional_costs":0,"grand_total":120,"fee":1.59,"payment_type":"stripe","order_mode":"counter","customer_name":null,"table_name":null,"paid":true,"status":"completed","email_present":false,"phone_present":false,"order_notes":null,"order_date":"2026-04-12 16:22:54","delivery_scheduled_date":null,"delivery_address":null,"takeaway_date":null,"made_by_customer":false,"uses_coupons":false,"coupons":[],"menu_items":[{"order_item_id":18524032,"menu_item_id":712223,"menu_category_id":null,"name":"Lea_Bag_Cavallino_Chocolate","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</si>
  <si>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new","auth":"Fgw5sp0ORTzn88ubSmN6ZqHEkRv8YCGw","business_id":11476,"order":{"order_id":9776857,"order_number_day":11,"order_link":"https:\/\/.qromo.it\/order\/?id=4CvplKG6e4AuHBYNJj5rrw--","total_items":120,"additional_costs":0,"grand_total":120,"fee":1.59,"payment_type":"stripe","order_mode":"counter","customer_name":null,"table_name":null,"paid":true,"status":"completed","email_present":false,"phone_present":false,"order_notes":null,"order_date":"2026-04-12 16:22:54","delivery_scheduled_date":null,"delivery_address":null,"takeaway_date":null,"made_by_customer":false,"uses_coupons":false,"coupons":[],"menu_items":[{"order_item_id":18524032,"menu_item_id":712223,"menu_category_id":null,"name":"Lea_Bag_Cavallino_Chocolate","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</si>
  <si>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9869027,"order_number_day":1,"order_link":"https:\/\/.qromo.it\/order\/?id=O_CkGYhF7Cm7C5wLsgIoPA--","total_items":80,"additional_costs":-8,"grand_total":72,"fee":1,"payment_type":"stripe","order_mode":"counter","customer_name":null,"table_name":null,"paid":true,"status":"completed","email_present":false,"phone_present":false,"order_notes":null,"order_date":"2026-04-17 11:30:03","delivery_scheduled_date":null,"delivery_address":null,"takeaway_date":null,"made_by_customer":false,"uses_coupons":false,"coupons":[],"menu_items":[{"order_item_id":18688730,"menu_item_id":739749,"menu_category_id":null,"name":"Agata_Bag_Floral_Green_Embroidery","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</si>
  <si>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9869027,"order_number_day":1,"order_link":"https:\/\/.qromo.it\/order\/?id=O_CkGYhF7Cm7C5wLsgIoPA--","total_items":80,"additional_costs":-8,"grand_total":72,"fee":1,"payment_type":"stripe","order_mode":"counter","customer_name":null,"table_name":null,"paid":true,"status":"completed","email_present":false,"phone_present":false,"order_notes":null,"order_date":"2026-04-17 11:30:03","delivery_scheduled_date":null,"delivery_address":null,"takeaway_date":null,"made_by_customer":false,"uses_coupons":false,"coupons":[],"menu_items":[{"order_item_id":18688730,"menu_item_id":739749,"menu_category_id":null,"name":"Agata_Bag_Floral_Green_Embroidery","sku":null,"price":80,"quantity":1,"note":null,"price_with_products":80,"total_value_in_order":72,"category_name":null,"menu_name":null,"menu_id":null}],"menu_items_products":[],"date_last_edit":null,"sms_sent":false,"prebill_requested":false,"subtotal_delta":-8,"tip":0,"receipt":{"fiscal_status":"fiscalized","type":"digital","data":{"business_receipt_id":2308324,"ade_id":"DCW2026\/6991-0562","total":72,"date":"2026-04-17 11:30:33"}},"invoice":null,"email":null,"phone":null}}</t>
  </si>
  <si>
    <t>{"version":1,"type":"orders.new","auth":"Fgw5sp0ORTzn88ubSmN6ZqHEkRv8YCGw","business_id":11476,"order":{"order_id":9869027,"order_number_day":1,"order_link":"https:\/\/.qromo.it\/order\/?id=O_CkGYhF7Cm7C5wLsgIoPA--","total_items":80,"additional_costs":-8,"grand_total":72,"fee":1,"payment_type":"stripe","order_mode":"counter","customer_name":null,"table_name":null,"paid":true,"status":"completed","email_present":false,"phone_present":false,"order_notes":null,"order_date":"2026-04-17 11:30:03","delivery_scheduled_date":null,"delivery_address":null,"takeaway_date":null,"made_by_customer":false,"uses_coupons":false,"coupons":[],"menu_items":[{"order_item_id":18688730,"menu_item_id":739749,"menu_category_id":null,"name":"Agata_Bag_Floral_Green_Embroidery","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</si>
  <si>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9922503,"order_number_day":1,"order_link":"https:\/\/.qromo.it\/order\/?id=iLVZqgjurnspi0lzB6abqQ--","total_items":150,"additional_costs":-15,"grand_total":135,"fee":1.77,"payment_type":"stripe","order_mode":"counter","customer_name":null,"table_name":null,"paid":true,"status":"completed","email_present":false,"phone_present":false,"order_notes":null,"order_date":"2026-04-18 12:10:53","delivery_scheduled_date":null,"delivery_address":null,"takeaway_date":null,"made_by_customer":false,"uses_coupons":false,"coupons":[],"menu_items":[{"order_item_id":18779618,"menu_item_id":712230,"menu_category_id":null,"name":"Lea_Bag_Muccata_Marrone","sku":null,"price":150,"quantity":1,"note":null,"price_with_products":150,"total_value_in_order":135,"category_name":null,"menu_name":null,"menu_id":null}],"menu_items_products":[],"date_last_edit":null,"sms_sent":false,"prebill_requested":false,"subtotal_delta":-15,"tip":0,"receipt":{"fiscal_status":"not_requested","type":null,"data":null},"invoice":null,"email":null,"phone":null}}</t>
  </si>
  <si>
    <t>{"version":1,"type":"orders.update","auth":"Fgw5sp0ORTzn88ubSmN6ZqHEkRv8YCGw","business_id":11476,"order":{"order_id":9922503,"order_number_day":1,"order_link":"https:\/\/.qromo.it\/order\/?id=iLVZqgjurnspi0lzB6abqQ--","total_items":150,"additional_costs":-15,"grand_total":135,"fee":1.77,"payment_type":"stripe","order_mode":"counter","customer_name":null,"table_name":null,"paid":true,"status":"completed","email_present":false,"phone_present":false,"order_notes":null,"order_date":"2026-04-18 12:10:53","delivery_scheduled_date":null,"delivery_address":null,"takeaway_date":null,"made_by_customer":false,"uses_coupons":false,"coupons":[],"menu_items":[{"order_item_id":18779618,"menu_item_id":712230,"menu_category_id":null,"name":"Lea_Bag_Muccata_Marrone","sku":null,"price":150,"quantity":1,"note":null,"price_with_products":150,"total_value_in_order":135,"category_name":null,"menu_name":null,"menu_id":null}],"menu_items_products":[],"date_last_edit":null,"sms_sent":false,"prebill_requested":false,"subtotal_delta":-15,"tip":0,"receipt":{"fiscal_status":"fiscalized","type":"digital","data":{"business_receipt_id":2335082,"ade_id":"DCW2026\/7036-9956","total":135,"date":"2026-04-18 12:11:20"}},"invoice":null,"email":null,"phone":null}}</t>
  </si>
  <si>
    <t>{"version":1,"type":"orders.new","auth":"Fgw5sp0ORTzn88ubSmN6ZqHEkRv8YCGw","business_id":11476,"order":{"order_id":9922503,"order_number_day":1,"order_link":"https:\/\/.qromo.it\/order\/?id=iLVZqgjurnspi0lzB6abqQ--","total_items":150,"additional_costs":-15,"grand_total":135,"fee":1.77,"payment_type":"stripe","order_mode":"counter","customer_name":null,"table_name":null,"paid":true,"status":"completed","email_present":false,"phone_present":false,"order_notes":null,"order_date":"2026-04-18 12:10:53","delivery_scheduled_date":null,"delivery_address":null,"takeaway_date":null,"made_by_customer":false,"uses_coupons":false,"coupons":[],"menu_items":[{"order_item_id":18779618,"menu_item_id":712230,"menu_category_id":null,"name":"Lea_Bag_Muccata_Marrone","sku":null,"price":150,"quantity":1,"note":null,"price_with_products":150,"total_value_in_order":135,"category_name":null,"menu_name":null,"menu_id":null}],"menu_items_products":[],"date_last_edit":null,"sms_sent":false,"prebill_requested":false,"subtotal_delta":-15,"tip":0,"receipt":{"fiscal_status":"not_requested","type":null,"data":null},"invoice":null,"email":null,"phone":null}}</t>
  </si>
  <si>
    <t>{"version":1,"type":"orders.update","auth":"Fgw5sp0ORTzn88ubSmN6ZqHEkRv8YCGw","business_id":11476,"order":{"order_id":9924026,"order_number_day":2,"order_link":"https:\/\/.qromo.it\/order\/?id=0JW3TFyukTUQGltuJ8WyBQ--","total_items":330,"additional_costs":0,"grand_total":330,"fee":4.15,"payment_type":"stripe","order_mode":"counter","customer_name":null,"table_name":null,"paid":true,"status":"completed","email_present":false,"phone_present":false,"order_notes":null,"order_date":"2026-04-18 12:45:56","delivery_scheduled_date":null,"delivery_address":null,"takeaway_date":null,"made_by_customer":false,"uses_coupons":false,"coupons":[],"menu_items":[{"order_item_id":18782675,"menu_item_id":740087,"menu_category_id":null,"name":"Agata_Bag_Floral_Bordeaux_Embroidery","sku":null,"price":80,"quantity":1,"note":null,"price_with_products":80,"total_value_in_order":80,"category_name":null,"menu_name":null,"menu_id":null},{"order_item_id":18782676,"menu_item_id":739747,"menu_category_id":null,"name":"Agata_Bag_Rose_Blue","sku":null,"price":80,"quantity":1,"note":null,"price_with_products":80,"total_value_in_order":80,"category_name":null,"menu_name":null,"menu_id":null},{"order_item_id":18782677,"menu_item_id":742220,"menu_category_id":null,"name":"Agata_Bag_Paillettes_Black","sku":null,"price":80,"quantity":1,"note":null,"price_with_products":80,"total_value_in_order":80,"category_name":null,"menu_name":null,"menu_id":null},{"order_item_id":18782678,"menu_item_id":743565,"menu_category_id":null,"name":"Annie Bag Paillettes Grey","sku":null,"price":90,"quantity":1,"note":null,"price_with_products":90,"total_value_in_order":90,"category_name":null,"menu_name":null,"menu_id":null}],"menu_items_products":[],"date_last_edit":null,"sms_sent":false,"prebill_requested":false,"subtotal_delta":0,"tip":0,"receipt":{"fiscal_status":"fiscalized","type":"digital","data":{"business_receipt_id":2335842,"ade_id":"DCW2026\/7038-3004","total":330,"date":"2026-04-18 12:46:15"}},"invoice":null,"email":null,"phone":null}}</t>
  </si>
  <si>
    <t>{"version":1,"type":"orders.update","auth":"Fgw5sp0ORTzn88ubSmN6ZqHEkRv8YCGw","business_id":11476,"order":{"order_id":9924026,"order_number_day":2,"order_link":"https:\/\/.qromo.it\/order\/?id=0JW3TFyukTUQGltuJ8WyBQ--","total_items":330,"additional_costs":0,"grand_total":330,"fee":4.15,"payment_type":"stripe","order_mode":"counter","customer_name":null,"table_name":null,"paid":true,"status":"completed","email_present":false,"phone_present":false,"order_notes":null,"order_date":"2026-04-18 12:45:56","delivery_scheduled_date":null,"delivery_address":null,"takeaway_date":null,"made_by_customer":false,"uses_coupons":false,"coupons":[],"menu_items":[{"order_item_id":18782675,"menu_item_id":740087,"menu_category_id":null,"name":"Agata_Bag_Floral_Bordeaux_Embroidery","sku":null,"price":80,"quantity":1,"note":null,"price_with_products":80,"total_value_in_order":80,"category_name":null,"menu_name":null,"menu_id":null},{"order_item_id":18782676,"menu_item_id":739747,"menu_category_id":null,"name":"Agata_Bag_Rose_Blue","sku":null,"price":80,"quantity":1,"note":null,"price_with_products":80,"total_value_in_order":80,"category_name":null,"menu_name":null,"menu_id":null},{"order_item_id":18782677,"menu_item_id":742220,"menu_category_id":null,"name":"Agata_Bag_Paillettes_Black","sku":null,"price":80,"quantity":1,"note":null,"price_with_products":80,"total_value_in_order":80,"category_name":null,"menu_name":null,"menu_id":null},{"order_item_id":18782678,"menu_item_id":743565,"menu_category_id":null,"name":"Annie Bag Paillettes Grey","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</si>
  <si>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Agata_Bag_Floral_Bordeaux_Embroidery, Agata_Bag_Paillettes_Black, Annie Bag Paillettes Grey | Valid CODICE_AMIIMI count: 59</t>
  </si>
  <si>
    <t>{"version":1,"type":"orders.new","auth":"Fgw5sp0ORTzn88ubSmN6ZqHEkRv8YCGw","business_id":11476,"order":{"order_id":9924026,"order_number_day":2,"order_link":"https:\/\/.qromo.it\/order\/?id=0JW3TFyukTUQGltuJ8WyBQ--","total_items":330,"additional_costs":0,"grand_total":330,"fee":4.15,"payment_type":"stripe","order_mode":"counter","customer_name":null,"table_name":null,"paid":true,"status":"completed","email_present":false,"phone_present":false,"order_notes":null,"order_date":"2026-04-18 12:45:56","delivery_scheduled_date":null,"delivery_address":null,"takeaway_date":null,"made_by_customer":false,"uses_coupons":false,"coupons":[],"menu_items":[{"order_item_id":18782675,"menu_item_id":740087,"menu_category_id":null,"name":"Agata_Bag_Floral_Bordeaux_Embroidery","sku":null,"price":80,"quantity":1,"note":null,"price_with_products":80,"total_value_in_order":80,"category_name":null,"menu_name":null,"menu_id":null},{"order_item_id":18782676,"menu_item_id":739747,"menu_category_id":null,"name":"Agata_Bag_Rose_Blue","sku":null,"price":80,"quantity":1,"note":null,"price_with_products":80,"total_value_in_order":80,"category_name":null,"menu_name":null,"menu_id":null},{"order_item_id":18782677,"menu_item_id":742220,"menu_category_id":null,"name":"Agata_Bag_Paillettes_Black","sku":null,"price":80,"quantity":1,"note":null,"price_with_products":80,"total_value_in_order":80,"category_name":null,"menu_name":null,"menu_id":null},{"order_item_id":18782678,"menu_item_id":743565,"menu_category_id":null,"name":"Annie Bag Paillettes Grey","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</si>
  <si>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9924993,"order_number_day":4,"order_link":"https:\/\/.qromo.it\/order\/?id=dEdCkfJj_dop5Pw95gvFGw--","total_items":175,"additional_costs":0,"grand_total":175,"fee":2.26,"payment_type":"stripe","order_mode":"counter","customer_name":null,"table_name":null,"paid":true,"status":"completed","email_present":false,"phone_present":false,"order_notes":null,"order_date":"2026-04-18 13:15:16","delivery_scheduled_date":null,"delivery_address":null,"takeaway_date":null,"made_by_customer":false,"uses_coupons":false,"coupons":[],"menu_items":[{"order_item_id":18784409,"menu_item_id":746661,"menu_category_id":null,"name":"Valentina_Bag_Green_Military","sku":null,"price":175,"quantity":1,"note":null,"price_with_products":175,"total_value_in_order":175,"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</si>
  <si>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9924993,"order_number_day":4,"order_link":"https:\/\/.qromo.it\/order\/?id=dEdCkfJj_dop5Pw95gvFGw--","total_items":175,"additional_costs":0,"grand_total":175,"fee":2.26,"payment_type":"stripe","order_mode":"counter","customer_name":null,"table_name":null,"paid":true,"status":"completed","email_present":false,"phone_present":false,"order_notes":null,"order_date":"2026-04-18 13:15:16","delivery_scheduled_date":null,"delivery_address":null,"takeaway_date":null,"made_by_customer":false,"uses_coupons":false,"coupons":[],"menu_items":[{"order_item_id":18784409,"menu_item_id":746661,"menu_category_id":null,"name":"Valentina_Bag_Green_Military","sku":null,"price":175,"quantity":1,"note":null,"price_with_products":175,"total_value_in_order":175,"category_name":null,"menu_name":null,"menu_id":null}],"menu_items_products":[],"date_last_edit":null,"sms_sent":false,"prebill_requested":false,"subtotal_delta":0,"tip":0,"receipt":{"fiscal_status":"fiscalized","type":"digital","data":{"business_receipt_id":2336323,"ade_id":"DCW2026\/7039-3437","total":175,"date":"2026-04-18 13:15:24"}},"invoice":null,"email":null,"phone":null}}</t>
  </si>
  <si>
    <t>These Qromo product names do NOT match any CODICE_AMIIMI in ACQUISTI: Valentina_Bag_Green_Military | Valid CODICE_AMIIMI count: 59</t>
  </si>
  <si>
    <t>{"version":1,"type":"orders.new","auth":"Fgw5sp0ORTzn88ubSmN6ZqHEkRv8YCGw","business_id":11476,"order":{"order_id":9924993,"order_number_day":4,"order_link":"https:\/\/.qromo.it\/order\/?id=dEdCkfJj_dop5Pw95gvFGw--","total_items":175,"additional_costs":0,"grand_total":175,"fee":2.26,"payment_type":"stripe","order_mode":"counter","customer_name":null,"table_name":null,"paid":true,"status":"completed","email_present":false,"phone_present":false,"order_notes":null,"order_date":"2026-04-18 13:15:16","delivery_scheduled_date":null,"delivery_address":null,"takeaway_date":null,"made_by_customer":false,"uses_coupons":false,"coupons":[],"menu_items":[{"order_item_id":18784409,"menu_item_id":746661,"menu_category_id":null,"name":"Valentina_Bag_Green_Military","sku":null,"price":175,"quantity":1,"note":null,"price_with_products":175,"total_value_in_order":175,"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</si>
  <si>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9927022,"order_number_day":5,"order_link":"https:\/\/.qromo.it\/order\/?id=dm1zs9QMcYFGWmxwMb4DXg--","total_items":120,"additional_costs":0,"grand_total":120,"fee":3.73,"payment_type":"stripe","order_mode":"counter","customer_name":null,"table_name":null,"paid":true,"status":"completed","email_present":false,"phone_present":false,"order_notes":null,"order_date":"2026-04-18 14:19:43","delivery_scheduled_date":null,"delivery_address":null,"takeaway_date":null,"made_by_customer":false,"uses_coupons":false,"coupons":[],"menu_items":[{"order_item_id":18787513,"menu_item_id":702799,"menu_category_id":null,"name":"Lea_Bag_Black","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</si>
  <si>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9927022,"order_number_day":5,"order_link":"https:\/\/.qromo.it\/order\/?id=dm1zs9QMcYFGWmxwMb4DXg--","total_items":120,"additional_costs":0,"grand_total":120,"fee":3.73,"payment_type":"stripe","order_mode":"counter","customer_name":null,"table_name":null,"paid":true,"status":"completed","email_present":false,"phone_present":false,"order_notes":null,"order_date":"2026-04-18 14:19:43","delivery_scheduled_date":null,"delivery_address":null,"takeaway_date":null,"made_by_customer":false,"uses_coupons":false,"coupons":[],"menu_items":[{"order_item_id":18787513,"menu_item_id":702799,"menu_category_id":null,"name":"Lea_Bag_Black","sku":null,"price":120,"quantity":1,"note":null,"price_with_products":120,"total_value_in_order":120,"category_name":null,"menu_name":null,"menu_id":null}],"menu_items_products":[],"date_last_edit":null,"sms_sent":false,"prebill_requested":false,"subtotal_delta":0,"tip":0,"receipt":{"fiscal_status":"fiscalized","type":"digital","data":{"business_receipt_id":2337269,"ade_id":"DCW2026\/7042-1766","total":120,"date":"2026-04-18 14:20:05"}},"invoice":null,"email":null,"phone":null}}</t>
  </si>
  <si>
    <t>{"version":1,"type":"orders.new","auth":"Fgw5sp0ORTzn88ubSmN6ZqHEkRv8YCGw","business_id":11476,"order":{"order_id":9927022,"order_number_day":5,"order_link":"https:\/\/.qromo.it\/order\/?id=dm1zs9QMcYFGWmxwMb4DXg--","total_items":120,"additional_costs":0,"grand_total":120,"fee":3.73,"payment_type":"stripe","order_mode":"counter","customer_name":null,"table_name":null,"paid":true,"status":"completed","email_present":false,"phone_present":false,"order_notes":null,"order_date":"2026-04-18 14:19:43","delivery_scheduled_date":null,"delivery_address":null,"takeaway_date":null,"made_by_customer":false,"uses_coupons":false,"coupons":[],"menu_items":[{"order_item_id":18787513,"menu_item_id":702799,"menu_category_id":null,"name":"Lea_Bag_Black","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</si>
  <si>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9938679,"order_number_day":6,"order_link":"https:\/\/.qromo.it\/order\/?id=crO7Te9yI6CBtBiM5HEVJA--","total_items":90,"additional_costs":-9,"grand_total":81,"fee":1.11,"payment_type":"stripe","order_mode":"counter","customer_name":null,"table_name":null,"paid":true,"status":"completed","email_present":false,"phone_present":false,"order_notes":null,"order_date":"2026-04-18 17:15:53","delivery_scheduled_date":null,"delivery_address":null,"takeaway_date":null,"made_by_customer":false,"uses_coupons":false,"coupons":[],"menu_items":[{"order_item_id":18805358,"menu_item_id":733144,"menu_category_id":null,"name":"Annie_Bag_Paillettes_Beige","sku":null,"price":90,"quantity":1,"note":null,"price_with_products":90,"total_value_in_order":81,"category_name":null,"menu_name":null,"menu_id":null}],"menu_items_products":[],"date_last_edit":null,"sms_sent":false,"prebill_requested":false,"subtotal_delta":-9,"tip":0,"receipt":{"fiscal_status":"not_requested","type":null,"data":null},"invoice":null,"email":null,"phone":null}}</t>
  </si>
  <si>
    <t>{"version":1,"type":"orders.update","auth":"Fgw5sp0ORTzn88ubSmN6ZqHEkRv8YCGw","business_id":11476,"order":{"order_id":9938679,"order_number_day":6,"order_link":"https:\/\/.qromo.it\/order\/?id=crO7Te9yI6CBtBiM5HEVJA--","total_items":90,"additional_costs":-9,"grand_total":81,"fee":1.11,"payment_type":"stripe","order_mode":"counter","customer_name":null,"table_name":null,"paid":true,"status":"completed","email_present":false,"phone_present":false,"order_notes":null,"order_date":"2026-04-18 17:15:53","delivery_scheduled_date":null,"delivery_address":null,"takeaway_date":null,"made_by_customer":false,"uses_coupons":false,"coupons":[],"menu_items":[{"order_item_id":18805358,"menu_item_id":733144,"menu_category_id":null,"name":"Annie_Bag_Paillettes_Beige","sku":null,"price":90,"quantity":1,"note":null,"price_with_products":90,"total_value_in_order":81,"category_name":null,"menu_name":null,"menu_id":null}],"menu_items_products":[],"date_last_edit":null,"sms_sent":false,"prebill_requested":false,"subtotal_delta":-9,"tip":0,"receipt":{"fiscal_status":"fiscalized","type":"digital","data":{"business_receipt_id":2343159,"ade_id":"DCW2026\/7050-3694","total":81,"date":"2026-04-18 17:16:06"}},"invoice":null,"email":null,"phone":null}}</t>
  </si>
  <si>
    <t>These Qromo product names do NOT match any CODICE_AMIIMI in ACQUISTI: Annie_Bag_Paillettes_Beige | Valid CODICE_AMIIMI count: 59</t>
  </si>
  <si>
    <t>{"version":1,"type":"orders.new","auth":"Fgw5sp0ORTzn88ubSmN6ZqHEkRv8YCGw","business_id":11476,"order":{"order_id":9938679,"order_number_day":6,"order_link":"https:\/\/.qromo.it\/order\/?id=crO7Te9yI6CBtBiM5HEVJA--","total_items":90,"additional_costs":-9,"grand_total":81,"fee":1.11,"payment_type":"stripe","order_mode":"counter","customer_name":null,"table_name":null,"paid":true,"status":"completed","email_present":false,"phone_present":false,"order_notes":null,"order_date":"2026-04-18 17:15:53","delivery_scheduled_date":null,"delivery_address":null,"takeaway_date":null,"made_by_customer":false,"uses_coupons":false,"coupons":[],"menu_items":[{"order_item_id":18805358,"menu_item_id":733144,"menu_category_id":null,"name":"Annie_Bag_Paillettes_Beige","sku":null,"price":90,"quantity":1,"note":null,"price_with_products":90,"total_value_in_order":81,"category_name":null,"menu_name":null,"menu_id":null}],"menu_items_products":[],"date_last_edit":null,"sms_sent":false,"prebill_requested":false,"subtotal_delta":-9,"tip":0,"receipt":{"fiscal_status":"not_requested","type":null,"data":null},"invoice":null,"email":null,"phone":null}}</t>
  </si>
  <si>
    <t>{"version":1,"type":"orders.update","auth":"Fgw5sp0ORTzn88ubSmN6ZqHEkRv8YCGw","business_id":11476,"order":{"order_id":10094594,"order_number_day":3,"order_link":"https:\/\/.qromo.it\/order\/?id=ZcK.YbLle4w4N4rMg2dieA--","total_items":80,"additional_costs":-8,"grand_total":72,"fee":1,"payment_type":"stripe","order_mode":"counter","customer_name":null,"table_name":null,"paid":true,"status":"completed","email_present":false,"phone_present":false,"order_notes":null,"order_date":"2026-04-22 11:37:00","delivery_scheduled_date":null,"delivery_address":null,"takeaway_date":null,"made_by_customer":false,"uses_coupons":false,"coupons":[],"menu_items":[{"order_item_id":19072811,"menu_item_id":739749,"menu_category_id":null,"name":"Agata_Bag_Floral_Green_Embroidery","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</si>
  <si>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10094594,"order_number_day":3,"order_link":"https:\/\/.qromo.it\/order\/?id=ZcK.YbLle4w4N4rMg2dieA--","total_items":80,"additional_costs":-8,"grand_total":72,"fee":1,"payment_type":"stripe","order_mode":"counter","customer_name":null,"table_name":null,"paid":true,"status":"completed","email_present":false,"phone_present":false,"order_notes":null,"order_date":"2026-04-22 11:37:00","delivery_scheduled_date":null,"delivery_address":null,"takeaway_date":null,"made_by_customer":false,"uses_coupons":false,"coupons":[],"menu_items":[{"order_item_id":19072811,"menu_item_id":739749,"menu_category_id":null,"name":"Agata_Bag_Floral_Green_Embroidery","sku":null,"price":80,"quantity":1,"note":null,"price_with_products":80,"total_value_in_order":72,"category_name":null,"menu_name":null,"menu_id":null}],"menu_items_products":[],"date_last_edit":null,"sms_sent":false,"prebill_requested":false,"subtotal_delta":-8,"tip":0,"receipt":{"fiscal_status":"fiscalized","type":"digital","data":{"business_receipt_id":2409781,"ade_id":"DCW2026\/7175-1557","total":72,"date":"2026-04-22 11:37:07"}},"invoice":null,"email":null,"phone":null}}</t>
  </si>
  <si>
    <t>{"version":1,"type":"orders.new","auth":"Fgw5sp0ORTzn88ubSmN6ZqHEkRv8YCGw","business_id":11476,"order":{"order_id":10094594,"order_number_day":3,"order_link":"https:\/\/.qromo.it\/order\/?id=ZcK.YbLle4w4N4rMg2dieA--","total_items":80,"additional_costs":-8,"grand_total":72,"fee":1,"payment_type":"stripe","order_mode":"counter","customer_name":null,"table_name":null,"paid":true,"status":"completed","email_present":false,"phone_present":false,"order_notes":null,"order_date":"2026-04-22 11:37:00","delivery_scheduled_date":null,"delivery_address":null,"takeaway_date":null,"made_by_customer":false,"uses_coupons":false,"coupons":[],"menu_items":[{"order_item_id":19072811,"menu_item_id":739749,"menu_category_id":null,"name":"Agata_Bag_Floral_Green_Embroidery","sku":null,"price":80,"quantity":1,"note":null,"price_with_products":80,"total_value_in_order":72,"category_name":null,"menu_name":null,"menu_id":null}],"menu_items_products":[],"date_last_edit":null,"sms_sent":false,"prebill_requested":false,"subtotal_delta":-8,"tip":0,"receipt":{"fiscal_status":"not_requested","type":null,"data":null},"invoice":null,"email":null,"phone":null}}</t>
  </si>
  <si>
    <t>{"version":1,"type":"orders.update","auth":"Fgw5sp0ORTzn88ubSmN6ZqHEkRv8YCGw","business_id":11476,"order":{"order_id":10190575,"order_number_day":1,"order_link":"https:\/\/.qromo.it\/order\/?id=J9f4R5ayMEgmYwzJXZVgbw--","total_items":120,"additional_costs":0,"grand_total":120,"fee":2.47,"payment_type":"stripe","order_mode":"counter","customer_name":null,"table_name":null,"paid":true,"status":"completed","email_present":false,"phone_present":false,"order_notes":null,"order_date":"2026-04-25 09:27:15","delivery_scheduled_date":null,"delivery_address":null,"takeaway_date":null,"made_by_customer":false,"uses_coupons":false,"coupons":[],"menu_items":[{"order_item_id":19238962,"menu_item_id":719616,"menu_category_id":null,"name":"Lea_Bag_VERNICE_VIOLA","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</si>
  <si>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10190575,"order_number_day":1,"order_link":"https:\/\/.qromo.it\/order\/?id=J9f4R5ayMEgmYwzJXZVgbw--","total_items":120,"additional_costs":0,"grand_total":120,"fee":2.47,"payment_type":"stripe","order_mode":"counter","customer_name":null,"table_name":null,"paid":true,"status":"completed","email_present":false,"phone_present":false,"order_notes":null,"order_date":"2026-04-25 09:27:15","delivery_scheduled_date":null,"delivery_address":null,"takeaway_date":null,"made_by_customer":false,"uses_coupons":false,"coupons":[],"menu_items":[{"order_item_id":19238962,"menu_item_id":719616,"menu_category_id":null,"name":"Lea_Bag_VERNICE_VIOLA","sku":null,"price":120,"quantity":1,"note":null,"price_with_products":120,"total_value_in_order":120,"category_name":null,"menu_name":null,"menu_id":null}],"menu_items_products":[],"date_last_edit":null,"sms_sent":false,"prebill_requested":false,"subtotal_delta":0,"tip":0,"receipt":{"fiscal_status":"fiscalized","type":"digital","data":{"business_receipt_id":2443698,"ade_id":"DCW2026\/7285-0826","total":120,"date":"2026-04-25 09:27:33"}},"invoice":null,"email":null,"phone":null}}</t>
  </si>
  <si>
    <t>These Qromo product names do NOT match any CODICE_AMIIMI in ACQUISTI: Lea_Bag_VERNICE_VIOLA | Valid CODICE_AMIIMI count: 67</t>
  </si>
  <si>
    <t>{"version":1,"type":"orders.new","auth":"Fgw5sp0ORTzn88ubSmN6ZqHEkRv8YCGw","business_id":11476,"order":{"order_id":10190575,"order_number_day":1,"order_link":"https:\/\/.qromo.it\/order\/?id=J9f4R5ayMEgmYwzJXZVgbw--","total_items":120,"additional_costs":0,"grand_total":120,"fee":2.47,"payment_type":"stripe","order_mode":"counter","customer_name":null,"table_name":null,"paid":true,"status":"completed","email_present":false,"phone_present":false,"order_notes":null,"order_date":"2026-04-25 09:27:15","delivery_scheduled_date":null,"delivery_address":null,"takeaway_date":null,"made_by_customer":false,"uses_coupons":false,"coupons":[],"menu_items":[{"order_item_id":19238962,"menu_item_id":719616,"menu_category_id":null,"name":"Lea_Bag_VERNICE_VIOLA","sku":null,"price":120,"quantity":1,"note":null,"price_with_products":120,"total_value_in_order":120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</si>
  <si>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10208879,"order_number_day":2,"order_link":"https:\/\/.qromo.it\/order\/?id=DnlyHOd61JmswHErKcMSXA--","total_items":120,"additional_costs":-24,"grand_total":96,"fee":1.29,"payment_type":"stripe","order_mode":"counter","customer_name":null,"table_name":null,"paid":true,"status":"completed","email_present":false,"phone_present":false,"order_notes":null,"order_date":"2026-04-25 15:20:04","delivery_scheduled_date":null,"delivery_address":null,"takeaway_date":null,"made_by_customer":false,"uses_coupons":false,"coupons":[],"menu_items":[{"order_item_id":19276354,"menu_item_id":712223,"menu_category_id":null,"name":"Lea_Bag_Cavallino_Chocolate","sku":null,"price":120,"quantity":1,"note":null,"price_with_products":120,"total_value_in_order":96,"category_name":null,"menu_name":null,"menu_id":null}],"menu_items_products":[],"date_last_edit":null,"sms_sent":false,"prebill_requested":false,"subtotal_delta":-24,"tip":0,"receipt":{"fiscal_status":"fiscalized","type":"digital","data":{"business_receipt_id":2454404,"ade_id":"DCW2026\/7300-6389","total":96,"date":"2026-04-25 15:20:24"}},"invoice":null,"email":null,"phone":null}}</t>
  </si>
  <si>
    <t>{"version":1,"type":"orders.update","auth":"Fgw5sp0ORTzn88ubSmN6ZqHEkRv8YCGw","business_id":11476,"order":{"order_id":10208879,"order_number_day":2,"order_link":"https:\/\/.qromo.it\/order\/?id=DnlyHOd61JmswHErKcMSXA--","total_items":120,"additional_costs":-24,"grand_total":96,"fee":1.29,"payment_type":"stripe","order_mode":"counter","customer_name":null,"table_name":null,"paid":true,"status":"completed","email_present":false,"phone_present":false,"order_notes":null,"order_date":"2026-04-25 15:20:04","delivery_scheduled_date":null,"delivery_address":null,"takeaway_date":null,"made_by_customer":false,"uses_coupons":false,"coupons":[],"menu_items":[{"order_item_id":19276354,"menu_item_id":712223,"menu_category_id":null,"name":"Lea_Bag_Cavallino_Chocolate","sku":null,"price":120,"quantity":1,"note":null,"price_with_products":120,"total_value_in_order":96,"category_name":null,"menu_name":null,"menu_id":null}],"menu_items_products":[],"date_last_edit":null,"sms_sent":false,"prebill_requested":false,"subtotal_delta":-24,"tip":0,"receipt":{"fiscal_status":"not_requested","type":null,"data":null},"invoice":null,"email":null,"phone":null}}</t>
  </si>
  <si>
    <t>{"version":1,"type":"orders.new","auth":"Fgw5sp0ORTzn88ubSmN6ZqHEkRv8YCGw","business_id":11476,"order":{"order_id":10208879,"order_number_day":2,"order_link":"https:\/\/.qromo.it\/order\/?id=DnlyHOd61JmswHErKcMSXA--","total_items":120,"additional_costs":-24,"grand_total":96,"fee":1.29,"payment_type":"stripe","order_mode":"counter","customer_name":null,"table_name":null,"paid":true,"status":"completed","email_present":false,"phone_present":false,"order_notes":null,"order_date":"2026-04-25 15:20:04","delivery_scheduled_date":null,"delivery_address":null,"takeaway_date":null,"made_by_customer":false,"uses_coupons":false,"coupons":[],"menu_items":[{"order_item_id":19276354,"menu_item_id":712223,"menu_category_id":null,"name":"Lea_Bag_Cavallino_Chocolate","sku":null,"price":120,"quantity":1,"note":null,"price_with_products":120,"total_value_in_order":96,"category_name":null,"menu_name":null,"menu_id":null}],"menu_items_products":[],"date_last_edit":null,"sms_sent":false,"prebill_requested":false,"subtotal_delta":-24,"tip":0,"receipt":{"fiscal_status":"not_requested","type":null,"data":null},"invoice":null,"email":null,"phone":null}}</t>
  </si>
  <si>
    <t>{"version":1,"type":"orders.update","auth":"Fgw5sp0ORTzn88ubSmN6ZqHEkRv8YCGw","business_id":11476,"order":{"order_id":10362119,"order_number_day":1,"order_link":"https:\/\/.qromo.it\/order\/?id=.u0biRlDDGmFTFTDXM6NdQ--","total_items":80,"additional_costs":0,"grand_total":80,"fee":1.1,"payment_type":"stripe","order_mode":"counter","customer_name":null,"table_name":null,"paid":true,"status":"completed","email_present":false,"phone_present":false,"order_notes":null,"order_date":"2026-04-29 13:42:36","delivery_scheduled_date":null,"delivery_address":null,"takeaway_date":null,"made_by_customer":false,"uses_coupons":false,"coupons":[],"menu_items":[{"order_item_id":19543736,"menu_item_id":739747,"menu_category_id":null,"name":"Agata_Bag_Rose_Blue","sku":null,"price":80,"quantity":1,"note":null,"price_with_products":80,"total_value_in_order":80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</si>
  <si>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10362119,"order_number_day":1,"order_link":"https:\/\/.qromo.it\/order\/?id=.u0biRlDDGmFTFTDXM6NdQ--","total_items":80,"additional_costs":0,"grand_total":80,"fee":1.1,"payment_type":"stripe","order_mode":"counter","customer_name":null,"table_name":null,"paid":true,"status":"completed","email_present":false,"phone_present":false,"order_notes":null,"order_date":"2026-04-29 13:42:36","delivery_scheduled_date":null,"delivery_address":null,"takeaway_date":null,"made_by_customer":false,"uses_coupons":false,"coupons":[],"menu_items":[{"order_item_id":19543736,"menu_item_id":739747,"menu_category_id":null,"name":"Agata_Bag_Rose_Blue","sku":null,"price":80,"quantity":1,"note":null,"price_with_products":80,"total_value_in_order":80,"category_name":null,"menu_name":null,"menu_id":null}],"menu_items_products":[],"date_last_edit":null,"sms_sent":false,"prebill_requested":false,"subtotal_delta":0,"tip":0,"receipt":{"fiscal_status":"fiscalized","type":"digital","data":{"business_receipt_id":2529898,"ade_id":"DCW2026\/7446-6173","total":80,"date":"2026-04-29 13:43:05"}},"invoice":null,"email":null,"phone":null}}</t>
  </si>
  <si>
    <t>{"version":1,"type":"orders.new","auth":"Fgw5sp0ORTzn88ubSmN6ZqHEkRv8YCGw","business_id":11476,"order":{"order_id":10362119,"order_number_day":1,"order_link":"https:\/\/.qromo.it\/order\/?id=.u0biRlDDGmFTFTDXM6NdQ--","total_items":80,"additional_costs":0,"grand_total":80,"fee":1.1,"payment_type":"stripe","order_mode":"counter","customer_name":null,"table_name":null,"paid":true,"status":"completed","email_present":false,"phone_present":false,"order_notes":null,"order_date":"2026-04-29 13:42:36","delivery_scheduled_date":null,"delivery_address":null,"takeaway_date":null,"made_by_customer":false,"uses_coupons":false,"coupons":[],"menu_items":[{"order_item_id":19543736,"menu_item_id":739747,"menu_category_id":null,"name":"Agata_Bag_Rose_Blue","sku":null,"price":80,"quantity":1,"note":null,"price_with_products":80,"total_value_in_order":80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</si>
  <si>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10377632,"order_number_day":1,"order_link":"https:\/\/.qromo.it\/order\/?id=2YG5LlegH36oxhldWtZMZg--","total_items":90,"additional_costs":0,"grand_total":90,"fee":1.22,"payment_type":"stripe","order_mode":"counter","customer_name":null,"table_name":null,"paid":true,"status":"completed","email_present":false,"phone_present":false,"order_notes":null,"order_date":"2026-04-30 11:00:58","delivery_scheduled_date":null,"delivery_address":null,"takeaway_date":null,"made_by_customer":false,"uses_coupons":false,"coupons":[],"menu_items":[{"order_item_id":19572241,"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fiscalized","type":"digital","data":{"business_receipt_id":2533539,"ade_id":"DCW2026\/7476-7984","total":90,"date":"2026-04-30 11:01:36"}},"invoice":null,"email":null,"phone":null}}</t>
  </si>
  <si>
    <t>{"version":1,"type":"orders.update","auth":"Fgw5sp0ORTzn88ubSmN6ZqHEkRv8YCGw","business_id":11476,"order":{"order_id":10377632,"order_number_day":1,"order_link":"https:\/\/.qromo.it\/order\/?id=2YG5LlegH36oxhldWtZMZg--","total_items":90,"additional_costs":0,"grand_total":90,"fee":1.22,"payment_type":"stripe","order_mode":"counter","customer_name":null,"table_name":null,"paid":true,"status":"completed","email_present":false,"phone_present":false,"order_notes":null,"order_date":"2026-04-30 11:00:58","delivery_scheduled_date":null,"delivery_address":null,"takeaway_date":null,"made_by_customer":false,"uses_coupons":false,"coupons":[],"menu_items":[{"order_item_id":19572241,"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</si>
  <si>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These Qromo product names do NOT match any CODICE_AMIIMI in ACQUISTI: Annie_Bag_Paillettes_Beige | Valid CODICE_AMIIMI count: 68</t>
  </si>
  <si>
    <t>{"version":1,"type":"orders.new","auth":"Fgw5sp0ORTzn88ubSmN6ZqHEkRv8YCGw","business_id":11476,"order":{"order_id":10377632,"order_number_day":1,"order_link":"https:\/\/.qromo.it\/order\/?id=2YG5LlegH36oxhldWtZMZg--","total_items":90,"additional_costs":0,"grand_total":90,"fee":1.22,"payment_type":"stripe","order_mode":"counter","customer_name":null,"table_name":null,"paid":true,"status":"completed","email_present":false,"phone_present":false,"order_notes":null,"order_date":"2026-04-30 11:00:58","delivery_scheduled_date":null,"delivery_address":null,"takeaway_date":null,"made_by_customer":false,"uses_coupons":false,"coupons":[],"menu_items":[{"order_item_id":19572241,"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</si>
  <si>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10604229,"order_number_day":2,"order_link":"https:\/\/.qromo.it\/order\/?id=1tlcNQztIpqybYugexPxDA--","total_items":90,"additional_costs":0,"grand_total":90,"fee":1.22,"payment_type":"stripe","order_mode":"counter","customer_name":null,"table_name":null,"paid":true,"status":"completed","email_present":false,"phone_present":false,"order_notes":null,"order_date":"2026-05-06 15:02:35","delivery_scheduled_date":null,"delivery_address":null,"takeaway_date":null,"made_by_customer":false,"uses_coupons":false,"coupons":[],"menu_items":[{"order_item_id":19971666,"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</si>
  <si>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10604229,"order_number_day":2,"order_link":"https:\/\/.qromo.it\/order\/?id=1tlcNQztIpqybYugexPxDA--","total_items":90,"additional_costs":0,"grand_total":90,"fee":1.22,"payment_type":"stripe","order_mode":"counter","customer_name":null,"table_name":null,"paid":true,"status":"completed","email_present":false,"phone_present":false,"order_notes":null,"order_date":"2026-05-06 15:02:35","delivery_scheduled_date":null,"delivery_address":null,"takeaway_date":null,"made_by_customer":false,"uses_coupons":false,"coupons":[],"menu_items":[{"order_item_id":19971666,"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fiscalized","type":"digital","data":{"business_receipt_id":2629435,"ade_id":"DCW2026\/7719-9875","total":90,"date":"2026-05-06 15:02:56"}},"invoice":null,"email":null,"phone":null}}</t>
  </si>
  <si>
    <t>{"version":1,"type":"orders.new","auth":"Fgw5sp0ORTzn88ubSmN6ZqHEkRv8YCGw","business_id":11476,"order":{"order_id":10604229,"order_number_day":2,"order_link":"https:\/\/.qromo.it\/order\/?id=1tlcNQztIpqybYugexPxDA--","total_items":90,"additional_costs":0,"grand_total":90,"fee":1.22,"payment_type":"stripe","order_mode":"counter","customer_name":null,"table_name":null,"paid":true,"status":"completed","email_present":false,"phone_present":false,"order_notes":null,"order_date":"2026-05-06 15:02:35","delivery_scheduled_date":null,"delivery_address":null,"takeaway_date":null,"made_by_customer":false,"uses_coupons":false,"coupons":[],"menu_items":[{"order_item_id":19971666,"menu_item_id":733144,"menu_category_id":null,"name":"Annie_Bag_Paillettes_Beige","sku":null,"price":90,"quantity":1,"note":null,"price_with_products":90,"total_value_in_order":90,"category_name":null,"menu_name":null,"menu_id":null}],"menu_items_products":[],"date_last_edit":null,"sms_sent":false,"prebill_requested":false,"subtotal_delta":0,"tip":0,"receipt":{"fiscal_status":"not_requested","type":null,"data":null},"invoice":null,"email":null,"phone":null}}</t>
  </si>
  <si>
    <t>{"version":1,"type":"orders.update","auth":"Fgw5sp0ORTzn88ubSmN6ZqHEkRv8YCGw","business_id":11476,"order":{"order_id":10687324,"order_number_day":1,"order_link":"https:\/\/.qromo.it\/order\/?id=RboPaNDycV2VghAGR6JcxA--","total_items":80,"additional_costs":0,"grand_total":80,"fee":1.1,"payment_type":"stripe","order_mode":"counter","customer_name":null,"table_name":null,"paid":true,"status":"completed","email_present":false,"phone_present":false,"order_notes":null,"order_date":"2026-05-09 10:35:47","delivery_scheduled_date":null,"delivery_address":null,"takeaway_date":null,"made_by_customer":false,"uses_coupons":false,"coupons":[],"menu_items":[{"order_item_id":20114828,"menu_item_id":746662,"menu_category_id":99714,"name":"Annie_Bag_Paillettes_Pink","sku":null,"price":80,"quantity":1,"note":null,"price_with_products":80,"total_value_in_order":80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</si>
  <si>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10687324,"order_number_day":1,"order_link":"https:\/\/.qromo.it\/order\/?id=RboPaNDycV2VghAGR6JcxA--","total_items":80,"additional_costs":0,"grand_total":80,"fee":1.1,"payment_type":"stripe","order_mode":"counter","customer_name":null,"table_name":null,"paid":true,"status":"completed","email_present":false,"phone_present":false,"order_notes":null,"order_date":"2026-05-09 10:35:47","delivery_scheduled_date":null,"delivery_address":null,"takeaway_date":null,"made_by_customer":false,"uses_coupons":false,"coupons":[],"menu_items":[{"order_item_id":20114828,"menu_item_id":746662,"menu_category_id":99714,"name":"Annie_Bag_Paillettes_Pink","sku":null,"price":80,"quantity":1,"note":null,"price_with_products":80,"total_value_in_order":80,"category_name":"ANNIE BAG ","menu_name":"CATALOGO","menu_id":21350}],"menu_items_products":[],"date_last_edit":null,"sms_sent":false,"prebill_requested":false,"subtotal_delta":0,"tip":0,"receipt":{"fiscal_status":"fiscalized","type":"digital","data":{"business_receipt_id":2658694,"ade_id":"DCW2026\/7829-1822","total":80,"date":"2026-05-09 10:36:19"}},"invoice":null,"email":null,"phone":null}}</t>
  </si>
  <si>
    <t>These Qromo product names do NOT match any CODICE_AMIIMI in ACQUISTI: Annie_Bag_Paillettes_Pink | Valid CODICE_AMIIMI count: 68</t>
  </si>
  <si>
    <t>{"version":1,"type":"orders.new","auth":"Fgw5sp0ORTzn88ubSmN6ZqHEkRv8YCGw","business_id":11476,"order":{"order_id":10687324,"order_number_day":1,"order_link":"https:\/\/.qromo.it\/order\/?id=RboPaNDycV2VghAGR6JcxA--","total_items":80,"additional_costs":0,"grand_total":80,"fee":1.1,"payment_type":"stripe","order_mode":"counter","customer_name":null,"table_name":null,"paid":true,"status":"completed","email_present":false,"phone_present":false,"order_notes":null,"order_date":"2026-05-09 10:35:47","delivery_scheduled_date":null,"delivery_address":null,"takeaway_date":null,"made_by_customer":false,"uses_coupons":false,"coupons":[],"menu_items":[{"order_item_id":20114828,"menu_item_id":746662,"menu_category_id":99714,"name":"Annie_Bag_Paillettes_Pink","sku":null,"price":80,"quantity":1,"note":null,"price_with_products":80,"total_value_in_order":80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</si>
  <si>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10813567,"order_number_day":3,"order_link":"https:\/\/.qromo.it\/order\/?id=2nscIdKmZIxpPGb27JYo8g--","total_items":80,"additional_costs":-8,"grand_total":72,"fee":1,"payment_type":"stripe","order_mode":"counter","customer_name":null,"table_name":null,"paid":true,"status":"completed","email_present":false,"phone_present":false,"order_notes":null,"order_date":"2026-05-13 10:40:22","delivery_scheduled_date":null,"delivery_address":null,"takeaway_date":null,"made_by_customer":false,"uses_coupons":false,"coupons":[],"menu_items":[{"order_item_id":20348449,"menu_item_id":740087,"menu_category_id":100636,"name":"Agata_Bag_Floral_Bordeaux_Embroidery","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</si>
  <si>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10813567,"order_number_day":3,"order_link":"https:\/\/.qromo.it\/order\/?id=2nscIdKmZIxpPGb27JYo8g--","total_items":80,"additional_costs":-8,"grand_total":72,"fee":1,"payment_type":"stripe","order_mode":"counter","customer_name":null,"table_name":null,"paid":true,"status":"completed","email_present":false,"phone_present":false,"order_notes":null,"order_date":"2026-05-13 10:40:22","delivery_scheduled_date":null,"delivery_address":null,"takeaway_date":null,"made_by_customer":false,"uses_coupons":false,"coupons":[],"menu_items":[{"order_item_id":20348449,"menu_item_id":740087,"menu_category_id":100636,"name":"Agata_Bag_Floral_Bordeaux_Embroidery","sku":null,"price":80,"quantity":1,"note":null,"price_with_products":80,"total_value_in_order":72,"category_name":"AGATA BAG","menu_name":"CATALOGO","menu_id":21350}],"menu_items_products":[],"date_last_edit":null,"sms_sent":false,"prebill_requested":false,"subtotal_delta":-8,"tip":0,"receipt":{"fiscal_status":"fiscalized","type":"digital","data":{"business_receipt_id":2709844,"ade_id":"DCW2026\/7975-0535","total":72,"date":"2026-05-13 10:40:42"}},"invoice":null,"email":null,"phone":null}}</t>
  </si>
  <si>
    <t>These Qromo product names do NOT match any CODICE_AMIIMI in ACQUISTI: Agata_Bag_Floral_Bordeaux_Embroidery | Valid CODICE_AMIIMI count: 73</t>
  </si>
  <si>
    <t>{"version":1,"type":"orders.new","auth":"Fgw5sp0ORTzn88ubSmN6ZqHEkRv8YCGw","business_id":11476,"order":{"order_id":10813567,"order_number_day":3,"order_link":"https:\/\/.qromo.it\/order\/?id=2nscIdKmZIxpPGb27JYo8g--","total_items":80,"additional_costs":-8,"grand_total":72,"fee":1,"payment_type":"stripe","order_mode":"counter","customer_name":null,"table_name":null,"paid":true,"status":"completed","email_present":false,"phone_present":false,"order_notes":null,"order_date":"2026-05-13 10:40:22","delivery_scheduled_date":null,"delivery_address":null,"takeaway_date":null,"made_by_customer":false,"uses_coupons":false,"coupons":[],"menu_items":[{"order_item_id":20348449,"menu_item_id":740087,"menu_category_id":100636,"name":"Agata_Bag_Floral_Bordeaux_Embroidery","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</si>
  <si>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10819320,"order_number_day":4,"order_link":"https:\/\/.qromo.it\/order\/?id=jEByBEvsja68u9H_1XlOag--","total_items":170,"additional_costs":0,"grand_total":170,"fee":2.2,"payment_type":"stripe","order_mode":"counter","customer_name":null,"table_name":null,"paid":true,"status":"completed","email_present":false,"phone_present":false,"order_notes":null,"order_date":"2026-05-13 15:24:54","delivery_scheduled_date":null,"delivery_address":null,"takeaway_date":null,"made_by_customer":false,"uses_coupons":false,"coupons":[],"menu_items":[{"order_item_id":20359240,"menu_item_id":719620,"menu_category_id":96058,"name":"Lea_Bag_Maxi","sku":null,"price":170,"quantity":1,"note":null,"price_with_products":170,"total_value_in_order":170,"category_name":"LEA BAG MAXI","menu_name":"CATALOGO","menu_id":21350}],"menu_items_products":[],"date_last_edit":null,"sms_sent":false,"prebill_requested":false,"subtotal_delta":0,"tip":0,"receipt":{"fiscal_status":"not_requested","type":null,"data":null},"invoice":null,"email":null,"phone":null}}</t>
  </si>
  <si>
    <t>These Qromo product names do NOT match any CODICE_AMIIMI in ACQUISTI: Lea_Bag_Maxi | Valid CODICE_AMIIMI count: 79</t>
  </si>
  <si>
    <t>{"version":1,"type":"orders.update","auth":"Fgw5sp0ORTzn88ubSmN6ZqHEkRv8YCGw","business_id":11476,"order":{"order_id":10819320,"order_number_day":4,"order_link":"https:\/\/.qromo.it\/order\/?id=jEByBEvsja68u9H_1XlOag--","total_items":170,"additional_costs":0,"grand_total":170,"fee":2.2,"payment_type":"stripe","order_mode":"counter","customer_name":null,"table_name":null,"paid":true,"status":"completed","email_present":false,"phone_present":false,"order_notes":null,"order_date":"2026-05-13 15:24:54","delivery_scheduled_date":null,"delivery_address":null,"takeaway_date":null,"made_by_customer":false,"uses_coupons":false,"coupons":[],"menu_items":[{"order_item_id":20359240,"menu_item_id":719620,"menu_category_id":96058,"name":"Lea_Bag_Maxi","sku":null,"price":170,"quantity":1,"note":null,"price_with_products":170,"total_value_in_order":170,"category_name":"LEA BAG MAXI","menu_name":"CATALOGO","menu_id":21350}],"menu_items_products":[],"date_last_edit":null,"sms_sent":false,"prebill_requested":false,"subtotal_delta":0,"tip":0,"receipt":{"fiscal_status":"fiscalized","type":"digital","data":{"business_receipt_id":2710827,"ade_id":"DCW2026\/7985-4256","total":170,"date":"2026-05-13 15:25:49"}},"invoice":null,"email":null,"phone":null}}</t>
  </si>
  <si>
    <t>{"version":1,"type":"orders.new","auth":"Fgw5sp0ORTzn88ubSmN6ZqHEkRv8YCGw","business_id":11476,"order":{"order_id":10819320,"order_number_day":4,"order_link":"https:\/\/.qromo.it\/order\/?id=jEByBEvsja68u9H_1XlOag--","total_items":170,"additional_costs":0,"grand_total":170,"fee":2.2,"payment_type":"stripe","order_mode":"counter","customer_name":null,"table_name":null,"paid":true,"status":"completed","email_present":false,"phone_present":false,"order_notes":null,"order_date":"2026-05-13 15:24:54","delivery_scheduled_date":null,"delivery_address":null,"takeaway_date":null,"made_by_customer":false,"uses_coupons":false,"coupons":[],"menu_items":[{"order_item_id":20359240,"menu_item_id":719620,"menu_category_id":96058,"name":"Lea_Bag_Maxi","sku":null,"price":170,"quantity":1,"note":null,"price_with_products":170,"total_value_in_order":170,"category_name":"LEA BAG MAXI","menu_name":"CATALOGO","menu_id":21350}],"menu_items_products":[],"date_last_edit":null,"sms_sent":false,"prebill_requested":false,"subtotal_delta":0,"tip":0,"receipt":{"fiscal_status":"not_requested","type":null,"data":null},"invoice":null,"email":null,"phone":null}}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</si>
  <si>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10842613,"order_number_day":2,"order_link":"https:\/\/.qromo.it\/order\/?id=PX2I2xc.fxjbn8zbrJKr_Q--","total_items":110,"additional_costs":0,"grand_total":110,"fee":1.46,"payment_type":"stripe","order_mode":"counter","customer_name":null,"table_name":null,"paid":true,"status":"completed","email_present":false,"phone_present":false,"order_notes":null,"order_date":"2026-05-14 16:41:23","delivery_scheduled_date":null,"delivery_address":null,"takeaway_date":null,"made_by_customer":false,"uses_coupons":false,"coupons":[],"menu_items":[{"order_item_id":20402880,"menu_item_id":719612,"menu_category_id":96044,"name":"Lea_Bag_TOASTED_LEATHER","sku":null,"price":110,"quantity":1,"note":null,"price_with_products":110,"total_value_in_order":110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</si>
  <si>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10842613,"order_number_day":2,"order_link":"https:\/\/.qromo.it\/order\/?id=PX2I2xc.fxjbn8zbrJKr_Q--","total_items":110,"additional_costs":0,"grand_total":110,"fee":1.46,"payment_type":"stripe","order_mode":"counter","customer_name":null,"table_name":null,"paid":true,"status":"completed","email_present":false,"phone_present":false,"order_notes":null,"order_date":"2026-05-14 16:41:23","delivery_scheduled_date":null,"delivery_address":null,"takeaway_date":null,"made_by_customer":false,"uses_coupons":false,"coupons":[],"menu_items":[{"order_item_id":20402880,"menu_item_id":719612,"menu_category_id":96044,"name":"Lea_Bag_TOASTED_LEATHER","sku":null,"price":110,"quantity":1,"note":null,"price_with_products":110,"total_value_in_order":110,"category_name":"LEA BAG CAMOSCIO","menu_name":"CATALOGO","menu_id":21350}],"menu_items_products":[],"date_last_edit":null,"sms_sent":false,"prebill_requested":false,"subtotal_delta":0,"tip":0,"receipt":{"fiscal_status":"fiscalized","type":"digital","data":{"business_receipt_id":2716231,"ade_id":"DCW2026\/8024-2820","total":110,"date":"2026-05-14 16:42:15"}},"invoice":null,"email":null,"phone":null}}</t>
  </si>
  <si>
    <t>These Qromo product names do NOT match any CODICE_AMIIMI in ACQUISTI: Lea_Bag_TOASTED_LEATHER | Valid CODICE_AMIIMI count: 79</t>
  </si>
  <si>
    <t>{"version":1,"type":"orders.new","auth":"Fgw5sp0ORTzn88ubSmN6ZqHEkRv8YCGw","business_id":11476,"order":{"order_id":10842613,"order_number_day":2,"order_link":"https:\/\/.qromo.it\/order\/?id=PX2I2xc.fxjbn8zbrJKr_Q--","total_items":110,"additional_costs":0,"grand_total":110,"fee":1.46,"payment_type":"stripe","order_mode":"counter","customer_name":null,"table_name":null,"paid":true,"status":"completed","email_present":false,"phone_present":false,"order_notes":null,"order_date":"2026-05-14 16:41:23","delivery_scheduled_date":null,"delivery_address":null,"takeaway_date":null,"made_by_customer":false,"uses_coupons":false,"coupons":[],"menu_items":[{"order_item_id":20402880,"menu_item_id":719612,"menu_category_id":96044,"name":"Lea_Bag_TOASTED_LEATHER","sku":null,"price":110,"quantity":1,"note":null,"price_with_products":110,"total_value_in_order":110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</si>
  <si>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10842640,"order_number_day":3,"order_link":"https:\/\/.qromo.it\/order\/?id=yoXBVXgMfujl.2koe.py5g--","total_items":110,"additional_costs":0,"grand_total":110,"fee":1.46,"payment_type":"stripe","order_mode":"counter","customer_name":null,"table_name":null,"paid":true,"status":"completed","email_present":false,"phone_present":false,"order_notes":null,"order_date":"2026-05-14 16:42:21","delivery_scheduled_date":null,"delivery_address":null,"takeaway_date":null,"made_by_customer":false,"uses_coupons":false,"coupons":[],"menu_items":[{"order_item_id":20402923,"menu_item_id":719612,"menu_category_id":96044,"name":"Lea_Bag_TOASTED_LEATHER","sku":null,"price":110,"quantity":1,"note":null,"price_with_products":110,"total_value_in_order":110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</si>
  <si>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10842640,"order_number_day":3,"order_link":"https:\/\/.qromo.it\/order\/?id=yoXBVXgMfujl.2koe.py5g--","total_items":110,"additional_costs":0,"grand_total":110,"fee":1.46,"payment_type":"stripe","order_mode":"counter","customer_name":null,"table_name":null,"paid":true,"status":"completed","email_present":false,"phone_present":false,"order_notes":null,"order_date":"2026-05-14 16:42:21","delivery_scheduled_date":null,"delivery_address":null,"takeaway_date":null,"made_by_customer":false,"uses_coupons":false,"coupons":[],"menu_items":[{"order_item_id":20402923,"menu_item_id":719612,"menu_category_id":96044,"name":"Lea_Bag_TOASTED_LEATHER","sku":null,"price":110,"quantity":1,"note":null,"price_with_products":110,"total_value_in_order":110,"category_name":"LEA BAG CAMOSCIO","menu_name":"CATALOGO","menu_id":21350}],"menu_items_products":[],"date_last_edit":null,"sms_sent":false,"prebill_requested":false,"subtotal_delta":0,"tip":0,"receipt":{"fiscal_status":"fiscalized","type":"digital","data":{"business_receipt_id":2716232,"ade_id":"DCW2026\/8024-2927","total":110,"date":"2026-05-14 16:42:31"}},"invoice":null,"email":null,"phone":null}}</t>
  </si>
  <si>
    <t>{"version":1,"type":"orders.new","auth":"Fgw5sp0ORTzn88ubSmN6ZqHEkRv8YCGw","business_id":11476,"order":{"order_id":10842640,"order_number_day":3,"order_link":"https:\/\/.qromo.it\/order\/?id=yoXBVXgMfujl.2koe.py5g--","total_items":110,"additional_costs":0,"grand_total":110,"fee":1.46,"payment_type":"stripe","order_mode":"counter","customer_name":null,"table_name":null,"paid":true,"status":"completed","email_present":false,"phone_present":false,"order_notes":null,"order_date":"2026-05-14 16:42:21","delivery_scheduled_date":null,"delivery_address":null,"takeaway_date":null,"made_by_customer":false,"uses_coupons":false,"coupons":[],"menu_items":[{"order_item_id":20402923,"menu_item_id":719612,"menu_category_id":96044,"name":"Lea_Bag_TOASTED_LEATHER","sku":null,"price":110,"quantity":1,"note":null,"price_with_products":110,"total_value_in_order":110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</si>
  <si>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11065217,"order_number_day":1,"order_link":"https:\/\/.qromo.it\/order\/?id=tq32oW_5EbpiL6GF6sKqzA--","total_items":90,"additional_costs":0,"grand_total":90,"fee":1.22,"payment_type":"stripe","order_mode":"counter","customer_name":null,"table_name":null,"paid":true,"status":"completed","email_present":false,"phone_present":false,"order_notes":null,"order_date":"2026-05-20 16:06:05","delivery_scheduled_date":null,"delivery_address":null,"takeaway_date":null,"made_by_customer":false,"uses_coupons":false,"coupons":[],"menu_items":[{"order_item_id":20803811,"menu_item_id":781914,"menu_category_id":99714,"name":"Annie Bag Stripes 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2801961,"ade_id":"DCW2026\/8262-4356","total":90,"date":"2026-05-20 16:06:28"}},"invoice":null,"email":null,"phone":null}}</t>
  </si>
  <si>
    <t>{"version":1,"type":"orders.update","auth":"Fgw5sp0ORTzn88ubSmN6ZqHEkRv8YCGw","business_id":11476,"order":{"order_id":11065217,"order_number_day":1,"order_link":"https:\/\/.qromo.it\/order\/?id=tq32oW_5EbpiL6GF6sKqzA--","total_items":90,"additional_costs":0,"grand_total":90,"fee":1.22,"payment_type":"stripe","order_mode":"counter","customer_name":null,"table_name":null,"paid":true,"status":"completed","email_present":false,"phone_present":false,"order_notes":null,"order_date":"2026-05-20 16:06:05","delivery_scheduled_date":null,"delivery_address":null,"takeaway_date":null,"made_by_customer":false,"uses_coupons":false,"coupons":[],"menu_items":[{"order_item_id":20803811,"menu_item_id":781914,"menu_category_id":99714,"name":"Annie Bag Stripes 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</si>
  <si>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These Qromo product names do NOT match any CODICE_AMIIMI in ACQUISTI: Annie Bag Stripes Pink | Valid CODICE_AMIIMI count: 89</t>
  </si>
  <si>
    <t>{"version":1,"type":"orders.new","auth":"Fgw5sp0ORTzn88ubSmN6ZqHEkRv8YCGw","business_id":11476,"order":{"order_id":11065217,"order_number_day":1,"order_link":"https:\/\/.qromo.it\/order\/?id=tq32oW_5EbpiL6GF6sKqzA--","total_items":90,"additional_costs":0,"grand_total":90,"fee":1.22,"payment_type":"stripe","order_mode":"counter","customer_name":null,"table_name":null,"paid":true,"status":"completed","email_present":false,"phone_present":false,"order_notes":null,"order_date":"2026-05-20 16:06:05","delivery_scheduled_date":null,"delivery_address":null,"takeaway_date":null,"made_by_customer":false,"uses_coupons":false,"coupons":[],"menu_items":[{"order_item_id":20803811,"menu_item_id":781914,"menu_category_id":99714,"name":"Annie Bag Stripes 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</si>
  <si>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11112220,"order_number_day":1,"order_link":"https:\/\/.qromo.it\/order\/?id=GxJi313A41ed.JWvPLxUBg--","total_items":120,"additional_costs":0,"grand_total":120,"fee":1.59,"payment_type":"stripe","order_mode":"counter","customer_name":null,"table_name":null,"paid":true,"status":"completed","email_present":false,"phone_present":false,"order_notes":null,"order_date":"2026-05-22 11:24:13","delivery_scheduled_date":null,"delivery_address":null,"takeaway_date":null,"made_by_customer":false,"uses_coupons":false,"coupons":[],"menu_items":[{"order_item_id":20889263,"menu_item_id":782308,"menu_category_id":105925,"name":"Lea_Bag_Cocco_Purple","sku":null,"price":120,"quantity":1,"note":null,"price_with_products":120,"total_value_in_order":120,"category_name":"LEA BAG COCCO","menu_name":"CATALOGO","menu_id":21350}],"menu_items_products":[],"date_last_edit":null,"sms_sent":false,"prebill_requested":false,"subtotal_delta":0,"tip":0,"receipt":{"fiscal_status":"fiscalized","type":"digital","data":{"business_receipt_id":2813435,"ade_id":"DCW2026\/8329-8654","total":120,"date":"2026-05-22 11:24:43"}},"invoice":null,"email":null,"phone":null}}</t>
  </si>
  <si>
    <t>{"version":1,"type":"orders.update","auth":"Fgw5sp0ORTzn88ubSmN6ZqHEkRv8YCGw","business_id":11476,"order":{"order_id":11112220,"order_number_day":1,"order_link":"https:\/\/.qromo.it\/order\/?id=GxJi313A41ed.JWvPLxUBg--","total_items":120,"additional_costs":0,"grand_total":120,"fee":1.59,"payment_type":"stripe","order_mode":"counter","customer_name":null,"table_name":null,"paid":true,"status":"completed","email_present":false,"phone_present":false,"order_notes":null,"order_date":"2026-05-22 11:24:13","delivery_scheduled_date":null,"delivery_address":null,"takeaway_date":null,"made_by_customer":false,"uses_coupons":false,"coupons":[],"menu_items":[{"order_item_id":20889263,"menu_item_id":782308,"menu_category_id":105925,"name":"Lea_Bag_Cocco_Purple","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</si>
  <si>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These Qromo product names do NOT match any CODICE_AMIIMI in ACQUISTI: Lea_Bag_Cocco_Purple | Valid CODICE_AMIIMI count: 2</t>
  </si>
  <si>
    <t>{"version":1,"type":"orders.new","auth":"Fgw5sp0ORTzn88ubSmN6ZqHEkRv8YCGw","business_id":11476,"order":{"order_id":11112220,"order_number_day":1,"order_link":"https:\/\/.qromo.it\/order\/?id=GxJi313A41ed.JWvPLxUBg--","total_items":120,"additional_costs":0,"grand_total":120,"fee":1.59,"payment_type":"stripe","order_mode":"counter","customer_name":null,"table_name":null,"paid":true,"status":"completed","email_present":false,"phone_present":false,"order_notes":null,"order_date":"2026-05-22 11:24:13","delivery_scheduled_date":null,"delivery_address":null,"takeaway_date":null,"made_by_customer":false,"uses_coupons":false,"coupons":[],"menu_items":[{"order_item_id":20889263,"menu_item_id":782308,"menu_category_id":105925,"name":"Lea_Bag_Cocco_Purple","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</si>
  <si>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11117651,"order_number_day":2,"order_link":"https:\/\/.qromo.it\/order\/?id=1SXJ8LodSLQUrYaMqL.YNQ--","total_items":80,"additional_costs":0,"grand_total":80,"fee":1.1,"payment_type":"stripe","order_mode":"counter","customer_name":null,"table_name":null,"paid":true,"status":"completed","email_present":false,"phone_present":false,"order_notes":null,"order_date":"2026-05-22 15:52:40","delivery_scheduled_date":null,"delivery_address":null,"takeaway_date":null,"made_by_customer":false,"uses_coupons":false,"coupons":[],"menu_items":[{"order_item_id":20898868,"menu_item_id":740087,"menu_category_id":100636,"name":"Agata_Bag_Floral_Bordeaux_Embroidery","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</si>
  <si>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11117651,"order_number_day":2,"order_link":"https:\/\/.qromo.it\/order\/?id=1SXJ8LodSLQUrYaMqL.YNQ--","total_items":80,"additional_costs":0,"grand_total":80,"fee":1.1,"payment_type":"stripe","order_mode":"counter","customer_name":null,"table_name":null,"paid":true,"status":"completed","email_present":false,"phone_present":false,"order_notes":null,"order_date":"2026-05-22 15:52:40","delivery_scheduled_date":null,"delivery_address":null,"takeaway_date":null,"made_by_customer":false,"uses_coupons":false,"coupons":[],"menu_items":[{"order_item_id":20898868,"menu_item_id":740087,"menu_category_id":100636,"name":"Agata_Bag_Floral_Bordeaux_Embroidery","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2814648,"ade_id":"DCW2026\/8341-6721","total":80,"date":"2026-05-22 15:52:58"}},"invoice":null,"email":null,"phone":null}}</t>
  </si>
  <si>
    <t>These Qromo product names do NOT match any CODICE_AMIIMI in ACQUISTI: Agata_Bag_Floral_Bordeaux_Embroidery | Valid CODICE_AMIIMI count: 2</t>
  </si>
  <si>
    <t>{"version":1,"type":"orders.new","auth":"Fgw5sp0ORTzn88ubSmN6ZqHEkRv8YCGw","business_id":11476,"order":{"order_id":11117651,"order_number_day":2,"order_link":"https:\/\/.qromo.it\/order\/?id=1SXJ8LodSLQUrYaMqL.YNQ--","total_items":80,"additional_costs":0,"grand_total":80,"fee":1.1,"payment_type":"stripe","order_mode":"counter","customer_name":null,"table_name":null,"paid":true,"status":"completed","email_present":false,"phone_present":false,"order_notes":null,"order_date":"2026-05-22 15:52:40","delivery_scheduled_date":null,"delivery_address":null,"takeaway_date":null,"made_by_customer":false,"uses_coupons":false,"coupons":[],"menu_items":[{"order_item_id":20898868,"menu_item_id":740087,"menu_category_id":100636,"name":"Agata_Bag_Floral_Bordeaux_Embroidery","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</si>
  <si>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11118730,"order_number_day":5,"order_link":"https:\/\/.qromo.it\/order\/?id=J1skl6kWb55N0mNElYPWWw--","total_items":90,"additional_costs":0,"grand_total":90,"fee":1.22,"payment_type":"stripe","order_mode":"counter","customer_name":null,"table_name":null,"paid":true,"status":"completed","email_present":false,"phone_present":false,"order_notes":null,"order_date":"2026-05-22 16:27:29","delivery_scheduled_date":null,"delivery_address":null,"takeaway_date":null,"made_by_customer":false,"uses_coupons":false,"coupons":[],"menu_items":[{"order_item_id":20900566,"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</si>
  <si>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11118730,"order_number_day":5,"order_link":"https:\/\/.qromo.it\/order\/?id=J1skl6kWb55N0mNElYPWWw--","total_items":90,"additional_costs":0,"grand_total":90,"fee":1.22,"payment_type":"stripe","order_mode":"counter","customer_name":null,"table_name":null,"paid":true,"status":"completed","email_present":false,"phone_present":false,"order_notes":null,"order_date":"2026-05-22 16:27:29","delivery_scheduled_date":null,"delivery_address":null,"takeaway_date":null,"made_by_customer":false,"uses_coupons":false,"coupons":[],"menu_items":[{"order_item_id":20900566,"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2814969,"ade_id":"DCW2026\/8343-4963","total":90,"date":"2026-05-22 16:27:41"}},"invoice":null,"email":null,"phone":null}}</t>
  </si>
  <si>
    <t>These Qromo product names do NOT match any CODICE_AMIIMI in ACQUISTI: Annie_Bag_Paillettes_Turquoise | Valid CODICE_AMIIMI count: 2</t>
  </si>
  <si>
    <t>{"version":1,"type":"orders.new","auth":"Fgw5sp0ORTzn88ubSmN6ZqHEkRv8YCGw","business_id":11476,"order":{"order_id":11118730,"order_number_day":5,"order_link":"https:\/\/.qromo.it\/order\/?id=J1skl6kWb55N0mNElYPWWw--","total_items":90,"additional_costs":0,"grand_total":90,"fee":1.22,"payment_type":"stripe","order_mode":"counter","customer_name":null,"table_name":null,"paid":true,"status":"completed","email_present":false,"phone_present":false,"order_notes":null,"order_date":"2026-05-22 16:27:29","delivery_scheduled_date":null,"delivery_address":null,"takeaway_date":null,"made_by_customer":false,"uses_coupons":false,"coupons":[],"menu_items":[{"order_item_id":20900566,"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</si>
  <si>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11119615,"order_number_day":6,"order_link":"https:\/\/.qromo.it\/order\/?id=uDmMKATMKsnLaYlDJ4nQRw--","total_items":90,"additional_costs":0,"grand_total":90,"fee":1.22,"payment_type":"stripe","order_mode":"counter","customer_name":null,"table_name":null,"paid":true,"status":"completed","email_present":false,"phone_present":false,"order_notes":null,"order_date":"2026-05-22 16:46:34","delivery_scheduled_date":null,"delivery_address":null,"takeaway_date":null,"made_by_customer":false,"uses_coupons":false,"coupons":[],"menu_items":[{"order_item_id":20902083,"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</si>
  <si>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11119615,"order_number_day":6,"order_link":"https:\/\/.qromo.it\/order\/?id=uDmMKATMKsnLaYlDJ4nQRw--","total_items":90,"additional_costs":0,"grand_total":90,"fee":1.22,"payment_type":"stripe","order_mode":"counter","customer_name":null,"table_name":null,"paid":true,"status":"completed","email_present":false,"phone_present":false,"order_notes":null,"order_date":"2026-05-22 16:46:34","delivery_scheduled_date":null,"delivery_address":null,"takeaway_date":null,"made_by_customer":false,"uses_coupons":false,"coupons":[],"menu_items":[{"order_item_id":20902083,"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2815302,"ade_id":"DCW2026\/8344-5433","total":90,"date":"2026-05-22 16:46:51"}},"invoice":null,"email":null,"phone":null}}</t>
  </si>
  <si>
    <t>{"version":1,"type":"orders.new","auth":"Fgw5sp0ORTzn88ubSmN6ZqHEkRv8YCGw","business_id":11476,"order":{"order_id":11119615,"order_number_day":6,"order_link":"https:\/\/.qromo.it\/order\/?id=uDmMKATMKsnLaYlDJ4nQRw--","total_items":90,"additional_costs":0,"grand_total":90,"fee":1.22,"payment_type":"stripe","order_mode":"counter","customer_name":null,"table_name":null,"paid":true,"status":"completed","email_present":false,"phone_present":false,"order_notes":null,"order_date":"2026-05-22 16:46:34","delivery_scheduled_date":null,"delivery_address":null,"takeaway_date":null,"made_by_customer":false,"uses_coupons":false,"coupons":[],"menu_items":[{"order_item_id":20902083,"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</si>
  <si>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11119679,"order_number_day":7,"order_link":"https:\/\/.qromo.it\/order\/?id=xt7ZvSsY9pCYnl7ka7LEPg--","total_items":150,"additional_costs":0,"grand_total":150,"fee":1.95,"payment_type":"stripe","order_mode":"counter","customer_name":null,"table_name":null,"paid":true,"status":"completed","email_present":false,"phone_present":false,"order_notes":null,"order_date":"2026-05-22 16:47:40","delivery_scheduled_date":null,"delivery_address":null,"takeaway_date":null,"made_by_customer":false,"uses_coupons":false,"coupons":[],"menu_items":[{"order_item_id":20902198,"menu_item_id":702794,"menu_category_id":96044,"name":"Lea_Bag_Zebra_Dark","sku":null,"price":150,"quantity":1,"note":null,"price_with_products":150,"total_value_in_order":150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</si>
  <si>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11119679,"order_number_day":7,"order_link":"https:\/\/.qromo.it\/order\/?id=xt7ZvSsY9pCYnl7ka7LEPg--","total_items":150,"additional_costs":0,"grand_total":150,"fee":1.95,"payment_type":"stripe","order_mode":"counter","customer_name":null,"table_name":null,"paid":true,"status":"completed","email_present":false,"phone_present":false,"order_notes":null,"order_date":"2026-05-22 16:47:40","delivery_scheduled_date":null,"delivery_address":null,"takeaway_date":null,"made_by_customer":false,"uses_coupons":false,"coupons":[],"menu_items":[{"order_item_id":20902198,"menu_item_id":702794,"menu_category_id":96044,"name":"Lea_Bag_Zebra_Dark","sku":null,"price":150,"quantity":1,"note":null,"price_with_products":150,"total_value_in_order":150,"category_name":"LEA BAG CAMOSCIO","menu_name":"CATALOGO","menu_id":21350}],"menu_items_products":[],"date_last_edit":null,"sms_sent":false,"prebill_requested":false,"subtotal_delta":0,"tip":0,"receipt":{"fiscal_status":"fiscalized","type":"digital","data":{"business_receipt_id":2815329,"ade_id":"DCW2026\/8344-5987","total":150,"date":"2026-05-22 16:47:48"}},"invoice":null,"email":null,"phone":null}}</t>
  </si>
  <si>
    <t>These Qromo product names do NOT match any CODICE_AMIIMI in ACQUISTI: Lea_Bag_Zebra_Dark | Valid CODICE_AMIIMI count: 2</t>
  </si>
  <si>
    <t>{"version":1,"type":"orders.new","auth":"Fgw5sp0ORTzn88ubSmN6ZqHEkRv8YCGw","business_id":11476,"order":{"order_id":11119679,"order_number_day":7,"order_link":"https:\/\/.qromo.it\/order\/?id=xt7ZvSsY9pCYnl7ka7LEPg--","total_items":150,"additional_costs":0,"grand_total":150,"fee":1.95,"payment_type":"stripe","order_mode":"counter","customer_name":null,"table_name":null,"paid":true,"status":"completed","email_present":false,"phone_present":false,"order_notes":null,"order_date":"2026-05-22 16:47:40","delivery_scheduled_date":null,"delivery_address":null,"takeaway_date":null,"made_by_customer":false,"uses_coupons":false,"coupons":[],"menu_items":[{"order_item_id":20902198,"menu_item_id":702794,"menu_category_id":96044,"name":"Lea_Bag_Zebra_Dark","sku":null,"price":150,"quantity":1,"note":null,"price_with_products":150,"total_value_in_order":150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</si>
  <si>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11162147,"order_number_day":2,"order_link":"https:\/\/.qromo.it\/order\/?id=q28OYo0cd5avzm.Y4VS3WA--","total_items":80,"additional_costs":-10,"grand_total":70,"fee":0.98,"payment_type":"stripe","order_mode":"counter","customer_name":null,"table_name":null,"paid":true,"status":"completed","email_present":false,"phone_present":false,"order_notes":null,"order_date":"2026-05-23 11:34:24","delivery_scheduled_date":null,"delivery_address":null,"takeaway_date":null,"made_by_customer":false,"uses_coupons":false,"coupons":[],"menu_items":[{"order_item_id":20980598,"menu_item_id":746662,"menu_category_id":99714,"name":"Annie_Bag_Paillettes_Pink","sku":null,"price":80,"quantity":1,"note":null,"price_with_products":80,"total_value_in_order":70,"category_name":"ANNIE BAG ","menu_name":"CATALOGO","menu_id":21350}],"menu_items_products":[],"date_last_edit":null,"sms_sent":false,"prebill_requested":false,"subtotal_delta":-10,"tip":0,"receipt":{"fiscal_status":"not_requested","type":null,"data":null},"invoice":null,"email":null,"phone":null}}</t>
  </si>
  <si>
    <t>These Qromo product names do NOT match any CODICE_AMIIMI in ACQUISTI: Annie_Bag_Paillettes_Pink | Valid CODICE_AMIIMI count: 89</t>
  </si>
  <si>
    <t>{"version":1,"type":"orders.update","auth":"Fgw5sp0ORTzn88ubSmN6ZqHEkRv8YCGw","business_id":11476,"order":{"order_id":11162147,"order_number_day":2,"order_link":"https:\/\/.qromo.it\/order\/?id=q28OYo0cd5avzm.Y4VS3WA--","total_items":80,"additional_costs":-10,"grand_total":70,"fee":0.98,"payment_type":"stripe","order_mode":"counter","customer_name":null,"table_name":null,"paid":true,"status":"completed","email_present":false,"phone_present":false,"order_notes":null,"order_date":"2026-05-23 11:34:24","delivery_scheduled_date":null,"delivery_address":null,"takeaway_date":null,"made_by_customer":false,"uses_coupons":false,"coupons":[],"menu_items":[{"order_item_id":20980598,"menu_item_id":746662,"menu_category_id":99714,"name":"Annie_Bag_Paillettes_Pink","sku":null,"price":80,"quantity":1,"note":null,"price_with_products":80,"total_value_in_order":70,"category_name":"ANNIE BAG ","menu_name":"CATALOGO","menu_id":21350}],"menu_items_products":[],"date_last_edit":null,"sms_sent":false,"prebill_requested":false,"subtotal_delta":-10,"tip":0,"receipt":{"fiscal_status":"fiscalized","type":"digital","data":{"business_receipt_id":2834361,"ade_id":"DCW2026\/8383-6843","total":70,"date":"2026-05-23 11:34:44"}},"invoice":null,"email":null,"phone":null}}</t>
  </si>
  <si>
    <t>{"version":1,"type":"orders.new","auth":"Fgw5sp0ORTzn88ubSmN6ZqHEkRv8YCGw","business_id":11476,"order":{"order_id":11162147,"order_number_day":2,"order_link":"https:\/\/.qromo.it\/order\/?id=q28OYo0cd5avzm.Y4VS3WA--","total_items":80,"additional_costs":-10,"grand_total":70,"fee":0.98,"payment_type":"stripe","order_mode":"counter","customer_name":null,"table_name":null,"paid":true,"status":"completed","email_present":false,"phone_present":false,"order_notes":null,"order_date":"2026-05-23 11:34:24","delivery_scheduled_date":null,"delivery_address":null,"takeaway_date":null,"made_by_customer":false,"uses_coupons":false,"coupons":[],"menu_items":[{"order_item_id":20980598,"menu_item_id":746662,"menu_category_id":99714,"name":"Annie_Bag_Paillettes_Pink","sku":null,"price":80,"quantity":1,"note":null,"price_with_products":80,"total_value_in_order":70,"category_name":"ANNIE BAG ","menu_name":"CATALOGO","menu_id":21350}],"menu_items_products":[],"date_last_edit":null,"sms_sent":false,"prebill_requested":false,"subtotal_delta":-10,"tip":0,"receipt":{"fiscal_status":"not_requested","type":null,"data":null},"invoice":null,"email":null,"phone":null}}</t>
  </si>
  <si>
    <t>{"version":1,"type":"orders.update","auth":"Fgw5sp0ORTzn88ubSmN6ZqHEkRv8YCGw","business_id":11476,"order":{"order_id":11163746,"order_number_day":3,"order_link":"https:\/\/.qromo.it\/order\/?id=udW8H6ImGXIk53W7qIg7Hw--","total_items":100,"additional_costs":0,"grand_total":100,"fee":1.34,"payment_type":"stripe","order_mode":"counter","customer_name":null,"table_name":null,"paid":true,"status":"completed","email_present":false,"phone_present":false,"order_notes":null,"order_date":"2026-05-23 12:05:57","delivery_scheduled_date":null,"delivery_address":null,"takeaway_date":null,"made_by_customer":false,"uses_coupons":false,"coupons":[],"menu_items":[{"order_item_id":20984305,"menu_item_id":784120,"menu_category_id":106150,"name":"Nina_Bag_Petrol_Blue","sku":null,"price":50,"quantity":1,"note":null,"price_with_products":50,"total_value_in_order":50,"category_name":"NINA BAG","menu_name":"CATALOGO","menu_id":21350},{"order_item_id":20984306,"menu_item_id":784121,"menu_category_id":106150,"name":"Nina_Bag_Orange","sku":null,"price":50,"quantity":1,"note":null,"price_with_products":50,"total_value_in_order":50,"category_name":"NINA BAG","menu_name":"CATALOGO","menu_id":21350}],"menu_items_products":[],"date_last_edit":null,"sms_sent":false,"prebill_requested":false,"subtotal_delta":0,"tip":0,"receipt":{"fiscal_status":"fiscalized","type":"digital","data":{"business_receipt_id":2835076,"ade_id":"DCW2026\/8385-1538","total":100,"date":"2026-05-23 12:06:07"}},"invoice":null,"email":null,"phone":null}}</t>
  </si>
  <si>
    <t>{"version":1,"type":"orders.update","auth":"Fgw5sp0ORTzn88ubSmN6ZqHEkRv8YCGw","business_id":11476,"order":{"order_id":11163746,"order_number_day":3,"order_link":"https:\/\/.qromo.it\/order\/?id=udW8H6ImGXIk53W7qIg7Hw--","total_items":100,"additional_costs":0,"grand_total":100,"fee":1.34,"payment_type":"stripe","order_mode":"counter","customer_name":null,"table_name":null,"paid":true,"status":"completed","email_present":false,"phone_present":false,"order_notes":null,"order_date":"2026-05-23 12:05:57","delivery_scheduled_date":null,"delivery_address":null,"takeaway_date":null,"made_by_customer":false,"uses_coupons":false,"coupons":[],"menu_items":[{"order_item_id":20984305,"menu_item_id":784120,"menu_category_id":106150,"name":"Nina_Bag_Petrol_Blue","sku":null,"price":50,"quantity":1,"note":null,"price_with_products":50,"total_value_in_order":50,"category_name":"NINA BAG","menu_name":"CATALOGO","menu_id":21350},{"order_item_id":20984306,"menu_item_id":784121,"menu_category_id":106150,"name":"Nina_Bag_Orange","sku":null,"price":50,"quantity":1,"note":null,"price_with_products":50,"total_value_in_order":50,"category_name":"NINA BAG","menu_name":"CATALOGO","menu_id":21350}],"menu_items_products":[],"date_last_edit":null,"sms_sent":false,"prebill_requested":false,"subtotal_delta":0,"tip":0,"receipt":{"fiscal_status":"not_requested","type":null,"data":null},"invoice":null,"email":null,"phone":null}}</t>
  </si>
  <si>
    <t>These Qromo product names do NOT match any CODICE_AMIIMI in ACQUISTI: Nina_Bag_Petrol_Blue, Nina_Bag_Orange | Valid CODICE_AMIIMI count: 89</t>
  </si>
  <si>
    <t>{"version":1,"type":"orders.new","auth":"Fgw5sp0ORTzn88ubSmN6ZqHEkRv8YCGw","business_id":11476,"order":{"order_id":11163746,"order_number_day":3,"order_link":"https:\/\/.qromo.it\/order\/?id=udW8H6ImGXIk53W7qIg7Hw--","total_items":100,"additional_costs":0,"grand_total":100,"fee":1.34,"payment_type":"stripe","order_mode":"counter","customer_name":null,"table_name":null,"paid":true,"status":"completed","email_present":false,"phone_present":false,"order_notes":null,"order_date":"2026-05-23 12:05:57","delivery_scheduled_date":null,"delivery_address":null,"takeaway_date":null,"made_by_customer":false,"uses_coupons":false,"coupons":[],"menu_items":[{"order_item_id":20984305,"menu_item_id":784120,"menu_category_id":106150,"name":"Nina_Bag_Petrol_Blue","sku":null,"price":50,"quantity":1,"note":null,"price_with_products":50,"total_value_in_order":50,"category_name":"NINA BAG","menu_name":"CATALOGO","menu_id":21350},{"order_item_id":20984306,"menu_item_id":784121,"menu_category_id":106150,"name":"Nina_Bag_Orange","sku":null,"price":50,"quantity":1,"note":null,"price_with_products":50,"total_value_in_order":50,"category_name":"NINA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</si>
  <si>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11167980,"order_number_day":5,"order_link":"https:\/\/.qromo.it\/order\/?id=tWEKKvDdYQeMqClZPxtYwQ--","total_items":50,"additional_costs":0,"grand_total":50,"fee":0.73,"payment_type":"stripe","order_mode":"counter","customer_name":null,"table_name":null,"paid":true,"status":"completed","email_present":false,"phone_present":false,"order_notes":null,"order_date":"2026-05-23 14:35:56","delivery_scheduled_date":null,"delivery_address":null,"takeaway_date":null,"made_by_customer":false,"uses_coupons":false,"coupons":[],"menu_items":[{"order_item_id":20992259,"menu_item_id":784220,"menu_category_id":106150,"name":"Nina_Bag_Light_Blue","sku":null,"price":50,"quantity":1,"note":null,"price_with_products":50,"total_value_in_order":50,"category_name":"N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</si>
  <si>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11167980,"order_number_day":5,"order_link":"https:\/\/.qromo.it\/order\/?id=tWEKKvDdYQeMqClZPxtYwQ--","total_items":50,"additional_costs":0,"grand_total":50,"fee":0.73,"payment_type":"stripe","order_mode":"counter","customer_name":null,"table_name":null,"paid":true,"status":"completed","email_present":false,"phone_present":false,"order_notes":null,"order_date":"2026-05-23 14:35:56","delivery_scheduled_date":null,"delivery_address":null,"takeaway_date":null,"made_by_customer":false,"uses_coupons":false,"coupons":[],"menu_items":[{"order_item_id":20992259,"menu_item_id":784220,"menu_category_id":106150,"name":"Nina_Bag_Light_Blue","sku":null,"price":50,"quantity":1,"note":null,"price_with_products":50,"total_value_in_order":50,"category_name":"NINA BAG","menu_name":"CATALOGO","menu_id":21350}],"menu_items_products":[],"date_last_edit":null,"sms_sent":false,"prebill_requested":false,"subtotal_delta":0,"tip":0,"receipt":{"fiscal_status":"fiscalized","type":"digital","data":{"business_receipt_id":2836642,"ade_id":"DCW2026\/8391-8928","total":50,"date":"2026-05-23 14:36:10"}},"invoice":null,"email":null,"phone":null}}</t>
  </si>
  <si>
    <t>These Qromo product names do NOT match any CODICE_AMIIMI in ACQUISTI: Nina_Bag_Light_Blue | Valid CODICE_AMIIMI count: 89</t>
  </si>
  <si>
    <t>{"version":1,"type":"orders.new","auth":"Fgw5sp0ORTzn88ubSmN6ZqHEkRv8YCGw","business_id":11476,"order":{"order_id":11167980,"order_number_day":5,"order_link":"https:\/\/.qromo.it\/order\/?id=tWEKKvDdYQeMqClZPxtYwQ--","total_items":50,"additional_costs":0,"grand_total":50,"fee":0.73,"payment_type":"stripe","order_mode":"counter","customer_name":null,"table_name":null,"paid":true,"status":"completed","email_present":false,"phone_present":false,"order_notes":null,"order_date":"2026-05-23 14:35:56","delivery_scheduled_date":null,"delivery_address":null,"takeaway_date":null,"made_by_customer":false,"uses_coupons":false,"coupons":[],"menu_items":[{"order_item_id":20992259,"menu_item_id":784220,"menu_category_id":106150,"name":"Nina_Bag_Light_Blue","sku":null,"price":50,"quantity":1,"note":null,"price_with_products":50,"total_value_in_order":50,"category_name":"N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</si>
  <si>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11168335,"order_number_day":8,"order_link":"https:\/\/.qromo.it\/order\/?id=60uNONTkIStCgozQ4nm4MA--","total_items":90,"additional_costs":0,"grand_total":90,"fee":1.22,"payment_type":"stripe","order_mode":"counter","customer_name":null,"table_name":null,"paid":true,"status":"completed","email_present":false,"phone_present":false,"order_notes":null,"order_date":"2026-05-23 14:47:55","delivery_scheduled_date":null,"delivery_address":null,"takeaway_date":null,"made_by_customer":false,"uses_coupons":false,"coupons":[],"menu_items":[{"order_item_id":20992813,"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2836764,"ade_id":"DCW2026\/8392-4931","total":90,"date":"2026-05-23 14:48:37"}},"invoice":null,"email":null,"phone":null}}</t>
  </si>
  <si>
    <t>{"version":1,"type":"orders.update","auth":"Fgw5sp0ORTzn88ubSmN6ZqHEkRv8YCGw","business_id":11476,"order":{"order_id":11168335,"order_number_day":8,"order_link":"https:\/\/.qromo.it\/order\/?id=60uNONTkIStCgozQ4nm4MA--","total_items":90,"additional_costs":0,"grand_total":90,"fee":1.22,"payment_type":"stripe","order_mode":"counter","customer_name":null,"table_name":null,"paid":true,"status":"completed","email_present":false,"phone_present":false,"order_notes":null,"order_date":"2026-05-23 14:47:55","delivery_scheduled_date":null,"delivery_address":null,"takeaway_date":null,"made_by_customer":false,"uses_coupons":false,"coupons":[],"menu_items":[{"order_item_id":20992813,"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</si>
  <si>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These Qromo product names do NOT match any CODICE_AMIIMI in ACQUISTI: Annie_Bag_Paillettes_Turquoise | Valid CODICE_AMIIMI count: 89</t>
  </si>
  <si>
    <t>{"version":1,"type":"orders.new","auth":"Fgw5sp0ORTzn88ubSmN6ZqHEkRv8YCGw","business_id":11476,"order":{"order_id":11168335,"order_number_day":8,"order_link":"https:\/\/.qromo.it\/order\/?id=60uNONTkIStCgozQ4nm4MA--","total_items":90,"additional_costs":0,"grand_total":90,"fee":1.22,"payment_type":"stripe","order_mode":"counter","customer_name":null,"table_name":null,"paid":true,"status":"completed","email_present":false,"phone_present":false,"order_notes":null,"order_date":"2026-05-23 14:47:55","delivery_scheduled_date":null,"delivery_address":null,"takeaway_date":null,"made_by_customer":false,"uses_coupons":false,"coupons":[],"menu_items":[{"order_item_id":20992813,"menu_item_id":733275,"menu_category_id":99714,"name":"Annie_Bag_Paillettes_Turquois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</si>
  <si>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11169994,"order_number_day":9,"order_link":"https:\/\/.qromo.it\/order\/?id=CsxYUVUMbwhBqaY2TLBbTw--","total_items":170,"additional_costs":0,"grand_total":170,"fee":2.2,"payment_type":"stripe","order_mode":"counter","customer_name":null,"table_name":null,"paid":true,"status":"completed","email_present":false,"phone_present":false,"order_notes":null,"order_date":"2026-05-23 15:33:58","delivery_scheduled_date":null,"delivery_address":null,"takeaway_date":null,"made_by_customer":false,"uses_coupons":false,"coupons":[],"menu_items":[{"order_item_id":20995467,"menu_item_id":782321,"menu_category_id":96058,"name":"Lea_Bag_Maxi_Cocco_Chocolate","sku":null,"price":170,"quantity":1,"note":null,"price_with_products":170,"total_value_in_order":170,"category_name":"LEA BAG MAXI","menu_name":"CATALOGO","menu_id":21350}],"menu_items_products":[],"date_last_edit":null,"sms_sent":false,"prebill_requested":false,"subtotal_delta":0,"tip":0,"receipt":{"fiscal_status":"not_requested","type":null,"data":null},"invoice":null,"email":null,"phone":null}}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</si>
  <si>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11169994,"order_number_day":9,"order_link":"https:\/\/.qromo.it\/order\/?id=CsxYUVUMbwhBqaY2TLBbTw--","total_items":170,"additional_costs":0,"grand_total":170,"fee":2.2,"payment_type":"stripe","order_mode":"counter","customer_name":null,"table_name":null,"paid":true,"status":"completed","email_present":false,"phone_present":false,"order_notes":null,"order_date":"2026-05-23 15:33:58","delivery_scheduled_date":null,"delivery_address":null,"takeaway_date":null,"made_by_customer":false,"uses_coupons":false,"coupons":[],"menu_items":[{"order_item_id":20995467,"menu_item_id":782321,"menu_category_id":96058,"name":"Lea_Bag_Maxi_Cocco_Chocolate","sku":null,"price":170,"quantity":1,"note":null,"price_with_products":170,"total_value_in_order":170,"category_name":"LEA BAG MAXI","menu_name":"CATALOGO","menu_id":21350}],"menu_items_products":[],"date_last_edit":null,"sms_sent":false,"prebill_requested":false,"subtotal_delta":0,"tip":0,"receipt":{"fiscal_status":"fiscalized","type":"digital","data":{"business_receipt_id":2837400,"ade_id":"DCW2026\/8394-8046","total":170,"date":"2026-05-23 15:34:16"}},"invoice":null,"email":null,"phone":null}}</t>
  </si>
  <si>
    <t>These Qromo product names do NOT match any CODICE_AMIIMI in ACQUISTI: Lea_Bag_Maxi_Cocco_Chocolate | Valid CODICE_AMIIMI count: 89</t>
  </si>
  <si>
    <t>{"version":1,"type":"orders.new","auth":"Fgw5sp0ORTzn88ubSmN6ZqHEkRv8YCGw","business_id":11476,"order":{"order_id":11169994,"order_number_day":9,"order_link":"https:\/\/.qromo.it\/order\/?id=CsxYUVUMbwhBqaY2TLBbTw--","total_items":170,"additional_costs":0,"grand_total":170,"fee":2.2,"payment_type":"stripe","order_mode":"counter","customer_name":null,"table_name":null,"paid":true,"status":"completed","email_present":false,"phone_present":false,"order_notes":null,"order_date":"2026-05-23 15:33:58","delivery_scheduled_date":null,"delivery_address":null,"takeaway_date":null,"made_by_customer":false,"uses_coupons":false,"coupons":[],"menu_items":[{"order_item_id":20995467,"menu_item_id":782321,"menu_category_id":96058,"name":"Lea_Bag_Maxi_Cocco_Chocolate","sku":null,"price":170,"quantity":1,"note":null,"price_with_products":170,"total_value_in_order":170,"category_name":"LEA BAG MAXI","menu_name":"CATALOGO","menu_id":21350}],"menu_items_products":[],"date_last_edit":null,"sms_sent":false,"prebill_requested":false,"subtotal_delta":0,"tip":0,"receipt":{"fiscal_status":"not_requested","type":null,"data":null},"invoice":null,"email":null,"phone":null}}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</si>
  <si>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11172786,"order_number_day":10,"order_link":"https:\/\/.qromo.it\/order\/?id=oQNCy030u0.G7oAKz7526g--","total_items":65,"additional_costs":-6.5,"grand_total":58.5,"fee":0.84,"payment_type":"stripe","order_mode":"counter","customer_name":null,"table_name":null,"paid":true,"status":"completed","email_present":false,"phone_present":false,"order_notes":null,"order_date":"2026-05-23 16:26:56","delivery_scheduled_date":null,"delivery_address":null,"takeaway_date":null,"made_by_customer":false,"uses_coupons":false,"coupons":[],"menu_items":[{"order_item_id":20999959,"menu_item_id":784258,"menu_category_id":106151,"name":"Nina_Bag_Maxi_Blue_Ocean","sku":null,"price":65,"quantity":1,"note":null,"price_with_products":65,"total_value_in_order":58.5,"category_name":"NINA BAG MAXI","menu_name":"CATALOGO","menu_id":21350}],"menu_items_products":[],"date_last_edit":null,"sms_sent":false,"prebill_requested":false,"subtotal_delta":-6.5,"tip":0,"receipt":{"fiscal_status":"not_requested","type":null,"data":null},"invoice":null,"email":null,"phone":null}}</t>
  </si>
  <si>
    <t>{"version":1,"type":"orders.update","auth":"Fgw5sp0ORTzn88ubSmN6ZqHEkRv8YCGw","business_id":11476,"order":{"order_id":11172786,"order_number_day":10,"order_link":"https:\/\/.qromo.it\/order\/?id=oQNCy030u0.G7oAKz7526g--","total_items":65,"additional_costs":-6.5,"grand_total":58.5,"fee":0.84,"payment_type":"stripe","order_mode":"counter","customer_name":null,"table_name":null,"paid":true,"status":"completed","email_present":false,"phone_present":false,"order_notes":null,"order_date":"2026-05-23 16:26:56","delivery_scheduled_date":null,"delivery_address":null,"takeaway_date":null,"made_by_customer":false,"uses_coupons":false,"coupons":[],"menu_items":[{"order_item_id":20999959,"menu_item_id":784258,"menu_category_id":106151,"name":"Nina_Bag_Maxi_Blue_Ocean","sku":null,"price":65,"quantity":1,"note":null,"price_with_products":65,"total_value_in_order":58.5,"category_name":"NINA BAG MAXI","menu_name":"CATALOGO","menu_id":21350}],"menu_items_products":[],"date_last_edit":null,"sms_sent":false,"prebill_requested":false,"subtotal_delta":-6.5,"tip":0,"receipt":{"fiscal_status":"fiscalized","type":"digital","data":{"business_receipt_id":2838794,"ade_id":"DCW2026\/8397-7236","total":58.5,"date":"2026-05-23 16:27:14"}},"invoice":null,"email":null,"phone":null}}</t>
  </si>
  <si>
    <t>These Qromo product names do NOT match any CODICE_AMIIMI in ACQUISTI: Nina_Bag_Maxi_Blue_Ocean | Valid CODICE_AMIIMI count: 89</t>
  </si>
  <si>
    <t>{"version":1,"type":"orders.new","auth":"Fgw5sp0ORTzn88ubSmN6ZqHEkRv8YCGw","business_id":11476,"order":{"order_id":11172786,"order_number_day":10,"order_link":"https:\/\/.qromo.it\/order\/?id=oQNCy030u0.G7oAKz7526g--","total_items":65,"additional_costs":-6.5,"grand_total":58.5,"fee":0.84,"payment_type":"stripe","order_mode":"counter","customer_name":null,"table_name":null,"paid":true,"status":"completed","email_present":false,"phone_present":false,"order_notes":null,"order_date":"2026-05-23 16:26:56","delivery_scheduled_date":null,"delivery_address":null,"takeaway_date":null,"made_by_customer":false,"uses_coupons":false,"coupons":[],"menu_items":[{"order_item_id":20999959,"menu_item_id":784258,"menu_category_id":106151,"name":"Nina_Bag_Maxi_Blue_Ocean","sku":null,"price":65,"quantity":1,"note":null,"price_with_products":65,"total_value_in_order":58.5,"category_name":"NINA BAG MAXI","menu_name":"CATALOGO","menu_id":21350}],"menu_items_products":[],"date_last_edit":null,"sms_sent":false,"prebill_requested":false,"subtotal_delta":-6.5,"tip":0,"receipt":{"fiscal_status":"not_requested","type":null,"data":null},"invoice":null,"email":null,"phone":null}}</t>
  </si>
  <si>
    <t>{"version":1,"type":"orders.update","auth":"Fgw5sp0ORTzn88ubSmN6ZqHEkRv8YCGw","business_id":11476,"order":{"order_id":11173486,"order_number_day":11,"order_link":"https:\/\/.qromo.it\/order\/?id=dfuHO.GRDwmxUVT.o_t29Q--","total_items":170,"additional_costs":-17,"grand_total":153,"fee":1.99,"payment_type":"stripe","order_mode":"counter","customer_name":null,"table_name":null,"paid":true,"status":"completed","email_present":false,"phone_present":false,"order_notes":null,"order_date":"2026-05-23 16:36:29","delivery_scheduled_date":null,"delivery_address":null,"takeaway_date":null,"made_by_customer":false,"uses_coupons":false,"coupons":[],"menu_items":[{"order_item_id":21001152,"menu_item_id":740088,"menu_category_id":100636,"name":"Agata_Bag_Floral_Dusty_Pink_Embroidery","sku":null,"price":80,"quantity":1,"note":null,"price_with_products":80,"total_value_in_order":72,"category_name":"AGATA BAG","menu_name":"CATALOGO","menu_id":21350},{"order_item_id":21001153,"menu_item_id":733275,"menu_category_id":99714,"name":"Annie_Bag_Paillettes_Turquoise","sku":null,"price":90,"quantity":1,"note":null,"price_with_products":90,"total_value_in_order":81,"category_name":"ANNIE BAG ","menu_name":"CATALOGO","menu_id":21350}],"menu_items_products":[],"date_last_edit":null,"sms_sent":false,"prebill_requested":false,"subtotal_delta":-17,"tip":0,"receipt":{"fiscal_status":"fiscalized","type":"digital","data":{"business_receipt_id":2839167,"ade_id":"DCW2026\/8398-2094","total":153,"date":"2026-05-23 16:36:55"}},"invoice":null,"email":null,"phone":null}}</t>
  </si>
  <si>
    <t>{"version":1,"type":"orders.update","auth":"Fgw5sp0ORTzn88ubSmN6ZqHEkRv8YCGw","business_id":11476,"order":{"order_id":11173486,"order_number_day":11,"order_link":"https:\/\/.qromo.it\/order\/?id=dfuHO.GRDwmxUVT.o_t29Q--","total_items":170,"additional_costs":-17,"grand_total":153,"fee":1.99,"payment_type":"stripe","order_mode":"counter","customer_name":null,"table_name":null,"paid":true,"status":"completed","email_present":false,"phone_present":false,"order_notes":null,"order_date":"2026-05-23 16:36:29","delivery_scheduled_date":null,"delivery_address":null,"takeaway_date":null,"made_by_customer":false,"uses_coupons":false,"coupons":[],"menu_items":[{"order_item_id":21001152,"menu_item_id":740088,"menu_category_id":100636,"name":"Agata_Bag_Floral_Dusty_Pink_Embroidery","sku":null,"price":80,"quantity":1,"note":null,"price_with_products":80,"total_value_in_order":72,"category_name":"AGATA BAG","menu_name":"CATALOGO","menu_id":21350},{"order_item_id":21001153,"menu_item_id":733275,"menu_category_id":99714,"name":"Annie_Bag_Paillettes_Turquoise","sku":null,"price":90,"quantity":1,"note":null,"price_with_products":90,"total_value_in_order":81,"category_name":"ANNIE BAG ","menu_name":"CATALOGO","menu_id":21350}],"menu_items_products":[],"date_last_edit":null,"sms_sent":false,"prebill_requested":false,"subtotal_delta":-17,"tip":0,"receipt":{"fiscal_status":"not_requested","type":null,"data":null},"invoice":null,"email":null,"phone":null}}</t>
  </si>
  <si>
    <t>These Qromo product names do NOT match any CODICE_AMIIMI in ACQUISTI: Agata_Bag_Floral_Dusty_Pink_Embroidery, Annie_Bag_Paillettes_Turquoise | Valid CODICE_AMIIMI count: 89</t>
  </si>
  <si>
    <t>{"version":1,"type":"orders.new","auth":"Fgw5sp0ORTzn88ubSmN6ZqHEkRv8YCGw","business_id":11476,"order":{"order_id":11173486,"order_number_day":11,"order_link":"https:\/\/.qromo.it\/order\/?id=dfuHO.GRDwmxUVT.o_t29Q--","total_items":170,"additional_costs":-17,"grand_total":153,"fee":1.99,"payment_type":"stripe","order_mode":"counter","customer_name":null,"table_name":null,"paid":true,"status":"completed","email_present":false,"phone_present":false,"order_notes":null,"order_date":"2026-05-23 16:36:29","delivery_scheduled_date":null,"delivery_address":null,"takeaway_date":null,"made_by_customer":false,"uses_coupons":false,"coupons":[],"menu_items":[{"order_item_id":21001152,"menu_item_id":740088,"menu_category_id":100636,"name":"Agata_Bag_Floral_Dusty_Pink_Embroidery","sku":null,"price":80,"quantity":1,"note":null,"price_with_products":80,"total_value_in_order":72,"category_name":"AGATA BAG","menu_name":"CATALOGO","menu_id":21350},{"order_item_id":21001153,"menu_item_id":733275,"menu_category_id":99714,"name":"Annie_Bag_Paillettes_Turquoise","sku":null,"price":90,"quantity":1,"note":null,"price_with_products":90,"total_value_in_order":81,"category_name":"ANNIE BAG ","menu_name":"CATALOGO","menu_id":21350}],"menu_items_products":[],"date_last_edit":null,"sms_sent":false,"prebill_requested":false,"subtotal_delta":-17,"tip":0,"receipt":{"fiscal_status":"not_requested","type":null,"data":null},"invoice":null,"email":null,"phone":null}}</t>
  </si>
  <si>
    <t>{"version":1,"type":"orders.update","auth":"Fgw5sp0ORTzn88ubSmN6ZqHEkRv8YCGw","business_id":11476,"order":{"order_id":11174467,"order_number_day":13,"order_link":"https:\/\/.qromo.it\/order\/?id=VEDcXwhrUBdqzXHl1G802A--","total_items":120,"additional_costs":-12,"grand_total":108,"fee":1.44,"payment_type":"stripe","order_mode":"counter","customer_name":null,"table_name":null,"paid":true,"status":"completed","email_present":false,"phone_present":false,"order_notes":null,"order_date":"2026-05-23 16:47:39","delivery_scheduled_date":null,"delivery_address":null,"takeaway_date":null,"made_by_customer":false,"uses_coupons":false,"coupons":[],"menu_items":[{"order_item_id":21002727,"menu_item_id":784269,"menu_category_id":96044,"name":"Lea_Bag_Chocolate","sku":null,"price":120,"quantity":1,"note":null,"price_with_products":120,"total_value_in_order":108,"category_name":"LEA BAG CAMOSCI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</si>
  <si>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11174467,"order_number_day":13,"order_link":"https:\/\/.qromo.it\/order\/?id=VEDcXwhrUBdqzXHl1G802A--","total_items":120,"additional_costs":-12,"grand_total":108,"fee":1.44,"payment_type":"stripe","order_mode":"counter","customer_name":null,"table_name":null,"paid":true,"status":"completed","email_present":false,"phone_present":false,"order_notes":null,"order_date":"2026-05-23 16:47:39","delivery_scheduled_date":null,"delivery_address":null,"takeaway_date":null,"made_by_customer":false,"uses_coupons":false,"coupons":[],"menu_items":[{"order_item_id":21002727,"menu_item_id":784269,"menu_category_id":96044,"name":"Lea_Bag_Chocolate","sku":null,"price":120,"quantity":1,"note":null,"price_with_products":120,"total_value_in_order":108,"category_name":"LEA BAG CAMOSCIO","menu_name":"CATALOGO","menu_id":21350}],"menu_items_products":[],"date_last_edit":null,"sms_sent":false,"prebill_requested":false,"subtotal_delta":-12,"tip":0,"receipt":{"fiscal_status":"fiscalized","type":"digital","data":{"business_receipt_id":2839728,"ade_id":"DCW2026\/8398-8450","total":108,"date":"2026-05-23 16:47:44"}},"invoice":null,"email":null,"phone":null}}</t>
  </si>
  <si>
    <t>These Qromo product names do NOT match any CODICE_AMIIMI in ACQUISTI: Lea_Bag_Chocolate | Valid CODICE_AMIIMI count: 89</t>
  </si>
  <si>
    <t>{"version":1,"type":"orders.new","auth":"Fgw5sp0ORTzn88ubSmN6ZqHEkRv8YCGw","business_id":11476,"order":{"order_id":11174467,"order_number_day":13,"order_link":"https:\/\/.qromo.it\/order\/?id=VEDcXwhrUBdqzXHl1G802A--","total_items":120,"additional_costs":-12,"grand_total":108,"fee":1.44,"payment_type":"stripe","order_mode":"counter","customer_name":null,"table_name":null,"paid":true,"status":"completed","email_present":false,"phone_present":false,"order_notes":null,"order_date":"2026-05-23 16:47:39","delivery_scheduled_date":null,"delivery_address":null,"takeaway_date":null,"made_by_customer":false,"uses_coupons":false,"coupons":[],"menu_items":[{"order_item_id":21002727,"menu_item_id":784269,"menu_category_id":96044,"name":"Lea_Bag_Chocolate","sku":null,"price":120,"quantity":1,"note":null,"price_with_products":120,"total_value_in_order":108,"category_name":"LEA BAG CAMOSCI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</si>
  <si>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11175631,"order_number_day":15,"order_link":"https:\/\/.qromo.it\/order\/?id=X60LoRS25FiDup0mCJFoiw--","total_items":120,"additional_costs":-12,"grand_total":108,"fee":2.76,"payment_type":"stripe","order_mode":"counter","customer_name":null,"table_name":null,"paid":true,"status":"completed","email_present":false,"phone_present":false,"order_notes":null,"order_date":"2026-05-23 16:58:41","delivery_scheduled_date":null,"delivery_address":null,"takeaway_date":null,"made_by_customer":false,"uses_coupons":false,"coupons":[],"menu_items":[{"order_item_id":21004715,"menu_item_id":724452,"menu_category_id":96044,"name":"LEA_BAG_GREEN_MILITARY","sku":null,"price":120,"quantity":1,"note":null,"price_with_products":120,"total_value_in_order":108,"category_name":"LEA BAG CAMOSCI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</si>
  <si>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11175631,"order_number_day":15,"order_link":"https:\/\/.qromo.it\/order\/?id=X60LoRS25FiDup0mCJFoiw--","total_items":120,"additional_costs":-12,"grand_total":108,"fee":2.76,"payment_type":"stripe","order_mode":"counter","customer_name":null,"table_name":null,"paid":true,"status":"completed","email_present":false,"phone_present":false,"order_notes":null,"order_date":"2026-05-23 16:58:41","delivery_scheduled_date":null,"delivery_address":null,"takeaway_date":null,"made_by_customer":false,"uses_coupons":false,"coupons":[],"menu_items":[{"order_item_id":21004715,"menu_item_id":724452,"menu_category_id":96044,"name":"LEA_BAG_GREEN_MILITARY","sku":null,"price":120,"quantity":1,"note":null,"price_with_products":120,"total_value_in_order":108,"category_name":"LEA BAG CAMOSCIO","menu_name":"CATALOGO","menu_id":21350}],"menu_items_products":[],"date_last_edit":null,"sms_sent":false,"prebill_requested":false,"subtotal_delta":-12,"tip":0,"receipt":{"fiscal_status":"fiscalized","type":"digital","data":{"business_receipt_id":2840373,"ade_id":"DCW2026\/8399-4585","total":108,"date":"2026-05-23 16:58:49"}},"invoice":null,"email":null,"phone":null}}</t>
  </si>
  <si>
    <t>These Qromo product names do NOT match any CODICE_AMIIMI in ACQUISTI: LEA_BAG_GREEN_MILITARY | Valid CODICE_AMIIMI count: 89</t>
  </si>
  <si>
    <t>{"version":1,"type":"orders.new","auth":"Fgw5sp0ORTzn88ubSmN6ZqHEkRv8YCGw","business_id":11476,"order":{"order_id":11175631,"order_number_day":15,"order_link":"https:\/\/.qromo.it\/order\/?id=X60LoRS25FiDup0mCJFoiw--","total_items":120,"additional_costs":-12,"grand_total":108,"fee":2.76,"payment_type":"stripe","order_mode":"counter","customer_name":null,"table_name":null,"paid":true,"status":"completed","email_present":false,"phone_present":false,"order_notes":null,"order_date":"2026-05-23 16:58:41","delivery_scheduled_date":null,"delivery_address":null,"takeaway_date":null,"made_by_customer":false,"uses_coupons":false,"coupons":[],"menu_items":[{"order_item_id":21004715,"menu_item_id":724452,"menu_category_id":96044,"name":"LEA_BAG_GREEN_MILITARY","sku":null,"price":120,"quantity":1,"note":null,"price_with_products":120,"total_value_in_order":108,"category_name":"LEA BAG CAMOSCI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</si>
  <si>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11315851,"order_number_day":1,"order_link":"https:\/\/.qromo.it\/order\/?id=v0Rpq7KqtmApS60tXD6SvA--","total_items":90,"additional_costs":0,"grand_total":90,"fee":1.22,"payment_type":"stripe","order_mode":"counter","customer_name":null,"table_name":null,"paid":true,"status":"completed","email_present":false,"phone_present":false,"order_notes":null,"order_date":"2026-05-26 16:41:44","delivery_scheduled_date":null,"delivery_address":null,"takeaway_date":null,"made_by_customer":false,"uses_coupons":false,"coupons":[],"menu_items":[{"order_item_id":21252844,"menu_item_id":743567,"menu_category_id":99714,"name":"Annie_Bag_Silk_Grey","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</si>
  <si>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11315851,"order_number_day":1,"order_link":"https:\/\/.qromo.it\/order\/?id=v0Rpq7KqtmApS60tXD6SvA--","total_items":90,"additional_costs":0,"grand_total":90,"fee":1.22,"payment_type":"stripe","order_mode":"counter","customer_name":null,"table_name":null,"paid":true,"status":"completed","email_present":false,"phone_present":false,"order_notes":null,"order_date":"2026-05-26 16:41:44","delivery_scheduled_date":null,"delivery_address":null,"takeaway_date":null,"made_by_customer":false,"uses_coupons":false,"coupons":[],"menu_items":[{"order_item_id":21252844,"menu_item_id":743567,"menu_category_id":99714,"name":"Annie_Bag_Silk_Grey","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2907684,"ade_id":"DCW2026\/8525-1238","total":90,"date":"2026-05-26 16:42:08"}},"invoice":null,"email":null,"phone":null}}</t>
  </si>
  <si>
    <t>These Qromo product names do NOT match any CODICE_AMIIMI in ACQUISTI: Annie_Bag_Silk_Grey | Valid CODICE_AMIIMI count: 89</t>
  </si>
  <si>
    <t>{"version":1,"type":"orders.new","auth":"Fgw5sp0ORTzn88ubSmN6ZqHEkRv8YCGw","business_id":11476,"order":{"order_id":11315851,"order_number_day":1,"order_link":"https:\/\/.qromo.it\/order\/?id=v0Rpq7KqtmApS60tXD6SvA--","total_items":90,"additional_costs":0,"grand_total":90,"fee":1.22,"payment_type":"stripe","order_mode":"counter","customer_name":null,"table_name":null,"paid":true,"status":"completed","email_present":false,"phone_present":false,"order_notes":null,"order_date":"2026-05-26 16:41:44","delivery_scheduled_date":null,"delivery_address":null,"takeaway_date":null,"made_by_customer":false,"uses_coupons":false,"coupons":[],"menu_items":[{"order_item_id":21252844,"menu_item_id":743567,"menu_category_id":99714,"name":"Annie_Bag_Silk_Grey","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</si>
  <si>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11358664,"order_number_day":1,"order_link":"https:\/\/.qromo.it\/order\/?id=QuN96.s3hhEz9QM2NMsQwg--","total_items":120,"additional_costs":0,"grand_total":120,"fee":1.59,"payment_type":"stripe","order_mode":"counter","customer_name":null,"table_name":null,"paid":true,"status":"completed","email_present":false,"phone_present":false,"order_notes":null,"order_date":"2026-05-28 08:39:53","delivery_scheduled_date":null,"delivery_address":null,"takeaway_date":null,"made_by_customer":false,"uses_coupons":false,"coupons":[],"menu_items":[{"order_item_id":21330869,"menu_item_id":782308,"menu_category_id":105925,"name":"Lea_Bag_Cocco_Purple","sku":null,"price":120,"quantity":1,"note":null,"price_with_products":120,"total_value_in_order":120,"category_name":"LEA BAG COCCO","menu_name":"CATALOGO","menu_id":21350}],"menu_items_products":[],"date_last_edit":null,"sms_sent":false,"prebill_requested":false,"subtotal_delta":0,"tip":0,"receipt":{"fiscal_status":"fiscalized","type":"digital","data":{"business_receipt_id":2919257,"ade_id":"DCW2026\/8582-1251","total":120,"date":"2026-05-28 08:40:39"}},"invoice":null,"email":null,"phone":null}}</t>
  </si>
  <si>
    <t>{"version":1,"type":"orders.update","auth":"Fgw5sp0ORTzn88ubSmN6ZqHEkRv8YCGw","business_id":11476,"order":{"order_id":11358664,"order_number_day":1,"order_link":"https:\/\/.qromo.it\/order\/?id=QuN96.s3hhEz9QM2NMsQwg--","total_items":120,"additional_costs":0,"grand_total":120,"fee":1.59,"payment_type":"stripe","order_mode":"counter","customer_name":null,"table_name":null,"paid":true,"status":"completed","email_present":false,"phone_present":false,"order_notes":null,"order_date":"2026-05-28 08:39:53","delivery_scheduled_date":null,"delivery_address":null,"takeaway_date":null,"made_by_customer":false,"uses_coupons":false,"coupons":[],"menu_items":[{"order_item_id":21330869,"menu_item_id":782308,"menu_category_id":105925,"name":"Lea_Bag_Cocco_Purple","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</si>
  <si>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new","auth":"Fgw5sp0ORTzn88ubSmN6ZqHEkRv8YCGw","business_id":11476,"order":{"order_id":11358664,"order_number_day":1,"order_link":"https:\/\/.qromo.it\/order\/?id=QuN96.s3hhEz9QM2NMsQwg--","total_items":120,"additional_costs":0,"grand_total":120,"fee":1.59,"payment_type":"stripe","order_mode":"counter","customer_name":null,"table_name":null,"paid":true,"status":"completed","email_present":false,"phone_present":false,"order_notes":null,"order_date":"2026-05-28 08:39:53","delivery_scheduled_date":null,"delivery_address":null,"takeaway_date":null,"made_by_customer":false,"uses_coupons":false,"coupons":[],"menu_items":[{"order_item_id":21330869,"menu_item_id":782308,"menu_category_id":105925,"name":"Lea_Bag_Cocco_Purple","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</si>
  <si>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11372463,"order_number_day":2,"order_link":"https:\/\/.qromo.it\/order\/?id=KuTCU_LELRBtu6eyQardOw--","total_items":90,"additional_costs":0,"grand_total":90,"fee":1.22,"payment_type":"stripe","order_mode":"counter","customer_name":null,"table_name":null,"paid":true,"status":"completed","email_present":false,"phone_present":false,"order_notes":null,"order_date":"2026-05-28 17:10:58","delivery_scheduled_date":null,"delivery_address":null,"takeaway_date":null,"made_by_customer":false,"uses_coupons":false,"coupons":[],"menu_items":[{"order_item_id":21355063,"menu_item_id":789565,"menu_category_id":99714,"name":"Annie_Bag_Silk_Lilla","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</si>
  <si>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These Qromo product names do NOT match any CODICE_AMIIMI in ACQUISTI: Annie_Bag_Silk_Lilla | Valid CODICE_AMIIMI count: 126</t>
  </si>
  <si>
    <t>{"version":1,"type":"orders.update","auth":"Fgw5sp0ORTzn88ubSmN6ZqHEkRv8YCGw","business_id":11476,"order":{"order_id":11372463,"order_number_day":2,"order_link":"https:\/\/.qromo.it\/order\/?id=KuTCU_LELRBtu6eyQardOw--","total_items":90,"additional_costs":0,"grand_total":90,"fee":1.22,"payment_type":"stripe","order_mode":"counter","customer_name":null,"table_name":null,"paid":true,"status":"completed","email_present":false,"phone_present":false,"order_notes":null,"order_date":"2026-05-28 17:10:58","delivery_scheduled_date":null,"delivery_address":null,"takeaway_date":null,"made_by_customer":false,"uses_coupons":false,"coupons":[],"menu_items":[{"order_item_id":21355063,"menu_item_id":789565,"menu_category_id":99714,"name":"Annie_Bag_Silk_Lilla","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2922876,"ade_id":"DCW2026\/8604-4060","total":90,"date":"2026-05-28 17:12:07"}},"invoice":null,"email":null,"phone":null}}</t>
  </si>
  <si>
    <t>{"version":1,"type":"orders.new","auth":"Fgw5sp0ORTzn88ubSmN6ZqHEkRv8YCGw","business_id":11476,"order":{"order_id":11372463,"order_number_day":2,"order_link":"https:\/\/.qromo.it\/order\/?id=KuTCU_LELRBtu6eyQardOw--","total_items":90,"additional_costs":0,"grand_total":90,"fee":1.22,"payment_type":"stripe","order_mode":"counter","customer_name":null,"table_name":null,"paid":true,"status":"completed","email_present":false,"phone_present":false,"order_notes":null,"order_date":"2026-05-28 17:10:58","delivery_scheduled_date":null,"delivery_address":null,"takeaway_date":null,"made_by_customer":false,"uses_coupons":false,"coupons":[],"menu_items":[{"order_item_id":21355063,"menu_item_id":789565,"menu_category_id":99714,"name":"Annie_Bag_Silk_Lilla","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</si>
  <si>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11624032,"order_number_day":3,"order_link":"https:\/\/.qromo.it\/order\/?id=N56jSq0sBiQnHjRAPYsX.g--","total_items":160,"additional_costs":-16,"grand_total":144,"fee":1.88,"payment_type":"stripe","order_mode":"counter","customer_name":null,"table_name":null,"paid":true,"status":"completed","email_present":false,"phone_present":false,"order_notes":null,"order_date":"2026-06-03 14:21:07","delivery_scheduled_date":null,"delivery_address":null,"takeaway_date":null,"made_by_customer":false,"uses_coupons":false,"coupons":[],"menu_items":[{"order_item_id":21823427,"menu_item_id":796066,"menu_category_id":100636,"name":"Agata_Bag_Floral_Orange_Embroidery","sku":null,"price":80,"quantity":1,"note":null,"price_with_products":80,"total_value_in_order":72,"category_name":"AGATA BAG","menu_name":"CATALOGO","menu_id":21350},{"order_item_id":21823428,"menu_item_id":740087,"menu_category_id":100636,"name":"Agata_Bag_Floral_Bordeaux_Embroidery","sku":null,"price":80,"quantity":1,"note":null,"price_with_products":80,"total_value_in_order":72,"category_name":"AGATA BAG","menu_name":"CATALOGO","menu_id":21350}],"menu_items_products":[],"date_last_edit":null,"sms_sent":false,"prebill_requested":false,"subtotal_delta":-16,"tip":0,"receipt":{"fiscal_status":"not_requested","type":null,"data":null},"invoice":null,"email":null,"phone":null}}</t>
  </si>
  <si>
    <t>{"version":1,"type":"orders.update","auth":"Fgw5sp0ORTzn88ubSmN6ZqHEkRv8YCGw","business_id":11476,"order":{"order_id":11624032,"order_number_day":3,"order_link":"https:\/\/.qromo.it\/order\/?id=N56jSq0sBiQnHjRAPYsX.g--","total_items":160,"additional_costs":-16,"grand_total":144,"fee":1.88,"payment_type":"stripe","order_mode":"counter","customer_name":null,"table_name":null,"paid":true,"status":"completed","email_present":false,"phone_present":false,"order_notes":null,"order_date":"2026-06-03 14:21:07","delivery_scheduled_date":null,"delivery_address":null,"takeaway_date":null,"made_by_customer":false,"uses_coupons":false,"coupons":[],"menu_items":[{"order_item_id":21823427,"menu_item_id":796066,"menu_category_id":100636,"name":"Agata_Bag_Floral_Orange_Embroidery","sku":null,"price":80,"quantity":1,"note":null,"price_with_products":80,"total_value_in_order":72,"category_name":"AGATA BAG","menu_name":"CATALOGO","menu_id":21350},{"order_item_id":21823428,"menu_item_id":740087,"menu_category_id":100636,"name":"Agata_Bag_Floral_Bordeaux_Embroidery","sku":null,"price":80,"quantity":1,"note":null,"price_with_products":80,"total_value_in_order":72,"category_name":"AGATA BAG","menu_name":"CATALOGO","menu_id":21350}],"menu_items_products":[],"date_last_edit":null,"sms_sent":false,"prebill_requested":false,"subtotal_delta":-16,"tip":0,"receipt":{"fiscal_status":"fiscalized","type":"digital","data":{"business_receipt_id":3023805,"ade_id":"DCW2026\/8872-6744","total":144,"date":"2026-06-03 14:21:21"}},"invoice":null,"email":null,"phone":null}}</t>
  </si>
  <si>
    <t>These Qromo product names do NOT match any CODICE_AMIIMI in ACQUISTI: Agata_Bag_Floral_Orange_Embroidery, Agata_Bag_Floral_Bordeaux_Embroidery | Valid CODICE_AMIIMI count: 134</t>
  </si>
  <si>
    <t>{"version":1,"type":"orders.new","auth":"Fgw5sp0ORTzn88ubSmN6ZqHEkRv8YCGw","business_id":11476,"order":{"order_id":11624032,"order_number_day":3,"order_link":"https:\/\/.qromo.it\/order\/?id=N56jSq0sBiQnHjRAPYsX.g--","total_items":160,"additional_costs":-16,"grand_total":144,"fee":1.88,"payment_type":"stripe","order_mode":"counter","customer_name":null,"table_name":null,"paid":true,"status":"completed","email_present":false,"phone_present":false,"order_notes":null,"order_date":"2026-06-03 14:21:07","delivery_scheduled_date":null,"delivery_address":null,"takeaway_date":null,"made_by_customer":false,"uses_coupons":false,"coupons":[],"menu_items":[{"order_item_id":21823427,"menu_item_id":796066,"menu_category_id":100636,"name":"Agata_Bag_Floral_Orange_Embroidery","sku":null,"price":80,"quantity":1,"note":null,"price_with_products":80,"total_value_in_order":72,"category_name":"AGATA BAG","menu_name":"CATALOGO","menu_id":21350},{"order_item_id":21823428,"menu_item_id":740087,"menu_category_id":100636,"name":"Agata_Bag_Floral_Bordeaux_Embroidery","sku":null,"price":80,"quantity":1,"note":null,"price_with_products":80,"total_value_in_order":72,"category_name":"AGATA BAG","menu_name":"CATALOGO","menu_id":21350}],"menu_items_products":[],"date_last_edit":null,"sms_sent":false,"prebill_requested":false,"subtotal_delta":-16,"tip":0,"receipt":{"fiscal_status":"not_requested","type":null,"data":null},"invoice":null,"email":null,"phone":null}}</t>
  </si>
  <si>
    <t>{"version":1,"type":"orders.update","auth":"Fgw5sp0ORTzn88ubSmN6ZqHEkRv8YCGw","business_id":11476,"order":{"order_id":11626377,"order_number_day":5,"order_link":"https:\/\/.qromo.it\/order\/?id=ie1gqKuNfrf5Pj.AedeuFQ--","total_items":120,"additional_costs":0,"grand_total":120,"fee":1.59,"payment_type":"stripe","order_mode":"counter","customer_name":null,"table_name":null,"paid":true,"status":"completed","email_present":false,"phone_present":false,"order_notes":null,"order_date":"2026-06-03 16:44:22","delivery_scheduled_date":null,"delivery_address":null,"takeaway_date":null,"made_by_customer":false,"uses_coupons":false,"coupons":[],"menu_items":[{"order_item_id":21827115,"menu_item_id":782300,"menu_category_id":105925,"name":"Lea_Bag_COCCO_ORANGE","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</si>
  <si>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11626377,"order_number_day":5,"order_link":"https:\/\/.qromo.it\/order\/?id=ie1gqKuNfrf5Pj.AedeuFQ--","total_items":120,"additional_costs":0,"grand_total":120,"fee":1.59,"payment_type":"stripe","order_mode":"counter","customer_name":null,"table_name":null,"paid":true,"status":"completed","email_present":false,"phone_present":false,"order_notes":null,"order_date":"2026-06-03 16:44:22","delivery_scheduled_date":null,"delivery_address":null,"takeaway_date":null,"made_by_customer":false,"uses_coupons":false,"coupons":[],"menu_items":[{"order_item_id":21827115,"menu_item_id":782300,"menu_category_id":105925,"name":"Lea_Bag_COCCO_ORANGE","sku":null,"price":120,"quantity":1,"note":null,"price_with_products":120,"total_value_in_order":120,"category_name":"LEA BAG COCCO","menu_name":"CATALOGO","menu_id":21350}],"menu_items_products":[],"date_last_edit":null,"sms_sent":false,"prebill_requested":false,"subtotal_delta":0,"tip":0,"receipt":{"fiscal_status":"fiscalized","type":"digital","data":{"business_receipt_id":3024193,"ade_id":"DCW2026\/8878-9727","total":120,"date":"2026-06-03 16:44:30"}},"invoice":null,"email":null,"phone":null}}</t>
  </si>
  <si>
    <t>{"version":1,"type":"orders.new","auth":"Fgw5sp0ORTzn88ubSmN6ZqHEkRv8YCGw","business_id":11476,"order":{"order_id":11626377,"order_number_day":5,"order_link":"https:\/\/.qromo.it\/order\/?id=ie1gqKuNfrf5Pj.AedeuFQ--","total_items":120,"additional_costs":0,"grand_total":120,"fee":1.59,"payment_type":"stripe","order_mode":"counter","customer_name":null,"table_name":null,"paid":true,"status":"completed","email_present":false,"phone_present":false,"order_notes":null,"order_date":"2026-06-03 16:44:22","delivery_scheduled_date":null,"delivery_address":null,"takeaway_date":null,"made_by_customer":false,"uses_coupons":false,"coupons":[],"menu_items":[{"order_item_id":21827115,"menu_item_id":782300,"menu_category_id":105925,"name":"Lea_Bag_COCCO_ORANGE","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</si>
  <si>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11626480,"order_number_day":6,"order_link":"https:\/\/.qromo.it\/order\/?id=rs9P.MhtCUqf_h30oymeGQ--","total_items":120,"additional_costs":0,"grand_total":120,"fee":1.59,"payment_type":"stripe","order_mode":"counter","customer_name":null,"table_name":null,"paid":true,"status":"completed","email_present":false,"phone_present":false,"order_notes":null,"order_date":"2026-06-03 16:49:12","delivery_scheduled_date":null,"delivery_address":null,"takeaway_date":null,"made_by_customer":false,"uses_coupons":false,"coupons":[],"menu_items":[{"order_item_id":21827305,"menu_item_id":702890,"menu_category_id":96060,"name":"Maria_Bag_RED_PIERCING","sku":null,"price":120,"quantity":1,"note":null,"price_with_products":120,"total_value_in_order":120,"category_name":"MARI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</si>
  <si>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11626480,"order_number_day":6,"order_link":"https:\/\/.qromo.it\/order\/?id=rs9P.MhtCUqf_h30oymeGQ--","total_items":120,"additional_costs":0,"grand_total":120,"fee":1.59,"payment_type":"stripe","order_mode":"counter","customer_name":null,"table_name":null,"paid":true,"status":"completed","email_present":false,"phone_present":false,"order_notes":null,"order_date":"2026-06-03 16:49:12","delivery_scheduled_date":null,"delivery_address":null,"takeaway_date":null,"made_by_customer":false,"uses_coupons":false,"coupons":[],"menu_items":[{"order_item_id":21827305,"menu_item_id":702890,"menu_category_id":96060,"name":"Maria_Bag_RED_PIERCING","sku":null,"price":120,"quantity":1,"note":null,"price_with_products":120,"total_value_in_order":120,"category_name":"MARIA BAG","menu_name":"CATALOGO","menu_id":21350}],"menu_items_products":[],"date_last_edit":null,"sms_sent":false,"prebill_requested":false,"subtotal_delta":0,"tip":0,"receipt":{"fiscal_status":"fiscalized","type":"digital","data":{"business_receipt_id":3024207,"ade_id":"DCW2026\/8879-1986","total":120,"date":"2026-06-03 16:49:19"}},"invoice":null,"email":null,"phone":null}}</t>
  </si>
  <si>
    <t>{"version":1,"type":"orders.new","auth":"Fgw5sp0ORTzn88ubSmN6ZqHEkRv8YCGw","business_id":11476,"order":{"order_id":11626480,"order_number_day":6,"order_link":"https:\/\/.qromo.it\/order\/?id=rs9P.MhtCUqf_h30oymeGQ--","total_items":120,"additional_costs":0,"grand_total":120,"fee":1.59,"payment_type":"stripe","order_mode":"counter","customer_name":null,"table_name":null,"paid":true,"status":"completed","email_present":false,"phone_present":false,"order_notes":null,"order_date":"2026-06-03 16:49:12","delivery_scheduled_date":null,"delivery_address":null,"takeaway_date":null,"made_by_customer":false,"uses_coupons":false,"coupons":[],"menu_items":[{"order_item_id":21827305,"menu_item_id":702890,"menu_category_id":96060,"name":"Maria_Bag_RED_PIERCING","sku":null,"price":120,"quantity":1,"note":null,"price_with_products":120,"total_value_in_order":120,"category_name":"MARI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</si>
  <si>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11626800,"order_number_day":7,"order_link":"https:\/\/.qromo.it\/order\/?id=NJQtbTLObgDvlJLMouD0Wg--","total_items":80,"additional_costs":0,"grand_total":80,"fee":1.1,"payment_type":"stripe","order_mode":"counter","customer_name":null,"table_name":null,"paid":true,"status":"completed","email_present":false,"phone_present":false,"order_notes":null,"order_date":"2026-06-03 17:00:23","delivery_scheduled_date":null,"delivery_address":null,"takeaway_date":null,"made_by_customer":false,"uses_coupons":false,"coupons":[],"menu_items":[{"order_item_id":21827881,"menu_item_id":782315,"menu_category_id":100636,"name":"Agata_Bag_ROSE_BUTTER","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3024278,"ade_id":"DCW2026\/8879-6947","total":80,"date":"2026-06-03 17:00:32"}},"invoice":null,"email":null,"phone":null}}</t>
  </si>
  <si>
    <t>{"version":1,"type":"orders.update","auth":"Fgw5sp0ORTzn88ubSmN6ZqHEkRv8YCGw","business_id":11476,"order":{"order_id":11626800,"order_number_day":7,"order_link":"https:\/\/.qromo.it\/order\/?id=NJQtbTLObgDvlJLMouD0Wg--","total_items":80,"additional_costs":0,"grand_total":80,"fee":1.1,"payment_type":"stripe","order_mode":"counter","customer_name":null,"table_name":null,"paid":true,"status":"completed","email_present":false,"phone_present":false,"order_notes":null,"order_date":"2026-06-03 17:00:23","delivery_scheduled_date":null,"delivery_address":null,"takeaway_date":null,"made_by_customer":false,"uses_coupons":false,"coupons":[],"menu_items":[{"order_item_id":21827881,"menu_item_id":782315,"menu_category_id":100636,"name":"Agata_Bag_ROSE_BUTTER","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</si>
  <si>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new","auth":"Fgw5sp0ORTzn88ubSmN6ZqHEkRv8YCGw","business_id":11476,"order":{"order_id":11626800,"order_number_day":7,"order_link":"https:\/\/.qromo.it\/order\/?id=NJQtbTLObgDvlJLMouD0Wg--","total_items":80,"additional_costs":0,"grand_total":80,"fee":1.1,"payment_type":"stripe","order_mode":"counter","customer_name":null,"table_name":null,"paid":true,"status":"completed","email_present":false,"phone_present":false,"order_notes":null,"order_date":"2026-06-03 17:00:23","delivery_scheduled_date":null,"delivery_address":null,"takeaway_date":null,"made_by_customer":false,"uses_coupons":false,"coupons":[],"menu_items":[{"order_item_id":21827881,"menu_item_id":782315,"menu_category_id":100636,"name":"Agata_Bag_ROSE_BUTTER","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</si>
  <si>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11626904,"order_number_day":11,"order_link":"https:\/\/.qromo.it\/order\/?id=PyjfG6P5QPZp7rziZEBYQQ--","total_items":160,"additional_costs":0,"grand_total":160,"fee":2.07,"payment_type":"stripe","order_mode":"counter","customer_name":null,"table_name":null,"paid":true,"status":"completed","email_present":false,"phone_present":false,"order_notes":null,"order_date":"2026-06-03 17:03:31","delivery_scheduled_date":null,"delivery_address":null,"takeaway_date":null,"made_by_customer":false,"uses_coupons":false,"coupons":[],"menu_items":[{"order_item_id":21828078,"menu_item_id":796395,"menu_category_id":100636,"name":"Agata_Bag_Paillettes_Pink","sku":null,"price":80,"quantity":1,"note":null,"price_with_products":80,"total_value_in_order":80,"category_name":"AGATA BAG","menu_name":"CATALOGO","menu_id":21350},{"order_item_id":21828079,"menu_item_id":796397,"menu_category_id":100636,"name":"Agata_Bag_Floral_Light_Blue","sku":null,"price":80,"quantity":1,"note":null,"price_with_products":80,"total_value_in_order":80,"category_name":"AGATA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</si>
  <si>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11626904,"order_number_day":11,"order_link":"https:\/\/.qromo.it\/order\/?id=PyjfG6P5QPZp7rziZEBYQQ--","total_items":160,"additional_costs":0,"grand_total":160,"fee":2.07,"payment_type":"stripe","order_mode":"counter","customer_name":null,"table_name":null,"paid":true,"status":"completed","email_present":false,"phone_present":false,"order_notes":null,"order_date":"2026-06-03 17:03:31","delivery_scheduled_date":null,"delivery_address":null,"takeaway_date":null,"made_by_customer":false,"uses_coupons":false,"coupons":[],"menu_items":[{"order_item_id":21828078,"menu_item_id":796395,"menu_category_id":100636,"name":"Agata_Bag_Paillettes_Pink","sku":null,"price":80,"quantity":1,"note":null,"price_with_products":80,"total_value_in_order":80,"category_name":"AGATA BAG","menu_name":"CATALOGO","menu_id":21350},{"order_item_id":21828079,"menu_item_id":796397,"menu_category_id":100636,"name":"Agata_Bag_Floral_Light_Blue","sku":null,"price":80,"quantity":1,"note":null,"price_with_products":80,"total_value_in_order":80,"category_name":"AGATA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3024303,"ade_id":"DCW2026\/8879-8523","total":160,"date":"2026-06-03 17:03:58"}},"invoice":null,"email":null,"phone":null}}</t>
  </si>
  <si>
    <t>These Qromo product names do NOT match any CODICE_AMIIMI in ACQUISTI: Agata_Bag_Paillettes_Pink, Agata_Bag_Floral_Light_Blue | Valid CODICE_AMIIMI count: 134</t>
  </si>
  <si>
    <t>{"version":1,"type":"orders.new","auth":"Fgw5sp0ORTzn88ubSmN6ZqHEkRv8YCGw","business_id":11476,"order":{"order_id":11626904,"order_number_day":11,"order_link":"https:\/\/.qromo.it\/order\/?id=PyjfG6P5QPZp7rziZEBYQQ--","total_items":160,"additional_costs":0,"grand_total":160,"fee":2.07,"payment_type":"stripe","order_mode":"counter","customer_name":null,"table_name":null,"paid":true,"status":"completed","email_present":false,"phone_present":false,"order_notes":null,"order_date":"2026-06-03 17:03:31","delivery_scheduled_date":null,"delivery_address":null,"takeaway_date":null,"made_by_customer":false,"uses_coupons":false,"coupons":[],"menu_items":[{"order_item_id":21828078,"menu_item_id":796395,"menu_category_id":100636,"name":"Agata_Bag_Paillettes_Pink","sku":null,"price":80,"quantity":1,"note":null,"price_with_products":80,"total_value_in_order":80,"category_name":"AGATA BAG","menu_name":"CATALOGO","menu_id":21350},{"order_item_id":21828079,"menu_item_id":796397,"menu_category_id":100636,"name":"Agata_Bag_Floral_Light_Blue","sku":null,"price":80,"quantity":1,"note":null,"price_with_products":80,"total_value_in_order":80,"category_name":"AGATA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</si>
  <si>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11627146,"order_number_day":12,"order_link":"https:\/\/.qromo.it\/order\/?id=inxhSw.i06qrQYOZH5sRTg--","total_items":80,"additional_costs":0,"grand_total":80,"fee":1.1,"payment_type":"stripe","order_mode":"counter","customer_name":null,"table_name":null,"paid":true,"status":"completed","email_present":false,"phone_present":false,"order_notes":null,"order_date":"2026-06-03 17:12:00","delivery_scheduled_date":null,"delivery_address":null,"takeaway_date":null,"made_by_customer":false,"uses_coupons":false,"coupons":[],"menu_items":[{"order_item_id":21828545,"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</si>
  <si>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11627146,"order_number_day":12,"order_link":"https:\/\/.qromo.it\/order\/?id=inxhSw.i06qrQYOZH5sRTg--","total_items":80,"additional_costs":0,"grand_total":80,"fee":1.1,"payment_type":"stripe","order_mode":"counter","customer_name":null,"table_name":null,"paid":true,"status":"completed","email_present":false,"phone_present":false,"order_notes":null,"order_date":"2026-06-03 17:12:00","delivery_scheduled_date":null,"delivery_address":null,"takeaway_date":null,"made_by_customer":false,"uses_coupons":false,"coupons":[],"menu_items":[{"order_item_id":21828545,"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3024366,"ade_id":"DCW2026\/8880-2189","total":80,"date":"2026-06-03 17:12:07"}},"invoice":null,"email":null,"phone":null}}</t>
  </si>
  <si>
    <t>These Qromo product names do NOT match any CODICE_AMIIMI in ACQUISTI: Agata_Bag_Floral_Light_Blue | Valid CODICE_AMIIMI count: 134</t>
  </si>
  <si>
    <t>{"version":1,"type":"orders.new","auth":"Fgw5sp0ORTzn88ubSmN6ZqHEkRv8YCGw","business_id":11476,"order":{"order_id":11627146,"order_number_day":12,"order_link":"https:\/\/.qromo.it\/order\/?id=inxhSw.i06qrQYOZH5sRTg--","total_items":80,"additional_costs":0,"grand_total":80,"fee":1.1,"payment_type":"stripe","order_mode":"counter","customer_name":null,"table_name":null,"paid":true,"status":"completed","email_present":false,"phone_present":false,"order_notes":null,"order_date":"2026-06-03 17:12:00","delivery_scheduled_date":null,"delivery_address":null,"takeaway_date":null,"made_by_customer":false,"uses_coupons":false,"coupons":[],"menu_items":[{"order_item_id":21828545,"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</si>
  <si>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11627332,"order_number_day":14,"order_link":"https:\/\/.qromo.it\/order\/?id=DzbZ2hVlkZqoZuoD4Bg1Zw--","total_items":80,"additional_costs":0,"grand_total":80,"fee":1.1,"payment_type":"stripe","order_mode":"counter","customer_name":null,"table_name":null,"paid":true,"status":"completed","email_present":false,"phone_present":false,"order_notes":null,"order_date":"2026-06-03 17:17:26","delivery_scheduled_date":null,"delivery_address":null,"takeaway_date":null,"made_by_customer":false,"uses_coupons":false,"coupons":[],"menu_items":[{"order_item_id":21828910,"menu_item_id":796424,"menu_category_id":100636,"name":"Agata_Bag_Pink_Crystal_Beads","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</si>
  <si>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11627332,"order_number_day":14,"order_link":"https:\/\/.qromo.it\/order\/?id=DzbZ2hVlkZqoZuoD4Bg1Zw--","total_items":80,"additional_costs":0,"grand_total":80,"fee":1.1,"payment_type":"stripe","order_mode":"counter","customer_name":null,"table_name":null,"paid":true,"status":"completed","email_present":false,"phone_present":false,"order_notes":null,"order_date":"2026-06-03 17:17:26","delivery_scheduled_date":null,"delivery_address":null,"takeaway_date":null,"made_by_customer":false,"uses_coupons":false,"coupons":[],"menu_items":[{"order_item_id":21828910,"menu_item_id":796424,"menu_category_id":100636,"name":"Agata_Bag_Pink_Crystal_Beads","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3024408,"ade_id":"DCW2026\/8880-4997","total":80,"date":"2026-06-03 17:17:33"}},"invoice":null,"email":null,"phone":null}}</t>
  </si>
  <si>
    <t>{"version":1,"type":"orders.new","auth":"Fgw5sp0ORTzn88ubSmN6ZqHEkRv8YCGw","business_id":11476,"order":{"order_id":11627332,"order_number_day":14,"order_link":"https:\/\/.qromo.it\/order\/?id=DzbZ2hVlkZqoZuoD4Bg1Zw--","total_items":80,"additional_costs":0,"grand_total":80,"fee":1.1,"payment_type":"stripe","order_mode":"counter","customer_name":null,"table_name":null,"paid":true,"status":"completed","email_present":false,"phone_present":false,"order_notes":null,"order_date":"2026-06-03 17:17:26","delivery_scheduled_date":null,"delivery_address":null,"takeaway_date":null,"made_by_customer":false,"uses_coupons":false,"coupons":[],"menu_items":[{"order_item_id":21828910,"menu_item_id":796424,"menu_category_id":100636,"name":"Agata_Bag_Pink_Crystal_Beads","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</si>
  <si>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11630551,"order_number_day":19,"order_link":"https:\/\/.qromo.it\/order\/?id=s10pypIfThUA3Mm_XDmfCw--","total_items":70,"additional_costs":0,"grand_total":70,"fee":0.98,"payment_type":"stripe","order_mode":"counter","customer_name":null,"table_name":null,"paid":true,"status":"completed","email_present":false,"phone_present":false,"order_notes":null,"order_date":"2026-06-03 18:37:26","delivery_scheduled_date":null,"delivery_address":null,"takeaway_date":null,"made_by_customer":false,"uses_coupons":false,"coupons":[],"menu_items":[{"order_item_id":21835773,"menu_item_id":796583,"menu_category_id":106151,"name":"Nina_Bag_Maxi_Jungle_Green","sku":null,"price":70,"quantity":1,"note":null,"price_with_products":70,"total_value_in_order":70,"category_name":"NINA BAG MAXI","menu_name":"CATALOGO","menu_id":21350}],"menu_items_products":[],"date_last_edit":null,"sms_sent":false,"prebill_requested":false,"subtotal_delta":0,"tip":0,"receipt":{"fiscal_status":"not_requested","type":null,"data":null},"invoice":null,"email":null,"phone":null}}</t>
  </si>
  <si>
    <t>These Qromo product names do NOT match any CODICE_AMIIMI in ACQUISTI: Nina_Bag_Maxi_Jungle_Green | Valid CODICE_AMIIMI count: 134</t>
  </si>
  <si>
    <t>{"version":1,"type":"orders.update","auth":"Fgw5sp0ORTzn88ubSmN6ZqHEkRv8YCGw","business_id":11476,"order":{"order_id":11630551,"order_number_day":19,"order_link":"https:\/\/.qromo.it\/order\/?id=s10pypIfThUA3Mm_XDmfCw--","total_items":70,"additional_costs":0,"grand_total":70,"fee":0.98,"payment_type":"stripe","order_mode":"counter","customer_name":null,"table_name":null,"paid":true,"status":"completed","email_present":false,"phone_present":false,"order_notes":null,"order_date":"2026-06-03 18:37:26","delivery_scheduled_date":null,"delivery_address":null,"takeaway_date":null,"made_by_customer":false,"uses_coupons":false,"coupons":[],"menu_items":[{"order_item_id":21835773,"menu_item_id":796583,"menu_category_id":106151,"name":"Nina_Bag_Maxi_Jungle_Green","sku":null,"price":70,"quantity":1,"note":null,"price_with_products":70,"total_value_in_order":70,"category_name":"NINA BAG MAXI","menu_name":"CATALOGO","menu_id":21350}],"menu_items_products":[],"date_last_edit":null,"sms_sent":false,"prebill_requested":false,"subtotal_delta":0,"tip":0,"receipt":{"fiscal_status":"fiscalized","type":"digital","data":{"business_receipt_id":3025255,"ade_id":"DCW2026\/8884-0443","total":70,"date":"2026-06-03 18:37:35"}},"invoice":null,"email":null,"phone":null}}</t>
  </si>
  <si>
    <t>{"version":1,"type":"orders.new","auth":"Fgw5sp0ORTzn88ubSmN6ZqHEkRv8YCGw","business_id":11476,"order":{"order_id":11630551,"order_number_day":19,"order_link":"https:\/\/.qromo.it\/order\/?id=s10pypIfThUA3Mm_XDmfCw--","total_items":70,"additional_costs":0,"grand_total":70,"fee":0.98,"payment_type":"stripe","order_mode":"counter","customer_name":null,"table_name":null,"paid":true,"status":"completed","email_present":false,"phone_present":false,"order_notes":null,"order_date":"2026-06-03 18:37:26","delivery_scheduled_date":null,"delivery_address":null,"takeaway_date":null,"made_by_customer":false,"uses_coupons":false,"coupons":[],"menu_items":[{"order_item_id":21835773,"menu_item_id":796583,"menu_category_id":106151,"name":"Nina_Bag_Maxi_Jungle_Green","sku":null,"price":70,"quantity":1,"note":null,"price_with_products":70,"total_value_in_order":70,"category_name":"NINA BAG MAXI","menu_name":"CATALOGO","menu_id":21350}],"menu_items_products":[],"date_last_edit":null,"sms_sent":false,"prebill_requested":false,"subtotal_delta":0,"tip":0,"receipt":{"fiscal_status":"not_requested","type":null,"data":null},"invoice":null,"email":null,"phone":null}}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</si>
  <si>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11631998,"order_number_day":21,"order_link":"https:\/\/.qromo.it\/order\/?id=aYkoc7LhCpM20VVuYUXJ2w--","total_items":18,"additional_costs":0,"grand_total":18,"fee":0.34,"payment_type":"stripe","order_mode":"counter","customer_name":null,"table_name":null,"paid":true,"status":"completed","email_present":false,"phone_present":false,"order_notes":null,"order_date":"2026-06-03 19:11:57","delivery_scheduled_date":null,"delivery_address":null,"takeaway_date":null,"made_by_customer":false,"uses_coupons":false,"coupons":[],"menu_items":[{"order_item_id":21838925,"menu_item_id":796592,"menu_category_id":107833,"name":"Sunglass_Cover_Candy_Pink","sku":null,"price":18,"quantity":1,"note":null,"price_with_products":18,"total_value_in_order":18,"category_name":"SUNGLASS COVER","menu_name":"CATALOGO","menu_id":21350}],"menu_items_products":[],"date_last_edit":null,"sms_sent":false,"prebill_requested":false,"subtotal_delta":0,"tip":0,"receipt":{"fiscal_status":"fiscalized","type":"digital","data":{"business_receipt_id":3025703,"ade_id":"DCW2026\/8885-4155","total":18,"date":"2026-06-03 19:12:03"}},"invoice":null,"email":null,"phone":null}}</t>
  </si>
  <si>
    <t>{"version":1,"type":"orders.update","auth":"Fgw5sp0ORTzn88ubSmN6ZqHEkRv8YCGw","business_id":11476,"order":{"order_id":11631998,"order_number_day":21,"order_link":"https:\/\/.qromo.it\/order\/?id=aYkoc7LhCpM20VVuYUXJ2w--","total_items":18,"additional_costs":0,"grand_total":18,"fee":0.34,"payment_type":"stripe","order_mode":"counter","customer_name":null,"table_name":null,"paid":true,"status":"completed","email_present":false,"phone_present":false,"order_notes":null,"order_date":"2026-06-03 19:11:57","delivery_scheduled_date":null,"delivery_address":null,"takeaway_date":null,"made_by_customer":false,"uses_coupons":false,"coupons":[],"menu_items":[{"order_item_id":21838925,"menu_item_id":796592,"menu_category_id":107833,"name":"Sunglass_Cover_Candy_Pink","sku":null,"price":18,"quantity":1,"note":null,"price_with_products":18,"total_value_in_order":18,"category_name":"SUNGLASS COVER","menu_name":"CATALOGO","menu_id":21350}],"menu_items_products":[],"date_last_edit":null,"sms_sent":false,"prebill_requested":false,"subtotal_delta":0,"tip":0,"receipt":{"fiscal_status":"not_requested","type":null,"data":null},"invoice":null,"email":null,"phone":null}}</t>
  </si>
  <si>
    <t>These Qromo product names do NOT match any CODICE_AMIIMI in ACQUISTI: Sunglass_Cover_Candy_Pink | Valid CODICE_AMIIMI count: 134</t>
  </si>
  <si>
    <t>{"version":1,"type":"orders.new","auth":"Fgw5sp0ORTzn88ubSmN6ZqHEkRv8YCGw","business_id":11476,"order":{"order_id":11631998,"order_number_day":21,"order_link":"https:\/\/.qromo.it\/order\/?id=aYkoc7LhCpM20VVuYUXJ2w--","total_items":18,"additional_costs":0,"grand_total":18,"fee":0.34,"payment_type":"stripe","order_mode":"counter","customer_name":null,"table_name":null,"paid":true,"status":"completed","email_present":false,"phone_present":false,"order_notes":null,"order_date":"2026-06-03 19:11:57","delivery_scheduled_date":null,"delivery_address":null,"takeaway_date":null,"made_by_customer":false,"uses_coupons":false,"coupons":[],"menu_items":[{"order_item_id":21838925,"menu_item_id":796592,"menu_category_id":107833,"name":"Sunglass_Cover_Candy_Pink","sku":null,"price":18,"quantity":1,"note":null,"price_with_products":18,"total_value_in_order":18,"category_name":"SUNGLASS COVER","menu_name":"CATALOGO","menu_id":21350}],"menu_items_products":[],"date_last_edit":null,"sms_sent":false,"prebill_requested":false,"subtotal_delta":0,"tip":0,"receipt":{"fiscal_status":"not_requested","type":null,"data":null},"invoice":null,"email":null,"phone":null}}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</si>
  <si>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11633098,"order_number_day":23,"order_link":"https:\/\/.qromo.it\/order\/?id=RWhmWEHKkH3gE.IHXl8WkQ--","total_items":120,"additional_costs":-12,"grand_total":108,"fee":1.44,"payment_type":"stripe","order_mode":"counter","customer_name":null,"table_name":null,"paid":true,"status":"completed","email_present":false,"phone_present":false,"order_notes":null,"order_date":"2026-06-03 19:42:57","delivery_scheduled_date":null,"delivery_address":null,"takeaway_date":null,"made_by_customer":false,"uses_coupons":false,"coupons":[],"menu_items":[{"order_item_id":21841404,"menu_item_id":782311,"menu_category_id":105925,"name":"Lea_Bag_COCCO_PINK","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</si>
  <si>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11633098,"order_number_day":23,"order_link":"https:\/\/.qromo.it\/order\/?id=RWhmWEHKkH3gE.IHXl8WkQ--","total_items":120,"additional_costs":-12,"grand_total":108,"fee":1.44,"payment_type":"stripe","order_mode":"counter","customer_name":null,"table_name":null,"paid":true,"status":"completed","email_present":false,"phone_present":false,"order_notes":null,"order_date":"2026-06-03 19:42:57","delivery_scheduled_date":null,"delivery_address":null,"takeaway_date":null,"made_by_customer":false,"uses_coupons":false,"coupons":[],"menu_items":[{"order_item_id":21841404,"menu_item_id":782311,"menu_category_id":105925,"name":"Lea_Bag_COCCO_PINK","sku":null,"price":120,"quantity":1,"note":null,"price_with_products":120,"total_value_in_order":108,"category_name":"LEA BAG COCCO","menu_name":"CATALOGO","menu_id":21350}],"menu_items_products":[],"date_last_edit":null,"sms_sent":false,"prebill_requested":false,"subtotal_delta":-12,"tip":0,"receipt":{"fiscal_status":"fiscalized","type":"digital","data":{"business_receipt_id":3026106,"ade_id":"DCW2026\/8886-4914","total":108,"date":"2026-06-03 19:43:10"}},"invoice":null,"email":null,"phone":null}}</t>
  </si>
  <si>
    <t>{"version":1,"type":"orders.new","auth":"Fgw5sp0ORTzn88ubSmN6ZqHEkRv8YCGw","business_id":11476,"order":{"order_id":11633098,"order_number_day":23,"order_link":"https:\/\/.qromo.it\/order\/?id=RWhmWEHKkH3gE.IHXl8WkQ--","total_items":120,"additional_costs":-12,"grand_total":108,"fee":1.44,"payment_type":"stripe","order_mode":"counter","customer_name":null,"table_name":null,"paid":true,"status":"completed","email_present":false,"phone_present":false,"order_notes":null,"order_date":"2026-06-03 19:42:57","delivery_scheduled_date":null,"delivery_address":null,"takeaway_date":null,"made_by_customer":false,"uses_coupons":false,"coupons":[],"menu_items":[{"order_item_id":21841404,"menu_item_id":782311,"menu_category_id":105925,"name":"Lea_Bag_COCCO_PINK","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</si>
  <si>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11651514,"order_number_day":2,"order_link":"https:\/\/.qromo.it\/order\/?id=c3F7CqnG18WOdcyyE4TVkQ--","total_items":80,"additional_costs":0,"grand_total":80,"fee":1.1,"payment_type":"stripe","order_mode":"counter","customer_name":null,"table_name":null,"paid":true,"status":"completed","email_present":false,"phone_present":false,"order_notes":null,"order_date":"2026-06-04 16:04:16","delivery_scheduled_date":null,"delivery_address":null,"takeaway_date":null,"made_by_customer":false,"uses_coupons":false,"coupons":[],"menu_items":[{"order_item_id":21874196,"menu_item_id":782315,"menu_category_id":100636,"name":"Agata_Bag_ROSE_BUTTER","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</si>
  <si>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11651514,"order_number_day":2,"order_link":"https:\/\/.qromo.it\/order\/?id=c3F7CqnG18WOdcyyE4TVkQ--","total_items":80,"additional_costs":0,"grand_total":80,"fee":1.1,"payment_type":"stripe","order_mode":"counter","customer_name":null,"table_name":null,"paid":true,"status":"completed","email_present":false,"phone_present":false,"order_notes":null,"order_date":"2026-06-04 16:04:16","delivery_scheduled_date":null,"delivery_address":null,"takeaway_date":null,"made_by_customer":false,"uses_coupons":false,"coupons":[],"menu_items":[{"order_item_id":21874196,"menu_item_id":782315,"menu_category_id":100636,"name":"Agata_Bag_ROSE_BUTTER","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3030194,"ade_id":"DCW2026\/8916-8447","total":80,"date":"2026-06-04 16:04:42"}},"invoice":null,"email":null,"phone":null}}</t>
  </si>
  <si>
    <t>{"version":1,"type":"orders.new","auth":"Fgw5sp0ORTzn88ubSmN6ZqHEkRv8YCGw","business_id":11476,"order":{"order_id":11651514,"order_number_day":2,"order_link":"https:\/\/.qromo.it\/order\/?id=c3F7CqnG18WOdcyyE4TVkQ--","total_items":80,"additional_costs":0,"grand_total":80,"fee":1.1,"payment_type":"stripe","order_mode":"counter","customer_name":null,"table_name":null,"paid":true,"status":"completed","email_present":false,"phone_present":false,"order_notes":null,"order_date":"2026-06-04 16:04:16","delivery_scheduled_date":null,"delivery_address":null,"takeaway_date":null,"made_by_customer":false,"uses_coupons":false,"coupons":[],"menu_items":[{"order_item_id":21874196,"menu_item_id":782315,"menu_category_id":100636,"name":"Agata_Bag_ROSE_BUTTER","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</si>
  <si>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11677610,"order_number_day":1,"order_link":"https:\/\/.qromo.it\/order\/?id=zOjL1FXHTOzJyG5.Csed6Q--","total_items":90,"additional_costs":0,"grand_total":90,"fee":1.22,"payment_type":"stripe","order_mode":"counter","customer_name":null,"table_name":null,"paid":true,"status":"completed","email_present":false,"phone_present":false,"order_notes":null,"order_date":"2026-06-05 15:17:36","delivery_scheduled_date":null,"delivery_address":null,"takeaway_date":null,"made_by_customer":false,"uses_coupons":false,"coupons":[],"menu_items":[{"order_item_id":21922878,"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</si>
  <si>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11677610,"order_number_day":1,"order_link":"https:\/\/.qromo.it\/order\/?id=zOjL1FXHTOzJyG5.Csed6Q--","total_items":90,"additional_costs":0,"grand_total":90,"fee":1.22,"payment_type":"stripe","order_mode":"counter","customer_name":null,"table_name":null,"paid":true,"status":"completed","email_present":false,"phone_present":false,"order_notes":null,"order_date":"2026-06-05 15:17:36","delivery_scheduled_date":null,"delivery_address":null,"takeaway_date":null,"made_by_customer":false,"uses_coupons":false,"coupons":[],"menu_items":[{"order_item_id":21922878,"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3037041,"ade_id":"DCW2026\/8956-5560","total":90,"date":"2026-06-05 15:18:41"}},"invoice":null,"email":null,"phone":null}}</t>
  </si>
  <si>
    <t>{"version":1,"type":"orders.new","auth":"Fgw5sp0ORTzn88ubSmN6ZqHEkRv8YCGw","business_id":11476,"order":{"order_id":11677610,"order_number_day":1,"order_link":"https:\/\/.qromo.it\/order\/?id=zOjL1FXHTOzJyG5.Csed6Q--","total_items":90,"additional_costs":0,"grand_total":90,"fee":1.22,"payment_type":"stripe","order_mode":"counter","customer_name":null,"table_name":null,"paid":true,"status":"completed","email_present":false,"phone_present":false,"order_notes":null,"order_date":"2026-06-05 15:17:36","delivery_scheduled_date":null,"delivery_address":null,"takeaway_date":null,"made_by_customer":false,"uses_coupons":false,"coupons":[],"menu_items":[{"order_item_id":21922878,"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</si>
  <si>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11857761,"order_number_day":3,"order_link":"https:\/\/.qromo.it\/order\/?id=nwSzBhwnjCVqGMl9XE_KRw--","total_items":120,"additional_costs":-12,"grand_total":108,"fee":1.44,"payment_type":"stripe","order_mode":"counter","customer_name":null,"table_name":null,"paid":true,"status":"completed","email_present":false,"phone_present":false,"order_notes":null,"order_date":"2026-06-09 16:27:37","delivery_scheduled_date":null,"delivery_address":null,"takeaway_date":null,"made_by_customer":false,"uses_coupons":false,"coupons":[],"menu_items":[{"order_item_id":22252180,"menu_item_id":782313,"menu_category_id":105925,"name":"Lea_Bag_COCCO_GREEN","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</si>
  <si>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11857761,"order_number_day":3,"order_link":"https:\/\/.qromo.it\/order\/?id=nwSzBhwnjCVqGMl9XE_KRw--","total_items":120,"additional_costs":-12,"grand_total":108,"fee":1.44,"payment_type":"stripe","order_mode":"counter","customer_name":null,"table_name":null,"paid":true,"status":"completed","email_present":false,"phone_present":false,"order_notes":null,"order_date":"2026-06-09 16:27:37","delivery_scheduled_date":null,"delivery_address":null,"takeaway_date":null,"made_by_customer":false,"uses_coupons":false,"coupons":[],"menu_items":[{"order_item_id":22252180,"menu_item_id":782313,"menu_category_id":105925,"name":"Lea_Bag_COCCO_GREEN","sku":null,"price":120,"quantity":1,"note":null,"price_with_products":120,"total_value_in_order":108,"category_name":"LEA BAG COCCO","menu_name":"CATALOGO","menu_id":21350}],"menu_items_products":[],"date_last_edit":null,"sms_sent":false,"prebill_requested":false,"subtotal_delta":-12,"tip":0,"receipt":{"fiscal_status":"fiscalized","type":"digital","data":{"business_receipt_id":3111416,"ade_id":"DCW2026\/9148-1963","total":108,"date":"2026-06-09 16:27:50"}},"invoice":null,"email":null,"phone":null}}</t>
  </si>
  <si>
    <t>These Qromo product names do NOT match any CODICE_AMIIMI in ACQUISTI: Lea_Bag_COCCO_GREEN | Valid CODICE_AMIIMI count: 2</t>
  </si>
  <si>
    <t>{"version":1,"type":"orders.new","auth":"Fgw5sp0ORTzn88ubSmN6ZqHEkRv8YCGw","business_id":11476,"order":{"order_id":11857761,"order_number_day":3,"order_link":"https:\/\/.qromo.it\/order\/?id=nwSzBhwnjCVqGMl9XE_KRw--","total_items":120,"additional_costs":-12,"grand_total":108,"fee":1.44,"payment_type":"stripe","order_mode":"counter","customer_name":null,"table_name":null,"paid":true,"status":"completed","email_present":false,"phone_present":false,"order_notes":null,"order_date":"2026-06-09 16:27:37","delivery_scheduled_date":null,"delivery_address":null,"takeaway_date":null,"made_by_customer":false,"uses_coupons":false,"coupons":[],"menu_items":[{"order_item_id":22252180,"menu_item_id":782313,"menu_category_id":105925,"name":"Lea_Bag_COCCO_GREEN","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</si>
  <si>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11857766,"order_number_day":4,"order_link":"https:\/\/.qromo.it\/order\/?id=of9bR8dsPCzPUPMxyB414A--","total_items":120,"additional_costs":-12,"grand_total":108,"fee":1.44,"payment_type":"stripe","order_mode":"counter","customer_name":null,"table_name":null,"paid":true,"status":"completed","email_present":false,"phone_present":false,"order_notes":null,"order_date":"2026-06-09 16:27:54","delivery_scheduled_date":null,"delivery_address":null,"takeaway_date":null,"made_by_customer":false,"uses_coupons":false,"coupons":[],"menu_items":[{"order_item_id":22252188,"menu_item_id":782313,"menu_category_id":105925,"name":"Lea_Bag_COCCO_GREEN","sku":null,"price":120,"quantity":1,"note":null,"price_with_products":120,"total_value_in_order":108,"category_name":"LEA BAG COCCO","menu_name":"CATALOGO","menu_id":21350}],"menu_items_products":[],"date_last_edit":null,"sms_sent":false,"prebill_requested":false,"subtotal_delta":-12,"tip":0,"receipt":{"fiscal_status":"fiscalized","type":"digital","data":{"business_receipt_id":3111417,"ade_id":"DCW2026\/9148-2047","total":108,"date":"2026-06-09 16:28:01"}},"invoice":null,"email":null,"phone":null}}</t>
  </si>
  <si>
    <t>{"version":1,"type":"orders.update","auth":"Fgw5sp0ORTzn88ubSmN6ZqHEkRv8YCGw","business_id":11476,"order":{"order_id":11857766,"order_number_day":4,"order_link":"https:\/\/.qromo.it\/order\/?id=of9bR8dsPCzPUPMxyB414A--","total_items":120,"additional_costs":-12,"grand_total":108,"fee":1.44,"payment_type":"stripe","order_mode":"counter","customer_name":null,"table_name":null,"paid":true,"status":"completed","email_present":false,"phone_present":false,"order_notes":null,"order_date":"2026-06-09 16:27:54","delivery_scheduled_date":null,"delivery_address":null,"takeaway_date":null,"made_by_customer":false,"uses_coupons":false,"coupons":[],"menu_items":[{"order_item_id":22252188,"menu_item_id":782313,"menu_category_id":105925,"name":"Lea_Bag_COCCO_GREEN","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</si>
  <si>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new","auth":"Fgw5sp0ORTzn88ubSmN6ZqHEkRv8YCGw","business_id":11476,"order":{"order_id":11857766,"order_number_day":4,"order_link":"https:\/\/.qromo.it\/order\/?id=of9bR8dsPCzPUPMxyB414A--","total_items":120,"additional_costs":-12,"grand_total":108,"fee":1.44,"payment_type":"stripe","order_mode":"counter","customer_name":null,"table_name":null,"paid":true,"status":"completed","email_present":false,"phone_present":false,"order_notes":null,"order_date":"2026-06-09 16:27:54","delivery_scheduled_date":null,"delivery_address":null,"takeaway_date":null,"made_by_customer":false,"uses_coupons":false,"coupons":[],"menu_items":[{"order_item_id":22252188,"menu_item_id":782313,"menu_category_id":105925,"name":"Lea_Bag_COCCO_GREEN","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</si>
  <si>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11880210,"order_number_day":2,"order_link":"https:\/\/.qromo.it\/order\/?id=mnCZAgBKYIpsjjUEZiTHLw--","total_items":120,"additional_costs":0,"grand_total":120,"fee":1.59,"payment_type":"stripe","order_mode":"counter","customer_name":null,"table_name":null,"paid":true,"status":"completed","email_present":false,"phone_present":false,"order_notes":null,"order_date":"2026-06-10 14:46:49","delivery_scheduled_date":null,"delivery_address":null,"takeaway_date":null,"made_by_customer":false,"uses_coupons":false,"coupons":[],"menu_items":[{"order_item_id":22296126,"menu_item_id":782313,"menu_category_id":105925,"name":"Lea_Bag_COCCO_GREEN","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</si>
  <si>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11880210,"order_number_day":2,"order_link":"https:\/\/.qromo.it\/order\/?id=mnCZAgBKYIpsjjUEZiTHLw--","total_items":120,"additional_costs":0,"grand_total":120,"fee":1.59,"payment_type":"stripe","order_mode":"counter","customer_name":null,"table_name":null,"paid":true,"status":"completed","email_present":false,"phone_present":false,"order_notes":null,"order_date":"2026-06-10 14:46:49","delivery_scheduled_date":null,"delivery_address":null,"takeaway_date":null,"made_by_customer":false,"uses_coupons":false,"coupons":[],"menu_items":[{"order_item_id":22296126,"menu_item_id":782313,"menu_category_id":105925,"name":"Lea_Bag_COCCO_GREEN","sku":null,"price":120,"quantity":1,"note":null,"price_with_products":120,"total_value_in_order":120,"category_name":"LEA BAG COCCO","menu_name":"CATALOGO","menu_id":21350}],"menu_items_products":[],"date_last_edit":null,"sms_sent":false,"prebill_requested":false,"subtotal_delta":0,"tip":0,"receipt":{"fiscal_status":"fiscalized","type":"digital","data":{"business_receipt_id":3117086,"ade_id":"DCW2026\/9184-2947","total":120,"date":"2026-06-10 14:47:08"}},"invoice":null,"email":null,"phone":null}}</t>
  </si>
  <si>
    <t>{"version":1,"type":"orders.new","auth":"Fgw5sp0ORTzn88ubSmN6ZqHEkRv8YCGw","business_id":11476,"order":{"order_id":11880210,"order_number_day":2,"order_link":"https:\/\/.qromo.it\/order\/?id=mnCZAgBKYIpsjjUEZiTHLw--","total_items":120,"additional_costs":0,"grand_total":120,"fee":1.59,"payment_type":"stripe","order_mode":"counter","customer_name":null,"table_name":null,"paid":true,"status":"completed","email_present":false,"phone_present":false,"order_notes":null,"order_date":"2026-06-10 14:46:49","delivery_scheduled_date":null,"delivery_address":null,"takeaway_date":null,"made_by_customer":false,"uses_coupons":false,"coupons":[],"menu_items":[{"order_item_id":22296126,"menu_item_id":782313,"menu_category_id":105925,"name":"Lea_Bag_COCCO_GREEN","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</si>
  <si>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11947757,"order_number_day":1,"order_link":"https:\/\/.qromo.it\/order\/?id=UELbargjAls9eFg4jKW8Hg--","total_items":50,"additional_costs":0,"grand_total":50,"fee":2.19,"payment_type":"stripe","order_mode":"counter","customer_name":null,"table_name":null,"paid":true,"status":"completed","email_present":false,"phone_present":false,"order_notes":null,"order_date":"2026-06-12 10:58:27","delivery_scheduled_date":null,"delivery_address":null,"takeaway_date":null,"made_by_customer":false,"uses_coupons":false,"coupons":[],"menu_items":[{"order_item_id":22415385,"menu_item_id":784120,"menu_category_id":106150,"name":"Nina_Bag_STRIPES_PETROL_BLUE","sku":null,"price":50,"quantity":1,"note":null,"price_with_products":50,"total_value_in_order":50,"category_name":"N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</si>
  <si>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11947757,"order_number_day":1,"order_link":"https:\/\/.qromo.it\/order\/?id=UELbargjAls9eFg4jKW8Hg--","total_items":50,"additional_costs":0,"grand_total":50,"fee":2.19,"payment_type":"stripe","order_mode":"counter","customer_name":null,"table_name":null,"paid":true,"status":"completed","email_present":false,"phone_present":false,"order_notes":null,"order_date":"2026-06-12 10:58:27","delivery_scheduled_date":null,"delivery_address":null,"takeaway_date":null,"made_by_customer":false,"uses_coupons":false,"coupons":[],"menu_items":[{"order_item_id":22415385,"menu_item_id":784120,"menu_category_id":106150,"name":"Nina_Bag_STRIPES_PETROL_BLUE","sku":null,"price":50,"quantity":1,"note":null,"price_with_products":50,"total_value_in_order":50,"category_name":"NINA BAG","menu_name":"CATALOGO","menu_id":21350}],"menu_items_products":[],"date_last_edit":null,"sms_sent":false,"prebill_requested":false,"subtotal_delta":0,"tip":0,"receipt":{"fiscal_status":"fiscalized","type":"digital","data":{"business_receipt_id":3140490,"ade_id":"DCW2026\/9263-9960","total":50,"date":"2026-06-12 10:58:43"}},"invoice":null,"email":null,"phone":null}}</t>
  </si>
  <si>
    <t>{"version":1,"type":"orders.new","auth":"Fgw5sp0ORTzn88ubSmN6ZqHEkRv8YCGw","business_id":11476,"order":{"order_id":11947757,"order_number_day":1,"order_link":"https:\/\/.qromo.it\/order\/?id=UELbargjAls9eFg4jKW8Hg--","total_items":50,"additional_costs":0,"grand_total":50,"fee":2.19,"payment_type":"stripe","order_mode":"counter","customer_name":null,"table_name":null,"paid":true,"status":"completed","email_present":false,"phone_present":false,"order_notes":null,"order_date":"2026-06-12 10:58:27","delivery_scheduled_date":null,"delivery_address":null,"takeaway_date":null,"made_by_customer":false,"uses_coupons":false,"coupons":[],"menu_items":[{"order_item_id":22415385,"menu_item_id":784120,"menu_category_id":106150,"name":"Nina_Bag_STRIPES_PETROL_BLUE","sku":null,"price":50,"quantity":1,"note":null,"price_with_products":50,"total_value_in_order":50,"category_name":"N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</si>
  <si>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11947855,"order_number_day":4,"order_link":"https:\/\/.qromo.it\/order\/?id=eaWUt9gxG4rERW9ebvEPwQ--","total_items":16,"additional_costs":0,"grand_total":16,"fee":0.32,"payment_type":"stripe","order_mode":"counter","customer_name":null,"table_name":null,"paid":true,"status":"completed","email_present":false,"phone_present":false,"order_notes":null,"order_date":"2026-06-12 11:01:00","delivery_scheduled_date":null,"delivery_address":null,"takeaway_date":null,"made_by_customer":false,"uses_coupons":false,"coupons":[],"menu_items":[{"order_item_id":22415639,"menu_item_id":796632,"menu_category_id":107835,"name":"Airpod_Cover_9X11_STRIPES_AZURE_RED","sku":null,"price":16,"quantity":1,"note":null,"price_with_products":16,"total_value_in_order":16,"category_name":"","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</si>
  <si>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11947855,"order_number_day":4,"order_link":"https:\/\/.qromo.it\/order\/?id=eaWUt9gxG4rERW9ebvEPwQ--","total_items":16,"additional_costs":0,"grand_total":16,"fee":0.32,"payment_type":"stripe","order_mode":"counter","customer_name":null,"table_name":null,"paid":true,"status":"completed","email_present":false,"phone_present":false,"order_notes":null,"order_date":"2026-06-12 11:01:00","delivery_scheduled_date":null,"delivery_address":null,"takeaway_date":null,"made_by_customer":false,"uses_coupons":false,"coupons":[],"menu_items":[{"order_item_id":22415639,"menu_item_id":796632,"menu_category_id":107835,"name":"Airpod_Cover_9X11_STRIPES_AZURE_RED","sku":null,"price":16,"quantity":1,"note":null,"price_with_products":16,"total_value_in_order":16,"category_name":"","menu_name":"CATALOGO","menu_id":21350}],"menu_items_products":[],"date_last_edit":null,"sms_sent":false,"prebill_requested":false,"subtotal_delta":0,"tip":0,"receipt":{"fiscal_status":"fiscalized","type":"digital","data":{"business_receipt_id":3140506,"ade_id":"DCW2026\/9264-1358","total":16,"date":"2026-06-12 11:01:14"}},"invoice":null,"email":null,"phone":null}}</t>
  </si>
  <si>
    <t>{"version":1,"type":"orders.new","auth":"Fgw5sp0ORTzn88ubSmN6ZqHEkRv8YCGw","business_id":11476,"order":{"order_id":11947855,"order_number_day":4,"order_link":"https:\/\/.qromo.it\/order\/?id=eaWUt9gxG4rERW9ebvEPwQ--","total_items":16,"additional_costs":0,"grand_total":16,"fee":0.32,"payment_type":"stripe","order_mode":"counter","customer_name":null,"table_name":null,"paid":true,"status":"completed","email_present":false,"phone_present":false,"order_notes":null,"order_date":"2026-06-12 11:01:00","delivery_scheduled_date":null,"delivery_address":null,"takeaway_date":null,"made_by_customer":false,"uses_coupons":false,"coupons":[],"menu_items":[{"order_item_id":22415639,"menu_item_id":796632,"menu_category_id":107835,"name":"Airpod_Cover_9X11_STRIPES_AZURE_RED","sku":null,"price":16,"quantity":1,"note":null,"price_with_products":16,"total_value_in_order":16,"category_name":"","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</si>
  <si>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12170006,"order_number_day":1,"order_link":"https:\/\/.qromo.it\/order\/?id=wVYtgxq0VNDrlx22y1cYNQ--","total_items":80,"additional_costs":0,"grand_total":80,"fee":0,"payment_type":"cash","order_mode":"counter","customer_name":null,"table_name":null,"paid":true,"status":"completed","email_present":false,"phone_present":false,"order_notes":null,"order_date":"2026-06-15 15:41:51","delivery_scheduled_date":null,"delivery_address":null,"takeaway_date":null,"made_by_customer":false,"uses_coupons":false,"coupons":[],"menu_items":[{"order_item_id":22801641,"menu_item_id":782316,"menu_category_id":100636,"name":"Agata_Bag_ROSE_BUTTER_GREEN","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3243512,"ade_id":"DCW2026\/9432-4385","total":80,"date":"2026-06-15 15:41:52"}},"invoice":null,"email":null,"phone":null}}</t>
  </si>
  <si>
    <t>{"version":1,"type":"orders.new","auth":"Fgw5sp0ORTzn88ubSmN6ZqHEkRv8YCGw","business_id":11476,"order":{"order_id":12170006,"order_number_day":1,"order_link":"https:\/\/.qromo.it\/order\/?id=wVYtgxq0VNDrlx22y1cYNQ--","total_items":80,"additional_costs":0,"grand_total":80,"fee":0,"payment_type":"cash","order_mode":"counter","customer_name":null,"table_name":null,"paid":true,"status":"completed","email_present":false,"phone_present":false,"order_notes":null,"order_date":"2026-06-15 15:41:51","delivery_scheduled_date":null,"delivery_address":null,"takeaway_date":null,"made_by_customer":false,"uses_coupons":false,"coupons":[],"menu_items":[{"order_item_id":22801641,"menu_item_id":782316,"menu_category_id":100636,"name":"Agata_Bag_ROSE_BUTTER_GREEN","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</si>
  <si>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12218126,"order_number_day":4,"order_link":"https:\/\/.qromo.it\/order\/?id=0CTiTAKM7V.yulb825o2cw--","total_items":90,"additional_costs":0,"grand_total":90,"fee":1.22,"payment_type":"stripe","order_mode":"counter","customer_name":null,"table_name":null,"paid":true,"status":"completed","email_present":false,"phone_present":false,"order_notes":null,"order_date":"2026-06-17 11:04:23","delivery_scheduled_date":null,"delivery_address":null,"takeaway_date":null,"made_by_customer":false,"uses_coupons":false,"coupons":[],"menu_items":[{"order_item_id":22892216,"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</si>
  <si>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12218126,"order_number_day":4,"order_link":"https:\/\/.qromo.it\/order\/?id=0CTiTAKM7V.yulb825o2cw--","total_items":90,"additional_costs":0,"grand_total":90,"fee":1.22,"payment_type":"stripe","order_mode":"counter","customer_name":null,"table_name":null,"paid":true,"status":"completed","email_present":false,"phone_present":false,"order_notes":null,"order_date":"2026-06-17 11:04:23","delivery_scheduled_date":null,"delivery_address":null,"takeaway_date":null,"made_by_customer":false,"uses_coupons":false,"coupons":[],"menu_items":[{"order_item_id":22892216,"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3256395,"ade_id":"DCW2026\/9505-9152","total":90,"date":"2026-06-17 11:05:05"}},"invoice":null,"email":null,"phone":null}}</t>
  </si>
  <si>
    <t>These Qromo product names do NOT match any CODICE_AMIIMI in ACQUISTI: Annie_Bag_SILK_PINK | Valid CODICE_AMIIMI count: 162</t>
  </si>
  <si>
    <t>{"version":1,"type":"orders.new","auth":"Fgw5sp0ORTzn88ubSmN6ZqHEkRv8YCGw","business_id":11476,"order":{"order_id":12218126,"order_number_day":4,"order_link":"https:\/\/.qromo.it\/order\/?id=0CTiTAKM7V.yulb825o2cw--","total_items":90,"additional_costs":0,"grand_total":90,"fee":1.22,"payment_type":"stripe","order_mode":"counter","customer_name":null,"table_name":null,"paid":true,"status":"completed","email_present":false,"phone_present":false,"order_notes":null,"order_date":"2026-06-17 11:04:23","delivery_scheduled_date":null,"delivery_address":null,"takeaway_date":null,"made_by_customer":false,"uses_coupons":false,"coupons":[],"menu_items":[{"order_item_id":22892216,"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</si>
  <si>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12306985,"order_number_day":1,"order_link":"https:\/\/.qromo.it\/order\/?id=Uil2VBFcMVPTvIcDRM86kA--","total_items":50,"additional_costs":-5,"grand_total":45,"fee":1.77,"payment_type":"stripe","order_mode":"counter","customer_name":null,"table_name":null,"paid":true,"status":"completed","email_present":false,"phone_present":false,"order_notes":null,"order_date":"2026-06-19 09:32:51","delivery_scheduled_date":null,"delivery_address":null,"takeaway_date":null,"made_by_customer":false,"uses_coupons":false,"coupons":[],"menu_items":[{"order_item_id":23042604,"menu_item_id":796608,"menu_category_id":106150,"name":"Nina_Bag_STRIPES_JUNGLE_GREEN","sku":null,"price":50,"quantity":1,"note":null,"price_with_products":50,"total_value_in_order":45,"category_name":"NINA BAG","menu_name":"CATALOGO","menu_id":21350}],"menu_items_products":[],"date_last_edit":null,"sms_sent":false,"prebill_requested":false,"subtotal_delta":-5,"tip":0,"receipt":{"fiscal_status":"fiscalized","type":"digital","data":{"business_receipt_id":3293190,"ade_id":"DCW2026\/9595-6722","total":45,"date":"2026-06-19 09:33:10"}},"invoice":null,"email":null,"phone":null}}</t>
  </si>
  <si>
    <t>{"version":1,"type":"orders.update","auth":"Fgw5sp0ORTzn88ubSmN6ZqHEkRv8YCGw","business_id":11476,"order":{"order_id":12306985,"order_number_day":1,"order_link":"https:\/\/.qromo.it\/order\/?id=Uil2VBFcMVPTvIcDRM86kA--","total_items":50,"additional_costs":-5,"grand_total":45,"fee":1.77,"payment_type":"stripe","order_mode":"counter","customer_name":null,"table_name":null,"paid":true,"status":"completed","email_present":false,"phone_present":false,"order_notes":null,"order_date":"2026-06-19 09:32:51","delivery_scheduled_date":null,"delivery_address":null,"takeaway_date":null,"made_by_customer":false,"uses_coupons":false,"coupons":[],"menu_items":[{"order_item_id":23042604,"menu_item_id":796608,"menu_category_id":106150,"name":"Nina_Bag_STRIPES_JUNGLE_GREEN","sku":null,"price":50,"quantity":1,"note":null,"price_with_products":50,"total_value_in_order":45,"category_name":"NINA BAG","menu_name":"CATALOGO","menu_id":21350}],"menu_items_products":[],"date_last_edit":null,"sms_sent":false,"prebill_requested":false,"subtotal_delta":-5,"tip":0,"receipt":{"fiscal_status":"not_requested","type":null,"data":null},"invoice":null,"email":null,"phone":null}}</t>
  </si>
  <si>
    <t>{"version":1,"type":"orders.new","auth":"Fgw5sp0ORTzn88ubSmN6ZqHEkRv8YCGw","business_id":11476,"order":{"order_id":12306985,"order_number_day":1,"order_link":"https:\/\/.qromo.it\/order\/?id=Uil2VBFcMVPTvIcDRM86kA--","total_items":50,"additional_costs":-5,"grand_total":45,"fee":1.77,"payment_type":"stripe","order_mode":"counter","customer_name":null,"table_name":null,"paid":true,"status":"completed","email_present":false,"phone_present":false,"order_notes":null,"order_date":"2026-06-19 09:32:51","delivery_scheduled_date":null,"delivery_address":null,"takeaway_date":null,"made_by_customer":false,"uses_coupons":false,"coupons":[],"menu_items":[{"order_item_id":23042604,"menu_item_id":796608,"menu_category_id":106150,"name":"Nina_Bag_STRIPES_JUNGLE_GREEN","sku":null,"price":50,"quantity":1,"note":null,"price_with_products":50,"total_value_in_order":45,"category_name":"NINA BAG","menu_name":"CATALOGO","menu_id":21350}],"menu_items_products":[],"date_last_edit":null,"sms_sent":false,"prebill_requested":false,"subtotal_delta":-5,"tip":0,"receipt":{"fiscal_status":"not_requested","type":null,"data":null},"invoice":null,"email":null,"phone":null}}</t>
  </si>
  <si>
    <t>{"version":1,"type":"orders.update","auth":"Fgw5sp0ORTzn88ubSmN6ZqHEkRv8YCGw","business_id":11476,"order":{"order_id":12316531,"order_number_day":3,"order_link":"https:\/\/.qromo.it\/order\/?id=f0kPlNfHeGZtZdkVclpR5A--","total_items":120,"additional_costs":0,"grand_total":120,"fee":1.59,"payment_type":"stripe","order_mode":"counter","customer_name":null,"table_name":null,"paid":true,"status":"completed","email_present":false,"phone_present":false,"order_notes":null,"order_date":"2026-06-19 16:25:41","delivery_scheduled_date":null,"delivery_address":null,"takeaway_date":null,"made_by_customer":false,"uses_coupons":false,"coupons":[],"menu_items":[{"order_item_id":23059976,"menu_item_id":782313,"menu_category_id":105925,"name":"Lea_Bag_COCCO_GREEN","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</si>
  <si>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12316531,"order_number_day":3,"order_link":"https:\/\/.qromo.it\/order\/?id=f0kPlNfHeGZtZdkVclpR5A--","total_items":120,"additional_costs":0,"grand_total":120,"fee":1.59,"payment_type":"stripe","order_mode":"counter","customer_name":null,"table_name":null,"paid":true,"status":"completed","email_present":false,"phone_present":false,"order_notes":null,"order_date":"2026-06-19 16:25:41","delivery_scheduled_date":null,"delivery_address":null,"takeaway_date":null,"made_by_customer":false,"uses_coupons":false,"coupons":[],"menu_items":[{"order_item_id":23059976,"menu_item_id":782313,"menu_category_id":105925,"name":"Lea_Bag_COCCO_GREEN","sku":null,"price":120,"quantity":1,"note":null,"price_with_products":120,"total_value_in_order":120,"category_name":"LEA BAG COCCO","menu_name":"CATALOGO","menu_id":21350}],"menu_items_products":[],"date_last_edit":null,"sms_sent":false,"prebill_requested":false,"subtotal_delta":0,"tip":0,"receipt":{"fiscal_status":"fiscalized","type":"digital","data":{"business_receipt_id":3295413,"ade_id":"DCW2026\/9616-2485","total":120,"date":"2026-06-19 16:25:59"}},"invoice":null,"email":null,"phone":null}}</t>
  </si>
  <si>
    <t>{"version":1,"type":"orders.new","auth":"Fgw5sp0ORTzn88ubSmN6ZqHEkRv8YCGw","business_id":11476,"order":{"order_id":12316531,"order_number_day":3,"order_link":"https:\/\/.qromo.it\/order\/?id=f0kPlNfHeGZtZdkVclpR5A--","total_items":120,"additional_costs":0,"grand_total":120,"fee":1.59,"payment_type":"stripe","order_mode":"counter","customer_name":null,"table_name":null,"paid":true,"status":"completed","email_present":false,"phone_present":false,"order_notes":null,"order_date":"2026-06-19 16:25:41","delivery_scheduled_date":null,"delivery_address":null,"takeaway_date":null,"made_by_customer":false,"uses_coupons":false,"coupons":[],"menu_items":[{"order_item_id":23059976,"menu_item_id":782313,"menu_category_id":105925,"name":"Lea_Bag_COCCO_GREEN","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</si>
  <si>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12317526,"order_number_day":4,"order_link":"https:\/\/.qromo.it\/order\/?id=RJUTIaQlNiJGERj3ekY6iw--","total_items":120,"additional_costs":0,"grand_total":120,"fee":3.05,"payment_type":"stripe","order_mode":"counter","customer_name":null,"table_name":null,"paid":true,"status":"completed","email_present":false,"phone_present":false,"order_notes":null,"order_date":"2026-06-19 16:52:36","delivery_scheduled_date":null,"delivery_address":null,"takeaway_date":null,"made_by_customer":false,"uses_coupons":false,"coupons":[],"menu_items":[{"order_item_id":23061667,"menu_item_id":782318,"menu_category_id":96060,"name":"Maria_Bag_BURRO_PIERCING","sku":null,"price":120,"quantity":1,"note":null,"price_with_products":120,"total_value_in_order":120,"category_name":"MARIA BAG","menu_name":"CATALOGO","menu_id":21350}],"menu_items_products":[],"date_last_edit":null,"sms_sent":false,"prebill_requested":false,"subtotal_delta":0,"tip":0,"receipt":{"fiscal_status":"fiscalized","type":"digital","data":{"business_receipt_id":3295678,"ade_id":"DCW2026\/9617-8072","total":120,"date":"2026-06-19 16:52:45"}},"invoice":null,"email":null,"phone":null}}</t>
  </si>
  <si>
    <t>{"version":1,"type":"orders.update","auth":"Fgw5sp0ORTzn88ubSmN6ZqHEkRv8YCGw","business_id":11476,"order":{"order_id":12317526,"order_number_day":4,"order_link":"https:\/\/.qromo.it\/order\/?id=RJUTIaQlNiJGERj3ekY6iw--","total_items":120,"additional_costs":0,"grand_total":120,"fee":3.05,"payment_type":"stripe","order_mode":"counter","customer_name":null,"table_name":null,"paid":true,"status":"completed","email_present":false,"phone_present":false,"order_notes":null,"order_date":"2026-06-19 16:52:36","delivery_scheduled_date":null,"delivery_address":null,"takeaway_date":null,"made_by_customer":false,"uses_coupons":false,"coupons":[],"menu_items":[{"order_item_id":23061667,"menu_item_id":782318,"menu_category_id":96060,"name":"Maria_Bag_BURRO_PIERCING","sku":null,"price":120,"quantity":1,"note":null,"price_with_products":120,"total_value_in_order":120,"category_name":"MARIA BAG","menu_name":"CATALOGO","menu_id":21350}],"menu_items_products":[],"date_last_edit":null,"sms_sent":false,"prebill_requested":false,"subtotal_delta":0,"tip":0,"receipt":{"fiscal_status":"not_requested","type":null,"data":null},"invoice":null,"email":null,"phone":null}}</t>
  </si>
  <si>
    <t>{"version":1,"type":"orders.new","auth":"Fgw5sp0ORTzn88ubSmN6ZqHEkRv8YCGw","business_id":11476,"order":{"order_id":12317526,"order_number_day":4,"order_link":"https:\/\/.qromo.it\/order\/?id=RJUTIaQlNiJGERj3ekY6iw--","total_items":120,"additional_costs":0,"grand_total":120,"fee":3.05,"payment_type":"stripe","order_mode":"counter","customer_name":null,"table_name":null,"paid":true,"status":"completed","email_present":false,"phone_present":false,"order_notes":null,"order_date":"2026-06-19 16:52:36","delivery_scheduled_date":null,"delivery_address":null,"takeaway_date":null,"made_by_customer":false,"uses_coupons":false,"coupons":[],"menu_items":[{"order_item_id":23061667,"menu_item_id":782318,"menu_category_id":96060,"name":"Maria_Bag_BURRO_PIERCING","sku":null,"price":120,"quantity":1,"note":null,"price_with_products":120,"total_value_in_order":120,"category_name":"MARI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</si>
  <si>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12488264,"order_number_day":1,"order_link":"https:\/\/.qromo.it\/order\/?id=th4J_oQOygIUROXaMmMWPw--","total_items":80,"additional_costs":-8,"grand_total":72,"fee":1,"payment_type":"stripe","order_mode":"counter","customer_name":null,"table_name":null,"paid":true,"status":"completed","email_present":false,"phone_present":false,"order_notes":null,"order_date":"2026-06-22 17:11:59","delivery_scheduled_date":null,"delivery_address":null,"takeaway_date":null,"made_by_customer":false,"uses_coupons":false,"coupons":[],"menu_items":[{"order_item_id":23385123,"menu_item_id":814583,"menu_category_id":100636,"name":"Agata_Bag_Beads_Pink","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</si>
  <si>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12488264,"order_number_day":1,"order_link":"https:\/\/.qromo.it\/order\/?id=th4J_oQOygIUROXaMmMWPw--","total_items":80,"additional_costs":-8,"grand_total":72,"fee":1,"payment_type":"stripe","order_mode":"counter","customer_name":null,"table_name":null,"paid":true,"status":"completed","email_present":false,"phone_present":false,"order_notes":null,"order_date":"2026-06-22 17:11:59","delivery_scheduled_date":null,"delivery_address":null,"takeaway_date":null,"made_by_customer":false,"uses_coupons":false,"coupons":[],"menu_items":[{"order_item_id":23385123,"menu_item_id":814583,"menu_category_id":100636,"name":"Agata_Bag_Beads_Pink","sku":null,"price":80,"quantity":1,"note":null,"price_with_products":80,"total_value_in_order":72,"category_name":"AGATA BAG","menu_name":"CATALOGO","menu_id":21350}],"menu_items_products":[],"date_last_edit":null,"sms_sent":false,"prebill_requested":false,"subtotal_delta":-8,"tip":0,"receipt":{"fiscal_status":"fiscalized","type":"digital","data":{"business_receipt_id":3371493,"ade_id":"DCW2026\/9776-4220","total":72,"date":"2026-06-22 17:12:19"}},"invoice":null,"email":null,"phone":null}}</t>
  </si>
  <si>
    <t>These Qromo product names do NOT match any CODICE_AMIIMI in ACQUISTI: Agata_Bag_Beads_Pink | Valid CODICE_AMIIMI count: 162</t>
  </si>
  <si>
    <t>{"version":1,"type":"orders.new","auth":"Fgw5sp0ORTzn88ubSmN6ZqHEkRv8YCGw","business_id":11476,"order":{"order_id":12488264,"order_number_day":1,"order_link":"https:\/\/.qromo.it\/order\/?id=th4J_oQOygIUROXaMmMWPw--","total_items":80,"additional_costs":-8,"grand_total":72,"fee":1,"payment_type":"stripe","order_mode":"counter","customer_name":null,"table_name":null,"paid":true,"status":"completed","email_present":false,"phone_present":false,"order_notes":null,"order_date":"2026-06-22 17:11:59","delivery_scheduled_date":null,"delivery_address":null,"takeaway_date":null,"made_by_customer":false,"uses_coupons":false,"coupons":[],"menu_items":[{"order_item_id":23385123,"menu_item_id":814583,"menu_category_id":100636,"name":"Agata_Bag_Beads_Pink","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</si>
  <si>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12513374,"order_number_day":3,"order_link":"https:\/\/.qromo.it\/order\/?id=56Va3r0JBGAoxazRoMg8FQ--","total_items":14,"additional_costs":0,"grand_total":14,"fee":0.29,"payment_type":"stripe","order_mode":"counter","customer_name":null,"table_name":null,"paid":true,"status":"completed","email_present":false,"phone_present":false,"order_notes":null,"order_date":"2026-06-23 16:23:57","delivery_scheduled_date":null,"delivery_address":null,"takeaway_date":null,"made_by_customer":false,"uses_coupons":false,"coupons":[],"menu_items":[{"order_item_id":23431647,"menu_item_id":796620,"menu_category_id":107834,"name":"Airpod_Cover_7X9_CHECKS_FOREST_GREEN","sku":null,"price":14,"quantity":1,"note":null,"price_with_products":14,"total_value_in_order":14,"category_name":"AIRPODS CASE","menu_name":"CATALOGO","menu_id":21350}],"menu_items_products":[],"date_last_edit":null,"sms_sent":false,"prebill_requested":false,"subtotal_delta":0,"tip":0,"receipt":{"fiscal_status":"fiscalized","type":"digital","data":{"business_receipt_id":3378368,"ade_id":"DCW2026\/9817-5717","total":14,"date":"2026-06-23 16:24:08"}},"invoice":null,"email":null,"phone":null}}</t>
  </si>
  <si>
    <t>{"version":1,"type":"orders.update","auth":"Fgw5sp0ORTzn88ubSmN6ZqHEkRv8YCGw","business_id":11476,"order":{"order_id":12513374,"order_number_day":3,"order_link":"https:\/\/.qromo.it\/order\/?id=56Va3r0JBGAoxazRoMg8FQ--","total_items":14,"additional_costs":0,"grand_total":14,"fee":0.29,"payment_type":"stripe","order_mode":"counter","customer_name":null,"table_name":null,"paid":true,"status":"completed","email_present":false,"phone_present":false,"order_notes":null,"order_date":"2026-06-23 16:23:57","delivery_scheduled_date":null,"delivery_address":null,"takeaway_date":null,"made_by_customer":false,"uses_coupons":false,"coupons":[],"menu_items":[{"order_item_id":23431647,"menu_item_id":796620,"menu_category_id":107834,"name":"Airpod_Cover_7X9_CHECKS_FOREST_GREEN","sku":null,"price":14,"quantity":1,"note":null,"price_with_products":14,"total_value_in_order":14,"category_name":"AIRPODS CASE","menu_name":"CATALOGO","menu_id":21350}],"menu_items_products":[],"date_last_edit":null,"sms_sent":false,"prebill_requested":false,"subtotal_delta":0,"tip":0,"receipt":{"fiscal_status":"not_requested","type":null,"data":null},"invoice":null,"email":null,"phone":null}}</t>
  </si>
  <si>
    <t>{"version":1,"type":"orders.new","auth":"Fgw5sp0ORTzn88ubSmN6ZqHEkRv8YCGw","business_id":11476,"order":{"order_id":12513374,"order_number_day":3,"order_link":"https:\/\/.qromo.it\/order\/?id=56Va3r0JBGAoxazRoMg8FQ--","total_items":14,"additional_costs":0,"grand_total":14,"fee":0.29,"payment_type":"stripe","order_mode":"counter","customer_name":null,"table_name":null,"paid":true,"status":"completed","email_present":false,"phone_present":false,"order_notes":null,"order_date":"2026-06-23 16:23:57","delivery_scheduled_date":null,"delivery_address":null,"takeaway_date":null,"made_by_customer":false,"uses_coupons":false,"coupons":[],"menu_items":[{"order_item_id":23431647,"menu_item_id":796620,"menu_category_id":107834,"name":"Airpod_Cover_7X9_CHECKS_FOREST_GREEN","sku":null,"price":14,"quantity":1,"note":null,"price_with_products":14,"total_value_in_order":14,"category_name":"AIRPODS CASE","menu_name":"CATALOGO","menu_id":21350}],"menu_items_products":[],"date_last_edit":null,"sms_sent":false,"prebill_requested":false,"subtotal_delta":0,"tip":0,"receipt":{"fiscal_status":"not_requested","type":null,"data":null},"invoice":null,"email":null,"phone":null}}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</si>
  <si>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12513697,"order_number_day":4,"order_link":"https:\/\/.qromo.it\/order\/?id=j_LTUkg7CuxY1izzmdTssQ--","total_items":90,"additional_costs":0,"grand_total":90,"fee":1.22,"payment_type":"stripe","order_mode":"counter","customer_name":null,"table_name":null,"paid":true,"status":"completed","email_present":false,"phone_present":false,"order_notes":null,"order_date":"2026-06-23 16:31:13","delivery_scheduled_date":null,"delivery_address":null,"takeaway_date":null,"made_by_customer":false,"uses_coupons":false,"coupons":[],"menu_items":[{"order_item_id":23432076,"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</si>
  <si>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12513697,"order_number_day":4,"order_link":"https:\/\/.qromo.it\/order\/?id=j_LTUkg7CuxY1izzmdTssQ--","total_items":90,"additional_costs":0,"grand_total":90,"fee":1.22,"payment_type":"stripe","order_mode":"counter","customer_name":null,"table_name":null,"paid":true,"status":"completed","email_present":false,"phone_present":false,"order_notes":null,"order_date":"2026-06-23 16:31:13","delivery_scheduled_date":null,"delivery_address":null,"takeaway_date":null,"made_by_customer":false,"uses_coupons":false,"coupons":[],"menu_items":[{"order_item_id":23432076,"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3378539,"ade_id":"DCW2026\/9817-9734","total":90,"date":"2026-06-23 16:31:27"}},"invoice":null,"email":null,"phone":null}}</t>
  </si>
  <si>
    <t>These Qromo product names do NOT match any CODICE_AMIIMI in ACQUISTI: Annie_Bag_SILK_PINK | Valid CODICE_AMIIMI count: 166</t>
  </si>
  <si>
    <t>{"version":1,"type":"orders.new","auth":"Fgw5sp0ORTzn88ubSmN6ZqHEkRv8YCGw","business_id":11476,"order":{"order_id":12513697,"order_number_day":4,"order_link":"https:\/\/.qromo.it\/order\/?id=j_LTUkg7CuxY1izzmdTssQ--","total_items":90,"additional_costs":0,"grand_total":90,"fee":1.22,"payment_type":"stripe","order_mode":"counter","customer_name":null,"table_name":null,"paid":true,"status":"completed","email_present":false,"phone_present":false,"order_notes":null,"order_date":"2026-06-23 16:31:13","delivery_scheduled_date":null,"delivery_address":null,"takeaway_date":null,"made_by_customer":false,"uses_coupons":false,"coupons":[],"menu_items":[{"order_item_id":23432076,"menu_item_id":789565,"menu_category_id":99714,"name":"Annie_Bag_SILK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</si>
  <si>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12515528,"order_number_day":5,"order_link":"https:\/\/.qromo.it\/order\/?id=KouznOeLfATwNkKCSMTehQ--","total_items":80,"additional_costs":0,"grand_total":80,"fee":1.1,"payment_type":"stripe","order_mode":"counter","customer_name":null,"table_name":null,"paid":true,"status":"completed","email_present":false,"phone_present":false,"order_notes":null,"order_date":"2026-06-23 17:05:04","delivery_scheduled_date":null,"delivery_address":null,"takeaway_date":null,"made_by_customer":false,"uses_coupons":false,"coupons":[],"menu_items":[{"order_item_id":23434780,"menu_item_id":801244,"menu_category_id":100636,"name":"Agata_Bag_FLORAL_LIGHT_GREY","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3379376,"ade_id":"DCW2026\/9819-7673","total":80,"date":"2026-06-23 17:05:13"}},"invoice":null,"email":null,"phone":null}}</t>
  </si>
  <si>
    <t>{"version":1,"type":"orders.update","auth":"Fgw5sp0ORTzn88ubSmN6ZqHEkRv8YCGw","business_id":11476,"order":{"order_id":12515528,"order_number_day":5,"order_link":"https:\/\/.qromo.it\/order\/?id=KouznOeLfATwNkKCSMTehQ--","total_items":80,"additional_costs":0,"grand_total":80,"fee":1.1,"payment_type":"stripe","order_mode":"counter","customer_name":null,"table_name":null,"paid":true,"status":"completed","email_present":false,"phone_present":false,"order_notes":null,"order_date":"2026-06-23 17:05:04","delivery_scheduled_date":null,"delivery_address":null,"takeaway_date":null,"made_by_customer":false,"uses_coupons":false,"coupons":[],"menu_items":[{"order_item_id":23434780,"menu_item_id":801244,"menu_category_id":100636,"name":"Agata_Bag_FLORAL_LIGHT_GREY","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</si>
  <si>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new","auth":"Fgw5sp0ORTzn88ubSmN6ZqHEkRv8YCGw","business_id":11476,"order":{"order_id":12515528,"order_number_day":5,"order_link":"https:\/\/.qromo.it\/order\/?id=KouznOeLfATwNkKCSMTehQ--","total_items":80,"additional_costs":0,"grand_total":80,"fee":1.1,"payment_type":"stripe","order_mode":"counter","customer_name":null,"table_name":null,"paid":true,"status":"completed","email_present":false,"phone_present":false,"order_notes":null,"order_date":"2026-06-23 17:05:04","delivery_scheduled_date":null,"delivery_address":null,"takeaway_date":null,"made_by_customer":false,"uses_coupons":false,"coupons":[],"menu_items":[{"order_item_id":23434780,"menu_item_id":801244,"menu_category_id":100636,"name":"Agata_Bag_FLORAL_LIGHT_GREY","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</si>
  <si>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12551622,"order_number_day":1,"order_link":"https:\/\/.qromo.it\/order\/?id=ZUl31Pnz.fTeDyYKwHojhA--","total_items":160,"additional_costs":0,"grand_total":160,"fee":2.07,"payment_type":"stripe","order_mode":"counter","customer_name":null,"table_name":null,"paid":true,"status":"completed","email_present":false,"phone_present":false,"order_notes":null,"order_date":"2026-06-24 09:57:04","delivery_scheduled_date":null,"delivery_address":null,"takeaway_date":null,"made_by_customer":false,"uses_coupons":false,"coupons":[],"menu_items":[{"order_item_id":23494268,"menu_item_id":796395,"menu_category_id":100636,"name":"Agata_Bag_PAILLETTES_PINK","sku":null,"price":80,"quantity":1,"note":null,"price_with_products":80,"total_value_in_order":80,"category_name":"AGATA BAG","menu_name":"CATALOGO","menu_id":21350},{"order_item_id":23494269,"menu_item_id":796397,"menu_category_id":100636,"name":"Agata_Bag_FLORAL_LIGHT_BLUE","sku":null,"price":80,"quantity":1,"note":null,"price_with_products":80,"total_value_in_order":80,"category_name":"AGATA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</si>
  <si>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12551622,"order_number_day":1,"order_link":"https:\/\/.qromo.it\/order\/?id=ZUl31Pnz.fTeDyYKwHojhA--","total_items":160,"additional_costs":0,"grand_total":160,"fee":2.07,"payment_type":"stripe","order_mode":"counter","customer_name":null,"table_name":null,"paid":true,"status":"completed","email_present":false,"phone_present":false,"order_notes":null,"order_date":"2026-06-24 09:57:04","delivery_scheduled_date":null,"delivery_address":null,"takeaway_date":null,"made_by_customer":false,"uses_coupons":false,"coupons":[],"menu_items":[{"order_item_id":23494268,"menu_item_id":796395,"menu_category_id":100636,"name":"Agata_Bag_PAILLETTES_PINK","sku":null,"price":80,"quantity":1,"note":null,"price_with_products":80,"total_value_in_order":80,"category_name":"AGATA BAG","menu_name":"CATALOGO","menu_id":21350},{"order_item_id":23494269,"menu_item_id":796397,"menu_category_id":100636,"name":"Agata_Bag_FLORAL_LIGHT_BLUE","sku":null,"price":80,"quantity":1,"note":null,"price_with_products":80,"total_value_in_order":80,"category_name":"AGATA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3394202,"ade_id":"DCW2026\/9846-4091","total":160,"date":"2026-06-24 09:57:26"}},"invoice":null,"email":null,"phone":null}}</t>
  </si>
  <si>
    <t>{"version":1,"type":"orders.new","auth":"Fgw5sp0ORTzn88ubSmN6ZqHEkRv8YCGw","business_id":11476,"order":{"order_id":12551622,"order_number_day":1,"order_link":"https:\/\/.qromo.it\/order\/?id=ZUl31Pnz.fTeDyYKwHojhA--","total_items":160,"additional_costs":0,"grand_total":160,"fee":2.07,"payment_type":"stripe","order_mode":"counter","customer_name":null,"table_name":null,"paid":true,"status":"completed","email_present":false,"phone_present":false,"order_notes":null,"order_date":"2026-06-24 09:57:04","delivery_scheduled_date":null,"delivery_address":null,"takeaway_date":null,"made_by_customer":false,"uses_coupons":false,"coupons":[],"menu_items":[{"order_item_id":23494268,"menu_item_id":796395,"menu_category_id":100636,"name":"Agata_Bag_PAILLETTES_PINK","sku":null,"price":80,"quantity":1,"note":null,"price_with_products":80,"total_value_in_order":80,"category_name":"AGATA BAG","menu_name":"CATALOGO","menu_id":21350},{"order_item_id":23494269,"menu_item_id":796397,"menu_category_id":100636,"name":"Agata_Bag_FLORAL_LIGHT_BLUE","sku":null,"price":80,"quantity":1,"note":null,"price_with_products":80,"total_value_in_order":80,"category_name":"AGATA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</si>
  <si>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12554130,"order_number_day":2,"order_link":"https:\/\/.qromo.it\/order\/?id=1OixQAWH32qAh2jeOG3RXw--","total_items":90,"additional_costs":0,"grand_total":90,"fee":1.22,"payment_type":"stripe","order_mode":"counter","customer_name":null,"table_name":null,"paid":true,"status":"completed","email_present":false,"phone_present":false,"order_notes":null,"order_date":"2026-06-24 11:11:12","delivery_scheduled_date":null,"delivery_address":null,"takeaway_date":null,"made_by_customer":false,"uses_coupons":false,"coupons":[],"menu_items":[{"order_item_id":23499247,"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</si>
  <si>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12554130,"order_number_day":2,"order_link":"https:\/\/.qromo.it\/order\/?id=1OixQAWH32qAh2jeOG3RXw--","total_items":90,"additional_costs":0,"grand_total":90,"fee":1.22,"payment_type":"stripe","order_mode":"counter","customer_name":null,"table_name":null,"paid":true,"status":"completed","email_present":false,"phone_present":false,"order_notes":null,"order_date":"2026-06-24 11:11:12","delivery_scheduled_date":null,"delivery_address":null,"takeaway_date":null,"made_by_customer":false,"uses_coupons":false,"coupons":[],"menu_items":[{"order_item_id":23499247,"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3394521,"ade_id":"DCW2026\/9850-2538","total":90,"date":"2026-06-24 11:11:20"}},"invoice":null,"email":null,"phone":null}}</t>
  </si>
  <si>
    <t>{"version":1,"type":"orders.new","auth":"Fgw5sp0ORTzn88ubSmN6ZqHEkRv8YCGw","business_id":11476,"order":{"order_id":12554130,"order_number_day":2,"order_link":"https:\/\/.qromo.it\/order\/?id=1OixQAWH32qAh2jeOG3RXw--","total_items":90,"additional_costs":0,"grand_total":90,"fee":1.22,"payment_type":"stripe","order_mode":"counter","customer_name":null,"table_name":null,"paid":true,"status":"completed","email_present":false,"phone_present":false,"order_notes":null,"order_date":"2026-06-24 11:11:12","delivery_scheduled_date":null,"delivery_address":null,"takeaway_date":null,"made_by_customer":false,"uses_coupons":false,"coupons":[],"menu_items":[{"order_item_id":23499247,"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</si>
  <si>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12555078,"order_number_day":3,"order_link":"https:\/\/.qromo.it\/order\/?id=cHP8qxSmPGiuDkboNMf4.Q--","total_items":50,"additional_costs":0,"grand_total":50,"fee":0.73,"payment_type":"stripe","order_mode":"counter","customer_name":null,"table_name":null,"paid":true,"status":"completed","email_present":false,"phone_present":false,"order_notes":null,"order_date":"2026-06-24 11:29:06","delivery_scheduled_date":null,"delivery_address":null,"takeaway_date":null,"made_by_customer":false,"uses_coupons":false,"coupons":[],"menu_items":[{"order_item_id":23501185,"menu_item_id":816109,"menu_category_id":110072,"name":"Lola Bag Orange","sku":null,"price":50,"quantity":1,"note":null,"price_with_products":50,"total_value_in_order":50,"category_name":"LOLA BAG","menu_name":"CATALOGO","menu_id":21350}],"menu_items_products":[],"date_last_edit":null,"sms_sent":false,"prebill_requested":false,"subtotal_delta":0,"tip":0,"receipt":{"fiscal_status":"not_requested","type":null,"data":null},"invoice":null,"email":null,"phone":null}}</t>
  </si>
  <si>
    <t>These Qromo product names do NOT match any CODICE_AMIIMI in ACQUISTI: Lola Bag Orange | Valid CODICE_AMIIMI count: 166</t>
  </si>
  <si>
    <t>{"version":1,"type":"orders.update","auth":"Fgw5sp0ORTzn88ubSmN6ZqHEkRv8YCGw","business_id":11476,"order":{"order_id":12555078,"order_number_day":3,"order_link":"https:\/\/.qromo.it\/order\/?id=cHP8qxSmPGiuDkboNMf4.Q--","total_items":50,"additional_costs":0,"grand_total":50,"fee":0.73,"payment_type":"stripe","order_mode":"counter","customer_name":null,"table_name":null,"paid":true,"status":"completed","email_present":false,"phone_present":false,"order_notes":null,"order_date":"2026-06-24 11:29:06","delivery_scheduled_date":null,"delivery_address":null,"takeaway_date":null,"made_by_customer":false,"uses_coupons":false,"coupons":[],"menu_items":[{"order_item_id":23501185,"menu_item_id":816109,"menu_category_id":110072,"name":"Lola Bag Orange","sku":null,"price":50,"quantity":1,"note":null,"price_with_products":50,"total_value_in_order":50,"category_name":"LOLA BAG","menu_name":"CATALOGO","menu_id":21350}],"menu_items_products":[],"date_last_edit":null,"sms_sent":false,"prebill_requested":false,"subtotal_delta":0,"tip":0,"receipt":{"fiscal_status":"fiscalized","type":"digital","data":{"business_receipt_id":3394639,"ade_id":"DCW2026\/9851-0850","total":50,"date":"2026-06-24 11:29:15"}},"invoice":null,"email":null,"phone":null}}</t>
  </si>
  <si>
    <t>{"version":1,"type":"orders.new","auth":"Fgw5sp0ORTzn88ubSmN6ZqHEkRv8YCGw","business_id":11476,"order":{"order_id":12555078,"order_number_day":3,"order_link":"https:\/\/.qromo.it\/order\/?id=cHP8qxSmPGiuDkboNMf4.Q--","total_items":50,"additional_costs":0,"grand_total":50,"fee":0.73,"payment_type":"stripe","order_mode":"counter","customer_name":null,"table_name":null,"paid":true,"status":"completed","email_present":false,"phone_present":false,"order_notes":null,"order_date":"2026-06-24 11:29:06","delivery_scheduled_date":null,"delivery_address":null,"takeaway_date":null,"made_by_customer":false,"uses_coupons":false,"coupons":[],"menu_items":[{"order_item_id":23501185,"menu_item_id":816109,"menu_category_id":110072,"name":"Lola Bag Orange","sku":null,"price":50,"quantity":1,"note":null,"price_with_products":50,"total_value_in_order":50,"category_name":"LOLA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</si>
  <si>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12555223,"order_number_day":4,"order_link":"https:\/\/.qromo.it\/order\/?id=fOnwzsYYaJg4KFcQrxOLNw--","total_items":120,"additional_costs":-24,"grand_total":96,"fee":1.29,"payment_type":"stripe","order_mode":"counter","customer_name":null,"table_name":null,"paid":true,"status":"completed","email_present":false,"phone_present":false,"order_notes":null,"order_date":"2026-06-24 11:32:07","delivery_scheduled_date":null,"delivery_address":null,"takeaway_date":null,"made_by_customer":false,"uses_coupons":false,"coupons":[],"menu_items":[{"order_item_id":23501480,"menu_item_id":782301,"menu_category_id":105925,"name":"Lea_Bag_COCCO_BEIGE","sku":null,"price":120,"quantity":1,"note":null,"price_with_products":120,"total_value_in_order":96,"category_name":"LEA BAG COCCO","menu_name":"CATALOGO","menu_id":21350}],"menu_items_products":[],"date_last_edit":null,"sms_sent":false,"prebill_requested":false,"subtotal_delta":-24,"tip":0,"receipt":{"fiscal_status":"fiscalized","type":"digital","data":{"business_receipt_id":3394668,"ade_id":"DCW2026\/9851-2527","total":96,"date":"2026-06-24 11:32:59"}},"invoice":null,"email":null,"phone":null}}</t>
  </si>
  <si>
    <t>{"version":1,"type":"orders.update","auth":"Fgw5sp0ORTzn88ubSmN6ZqHEkRv8YCGw","business_id":11476,"order":{"order_id":12555223,"order_number_day":4,"order_link":"https:\/\/.qromo.it\/order\/?id=fOnwzsYYaJg4KFcQrxOLNw--","total_items":120,"additional_costs":-24,"grand_total":96,"fee":1.29,"payment_type":"stripe","order_mode":"counter","customer_name":null,"table_name":null,"paid":true,"status":"completed","email_present":false,"phone_present":false,"order_notes":null,"order_date":"2026-06-24 11:32:07","delivery_scheduled_date":null,"delivery_address":null,"takeaway_date":null,"made_by_customer":false,"uses_coupons":false,"coupons":[],"menu_items":[{"order_item_id":23501480,"menu_item_id":782301,"menu_category_id":105925,"name":"Lea_Bag_COCCO_BEIGE","sku":null,"price":120,"quantity":1,"note":null,"price_with_products":120,"total_value_in_order":96,"category_name":"LEA BAG COCCO","menu_name":"CATALOGO","menu_id":21350}],"menu_items_products":[],"date_last_edit":null,"sms_sent":false,"prebill_requested":false,"subtotal_delta":-24,"tip":0,"receipt":{"fiscal_status":"not_requested","type":null,"data":null},"invoice":null,"email":null,"phone":null}}</t>
  </si>
  <si>
    <t>{"version":1,"type":"orders.new","auth":"Fgw5sp0ORTzn88ubSmN6ZqHEkRv8YCGw","business_id":11476,"order":{"order_id":12555223,"order_number_day":4,"order_link":"https:\/\/.qromo.it\/order\/?id=fOnwzsYYaJg4KFcQrxOLNw--","total_items":120,"additional_costs":-24,"grand_total":96,"fee":1.29,"payment_type":"stripe","order_mode":"counter","customer_name":null,"table_name":null,"paid":true,"status":"completed","email_present":false,"phone_present":false,"order_notes":null,"order_date":"2026-06-24 11:32:07","delivery_scheduled_date":null,"delivery_address":null,"takeaway_date":null,"made_by_customer":false,"uses_coupons":false,"coupons":[],"menu_items":[{"order_item_id":23501480,"menu_item_id":782301,"menu_category_id":105925,"name":"Lea_Bag_COCCO_BEIGE","sku":null,"price":120,"quantity":1,"note":null,"price_with_products":120,"total_value_in_order":96,"category_name":"LEA BAG COCCO","menu_name":"CATALOGO","menu_id":21350}],"menu_items_products":[],"date_last_edit":null,"sms_sent":false,"prebill_requested":false,"subtotal_delta":-24,"tip":0,"receipt":{"fiscal_status":"not_requested","type":null,"data":null},"invoice":null,"email":null,"phone":null}}</t>
  </si>
  <si>
    <t>{"version":1,"type":"orders.update","auth":"Fgw5sp0ORTzn88ubSmN6ZqHEkRv8YCGw","business_id":11476,"order":{"order_id":12555898,"order_number_day":5,"order_link":"https:\/\/.qromo.it\/order\/?id=klJwcxmpQM6yiaf5JsbwBQ--","total_items":80,"additional_costs":-8,"grand_total":72,"fee":1,"payment_type":"stripe","order_mode":"counter","customer_name":null,"table_name":null,"paid":true,"status":"completed","email_present":false,"phone_present":false,"order_notes":null,"order_date":"2026-06-24 11:46:08","delivery_scheduled_date":null,"delivery_address":null,"takeaway_date":null,"made_by_customer":false,"uses_coupons":false,"coupons":[],"menu_items":[{"order_item_id":23502851,"menu_item_id":796397,"menu_category_id":100636,"name":"Agata_Bag_FLORAL_LIGHT_BLUE","sku":null,"price":80,"quantity":1,"note":null,"price_with_products":80,"total_value_in_order":72,"category_name":"AGATA BAG","menu_name":"CATALOGO","menu_id":21350}],"menu_items_products":[],"date_last_edit":null,"sms_sent":false,"prebill_requested":false,"subtotal_delta":-8,"tip":0,"receipt":{"fiscal_status":"fiscalized","type":"digital","data":{"business_receipt_id":3394752,"ade_id":"DCW2026\/9851-8342","total":72,"date":"2026-06-24 11:46:13"}},"invoice":null,"email":null,"phone":null}}</t>
  </si>
  <si>
    <t>{"version":1,"type":"orders.update","auth":"Fgw5sp0ORTzn88ubSmN6ZqHEkRv8YCGw","business_id":11476,"order":{"order_id":12555898,"order_number_day":5,"order_link":"https:\/\/.qromo.it\/order\/?id=klJwcxmpQM6yiaf5JsbwBQ--","total_items":80,"additional_costs":-8,"grand_total":72,"fee":1,"payment_type":"stripe","order_mode":"counter","customer_name":null,"table_name":null,"paid":true,"status":"completed","email_present":false,"phone_present":false,"order_notes":null,"order_date":"2026-06-24 11:46:08","delivery_scheduled_date":null,"delivery_address":null,"takeaway_date":null,"made_by_customer":false,"uses_coupons":false,"coupons":[],"menu_items":[{"order_item_id":23502851,"menu_item_id":796397,"menu_category_id":100636,"name":"Agata_Bag_FLORAL_LIGHT_BLUE","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</si>
  <si>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new","auth":"Fgw5sp0ORTzn88ubSmN6ZqHEkRv8YCGw","business_id":11476,"order":{"order_id":12555898,"order_number_day":5,"order_link":"https:\/\/.qromo.it\/order\/?id=klJwcxmpQM6yiaf5JsbwBQ--","total_items":80,"additional_costs":-8,"grand_total":72,"fee":1,"payment_type":"stripe","order_mode":"counter","customer_name":null,"table_name":null,"paid":true,"status":"completed","email_present":false,"phone_present":false,"order_notes":null,"order_date":"2026-06-24 11:46:08","delivery_scheduled_date":null,"delivery_address":null,"takeaway_date":null,"made_by_customer":false,"uses_coupons":false,"coupons":[],"menu_items":[{"order_item_id":23502851,"menu_item_id":796397,"menu_category_id":100636,"name":"Agata_Bag_FLORAL_LIGHT_BLUE","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</si>
  <si>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12558289,"order_number_day":7,"order_link":"https:\/\/.qromo.it\/order\/?id=G8xERz8rhcnVVDWJ0exFsg--","total_items":80,"additional_costs":0,"grand_total":80,"fee":1.1,"payment_type":"stripe","order_mode":"counter","customer_name":null,"table_name":null,"paid":true,"status":"completed","email_present":false,"phone_present":false,"order_notes":null,"order_date":"2026-06-24 13:05:29","delivery_scheduled_date":null,"delivery_address":null,"takeaway_date":null,"made_by_customer":false,"uses_coupons":false,"coupons":[],"menu_items":[{"order_item_id":23507126,"menu_item_id":814583,"menu_category_id":100636,"name":"Agata_Bag_Beads_Pink","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3395209,"ade_id":"DCW2026\/9854-8174","total":80,"date":"2026-06-24 13:05:54"}},"invoice":null,"email":null,"phone":null}}</t>
  </si>
  <si>
    <t>These Qromo product names do NOT match any CODICE_AMIIMI in ACQUISTI: Agata_Bag_Beads_Pink | Valid CODICE_AMIIMI count: 166</t>
  </si>
  <si>
    <t>{"version":1,"type":"orders.update","auth":"Fgw5sp0ORTzn88ubSmN6ZqHEkRv8YCGw","business_id":11476,"order":{"order_id":12558289,"order_number_day":7,"order_link":"https:\/\/.qromo.it\/order\/?id=G8xERz8rhcnVVDWJ0exFsg--","total_items":80,"additional_costs":0,"grand_total":80,"fee":1.1,"payment_type":"stripe","order_mode":"counter","customer_name":null,"table_name":null,"paid":true,"status":"completed","email_present":false,"phone_present":false,"order_notes":null,"order_date":"2026-06-24 13:05:29","delivery_scheduled_date":null,"delivery_address":null,"takeaway_date":null,"made_by_customer":false,"uses_coupons":false,"coupons":[],"menu_items":[{"order_item_id":23507126,"menu_item_id":814583,"menu_category_id":100636,"name":"Agata_Bag_Beads_Pink","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</si>
  <si>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new","auth":"Fgw5sp0ORTzn88ubSmN6ZqHEkRv8YCGw","business_id":11476,"order":{"order_id":12558289,"order_number_day":7,"order_link":"https:\/\/.qromo.it\/order\/?id=G8xERz8rhcnVVDWJ0exFsg--","total_items":80,"additional_costs":0,"grand_total":80,"fee":1.1,"payment_type":"stripe","order_mode":"counter","customer_name":null,"table_name":null,"paid":true,"status":"completed","email_present":false,"phone_present":false,"order_notes":null,"order_date":"2026-06-24 13:05:29","delivery_scheduled_date":null,"delivery_address":null,"takeaway_date":null,"made_by_customer":false,"uses_coupons":false,"coupons":[],"menu_items":[{"order_item_id":23507126,"menu_item_id":814583,"menu_category_id":100636,"name":"Agata_Bag_Beads_Pink","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</si>
  <si>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12559096,"order_number_day":8,"order_link":"https:\/\/.qromo.it\/order\/?id=PAGdFlvOHqBPkwKraz8aIg--","total_items":90,"additional_costs":0,"grand_total":90,"fee":1.22,"payment_type":"stripe","order_mode":"counter","customer_name":null,"table_name":null,"paid":true,"status":"completed","email_present":false,"phone_present":false,"order_notes":null,"order_date":"2026-06-24 13:45:39","delivery_scheduled_date":null,"delivery_address":null,"takeaway_date":null,"made_by_customer":false,"uses_coupons":false,"coupons":[],"menu_items":[{"order_item_id":23508251,"menu_item_id":801135,"menu_category_id":99714,"name":"Annie_Bag_PAILLETTES_CANDY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</si>
  <si>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12559096,"order_number_day":8,"order_link":"https:\/\/.qromo.it\/order\/?id=PAGdFlvOHqBPkwKraz8aIg--","total_items":90,"additional_costs":0,"grand_total":90,"fee":1.22,"payment_type":"stripe","order_mode":"counter","customer_name":null,"table_name":null,"paid":true,"status":"completed","email_present":false,"phone_present":false,"order_notes":null,"order_date":"2026-06-24 13:45:39","delivery_scheduled_date":null,"delivery_address":null,"takeaway_date":null,"made_by_customer":false,"uses_coupons":false,"coupons":[],"menu_items":[{"order_item_id":23508251,"menu_item_id":801135,"menu_category_id":99714,"name":"Annie_Bag_PAILLETTES_CANDY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3395363,"ade_id":"DCW2026\/9856-5488","total":90,"date":"2026-06-24 13:46:19"}},"invoice":null,"email":null,"phone":null}}</t>
  </si>
  <si>
    <t>{"version":1,"type":"orders.new","auth":"Fgw5sp0ORTzn88ubSmN6ZqHEkRv8YCGw","business_id":11476,"order":{"order_id":12559096,"order_number_day":8,"order_link":"https:\/\/.qromo.it\/order\/?id=PAGdFlvOHqBPkwKraz8aIg--","total_items":90,"additional_costs":0,"grand_total":90,"fee":1.22,"payment_type":"stripe","order_mode":"counter","customer_name":null,"table_name":null,"paid":true,"status":"completed","email_present":false,"phone_present":false,"order_notes":null,"order_date":"2026-06-24 13:45:39","delivery_scheduled_date":null,"delivery_address":null,"takeaway_date":null,"made_by_customer":false,"uses_coupons":false,"coupons":[],"menu_items":[{"order_item_id":23508251,"menu_item_id":801135,"menu_category_id":99714,"name":"Annie_Bag_PAILLETTES_CANDY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</si>
  <si>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12587076,"order_number_day":1,"order_link":"https:\/\/.qromo.it\/order\/?id=QOzpRZqxFdVW2xQDPgTRHA--","total_items":95,"additional_costs":-9.5,"grand_total":85.5,"fee":1.17,"payment_type":"stripe","order_mode":"counter","customer_name":null,"table_name":null,"paid":true,"status":"completed","email_present":false,"phone_present":false,"order_notes":null,"order_date":"2026-06-25 11:12:37","delivery_scheduled_date":null,"delivery_address":null,"takeaway_date":null,"made_by_customer":false,"uses_coupons":false,"coupons":[],"menu_items":[{"order_item_id":23562192,"menu_item_id":796606,"menu_category_id":106149,"name":"LAPTOP COVER CHECKS ORANGE","sku":null,"price":45,"quantity":1,"note":null,"price_with_products":45,"total_value_in_order":40.5,"category_name":"LAPTOP COVER","menu_name":"CATALOGO","menu_id":21350},{"order_item_id":23562193,"menu_item_id":784220,"menu_category_id":106150,"name":"NINA BAG LIGHT BLUE","sku":null,"price":50,"quantity":1,"note":null,"price_with_products":50,"total_value_in_order":45,"category_name":"NINA BAG","menu_name":"CATALOGO","menu_id":21350}],"menu_items_products":[],"date_last_edit":null,"sms_sent":false,"prebill_requested":false,"subtotal_delta":-9.5,"tip":0,"receipt":{"fiscal_status":"fiscalized","type":"digital","data":{"business_receipt_id":3403772,"ade_id":"DCW2026\/9897-3713","total":85.5,"date":"2026-06-25 11:12:51"}},"invoice":null,"email":null,"phone":null}}</t>
  </si>
  <si>
    <t>{"version":1,"type":"orders.update","auth":"Fgw5sp0ORTzn88ubSmN6ZqHEkRv8YCGw","business_id":11476,"order":{"order_id":12587076,"order_number_day":1,"order_link":"https:\/\/.qromo.it\/order\/?id=QOzpRZqxFdVW2xQDPgTRHA--","total_items":95,"additional_costs":-9.5,"grand_total":85.5,"fee":1.17,"payment_type":"stripe","order_mode":"counter","customer_name":null,"table_name":null,"paid":true,"status":"completed","email_present":false,"phone_present":false,"order_notes":null,"order_date":"2026-06-25 11:12:37","delivery_scheduled_date":null,"delivery_address":null,"takeaway_date":null,"made_by_customer":false,"uses_coupons":false,"coupons":[],"menu_items":[{"order_item_id":23562192,"menu_item_id":796606,"menu_category_id":106149,"name":"LAPTOP COVER CHECKS ORANGE","sku":null,"price":45,"quantity":1,"note":null,"price_with_products":45,"total_value_in_order":40.5,"category_name":"LAPTOP COVER","menu_name":"CATALOGO","menu_id":21350},{"order_item_id":23562193,"menu_item_id":784220,"menu_category_id":106150,"name":"NINA BAG LIGHT BLUE","sku":null,"price":50,"quantity":1,"note":null,"price_with_products":50,"total_value_in_order":45,"category_name":"NINA BAG","menu_name":"CATALOGO","menu_id":21350}],"menu_items_products":[],"date_last_edit":null,"sms_sent":false,"prebill_requested":false,"subtotal_delta":-9.5,"tip":0,"receipt":{"fiscal_status":"not_requested","type":null,"data":null},"invoice":null,"email":null,"phone":null}}</t>
  </si>
  <si>
    <t>These Qromo product names do NOT match any CODICE_AMIIMI in ACQUISTI: LAPTOP COVER CHECKS ORANGE, NINA BAG LIGHT BLUE | Valid CODICE_AMIIMI count: 166</t>
  </si>
  <si>
    <t>{"version":1,"type":"orders.new","auth":"Fgw5sp0ORTzn88ubSmN6ZqHEkRv8YCGw","business_id":11476,"order":{"order_id":12587076,"order_number_day":1,"order_link":"https:\/\/.qromo.it\/order\/?id=QOzpRZqxFdVW2xQDPgTRHA--","total_items":95,"additional_costs":-9.5,"grand_total":85.5,"fee":1.17,"payment_type":"stripe","order_mode":"counter","customer_name":null,"table_name":null,"paid":true,"status":"completed","email_present":false,"phone_present":false,"order_notes":null,"order_date":"2026-06-25 11:12:37","delivery_scheduled_date":null,"delivery_address":null,"takeaway_date":null,"made_by_customer":false,"uses_coupons":false,"coupons":[],"menu_items":[{"order_item_id":23562192,"menu_item_id":796606,"menu_category_id":106149,"name":"LAPTOP COVER CHECKS ORANGE","sku":null,"price":45,"quantity":1,"note":null,"price_with_products":45,"total_value_in_order":40.5,"category_name":"LAPTOP COVER","menu_name":"CATALOGO","menu_id":21350},{"order_item_id":23562193,"menu_item_id":784220,"menu_category_id":106150,"name":"NINA BAG LIGHT BLUE","sku":null,"price":50,"quantity":1,"note":null,"price_with_products":50,"total_value_in_order":45,"category_name":"NINA BAG","menu_name":"CATALOGO","menu_id":21350}],"menu_items_products":[],"date_last_edit":null,"sms_sent":false,"prebill_requested":false,"subtotal_delta":-9.5,"tip":0,"receipt":{"fiscal_status":"not_requested","type":null,"data":null},"invoice":null,"email":null,"phone":null}}</t>
  </si>
  <si>
    <t>{"version":1,"type":"orders.update","auth":"Fgw5sp0ORTzn88ubSmN6ZqHEkRv8YCGw","business_id":11476,"order":{"order_id":12587415,"order_number_day":2,"order_link":"https:\/\/.qromo.it\/order\/?id=LCFKU0vUHcBtTKyH_kLrvQ--","total_items":120,"additional_costs":-12,"grand_total":108,"fee":1.44,"payment_type":"stripe","order_mode":"counter","customer_name":null,"table_name":null,"paid":true,"status":"completed","email_present":false,"phone_present":false,"order_notes":null,"order_date":"2026-06-25 11:18:53","delivery_scheduled_date":null,"delivery_address":null,"takeaway_date":null,"made_by_customer":false,"uses_coupons":false,"coupons":[],"menu_items":[{"order_item_id":23562912,"menu_item_id":782313,"menu_category_id":105925,"name":"LEA BAG COCCO GREEN","sku":null,"price":120,"quantity":1,"note":null,"price_with_products":120,"total_value_in_order":108,"category_name":"LEA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</si>
  <si>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These Qromo product names do NOT match any CODICE_AMIIMI in ACQUISTI: LEA BAG COCCO GREEN | Valid CODICE_AMIIMI count: 166</t>
  </si>
  <si>
    <t>{"version":1,"type":"orders.update","auth":"Fgw5sp0ORTzn88ubSmN6ZqHEkRv8YCGw","business_id":11476,"order":{"order_id":12587415,"order_number_day":2,"order_link":"https:\/\/.qromo.it\/order\/?id=LCFKU0vUHcBtTKyH_kLrvQ--","total_items":120,"additional_costs":-12,"grand_total":108,"fee":1.44,"payment_type":"stripe","order_mode":"counter","customer_name":null,"table_name":null,"paid":true,"status":"completed","email_present":false,"phone_present":false,"order_notes":null,"order_date":"2026-06-25 11:18:53","delivery_scheduled_date":null,"delivery_address":null,"takeaway_date":null,"made_by_customer":false,"uses_coupons":false,"coupons":[],"menu_items":[{"order_item_id":23562912,"menu_item_id":782313,"menu_category_id":105925,"name":"LEA BAG COCCO GREEN","sku":null,"price":120,"quantity":1,"note":null,"price_with_products":120,"total_value_in_order":108,"category_name":"LEA BAG COCCO","menu_name":"CATALOGO","menu_id":21350}],"menu_items_products":[],"date_last_edit":null,"sms_sent":false,"prebill_requested":false,"subtotal_delta":-12,"tip":0,"receipt":{"fiscal_status":"fiscalized","type":"digital","data":{"business_receipt_id":3403814,"ade_id":"DCW2026\/9897-6681","total":108,"date":"2026-06-25 11:18:59"}},"invoice":null,"email":null,"phone":null}}</t>
  </si>
  <si>
    <t>{"version":1,"type":"orders.new","auth":"Fgw5sp0ORTzn88ubSmN6ZqHEkRv8YCGw","business_id":11476,"order":{"order_id":12587415,"order_number_day":2,"order_link":"https:\/\/.qromo.it\/order\/?id=LCFKU0vUHcBtTKyH_kLrvQ--","total_items":120,"additional_costs":-12,"grand_total":108,"fee":1.44,"payment_type":"stripe","order_mode":"counter","customer_name":null,"table_name":null,"paid":true,"status":"completed","email_present":false,"phone_present":false,"order_notes":null,"order_date":"2026-06-25 11:18:53","delivery_scheduled_date":null,"delivery_address":null,"takeaway_date":null,"made_by_customer":false,"uses_coupons":false,"coupons":[],"menu_items":[{"order_item_id":23562912,"menu_item_id":782313,"menu_category_id":105925,"name":"LEA BAG COCCO GREEN","sku":null,"price":120,"quantity":1,"note":null,"price_with_products":120,"total_value_in_order":108,"category_name":"LEA BAG COCCO","menu_name":"CATALOGO","menu_id":21350}],"menu_items_products":[],"date_last_edit":null,"sms_sent":false,"prebill_requested":false,"subtotal_delta":-12,"tip":0,"receipt":{"fiscal_status":"not_requested","type":null,"data":null},"invoice":null,"email":null,"phone":null}}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</si>
  <si>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12593768,"order_number_day":3,"order_link":"https:\/\/.qromo.it\/order\/?id=uprB98KZAW.8Vt_PpUXDYA--","total_items":120,"additional_costs":0,"grand_total":120,"fee":1.59,"payment_type":"stripe","order_mode":"counter","customer_name":null,"table_name":null,"paid":true,"status":"completed","email_present":false,"phone_present":false,"order_notes":null,"order_date":"2026-06-25 15:56:44","delivery_scheduled_date":null,"delivery_address":null,"takeaway_date":null,"made_by_customer":false,"uses_coupons":false,"coupons":[],"menu_items":[{"order_item_id":23573572,"menu_item_id":782318,"menu_category_id":96060,"name":"Maria Bag Burro Piercing","sku":null,"price":120,"quantity":1,"note":null,"price_with_products":120,"total_value_in_order":120,"category_name":"MARIA BAG","menu_name":"CATALOGO","menu_id":21350}],"menu_items_products":[],"date_last_edit":null,"sms_sent":false,"prebill_requested":false,"subtotal_delta":0,"tip":0,"receipt":{"fiscal_status":"not_requested","type":null,"data":null},"invoice":null,"email":null,"phone":null}}</t>
  </si>
  <si>
    <t>These Qromo product names do NOT match any CODICE_AMIIMI in ACQUISTI: Maria Bag Burro Piercing | Valid CODICE_AMIIMI count: 167</t>
  </si>
  <si>
    <t>{"version":1,"type":"orders.update","auth":"Fgw5sp0ORTzn88ubSmN6ZqHEkRv8YCGw","business_id":11476,"order":{"order_id":12593768,"order_number_day":3,"order_link":"https:\/\/.qromo.it\/order\/?id=uprB98KZAW.8Vt_PpUXDYA--","total_items":120,"additional_costs":0,"grand_total":120,"fee":1.59,"payment_type":"stripe","order_mode":"counter","customer_name":null,"table_name":null,"paid":true,"status":"completed","email_present":false,"phone_present":false,"order_notes":null,"order_date":"2026-06-25 15:56:44","delivery_scheduled_date":null,"delivery_address":null,"takeaway_date":null,"made_by_customer":false,"uses_coupons":false,"coupons":[],"menu_items":[{"order_item_id":23573572,"menu_item_id":782318,"menu_category_id":96060,"name":"Maria Bag Burro Piercing","sku":null,"price":120,"quantity":1,"note":null,"price_with_products":120,"total_value_in_order":120,"category_name":"MARIA BAG","menu_name":"CATALOGO","menu_id":21350}],"menu_items_products":[],"date_last_edit":null,"sms_sent":false,"prebill_requested":false,"subtotal_delta":0,"tip":0,"receipt":{"fiscal_status":"fiscalized","type":"digital","data":{"business_receipt_id":3405047,"ade_id":"DCW2026\/9910-1614","total":120,"date":"2026-06-25 15:59:27"}},"invoice":null,"email":null,"phone":null}}</t>
  </si>
  <si>
    <t>{"version":1,"type":"orders.new","auth":"Fgw5sp0ORTzn88ubSmN6ZqHEkRv8YCGw","business_id":11476,"order":{"order_id":12593768,"order_number_day":3,"order_link":"https:\/\/.qromo.it\/order\/?id=uprB98KZAW.8Vt_PpUXDYA--","total_items":120,"additional_costs":0,"grand_total":120,"fee":1.59,"payment_type":"stripe","order_mode":"counter","customer_name":null,"table_name":null,"paid":true,"status":"completed","email_present":false,"phone_present":false,"order_notes":null,"order_date":"2026-06-25 15:56:44","delivery_scheduled_date":null,"delivery_address":null,"takeaway_date":null,"made_by_customer":false,"uses_coupons":false,"coupons":[],"menu_items":[{"order_item_id":23573572,"menu_item_id":782318,"menu_category_id":96060,"name":"Maria Bag Burro Piercing","sku":null,"price":120,"quantity":1,"note":null,"price_with_products":120,"total_value_in_order":120,"category_name":"MARIA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</si>
  <si>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12594538,"order_number_day":5,"order_link":"https:\/\/.qromo.it\/order\/?id=.IZW6yYbgpiq0dcdczJ5Jg--","total_items":130,"additional_costs":0,"grand_total":130,"fee":1.71,"payment_type":"stripe","order_mode":"counter","customer_name":null,"table_name":null,"paid":true,"status":"completed","email_present":false,"phone_present":false,"order_notes":null,"order_date":"2026-06-25 16:35:13","delivery_scheduled_date":null,"delivery_address":null,"takeaway_date":null,"made_by_customer":false,"uses_coupons":false,"coupons":[],"menu_items":[{"order_item_id":23574803,"menu_item_id":712235,"menu_category_id":97148,"name":"NINA BAG STRIPES MINT","sku":null,"price":50,"quantity":1,"note":null,"price_with_products":50,"total_value_in_order":50,"category_name":"NINA BAG","menu_name":"CATALOGO","menu_id":21350},{"order_item_id":23574804,"menu_item_id":796397,"menu_category_id":100636,"name":"Agata_Bag_FLORAL_LIGHT_BLUE","sku":null,"price":80,"quantity":1,"note":null,"price_with_products":80,"total_value_in_order":80,"category_name":"AGATA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fiscalized","type":"digital","data":{"business_receipt_id":3405227,"ade_id":"DCW2026\/9911-9824","total":130,"date":"2026-06-25 16:35:46"}},"invoice":null,"email":null,"phone":null}}</t>
  </si>
  <si>
    <t>{"version":1,"type":"orders.update","auth":"Fgw5sp0ORTzn88ubSmN6ZqHEkRv8YCGw","business_id":11476,"order":{"order_id":12594538,"order_number_day":5,"order_link":"https:\/\/.qromo.it\/order\/?id=.IZW6yYbgpiq0dcdczJ5Jg--","total_items":130,"additional_costs":0,"grand_total":130,"fee":1.71,"payment_type":"stripe","order_mode":"counter","customer_name":null,"table_name":null,"paid":true,"status":"completed","email_present":false,"phone_present":false,"order_notes":null,"order_date":"2026-06-25 16:35:13","delivery_scheduled_date":null,"delivery_address":null,"takeaway_date":null,"made_by_customer":false,"uses_coupons":false,"coupons":[],"menu_items":[{"order_item_id":23574803,"menu_item_id":712235,"menu_category_id":97148,"name":"NINA BAG STRIPES MINT","sku":null,"price":50,"quantity":1,"note":null,"price_with_products":50,"total_value_in_order":50,"category_name":"NINA BAG","menu_name":"CATALOGO","menu_id":21350},{"order_item_id":23574804,"menu_item_id":796397,"menu_category_id":100636,"name":"Agata_Bag_FLORAL_LIGHT_BLUE","sku":null,"price":80,"quantity":1,"note":null,"price_with_products":80,"total_value_in_order":80,"category_name":"AGATA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</si>
  <si>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These Qromo product names do NOT match any CODICE_AMIIMI in ACQUISTI: NINA BAG STRIPES MINT | Valid CODICE_AMIIMI count: 167</t>
  </si>
  <si>
    <t>{"version":1,"type":"orders.new","auth":"Fgw5sp0ORTzn88ubSmN6ZqHEkRv8YCGw","business_id":11476,"order":{"order_id":12594538,"order_number_day":5,"order_link":"https:\/\/.qromo.it\/order\/?id=.IZW6yYbgpiq0dcdczJ5Jg--","total_items":130,"additional_costs":0,"grand_total":130,"fee":1.71,"payment_type":"stripe","order_mode":"counter","customer_name":null,"table_name":null,"paid":true,"status":"completed","email_present":false,"phone_present":false,"order_notes":null,"order_date":"2026-06-25 16:35:13","delivery_scheduled_date":null,"delivery_address":null,"takeaway_date":null,"made_by_customer":false,"uses_coupons":false,"coupons":[],"menu_items":[{"order_item_id":23574803,"menu_item_id":712235,"menu_category_id":97148,"name":"NINA BAG STRIPES MINT","sku":null,"price":50,"quantity":1,"note":null,"price_with_products":50,"total_value_in_order":50,"category_name":"NINA BAG","menu_name":"CATALOGO","menu_id":21350},{"order_item_id":23574804,"menu_item_id":796397,"menu_category_id":100636,"name":"Agata_Bag_FLORAL_LIGHT_BLUE","sku":null,"price":80,"quantity":1,"note":null,"price_with_products":80,"total_value_in_order":80,"category_name":"AGATA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</si>
  <si>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12621709,"order_number_day":1,"order_link":"https:\/\/.qromo.it\/order\/?id=_jSaMatQ_4IeB7MRv15ZzQ--","total_items":90,"additional_costs":0,"grand_total":90,"fee":2.81,"payment_type":"stripe","order_mode":"counter","customer_name":null,"table_name":null,"paid":true,"status":"completed","email_present":false,"phone_present":false,"order_notes":null,"order_date":"2026-06-26 10:03:48","delivery_scheduled_date":null,"delivery_address":null,"takeaway_date":null,"made_by_customer":false,"uses_coupons":false,"coupons":[],"menu_items":[{"order_item_id":23625112,"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</si>
  <si>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12621709,"order_number_day":1,"order_link":"https:\/\/.qromo.it\/order\/?id=_jSaMatQ_4IeB7MRv15ZzQ--","total_items":90,"additional_costs":0,"grand_total":90,"fee":2.81,"payment_type":"stripe","order_mode":"counter","customer_name":null,"table_name":null,"paid":true,"status":"completed","email_present":false,"phone_present":false,"order_notes":null,"order_date":"2026-06-26 10:03:48","delivery_scheduled_date":null,"delivery_address":null,"takeaway_date":null,"made_by_customer":false,"uses_coupons":false,"coupons":[],"menu_items":[{"order_item_id":23625112,"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3415343,"ade_id":"DCW2026\/9942-3685","total":90,"date":"2026-06-26 10:04:04"}},"invoice":null,"email":null,"phone":null}}</t>
  </si>
  <si>
    <t>{"version":1,"type":"orders.new","auth":"Fgw5sp0ORTzn88ubSmN6ZqHEkRv8YCGw","business_id":11476,"order":{"order_id":12621709,"order_number_day":1,"order_link":"https:\/\/.qromo.it\/order\/?id=_jSaMatQ_4IeB7MRv15ZzQ--","total_items":90,"additional_costs":0,"grand_total":90,"fee":2.81,"payment_type":"stripe","order_mode":"counter","customer_name":null,"table_name":null,"paid":true,"status":"completed","email_present":false,"phone_present":false,"order_notes":null,"order_date":"2026-06-26 10:03:48","delivery_scheduled_date":null,"delivery_address":null,"takeaway_date":null,"made_by_customer":false,"uses_coupons":false,"coupons":[],"menu_items":[{"order_item_id":23625112,"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</si>
  <si>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12624488,"order_number_day":4,"order_link":"https:\/\/.qromo.it\/order\/?id=y8eGHu2Mki19AjQFKCycIg--","total_items":90,"additional_costs":0,"grand_total":90,"fee":2.32,"payment_type":"stripe","order_mode":"counter","customer_name":null,"table_name":null,"paid":true,"status":"completed","email_present":false,"phone_present":false,"order_notes":null,"order_date":"2026-06-26 11:36:33","delivery_scheduled_date":null,"delivery_address":null,"takeaway_date":null,"made_by_customer":false,"uses_coupons":false,"coupons":[],"menu_items":[{"order_item_id":23631208,"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</si>
  <si>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12624488,"order_number_day":4,"order_link":"https:\/\/.qromo.it\/order\/?id=y8eGHu2Mki19AjQFKCycIg--","total_items":90,"additional_costs":0,"grand_total":90,"fee":2.32,"payment_type":"stripe","order_mode":"counter","customer_name":null,"table_name":null,"paid":true,"status":"completed","email_present":false,"phone_present":false,"order_notes":null,"order_date":"2026-06-26 11:36:33","delivery_scheduled_date":null,"delivery_address":null,"takeaway_date":null,"made_by_customer":false,"uses_coupons":false,"coupons":[],"menu_items":[{"order_item_id":23631208,"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3415716,"ade_id":"DCW2026\/9947-3947","total":90,"date":"2026-06-26 11:36:44"}},"invoice":null,"email":null,"phone":null}}</t>
  </si>
  <si>
    <t>{"version":1,"type":"orders.new","auth":"Fgw5sp0ORTzn88ubSmN6ZqHEkRv8YCGw","business_id":11476,"order":{"order_id":12624488,"order_number_day":4,"order_link":"https:\/\/.qromo.it\/order\/?id=y8eGHu2Mki19AjQFKCycIg--","total_items":90,"additional_costs":0,"grand_total":90,"fee":2.32,"payment_type":"stripe","order_mode":"counter","customer_name":null,"table_name":null,"paid":true,"status":"completed","email_present":false,"phone_present":false,"order_notes":null,"order_date":"2026-06-26 11:36:33","delivery_scheduled_date":null,"delivery_address":null,"takeaway_date":null,"made_by_customer":false,"uses_coupons":false,"coupons":[],"menu_items":[{"order_item_id":23631208,"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</si>
  <si>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12630790,"order_number_day":6,"order_link":"https:\/\/.qromo.it\/order\/?id=uiT9hU5Mtp5qF65XyZbqvg--","total_items":120,"additional_costs":0,"grand_total":120,"fee":1.59,"payment_type":"stripe","order_mode":"counter","customer_name":null,"table_name":null,"paid":true,"status":"completed","email_present":false,"phone_present":false,"order_notes":null,"order_date":"2026-06-26 16:55:17","delivery_scheduled_date":null,"delivery_address":null,"takeaway_date":null,"made_by_customer":false,"uses_coupons":false,"coupons":[],"menu_items":[{"order_item_id":23641655,"menu_item_id":818233,"menu_category_id":105925,"name":"Lea_Bag_Cocco_Black","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</si>
  <si>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These Qromo product names do NOT match any CODICE_AMIIMI in ACQUISTI: Lea_Bag_Cocco_Black | Valid CODICE_AMIIMI count: 167</t>
  </si>
  <si>
    <t>{"version":1,"type":"orders.update","auth":"Fgw5sp0ORTzn88ubSmN6ZqHEkRv8YCGw","business_id":11476,"order":{"order_id":12630790,"order_number_day":6,"order_link":"https:\/\/.qromo.it\/order\/?id=uiT9hU5Mtp5qF65XyZbqvg--","total_items":120,"additional_costs":0,"grand_total":120,"fee":1.59,"payment_type":"stripe","order_mode":"counter","customer_name":null,"table_name":null,"paid":true,"status":"completed","email_present":false,"phone_present":false,"order_notes":null,"order_date":"2026-06-26 16:55:17","delivery_scheduled_date":null,"delivery_address":null,"takeaway_date":null,"made_by_customer":false,"uses_coupons":false,"coupons":[],"menu_items":[{"order_item_id":23641655,"menu_item_id":818233,"menu_category_id":105925,"name":"Lea_Bag_Cocco_Black","sku":null,"price":120,"quantity":1,"note":null,"price_with_products":120,"total_value_in_order":120,"category_name":"LEA BAG COCCO","menu_name":"CATALOGO","menu_id":21350}],"menu_items_products":[],"date_last_edit":null,"sms_sent":false,"prebill_requested":false,"subtotal_delta":0,"tip":0,"receipt":{"fiscal_status":"fiscalized","type":"digital","data":{"business_receipt_id":3417091,"ade_id":"DCW2026\/9962-9250","total":120,"date":"2026-06-26 16:55:28"}},"invoice":null,"email":null,"phone":null}}</t>
  </si>
  <si>
    <t>{"version":1,"type":"orders.new","auth":"Fgw5sp0ORTzn88ubSmN6ZqHEkRv8YCGw","business_id":11476,"order":{"order_id":12630790,"order_number_day":6,"order_link":"https:\/\/.qromo.it\/order\/?id=uiT9hU5Mtp5qF65XyZbqvg--","total_items":120,"additional_costs":0,"grand_total":120,"fee":1.59,"payment_type":"stripe","order_mode":"counter","customer_name":null,"table_name":null,"paid":true,"status":"completed","email_present":false,"phone_present":false,"order_notes":null,"order_date":"2026-06-26 16:55:17","delivery_scheduled_date":null,"delivery_address":null,"takeaway_date":null,"made_by_customer":false,"uses_coupons":false,"coupons":[],"menu_items":[{"order_item_id":23641655,"menu_item_id":818233,"menu_category_id":105925,"name":"Lea_Bag_Cocco_Black","sku":null,"price":120,"quantity":1,"note":null,"price_with_products":120,"total_value_in_order":120,"category_name":"LEA BAG COCCO","menu_name":"CATALOGO","menu_id":21350}],"menu_items_products":[],"date_last_edit":null,"sms_sent":false,"prebill_requested":false,"subtotal_delta":0,"tip":0,"receipt":{"fiscal_status":"not_requested","type":null,"data":null},"invoice":null,"email":null,"phone":null}}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</si>
  <si>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12631136,"order_number_day":7,"order_link":"https:\/\/.qromo.it\/order\/?id=nhMhXU_IlaHrORZxLlxbeQ--","total_items":150,"additional_costs":0,"grand_total":150,"fee":1.95,"payment_type":"stripe","order_mode":"counter","customer_name":null,"table_name":null,"paid":true,"status":"completed","email_present":false,"phone_present":false,"order_notes":null,"order_date":"2026-06-26 17:04:48","delivery_scheduled_date":null,"delivery_address":null,"takeaway_date":null,"made_by_customer":false,"uses_coupons":false,"coupons":[],"menu_items":[{"order_item_id":23642306,"menu_item_id":719607,"menu_category_id":96044,"name":"Lea_Bag_LEOPARDO_SAVANA","sku":null,"price":150,"quantity":1,"note":null,"price_with_products":150,"total_value_in_order":150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</si>
  <si>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12631136,"order_number_day":7,"order_link":"https:\/\/.qromo.it\/order\/?id=nhMhXU_IlaHrORZxLlxbeQ--","total_items":150,"additional_costs":0,"grand_total":150,"fee":1.95,"payment_type":"stripe","order_mode":"counter","customer_name":null,"table_name":null,"paid":true,"status":"completed","email_present":false,"phone_present":false,"order_notes":null,"order_date":"2026-06-26 17:04:48","delivery_scheduled_date":null,"delivery_address":null,"takeaway_date":null,"made_by_customer":false,"uses_coupons":false,"coupons":[],"menu_items":[{"order_item_id":23642306,"menu_item_id":719607,"menu_category_id":96044,"name":"Lea_Bag_LEOPARDO_SAVANA","sku":null,"price":150,"quantity":1,"note":null,"price_with_products":150,"total_value_in_order":150,"category_name":"LEA BAG CAMOSCIO","menu_name":"CATALOGO","menu_id":21350}],"menu_items_products":[],"date_last_edit":null,"sms_sent":false,"prebill_requested":false,"subtotal_delta":0,"tip":0,"receipt":{"fiscal_status":"fiscalized","type":"digital","data":{"business_receipt_id":3417182,"ade_id":"DCW2026\/9963-4778","total":150,"date":"2026-06-26 17:04:56"}},"invoice":null,"email":null,"phone":null}}</t>
  </si>
  <si>
    <t>{"version":1,"type":"orders.new","auth":"Fgw5sp0ORTzn88ubSmN6ZqHEkRv8YCGw","business_id":11476,"order":{"order_id":12631136,"order_number_day":7,"order_link":"https:\/\/.qromo.it\/order\/?id=nhMhXU_IlaHrORZxLlxbeQ--","total_items":150,"additional_costs":0,"grand_total":150,"fee":1.95,"payment_type":"stripe","order_mode":"counter","customer_name":null,"table_name":null,"paid":true,"status":"completed","email_present":false,"phone_present":false,"order_notes":null,"order_date":"2026-06-26 17:04:48","delivery_scheduled_date":null,"delivery_address":null,"takeaway_date":null,"made_by_customer":false,"uses_coupons":false,"coupons":[],"menu_items":[{"order_item_id":23642306,"menu_item_id":719607,"menu_category_id":96044,"name":"Lea_Bag_LEOPARDO_SAVANA","sku":null,"price":150,"quantity":1,"note":null,"price_with_products":150,"total_value_in_order":150,"category_name":"LEA BAG CAMOSCIO","menu_name":"CATALOGO","menu_id":21350}],"menu_items_products":[],"date_last_edit":null,"sms_sent":false,"prebill_requested":false,"subtotal_delta":0,"tip":0,"receipt":{"fiscal_status":"not_requested","type":null,"data":null},"invoice":null,"email":null,"phone":null}}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</si>
  <si>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12666079,"order_number_day":1,"order_link":"https:\/\/.qromo.it\/order\/?id=dLEvlXAcqd2qF8reUhJr9w--","total_items":18,"additional_costs":0,"grand_total":18,"fee":0.34,"payment_type":"stripe","order_mode":"counter","customer_name":null,"table_name":null,"paid":true,"status":"completed","email_present":false,"phone_present":false,"order_notes":null,"order_date":"2026-06-27 09:55:46","delivery_scheduled_date":null,"delivery_address":null,"takeaway_date":null,"made_by_customer":false,"uses_coupons":false,"coupons":[],"menu_items":[{"order_item_id":23710207,"menu_item_id":796596,"menu_category_id":107833,"name":"SUNGLASS COVER RED","sku":null,"price":18,"quantity":1,"note":null,"price_with_products":18,"total_value_in_order":18,"category_name":"SUNGLASS COVER","menu_name":"CATALOGO","menu_id":21350}],"menu_items_products":[],"date_last_edit":null,"sms_sent":false,"prebill_requested":false,"subtotal_delta":0,"tip":0,"receipt":{"fiscal_status":"not_requested","type":null,"data":null},"invoice":null,"email":null,"phone":null}}</t>
  </si>
  <si>
    <t>These Qromo product names do NOT match any CODICE_AMIIMI in ACQUISTI: SUNGLASS COVER RED | Valid CODICE_AMIIMI count: 167</t>
  </si>
  <si>
    <t>{"version":1,"type":"orders.update","auth":"Fgw5sp0ORTzn88ubSmN6ZqHEkRv8YCGw","business_id":11476,"order":{"order_id":12666079,"order_number_day":1,"order_link":"https:\/\/.qromo.it\/order\/?id=dLEvlXAcqd2qF8reUhJr9w--","total_items":18,"additional_costs":0,"grand_total":18,"fee":0.34,"payment_type":"stripe","order_mode":"counter","customer_name":null,"table_name":null,"paid":true,"status":"completed","email_present":false,"phone_present":false,"order_notes":null,"order_date":"2026-06-27 09:55:46","delivery_scheduled_date":null,"delivery_address":null,"takeaway_date":null,"made_by_customer":false,"uses_coupons":false,"coupons":[],"menu_items":[{"order_item_id":23710207,"menu_item_id":796596,"menu_category_id":107833,"name":"SUNGLASS COVER RED","sku":null,"price":18,"quantity":1,"note":null,"price_with_products":18,"total_value_in_order":18,"category_name":"SUNGLASS COVER","menu_name":"CATALOGO","menu_id":21350}],"menu_items_products":[],"date_last_edit":null,"sms_sent":false,"prebill_requested":false,"subtotal_delta":0,"tip":0,"receipt":{"fiscal_status":"fiscalized","type":"digital","data":{"business_receipt_id":3430456,"ade_id":"DCW2026\/9999-7721","total":18,"date":"2026-06-27 09:55:58"}},"invoice":null,"email":null,"phone":null}}</t>
  </si>
  <si>
    <t>{"version":1,"type":"orders.new","auth":"Fgw5sp0ORTzn88ubSmN6ZqHEkRv8YCGw","business_id":11476,"order":{"order_id":12666079,"order_number_day":1,"order_link":"https:\/\/.qromo.it\/order\/?id=dLEvlXAcqd2qF8reUhJr9w--","total_items":18,"additional_costs":0,"grand_total":18,"fee":0.34,"payment_type":"stripe","order_mode":"counter","customer_name":null,"table_name":null,"paid":true,"status":"completed","email_present":false,"phone_present":false,"order_notes":null,"order_date":"2026-06-27 09:55:46","delivery_scheduled_date":null,"delivery_address":null,"takeaway_date":null,"made_by_customer":false,"uses_coupons":false,"coupons":[],"menu_items":[{"order_item_id":23710207,"menu_item_id":796596,"menu_category_id":107833,"name":"SUNGLASS COVER RED","sku":null,"price":18,"quantity":1,"note":null,"price_with_products":18,"total_value_in_order":18,"category_name":"SUNGLASS COVER","menu_name":"CATALOGO","menu_id":21350}],"menu_items_products":[],"date_last_edit":null,"sms_sent":false,"prebill_requested":false,"subtotal_delta":0,"tip":0,"receipt":{"fiscal_status":"not_requested","type":null,"data":null},"invoice":null,"email":null,"phone":null}}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</si>
  <si>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12739253,"order_number_day":1,"order_link":"https:\/\/.qromo.it\/order\/?id=4a0AOFBfjIZTFzvgm1YG7w--","total_items":90,"additional_costs":0,"grand_total":90,"fee":1.22,"payment_type":"stripe","order_mode":"counter","customer_name":null,"table_name":null,"paid":true,"status":"completed","email_present":false,"phone_present":false,"order_notes":null,"order_date":"2026-06-28 10:11:35","delivery_scheduled_date":null,"delivery_address":null,"takeaway_date":null,"made_by_customer":false,"uses_coupons":false,"coupons":[],"menu_items":[{"order_item_id":23844012,"menu_item_id":743567,"menu_category_id":99714,"name":"Annie_Bag_Silk_Grey","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3460570,"ade_id":"DCW2026\/0057-0390","total":90,"date":"2026-06-28 10:11:47"}},"invoice":null,"email":null,"phone":null}}</t>
  </si>
  <si>
    <t>{"version":1,"type":"orders.update","auth":"Fgw5sp0ORTzn88ubSmN6ZqHEkRv8YCGw","business_id":11476,"order":{"order_id":12739253,"order_number_day":1,"order_link":"https:\/\/.qromo.it\/order\/?id=4a0AOFBfjIZTFzvgm1YG7w--","total_items":90,"additional_costs":0,"grand_total":90,"fee":1.22,"payment_type":"stripe","order_mode":"counter","customer_name":null,"table_name":null,"paid":true,"status":"completed","email_present":false,"phone_present":false,"order_notes":null,"order_date":"2026-06-28 10:11:35","delivery_scheduled_date":null,"delivery_address":null,"takeaway_date":null,"made_by_customer":false,"uses_coupons":false,"coupons":[],"menu_items":[{"order_item_id":23844012,"menu_item_id":743567,"menu_category_id":99714,"name":"Annie_Bag_Silk_Grey","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</si>
  <si>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These Qromo product names do NOT match any CODICE_AMIIMI in ACQUISTI: Annie_Bag_Silk_Grey | Valid CODICE_AMIIMI count: 167</t>
  </si>
  <si>
    <t>{"version":1,"type":"orders.new","auth":"Fgw5sp0ORTzn88ubSmN6ZqHEkRv8YCGw","business_id":11476,"order":{"order_id":12739253,"order_number_day":1,"order_link":"https:\/\/.qromo.it\/order\/?id=4a0AOFBfjIZTFzvgm1YG7w--","total_items":90,"additional_costs":0,"grand_total":90,"fee":1.22,"payment_type":"stripe","order_mode":"counter","customer_name":null,"table_name":null,"paid":true,"status":"completed","email_present":false,"phone_present":false,"order_notes":null,"order_date":"2026-06-28 10:11:35","delivery_scheduled_date":null,"delivery_address":null,"takeaway_date":null,"made_by_customer":false,"uses_coupons":false,"coupons":[],"menu_items":[{"order_item_id":23844012,"menu_item_id":743567,"menu_category_id":99714,"name":"Annie_Bag_Silk_Grey","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</si>
  <si>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12750008,"order_number_day":7,"order_link":"https:\/\/.qromo.it\/order\/?id=MByAQx_HYJ.SzHLN2SsrVg--","total_items":90,"additional_costs":0,"grand_total":90,"fee":1.22,"payment_type":"stripe","order_mode":"counter","customer_name":null,"table_name":null,"paid":true,"status":"completed","email_present":false,"phone_present":false,"order_notes":null,"order_date":"2026-06-28 15:20:59","delivery_scheduled_date":null,"delivery_address":null,"takeaway_date":null,"made_by_customer":false,"uses_coupons":false,"coupons":[],"menu_items":[{"order_item_id":23867206,"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</si>
  <si>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12750008,"order_number_day":7,"order_link":"https:\/\/.qromo.it\/order\/?id=MByAQx_HYJ.SzHLN2SsrVg--","total_items":90,"additional_costs":0,"grand_total":90,"fee":1.22,"payment_type":"stripe","order_mode":"counter","customer_name":null,"table_name":null,"paid":true,"status":"completed","email_present":false,"phone_present":false,"order_notes":null,"order_date":"2026-06-28 15:20:59","delivery_scheduled_date":null,"delivery_address":null,"takeaway_date":null,"made_by_customer":false,"uses_coupons":false,"coupons":[],"menu_items":[{"order_item_id":23867206,"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3463468,"ade_id":"DCW2026\/0068-1051","total":90,"date":"2026-06-28 15:21:13"}},"invoice":null,"email":null,"phone":null}}</t>
  </si>
  <si>
    <t>{"version":1,"type":"orders.new","auth":"Fgw5sp0ORTzn88ubSmN6ZqHEkRv8YCGw","business_id":11476,"order":{"order_id":12750008,"order_number_day":7,"order_link":"https:\/\/.qromo.it\/order\/?id=MByAQx_HYJ.SzHLN2SsrVg--","total_items":90,"additional_costs":0,"grand_total":90,"fee":1.22,"payment_type":"stripe","order_mode":"counter","customer_name":null,"table_name":null,"paid":true,"status":"completed","email_present":false,"phone_present":false,"order_notes":null,"order_date":"2026-06-28 15:20:59","delivery_scheduled_date":null,"delivery_address":null,"takeaway_date":null,"made_by_customer":false,"uses_coupons":false,"coupons":[],"menu_items":[{"order_item_id":23867206,"menu_item_id":801364,"menu_category_id":99714,"name":"Annie_Bag_PAILLETTES_PURPLE","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</si>
  <si>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12779442,"order_number_day":1,"order_link":"https:\/\/.qromo.it\/order\/?id=BeUufL9.XFm_MYyNnsmbxg--","total_items":120,"additional_costs":-12,"grand_total":108,"fee":1.44,"payment_type":"stripe","order_mode":"counter","customer_name":null,"table_name":null,"paid":true,"status":"completed","email_present":false,"phone_present":false,"order_notes":null,"order_date":"2026-06-29 11:25:55","delivery_scheduled_date":null,"delivery_address":null,"takeaway_date":null,"made_by_customer":false,"uses_coupons":false,"coupons":[],"menu_items":[{"order_item_id":23922158,"menu_item_id":815961,"menu_category_id":96060,"name":"MARIA BAG GREEN PIERCING","sku":null,"price":120,"quantity":1,"note":null,"price_with_products":120,"total_value_in_order":108,"category_name":"MARIA BAG","menu_name":"CATALOGO","menu_id":21350}],"menu_items_products":[],"date_last_edit":null,"sms_sent":false,"prebill_requested":false,"subtotal_delta":-12,"tip":0,"receipt":{"fiscal_status":"not_requested","type":null,"data":null},"invoice":null,"email":null,"phone":null}}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</si>
  <si>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12779442,"order_number_day":1,"order_link":"https:\/\/.qromo.it\/order\/?id=BeUufL9.XFm_MYyNnsmbxg--","total_items":120,"additional_costs":-12,"grand_total":108,"fee":1.44,"payment_type":"stripe","order_mode":"counter","customer_name":null,"table_name":null,"paid":true,"status":"completed","email_present":false,"phone_present":false,"order_notes":null,"order_date":"2026-06-29 11:25:55","delivery_scheduled_date":null,"delivery_address":null,"takeaway_date":null,"made_by_customer":false,"uses_coupons":false,"coupons":[],"menu_items":[{"order_item_id":23922158,"menu_item_id":815961,"menu_category_id":96060,"name":"MARIA BAG GREEN PIERCING","sku":null,"price":120,"quantity":1,"note":null,"price_with_products":120,"total_value_in_order":108,"category_name":"MARIA BAG","menu_name":"CATALOGO","menu_id":21350}],"menu_items_products":[],"date_last_edit":null,"sms_sent":false,"prebill_requested":false,"subtotal_delta":-12,"tip":0,"receipt":{"fiscal_status":"fiscalized","type":"digital","data":{"business_receipt_id":3474709,"ade_id":"DCW2026\/0104-7029","total":108,"date":"2026-06-29 11:26:09"}},"invoice":null,"email":null,"phone":null}}</t>
  </si>
  <si>
    <t>These Qromo product names do NOT match any CODICE_AMIIMI in ACQUISTI: MARIA BAG GREEN PIERCING | Valid CODICE_AMIIMI count: 167</t>
  </si>
  <si>
    <t>{"version":1,"type":"orders.new","auth":"Fgw5sp0ORTzn88ubSmN6ZqHEkRv8YCGw","business_id":11476,"order":{"order_id":12779442,"order_number_day":1,"order_link":"https:\/\/.qromo.it\/order\/?id=BeUufL9.XFm_MYyNnsmbxg--","total_items":120,"additional_costs":-12,"grand_total":108,"fee":1.44,"payment_type":"stripe","order_mode":"counter","customer_name":null,"table_name":null,"paid":true,"status":"completed","email_present":false,"phone_present":false,"order_notes":null,"order_date":"2026-06-29 11:25:55","delivery_scheduled_date":null,"delivery_address":null,"takeaway_date":null,"made_by_customer":false,"uses_coupons":false,"coupons":[],"menu_items":[{"order_item_id":23922158,"menu_item_id":815961,"menu_category_id":96060,"name":"MARIA BAG GREEN PIERCING","sku":null,"price":120,"quantity":1,"note":null,"price_with_products":120,"total_value_in_order":108,"category_name":"MARIA BAG","menu_name":"CATALOGO","menu_id":21350}],"menu_items_products":[],"date_last_edit":null,"sms_sent":false,"prebill_requested":false,"subtotal_delta":-12,"tip":0,"receipt":{"fiscal_status":"not_requested","type":null,"data":null},"invoice":null,"email":null,"phone":null}}</t>
  </si>
  <si>
    <t>{"version":1,"type":"orders.update","auth":"Fgw5sp0ORTzn88ubSmN6ZqHEkRv8YCGw","business_id":11476,"order":{"order_id":12798369,"order_number_day":1,"order_link":"https:\/\/.qromo.it\/order\/?id=AlfpaXaDbc6fiAGj36.ZzA--","total_items":50,"additional_costs":-5,"grand_total":45,"fee":0,"payment_type":"cash","order_mode":"counter","customer_name":null,"table_name":null,"paid":true,"status":"completed","email_present":false,"phone_present":false,"order_notes":null,"order_date":"2026-06-30 09:22:21","delivery_scheduled_date":null,"delivery_address":null,"takeaway_date":null,"made_by_customer":false,"uses_coupons":false,"coupons":[],"menu_items":[{"order_item_id":23956266,"menu_item_id":796607,"menu_category_id":106150,"name":"NINA BAG ICE","sku":null,"price":50,"quantity":1,"note":null,"price_with_products":50,"total_value_in_order":45,"category_name":"NINA BAG","menu_name":"CATALOGO","menu_id":21350}],"menu_items_products":[],"date_last_edit":null,"sms_sent":false,"prebill_requested":false,"subtotal_delta":-5,"tip":0,"receipt":{"fiscal_status":"fiscalized","type":"digital","data":{"business_receipt_id":3479723,"ade_id":"DCW2026\/0140-5095","total":45,"date":"2026-06-30 09:22:22"}},"invoice":null,"email":null,"phone":null}}</t>
  </si>
  <si>
    <t>These Qromo product names do NOT match any CODICE_AMIIMI in ACQUISTI: NINA BAG ICE | Valid CODICE_AMIIMI count: 169</t>
  </si>
  <si>
    <t>{"version":1,"type":"orders.new","auth":"Fgw5sp0ORTzn88ubSmN6ZqHEkRv8YCGw","business_id":11476,"order":{"order_id":12798369,"order_number_day":1,"order_link":"https:\/\/.qromo.it\/order\/?id=AlfpaXaDbc6fiAGj36.ZzA--","total_items":50,"additional_costs":-5,"grand_total":45,"fee":0,"payment_type":"cash","order_mode":"counter","customer_name":null,"table_name":null,"paid":true,"status":"completed","email_present":false,"phone_present":false,"order_notes":null,"order_date":"2026-06-30 09:22:21","delivery_scheduled_date":null,"delivery_address":null,"takeaway_date":null,"made_by_customer":false,"uses_coupons":false,"coupons":[],"menu_items":[{"order_item_id":23956266,"menu_item_id":796607,"menu_category_id":106150,"name":"NINA BAG ICE","sku":null,"price":50,"quantity":1,"note":null,"price_with_products":50,"total_value_in_order":45,"category_name":"NINA BAG","menu_name":"CATALOGO","menu_id":21350}],"menu_items_products":[],"date_last_edit":null,"sms_sent":false,"prebill_requested":false,"subtotal_delta":-5,"tip":0,"receipt":{"fiscal_status":"not_requested","type":null,"data":null},"invoice":null,"email":null,"phone":null}}</t>
  </si>
  <si>
    <t>{"version":1,"type":"orders.update","auth":"Fgw5sp0ORTzn88ubSmN6ZqHEkRv8YCGw","business_id":11476,"order":{"order_id":12808152,"order_number_day":2,"order_link":"https:\/\/.qromo.it\/order\/?id=j5IQnjjZsx9ePFN1sYa8Nw--","total_items":80,"additional_costs":-8,"grand_total":72,"fee":1,"payment_type":"stripe","order_mode":"counter","customer_name":null,"table_name":null,"paid":true,"status":"completed","email_present":false,"phone_present":false,"order_notes":null,"order_date":"2026-06-30 16:51:04","delivery_scheduled_date":null,"delivery_address":null,"takeaway_date":null,"made_by_customer":false,"uses_coupons":false,"coupons":[],"menu_items":[{"order_item_id":23973137,"menu_item_id":782315,"menu_category_id":100636,"name":"Agata_Bag_ROSE_BUTTER","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</si>
  <si>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12808152,"order_number_day":2,"order_link":"https:\/\/.qromo.it\/order\/?id=j5IQnjjZsx9ePFN1sYa8Nw--","total_items":80,"additional_costs":-8,"grand_total":72,"fee":1,"payment_type":"stripe","order_mode":"counter","customer_name":null,"table_name":null,"paid":true,"status":"completed","email_present":false,"phone_present":false,"order_notes":null,"order_date":"2026-06-30 16:51:04","delivery_scheduled_date":null,"delivery_address":null,"takeaway_date":null,"made_by_customer":false,"uses_coupons":false,"coupons":[],"menu_items":[{"order_item_id":23973137,"menu_item_id":782315,"menu_category_id":100636,"name":"Agata_Bag_ROSE_BUTTER","sku":null,"price":80,"quantity":1,"note":null,"price_with_products":80,"total_value_in_order":72,"category_name":"AGATA BAG","menu_name":"CATALOGO","menu_id":21350}],"menu_items_products":[],"date_last_edit":null,"sms_sent":false,"prebill_requested":false,"subtotal_delta":-8,"tip":0,"receipt":{"fiscal_status":"fiscalized","type":"digital","data":{"business_receipt_id":3481622,"ade_id":"DCW2026\/0160-7385","total":72,"date":"2026-06-30 16:51:39"}},"invoice":null,"email":null,"phone":null}}</t>
  </si>
  <si>
    <t>{"version":1,"type":"orders.new","auth":"Fgw5sp0ORTzn88ubSmN6ZqHEkRv8YCGw","business_id":11476,"order":{"order_id":12808152,"order_number_day":2,"order_link":"https:\/\/.qromo.it\/order\/?id=j5IQnjjZsx9ePFN1sYa8Nw--","total_items":80,"additional_costs":-8,"grand_total":72,"fee":1,"payment_type":"stripe","order_mode":"counter","customer_name":null,"table_name":null,"paid":true,"status":"completed","email_present":false,"phone_present":false,"order_notes":null,"order_date":"2026-06-30 16:51:04","delivery_scheduled_date":null,"delivery_address":null,"takeaway_date":null,"made_by_customer":false,"uses_coupons":false,"coupons":[],"menu_items":[{"order_item_id":23973137,"menu_item_id":782315,"menu_category_id":100636,"name":"Agata_Bag_ROSE_BUTTER","sku":null,"price":80,"quantity":1,"note":null,"price_with_products":80,"total_value_in_order":72,"category_name":"AGATA BAG","menu_name":"CATALOGO","menu_id":21350}],"menu_items_products":[],"date_last_edit":null,"sms_sent":false,"prebill_requested":false,"subtotal_delta":-8,"tip":0,"receipt":{"fiscal_status":"not_requested","type":null,"data":null},"invoice":null,"email":null,"phone":null}}</t>
  </si>
  <si>
    <t>{"version":1,"type":"orders.update","auth":"Fgw5sp0ORTzn88ubSmN6ZqHEkRv8YCGw","business_id":11476,"order":{"order_id":12809141,"order_number_day":3,"order_link":"https:\/\/.qromo.it\/order\/?id=GeNmdfdMXnwdqAk7eFGMDQ--","total_items":50,"additional_costs":-5,"grand_total":45,"fee":0.67,"payment_type":"stripe","order_mode":"counter","customer_name":null,"table_name":null,"paid":true,"status":"completed","email_present":false,"phone_present":false,"order_notes":null,"order_date":"2026-06-30 17:19:56","delivery_scheduled_date":null,"delivery_address":null,"takeaway_date":null,"made_by_customer":false,"uses_coupons":false,"coupons":[],"menu_items":[{"order_item_id":23975114,"menu_item_id":784120,"menu_category_id":106150,"name":"Nina_Bag_STRIPES_PETROL_BLUE","sku":null,"price":50,"quantity":1,"note":null,"price_with_products":50,"total_value_in_order":45,"category_name":"NINA BAG","menu_name":"CATALOGO","menu_id":21350}],"menu_items_products":[],"date_last_edit":null,"sms_sent":false,"prebill_requested":false,"subtotal_delta":-5,"tip":0,"receipt":{"fiscal_status":"fiscalized","type":"digital","data":{"business_receipt_id":3481888,"ade_id":"DCW2026\/0162-1078","total":45,"date":"2026-06-30 17:20:07"}},"invoice":null,"email":null,"phone":null}}</t>
  </si>
  <si>
    <t>{"version":1,"type":"orders.update","auth":"Fgw5sp0ORTzn88ubSmN6ZqHEkRv8YCGw","business_id":11476,"order":{"order_id":12809141,"order_number_day":3,"order_link":"https:\/\/.qromo.it\/order\/?id=GeNmdfdMXnwdqAk7eFGMDQ--","total_items":50,"additional_costs":-5,"grand_total":45,"fee":0.67,"payment_type":"stripe","order_mode":"counter","customer_name":null,"table_name":null,"paid":true,"status":"completed","email_present":false,"phone_present":false,"order_notes":null,"order_date":"2026-06-30 17:19:56","delivery_scheduled_date":null,"delivery_address":null,"takeaway_date":null,"made_by_customer":false,"uses_coupons":false,"coupons":[],"menu_items":[{"order_item_id":23975114,"menu_item_id":784120,"menu_category_id":106150,"name":"Nina_Bag_STRIPES_PETROL_BLUE","sku":null,"price":50,"quantity":1,"note":null,"price_with_products":50,"total_value_in_order":45,"category_name":"NINA BAG","menu_name":"CATALOGO","menu_id":21350}],"menu_items_products":[],"date_last_edit":null,"sms_sent":false,"prebill_requested":false,"subtotal_delta":-5,"tip":0,"receipt":{"fiscal_status":"not_requested","type":null,"data":null},"invoice":null,"email":null,"phone":null}}</t>
  </si>
  <si>
    <t>{"version":1,"type":"orders.new","auth":"Fgw5sp0ORTzn88ubSmN6ZqHEkRv8YCGw","business_id":11476,"order":{"order_id":12809141,"order_number_day":3,"order_link":"https:\/\/.qromo.it\/order\/?id=GeNmdfdMXnwdqAk7eFGMDQ--","total_items":50,"additional_costs":-5,"grand_total":45,"fee":0.67,"payment_type":"stripe","order_mode":"counter","customer_name":null,"table_name":null,"paid":true,"status":"completed","email_present":false,"phone_present":false,"order_notes":null,"order_date":"2026-06-30 17:19:56","delivery_scheduled_date":null,"delivery_address":null,"takeaway_date":null,"made_by_customer":false,"uses_coupons":false,"coupons":[],"menu_items":[{"order_item_id":23975114,"menu_item_id":784120,"menu_category_id":106150,"name":"Nina_Bag_STRIPES_PETROL_BLUE","sku":null,"price":50,"quantity":1,"note":null,"price_with_products":50,"total_value_in_order":45,"category_name":"NINA BAG","menu_name":"CATALOGO","menu_id":21350}],"menu_items_products":[],"date_last_edit":null,"sms_sent":false,"prebill_requested":false,"subtotal_delta":-5,"tip":0,"receipt":{"fiscal_status":"not_requested","type":null,"data":null},"invoice":null,"email":null,"phone":null}}</t>
  </si>
  <si>
    <t>{"version":1,"type":"orders.update","auth":"Fgw5sp0ORTzn88ubSmN6ZqHEkRv8YCGw","business_id":11476,"order":{"order_id":12809478,"order_number_day":4,"order_link":"https:\/\/.qromo.it\/order\/?id=5rU3nxICdEhg0yhAPHuzHA--","total_items":90,"additional_costs":0,"grand_total":90,"fee":1.22,"payment_type":"stripe","order_mode":"counter","customer_name":null,"table_name":null,"paid":true,"status":"completed","email_present":false,"phone_present":false,"order_notes":null,"order_date":"2026-06-30 17:27:40","delivery_scheduled_date":null,"delivery_address":null,"takeaway_date":null,"made_by_customer":false,"uses_coupons":false,"coupons":[],"menu_items":[{"order_item_id":23975853,"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3481970,"ade_id":"DCW2026\/0162-4993","total":90,"date":"2026-06-30 17:27:46"}},"invoice":null,"email":null,"phone":null}}</t>
  </si>
  <si>
    <t>{"version":1,"type":"orders.new","auth":"Fgw5sp0ORTzn88ubSmN6ZqHEkRv8YCGw","business_id":11476,"order":{"order_id":12809478,"order_number_day":4,"order_link":"https:\/\/.qromo.it\/order\/?id=5rU3nxICdEhg0yhAPHuzHA--","total_items":90,"additional_costs":0,"grand_total":90,"fee":1.22,"payment_type":"stripe","order_mode":"counter","customer_name":null,"table_name":null,"paid":true,"status":"completed","email_present":false,"phone_present":false,"order_notes":null,"order_date":"2026-06-30 17:27:40","delivery_scheduled_date":null,"delivery_address":null,"takeaway_date":null,"made_by_customer":false,"uses_coupons":false,"coupons":[],"menu_items":[{"order_item_id":23975853,"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</si>
  <si>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12809478,"order_number_day":4,"order_link":"https:\/\/.qromo.it\/order\/?id=5rU3nxICdEhg0yhAPHuzHA--","total_items":90,"additional_costs":0,"grand_total":90,"fee":1.22,"payment_type":"stripe","order_mode":"counter","customer_name":null,"table_name":null,"paid":true,"status":"completed","email_present":false,"phone_present":false,"order_notes":null,"order_date":"2026-06-30 17:27:40","delivery_scheduled_date":null,"delivery_address":null,"takeaway_date":null,"made_by_customer":false,"uses_coupons":false,"coupons":[],"menu_items":[{"order_item_id":23975853,"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</si>
  <si>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12837287,"order_number_day":1,"order_link":"https:\/\/.qromo.it\/order\/?id=X7e..f2LTY095emQCUmWMg--","total_items":175,"additional_costs":0,"grand_total":175,"fee":2.26,"payment_type":"stripe","order_mode":"counter","customer_name":null,"table_name":null,"paid":true,"status":"completed","email_present":false,"phone_present":false,"order_notes":null,"order_date":"2026-07-01 16:39:14","delivery_scheduled_date":null,"delivery_address":null,"takeaway_date":null,"made_by_customer":false,"uses_coupons":false,"coupons":[],"menu_items":[{"order_item_id":24027684,"menu_item_id":712231,"menu_category_id":97147,"name":"Valentina_Bag_CHOCOLATE","sku":null,"price":175,"quantity":1,"note":null,"price_with_products":175,"total_value_in_order":175,"category_name":"VALENT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</si>
  <si>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12837287,"order_number_day":1,"order_link":"https:\/\/.qromo.it\/order\/?id=X7e..f2LTY095emQCUmWMg--","total_items":175,"additional_costs":0,"grand_total":175,"fee":2.26,"payment_type":"stripe","order_mode":"counter","customer_name":null,"table_name":null,"paid":true,"status":"completed","email_present":false,"phone_present":false,"order_notes":null,"order_date":"2026-07-01 16:39:14","delivery_scheduled_date":null,"delivery_address":null,"takeaway_date":null,"made_by_customer":false,"uses_coupons":false,"coupons":[],"menu_items":[{"order_item_id":24027684,"menu_item_id":712231,"menu_category_id":97147,"name":"Valentina_Bag_CHOCOLATE","sku":null,"price":175,"quantity":1,"note":null,"price_with_products":175,"total_value_in_order":175,"category_name":"VALENTINA BAG","menu_name":"CATALOGO","menu_id":21350}],"menu_items_products":[],"date_last_edit":null,"sms_sent":false,"prebill_requested":false,"subtotal_delta":0,"tip":0,"receipt":{"fiscal_status":"fiscalized","type":"digital","data":{"business_receipt_id":3489585,"ade_id":"DCW2026\/0204-5534","total":175,"date":"2026-07-01 16:39:43"}},"invoice":null,"email":null,"phone":null}}</t>
  </si>
  <si>
    <t>{"version":1,"type":"orders.new","auth":"Fgw5sp0ORTzn88ubSmN6ZqHEkRv8YCGw","business_id":11476,"order":{"order_id":12837287,"order_number_day":1,"order_link":"https:\/\/.qromo.it\/order\/?id=X7e..f2LTY095emQCUmWMg--","total_items":175,"additional_costs":0,"grand_total":175,"fee":2.26,"payment_type":"stripe","order_mode":"counter","customer_name":null,"table_name":null,"paid":true,"status":"completed","email_present":false,"phone_present":false,"order_notes":null,"order_date":"2026-07-01 16:39:14","delivery_scheduled_date":null,"delivery_address":null,"takeaway_date":null,"made_by_customer":false,"uses_coupons":false,"coupons":[],"menu_items":[{"order_item_id":24027684,"menu_item_id":712231,"menu_category_id":97147,"name":"Valentina_Bag_CHOCOLATE","sku":null,"price":175,"quantity":1,"note":null,"price_with_products":175,"total_value_in_order":175,"category_name":"VALENT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</si>
  <si>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12837681,"order_number_day":2,"order_link":"https:\/\/.qromo.it\/order\/?id=cee38U7_1_cTJxBDBPPNQg--","total_items":90,"additional_costs":0,"grand_total":90,"fee":1.22,"payment_type":"stripe","order_mode":"counter","customer_name":null,"table_name":null,"paid":true,"status":"completed","email_present":false,"phone_present":false,"order_notes":null,"order_date":"2026-07-01 16:53:04","delivery_scheduled_date":null,"delivery_address":null,"takeaway_date":null,"made_by_customer":false,"uses_coupons":false,"coupons":[],"menu_items":[{"order_item_id":24028362,"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3489673,"ade_id":"DCW2026\/0205-1988","total":90,"date":"2026-07-01 16:53:25"}},"invoice":null,"email":null,"phone":null}}</t>
  </si>
  <si>
    <t>{"version":1,"type":"orders.new","auth":"Fgw5sp0ORTzn88ubSmN6ZqHEkRv8YCGw","business_id":11476,"order":{"order_id":12837681,"order_number_day":2,"order_link":"https:\/\/.qromo.it\/order\/?id=cee38U7_1_cTJxBDBPPNQg--","total_items":90,"additional_costs":0,"grand_total":90,"fee":1.22,"payment_type":"stripe","order_mode":"counter","customer_name":null,"table_name":null,"paid":true,"status":"completed","email_present":false,"phone_present":false,"order_notes":null,"order_date":"2026-07-01 16:53:04","delivery_scheduled_date":null,"delivery_address":null,"takeaway_date":null,"made_by_customer":false,"uses_coupons":false,"coupons":[],"menu_items":[{"order_item_id":24028362,"menu_item_id":746662,"menu_category_id":99714,"name":"Annie_Bag_PAILLETTES_PINK","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</si>
  <si>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12866146,"order_number_day":1,"order_link":"https:\/\/.qromo.it\/order\/?id=75P1BjndKAjoHMTfdyVAqg--","total_items":175,"additional_costs":0,"grand_total":175,"fee":2.26,"payment_type":"stripe","order_mode":"counter","customer_name":null,"table_name":null,"paid":true,"status":"completed","email_present":false,"phone_present":false,"order_notes":null,"order_date":"2026-07-02 16:41:35","delivery_scheduled_date":null,"delivery_address":null,"takeaway_date":null,"made_by_customer":false,"uses_coupons":false,"coupons":[],"menu_items":[{"order_item_id":24081275,"menu_item_id":746660,"menu_category_id":97147,"name":"Valentina Bag Cocco Black","sku":null,"price":175,"quantity":1,"note":null,"price_with_products":175,"total_value_in_order":175,"category_name":"VALENTINA BAG","menu_name":"CATALOGO","menu_id":21350}],"menu_items_products":[],"date_last_edit":null,"sms_sent":false,"prebill_requested":false,"subtotal_delta":0,"tip":0,"receipt":{"fiscal_status":"not_requested","type":null,"data":null},"invoice":null,"email":null,"phone":null}}</t>
  </si>
  <si>
    <t>These Qromo product names do NOT match any CODICE_AMIIMI in ACQUISTI: Valentina Bag Cocco Black | Valid CODICE_AMIIMI count: 170</t>
  </si>
  <si>
    <t>{"version":1,"type":"orders.update","auth":"Fgw5sp0ORTzn88ubSmN6ZqHEkRv8YCGw","business_id":11476,"order":{"order_id":12866146,"order_number_day":1,"order_link":"https:\/\/.qromo.it\/order\/?id=75P1BjndKAjoHMTfdyVAqg--","total_items":175,"additional_costs":0,"grand_total":175,"fee":2.26,"payment_type":"stripe","order_mode":"counter","customer_name":null,"table_name":null,"paid":true,"status":"completed","email_present":false,"phone_present":false,"order_notes":null,"order_date":"2026-07-02 16:41:35","delivery_scheduled_date":null,"delivery_address":null,"takeaway_date":null,"made_by_customer":false,"uses_coupons":false,"coupons":[],"menu_items":[{"order_item_id":24081275,"menu_item_id":746660,"menu_category_id":97147,"name":"Valentina Bag Cocco Black","sku":null,"price":175,"quantity":1,"note":null,"price_with_products":175,"total_value_in_order":175,"category_name":"VALENTINA BAG","menu_name":"CATALOGO","menu_id":21350}],"menu_items_products":[],"date_last_edit":null,"sms_sent":false,"prebill_requested":false,"subtotal_delta":0,"tip":0,"receipt":{"fiscal_status":"fiscalized","type":"digital","data":{"business_receipt_id":3496951,"ade_id":"DCW2026\/0252-6158","total":175,"date":"2026-07-02 16:41:50"}},"invoice":null,"email":null,"phone":null}}</t>
  </si>
  <si>
    <t>{"version":1,"type":"orders.new","auth":"Fgw5sp0ORTzn88ubSmN6ZqHEkRv8YCGw","business_id":11476,"order":{"order_id":12866146,"order_number_day":1,"order_link":"https:\/\/.qromo.it\/order\/?id=75P1BjndKAjoHMTfdyVAqg--","total_items":175,"additional_costs":0,"grand_total":175,"fee":2.26,"payment_type":"stripe","order_mode":"counter","customer_name":null,"table_name":null,"paid":true,"status":"completed","email_present":false,"phone_present":false,"order_notes":null,"order_date":"2026-07-02 16:41:35","delivery_scheduled_date":null,"delivery_address":null,"takeaway_date":null,"made_by_customer":false,"uses_coupons":false,"coupons":[],"menu_items":[{"order_item_id":24081275,"menu_item_id":746660,"menu_category_id":97147,"name":"Valentina Bag Cocco Black","sku":null,"price":175,"quantity":1,"note":null,"price_with_products":175,"total_value_in_order":175,"category_name":"VALENTINA BAG","menu_name":"CATALOGO","menu_id":21350}],"menu_items_products":[],"date_last_edit":null,"sms_sent":false,"prebill_requested":false,"subtotal_delta":0,"tip":0,"receipt":{"fiscal_status":"not_requested","type":null,"data":null},"invoice":null,"email":null,"phone":null}}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</si>
  <si>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12866160,"order_number_day":2,"order_link":"https:\/\/.qromo.it\/order\/?id=2OVqO7t2gkDfiQvpzCl0RA--","total_items":70,"additional_costs":0,"grand_total":70,"fee":0.98,"payment_type":"stripe","order_mode":"counter","customer_name":null,"table_name":null,"paid":true,"status":"completed","email_present":false,"phone_present":false,"order_notes":null,"order_date":"2026-07-02 16:42:05","delivery_scheduled_date":null,"delivery_address":null,"takeaway_date":null,"made_by_customer":false,"uses_coupons":false,"coupons":[],"menu_items":[{"order_item_id":24081301,"menu_item_id":796583,"menu_category_id":106151,"name":"NINA BAG MAXI JUNGLE GREEN","sku":null,"price":70,"quantity":1,"note":null,"price_with_products":70,"total_value_in_order":70,"category_name":"NINA BAG MAXI","menu_name":"CATALOGO","menu_id":21350}],"menu_items_products":[],"date_last_edit":null,"sms_sent":false,"prebill_requested":false,"subtotal_delta":0,"tip":0,"receipt":{"fiscal_status":"fiscalized","type":"digital","data":{"business_receipt_id":3496955,"ade_id":"DCW2026\/0252-6443","total":70,"date":"2026-07-02 16:42:21"}},"invoice":null,"email":null,"phone":null}}</t>
  </si>
  <si>
    <t>{"version":1,"type":"orders.update","auth":"Fgw5sp0ORTzn88ubSmN6ZqHEkRv8YCGw","business_id":11476,"order":{"order_id":12866160,"order_number_day":2,"order_link":"https:\/\/.qromo.it\/order\/?id=2OVqO7t2gkDfiQvpzCl0RA--","total_items":70,"additional_costs":0,"grand_total":70,"fee":0.98,"payment_type":"stripe","order_mode":"counter","customer_name":null,"table_name":null,"paid":true,"status":"completed","email_present":false,"phone_present":false,"order_notes":null,"order_date":"2026-07-02 16:42:05","delivery_scheduled_date":null,"delivery_address":null,"takeaway_date":null,"made_by_customer":false,"uses_coupons":false,"coupons":[],"menu_items":[{"order_item_id":24081301,"menu_item_id":796583,"menu_category_id":106151,"name":"NINA BAG MAXI JUNGLE GREEN","sku":null,"price":70,"quantity":1,"note":null,"price_with_products":70,"total_value_in_order":70,"category_name":"NINA BAG MAXI","menu_name":"CATALOGO","menu_id":21350}],"menu_items_products":[],"date_last_edit":null,"sms_sent":false,"prebill_requested":false,"subtotal_delta":0,"tip":0,"receipt":{"fiscal_status":"not_requested","type":null,"data":null},"invoice":null,"email":null,"phone":null}}</t>
  </si>
  <si>
    <t>These Qromo product names do NOT match any CODICE_AMIIMI in ACQUISTI: NINA BAG MAXI JUNGLE GREEN | Valid CODICE_AMIIMI count: 170</t>
  </si>
  <si>
    <t>{"version":1,"type":"orders.new","auth":"Fgw5sp0ORTzn88ubSmN6ZqHEkRv8YCGw","business_id":11476,"order":{"order_id":12866160,"order_number_day":2,"order_link":"https:\/\/.qromo.it\/order\/?id=2OVqO7t2gkDfiQvpzCl0RA--","total_items":70,"additional_costs":0,"grand_total":70,"fee":0.98,"payment_type":"stripe","order_mode":"counter","customer_name":null,"table_name":null,"paid":true,"status":"completed","email_present":false,"phone_present":false,"order_notes":null,"order_date":"2026-07-02 16:42:05","delivery_scheduled_date":null,"delivery_address":null,"takeaway_date":null,"made_by_customer":false,"uses_coupons":false,"coupons":[],"menu_items":[{"order_item_id":24081301,"menu_item_id":796583,"menu_category_id":106151,"name":"NINA BAG MAXI JUNGLE GREEN","sku":null,"price":70,"quantity":1,"note":null,"price_with_products":70,"total_value_in_order":70,"category_name":"NINA BAG MAXI","menu_name":"CATALOGO","menu_id":21350}],"menu_items_products":[],"date_last_edit":null,"sms_sent":false,"prebill_requested":false,"subtotal_delta":0,"tip":0,"receipt":{"fiscal_status":"not_requested","type":null,"data":null},"invoice":null,"email":null,"phone":null}}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</si>
  <si>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12867915,"order_number_day":3,"order_link":"https:\/\/.qromo.it\/order\/?id=IGFMH3nc_RDNLImQlfg.jg--","total_items":90,"additional_costs":0,"grand_total":90,"fee":1.22,"payment_type":"stripe","order_mode":"counter","customer_name":null,"table_name":null,"paid":true,"status":"completed","email_present":false,"phone_present":false,"order_notes":null,"order_date":"2026-07-02 17:24:32","delivery_scheduled_date":null,"delivery_address":null,"takeaway_date":null,"made_by_customer":false,"uses_coupons":false,"coupons":[],"menu_items":[{"order_item_id":24084580,"menu_item_id":823044,"menu_category_id":99714,"name":"Annie_Bag_Tiffany","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</si>
  <si>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version":1,"type":"orders.update","auth":"Fgw5sp0ORTzn88ubSmN6ZqHEkRv8YCGw","business_id":11476,"order":{"order_id":12867915,"order_number_day":3,"order_link":"https:\/\/.qromo.it\/order\/?id=IGFMH3nc_RDNLImQlfg.jg--","total_items":90,"additional_costs":0,"grand_total":90,"fee":1.22,"payment_type":"stripe","order_mode":"counter","customer_name":null,"table_name":null,"paid":true,"status":"completed","email_present":false,"phone_present":false,"order_notes":null,"order_date":"2026-07-02 17:24:32","delivery_scheduled_date":null,"delivery_address":null,"takeaway_date":null,"made_by_customer":false,"uses_coupons":false,"coupons":[],"menu_items":[{"order_item_id":24084580,"menu_item_id":823044,"menu_category_id":99714,"name":"Annie_Bag_Tiffany","sku":null,"price":90,"quantity":1,"note":null,"price_with_products":90,"total_value_in_order":90,"category_name":"ANNIE BAG ","menu_name":"CATALOGO","menu_id":21350}],"menu_items_products":[],"date_last_edit":null,"sms_sent":false,"prebill_requested":false,"subtotal_delta":0,"tip":0,"receipt":{"fiscal_status":"fiscalized","type":"digital","data":{"business_receipt_id":3497527,"ade_id":"DCW2026\/0255-2375","total":90,"date":"2026-07-02 17:24:39"}},"invoice":null,"email":null,"phone":null}}</t>
  </si>
  <si>
    <t>These Qromo product names do NOT match any CODICE_AMIIMI in ACQUISTI: Annie_Bag_Tiffany | Valid CODICE_AMIIMI count: 170</t>
  </si>
  <si>
    <t>{"version":1,"type":"orders.new","auth":"Fgw5sp0ORTzn88ubSmN6ZqHEkRv8YCGw","business_id":11476,"order":{"order_id":12867915,"order_number_day":3,"order_link":"https:\/\/.qromo.it\/order\/?id=IGFMH3nc_RDNLImQlfg.jg--","total_items":90,"additional_costs":0,"grand_total":90,"fee":1.22,"payment_type":"stripe","order_mode":"counter","customer_name":null,"table_name":null,"paid":true,"status":"completed","email_present":false,"phone_present":false,"order_notes":null,"order_date":"2026-07-02 17:24:32","delivery_scheduled_date":null,"delivery_address":null,"takeaway_date":null,"made_by_customer":false,"uses_coupons":false,"coupons":[],"menu_items":[{"order_item_id":24084580,"menu_item_id":823044,"menu_category_id":99714,"name":"Annie_Bag_Tiffany","sku":null,"price":90,"quantity":1,"note":null,"price_with_products":90,"total_value_in_order":90,"category_name":"ANNIE BAG ","menu_name":"CATALOGO","menu_id":21350}],"menu_items_products":[],"date_last_edit":null,"sms_sent":false,"prebill_requested":false,"subtotal_delta":0,"tip":0,"receipt":{"fiscal_status":"not_requested","type":null,"data":null},"invoice":null,"email":null,"phone":null}}</t>
  </si>
  <si>
    <t>Card_ID</t>
  </si>
  <si>
    <t>Title</t>
  </si>
  <si>
    <t>Subtitle</t>
  </si>
  <si>
    <t>Icon</t>
  </si>
  <si>
    <t>Target_View</t>
  </si>
  <si>
    <t>Sort_Order</t>
  </si>
  <si>
    <t>📦 Nuovo Acquisto</t>
  </si>
  <si>
    <t>Registra un nuovo prodotto o restock</t>
  </si>
  <si>
    <t>add-box</t>
  </si>
  <si>
    <t>Inserisci Acquisto</t>
  </si>
  <si>
    <t>🎁 Gift / Campioni</t>
  </si>
  <si>
    <t>Registra gift e campioni offline</t>
  </si>
  <si>
    <t>card-giftcard</t>
  </si>
  <si>
    <t>Inserisci Gift Online</t>
  </si>
  <si>
    <t>📋 Storico Acquisti</t>
  </si>
  <si>
    <t>Consulta tutti gli acquisti passati</t>
  </si>
  <si>
    <t>receipt-long</t>
  </si>
  <si>
    <t>Riepilogo Acquisti</t>
  </si>
  <si>
    <t>🏪 Storico Gift</t>
  </si>
  <si>
    <t>Consulta i gift e le vendite offline</t>
  </si>
  <si>
    <t>storefront</t>
  </si>
  <si>
    <t>Riepilogo Gift Online</t>
  </si>
  <si>
    <t>📊 Inventario</t>
  </si>
  <si>
    <t>Giacenze e vendite per prodotto</t>
  </si>
  <si>
    <t>grid-on</t>
  </si>
  <si>
    <t>Inventario Prodotti</t>
  </si>
  <si>
    <t>SKU</t>
  </si>
  <si>
    <t>ID_Materiale</t>
  </si>
  <si>
    <t>Costo_Ultimo</t>
  </si>
  <si>
    <t>Scorta_Minima</t>
  </si>
  <si>
    <t>VOCE</t>
  </si>
  <si>
    <t>IMPORTO</t>
  </si>
  <si>
    <t>Sostenuto/Da Sostenere</t>
  </si>
  <si>
    <t>E-commerce</t>
  </si>
  <si>
    <t>Template Shopify</t>
  </si>
  <si>
    <t>Sostenuto</t>
  </si>
  <si>
    <t>Burocrazia</t>
  </si>
  <si>
    <t>Registrazione marchio</t>
  </si>
  <si>
    <t>280 che comprendeva la ricerca in una classe + 40 x 9 classi aggiuntive</t>
  </si>
  <si>
    <t>Da Sostenere</t>
  </si>
  <si>
    <t>Legenda</t>
  </si>
  <si>
    <t>Cessazione ditta individuale Registro Imprese</t>
  </si>
  <si>
    <t>iva esclusa</t>
  </si>
  <si>
    <t>Spese sostenute</t>
  </si>
  <si>
    <t>Chisura P.IVA Agenzia Entrate</t>
  </si>
  <si>
    <t>Spese da sostenere</t>
  </si>
  <si>
    <t>Ulteriori adempimenti nel corso del 2026</t>
  </si>
  <si>
    <t>stima indicativa</t>
  </si>
  <si>
    <t>Spese Notarili</t>
  </si>
  <si>
    <t>per apertura società</t>
  </si>
  <si>
    <t>Libri Sociali</t>
  </si>
  <si>
    <t>Tassa concessione Governativa</t>
  </si>
  <si>
    <t>costi annui</t>
  </si>
  <si>
    <t>Diritto Camerale sede legale unità locale</t>
  </si>
  <si>
    <t>Diritto Camerale locale (ove presente)</t>
  </si>
  <si>
    <t>PEC</t>
  </si>
  <si>
    <t>Costo Deposito Bilancio Annuale</t>
  </si>
  <si>
    <t>Da ridurre</t>
  </si>
  <si>
    <t>Pratiche comunali/scia</t>
  </si>
  <si>
    <t>capire se riusciamo a contrattare (costo supporto Nichi è gratis)</t>
  </si>
  <si>
    <t>liquidazione e pagamento IVA del 16/01/2026</t>
  </si>
  <si>
    <t>TBD (sto aspettando risposta edoardo)</t>
  </si>
  <si>
    <t>Contributi Marti</t>
  </si>
  <si>
    <t>da capire mese di Gennaio come fare - i contributi sono trimestrali - lei continuerà ad essere iscritta alla camera di commercio</t>
  </si>
  <si>
    <t>Supporto passaggio società</t>
  </si>
  <si>
    <t>extra da gestire</t>
  </si>
  <si>
    <t xml:space="preserve">Shooting </t>
  </si>
  <si>
    <t>BEYOND ARTIST</t>
  </si>
  <si>
    <t>x ultime foto</t>
  </si>
  <si>
    <t>ADV</t>
  </si>
  <si>
    <t>Fiver</t>
  </si>
  <si>
    <t>Produzione</t>
  </si>
  <si>
    <t>Produzione Charms Kenya</t>
  </si>
  <si>
    <t>1,6 x pezzo</t>
  </si>
  <si>
    <t>Pacchetto Adobe</t>
  </si>
  <si>
    <t>spesa mensile</t>
  </si>
  <si>
    <t>ChatGPT</t>
  </si>
  <si>
    <t>al 26/01</t>
  </si>
  <si>
    <t>Nuovo dominio</t>
  </si>
  <si>
    <t>amimi.it</t>
  </si>
  <si>
    <t>TWS EXPRESS</t>
  </si>
  <si>
    <t>PLINIO</t>
  </si>
  <si>
    <t>Cassa Conto</t>
  </si>
  <si>
    <t>Da Sostenere senza commercialista</t>
  </si>
  <si>
    <t>Netto con commercialista</t>
  </si>
  <si>
    <t>Netto Senza commercialista</t>
  </si>
  <si>
    <t>Capitale emesso</t>
  </si>
  <si>
    <t xml:space="preserve">NETTO </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</si>
</sst>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_-[$€-2]\ * #,##0.0_-;\-[$€-2]\ * #,##0.0_-;_-[$€-2]\ * &quot;-&quot;??_-;_-@"/>
    <numFmt numFmtId="165" formatCode="m/d/yyyy h:mm:ss"/>
    <numFmt numFmtId="166" formatCode="yyyy-mm-dd hh:mm:ss"/>
    <numFmt numFmtId="167" formatCode="yyyy-mm-dd"/>
    <numFmt numFmtId="168" formatCode="yyyy-mm-dd hh:mm"/>
    <numFmt numFmtId="169" formatCode="dd/MM/yyyy HH:mm"/>
    <numFmt numFmtId="170" formatCode="_-* #,##0_-;\-* #,##0_-;_-* &quot;-&quot;??_-;_-@"/>
    <numFmt numFmtId="171" formatCode="0.0"/>
    <numFmt numFmtId="172" formatCode="_-* #,##0.0_-;\-* #,##0.0_-;_-* &quot;-&quot;??_-;_-@"/>
    <numFmt numFmtId="173" formatCode="_-[$€-2]\ * #,##0_-;\-[$€-2]\ * #,##0_-;_-[$€-2]\ * &quot;-&quot;??_-;_-@"/>
    <numFmt numFmtId="174" formatCode="_-[$€-2]\ * #,##0.00_-;\-[$€-2]\ * #,##0.00_-;_-[$€-2]\ * &quot;-&quot;??_-;_-@"/>
    <numFmt numFmtId="175" formatCode="_-* #,##0.00\ &quot;€&quot;_-;\-* #,##0.00\ &quot;€&quot;_-;_-* &quot;-&quot;??\ &quot;€&quot;_-;_-@"/>
    <numFmt numFmtId="176" formatCode="_-* #,##0.0\ &quot;€&quot;_-;\-* #,##0.0\ &quot;€&quot;_-;_-* &quot;-&quot;??\ &quot;€&quot;_-;_-@"/>
    <numFmt numFmtId="177" formatCode="&quot;€&quot;#,##0.00"/>
    <numFmt numFmtId="178" formatCode="dd/mm/yyyy"/>
    <numFmt numFmtId="179" formatCode="d/m/yyyy"/>
    <numFmt numFmtId="180" formatCode="d/m"/>
    <numFmt numFmtId="181" formatCode="_-* #,##0.00_-;\-* #,##0.00_-;_-* &quot;-&quot;??_-;_-@"/>
    <numFmt numFmtId="182" formatCode="[$€-2]\ #,##0.00"/>
    <numFmt numFmtId="183" formatCode="d\-mmm"/>
    <numFmt numFmtId="184" formatCode="mm/dd/yy"/>
    <numFmt numFmtId="185" formatCode="m/d/yy"/>
    <numFmt numFmtId="186" formatCode="dd/mm/yy"/>
    <numFmt numFmtId="187" formatCode="[$€]#,##0.00"/>
    <numFmt numFmtId="188" formatCode="[$€]#,##0"/>
  </numFmts>
  <fonts count="87">
    <font>
      <sz val="11.0"/>
      <color theme="1"/>
      <name val="Aptos Narrow"/>
      <scheme val="minor"/>
    </font>
    <font>
      <b/>
      <sz val="16.0"/>
      <color theme="1"/>
      <name val="Aptos Narrow"/>
      <scheme val="minor"/>
    </font>
    <font>
      <color theme="1"/>
      <name val="Aptos Narrow"/>
      <scheme val="minor"/>
    </font>
    <font>
      <b/>
      <color theme="1"/>
      <name val="Aptos Narrow"/>
      <scheme val="minor"/>
    </font>
    <font>
      <b/>
      <color rgb="FFFFFFFF"/>
      <name val="Aptos Narrow"/>
      <scheme val="minor"/>
    </font>
    <font>
      <color theme="1"/>
      <name val="Arial"/>
    </font>
    <font>
      <b/>
      <color rgb="FFFFF5E6"/>
      <name val="Aptos Narrow"/>
      <scheme val="minor"/>
    </font>
    <font/>
    <font>
      <sz val="11.0"/>
      <color theme="1"/>
      <name val="Google Sans Mono"/>
    </font>
    <font>
      <i/>
      <sz val="11.0"/>
      <color rgb="FF7F7F7F"/>
      <name val="Google Sans Mono"/>
    </font>
    <font>
      <b/>
      <sz val="11.0"/>
      <color theme="1"/>
      <name val="Google Sans Mono"/>
    </font>
    <font>
      <i/>
      <sz val="11.0"/>
      <color theme="1"/>
      <name val="Google Sans Mono"/>
    </font>
    <font>
      <b/>
      <sz val="14.0"/>
      <color theme="1"/>
      <name val="Google Sans Mono"/>
    </font>
    <font>
      <b/>
      <sz val="14.0"/>
      <color theme="0"/>
      <name val="Google Sans Mono"/>
    </font>
    <font>
      <b/>
      <sz val="16.0"/>
      <color theme="1"/>
      <name val="Google Sans Mono"/>
    </font>
    <font>
      <b/>
      <sz val="8.0"/>
      <color theme="1"/>
      <name val="Google Sans Mono"/>
    </font>
    <font>
      <sz val="8.0"/>
      <color theme="1"/>
      <name val="Google Sans Mono"/>
    </font>
    <font>
      <i/>
      <sz val="11.0"/>
      <color rgb="FF747474"/>
      <name val="Google Sans Mono"/>
    </font>
    <font>
      <color theme="1"/>
      <name val="Google Sans Mono"/>
    </font>
    <font>
      <b/>
      <i/>
      <sz val="8.0"/>
      <color rgb="FF7F7F7F"/>
      <name val="Google Sans Mono"/>
    </font>
    <font>
      <b/>
      <i/>
      <sz val="11.0"/>
      <color theme="1"/>
      <name val="Google Sans Mono"/>
    </font>
    <font>
      <b/>
      <sz val="12.0"/>
      <color theme="1"/>
      <name val="Google Sans Mono"/>
    </font>
    <font>
      <sz val="11.0"/>
      <color rgb="FF000000"/>
      <name val="Google Sans Mono"/>
    </font>
    <font>
      <color rgb="FF000000"/>
      <name val="Google Sans Mono"/>
    </font>
    <font>
      <sz val="11.0"/>
      <color rgb="FF1C2226"/>
      <name val="Arial"/>
    </font>
    <font>
      <sz val="12.0"/>
      <color theme="1"/>
      <name val="Google Sans Mono"/>
    </font>
    <font>
      <b/>
      <color theme="1"/>
      <name val="Google Sans Mono"/>
    </font>
    <font>
      <b/>
      <sz val="11.0"/>
      <color rgb="FFFFFFFF"/>
      <name val="Google Sans Mono"/>
    </font>
    <font>
      <sz val="11.0"/>
      <color rgb="FF434343"/>
      <name val="Google Sans Mono"/>
    </font>
    <font>
      <sz val="11.0"/>
      <color theme="1"/>
      <name val="Aptos Narrow"/>
    </font>
    <font>
      <b/>
      <color rgb="FFFFFFFF"/>
      <name val="Google Sans Mono"/>
    </font>
    <font>
      <color rgb="FFFFFFFF"/>
      <name val="Google Sans Mono"/>
    </font>
    <font>
      <sz val="12.0"/>
      <color rgb="FF000000"/>
      <name val="Calibri"/>
    </font>
    <font>
      <sz val="11.0"/>
      <color rgb="FF000000"/>
      <name val="&quot;Google Sans Mono&quot;"/>
    </font>
    <font>
      <sz val="11.0"/>
      <color rgb="FFFFFFFF"/>
      <name val="Google Sans Mono"/>
    </font>
    <font>
      <sz val="11.0"/>
      <color theme="1"/>
      <name val="Arial"/>
    </font>
    <font>
      <sz val="11.0"/>
      <color theme="1"/>
      <name val="&quot;Aptos Narrow&quot;"/>
    </font>
    <font>
      <b/>
      <sz val="11.0"/>
      <color theme="1"/>
      <name val="Aptos Narrow"/>
    </font>
    <font>
      <b/>
      <sz val="11.0"/>
      <color theme="1"/>
      <name val="Arial"/>
    </font>
    <font>
      <sz val="11.0"/>
      <color rgb="FF000000"/>
      <name val="&quot;Aptos Narrow&quot;"/>
    </font>
    <font>
      <sz val="11.0"/>
      <color rgb="FF000000"/>
      <name val="&quot;\0022Google Sans Mono\0022&quot;"/>
    </font>
    <font>
      <sz val="11.0"/>
      <color theme="1"/>
      <name val="Satoshi"/>
    </font>
    <font>
      <i/>
      <sz val="11.0"/>
      <color rgb="FF7F7F7F"/>
      <name val="Satoshi"/>
    </font>
    <font>
      <b/>
      <sz val="11.0"/>
      <color theme="1"/>
      <name val="Satoshi"/>
    </font>
    <font>
      <i/>
      <sz val="11.0"/>
      <color theme="1"/>
      <name val="Satoshi"/>
    </font>
    <font>
      <b/>
      <sz val="14.0"/>
      <color theme="1"/>
      <name val="Satoshi"/>
    </font>
    <font>
      <b/>
      <sz val="14.0"/>
      <color theme="0"/>
      <name val="Satoshi"/>
    </font>
    <font>
      <b/>
      <sz val="16.0"/>
      <color theme="1"/>
      <name val="Aptos Narrow"/>
    </font>
    <font>
      <b/>
      <sz val="8.0"/>
      <color theme="1"/>
      <name val="Satoshi"/>
    </font>
    <font>
      <sz val="8.0"/>
      <color theme="1"/>
      <name val="Satoshi"/>
    </font>
    <font>
      <i/>
      <sz val="11.0"/>
      <color rgb="FF747474"/>
      <name val="Aptos Narrow"/>
    </font>
    <font>
      <i/>
      <sz val="11.0"/>
      <color theme="1"/>
      <name val="Aptos Narrow"/>
    </font>
    <font>
      <b/>
      <i/>
      <sz val="8.0"/>
      <color rgb="FF7F7F7F"/>
      <name val="Satoshi"/>
    </font>
    <font>
      <i/>
      <sz val="10.0"/>
      <color rgb="FF262626"/>
      <name val="Satoshi"/>
    </font>
    <font>
      <sz val="8.0"/>
      <color theme="1"/>
      <name val="Arial"/>
    </font>
    <font>
      <b/>
      <i/>
      <sz val="11.0"/>
      <color theme="1"/>
      <name val="Satoshi"/>
    </font>
    <font>
      <i/>
      <sz val="11.0"/>
      <color theme="1"/>
      <name val="Arial"/>
    </font>
    <font>
      <b/>
      <sz val="10.0"/>
      <color theme="1"/>
      <name val="Satoshi"/>
    </font>
    <font>
      <sz val="10.0"/>
      <color theme="1"/>
      <name val="Satoshi"/>
    </font>
    <font>
      <b/>
      <sz val="12.0"/>
      <color theme="1"/>
      <name val="Satoshi"/>
    </font>
    <font>
      <sz val="12.0"/>
      <color theme="1"/>
      <name val="Satoshi"/>
    </font>
    <font>
      <sz val="11.0"/>
      <color theme="1"/>
      <name val="Calibri"/>
    </font>
    <font>
      <sz val="12.0"/>
      <color rgb="FF000000"/>
      <name val="Satoshi"/>
    </font>
    <font>
      <sz val="10.0"/>
      <color rgb="FF3C434A"/>
      <name val="Satoshi"/>
    </font>
    <font>
      <sz val="10.0"/>
      <color rgb="FF000000"/>
      <name val="Satoshi"/>
    </font>
    <font>
      <sz val="10.0"/>
      <color rgb="FFFF0000"/>
      <name val="Satoshi"/>
    </font>
    <font>
      <sz val="12.0"/>
      <color rgb="FFFF0000"/>
      <name val="Satoshi"/>
    </font>
    <font>
      <sz val="12.0"/>
      <color theme="1"/>
      <name val="Arial"/>
    </font>
    <font>
      <b/>
      <sz val="12.0"/>
      <color theme="1"/>
      <name val="Calibri"/>
    </font>
    <font>
      <sz val="10.0"/>
      <color theme="1"/>
      <name val="Aptos Narrow"/>
    </font>
    <font>
      <sz val="12.0"/>
      <color theme="1"/>
      <name val="Calibri"/>
    </font>
    <font>
      <sz val="10.0"/>
      <color theme="1"/>
      <name val="Arial"/>
    </font>
    <font>
      <sz val="10.0"/>
      <color rgb="FF3C434A"/>
      <name val="-apple-system"/>
    </font>
    <font>
      <b/>
      <sz val="10.0"/>
      <color theme="1"/>
      <name val="Aptos Narrow"/>
    </font>
    <font>
      <sz val="10.0"/>
      <color rgb="FF000000"/>
      <name val="Aptos Narrow"/>
    </font>
    <font>
      <sz val="10.0"/>
      <color rgb="FF3C434A"/>
      <name val="Arial"/>
    </font>
    <font>
      <sz val="10.0"/>
      <color rgb="FF000000"/>
      <name val="Arial"/>
    </font>
    <font>
      <b/>
      <sz val="10.0"/>
      <color theme="1"/>
      <name val="Arial"/>
    </font>
    <font>
      <sz val="10.0"/>
      <color rgb="FF000000"/>
      <name val="-apple-system"/>
    </font>
    <font>
      <sz val="11.0"/>
      <color rgb="FF1F1F1F"/>
      <name val="Google Sans Mono"/>
    </font>
    <font>
      <b/>
      <color theme="1"/>
      <name val="Arial"/>
    </font>
    <font>
      <sz val="10.0"/>
      <color rgb="FF222222"/>
      <name val="Arial"/>
    </font>
    <font>
      <color theme="1"/>
      <name val="Aptos Narrow"/>
    </font>
    <font>
      <u/>
      <sz val="10.0"/>
      <color rgb="FF0000FF"/>
      <name val="Arial"/>
    </font>
    <font>
      <b/>
      <u/>
      <color rgb="FFEE0000"/>
      <name val="Arial"/>
    </font>
    <font>
      <b/>
      <sz val="11.0"/>
      <color rgb="FF008A00"/>
      <name val="Arial"/>
    </font>
    <font>
      <b/>
      <color theme="1"/>
      <name val="Aptos Narrow"/>
    </font>
  </fonts>
  <fills count="39">
    <fill>
      <patternFill patternType="none"/>
    </fill>
    <fill>
      <patternFill patternType="lightGray"/>
    </fill>
    <fill>
      <patternFill patternType="solid">
        <fgColor rgb="FFF0EBE5"/>
        <bgColor rgb="FFF0EBE5"/>
      </patternFill>
    </fill>
    <fill>
      <patternFill patternType="solid">
        <fgColor rgb="FF8B5E6B"/>
        <bgColor rgb="FF8B5E6B"/>
      </patternFill>
    </fill>
    <fill>
      <patternFill patternType="solid">
        <fgColor rgb="FFDBE5F1"/>
        <bgColor rgb="FFDBE5F1"/>
      </patternFill>
    </fill>
    <fill>
      <patternFill patternType="solid">
        <fgColor rgb="FFFFF2CC"/>
        <bgColor rgb="FFFFF2CC"/>
      </patternFill>
    </fill>
    <fill>
      <patternFill patternType="solid">
        <fgColor rgb="FF5B3A29"/>
        <bgColor rgb="FF5B3A29"/>
      </patternFill>
    </fill>
    <fill>
      <patternFill patternType="solid">
        <fgColor rgb="FFD9D9D9"/>
        <bgColor rgb="FFD9D9D9"/>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D9E2F3"/>
        <bgColor rgb="FFD9E2F3"/>
      </patternFill>
    </fill>
    <fill>
      <patternFill patternType="solid">
        <fgColor rgb="FF44546A"/>
        <bgColor rgb="FF44546A"/>
      </patternFill>
    </fill>
    <fill>
      <patternFill patternType="solid">
        <fgColor rgb="FFDBE9F7"/>
        <bgColor rgb="FFDBE9F7"/>
      </patternFill>
    </fill>
    <fill>
      <patternFill patternType="solid">
        <fgColor rgb="FFFFFF00"/>
        <bgColor rgb="FFFFFF00"/>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A6C9EB"/>
        <bgColor rgb="FFA6C9EB"/>
      </patternFill>
    </fill>
    <fill>
      <patternFill patternType="solid">
        <fgColor rgb="FF83CAEB"/>
        <bgColor rgb="FF83CAEB"/>
      </patternFill>
    </fill>
    <fill>
      <patternFill patternType="solid">
        <fgColor rgb="FFFF0000"/>
        <bgColor rgb="FFFF0000"/>
      </patternFill>
    </fill>
    <fill>
      <patternFill patternType="solid">
        <fgColor rgb="FFF8D7DA"/>
        <bgColor rgb="FFF8D7DA"/>
      </patternFill>
    </fill>
    <fill>
      <patternFill patternType="solid">
        <fgColor rgb="FFD4EDDA"/>
        <bgColor rgb="FFD4EDDA"/>
      </patternFill>
    </fill>
    <fill>
      <patternFill patternType="solid">
        <fgColor rgb="FFEDEFF2"/>
        <bgColor rgb="FFEDEFF2"/>
      </patternFill>
    </fill>
    <fill>
      <patternFill patternType="solid">
        <fgColor rgb="FF000000"/>
        <bgColor rgb="FF000000"/>
      </patternFill>
    </fill>
    <fill>
      <patternFill patternType="solid">
        <fgColor rgb="FFE06666"/>
        <bgColor rgb="FFE06666"/>
      </patternFill>
    </fill>
    <fill>
      <patternFill patternType="solid">
        <fgColor rgb="FFF6F8F9"/>
        <bgColor rgb="FFF6F8F9"/>
      </patternFill>
    </fill>
    <fill>
      <patternFill patternType="solid">
        <fgColor theme="4"/>
        <bgColor theme="4"/>
      </patternFill>
    </fill>
    <fill>
      <patternFill patternType="solid">
        <fgColor rgb="FFC1E4F5"/>
        <bgColor rgb="FFC1E4F5"/>
      </patternFill>
    </fill>
    <fill>
      <patternFill patternType="solid">
        <fgColor rgb="FFD8D8D8"/>
        <bgColor rgb="FFD8D8D8"/>
      </patternFill>
    </fill>
    <fill>
      <patternFill patternType="solid">
        <fgColor rgb="FFFAE2D5"/>
        <bgColor rgb="FFFAE2D5"/>
      </patternFill>
    </fill>
    <fill>
      <patternFill patternType="solid">
        <fgColor rgb="FF00FF00"/>
        <bgColor rgb="FF00FF00"/>
      </patternFill>
    </fill>
    <fill>
      <patternFill patternType="solid">
        <fgColor rgb="FFFFFFCC"/>
        <bgColor rgb="FFFFFFCC"/>
      </patternFill>
    </fill>
    <fill>
      <patternFill patternType="solid">
        <fgColor rgb="FFFF9900"/>
        <bgColor rgb="FFFF9900"/>
      </patternFill>
    </fill>
    <fill>
      <patternFill patternType="solid">
        <fgColor rgb="FFEA9999"/>
        <bgColor rgb="FFEA9999"/>
      </patternFill>
    </fill>
    <fill>
      <patternFill patternType="solid">
        <fgColor rgb="FF00FFFF"/>
        <bgColor rgb="FF00FFFF"/>
      </patternFill>
    </fill>
    <fill>
      <patternFill patternType="solid">
        <fgColor theme="9"/>
        <bgColor theme="9"/>
      </patternFill>
    </fill>
    <fill>
      <patternFill patternType="solid">
        <fgColor rgb="FF7E3794"/>
        <bgColor rgb="FF7E3794"/>
      </patternFill>
    </fill>
    <fill>
      <patternFill patternType="solid">
        <fgColor rgb="FFF0F4F9"/>
        <bgColor rgb="FFF0F4F9"/>
      </patternFill>
    </fill>
  </fills>
  <borders count="34">
    <border/>
    <border>
      <left style="thin">
        <color rgb="FF000000"/>
      </left>
      <right style="thin">
        <color rgb="FF000000"/>
      </right>
      <top style="thin">
        <color rgb="FF000000"/>
      </top>
      <bottom style="medium">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right/>
      <top/>
    </border>
    <border>
      <left style="thin">
        <color rgb="FFF6F8F9"/>
      </left>
      <right style="thin">
        <color rgb="FFF6F8F9"/>
      </right>
      <top style="thin">
        <color rgb="FFF6F8F9"/>
      </top>
      <bottom style="thin">
        <color rgb="FFF6F8F9"/>
      </bottom>
    </border>
    <border>
      <left/>
      <top/>
      <bottom/>
    </border>
    <border>
      <left/>
      <bottom/>
    </border>
    <border>
      <left style="medium">
        <color theme="4"/>
      </left>
      <right/>
      <top/>
      <bottom style="medium">
        <color theme="4"/>
      </bottom>
    </border>
    <border>
      <left/>
      <right style="medium">
        <color theme="4"/>
      </right>
      <top/>
      <bottom style="medium">
        <color theme="4"/>
      </bottom>
    </border>
    <border>
      <left/>
      <right/>
      <top/>
      <bottom style="medium">
        <color theme="4"/>
      </bottom>
    </border>
    <border>
      <left style="thin">
        <color rgb="FFABABAB"/>
      </left>
      <right style="thin">
        <color rgb="FFABABAB"/>
      </right>
      <top style="thin">
        <color rgb="FFABABAB"/>
      </top>
      <bottom style="thin">
        <color rgb="FFABABAB"/>
      </bottom>
    </border>
    <border>
      <left style="thin">
        <color rgb="FFABABAB"/>
      </left>
      <right style="thin">
        <color rgb="FFABABAB"/>
      </right>
      <top style="thin">
        <color rgb="FFFFFFFF"/>
      </top>
    </border>
    <border>
      <left style="thin">
        <color rgb="FFABABAB"/>
      </left>
      <top style="thin">
        <color rgb="FFFFFFFF"/>
      </top>
    </border>
    <border>
      <left style="thin">
        <color rgb="FFABABAB"/>
      </left>
      <top style="thin">
        <color rgb="FFABABAB"/>
      </top>
      <bottom style="thin">
        <color rgb="FFABABAB"/>
      </bottom>
    </border>
    <border>
      <left style="thin">
        <color rgb="FFABABAB"/>
      </left>
      <top style="thin">
        <color rgb="FFABABAB"/>
      </top>
    </border>
    <border>
      <left style="thin">
        <color rgb="FFABABAB"/>
      </left>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right style="thin">
        <color rgb="FF000000"/>
      </right>
    </border>
    <border>
      <left style="thin">
        <color rgb="FF000000"/>
      </left>
      <right/>
      <top/>
      <bottom style="thin">
        <color rgb="FF000000"/>
      </bottom>
    </border>
    <border>
      <left/>
      <right/>
      <top style="thin">
        <color rgb="FF000000"/>
      </top>
      <bottom style="thin">
        <color rgb="FF000000"/>
      </bottom>
    </border>
  </borders>
  <cellStyleXfs count="1">
    <xf borderId="0" fillId="0" fontId="0" numFmtId="0" applyAlignment="1" applyFont="1"/>
  </cellStyleXfs>
  <cellXfs count="67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2" numFmtId="14" xfId="0" applyAlignment="1" applyFont="1" applyNumberFormat="1">
      <alignment readingOrder="0"/>
    </xf>
    <xf borderId="0" fillId="0" fontId="2" numFmtId="0" xfId="0" applyFont="1"/>
    <xf borderId="0" fillId="2" fontId="3" numFmtId="0" xfId="0" applyAlignment="1" applyFill="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3" fontId="4" numFmtId="0" xfId="0" applyAlignment="1" applyFill="1" applyFont="1">
      <alignment readingOrder="0" shrinkToFit="0" wrapText="1"/>
    </xf>
    <xf borderId="0" fillId="4" fontId="5" numFmtId="0" xfId="0" applyAlignment="1" applyFill="1" applyFont="1">
      <alignment readingOrder="0"/>
    </xf>
    <xf borderId="0" fillId="4" fontId="2" numFmtId="0" xfId="0" applyAlignment="1" applyFont="1">
      <alignment readingOrder="0"/>
    </xf>
    <xf borderId="0" fillId="5" fontId="5" numFmtId="0" xfId="0" applyAlignment="1" applyFill="1" applyFont="1">
      <alignment readingOrder="0"/>
    </xf>
    <xf borderId="0" fillId="4" fontId="2" numFmtId="0" xfId="0" applyAlignment="1" applyFont="1">
      <alignment readingOrder="0"/>
    </xf>
    <xf borderId="0" fillId="5" fontId="2" numFmtId="0" xfId="0" applyFont="1"/>
    <xf borderId="0" fillId="0" fontId="2" numFmtId="168" xfId="0" applyAlignment="1" applyFont="1" applyNumberFormat="1">
      <alignment readingOrder="0"/>
    </xf>
    <xf borderId="0" fillId="0" fontId="5" numFmtId="0" xfId="0" applyAlignment="1" applyFont="1">
      <alignment readingOrder="0"/>
    </xf>
    <xf borderId="0" fillId="6" fontId="6" numFmtId="0" xfId="0" applyAlignment="1" applyFill="1" applyFont="1">
      <alignment readingOrder="0"/>
    </xf>
    <xf borderId="1" fillId="7" fontId="3" numFmtId="0" xfId="0" applyAlignment="1" applyBorder="1" applyFill="1" applyFont="1">
      <alignment readingOrder="0"/>
    </xf>
    <xf borderId="1" fillId="7" fontId="3" numFmtId="0" xfId="0" applyAlignment="1" applyBorder="1" applyFont="1">
      <alignment horizontal="center" readingOrder="0"/>
    </xf>
    <xf borderId="1" fillId="7" fontId="3" numFmtId="0" xfId="0" applyAlignment="1" applyBorder="1" applyFont="1">
      <alignment readingOrder="0" shrinkToFit="0" wrapText="1"/>
    </xf>
    <xf borderId="0" fillId="0" fontId="2" numFmtId="0" xfId="0" applyFont="1"/>
    <xf borderId="2" fillId="8" fontId="3" numFmtId="0" xfId="0" applyAlignment="1" applyBorder="1" applyFill="1" applyFont="1">
      <alignment readingOrder="0"/>
    </xf>
    <xf borderId="3" fillId="0" fontId="7" numFmtId="0" xfId="0" applyBorder="1" applyFont="1"/>
    <xf borderId="4" fillId="0" fontId="2" numFmtId="0" xfId="0" applyAlignment="1" applyBorder="1" applyFont="1">
      <alignment horizontal="center"/>
    </xf>
    <xf borderId="4" fillId="0" fontId="2" numFmtId="0" xfId="0" applyAlignment="1" applyBorder="1" applyFont="1">
      <alignment shrinkToFit="0" wrapText="1"/>
    </xf>
    <xf borderId="4" fillId="0" fontId="2" numFmtId="0" xfId="0" applyBorder="1" applyFont="1"/>
    <xf borderId="5" fillId="0" fontId="2" numFmtId="0" xfId="0" applyBorder="1" applyFont="1"/>
    <xf borderId="5" fillId="0" fontId="2" numFmtId="0" xfId="0" applyAlignment="1" applyBorder="1" applyFont="1">
      <alignment readingOrder="0"/>
    </xf>
    <xf borderId="5" fillId="0" fontId="2" numFmtId="0" xfId="0" applyAlignment="1" applyBorder="1" applyFont="1">
      <alignment horizontal="center" readingOrder="0"/>
    </xf>
    <xf borderId="5" fillId="0" fontId="2" numFmtId="0" xfId="0" applyAlignment="1" applyBorder="1" applyFont="1">
      <alignment readingOrder="0" shrinkToFit="0" wrapText="1"/>
    </xf>
    <xf borderId="5" fillId="0" fontId="2" numFmtId="0" xfId="0" applyAlignment="1" applyBorder="1" applyFont="1">
      <alignment horizontal="center"/>
    </xf>
    <xf borderId="5" fillId="0" fontId="2" numFmtId="0" xfId="0" applyAlignment="1" applyBorder="1" applyFont="1">
      <alignment shrinkToFit="0" wrapText="1"/>
    </xf>
    <xf borderId="6" fillId="9" fontId="3" numFmtId="0" xfId="0" applyAlignment="1" applyBorder="1" applyFill="1" applyFont="1">
      <alignment readingOrder="0"/>
    </xf>
    <xf borderId="7" fillId="0" fontId="7" numFmtId="0" xfId="0" applyBorder="1" applyFont="1"/>
    <xf borderId="6" fillId="5" fontId="3" numFmtId="0" xfId="0" applyAlignment="1" applyBorder="1" applyFont="1">
      <alignment readingOrder="0"/>
    </xf>
    <xf borderId="6" fillId="10" fontId="3" numFmtId="0" xfId="0" applyAlignment="1" applyBorder="1" applyFill="1" applyFont="1">
      <alignment readingOrder="0"/>
    </xf>
    <xf borderId="6" fillId="0" fontId="3" numFmtId="0" xfId="0" applyAlignment="1" applyBorder="1" applyFont="1">
      <alignment readingOrder="0"/>
    </xf>
    <xf borderId="6" fillId="0" fontId="2" numFmtId="0" xfId="0" applyAlignment="1" applyBorder="1" applyFont="1">
      <alignment readingOrder="0"/>
    </xf>
    <xf borderId="5" fillId="0" fontId="2" numFmtId="169" xfId="0" applyAlignment="1" applyBorder="1" applyFont="1" applyNumberFormat="1">
      <alignment shrinkToFit="0" wrapText="1"/>
    </xf>
    <xf borderId="0" fillId="0" fontId="8" numFmtId="0" xfId="0" applyAlignment="1" applyFont="1">
      <alignment readingOrder="0"/>
    </xf>
    <xf borderId="0" fillId="0" fontId="9" numFmtId="0" xfId="0" applyAlignment="1" applyFont="1">
      <alignment horizontal="center"/>
    </xf>
    <xf borderId="0" fillId="0" fontId="8" numFmtId="0" xfId="0" applyAlignment="1" applyFont="1">
      <alignment horizontal="center"/>
    </xf>
    <xf borderId="0" fillId="0" fontId="8" numFmtId="0" xfId="0" applyFont="1"/>
    <xf borderId="0" fillId="0" fontId="9" numFmtId="0" xfId="0" applyFont="1"/>
    <xf borderId="0" fillId="0" fontId="10" numFmtId="0" xfId="0" applyFont="1"/>
    <xf borderId="0" fillId="0" fontId="11" numFmtId="0" xfId="0" applyAlignment="1" applyFont="1">
      <alignment horizontal="center"/>
    </xf>
    <xf borderId="0" fillId="0" fontId="10" numFmtId="0" xfId="0" applyAlignment="1" applyFont="1">
      <alignment horizontal="left"/>
    </xf>
    <xf borderId="0" fillId="0" fontId="8" numFmtId="0" xfId="0" applyAlignment="1" applyFont="1">
      <alignment horizontal="center" vertical="center"/>
    </xf>
    <xf borderId="0" fillId="0" fontId="9" numFmtId="0" xfId="0" applyAlignment="1" applyFont="1">
      <alignment horizontal="center" vertical="center"/>
    </xf>
    <xf borderId="5" fillId="11" fontId="12" numFmtId="0" xfId="0" applyAlignment="1" applyBorder="1" applyFill="1" applyFont="1">
      <alignment horizontal="center" vertical="center"/>
    </xf>
    <xf borderId="5" fillId="12" fontId="13" numFmtId="0" xfId="0" applyAlignment="1" applyBorder="1" applyFill="1" applyFont="1">
      <alignment horizontal="center" vertical="center"/>
    </xf>
    <xf borderId="8" fillId="12" fontId="13" numFmtId="0" xfId="0" applyAlignment="1" applyBorder="1" applyFont="1">
      <alignment horizontal="center" vertical="center"/>
    </xf>
    <xf borderId="5" fillId="13" fontId="10" numFmtId="0" xfId="0" applyAlignment="1" applyBorder="1" applyFill="1" applyFont="1">
      <alignment horizontal="center" vertical="center"/>
    </xf>
    <xf borderId="5" fillId="14" fontId="14" numFmtId="0" xfId="0" applyAlignment="1" applyBorder="1" applyFill="1" applyFont="1">
      <alignment horizontal="center" readingOrder="0" vertical="center"/>
    </xf>
    <xf borderId="5" fillId="0" fontId="8" numFmtId="170" xfId="0" applyAlignment="1" applyBorder="1" applyFont="1" applyNumberFormat="1">
      <alignment horizontal="right" readingOrder="0" vertical="bottom"/>
    </xf>
    <xf borderId="5" fillId="0" fontId="8" numFmtId="0" xfId="0" applyBorder="1" applyFont="1"/>
    <xf borderId="6" fillId="0" fontId="8" numFmtId="0" xfId="0" applyBorder="1" applyFont="1"/>
    <xf borderId="5" fillId="0" fontId="8" numFmtId="170" xfId="0" applyAlignment="1" applyBorder="1" applyFont="1" applyNumberFormat="1">
      <alignment readingOrder="0"/>
    </xf>
    <xf borderId="5" fillId="0" fontId="8" numFmtId="170" xfId="0" applyBorder="1" applyFont="1" applyNumberFormat="1"/>
    <xf borderId="5" fillId="0" fontId="8" numFmtId="171" xfId="0" applyAlignment="1" applyBorder="1" applyFont="1" applyNumberFormat="1">
      <alignment horizontal="right" readingOrder="0" vertical="bottom"/>
    </xf>
    <xf borderId="5" fillId="15" fontId="15" numFmtId="0" xfId="0" applyBorder="1" applyFill="1" applyFont="1"/>
    <xf borderId="5" fillId="15" fontId="16" numFmtId="0" xfId="0" applyBorder="1" applyFont="1"/>
    <xf borderId="5" fillId="0" fontId="8" numFmtId="171" xfId="0" applyAlignment="1" applyBorder="1" applyFont="1" applyNumberFormat="1">
      <alignment readingOrder="0"/>
    </xf>
    <xf borderId="5" fillId="0" fontId="8" numFmtId="171" xfId="0" applyBorder="1" applyFont="1" applyNumberFormat="1"/>
    <xf borderId="5" fillId="0" fontId="8" numFmtId="172" xfId="0" applyBorder="1" applyFont="1" applyNumberFormat="1"/>
    <xf borderId="5" fillId="15" fontId="16" numFmtId="0" xfId="0" applyAlignment="1" applyBorder="1" applyFont="1">
      <alignment readingOrder="0"/>
    </xf>
    <xf borderId="5" fillId="0" fontId="8" numFmtId="173" xfId="0" applyAlignment="1" applyBorder="1" applyFont="1" applyNumberFormat="1">
      <alignment horizontal="right" readingOrder="0" vertical="bottom"/>
    </xf>
    <xf borderId="5" fillId="0" fontId="8" numFmtId="174" xfId="0" applyBorder="1" applyFont="1" applyNumberFormat="1"/>
    <xf borderId="5" fillId="0" fontId="8" numFmtId="173" xfId="0" applyAlignment="1" applyBorder="1" applyFont="1" applyNumberFormat="1">
      <alignment readingOrder="0"/>
    </xf>
    <xf borderId="5" fillId="0" fontId="8" numFmtId="173" xfId="0" applyBorder="1" applyFont="1" applyNumberFormat="1"/>
    <xf borderId="5" fillId="13" fontId="10" numFmtId="173" xfId="0" applyAlignment="1" applyBorder="1" applyFont="1" applyNumberFormat="1">
      <alignment horizontal="right" readingOrder="0" vertical="bottom"/>
    </xf>
    <xf borderId="5" fillId="13" fontId="10" numFmtId="0" xfId="0" applyBorder="1" applyFont="1"/>
    <xf borderId="5" fillId="13" fontId="10" numFmtId="173" xfId="0" applyAlignment="1" applyBorder="1" applyFont="1" applyNumberFormat="1">
      <alignment readingOrder="0"/>
    </xf>
    <xf borderId="5" fillId="13" fontId="10" numFmtId="173" xfId="0" applyBorder="1" applyFont="1" applyNumberFormat="1"/>
    <xf borderId="0" fillId="0" fontId="8" numFmtId="0" xfId="0" applyAlignment="1" applyFont="1">
      <alignment vertical="bottom"/>
    </xf>
    <xf borderId="5" fillId="16" fontId="8" numFmtId="170" xfId="0" applyAlignment="1" applyBorder="1" applyFill="1" applyFont="1" applyNumberFormat="1">
      <alignment horizontal="right" readingOrder="0" vertical="bottom"/>
    </xf>
    <xf borderId="0" fillId="0" fontId="17" numFmtId="9" xfId="0" applyAlignment="1" applyFont="1" applyNumberFormat="1">
      <alignment horizontal="center"/>
    </xf>
    <xf borderId="5" fillId="0" fontId="8" numFmtId="0" xfId="0" applyAlignment="1" applyBorder="1" applyFont="1">
      <alignment readingOrder="0"/>
    </xf>
    <xf borderId="6" fillId="0" fontId="8" numFmtId="0" xfId="0" applyAlignment="1" applyBorder="1" applyFont="1">
      <alignment readingOrder="0"/>
    </xf>
    <xf borderId="0" fillId="0" fontId="8" numFmtId="170" xfId="0" applyFont="1" applyNumberFormat="1"/>
    <xf borderId="5" fillId="13" fontId="10" numFmtId="0" xfId="0" applyAlignment="1" applyBorder="1" applyFont="1">
      <alignment readingOrder="0"/>
    </xf>
    <xf borderId="0" fillId="0" fontId="8" numFmtId="170" xfId="0" applyAlignment="1" applyFont="1" applyNumberFormat="1">
      <alignment horizontal="right" readingOrder="0" vertical="bottom"/>
    </xf>
    <xf borderId="0" fillId="17" fontId="8" numFmtId="0" xfId="0" applyFill="1" applyFont="1"/>
    <xf borderId="0" fillId="0" fontId="8" numFmtId="170" xfId="0" applyAlignment="1" applyFont="1" applyNumberFormat="1">
      <alignment readingOrder="0"/>
    </xf>
    <xf borderId="5" fillId="17" fontId="8" numFmtId="0" xfId="0" applyBorder="1" applyFont="1"/>
    <xf borderId="5" fillId="18" fontId="10" numFmtId="173" xfId="0" applyAlignment="1" applyBorder="1" applyFill="1" applyFont="1" applyNumberFormat="1">
      <alignment horizontal="right" readingOrder="0" vertical="bottom"/>
    </xf>
    <xf borderId="0" fillId="0" fontId="18" numFmtId="0" xfId="0" applyFont="1"/>
    <xf borderId="5" fillId="18" fontId="10" numFmtId="0" xfId="0" applyBorder="1" applyFont="1"/>
    <xf borderId="5" fillId="18" fontId="10" numFmtId="173" xfId="0" applyAlignment="1" applyBorder="1" applyFont="1" applyNumberFormat="1">
      <alignment readingOrder="0"/>
    </xf>
    <xf borderId="5" fillId="18" fontId="10" numFmtId="173" xfId="0" applyBorder="1" applyFont="1" applyNumberFormat="1"/>
    <xf borderId="0" fillId="0" fontId="8" numFmtId="173" xfId="0" applyAlignment="1" applyFont="1" applyNumberFormat="1">
      <alignment vertical="bottom"/>
    </xf>
    <xf borderId="0" fillId="0" fontId="8" numFmtId="173" xfId="0" applyFont="1" applyNumberFormat="1"/>
    <xf borderId="5" fillId="0" fontId="8" numFmtId="164" xfId="0" applyAlignment="1" applyBorder="1" applyFont="1" applyNumberFormat="1">
      <alignment horizontal="right" readingOrder="0" vertical="bottom"/>
    </xf>
    <xf borderId="8" fillId="17" fontId="8" numFmtId="0" xfId="0" applyBorder="1" applyFont="1"/>
    <xf borderId="5" fillId="0" fontId="8" numFmtId="164" xfId="0" applyBorder="1" applyFont="1" applyNumberFormat="1"/>
    <xf borderId="5" fillId="0" fontId="11" numFmtId="175" xfId="0" applyAlignment="1" applyBorder="1" applyFont="1" applyNumberFormat="1">
      <alignment horizontal="center" readingOrder="0"/>
    </xf>
    <xf borderId="5" fillId="0" fontId="8" numFmtId="175" xfId="0" applyAlignment="1" applyBorder="1" applyFont="1" applyNumberFormat="1">
      <alignment horizontal="center" readingOrder="0"/>
    </xf>
    <xf borderId="5" fillId="14" fontId="8" numFmtId="0" xfId="0" applyBorder="1" applyFont="1"/>
    <xf borderId="8" fillId="13" fontId="10" numFmtId="0" xfId="0" applyBorder="1" applyFont="1"/>
    <xf borderId="0" fillId="0" fontId="11" numFmtId="0" xfId="0" applyFont="1"/>
    <xf borderId="0" fillId="0" fontId="8" numFmtId="10" xfId="0" applyFont="1" applyNumberFormat="1"/>
    <xf borderId="5" fillId="19" fontId="10" numFmtId="173" xfId="0" applyAlignment="1" applyBorder="1" applyFill="1" applyFont="1" applyNumberFormat="1">
      <alignment horizontal="right" readingOrder="0" vertical="bottom"/>
    </xf>
    <xf borderId="5" fillId="19" fontId="10" numFmtId="0" xfId="0" applyBorder="1" applyFont="1"/>
    <xf borderId="5" fillId="19" fontId="10" numFmtId="173" xfId="0" applyBorder="1" applyFont="1" applyNumberFormat="1"/>
    <xf borderId="0" fillId="0" fontId="19" numFmtId="9" xfId="0" applyAlignment="1" applyFont="1" applyNumberFormat="1">
      <alignment horizontal="center"/>
    </xf>
    <xf borderId="5" fillId="0" fontId="10" numFmtId="0" xfId="0" applyBorder="1" applyFont="1"/>
    <xf borderId="0" fillId="0" fontId="8" numFmtId="0" xfId="0" applyAlignment="1" applyFont="1">
      <alignment horizontal="right"/>
    </xf>
    <xf borderId="5" fillId="0" fontId="10" numFmtId="0" xfId="0" applyAlignment="1" applyBorder="1" applyFont="1">
      <alignment readingOrder="0"/>
    </xf>
    <xf borderId="5" fillId="15" fontId="8" numFmtId="0" xfId="0" applyBorder="1" applyFont="1"/>
    <xf borderId="8" fillId="15" fontId="15" numFmtId="0" xfId="0" applyBorder="1" applyFont="1"/>
    <xf borderId="0" fillId="0" fontId="20" numFmtId="0" xfId="0" applyFont="1"/>
    <xf borderId="0" fillId="0" fontId="18" numFmtId="173" xfId="0" applyFont="1" applyNumberFormat="1"/>
    <xf borderId="0" fillId="0" fontId="20" numFmtId="0" xfId="0" applyAlignment="1" applyFont="1">
      <alignment readingOrder="0"/>
    </xf>
    <xf borderId="0" fillId="0" fontId="10" numFmtId="164" xfId="0" applyFont="1" applyNumberFormat="1"/>
    <xf borderId="5" fillId="17" fontId="8" numFmtId="170" xfId="0" applyBorder="1" applyFont="1" applyNumberFormat="1"/>
    <xf borderId="0" fillId="0" fontId="11" numFmtId="164" xfId="0" applyFont="1" applyNumberFormat="1"/>
    <xf borderId="0" fillId="0" fontId="19" numFmtId="9" xfId="0" applyAlignment="1" applyFont="1" applyNumberFormat="1">
      <alignment horizontal="center" vertical="center"/>
    </xf>
    <xf quotePrefix="1" borderId="5" fillId="0" fontId="8" numFmtId="0" xfId="0" applyAlignment="1" applyBorder="1" applyFont="1">
      <alignment readingOrder="0"/>
    </xf>
    <xf borderId="0" fillId="0" fontId="21" numFmtId="0" xfId="0" applyAlignment="1" applyFont="1">
      <alignment horizontal="center" readingOrder="0" shrinkToFit="0" vertical="center" wrapText="0"/>
    </xf>
    <xf borderId="0" fillId="0" fontId="21" numFmtId="49" xfId="0" applyAlignment="1" applyFont="1" applyNumberFormat="1">
      <alignment horizontal="center" readingOrder="0" shrinkToFit="0" vertical="center" wrapText="0"/>
    </xf>
    <xf borderId="0" fillId="0" fontId="21" numFmtId="0" xfId="0" applyAlignment="1" applyFont="1">
      <alignment horizontal="center" readingOrder="0" shrinkToFit="0" vertical="center" wrapText="0"/>
    </xf>
    <xf borderId="9" fillId="0" fontId="8" numFmtId="0" xfId="0" applyAlignment="1" applyBorder="1" applyFont="1">
      <alignment shrinkToFit="0" vertical="center" wrapText="0"/>
    </xf>
    <xf borderId="0" fillId="0" fontId="18" numFmtId="0" xfId="0" applyAlignment="1" applyFont="1">
      <alignment shrinkToFit="0" vertical="center" wrapText="0"/>
    </xf>
    <xf borderId="9" fillId="0" fontId="8" numFmtId="16" xfId="0" applyAlignment="1" applyBorder="1" applyFont="1" applyNumberFormat="1">
      <alignment shrinkToFit="0" vertical="center" wrapText="0"/>
    </xf>
    <xf borderId="9" fillId="0" fontId="8" numFmtId="0" xfId="0" applyAlignment="1" applyBorder="1" applyFont="1">
      <alignment horizontal="center" shrinkToFit="0" vertical="center" wrapText="0"/>
    </xf>
    <xf borderId="9" fillId="0" fontId="8" numFmtId="49" xfId="0" applyAlignment="1" applyBorder="1" applyFont="1" applyNumberFormat="1">
      <alignment readingOrder="0" shrinkToFit="0" vertical="center" wrapText="0"/>
    </xf>
    <xf borderId="9" fillId="0" fontId="8" numFmtId="49" xfId="0" applyAlignment="1" applyBorder="1" applyFont="1" applyNumberFormat="1">
      <alignment readingOrder="0" shrinkToFit="0" vertical="center" wrapText="0"/>
    </xf>
    <xf borderId="0" fillId="0" fontId="8" numFmtId="174" xfId="0" applyAlignment="1" applyFont="1" applyNumberFormat="1">
      <alignment readingOrder="0" shrinkToFit="0" vertical="center" wrapText="0"/>
    </xf>
    <xf borderId="0" fillId="0" fontId="8" numFmtId="0" xfId="0" applyAlignment="1" applyFont="1">
      <alignment horizontal="center" readingOrder="0" shrinkToFit="0" vertical="center" wrapText="0"/>
    </xf>
    <xf borderId="0" fillId="0" fontId="22" numFmtId="174" xfId="0" applyAlignment="1" applyFont="1" applyNumberFormat="1">
      <alignment readingOrder="0" shrinkToFit="0" vertical="center" wrapText="0"/>
    </xf>
    <xf borderId="0" fillId="0" fontId="22" numFmtId="0" xfId="0" applyAlignment="1" applyFont="1">
      <alignment horizontal="center" readingOrder="0" shrinkToFit="0" vertical="center" wrapText="0"/>
    </xf>
    <xf borderId="9" fillId="0" fontId="8" numFmtId="49" xfId="0" applyAlignment="1" applyBorder="1" applyFont="1" applyNumberFormat="1">
      <alignment shrinkToFit="0" vertical="center" wrapText="0"/>
    </xf>
    <xf borderId="0" fillId="0" fontId="23" numFmtId="0" xfId="0" applyFont="1"/>
    <xf borderId="9" fillId="0" fontId="8" numFmtId="49" xfId="0" applyAlignment="1" applyBorder="1" applyFont="1" applyNumberFormat="1">
      <alignment shrinkToFit="0" vertical="center" wrapText="0"/>
    </xf>
    <xf borderId="0" fillId="0" fontId="8" numFmtId="0" xfId="0" applyAlignment="1" applyFont="1">
      <alignment horizontal="center" shrinkToFit="0" vertical="center" wrapText="0"/>
    </xf>
    <xf borderId="0" fillId="0" fontId="8" numFmtId="0" xfId="0" applyAlignment="1" applyFont="1">
      <alignment shrinkToFit="0" vertical="center" wrapText="0"/>
    </xf>
    <xf borderId="0" fillId="0" fontId="8" numFmtId="49" xfId="0" applyAlignment="1" applyFont="1" applyNumberFormat="1">
      <alignment readingOrder="0" shrinkToFit="0" vertical="center" wrapText="0"/>
    </xf>
    <xf borderId="0" fillId="0" fontId="8" numFmtId="49" xfId="0" applyAlignment="1" applyFont="1" applyNumberFormat="1">
      <alignment readingOrder="0" shrinkToFit="0" vertical="center" wrapText="0"/>
    </xf>
    <xf borderId="9" fillId="0" fontId="8" numFmtId="16" xfId="0" applyAlignment="1" applyBorder="1" applyFont="1" applyNumberFormat="1">
      <alignment horizontal="center" shrinkToFit="0" vertical="center" wrapText="0"/>
    </xf>
    <xf borderId="0" fillId="0" fontId="8" numFmtId="49" xfId="0" applyAlignment="1" applyFont="1" applyNumberFormat="1">
      <alignment shrinkToFit="0" vertical="center" wrapText="0"/>
    </xf>
    <xf borderId="10" fillId="0" fontId="8" numFmtId="0" xfId="0" applyAlignment="1" applyBorder="1" applyFont="1">
      <alignment shrinkToFit="0" vertical="center" wrapText="0"/>
    </xf>
    <xf borderId="0" fillId="0" fontId="8" numFmtId="0" xfId="0" applyAlignment="1" applyFont="1">
      <alignment horizontal="center" readingOrder="0" shrinkToFit="0" vertical="center" wrapText="0"/>
    </xf>
    <xf borderId="0" fillId="0" fontId="8"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2" numFmtId="0" xfId="0" applyAlignment="1" applyFont="1">
      <alignment readingOrder="0" shrinkToFit="0" vertical="center" wrapText="0"/>
    </xf>
    <xf borderId="9" fillId="0" fontId="8" numFmtId="16" xfId="0" applyAlignment="1" applyBorder="1" applyFont="1" applyNumberFormat="1">
      <alignment readingOrder="0" shrinkToFit="0" vertical="center" wrapText="0"/>
    </xf>
    <xf borderId="0" fillId="0" fontId="8" numFmtId="0" xfId="0" applyAlignment="1" applyFont="1">
      <alignment horizontal="center" readingOrder="0" shrinkToFit="0" vertical="center" wrapText="0"/>
    </xf>
    <xf borderId="10" fillId="0" fontId="8" numFmtId="0" xfId="0" applyAlignment="1" applyBorder="1" applyFont="1">
      <alignment readingOrder="0" shrinkToFit="0" vertical="center" wrapText="0"/>
    </xf>
    <xf borderId="0" fillId="17" fontId="8" numFmtId="0" xfId="0" applyAlignment="1" applyFont="1">
      <alignment readingOrder="0" shrinkToFit="0" vertical="center" wrapText="0"/>
    </xf>
    <xf borderId="0" fillId="20" fontId="8" numFmtId="0" xfId="0" applyAlignment="1" applyFill="1" applyFont="1">
      <alignment horizontal="center" readingOrder="0" shrinkToFit="0" vertical="center" wrapText="0"/>
    </xf>
    <xf borderId="0" fillId="21" fontId="5" numFmtId="0" xfId="0" applyAlignment="1" applyFill="1" applyFont="1">
      <alignment readingOrder="0" shrinkToFit="0" vertical="bottom" wrapText="0"/>
    </xf>
    <xf borderId="0" fillId="21" fontId="5" numFmtId="0" xfId="0" applyAlignment="1" applyFont="1">
      <alignment shrinkToFit="0" vertical="bottom" wrapText="0"/>
    </xf>
    <xf borderId="0" fillId="22" fontId="5" numFmtId="16" xfId="0" applyAlignment="1" applyFill="1" applyFont="1" applyNumberFormat="1">
      <alignment readingOrder="0" shrinkToFit="0" vertical="bottom" wrapText="0"/>
    </xf>
    <xf borderId="0" fillId="22" fontId="5" numFmtId="0" xfId="0" applyAlignment="1" applyFont="1">
      <alignment readingOrder="0" shrinkToFit="0" vertical="bottom" wrapText="0"/>
    </xf>
    <xf borderId="0" fillId="22" fontId="5" numFmtId="0" xfId="0" applyAlignment="1" applyFont="1">
      <alignment readingOrder="0" shrinkToFit="0" vertical="bottom" wrapText="0"/>
    </xf>
    <xf borderId="0" fillId="9" fontId="5" numFmtId="0" xfId="0" applyAlignment="1" applyFont="1">
      <alignment shrinkToFit="0" vertical="bottom" wrapText="0"/>
    </xf>
    <xf borderId="0" fillId="22" fontId="5" numFmtId="0" xfId="0" applyAlignment="1" applyFont="1">
      <alignment shrinkToFit="0" vertical="bottom" wrapText="0"/>
    </xf>
    <xf borderId="0" fillId="22" fontId="5" numFmtId="0" xfId="0" applyAlignment="1" applyFont="1">
      <alignment readingOrder="0" shrinkToFit="0" vertical="bottom" wrapText="0"/>
    </xf>
    <xf borderId="0" fillId="22" fontId="5" numFmtId="0" xfId="0" applyAlignment="1" applyFont="1">
      <alignment horizontal="right" readingOrder="0" shrinkToFit="0" vertical="bottom" wrapText="0"/>
    </xf>
    <xf borderId="0" fillId="22" fontId="5" numFmtId="0" xfId="0" applyAlignment="1" applyFont="1">
      <alignment readingOrder="0" shrinkToFit="0" vertical="bottom" wrapText="0"/>
    </xf>
    <xf borderId="0" fillId="22" fontId="5" numFmtId="49" xfId="0" applyAlignment="1" applyFont="1" applyNumberFormat="1">
      <alignment readingOrder="0" shrinkToFit="0" vertical="bottom" wrapText="0"/>
    </xf>
    <xf borderId="0" fillId="21" fontId="5" numFmtId="16" xfId="0" applyAlignment="1" applyFont="1" applyNumberFormat="1">
      <alignment readingOrder="0" shrinkToFit="0" vertical="bottom" wrapText="0"/>
    </xf>
    <xf borderId="0" fillId="21" fontId="5" numFmtId="0" xfId="0" applyAlignment="1" applyFont="1">
      <alignment readingOrder="0" shrinkToFit="0" vertical="bottom" wrapText="0"/>
    </xf>
    <xf borderId="0" fillId="21" fontId="5" numFmtId="0" xfId="0" applyAlignment="1" applyFont="1">
      <alignment horizontal="right" readingOrder="0" shrinkToFit="0" vertical="bottom" wrapText="0"/>
    </xf>
    <xf borderId="0" fillId="21" fontId="5" numFmtId="0" xfId="0" applyAlignment="1" applyFont="1">
      <alignment readingOrder="0" shrinkToFit="0" vertical="bottom" wrapText="0"/>
    </xf>
    <xf borderId="0" fillId="21" fontId="5" numFmtId="49" xfId="0" applyAlignment="1" applyFont="1" applyNumberFormat="1">
      <alignment readingOrder="0" shrinkToFit="0" vertical="bottom" wrapText="0"/>
    </xf>
    <xf borderId="0" fillId="9" fontId="5" numFmtId="16" xfId="0" applyAlignment="1" applyFont="1" applyNumberFormat="1">
      <alignment readingOrder="0" shrinkToFit="0" vertical="bottom" wrapText="0"/>
    </xf>
    <xf borderId="0" fillId="9" fontId="5" numFmtId="0" xfId="0" applyAlignment="1" applyFont="1">
      <alignment readingOrder="0" shrinkToFit="0" vertical="bottom" wrapText="0"/>
    </xf>
    <xf borderId="0" fillId="9" fontId="5" numFmtId="0" xfId="0" applyAlignment="1" applyFont="1">
      <alignment horizontal="right" readingOrder="0" shrinkToFit="0" vertical="bottom" wrapText="0"/>
    </xf>
    <xf borderId="0" fillId="9" fontId="5" numFmtId="0" xfId="0" applyAlignment="1" applyFont="1">
      <alignment readingOrder="0" shrinkToFit="0" vertical="bottom" wrapText="0"/>
    </xf>
    <xf borderId="0" fillId="9" fontId="5" numFmtId="49" xfId="0" applyAlignment="1" applyFont="1" applyNumberForma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16" xfId="0" applyAlignment="1" applyFont="1" applyNumberForma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5" numFmtId="49" xfId="0" applyAlignment="1" applyFont="1" applyNumberFormat="1">
      <alignment readingOrder="0" shrinkToFit="0" vertical="bottom" wrapText="0"/>
    </xf>
    <xf borderId="0" fillId="23" fontId="24" numFmtId="0" xfId="0" applyAlignment="1" applyFill="1" applyFont="1">
      <alignment readingOrder="0" shrinkToFit="0" vertical="center" wrapText="0"/>
    </xf>
    <xf borderId="0" fillId="0" fontId="8" numFmtId="0" xfId="0" applyAlignment="1" applyFont="1">
      <alignment readingOrder="0" shrinkToFit="0" vertical="center" wrapText="0"/>
    </xf>
    <xf borderId="0" fillId="0" fontId="8" numFmtId="16" xfId="0" applyAlignment="1" applyFont="1" applyNumberFormat="1">
      <alignment shrinkToFit="0" vertical="center" wrapText="0"/>
    </xf>
    <xf borderId="0" fillId="24" fontId="25" numFmtId="49" xfId="0" applyAlignment="1" applyFill="1" applyFont="1" applyNumberFormat="1">
      <alignment horizontal="left" readingOrder="0" shrinkToFit="0" vertical="center" wrapText="0"/>
    </xf>
    <xf borderId="0" fillId="24" fontId="10" numFmtId="0" xfId="0" applyAlignment="1" applyFont="1">
      <alignment horizontal="center" readingOrder="0" shrinkToFit="0" vertical="center" wrapText="0"/>
    </xf>
    <xf borderId="0" fillId="24" fontId="10" numFmtId="0" xfId="0" applyAlignment="1" applyFont="1">
      <alignment horizontal="center" readingOrder="0" shrinkToFit="0" vertical="center" wrapText="1"/>
    </xf>
    <xf borderId="0" fillId="24" fontId="26" numFmtId="0" xfId="0" applyAlignment="1" applyFont="1">
      <alignment horizontal="center" readingOrder="0" shrinkToFit="0" vertical="center" wrapText="0"/>
    </xf>
    <xf borderId="9" fillId="25" fontId="27" numFmtId="0" xfId="0" applyAlignment="1" applyBorder="1" applyFill="1" applyFont="1">
      <alignment horizontal="center" readingOrder="0" shrinkToFit="0" vertical="center" wrapText="1"/>
    </xf>
    <xf borderId="9" fillId="25" fontId="27" numFmtId="49" xfId="0" applyAlignment="1" applyBorder="1" applyFont="1" applyNumberFormat="1">
      <alignment horizontal="center" readingOrder="0" shrinkToFit="0" vertical="center" wrapText="1"/>
    </xf>
    <xf borderId="0" fillId="0" fontId="8" numFmtId="0" xfId="0" applyAlignment="1" applyFont="1">
      <alignment horizontal="left" shrinkToFit="0" vertical="bottom" wrapText="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164" xfId="0" applyAlignment="1" applyFont="1" applyNumberFormat="1">
      <alignment readingOrder="0" shrinkToFit="0" vertical="center" wrapText="0"/>
    </xf>
    <xf borderId="0" fillId="0" fontId="8" numFmtId="164" xfId="0" applyAlignment="1" applyFont="1" applyNumberFormat="1">
      <alignment shrinkToFit="0" vertical="bottom" wrapText="0"/>
    </xf>
    <xf borderId="0" fillId="0" fontId="8" numFmtId="176" xfId="0" applyAlignment="1" applyFont="1" applyNumberFormat="1">
      <alignment horizontal="center"/>
    </xf>
    <xf borderId="0" fillId="0" fontId="8" numFmtId="2" xfId="0" applyAlignment="1" applyFont="1" applyNumberFormat="1">
      <alignment vertical="bottom"/>
    </xf>
    <xf borderId="0" fillId="0" fontId="8" numFmtId="0" xfId="0" applyAlignment="1" applyFont="1">
      <alignment horizontal="center" vertical="bottom"/>
    </xf>
    <xf borderId="0" fillId="0" fontId="8" numFmtId="2" xfId="0" applyAlignment="1" applyFont="1" applyNumberFormat="1">
      <alignment horizontal="center" vertical="bottom"/>
    </xf>
    <xf borderId="0" fillId="0" fontId="8" numFmtId="174" xfId="0" applyAlignment="1" applyFont="1" applyNumberFormat="1">
      <alignment horizontal="center" vertical="bottom"/>
    </xf>
    <xf borderId="0" fillId="0" fontId="8" numFmtId="2" xfId="0" applyAlignment="1" applyFont="1" applyNumberFormat="1">
      <alignment horizontal="center"/>
    </xf>
    <xf borderId="0" fillId="0" fontId="8" numFmtId="9" xfId="0" applyAlignment="1" applyFont="1" applyNumberFormat="1">
      <alignment horizontal="center" vertical="bottom"/>
    </xf>
    <xf borderId="0" fillId="0" fontId="8" numFmtId="0" xfId="0" applyAlignment="1" applyFont="1">
      <alignment vertical="bottom"/>
    </xf>
    <xf borderId="0" fillId="0" fontId="8" numFmtId="0" xfId="0" applyAlignment="1" applyFont="1">
      <alignment shrinkToFit="0" vertical="bottom" wrapText="0"/>
    </xf>
    <xf borderId="0" fillId="0" fontId="8" numFmtId="164" xfId="0" applyAlignment="1" applyFont="1" applyNumberFormat="1">
      <alignment readingOrder="0" shrinkToFit="0" vertical="bottom" wrapText="0"/>
    </xf>
    <xf borderId="0" fillId="0" fontId="8"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8" numFmtId="0" xfId="0" applyAlignment="1" applyFont="1">
      <alignment horizontal="left" readingOrder="0" shrinkToFit="0" vertical="center" wrapText="0"/>
    </xf>
    <xf borderId="11" fillId="26" fontId="28" numFmtId="10" xfId="0" applyAlignment="1" applyBorder="1" applyFill="1" applyFont="1" applyNumberFormat="1">
      <alignment shrinkToFit="0" vertical="center" wrapText="0"/>
    </xf>
    <xf borderId="0" fillId="0" fontId="8" numFmtId="176" xfId="0" applyAlignment="1" applyFont="1" applyNumberFormat="1">
      <alignment horizontal="center" vertical="bottom"/>
    </xf>
    <xf borderId="0" fillId="0" fontId="8" numFmtId="2" xfId="0" applyAlignment="1" applyFont="1" applyNumberFormat="1">
      <alignment horizontal="right" vertical="bottom"/>
    </xf>
    <xf borderId="0" fillId="0" fontId="29" numFmtId="2" xfId="0" applyAlignment="1" applyFont="1" applyNumberFormat="1">
      <alignment vertical="bottom"/>
    </xf>
    <xf borderId="0" fillId="0" fontId="29" numFmtId="0" xfId="0" applyAlignment="1" applyFont="1">
      <alignment vertical="bottom"/>
    </xf>
    <xf borderId="0" fillId="24" fontId="30" numFmtId="0" xfId="0" applyAlignment="1" applyFont="1">
      <alignment horizontal="left" readingOrder="0" shrinkToFit="0" vertical="center" wrapText="0"/>
    </xf>
    <xf borderId="0" fillId="24" fontId="26" numFmtId="49" xfId="0" applyAlignment="1" applyFont="1" applyNumberFormat="1">
      <alignment horizontal="left" readingOrder="0" shrinkToFit="0" vertical="center" wrapText="0"/>
    </xf>
    <xf borderId="0" fillId="24" fontId="26" numFmtId="0" xfId="0" applyAlignment="1" applyFont="1">
      <alignment horizontal="left" readingOrder="0" shrinkToFit="0" vertical="center" wrapText="0"/>
    </xf>
    <xf borderId="0" fillId="24" fontId="18" numFmtId="49" xfId="0" applyAlignment="1" applyFont="1" applyNumberFormat="1">
      <alignment horizontal="left" readingOrder="0" shrinkToFit="0" vertical="center" wrapText="0"/>
    </xf>
    <xf borderId="0" fillId="0" fontId="31" numFmtId="0" xfId="0" applyAlignment="1" applyFont="1">
      <alignment readingOrder="0" shrinkToFit="0" vertical="center" wrapText="0"/>
    </xf>
    <xf borderId="0" fillId="0" fontId="18" numFmtId="10" xfId="0" applyAlignment="1" applyFont="1" applyNumberFormat="1">
      <alignment readingOrder="0" shrinkToFit="0" vertical="center" wrapText="0"/>
    </xf>
    <xf borderId="0" fillId="0" fontId="18" numFmtId="0" xfId="0" applyAlignment="1" applyFont="1">
      <alignment readingOrder="0" shrinkToFit="0" vertical="center" wrapText="0"/>
    </xf>
    <xf borderId="0" fillId="0" fontId="18" numFmtId="177" xfId="0" applyAlignment="1" applyFont="1" applyNumberFormat="1">
      <alignment readingOrder="0" shrinkToFit="0" vertical="center" wrapText="0"/>
    </xf>
    <xf borderId="0" fillId="0" fontId="18" numFmtId="177" xfId="0" applyAlignment="1" applyFont="1" applyNumberFormat="1">
      <alignment shrinkToFit="0" vertical="center" wrapText="0"/>
    </xf>
    <xf borderId="0" fillId="0" fontId="31" numFmtId="0" xfId="0" applyAlignment="1" applyFont="1">
      <alignment shrinkToFit="0" vertical="center" wrapText="0"/>
    </xf>
    <xf borderId="0" fillId="0" fontId="18" numFmtId="10" xfId="0" applyAlignment="1" applyFont="1" applyNumberFormat="1">
      <alignment shrinkToFit="0" vertical="center" wrapText="0"/>
    </xf>
    <xf borderId="0" fillId="5" fontId="18" numFmtId="0" xfId="0" applyAlignment="1" applyFont="1">
      <alignment readingOrder="0" shrinkToFit="0" vertical="center" wrapText="0"/>
    </xf>
    <xf borderId="0" fillId="5" fontId="18" numFmtId="177" xfId="0" applyAlignment="1" applyFont="1" applyNumberFormat="1">
      <alignment readingOrder="0" shrinkToFit="0" vertical="center" wrapText="0"/>
    </xf>
    <xf borderId="0" fillId="0" fontId="18" numFmtId="178" xfId="0" applyAlignment="1" applyFont="1" applyNumberFormat="1">
      <alignment readingOrder="0" shrinkToFit="0" vertical="center" wrapText="0"/>
    </xf>
    <xf borderId="0" fillId="0" fontId="18" numFmtId="0" xfId="0" applyAlignment="1" applyFont="1">
      <alignment readingOrder="0" shrinkToFit="0" vertical="center" wrapText="0"/>
    </xf>
    <xf quotePrefix="1" borderId="0" fillId="0" fontId="31" numFmtId="0" xfId="0" applyAlignment="1" applyFont="1">
      <alignment readingOrder="0" shrinkToFit="0" vertical="center" wrapText="0"/>
    </xf>
    <xf borderId="0" fillId="25" fontId="25" numFmtId="0" xfId="0" applyAlignment="1" applyFont="1">
      <alignment horizontal="center" readingOrder="0" shrinkToFit="0" vertical="center" wrapText="0"/>
    </xf>
    <xf borderId="0" fillId="24" fontId="25" numFmtId="0" xfId="0" applyAlignment="1" applyFont="1">
      <alignment horizontal="center" readingOrder="0" shrinkToFit="0" vertical="center" wrapText="0"/>
    </xf>
    <xf borderId="0" fillId="24" fontId="25" numFmtId="49" xfId="0" applyAlignment="1" applyFont="1" applyNumberFormat="1">
      <alignment horizontal="center" readingOrder="0" shrinkToFit="0" vertical="center" wrapText="0"/>
    </xf>
    <xf borderId="0" fillId="25" fontId="25" numFmtId="0" xfId="0" applyAlignment="1" applyFont="1">
      <alignment horizontal="center" readingOrder="0" shrinkToFit="0" vertical="center" wrapText="0"/>
    </xf>
    <xf borderId="9" fillId="0" fontId="8" numFmtId="0" xfId="0" applyAlignment="1" applyBorder="1" applyFont="1">
      <alignment horizontal="center" shrinkToFit="0" vertical="bottom" wrapText="0"/>
    </xf>
    <xf borderId="9" fillId="0" fontId="8" numFmtId="0" xfId="0" applyAlignment="1" applyBorder="1" applyFont="1">
      <alignment horizontal="center" readingOrder="0" shrinkToFit="0" vertical="bottom" wrapText="0"/>
    </xf>
    <xf borderId="12" fillId="0" fontId="8" numFmtId="16" xfId="0" applyAlignment="1" applyBorder="1" applyFont="1" applyNumberFormat="1">
      <alignment horizontal="center" readingOrder="0" shrinkToFit="0" vertical="bottom" wrapText="0"/>
    </xf>
    <xf borderId="13" fillId="0" fontId="8" numFmtId="16" xfId="0" applyAlignment="1" applyBorder="1" applyFont="1" applyNumberFormat="1">
      <alignment horizontal="center" shrinkToFit="0" vertical="bottom" wrapText="0"/>
    </xf>
    <xf borderId="13" fillId="0" fontId="8" numFmtId="0" xfId="0" applyAlignment="1" applyBorder="1" applyFont="1">
      <alignment readingOrder="0" shrinkToFit="0" vertical="bottom" wrapText="0"/>
    </xf>
    <xf borderId="13" fillId="0" fontId="8" numFmtId="0" xfId="0" applyAlignment="1" applyBorder="1" applyFont="1">
      <alignment shrinkToFit="0" vertical="bottom" wrapText="0"/>
    </xf>
    <xf borderId="0" fillId="0" fontId="8" numFmtId="0" xfId="0" applyAlignment="1" applyFont="1">
      <alignment readingOrder="0" shrinkToFit="0" vertical="bottom" wrapText="0"/>
    </xf>
    <xf borderId="0" fillId="0" fontId="32" numFmtId="173" xfId="0" applyAlignment="1" applyFont="1" applyNumberFormat="1">
      <alignment readingOrder="0" shrinkToFit="0" vertical="bottom" wrapText="0"/>
    </xf>
    <xf borderId="9" fillId="0" fontId="8" numFmtId="173" xfId="0" applyAlignment="1" applyBorder="1" applyFont="1" applyNumberFormat="1">
      <alignment shrinkToFit="0" vertical="bottom" wrapText="0"/>
    </xf>
    <xf borderId="0" fillId="0" fontId="8" numFmtId="0" xfId="0" applyAlignment="1" applyFont="1">
      <alignment readingOrder="0" shrinkToFit="0" vertical="bottom" wrapText="0"/>
    </xf>
    <xf borderId="12" fillId="0" fontId="8" numFmtId="16" xfId="0" applyAlignment="1" applyBorder="1" applyFont="1" applyNumberFormat="1">
      <alignment horizontal="center" shrinkToFit="0" vertical="bottom" wrapText="0"/>
    </xf>
    <xf borderId="0" fillId="0" fontId="8" numFmtId="0" xfId="0" applyAlignment="1" applyFont="1">
      <alignment horizontal="center" readingOrder="0" shrinkToFit="0" vertical="bottom" wrapText="0"/>
    </xf>
    <xf borderId="0" fillId="0" fontId="8" numFmtId="16" xfId="0" applyAlignment="1" applyFont="1" applyNumberFormat="1">
      <alignment horizontal="center" readingOrder="0" shrinkToFit="0" vertical="bottom" wrapText="0"/>
    </xf>
    <xf borderId="0" fillId="0" fontId="8" numFmtId="16" xfId="0" applyAlignment="1" applyFont="1" applyNumberFormat="1">
      <alignment horizontal="center" shrinkToFit="0" vertical="bottom" wrapText="0"/>
    </xf>
    <xf borderId="0" fillId="0" fontId="8" numFmtId="0" xfId="0" applyAlignment="1" applyFont="1">
      <alignment shrinkToFit="0" vertical="bottom" wrapText="0"/>
    </xf>
    <xf borderId="0" fillId="0" fontId="8" numFmtId="0" xfId="0" applyAlignment="1" applyFont="1">
      <alignment horizontal="center" readingOrder="0" shrinkToFit="0" vertical="bottom" wrapText="0"/>
    </xf>
    <xf borderId="0" fillId="0" fontId="8" numFmtId="16" xfId="0" applyAlignment="1" applyFont="1" applyNumberFormat="1">
      <alignment shrinkToFit="0" vertical="bottom" wrapText="0"/>
    </xf>
    <xf borderId="0" fillId="0" fontId="8" numFmtId="173" xfId="0" applyAlignment="1" applyFont="1" applyNumberFormat="1">
      <alignment readingOrder="0" shrinkToFit="0" vertical="bottom" wrapText="0"/>
    </xf>
    <xf borderId="0" fillId="0" fontId="33" numFmtId="0" xfId="0" applyAlignment="1" applyFont="1">
      <alignment readingOrder="0" shrinkToFit="0" vertical="bottom" wrapText="0"/>
    </xf>
    <xf borderId="9" fillId="0" fontId="8" numFmtId="173" xfId="0" applyAlignment="1" applyBorder="1" applyFont="1" applyNumberFormat="1">
      <alignment readingOrder="0" shrinkToFit="0" vertical="bottom" wrapText="0"/>
    </xf>
    <xf borderId="0" fillId="0" fontId="8" numFmtId="173" xfId="0" applyAlignment="1" applyFont="1" applyNumberFormat="1">
      <alignment readingOrder="0" shrinkToFit="0" vertical="bottom" wrapText="0"/>
    </xf>
    <xf borderId="0" fillId="0" fontId="25" numFmtId="0" xfId="0" applyAlignment="1" applyFont="1">
      <alignment horizontal="center" readingOrder="0" shrinkToFit="0" vertical="center" wrapText="0"/>
    </xf>
    <xf borderId="0" fillId="0" fontId="25" numFmtId="49" xfId="0" applyAlignment="1" applyFont="1" applyNumberFormat="1">
      <alignment horizontal="center" readingOrder="0" shrinkToFit="0" vertical="center" wrapText="0"/>
    </xf>
    <xf borderId="0" fillId="0" fontId="25" numFmtId="0" xfId="0" applyAlignment="1" applyFont="1">
      <alignment horizontal="center" readingOrder="0" shrinkToFit="0" vertical="center" wrapText="0"/>
    </xf>
    <xf borderId="0" fillId="0" fontId="25"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34" numFmtId="0" xfId="0" applyAlignment="1" applyFont="1">
      <alignment horizontal="center" vertical="center"/>
    </xf>
    <xf borderId="13" fillId="0" fontId="8" numFmtId="16" xfId="0" applyAlignment="1" applyBorder="1" applyFont="1" applyNumberFormat="1">
      <alignment horizontal="center" shrinkToFit="0" vertical="bottom" wrapText="0"/>
    </xf>
    <xf borderId="13" fillId="0" fontId="8" numFmtId="0" xfId="0" applyAlignment="1" applyBorder="1" applyFont="1">
      <alignment horizontal="center" shrinkToFit="0" vertical="bottom" wrapText="0"/>
    </xf>
    <xf borderId="9" fillId="0" fontId="8" numFmtId="173" xfId="0" applyAlignment="1" applyBorder="1" applyFont="1" applyNumberFormat="1">
      <alignment horizontal="center" shrinkToFit="0" vertical="bottom" wrapText="0"/>
    </xf>
    <xf borderId="0" fillId="0" fontId="8" numFmtId="0" xfId="0" applyAlignment="1" applyFont="1">
      <alignment horizontal="center" shrinkToFit="0" vertical="bottom" wrapText="0"/>
    </xf>
    <xf borderId="0" fillId="0" fontId="2" numFmtId="16" xfId="0" applyAlignment="1" applyFont="1" applyNumberFormat="1">
      <alignment horizontal="center" shrinkToFit="0" vertical="center" wrapText="0"/>
    </xf>
    <xf borderId="0" fillId="0" fontId="8" numFmtId="0" xfId="0" applyAlignment="1" applyFont="1">
      <alignment horizontal="center" readingOrder="0" shrinkToFit="0" vertical="center" wrapText="0"/>
    </xf>
    <xf borderId="0" fillId="0" fontId="8" numFmtId="4" xfId="0" applyAlignment="1" applyFont="1" applyNumberFormat="1">
      <alignment horizontal="center" readingOrder="0" shrinkToFit="0" vertical="center" wrapText="0"/>
    </xf>
    <xf borderId="12" fillId="0" fontId="8" numFmtId="16" xfId="0" applyAlignment="1" applyBorder="1" applyFont="1" applyNumberFormat="1">
      <alignment horizontal="center" shrinkToFit="0" vertical="bottom" wrapText="0"/>
    </xf>
    <xf borderId="9" fillId="0" fontId="8" numFmtId="0" xfId="0" applyAlignment="1" applyBorder="1" applyFont="1">
      <alignment horizontal="center" shrinkToFit="0" vertical="bottom" wrapText="0"/>
    </xf>
    <xf borderId="9" fillId="0" fontId="8" numFmtId="173" xfId="0" applyAlignment="1" applyBorder="1" applyFont="1" applyNumberFormat="1">
      <alignment horizontal="center" readingOrder="0" shrinkToFit="0" vertical="bottom" wrapText="0"/>
    </xf>
    <xf borderId="0" fillId="0" fontId="8" numFmtId="4" xfId="0" applyAlignment="1" applyFont="1" applyNumberFormat="1">
      <alignment horizontal="center" readingOrder="0" shrinkToFit="0" vertical="bottom" wrapText="0"/>
    </xf>
    <xf borderId="0" fillId="0" fontId="2" numFmtId="0" xfId="0" applyAlignment="1" applyFont="1">
      <alignment horizontal="center" readingOrder="0" shrinkToFit="0" vertical="center" wrapText="0"/>
    </xf>
    <xf borderId="12" fillId="0" fontId="8" numFmtId="0" xfId="0" applyAlignment="1" applyBorder="1" applyFont="1">
      <alignment horizontal="center" readingOrder="0" shrinkToFit="0" vertical="bottom" wrapText="0"/>
    </xf>
    <xf borderId="9" fillId="0" fontId="8" numFmtId="16" xfId="0" applyAlignment="1" applyBorder="1" applyFont="1" applyNumberFormat="1">
      <alignment horizontal="center" readingOrder="0" shrinkToFit="0" vertical="bottom" wrapText="0"/>
    </xf>
    <xf borderId="9" fillId="0" fontId="8" numFmtId="0" xfId="0" applyAlignment="1" applyBorder="1" applyFont="1">
      <alignment horizontal="center" readingOrder="0" shrinkToFit="0" vertical="bottom" wrapText="0"/>
    </xf>
    <xf borderId="0" fillId="0" fontId="8" numFmtId="0" xfId="0" applyAlignment="1" applyFont="1">
      <alignment horizontal="center" readingOrder="0" shrinkToFit="0" vertical="bottom" wrapText="0"/>
    </xf>
    <xf borderId="0" fillId="0" fontId="8" numFmtId="173" xfId="0" applyAlignment="1" applyFont="1" applyNumberFormat="1">
      <alignment horizontal="center" readingOrder="0" shrinkToFit="0" vertical="bottom" wrapText="0"/>
    </xf>
    <xf borderId="0" fillId="0" fontId="33" numFmtId="0" xfId="0" applyAlignment="1" applyFont="1">
      <alignment horizontal="left" readingOrder="0" shrinkToFit="0" vertical="center" wrapText="0"/>
    </xf>
    <xf borderId="0" fillId="0" fontId="8" numFmtId="0" xfId="0" applyAlignment="1" applyFont="1">
      <alignment horizontal="center" shrinkToFit="0" vertical="bottom" wrapText="0"/>
    </xf>
    <xf borderId="0" fillId="0" fontId="8" numFmtId="4" xfId="0" applyAlignment="1" applyFont="1" applyNumberFormat="1">
      <alignment horizontal="center" readingOrder="0" shrinkToFit="0" vertical="bottom" wrapText="0"/>
    </xf>
    <xf borderId="0" fillId="0" fontId="8" numFmtId="0" xfId="0" applyAlignment="1" applyFont="1">
      <alignment horizontal="center" shrinkToFit="0" vertical="bottom" wrapText="0"/>
    </xf>
    <xf borderId="0" fillId="0" fontId="8" numFmtId="0" xfId="0" applyAlignment="1" applyFont="1">
      <alignment horizontal="center" shrinkToFit="0" vertical="bottom" wrapText="0"/>
    </xf>
    <xf borderId="0" fillId="0" fontId="18" numFmtId="0" xfId="0" applyAlignment="1" applyFont="1">
      <alignment horizontal="center" readingOrder="0" shrinkToFit="0" vertical="center" wrapText="0"/>
    </xf>
    <xf borderId="0" fillId="0" fontId="18" numFmtId="16" xfId="0" applyAlignment="1" applyFont="1" applyNumberFormat="1">
      <alignment horizontal="center" readingOrder="0"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horizontal="center" shrinkToFit="0" vertical="center" wrapText="0"/>
    </xf>
    <xf borderId="0" fillId="0" fontId="18" numFmtId="173" xfId="0" applyAlignment="1" applyFont="1" applyNumberFormat="1">
      <alignment horizontal="center" readingOrder="0" shrinkToFit="0" vertical="center" wrapText="0"/>
    </xf>
    <xf borderId="0" fillId="0" fontId="8" numFmtId="173" xfId="0" applyAlignment="1" applyFont="1" applyNumberFormat="1">
      <alignment horizontal="center" shrinkToFit="0" vertical="center" wrapText="0"/>
    </xf>
    <xf borderId="0" fillId="0" fontId="18" numFmtId="0" xfId="0" applyAlignment="1" applyFont="1">
      <alignment horizontal="center" shrinkToFit="0" vertical="center" wrapText="0"/>
    </xf>
    <xf borderId="0" fillId="0" fontId="18" numFmtId="4" xfId="0" applyAlignment="1" applyFont="1" applyNumberFormat="1">
      <alignment horizontal="center" readingOrder="0" shrinkToFit="0" vertical="center" wrapText="0"/>
    </xf>
    <xf borderId="0" fillId="0" fontId="18" numFmtId="0" xfId="0" applyAlignment="1" applyFont="1">
      <alignment horizontal="center"/>
    </xf>
    <xf borderId="0" fillId="24" fontId="35" numFmtId="0" xfId="0" applyAlignment="1" applyFont="1">
      <alignment horizontal="left" readingOrder="0" shrinkToFit="0" vertical="bottom" wrapText="0"/>
    </xf>
    <xf borderId="0" fillId="24" fontId="36" numFmtId="0" xfId="0" applyAlignment="1" applyFont="1">
      <alignment horizontal="left" readingOrder="0" shrinkToFit="0" vertical="bottom" wrapText="0"/>
    </xf>
    <xf borderId="0" fillId="24" fontId="37" numFmtId="0" xfId="0" applyAlignment="1" applyFont="1">
      <alignment horizontal="left" readingOrder="0" shrinkToFit="0" vertical="center" wrapText="0"/>
    </xf>
    <xf borderId="0" fillId="24" fontId="38" numFmtId="49" xfId="0" applyAlignment="1" applyFont="1" applyNumberFormat="1">
      <alignment horizontal="left" readingOrder="0" shrinkToFit="0" vertical="center" wrapText="0"/>
    </xf>
    <xf borderId="0" fillId="24" fontId="38"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9" numFmtId="179" xfId="0" applyAlignment="1" applyFont="1" applyNumberFormat="1">
      <alignment shrinkToFit="0" vertical="center" wrapText="0"/>
    </xf>
    <xf borderId="0" fillId="0" fontId="29" numFmtId="0" xfId="0" applyAlignment="1" applyFont="1">
      <alignment horizontal="center" shrinkToFit="0" vertical="center" wrapText="0"/>
    </xf>
    <xf borderId="0" fillId="0" fontId="29" numFmtId="0" xfId="0" applyAlignment="1" applyFont="1">
      <alignment shrinkToFit="0" vertical="center" wrapText="0"/>
    </xf>
    <xf borderId="0" fillId="0" fontId="29" numFmtId="174" xfId="0" applyAlignment="1" applyFont="1" applyNumberFormat="1">
      <alignment shrinkToFit="0" vertical="center" wrapText="0"/>
    </xf>
    <xf borderId="0" fillId="0" fontId="29" numFmtId="171" xfId="0" applyAlignment="1" applyFont="1" applyNumberFormat="1">
      <alignment shrinkToFit="0" vertical="center" wrapText="0"/>
    </xf>
    <xf borderId="0" fillId="0" fontId="2" numFmtId="0" xfId="0" applyAlignment="1" applyFont="1">
      <alignment readingOrder="0" shrinkToFit="0" vertical="center" wrapText="0"/>
    </xf>
    <xf borderId="0" fillId="0" fontId="2" numFmtId="9"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9" numFmtId="179" xfId="0" applyAlignment="1" applyFont="1" applyNumberFormat="1">
      <alignment shrinkToFit="0" vertical="center" wrapText="0"/>
    </xf>
    <xf borderId="0" fillId="0" fontId="29" numFmtId="0" xfId="0" applyAlignment="1" applyFont="1">
      <alignment horizontal="center" shrinkToFit="0" vertical="center" wrapText="0"/>
    </xf>
    <xf borderId="0" fillId="0" fontId="29" numFmtId="0" xfId="0" applyAlignment="1" applyFont="1">
      <alignment shrinkToFit="0" vertical="center" wrapText="0"/>
    </xf>
    <xf borderId="0" fillId="0" fontId="29" numFmtId="174" xfId="0" applyAlignment="1" applyFont="1" applyNumberFormat="1">
      <alignment shrinkToFit="0" vertical="center" wrapText="0"/>
    </xf>
    <xf borderId="0" fillId="0" fontId="29" numFmtId="171" xfId="0" applyAlignment="1" applyFont="1" applyNumberFormat="1">
      <alignment shrinkToFit="0" vertical="center" wrapText="0"/>
    </xf>
    <xf borderId="0" fillId="0" fontId="2" numFmtId="9" xfId="0" applyAlignment="1" applyFont="1" applyNumberFormat="1">
      <alignment readingOrder="0" shrinkToFit="0" vertical="center" wrapText="0"/>
    </xf>
    <xf quotePrefix="1" borderId="0" fillId="0" fontId="2" numFmtId="0" xfId="0" applyAlignment="1" applyFont="1">
      <alignment readingOrder="0" shrinkToFit="0" vertical="center" wrapText="0"/>
    </xf>
    <xf borderId="0" fillId="0" fontId="2" numFmtId="180" xfId="0" applyAlignment="1" applyFont="1" applyNumberFormat="1">
      <alignment readingOrder="0" shrinkToFit="0" vertical="center" wrapText="0"/>
    </xf>
    <xf borderId="0" fillId="0" fontId="2" numFmtId="9" xfId="0" applyAlignment="1" applyFont="1" applyNumberFormat="1">
      <alignment readingOrder="0"/>
    </xf>
    <xf borderId="0" fillId="0" fontId="29" numFmtId="174" xfId="0" applyFont="1" applyNumberFormat="1"/>
    <xf borderId="14" fillId="27" fontId="27" numFmtId="0" xfId="0" applyAlignment="1" applyBorder="1" applyFill="1" applyFont="1">
      <alignment horizontal="left" readingOrder="0" shrinkToFit="0" vertical="center" wrapText="0"/>
    </xf>
    <xf borderId="15" fillId="27" fontId="27" numFmtId="49" xfId="0" applyAlignment="1" applyBorder="1" applyFont="1" applyNumberFormat="1">
      <alignment horizontal="left" readingOrder="0" shrinkToFit="0" vertical="center" wrapText="0"/>
    </xf>
    <xf borderId="16" fillId="27" fontId="27" numFmtId="0" xfId="0" applyAlignment="1" applyBorder="1" applyFont="1">
      <alignment horizontal="left" readingOrder="0" shrinkToFit="0" vertical="center" wrapText="0"/>
    </xf>
    <xf borderId="15" fillId="27" fontId="27" numFmtId="0" xfId="0" applyAlignment="1" applyBorder="1" applyFont="1">
      <alignment horizontal="left" readingOrder="0" shrinkToFit="0" vertical="center" wrapText="0"/>
    </xf>
    <xf borderId="0" fillId="27" fontId="27" numFmtId="0" xfId="0" applyAlignment="1" applyFont="1">
      <alignment horizontal="left" readingOrder="0" shrinkToFit="0" vertical="center" wrapText="0"/>
    </xf>
    <xf borderId="0" fillId="28" fontId="8" numFmtId="0" xfId="0" applyAlignment="1" applyFill="1" applyFont="1">
      <alignment horizontal="left" readingOrder="0" shrinkToFit="0" vertical="center" wrapText="0"/>
    </xf>
    <xf borderId="0" fillId="19" fontId="33" numFmtId="0" xfId="0" applyAlignment="1" applyFont="1">
      <alignment horizontal="left" readingOrder="0" shrinkToFit="0" wrapText="0"/>
    </xf>
    <xf borderId="0" fillId="28" fontId="33" numFmtId="0" xfId="0" applyAlignment="1" applyFont="1">
      <alignment horizontal="left" readingOrder="0" shrinkToFit="0" wrapText="0"/>
    </xf>
    <xf borderId="0" fillId="19" fontId="33" numFmtId="0" xfId="0" applyAlignment="1" applyFont="1">
      <alignment readingOrder="0" shrinkToFit="0" wrapText="0"/>
    </xf>
    <xf borderId="0" fillId="28" fontId="33" numFmtId="0" xfId="0" applyAlignment="1" applyFont="1">
      <alignment readingOrder="0" shrinkToFit="0" wrapText="0"/>
    </xf>
    <xf borderId="0" fillId="28" fontId="33" numFmtId="0" xfId="0" applyAlignment="1" applyFont="1">
      <alignment horizontal="left" shrinkToFit="0" wrapText="0"/>
    </xf>
    <xf borderId="0" fillId="19" fontId="33" numFmtId="0" xfId="0" applyAlignment="1" applyFont="1">
      <alignment horizontal="left" shrinkToFit="0" wrapText="0"/>
    </xf>
    <xf borderId="0" fillId="19" fontId="33" numFmtId="0" xfId="0" applyAlignment="1" applyFont="1">
      <alignment readingOrder="0" shrinkToFit="0" vertical="bottom" wrapText="0"/>
    </xf>
    <xf borderId="0" fillId="28" fontId="33" numFmtId="0" xfId="0" applyAlignment="1" applyFont="1">
      <alignment readingOrder="0" shrinkToFit="0" vertical="bottom" wrapText="0"/>
    </xf>
    <xf borderId="0" fillId="19" fontId="33" numFmtId="0" xfId="0" applyAlignment="1" applyFont="1">
      <alignment shrinkToFit="0" vertical="bottom" wrapText="0"/>
    </xf>
    <xf borderId="0" fillId="28" fontId="39" numFmtId="0" xfId="0" applyAlignment="1" applyFont="1">
      <alignment readingOrder="0" shrinkToFit="0" vertical="bottom" wrapText="0"/>
    </xf>
    <xf borderId="0" fillId="19" fontId="39" numFmtId="0" xfId="0" applyAlignment="1" applyFont="1">
      <alignment readingOrder="0" shrinkToFit="0" vertical="bottom" wrapText="0"/>
    </xf>
    <xf borderId="0" fillId="19" fontId="40" numFmtId="0" xfId="0" applyAlignment="1" applyFont="1">
      <alignment readingOrder="0" shrinkToFit="0" vertical="bottom" wrapText="0"/>
    </xf>
    <xf borderId="0" fillId="28" fontId="40" numFmtId="0" xfId="0" applyAlignment="1" applyFont="1">
      <alignment readingOrder="0" shrinkToFit="0" vertical="bottom" wrapText="0"/>
    </xf>
    <xf borderId="0" fillId="28" fontId="2" numFmtId="0" xfId="0" applyAlignment="1" applyFont="1">
      <alignment readingOrder="0"/>
    </xf>
    <xf borderId="0" fillId="28" fontId="33" numFmtId="0" xfId="0" applyAlignment="1" applyFont="1">
      <alignment horizontal="left" shrinkToFit="0" wrapText="0"/>
    </xf>
    <xf borderId="0" fillId="19" fontId="39" numFmtId="0" xfId="0" applyAlignment="1" applyFont="1">
      <alignment readingOrder="0" shrinkToFit="0" wrapText="0"/>
    </xf>
    <xf borderId="0" fillId="28" fontId="33" numFmtId="0" xfId="0" applyAlignment="1" applyFont="1">
      <alignment readingOrder="0" vertical="bottom"/>
    </xf>
    <xf borderId="0" fillId="28" fontId="33" numFmtId="0" xfId="0" applyAlignment="1" applyFont="1">
      <alignment readingOrder="0"/>
    </xf>
    <xf borderId="0" fillId="19" fontId="2" numFmtId="0" xfId="0" applyAlignment="1" applyFont="1">
      <alignment readingOrder="0"/>
    </xf>
    <xf borderId="0" fillId="19" fontId="8" numFmtId="0" xfId="0" applyAlignment="1" applyFont="1">
      <alignment horizontal="left" readingOrder="0" shrinkToFit="0" vertical="center" wrapText="0"/>
    </xf>
    <xf borderId="0" fillId="19" fontId="33" numFmtId="0" xfId="0" applyAlignment="1" applyFont="1">
      <alignment readingOrder="0" vertical="bottom"/>
    </xf>
    <xf borderId="0" fillId="19" fontId="8" numFmtId="0" xfId="0" applyAlignment="1" applyFont="1">
      <alignment horizontal="left" readingOrder="0" shrinkToFit="0" vertical="center" wrapText="0"/>
    </xf>
    <xf borderId="0" fillId="28" fontId="8" numFmtId="0" xfId="0" applyAlignment="1" applyFont="1">
      <alignment horizontal="left" shrinkToFit="0" vertical="center" wrapText="0"/>
    </xf>
    <xf borderId="0" fillId="28" fontId="8" numFmtId="0" xfId="0" applyAlignment="1" applyFont="1">
      <alignment horizontal="left" readingOrder="0" shrinkToFit="0" vertical="center" wrapText="0"/>
    </xf>
    <xf borderId="0" fillId="19" fontId="33" numFmtId="0" xfId="0" applyAlignment="1" applyFont="1">
      <alignment readingOrder="0" vertical="bottom"/>
    </xf>
    <xf borderId="0" fillId="19" fontId="8" numFmtId="16" xfId="0" applyAlignment="1" applyFont="1" applyNumberFormat="1">
      <alignment horizontal="left" shrinkToFit="0" vertical="center" wrapText="0"/>
    </xf>
    <xf borderId="0" fillId="19" fontId="8" numFmtId="0" xfId="0" applyAlignment="1" applyFont="1">
      <alignment horizontal="left" shrinkToFit="0" vertical="center" wrapText="0"/>
    </xf>
    <xf borderId="0" fillId="28" fontId="33" numFmtId="0" xfId="0" applyAlignment="1" applyFont="1">
      <alignment readingOrder="0" vertical="bottom"/>
    </xf>
    <xf borderId="0" fillId="19" fontId="5" numFmtId="0" xfId="0" applyAlignment="1" applyFont="1">
      <alignment readingOrder="0"/>
    </xf>
    <xf borderId="0" fillId="0" fontId="41" numFmtId="0" xfId="0" applyFont="1"/>
    <xf borderId="0" fillId="0" fontId="42" numFmtId="0" xfId="0" applyAlignment="1" applyFont="1">
      <alignment horizontal="center"/>
    </xf>
    <xf borderId="0" fillId="0" fontId="41" numFmtId="0" xfId="0" applyAlignment="1" applyFont="1">
      <alignment horizontal="center"/>
    </xf>
    <xf borderId="0" fillId="0" fontId="42" numFmtId="0" xfId="0" applyFont="1"/>
    <xf borderId="0" fillId="0" fontId="43" numFmtId="0" xfId="0" applyFont="1"/>
    <xf borderId="0" fillId="0" fontId="44" numFmtId="0" xfId="0" applyAlignment="1" applyFont="1">
      <alignment horizontal="center"/>
    </xf>
    <xf borderId="0" fillId="0" fontId="43" numFmtId="0" xfId="0" applyAlignment="1" applyFont="1">
      <alignment horizontal="left"/>
    </xf>
    <xf borderId="0" fillId="0" fontId="35" numFmtId="9" xfId="0" applyFont="1" applyNumberFormat="1"/>
    <xf borderId="0" fillId="0" fontId="35" numFmtId="0" xfId="0" applyAlignment="1" applyFont="1">
      <alignment horizontal="center" vertical="center"/>
    </xf>
    <xf borderId="0" fillId="0" fontId="42" numFmtId="0" xfId="0" applyAlignment="1" applyFont="1">
      <alignment horizontal="center" vertical="center"/>
    </xf>
    <xf borderId="5" fillId="11" fontId="45" numFmtId="0" xfId="0" applyAlignment="1" applyBorder="1" applyFont="1">
      <alignment horizontal="center" vertical="center"/>
    </xf>
    <xf borderId="5" fillId="12" fontId="46" numFmtId="0" xfId="0" applyAlignment="1" applyBorder="1" applyFont="1">
      <alignment horizontal="center" vertical="center"/>
    </xf>
    <xf borderId="8" fillId="12" fontId="46" numFmtId="0" xfId="0" applyAlignment="1" applyBorder="1" applyFont="1">
      <alignment horizontal="center" vertical="center"/>
    </xf>
    <xf borderId="5" fillId="13" fontId="43" numFmtId="0" xfId="0" applyAlignment="1" applyBorder="1" applyFont="1">
      <alignment horizontal="center" vertical="center"/>
    </xf>
    <xf borderId="0" fillId="0" fontId="41" numFmtId="0" xfId="0" applyAlignment="1" applyFont="1">
      <alignment horizontal="center" vertical="center"/>
    </xf>
    <xf borderId="5" fillId="14" fontId="47" numFmtId="0" xfId="0" applyAlignment="1" applyBorder="1" applyFont="1">
      <alignment horizontal="center" vertical="center"/>
    </xf>
    <xf borderId="5" fillId="29" fontId="47" numFmtId="0" xfId="0" applyAlignment="1" applyBorder="1" applyFill="1" applyFont="1">
      <alignment horizontal="center" vertical="center"/>
    </xf>
    <xf borderId="0" fillId="0" fontId="35" numFmtId="4" xfId="0" applyFont="1" applyNumberFormat="1"/>
    <xf borderId="5" fillId="0" fontId="41" numFmtId="0" xfId="0" applyBorder="1" applyFont="1"/>
    <xf borderId="6" fillId="0" fontId="41" numFmtId="0" xfId="0" applyBorder="1" applyFont="1"/>
    <xf borderId="5" fillId="0" fontId="41" numFmtId="170" xfId="0" applyBorder="1" applyFont="1" applyNumberFormat="1"/>
    <xf borderId="5" fillId="0" fontId="29" numFmtId="0" xfId="0" applyBorder="1" applyFont="1"/>
    <xf borderId="0" fillId="0" fontId="41" numFmtId="170" xfId="0" applyFont="1" applyNumberFormat="1"/>
    <xf borderId="5" fillId="15" fontId="48" numFmtId="0" xfId="0" applyBorder="1" applyFont="1"/>
    <xf borderId="5" fillId="15" fontId="49" numFmtId="0" xfId="0" applyBorder="1" applyFont="1"/>
    <xf borderId="5" fillId="0" fontId="41" numFmtId="171" xfId="0" applyBorder="1" applyFont="1" applyNumberFormat="1"/>
    <xf borderId="5" fillId="0" fontId="41" numFmtId="172" xfId="0" applyBorder="1" applyFont="1" applyNumberFormat="1"/>
    <xf borderId="5" fillId="0" fontId="29" numFmtId="171" xfId="0" applyBorder="1" applyFont="1" applyNumberFormat="1"/>
    <xf borderId="5" fillId="0" fontId="41" numFmtId="173" xfId="0" applyBorder="1" applyFont="1" applyNumberFormat="1"/>
    <xf borderId="5" fillId="0" fontId="41" numFmtId="174" xfId="0" applyBorder="1" applyFont="1" applyNumberFormat="1"/>
    <xf borderId="5" fillId="0" fontId="29" numFmtId="174" xfId="0" applyBorder="1" applyFont="1" applyNumberFormat="1"/>
    <xf borderId="5" fillId="0" fontId="29" numFmtId="174" xfId="0" applyAlignment="1" applyBorder="1" applyFont="1" applyNumberFormat="1">
      <alignment horizontal="center"/>
    </xf>
    <xf borderId="0" fillId="0" fontId="41" numFmtId="181" xfId="0" applyFont="1" applyNumberFormat="1"/>
    <xf borderId="5" fillId="0" fontId="29" numFmtId="173" xfId="0" applyBorder="1" applyFont="1" applyNumberFormat="1"/>
    <xf borderId="0" fillId="0" fontId="41" numFmtId="10" xfId="0" applyFont="1" applyNumberFormat="1"/>
    <xf borderId="5" fillId="13" fontId="43" numFmtId="0" xfId="0" applyBorder="1" applyFont="1"/>
    <xf borderId="5" fillId="13" fontId="43" numFmtId="173" xfId="0" applyBorder="1" applyFont="1" applyNumberFormat="1"/>
    <xf borderId="0" fillId="0" fontId="50" numFmtId="9" xfId="0" applyAlignment="1" applyFont="1" applyNumberFormat="1">
      <alignment horizontal="center"/>
    </xf>
    <xf borderId="5" fillId="17" fontId="41" numFmtId="170" xfId="0" applyBorder="1" applyFont="1" applyNumberFormat="1"/>
    <xf borderId="5" fillId="17" fontId="41" numFmtId="0" xfId="0" applyBorder="1" applyFont="1"/>
    <xf borderId="5" fillId="17" fontId="41" numFmtId="170" xfId="0" applyAlignment="1" applyBorder="1" applyFont="1" applyNumberFormat="1">
      <alignment horizontal="center"/>
    </xf>
    <xf borderId="5" fillId="17" fontId="41" numFmtId="173" xfId="0" applyBorder="1" applyFont="1" applyNumberFormat="1"/>
    <xf borderId="5" fillId="18" fontId="43" numFmtId="0" xfId="0" applyBorder="1" applyFont="1"/>
    <xf borderId="5" fillId="18" fontId="43" numFmtId="173" xfId="0" applyBorder="1" applyFont="1" applyNumberFormat="1"/>
    <xf borderId="0" fillId="0" fontId="41" numFmtId="173" xfId="0" applyFont="1" applyNumberFormat="1"/>
    <xf borderId="0" fillId="0" fontId="5" numFmtId="0" xfId="0" applyFont="1"/>
    <xf borderId="0" fillId="0" fontId="35" numFmtId="0" xfId="0" applyFont="1"/>
    <xf borderId="8" fillId="17" fontId="41" numFmtId="0" xfId="0" applyBorder="1" applyFont="1"/>
    <xf borderId="5" fillId="0" fontId="41" numFmtId="164" xfId="0" applyBorder="1" applyFont="1" applyNumberFormat="1"/>
    <xf borderId="5" fillId="0" fontId="51" numFmtId="175" xfId="0" applyAlignment="1" applyBorder="1" applyFont="1" applyNumberFormat="1">
      <alignment horizontal="center"/>
    </xf>
    <xf borderId="0" fillId="0" fontId="35" numFmtId="10" xfId="0" applyFont="1" applyNumberFormat="1"/>
    <xf borderId="5" fillId="14" fontId="29" numFmtId="175" xfId="0" applyAlignment="1" applyBorder="1" applyFont="1" applyNumberFormat="1">
      <alignment horizontal="center"/>
    </xf>
    <xf borderId="0" fillId="0" fontId="44" numFmtId="164" xfId="0" applyFont="1" applyNumberFormat="1"/>
    <xf borderId="5" fillId="14" fontId="41" numFmtId="0" xfId="0" applyBorder="1" applyFont="1"/>
    <xf borderId="8" fillId="13" fontId="43" numFmtId="0" xfId="0" applyBorder="1" applyFont="1"/>
    <xf borderId="0" fillId="0" fontId="44" numFmtId="0" xfId="0" applyFont="1"/>
    <xf borderId="5" fillId="19" fontId="43" numFmtId="0" xfId="0" applyBorder="1" applyFont="1"/>
    <xf borderId="5" fillId="19" fontId="43" numFmtId="173" xfId="0" applyBorder="1" applyFont="1" applyNumberFormat="1"/>
    <xf borderId="0" fillId="0" fontId="52" numFmtId="9" xfId="0" applyAlignment="1" applyFont="1" applyNumberFormat="1">
      <alignment horizontal="center"/>
    </xf>
    <xf borderId="5" fillId="0" fontId="43" numFmtId="0" xfId="0" applyBorder="1" applyFont="1"/>
    <xf borderId="0" fillId="0" fontId="41" numFmtId="0" xfId="0" applyAlignment="1" applyFont="1">
      <alignment horizontal="right"/>
    </xf>
    <xf borderId="5" fillId="0" fontId="38" numFmtId="0" xfId="0" applyBorder="1" applyFont="1"/>
    <xf borderId="5" fillId="0" fontId="35" numFmtId="173" xfId="0" applyBorder="1" applyFont="1" applyNumberFormat="1"/>
    <xf borderId="5" fillId="15" fontId="41" numFmtId="0" xfId="0" applyBorder="1" applyFont="1"/>
    <xf borderId="8" fillId="15" fontId="48" numFmtId="0" xfId="0" applyBorder="1" applyFont="1"/>
    <xf borderId="5" fillId="17" fontId="53" numFmtId="173" xfId="0" applyBorder="1" applyFont="1" applyNumberFormat="1"/>
    <xf borderId="5" fillId="15" fontId="54" numFmtId="0" xfId="0" applyBorder="1" applyFont="1"/>
    <xf borderId="5" fillId="0" fontId="51" numFmtId="173" xfId="0" applyBorder="1" applyFont="1" applyNumberFormat="1"/>
    <xf borderId="0" fillId="0" fontId="55" numFmtId="0" xfId="0" applyFont="1"/>
    <xf borderId="0" fillId="0" fontId="56" numFmtId="173" xfId="0" applyFont="1" applyNumberFormat="1"/>
    <xf borderId="0" fillId="0" fontId="44" numFmtId="173" xfId="0" applyFont="1" applyNumberFormat="1"/>
    <xf borderId="0" fillId="0" fontId="43" numFmtId="173" xfId="0" applyFont="1" applyNumberFormat="1"/>
    <xf borderId="0" fillId="0" fontId="29" numFmtId="0" xfId="0" applyFont="1"/>
    <xf borderId="9" fillId="14" fontId="37" numFmtId="0" xfId="0" applyAlignment="1" applyBorder="1" applyFont="1">
      <alignment horizontal="center"/>
    </xf>
    <xf borderId="0" fillId="0" fontId="29" numFmtId="0" xfId="0" applyAlignment="1" applyFont="1">
      <alignment horizontal="center"/>
    </xf>
    <xf borderId="17" fillId="0" fontId="29" numFmtId="0" xfId="0" applyBorder="1" applyFont="1"/>
    <xf borderId="17" fillId="0" fontId="29" numFmtId="0" xfId="0" applyAlignment="1" applyBorder="1" applyFont="1">
      <alignment horizontal="left"/>
    </xf>
    <xf borderId="0" fillId="0" fontId="29" numFmtId="179" xfId="0" applyFont="1" applyNumberFormat="1"/>
    <xf borderId="18" fillId="0" fontId="29" numFmtId="0" xfId="0" applyBorder="1" applyFont="1"/>
    <xf borderId="19" fillId="0" fontId="29" numFmtId="0" xfId="0" applyAlignment="1" applyBorder="1" applyFont="1">
      <alignment horizontal="left"/>
    </xf>
    <xf borderId="0" fillId="0" fontId="29" numFmtId="0" xfId="0" applyAlignment="1" applyFont="1">
      <alignment readingOrder="0"/>
    </xf>
    <xf borderId="20" fillId="0" fontId="29" numFmtId="0" xfId="0" applyAlignment="1" applyBorder="1" applyFont="1">
      <alignment horizontal="left"/>
    </xf>
    <xf borderId="0" fillId="0" fontId="2" numFmtId="164" xfId="0" applyFont="1" applyNumberFormat="1"/>
    <xf borderId="9" fillId="28" fontId="51" numFmtId="0" xfId="0" applyBorder="1" applyFont="1"/>
    <xf borderId="9" fillId="19" fontId="37" numFmtId="0" xfId="0" applyBorder="1" applyFont="1"/>
    <xf borderId="0" fillId="0" fontId="29" numFmtId="173" xfId="0" applyFont="1" applyNumberFormat="1"/>
    <xf borderId="0" fillId="0" fontId="29" numFmtId="170" xfId="0" applyFont="1" applyNumberFormat="1"/>
    <xf borderId="0" fillId="0" fontId="37" numFmtId="0" xfId="0" applyAlignment="1" applyFont="1">
      <alignment horizontal="left"/>
    </xf>
    <xf borderId="0" fillId="0" fontId="37" numFmtId="173" xfId="0" applyFont="1" applyNumberFormat="1"/>
    <xf borderId="0" fillId="0" fontId="29" numFmtId="1" xfId="0" applyFont="1" applyNumberFormat="1"/>
    <xf borderId="0" fillId="0" fontId="29" numFmtId="0" xfId="0" applyAlignment="1" applyFont="1">
      <alignment horizontal="left"/>
    </xf>
    <xf borderId="9" fillId="30" fontId="43" numFmtId="0" xfId="0" applyAlignment="1" applyBorder="1" applyFill="1" applyFont="1">
      <alignment horizontal="center"/>
    </xf>
    <xf borderId="5" fillId="30" fontId="57" numFmtId="0" xfId="0" applyAlignment="1" applyBorder="1" applyFont="1">
      <alignment horizontal="center"/>
    </xf>
    <xf borderId="9" fillId="13" fontId="43" numFmtId="0" xfId="0" applyAlignment="1" applyBorder="1" applyFont="1">
      <alignment horizontal="center"/>
    </xf>
    <xf borderId="9" fillId="13" fontId="43" numFmtId="0" xfId="0" applyBorder="1" applyFont="1"/>
    <xf borderId="5" fillId="0" fontId="58" numFmtId="0" xfId="0" applyAlignment="1" applyBorder="1" applyFont="1">
      <alignment horizontal="center"/>
    </xf>
    <xf borderId="5" fillId="31" fontId="58" numFmtId="0" xfId="0" applyAlignment="1" applyBorder="1" applyFill="1" applyFont="1">
      <alignment horizontal="center"/>
    </xf>
    <xf borderId="21" fillId="0" fontId="29" numFmtId="0" xfId="0" applyBorder="1" applyFont="1"/>
    <xf borderId="22" fillId="0" fontId="29" numFmtId="0" xfId="0" applyBorder="1" applyFont="1"/>
    <xf borderId="5" fillId="20" fontId="58" numFmtId="0" xfId="0" applyAlignment="1" applyBorder="1" applyFont="1">
      <alignment horizontal="center"/>
    </xf>
    <xf borderId="5" fillId="9" fontId="58" numFmtId="0" xfId="0" applyAlignment="1" applyBorder="1" applyFont="1">
      <alignment horizontal="center"/>
    </xf>
    <xf borderId="5" fillId="8" fontId="58" numFmtId="0" xfId="0" applyAlignment="1" applyBorder="1" applyFont="1">
      <alignment horizontal="center"/>
    </xf>
    <xf borderId="5" fillId="14" fontId="58" numFmtId="0" xfId="0" applyAlignment="1" applyBorder="1" applyFont="1">
      <alignment horizontal="center"/>
    </xf>
    <xf borderId="5" fillId="0" fontId="57" numFmtId="0" xfId="0" applyAlignment="1" applyBorder="1" applyFont="1">
      <alignment horizontal="center"/>
    </xf>
    <xf borderId="5" fillId="31" fontId="57" numFmtId="0" xfId="0" applyAlignment="1" applyBorder="1" applyFont="1">
      <alignment horizontal="center"/>
    </xf>
    <xf borderId="5" fillId="15" fontId="43" numFmtId="0" xfId="0" applyAlignment="1" applyBorder="1" applyFont="1">
      <alignment horizontal="center" vertical="center"/>
    </xf>
    <xf borderId="5" fillId="15" fontId="59" numFmtId="0" xfId="0" applyAlignment="1" applyBorder="1" applyFont="1">
      <alignment horizontal="center" vertical="center"/>
    </xf>
    <xf borderId="5" fillId="0" fontId="43" numFmtId="0" xfId="0" applyAlignment="1" applyBorder="1" applyFont="1">
      <alignment horizontal="center" vertical="center"/>
    </xf>
    <xf borderId="0" fillId="0" fontId="43" numFmtId="0" xfId="0" applyAlignment="1" applyFont="1">
      <alignment horizontal="center" vertical="center"/>
    </xf>
    <xf borderId="9" fillId="32" fontId="41" numFmtId="0" xfId="0" applyBorder="1" applyFill="1" applyFont="1"/>
    <xf borderId="9" fillId="32" fontId="58" numFmtId="16" xfId="0" applyAlignment="1" applyBorder="1" applyFont="1" applyNumberFormat="1">
      <alignment horizontal="right"/>
    </xf>
    <xf borderId="9" fillId="32" fontId="60" numFmtId="0" xfId="0" applyBorder="1" applyFont="1"/>
    <xf borderId="9" fillId="32" fontId="60" numFmtId="0" xfId="0" applyAlignment="1" applyBorder="1" applyFont="1">
      <alignment horizontal="right"/>
    </xf>
    <xf borderId="9" fillId="15" fontId="60" numFmtId="0" xfId="0" applyAlignment="1" applyBorder="1" applyFont="1">
      <alignment horizontal="right"/>
    </xf>
    <xf borderId="9" fillId="32" fontId="60" numFmtId="164" xfId="0" applyAlignment="1" applyBorder="1" applyFont="1" applyNumberFormat="1">
      <alignment horizontal="right"/>
    </xf>
    <xf borderId="9" fillId="32" fontId="61" numFmtId="182" xfId="0" applyAlignment="1" applyBorder="1" applyFont="1" applyNumberFormat="1">
      <alignment horizontal="center"/>
    </xf>
    <xf borderId="9" fillId="32" fontId="62" numFmtId="0" xfId="0" applyAlignment="1" applyBorder="1" applyFont="1">
      <alignment horizontal="left"/>
    </xf>
    <xf borderId="9" fillId="32" fontId="59" numFmtId="0" xfId="0" applyAlignment="1" applyBorder="1" applyFont="1">
      <alignment horizontal="right"/>
    </xf>
    <xf borderId="9" fillId="32" fontId="58" numFmtId="0" xfId="0" applyAlignment="1" applyBorder="1" applyFont="1">
      <alignment horizontal="right"/>
    </xf>
    <xf borderId="9" fillId="15" fontId="58" numFmtId="0" xfId="0" applyAlignment="1" applyBorder="1" applyFont="1">
      <alignment horizontal="right"/>
    </xf>
    <xf borderId="9" fillId="32" fontId="60" numFmtId="164" xfId="0" applyBorder="1" applyFont="1" applyNumberFormat="1"/>
    <xf borderId="9" fillId="32" fontId="60" numFmtId="0" xfId="0" applyAlignment="1" applyBorder="1" applyFont="1">
      <alignment horizontal="right" readingOrder="0"/>
    </xf>
    <xf borderId="9" fillId="15" fontId="59" numFmtId="0" xfId="0" applyAlignment="1" applyBorder="1" applyFont="1">
      <alignment horizontal="right"/>
    </xf>
    <xf borderId="9" fillId="32" fontId="43" numFmtId="0" xfId="0" applyBorder="1" applyFont="1"/>
    <xf borderId="9" fillId="32" fontId="60" numFmtId="0" xfId="0" applyAlignment="1" applyBorder="1" applyFont="1">
      <alignment horizontal="left"/>
    </xf>
    <xf borderId="9" fillId="32" fontId="58" numFmtId="0" xfId="0" applyBorder="1" applyFont="1"/>
    <xf borderId="9" fillId="15" fontId="60" numFmtId="0" xfId="0" applyBorder="1" applyFont="1"/>
    <xf borderId="9" fillId="32" fontId="63" numFmtId="0" xfId="0" applyBorder="1" applyFont="1"/>
    <xf borderId="9" fillId="32" fontId="57" numFmtId="0" xfId="0" applyBorder="1" applyFont="1"/>
    <xf borderId="9" fillId="15" fontId="58" numFmtId="0" xfId="0" applyBorder="1" applyFont="1"/>
    <xf borderId="9" fillId="32" fontId="58" numFmtId="164" xfId="0" applyBorder="1" applyFont="1" applyNumberFormat="1"/>
    <xf borderId="9" fillId="32" fontId="58" numFmtId="164" xfId="0" applyAlignment="1" applyBorder="1" applyFont="1" applyNumberFormat="1">
      <alignment horizontal="right"/>
    </xf>
    <xf borderId="9" fillId="32" fontId="60" numFmtId="16" xfId="0" applyAlignment="1" applyBorder="1" applyFont="1" applyNumberFormat="1">
      <alignment horizontal="right"/>
    </xf>
    <xf borderId="9" fillId="32" fontId="64" numFmtId="0" xfId="0" applyBorder="1" applyFont="1"/>
    <xf borderId="9" fillId="15" fontId="64" numFmtId="0" xfId="0" applyBorder="1" applyFont="1"/>
    <xf borderId="9" fillId="32" fontId="64" numFmtId="164" xfId="0" applyBorder="1" applyFont="1" applyNumberFormat="1"/>
    <xf borderId="9" fillId="32" fontId="63" numFmtId="0" xfId="0" applyAlignment="1" applyBorder="1" applyFont="1">
      <alignment horizontal="left"/>
    </xf>
    <xf borderId="9" fillId="32" fontId="65" numFmtId="16" xfId="0" applyAlignment="1" applyBorder="1" applyFont="1" applyNumberFormat="1">
      <alignment horizontal="right"/>
    </xf>
    <xf borderId="9" fillId="32" fontId="65" numFmtId="0" xfId="0" applyBorder="1" applyFont="1"/>
    <xf borderId="9" fillId="32" fontId="65" numFmtId="0" xfId="0" applyAlignment="1" applyBorder="1" applyFont="1">
      <alignment horizontal="right"/>
    </xf>
    <xf borderId="9" fillId="15" fontId="65" numFmtId="0" xfId="0" applyAlignment="1" applyBorder="1" applyFont="1">
      <alignment horizontal="right"/>
    </xf>
    <xf borderId="9" fillId="32" fontId="66" numFmtId="0" xfId="0" applyBorder="1" applyFont="1"/>
    <xf borderId="9" fillId="32" fontId="65" numFmtId="164" xfId="0" applyAlignment="1" applyBorder="1" applyFont="1" applyNumberFormat="1">
      <alignment horizontal="right"/>
    </xf>
    <xf borderId="9" fillId="32" fontId="58" numFmtId="183" xfId="0" applyBorder="1" applyFont="1" applyNumberFormat="1"/>
    <xf borderId="9" fillId="32" fontId="58" numFmtId="184" xfId="0" applyAlignment="1" applyBorder="1" applyFont="1" applyNumberFormat="1">
      <alignment horizontal="right"/>
    </xf>
    <xf borderId="9" fillId="32" fontId="58" numFmtId="185" xfId="0" applyBorder="1" applyFont="1" applyNumberFormat="1"/>
    <xf borderId="9" fillId="15" fontId="41" numFmtId="0" xfId="0" applyBorder="1" applyFont="1"/>
    <xf borderId="9" fillId="32" fontId="41" numFmtId="0" xfId="0" applyAlignment="1" applyBorder="1" applyFont="1">
      <alignment readingOrder="0"/>
    </xf>
    <xf borderId="5" fillId="10" fontId="67" numFmtId="0" xfId="0" applyAlignment="1" applyBorder="1" applyFont="1">
      <alignment horizontal="right"/>
    </xf>
    <xf borderId="5" fillId="14" fontId="68" numFmtId="0" xfId="0" applyBorder="1" applyFont="1"/>
    <xf borderId="5" fillId="14" fontId="38" numFmtId="0" xfId="0" applyBorder="1" applyFont="1"/>
    <xf borderId="5" fillId="0" fontId="69" numFmtId="16" xfId="0" applyAlignment="1" applyBorder="1" applyFont="1" applyNumberFormat="1">
      <alignment horizontal="right"/>
    </xf>
    <xf borderId="5" fillId="0" fontId="70" numFmtId="0" xfId="0" applyBorder="1" applyFont="1"/>
    <xf borderId="5" fillId="0" fontId="70" numFmtId="0" xfId="0" applyAlignment="1" applyBorder="1" applyFont="1">
      <alignment horizontal="right"/>
    </xf>
    <xf borderId="5" fillId="10" fontId="70" numFmtId="0" xfId="0" applyBorder="1" applyFont="1"/>
    <xf borderId="5" fillId="10" fontId="68" numFmtId="0" xfId="0" applyAlignment="1" applyBorder="1" applyFont="1">
      <alignment horizontal="right"/>
    </xf>
    <xf borderId="0" fillId="0" fontId="32" numFmtId="0" xfId="0" applyAlignment="1" applyFont="1">
      <alignment horizontal="left"/>
    </xf>
    <xf borderId="5" fillId="0" fontId="68" numFmtId="0" xfId="0" applyAlignment="1" applyBorder="1" applyFont="1">
      <alignment horizontal="right"/>
    </xf>
    <xf borderId="7" fillId="0" fontId="71" numFmtId="0" xfId="0" applyAlignment="1" applyBorder="1" applyFont="1">
      <alignment horizontal="right"/>
    </xf>
    <xf borderId="3" fillId="0" fontId="71" numFmtId="0" xfId="0" applyAlignment="1" applyBorder="1" applyFont="1">
      <alignment horizontal="right"/>
    </xf>
    <xf borderId="5" fillId="0" fontId="71" numFmtId="16" xfId="0" applyAlignment="1" applyBorder="1" applyFont="1" applyNumberFormat="1">
      <alignment horizontal="right"/>
    </xf>
    <xf borderId="7" fillId="0" fontId="70" numFmtId="0" xfId="0" applyBorder="1" applyFont="1"/>
    <xf borderId="0" fillId="0" fontId="2" numFmtId="184" xfId="0" applyFont="1" applyNumberFormat="1"/>
    <xf borderId="5" fillId="0" fontId="70" numFmtId="0" xfId="0" applyAlignment="1" applyBorder="1" applyFont="1">
      <alignment horizontal="right" readingOrder="0"/>
    </xf>
    <xf borderId="5" fillId="14" fontId="69" numFmtId="16" xfId="0" applyAlignment="1" applyBorder="1" applyFont="1" applyNumberFormat="1">
      <alignment horizontal="right"/>
    </xf>
    <xf borderId="5" fillId="14" fontId="70" numFmtId="0" xfId="0" applyBorder="1" applyFont="1"/>
    <xf borderId="5" fillId="14" fontId="70" numFmtId="0" xfId="0" applyAlignment="1" applyBorder="1" applyFont="1">
      <alignment horizontal="right"/>
    </xf>
    <xf borderId="5" fillId="14" fontId="68" numFmtId="0" xfId="0" applyAlignment="1" applyBorder="1" applyFont="1">
      <alignment horizontal="right"/>
    </xf>
    <xf borderId="5" fillId="0" fontId="70" numFmtId="0" xfId="0" applyAlignment="1" applyBorder="1" applyFont="1">
      <alignment horizontal="left"/>
    </xf>
    <xf borderId="5" fillId="0" fontId="69" numFmtId="0" xfId="0" applyBorder="1" applyFont="1"/>
    <xf borderId="9" fillId="16" fontId="72" numFmtId="0" xfId="0" applyBorder="1" applyFont="1"/>
    <xf borderId="5" fillId="0" fontId="73" numFmtId="0" xfId="0" applyBorder="1" applyFont="1"/>
    <xf borderId="7" fillId="0" fontId="71" numFmtId="0" xfId="0" applyBorder="1" applyFont="1"/>
    <xf borderId="5" fillId="0" fontId="67" numFmtId="0" xfId="0" applyAlignment="1" applyBorder="1" applyFont="1">
      <alignment horizontal="right"/>
    </xf>
    <xf borderId="5" fillId="0" fontId="67" numFmtId="16" xfId="0" applyAlignment="1" applyBorder="1" applyFont="1" applyNumberFormat="1">
      <alignment horizontal="right"/>
    </xf>
    <xf borderId="5" fillId="0" fontId="74" numFmtId="0" xfId="0" applyBorder="1" applyFont="1"/>
    <xf borderId="4" fillId="0" fontId="67" numFmtId="16" xfId="0" applyAlignment="1" applyBorder="1" applyFont="1" applyNumberFormat="1">
      <alignment horizontal="right"/>
    </xf>
    <xf borderId="5" fillId="0" fontId="71" numFmtId="0" xfId="0" applyBorder="1" applyFont="1"/>
    <xf borderId="23" fillId="16" fontId="75" numFmtId="0" xfId="0" applyBorder="1" applyFont="1"/>
    <xf borderId="23" fillId="16" fontId="75" numFmtId="0" xfId="0" applyAlignment="1" applyBorder="1" applyFont="1">
      <alignment horizontal="left"/>
    </xf>
    <xf borderId="5" fillId="20" fontId="69" numFmtId="0" xfId="0" applyBorder="1" applyFont="1"/>
    <xf borderId="9" fillId="16" fontId="76" numFmtId="0" xfId="0" applyBorder="1" applyFont="1"/>
    <xf borderId="4" fillId="0" fontId="71" numFmtId="16" xfId="0" applyAlignment="1" applyBorder="1" applyFont="1" applyNumberFormat="1">
      <alignment horizontal="right"/>
    </xf>
    <xf borderId="3" fillId="0" fontId="71" numFmtId="0" xfId="0" applyBorder="1" applyFont="1"/>
    <xf borderId="4" fillId="0" fontId="71" numFmtId="0" xfId="0" applyBorder="1" applyFont="1"/>
    <xf borderId="0" fillId="0" fontId="71" numFmtId="0" xfId="0" applyAlignment="1" applyFont="1">
      <alignment shrinkToFit="0" wrapText="1"/>
    </xf>
    <xf borderId="5" fillId="0" fontId="71" numFmtId="0" xfId="0" applyAlignment="1" applyBorder="1" applyFont="1">
      <alignment horizontal="right"/>
    </xf>
    <xf borderId="5" fillId="0" fontId="69" numFmtId="183" xfId="0" applyBorder="1" applyFont="1" applyNumberFormat="1"/>
    <xf borderId="24" fillId="0" fontId="69" numFmtId="183" xfId="0" applyBorder="1" applyFont="1" applyNumberFormat="1"/>
    <xf borderId="24" fillId="0" fontId="69" numFmtId="0" xfId="0" applyBorder="1" applyFont="1"/>
    <xf borderId="25" fillId="0" fontId="69" numFmtId="0" xfId="0" applyBorder="1" applyFont="1"/>
    <xf borderId="26" fillId="0" fontId="69" numFmtId="183" xfId="0" applyBorder="1" applyFont="1" applyNumberFormat="1"/>
    <xf borderId="6" fillId="0" fontId="69" numFmtId="0" xfId="0" applyBorder="1" applyFont="1"/>
    <xf borderId="26" fillId="10" fontId="67" numFmtId="0" xfId="0" applyAlignment="1" applyBorder="1" applyFont="1">
      <alignment horizontal="right"/>
    </xf>
    <xf borderId="8" fillId="10" fontId="68" numFmtId="0" xfId="0" applyAlignment="1" applyBorder="1" applyFont="1">
      <alignment horizontal="right"/>
    </xf>
    <xf borderId="26" fillId="0" fontId="69" numFmtId="0" xfId="0" applyBorder="1" applyFont="1"/>
    <xf borderId="27" fillId="0" fontId="69" numFmtId="0" xfId="0" applyBorder="1" applyFont="1"/>
    <xf borderId="5" fillId="0" fontId="71" numFmtId="184" xfId="0" applyAlignment="1" applyBorder="1" applyFont="1" applyNumberFormat="1">
      <alignment horizontal="right"/>
    </xf>
    <xf borderId="5" fillId="0" fontId="69" numFmtId="184" xfId="0" applyBorder="1" applyFont="1" applyNumberFormat="1"/>
    <xf borderId="5" fillId="0" fontId="69" numFmtId="185" xfId="0" applyBorder="1" applyFont="1" applyNumberFormat="1"/>
    <xf borderId="0" fillId="0" fontId="69" numFmtId="0" xfId="0" applyFont="1"/>
    <xf borderId="5" fillId="14" fontId="71" numFmtId="186" xfId="0" applyAlignment="1" applyBorder="1" applyFont="1" applyNumberFormat="1">
      <alignment horizontal="right"/>
    </xf>
    <xf borderId="5" fillId="14" fontId="71" numFmtId="0" xfId="0" applyBorder="1" applyFont="1"/>
    <xf borderId="5" fillId="14" fontId="71" numFmtId="0" xfId="0" applyAlignment="1" applyBorder="1" applyFont="1">
      <alignment horizontal="right"/>
    </xf>
    <xf borderId="5" fillId="0" fontId="71" numFmtId="186" xfId="0" applyAlignment="1" applyBorder="1" applyFont="1" applyNumberFormat="1">
      <alignment horizontal="right"/>
    </xf>
    <xf borderId="5" fillId="14" fontId="69" numFmtId="0" xfId="0" applyBorder="1" applyFont="1"/>
    <xf borderId="5" fillId="14" fontId="71" numFmtId="184" xfId="0" applyAlignment="1" applyBorder="1" applyFont="1" applyNumberFormat="1">
      <alignment horizontal="right"/>
    </xf>
    <xf borderId="5" fillId="31" fontId="71" numFmtId="184" xfId="0" applyAlignment="1" applyBorder="1" applyFont="1" applyNumberFormat="1">
      <alignment horizontal="right"/>
    </xf>
    <xf borderId="5" fillId="31" fontId="69" numFmtId="0" xfId="0" applyBorder="1" applyFont="1"/>
    <xf borderId="5" fillId="31" fontId="74" numFmtId="0" xfId="0" applyBorder="1" applyFont="1"/>
    <xf borderId="0" fillId="0" fontId="71" numFmtId="0" xfId="0" applyFont="1"/>
    <xf borderId="28" fillId="14" fontId="71" numFmtId="0" xfId="0" applyBorder="1" applyFont="1"/>
    <xf borderId="4" fillId="0" fontId="69" numFmtId="0" xfId="0" applyBorder="1" applyFont="1"/>
    <xf borderId="4" fillId="0" fontId="71" numFmtId="0" xfId="0" applyAlignment="1" applyBorder="1" applyFont="1">
      <alignment horizontal="right"/>
    </xf>
    <xf borderId="29" fillId="31" fontId="71" numFmtId="0" xfId="0" applyBorder="1" applyFont="1"/>
    <xf borderId="29" fillId="20" fontId="71" numFmtId="0" xfId="0" applyBorder="1" applyFont="1"/>
    <xf borderId="30" fillId="20" fontId="71" numFmtId="0" xfId="0" applyBorder="1" applyFont="1"/>
    <xf borderId="31" fillId="0" fontId="69" numFmtId="0" xfId="0" applyBorder="1" applyFont="1"/>
    <xf borderId="30" fillId="14" fontId="71" numFmtId="0" xfId="0" applyBorder="1" applyFont="1"/>
    <xf borderId="5" fillId="20" fontId="71" numFmtId="184" xfId="0" applyAlignment="1" applyBorder="1" applyFont="1" applyNumberFormat="1">
      <alignment horizontal="right"/>
    </xf>
    <xf borderId="30" fillId="20" fontId="71" numFmtId="0" xfId="0" applyAlignment="1" applyBorder="1" applyFont="1">
      <alignment horizontal="right"/>
    </xf>
    <xf borderId="5" fillId="20" fontId="71" numFmtId="0" xfId="0" applyAlignment="1" applyBorder="1" applyFont="1">
      <alignment horizontal="right"/>
    </xf>
    <xf borderId="29" fillId="20" fontId="69" numFmtId="0" xfId="0" applyBorder="1" applyFont="1"/>
    <xf borderId="30" fillId="20" fontId="69" numFmtId="0" xfId="0" applyBorder="1" applyFont="1"/>
    <xf borderId="5" fillId="31" fontId="71" numFmtId="0" xfId="0" applyBorder="1" applyFont="1"/>
    <xf borderId="5" fillId="0" fontId="71" numFmtId="0" xfId="0" applyAlignment="1" applyBorder="1" applyFont="1">
      <alignment horizontal="left"/>
    </xf>
    <xf borderId="5" fillId="0" fontId="71" numFmtId="0" xfId="0" applyAlignment="1" applyBorder="1" applyFont="1">
      <alignment readingOrder="0"/>
    </xf>
    <xf borderId="5" fillId="0" fontId="69" numFmtId="0" xfId="0" applyAlignment="1" applyBorder="1" applyFont="1">
      <alignment horizontal="left"/>
    </xf>
    <xf borderId="4" fillId="0" fontId="69" numFmtId="0" xfId="0" applyAlignment="1" applyBorder="1" applyFont="1">
      <alignment horizontal="left"/>
    </xf>
    <xf borderId="30" fillId="16" fontId="71" numFmtId="0" xfId="0" applyAlignment="1" applyBorder="1" applyFont="1">
      <alignment horizontal="right"/>
    </xf>
    <xf borderId="30" fillId="16" fontId="71" numFmtId="0" xfId="0" applyBorder="1" applyFont="1"/>
    <xf borderId="5" fillId="16" fontId="71" numFmtId="0" xfId="0" applyAlignment="1" applyBorder="1" applyFont="1">
      <alignment horizontal="right"/>
    </xf>
    <xf borderId="4" fillId="0" fontId="77" numFmtId="0" xfId="0" applyAlignment="1" applyBorder="1" applyFont="1">
      <alignment horizontal="right"/>
    </xf>
    <xf borderId="30" fillId="31" fontId="71" numFmtId="0" xfId="0" applyBorder="1" applyFont="1"/>
    <xf borderId="2" fillId="0" fontId="71" numFmtId="0" xfId="0" applyBorder="1" applyFont="1"/>
    <xf borderId="6" fillId="0" fontId="71" numFmtId="0" xfId="0" applyAlignment="1" applyBorder="1" applyFont="1">
      <alignment horizontal="right"/>
    </xf>
    <xf borderId="5" fillId="33" fontId="71" numFmtId="0" xfId="0" applyAlignment="1" applyBorder="1" applyFill="1" applyFont="1">
      <alignment horizontal="right"/>
    </xf>
    <xf borderId="5" fillId="33" fontId="71" numFmtId="0" xfId="0" applyBorder="1" applyFont="1"/>
    <xf borderId="5" fillId="14" fontId="78" numFmtId="0" xfId="0" applyAlignment="1" applyBorder="1" applyFont="1">
      <alignment horizontal="left" shrinkToFit="0" wrapText="1"/>
    </xf>
    <xf borderId="5" fillId="14" fontId="76" numFmtId="0" xfId="0" applyAlignment="1" applyBorder="1" applyFont="1">
      <alignment horizontal="left" shrinkToFit="0" wrapText="1"/>
    </xf>
    <xf borderId="5" fillId="31" fontId="71" numFmtId="0" xfId="0" applyAlignment="1" applyBorder="1" applyFont="1">
      <alignment horizontal="right"/>
    </xf>
    <xf borderId="24" fillId="0" fontId="71" numFmtId="0" xfId="0" applyBorder="1" applyFont="1"/>
    <xf borderId="24" fillId="0" fontId="71" numFmtId="0" xfId="0" applyAlignment="1" applyBorder="1" applyFont="1">
      <alignment horizontal="right"/>
    </xf>
    <xf borderId="5" fillId="14" fontId="77" numFmtId="0" xfId="0" applyAlignment="1" applyBorder="1" applyFont="1">
      <alignment horizontal="right"/>
    </xf>
    <xf borderId="32" fillId="14" fontId="71" numFmtId="0" xfId="0" applyBorder="1" applyFont="1"/>
    <xf borderId="8" fillId="14" fontId="71" numFmtId="0" xfId="0" applyBorder="1" applyFont="1"/>
    <xf borderId="5" fillId="0" fontId="69" numFmtId="0" xfId="0" applyAlignment="1" applyBorder="1" applyFont="1">
      <alignment horizontal="right"/>
    </xf>
    <xf borderId="5" fillId="9" fontId="71" numFmtId="0" xfId="0" applyBorder="1" applyFont="1"/>
    <xf borderId="8" fillId="9" fontId="71" numFmtId="0" xfId="0" applyBorder="1" applyFont="1"/>
    <xf borderId="28" fillId="9" fontId="71" numFmtId="0" xfId="0" applyBorder="1" applyFont="1"/>
    <xf borderId="28" fillId="9" fontId="71" numFmtId="0" xfId="0" applyAlignment="1" applyBorder="1" applyFont="1">
      <alignment horizontal="right"/>
    </xf>
    <xf borderId="33" fillId="9" fontId="71" numFmtId="0" xfId="0" applyAlignment="1" applyBorder="1" applyFont="1">
      <alignment horizontal="right"/>
    </xf>
    <xf borderId="5" fillId="0" fontId="70" numFmtId="185" xfId="0" applyAlignment="1" applyBorder="1" applyFont="1" applyNumberFormat="1">
      <alignment horizontal="right"/>
    </xf>
    <xf borderId="6" fillId="0" fontId="71" numFmtId="0" xfId="0" applyBorder="1" applyFont="1"/>
    <xf borderId="5" fillId="34" fontId="71" numFmtId="184" xfId="0" applyAlignment="1" applyBorder="1" applyFill="1" applyFont="1" applyNumberFormat="1">
      <alignment horizontal="right"/>
    </xf>
    <xf borderId="5" fillId="34" fontId="71" numFmtId="0" xfId="0" applyBorder="1" applyFont="1"/>
    <xf borderId="5" fillId="34" fontId="71" numFmtId="0" xfId="0" applyAlignment="1" applyBorder="1" applyFont="1">
      <alignment horizontal="right"/>
    </xf>
    <xf borderId="5" fillId="20" fontId="71" numFmtId="0" xfId="0" applyBorder="1" applyFont="1"/>
    <xf borderId="5" fillId="35" fontId="71" numFmtId="184" xfId="0" applyAlignment="1" applyBorder="1" applyFill="1" applyFont="1" applyNumberFormat="1">
      <alignment horizontal="right"/>
    </xf>
    <xf borderId="5" fillId="35" fontId="71" numFmtId="0" xfId="0" applyBorder="1" applyFont="1"/>
    <xf borderId="5" fillId="36" fontId="71" numFmtId="184" xfId="0" applyAlignment="1" applyBorder="1" applyFill="1" applyFont="1" applyNumberFormat="1">
      <alignment horizontal="right"/>
    </xf>
    <xf borderId="5" fillId="36" fontId="71" numFmtId="0" xfId="0" applyBorder="1" applyFont="1"/>
    <xf borderId="5" fillId="37" fontId="71" numFmtId="184" xfId="0" applyAlignment="1" applyBorder="1" applyFill="1" applyFont="1" applyNumberFormat="1">
      <alignment horizontal="right"/>
    </xf>
    <xf borderId="5" fillId="37" fontId="71" numFmtId="0" xfId="0" applyBorder="1" applyFont="1"/>
    <xf borderId="5" fillId="37" fontId="76" numFmtId="0" xfId="0" applyBorder="1" applyFont="1"/>
    <xf borderId="0" fillId="0" fontId="26" numFmtId="49" xfId="0" applyAlignment="1" applyFont="1" applyNumberFormat="1">
      <alignment horizontal="left" readingOrder="0" shrinkToFit="0" vertical="center" wrapText="0"/>
    </xf>
    <xf borderId="0" fillId="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0" fontId="26" numFmtId="0" xfId="0" applyFont="1"/>
    <xf borderId="0" fillId="0" fontId="18" numFmtId="0" xfId="0" applyAlignment="1" applyFont="1">
      <alignment shrinkToFit="0" vertical="center" wrapText="0"/>
    </xf>
    <xf borderId="0" fillId="0" fontId="18" numFmtId="0" xfId="0" applyAlignment="1" applyFont="1">
      <alignment shrinkToFit="0" vertical="center" wrapText="0"/>
    </xf>
    <xf borderId="0" fillId="24" fontId="3" numFmtId="0" xfId="0" applyAlignment="1" applyFont="1">
      <alignment horizontal="left" readingOrder="0" shrinkToFit="0" vertical="center" wrapText="0"/>
    </xf>
    <xf borderId="0" fillId="0" fontId="2" numFmtId="178" xfId="0" applyAlignment="1" applyFont="1" applyNumberFormat="1">
      <alignment readingOrder="0"/>
    </xf>
    <xf quotePrefix="1" borderId="0" fillId="0" fontId="2" numFmtId="0" xfId="0" applyAlignment="1" applyFont="1">
      <alignment readingOrder="0"/>
    </xf>
    <xf borderId="0" fillId="24" fontId="31" numFmtId="0" xfId="0" applyAlignment="1" applyFont="1">
      <alignment readingOrder="0"/>
    </xf>
    <xf borderId="12" fillId="0" fontId="8" numFmtId="16" xfId="0" applyAlignment="1" applyBorder="1" applyFont="1" applyNumberFormat="1">
      <alignment horizontal="center" readingOrder="0" vertical="bottom"/>
    </xf>
    <xf borderId="0" fillId="0" fontId="18" numFmtId="0" xfId="0" applyAlignment="1" applyFont="1">
      <alignment readingOrder="0"/>
    </xf>
    <xf borderId="0" fillId="0" fontId="32" numFmtId="173" xfId="0" applyAlignment="1" applyFont="1" applyNumberFormat="1">
      <alignment readingOrder="0" shrinkToFit="0" vertical="bottom" wrapText="0"/>
    </xf>
    <xf borderId="0" fillId="0" fontId="18" numFmtId="0" xfId="0" applyAlignment="1" applyFont="1">
      <alignment readingOrder="0"/>
    </xf>
    <xf borderId="0" fillId="0" fontId="18" numFmtId="166" xfId="0" applyAlignment="1" applyFont="1" applyNumberFormat="1">
      <alignment readingOrder="0"/>
    </xf>
    <xf borderId="0" fillId="0" fontId="8" numFmtId="0" xfId="0" applyAlignment="1" applyFont="1">
      <alignment readingOrder="0" vertical="bottom"/>
    </xf>
    <xf borderId="0" fillId="0" fontId="33" numFmtId="0" xfId="0" applyAlignment="1" applyFont="1">
      <alignment readingOrder="0" vertical="bottom"/>
    </xf>
    <xf borderId="0" fillId="0" fontId="8" numFmtId="0" xfId="0" applyAlignment="1" applyFont="1">
      <alignment horizontal="left"/>
    </xf>
    <xf borderId="14" fillId="0" fontId="27" numFmtId="0" xfId="0" applyAlignment="1" applyBorder="1" applyFont="1">
      <alignment horizontal="left" readingOrder="0" shrinkToFit="0" vertical="center" wrapText="0"/>
    </xf>
    <xf borderId="0" fillId="0" fontId="10" numFmtId="0" xfId="0" applyAlignment="1" applyFont="1">
      <alignment horizontal="left" shrinkToFit="0" vertical="center" wrapText="0"/>
    </xf>
    <xf borderId="0" fillId="0" fontId="8" numFmtId="0" xfId="0" applyAlignment="1" applyFont="1">
      <alignment shrinkToFit="0" vertical="center" wrapText="0"/>
    </xf>
    <xf borderId="0" fillId="0" fontId="8" numFmtId="0" xfId="0" applyAlignment="1" applyFont="1">
      <alignment readingOrder="0" shrinkToFit="0" vertical="center" wrapText="0"/>
    </xf>
    <xf borderId="0" fillId="0" fontId="18" numFmtId="0" xfId="0" applyFont="1"/>
    <xf borderId="0" fillId="0" fontId="22" numFmtId="0" xfId="0" applyAlignment="1" applyFont="1">
      <alignment readingOrder="0" shrinkToFit="0" vertical="center" wrapText="0"/>
    </xf>
    <xf borderId="0" fillId="0" fontId="22" numFmtId="0" xfId="0" applyAlignment="1" applyFont="1">
      <alignment readingOrder="0" shrinkToFit="0" vertical="bottom" wrapText="0"/>
    </xf>
    <xf borderId="0" fillId="0" fontId="18" numFmtId="0" xfId="0" applyAlignment="1" applyFont="1">
      <alignment readingOrder="0"/>
    </xf>
    <xf borderId="0" fillId="0" fontId="18" numFmtId="0" xfId="0" applyFont="1"/>
    <xf borderId="0" fillId="38" fontId="18" numFmtId="0" xfId="0" applyAlignment="1" applyFill="1" applyFont="1">
      <alignment shrinkToFit="0" vertical="center" wrapText="0"/>
    </xf>
    <xf borderId="0" fillId="38" fontId="18" numFmtId="0" xfId="0" applyAlignment="1" applyFont="1">
      <alignment shrinkToFit="0" vertical="center" wrapText="0"/>
    </xf>
    <xf borderId="0" fillId="16" fontId="79" numFmtId="0" xfId="0" applyAlignment="1" applyFont="1">
      <alignment shrinkToFit="0" vertical="center" wrapText="0"/>
    </xf>
    <xf borderId="0" fillId="0" fontId="18" numFmtId="10" xfId="0" applyAlignment="1" applyFont="1" applyNumberFormat="1">
      <alignment shrinkToFit="0" vertical="center" wrapText="0"/>
    </xf>
    <xf borderId="0" fillId="0" fontId="18" numFmtId="0" xfId="0" applyAlignment="1" applyFont="1">
      <alignment shrinkToFit="0" vertical="center" wrapText="0"/>
    </xf>
    <xf borderId="0" fillId="0" fontId="18" numFmtId="10" xfId="0" applyFont="1" applyNumberFormat="1"/>
    <xf borderId="0" fillId="0" fontId="80" numFmtId="0" xfId="0" applyFont="1"/>
    <xf borderId="0" fillId="0" fontId="71" numFmtId="178" xfId="0" applyFont="1" applyNumberFormat="1"/>
    <xf borderId="0" fillId="9" fontId="71" numFmtId="0" xfId="0" applyFont="1"/>
    <xf borderId="0" fillId="9" fontId="71" numFmtId="187" xfId="0" applyFont="1" applyNumberFormat="1"/>
    <xf borderId="0" fillId="10" fontId="71" numFmtId="0" xfId="0" applyFont="1"/>
    <xf borderId="0" fillId="10" fontId="71" numFmtId="187" xfId="0" applyFont="1" applyNumberFormat="1"/>
    <xf borderId="0" fillId="16" fontId="81" numFmtId="0" xfId="0" applyFont="1"/>
    <xf borderId="0" fillId="0" fontId="77" numFmtId="0" xfId="0" applyFont="1"/>
    <xf borderId="0" fillId="10" fontId="81" numFmtId="0" xfId="0" applyFont="1"/>
    <xf borderId="0" fillId="10" fontId="81" numFmtId="187" xfId="0" applyFont="1" applyNumberFormat="1"/>
    <xf borderId="0" fillId="10" fontId="82" numFmtId="187" xfId="0" applyFont="1" applyNumberFormat="1"/>
    <xf borderId="0" fillId="16" fontId="81" numFmtId="0" xfId="0" applyAlignment="1" applyFont="1">
      <alignment shrinkToFit="0" wrapText="1"/>
    </xf>
    <xf borderId="0" fillId="9" fontId="81" numFmtId="0" xfId="0" applyFont="1"/>
    <xf borderId="0" fillId="9" fontId="81" numFmtId="187" xfId="0" applyFont="1" applyNumberFormat="1"/>
    <xf borderId="0" fillId="16" fontId="83" numFmtId="0" xfId="0" applyFont="1"/>
    <xf borderId="0" fillId="0" fontId="84" numFmtId="0" xfId="0" applyFont="1"/>
    <xf borderId="0" fillId="16" fontId="85" numFmtId="0" xfId="0" applyAlignment="1" applyFont="1">
      <alignment horizontal="right"/>
    </xf>
    <xf borderId="0" fillId="0" fontId="82" numFmtId="0" xfId="0" applyFont="1"/>
    <xf borderId="0" fillId="0" fontId="82" numFmtId="187" xfId="0" applyFont="1" applyNumberFormat="1"/>
    <xf borderId="0" fillId="0" fontId="86" numFmtId="188" xfId="0" applyFont="1" applyNumberFormat="1"/>
    <xf borderId="0" fillId="0" fontId="82" numFmtId="188" xfId="0" applyFont="1" applyNumberFormat="1"/>
  </cellXfs>
  <cellStyles count="1">
    <cellStyle xfId="0" name="Normal" builtinId="0"/>
  </cellStyles>
  <dxfs count="12">
    <dxf>
      <font>
        <b/>
      </font>
      <fill>
        <patternFill patternType="solid">
          <fgColor rgb="FFB6D7A8"/>
          <bgColor rgb="FFB6D7A8"/>
        </patternFill>
      </fill>
      <border/>
    </dxf>
    <dxf>
      <font>
        <b/>
      </font>
      <fill>
        <patternFill patternType="solid">
          <fgColor rgb="FFEA9999"/>
          <bgColor rgb="FFEA9999"/>
        </patternFill>
      </fill>
      <border/>
    </dxf>
    <dxf>
      <font/>
      <fill>
        <patternFill patternType="solid">
          <fgColor rgb="FFCFE2F3"/>
          <bgColor rgb="FFCFE2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69138"/>
          <bgColor rgb="FFE69138"/>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13">
    <tableStyle count="4" pivot="0" name="EXPENSES MASTER-style">
      <tableStyleElement dxfId="4" type="headerRow"/>
      <tableStyleElement dxfId="5" type="firstRowStripe"/>
      <tableStyleElement dxfId="6" type="secondRowStripe"/>
      <tableStyleElement dxfId="7" size="0" type="wholeTable"/>
    </tableStyle>
    <tableStyle count="4" pivot="0" name="PRODUCT_COGS&amp;PRICE-style">
      <tableStyleElement dxfId="4" type="headerRow"/>
      <tableStyleElement dxfId="5" type="firstRowStripe"/>
      <tableStyleElement dxfId="6" type="secondRowStripe"/>
      <tableStyleElement dxfId="7" size="0" type="wholeTable"/>
    </tableStyle>
    <tableStyle count="4" pivot="0" name="ACQUISTI-style">
      <tableStyleElement dxfId="4" type="headerRow"/>
      <tableStyleElement dxfId="5" type="firstRowStripe"/>
      <tableStyleElement dxfId="6" type="secondRowStripe"/>
      <tableStyleElement dxfId="7" size="0" type="wholeTable"/>
    </tableStyle>
    <tableStyle count="4" pivot="0" name="DB_QROMO-style">
      <tableStyleElement dxfId="4" type="headerRow"/>
      <tableStyleElement dxfId="5" type="firstRowStripe"/>
      <tableStyleElement dxfId="6" type="secondRowStripe"/>
      <tableStyleElement dxfId="7" size="0" type="wholeTable"/>
    </tableStyle>
    <tableStyle count="4" pivot="0" name="GIFT_OFFLINE-style">
      <tableStyleElement dxfId="4" type="headerRow"/>
      <tableStyleElement dxfId="5" type="firstRowStripe"/>
      <tableStyleElement dxfId="6" type="secondRowStripe"/>
      <tableStyleElement dxfId="7" size="0" type="wholeTable"/>
    </tableStyle>
    <tableStyle count="4" pivot="0" name="DB Shopify-style">
      <tableStyleElement dxfId="4" type="headerRow"/>
      <tableStyleElement dxfId="5" type="firstRowStripe"/>
      <tableStyleElement dxfId="6" type="secondRowStripe"/>
      <tableStyleElement dxfId="7" size="0" type="wholeTable"/>
    </tableStyle>
    <tableStyle count="4" pivot="0" name="INVENTARIO_PRODOTTI-style">
      <tableStyleElement dxfId="4" type="headerRow"/>
      <tableStyleElement dxfId="5" type="firstRowStripe"/>
      <tableStyleElement dxfId="6" type="secondRowStripe"/>
      <tableStyleElement dxfId="7" size="0" type="wholeTable"/>
    </tableStyle>
    <tableStyle count="4" pivot="0" name="PRODUCT_INTAKE-style">
      <tableStyleElement dxfId="4" type="headerRow"/>
      <tableStyleElement dxfId="5" type="firstRowStripe"/>
      <tableStyleElement dxfId="6" type="secondRowStripe"/>
      <tableStyleElement dxfId="7" size="0" type="wholeTable"/>
    </tableStyle>
    <tableStyle count="2" pivot="0" name="Import-style">
      <tableStyleElement dxfId="5" type="firstRowStripe"/>
      <tableStyleElement dxfId="6" type="secondRowStripe"/>
    </tableStyle>
    <tableStyle count="2" pivot="0" name="Import-style 2">
      <tableStyleElement dxfId="5" type="firstRowStripe"/>
      <tableStyleElement dxfId="6" type="secondRowStripe"/>
    </tableStyle>
    <tableStyle count="2" pivot="0" name="Import-style 3">
      <tableStyleElement dxfId="6" type="firstRowStripe"/>
      <tableStyleElement dxfId="5" type="secondRowStripe"/>
    </tableStyle>
    <tableStyle count="3" pivot="0" name="Ops_Map-style">
      <tableStyleElement dxfId="9" type="headerRow"/>
      <tableStyleElement dxfId="10" type="firstRowStripe"/>
      <tableStyleElement dxfId="11" type="secondRowStripe"/>
    </tableStyle>
    <tableStyle count="4" pivot="0" name="INVENTARIO_MATERIALI-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pivotCacheDefinition" Target="pivotCache/pivotCacheDefinition2.xml"/><Relationship Id="rId23" Type="http://schemas.openxmlformats.org/officeDocument/2006/relationships/worksheet" Target="worksheets/sheet19.xml"/><Relationship Id="rId45"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48" Type="http://schemas.openxmlformats.org/officeDocument/2006/relationships/pivotCacheDefinition" Target="pivotCache/pivotCacheDefinition4.xml"/><Relationship Id="rId25" Type="http://schemas.openxmlformats.org/officeDocument/2006/relationships/worksheet" Target="worksheets/sheet21.xml"/><Relationship Id="rId47" Type="http://schemas.openxmlformats.org/officeDocument/2006/relationships/pivotCacheDefinition" Target="pivotCache/pivotCacheDefinition3.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45a0ab22-e28c-48f5-aabf-1095324bc480}">
    <Anchor>
      <Comment id="{b76a45e5-3db8-452c-9829-5a7f1116e473}"/>
    </Anchor>
    <History>
      <Event time="2025-04-17T10:39:45.00" id="{37b15076-9033-4c96-820a-7b422bc2714a}">
        <Attribution userId="placeholder@email.com" userName="Ami Milano" userProvider="google-sheets"/>
        <Anchor>
          <Comment id="{b76a45e5-3db8-452c-9829-5a7f1116e473}"/>
        </Anchor>
        <Create/>
      </Event>
      <Event time="2025-04-17T10:39:45.00" id="{3dd71bf1-4b85-4803-b023-886a8dae76c4}">
        <Attribution userId="placeholder@email.com" userName="Ami Milano" userProvider="google-sheets"/>
        <Anchor>
          <Comment id="{b76a45e5-3db8-452c-9829-5a7f1116e473}"/>
        </Anchor>
        <Assign userId="barnaba.nicoletti@vivaioventures.it" userName="barnaba.nicoletti@vivaioventures.it" userProvider="google-sheets"/>
      </Event>
    </History>
  </Task>
  <Task id="{18b918cd-260c-4313-8c56-4b39bfea5629}">
    <Anchor>
      <Comment id="{36c27735-44ba-49de-9273-00dc309423a7}"/>
    </Anchor>
    <History>
      <Event time="2025-04-17T15:54:33.00" id="{ff6028b7-d500-401c-a811-42cf4a1b4222}">
        <Attribution userId="placeholder@email.com" userName="Ami Milano" userProvider="google-sheets"/>
        <Anchor>
          <Comment id="{36c27735-44ba-49de-9273-00dc309423a7}"/>
        </Anchor>
        <Create/>
      </Event>
      <Event time="2025-04-17T15:54:33.00" id="{45c7eed5-7dc1-4875-8ada-50ba2183a6c0}">
        <Attribution userId="placeholder@email.com" userName="Ami Milano" userProvider="google-sheets"/>
        <Anchor>
          <Comment id="{36c27735-44ba-49de-9273-00dc309423a7}"/>
        </Anchor>
        <Assign userId="barnaba.nicoletti@vivaioventures.it" userName="barnaba.nicoletti@vivaioventures.it" userProvider="google-sheets"/>
      </Event>
    </History>
  </Task>
  <Task id="{8bc55652-cebc-40a8-b324-a2bc4301b351}">
    <Anchor>
      <Comment id="{ff457ce4-3ebc-414c-940f-2ed82a755171}"/>
    </Anchor>
    <History>
      <Event time="2025-04-23T14:07:30.00" id="{3aba0090-6901-4671-88e8-7f760846c881}">
        <Attribution userId="placeholder@email.com" userName="Ami Milano" userProvider="google-sheets"/>
        <Anchor>
          <Comment id="{ff457ce4-3ebc-414c-940f-2ed82a755171}"/>
        </Anchor>
        <Create/>
      </Event>
      <Event time="2025-04-23T14:07:30.00" id="{e1aa4714-c133-42af-91af-ef68f84adfae}">
        <Attribution userId="placeholder@email.com" userName="Ami Milano" userProvider="google-sheets"/>
        <Anchor>
          <Comment id="{ff457ce4-3ebc-414c-940f-2ed82a755171}"/>
        </Anchor>
        <Assign userId="barnaba.nicoletti@vivaioventures.it" userName="barnaba.nicoletti@vivaioventures.it" userProvider="google-sheets"/>
      </Event>
    </History>
  </Task>
  <Task id="{b52328b7-95c6-4825-aea1-baf47e24a5ca}">
    <Anchor>
      <Comment id="{5bdf9a23-b74d-4d8e-a7a3-5a049a818bcd}"/>
    </Anchor>
    <History>
      <Event time="2025-11-12T11:48:25.00" id="{294293fd-f83d-4337-bb73-444d704fa979}">
        <Attribution userId="placeholder@email.com" userName="Ami Milano" userProvider="google-sheets"/>
        <Anchor>
          <Comment id="{5bdf9a23-b74d-4d8e-a7a3-5a049a818bcd}"/>
        </Anchor>
        <Create/>
      </Event>
      <Event time="2025-11-12T11:48:25.00" id="{758a2ab7-8ee7-4924-a431-fb38f93a8b12}">
        <Attribution userId="placeholder@email.com" userName="Ami Milano" userProvider="google-sheets"/>
        <Anchor>
          <Comment id="{5bdf9a23-b74d-4d8e-a7a3-5a049a818bcd}"/>
        </Anchor>
        <Assign userId="barnaba.nicoletti@vivaioventures.it" userName="barnaba.nicoletti@vivaioventures.it" userProvider="google-sheets"/>
      </Event>
    </History>
  </Task>
  <Task id="{46394618-6b5d-4d21-bfb0-e10646959a31}">
    <Anchor>
      <Comment id="{af335995-e4aa-4793-a6e9-d0f1860ce143}"/>
    </Anchor>
    <History>
      <Event time="2025-07-02T08:41:27.00" id="{16f3ceaa-eda3-407a-90de-4eee114feda0}">
        <Attribution userId="placeholder@email.com" userName="Ami Milano" userProvider="google-sheets"/>
        <Anchor>
          <Comment id="{af335995-e4aa-4793-a6e9-d0f1860ce143}"/>
        </Anchor>
        <Create/>
      </Event>
      <Event time="2025-07-02T08:41:27.00" id="{0a65eb1c-a554-49ea-b2f3-68992c963524}">
        <Attribution userId="placeholder@email.com" userName="Ami Milano" userProvider="google-sheets"/>
        <Anchor>
          <Comment id="{af335995-e4aa-4793-a6e9-d0f1860ce143}"/>
        </Anchor>
        <Assign userId="barnaba.nicoletti@vivaioventures.it" userName="barnaba.nicoletti@vivaioventures.it" userProvider="google-sheets"/>
      </Event>
    </History>
  </Task>
  <Task id="{3bf82a76-adb6-48e7-a492-0626ab5fcbbc}">
    <Anchor>
      <Comment id="{b1a813a6-4395-4f37-935a-1b7cc4b7b6de}"/>
    </Anchor>
    <History>
      <Event time="2025-12-29T11:23:04.00" id="{4e67fc1d-e6ac-4329-a0de-e78c18679231}">
        <Attribution userId="placeholder@email.com" userName="Ami Milano" userProvider="google-sheets"/>
        <Anchor>
          <Comment id="{b1a813a6-4395-4f37-935a-1b7cc4b7b6de}"/>
        </Anchor>
        <Create/>
      </Event>
      <Event time="2025-12-29T11:23:04.00" id="{dd7c6aa0-0a62-447e-9237-dcf661b4bbb4}">
        <Attribution userId="placeholder@email.com" userName="Ami Milano" userProvider="google-sheets"/>
        <Anchor>
          <Comment id="{b1a813a6-4395-4f37-935a-1b7cc4b7b6de}"/>
        </Anchor>
        <Assign userId="alepodasca@gmail.com" userName="alepodasca@gmail.com" userProvider="google-sheets"/>
      </Event>
    </History>
  </Task>
  <Task id="{f6491c9d-3d81-4a1f-960a-d1835ed361be}">
    <Anchor>
      <Comment id="{23097680-239f-4a37-92a9-7feacc21c41f}"/>
    </Anchor>
    <History>
      <Event time="2025-07-02T08:19:20.00" id="{733e3e40-74c8-45ca-8e39-95f88aaaea22}">
        <Attribution userId="placeholder@email.com" userName="Ami Milano" userProvider="google-sheets"/>
        <Anchor>
          <Comment id="{23097680-239f-4a37-92a9-7feacc21c41f}"/>
        </Anchor>
        <Create/>
      </Event>
      <Event time="2025-07-02T08:19:20.00" id="{ce2218b1-b704-4d54-ab68-ce9d9b1a5caf}">
        <Attribution userId="placeholder@email.com" userName="Ami Milano" userProvider="google-sheets"/>
        <Anchor>
          <Comment id="{23097680-239f-4a37-92a9-7feacc21c41f}"/>
        </Anchor>
        <Assign userId="barnaba.nicoletti@vivaioventures.it" userName="barnaba.nicoletti@vivaioventures.it" userProvider="google-sheets"/>
      </Event>
    </History>
  </Task>
  <Task id="{25e2c488-c01d-4e15-a2b0-ffb3613614ec}">
    <Anchor>
      <Comment id="{b00750f0-d204-4de7-a352-58262f262576}"/>
    </Anchor>
    <History>
      <Event time="2025-06-12T07:59:11.00" id="{da86299b-4b13-4c50-90f5-e30292a93dcc}">
        <Attribution userId="placeholder@email.com" userName="Ami Milano" userProvider="google-sheets"/>
        <Anchor>
          <Comment id="{b00750f0-d204-4de7-a352-58262f262576}"/>
        </Anchor>
        <Create/>
      </Event>
      <Event time="2025-06-12T07:59:11.00" id="{2cfa6288-ae40-4efa-9a58-996c7b22bfc4}">
        <Attribution userId="placeholder@email.com" userName="Ami Milano" userProvider="google-sheets"/>
        <Anchor>
          <Comment id="{b00750f0-d204-4de7-a352-58262f262576}"/>
        </Anchor>
        <Assign userId="barnaba.nicoletti@vivaioventures.it" userName="barnaba.nicoletti@vivaioventures.it"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655e5135-c633-4adf-8b28-3bf066c8fa3c}">
    <Anchor>
      <Comment id="{1d64b1bc-adda-4be5-ab64-0ea23f8d3048}"/>
    </Anchor>
    <History>
      <Event time="2026-05-07T08:09:10.00" id="{b48c10aa-8758-48e3-892c-de976e6b54fe}">
        <Attribution userId="placeholder@email.com" userName="Amimi Info" userProvider="google-sheets"/>
        <Anchor>
          <Comment id="{1d64b1bc-adda-4be5-ab64-0ea23f8d3048}"/>
        </Anchor>
        <Create/>
      </Event>
      <Event time="2026-05-07T08:09:10.00" id="{d81e2853-99e1-45b2-a933-a9b1211db9ee}">
        <Attribution userId="placeholder@email.com" userName="Amimi Info" userProvider="google-sheets"/>
        <Anchor>
          <Comment id="{1d64b1bc-adda-4be5-ab64-0ea23f8d3048}"/>
        </Anchor>
        <Assign userId="alepodasca@gmail.com" userName="alepodasca@gmail.com" userProvider="google-sheets"/>
      </Event>
    </History>
  </Task>
  <Task id="{9d411e84-aaaa-41bb-b2fd-2a262a20db01}">
    <Anchor>
      <Comment id="{88ef0ad2-902d-4f62-b8f7-43d659672467}"/>
    </Anchor>
    <History>
      <Event time="2026-02-12T09:07:15.00" id="{edaf6999-8cb8-45a4-b810-5f176338ac6e}">
        <Attribution userId="placeholder@email.com" userName="Ami Milano" userProvider="google-sheets"/>
        <Anchor>
          <Comment id="{88ef0ad2-902d-4f62-b8f7-43d659672467}"/>
        </Anchor>
        <Create/>
      </Event>
      <Event time="2026-02-12T09:07:15.00" id="{9e28007c-a618-48e2-9745-f4429a27d0dd}">
        <Attribution userId="placeholder@email.com" userName="Ami Milano" userProvider="google-sheets"/>
        <Anchor>
          <Comment id="{88ef0ad2-902d-4f62-b8f7-43d659672467}"/>
        </Anchor>
        <Assign userId="alepodasca@gmail.com" userName="alepodasca@gmail.com" userProvider="google-sheets"/>
      </Event>
    </History>
  </Task>
  <Task id="{6d42bab2-3c09-4173-8804-aecd367029e8}">
    <Anchor>
      <Comment id="{6be50185-daa6-43fc-baa9-dc3a93a1ce15}"/>
    </Anchor>
    <History>
      <Event time="2026-05-07T08:10:21.00" id="{b2ec4e0a-9cfd-4151-8786-677b6a143a3a}">
        <Attribution userId="placeholder@email.com" userName="Amimi Info" userProvider="google-sheets"/>
        <Anchor>
          <Comment id="{6be50185-daa6-43fc-baa9-dc3a93a1ce15}"/>
        </Anchor>
        <Create/>
      </Event>
      <Event time="2026-05-07T08:10:21.00" id="{b8334c11-4954-4d88-810b-3dde642bb843}">
        <Attribution userId="placeholder@email.com" userName="Amimi Info" userProvider="google-sheets"/>
        <Anchor>
          <Comment id="{6be50185-daa6-43fc-baa9-dc3a93a1ce15}"/>
        </Anchor>
        <Assign userId="alepodasca@gmail.com" userName="alepodasca@gmail.com" userProvider="google-sheets"/>
      </Event>
    </History>
  </Task>
  <Task id="{f9e8e3f5-e80f-418a-a6a0-d792fb65df69}">
    <Anchor>
      <Comment id="{0f89ee1e-0b96-4bfd-bf15-342c0cf90d61}"/>
    </Anchor>
    <History>
      <Event time="2026-05-07T08:16:48.00" id="{ec1a0bb7-9a3a-4a06-8af2-7db112ab831f}">
        <Attribution userId="placeholder@email.com" userName="Amimi Info" userProvider="google-sheets"/>
        <Anchor>
          <Comment id="{0f89ee1e-0b96-4bfd-bf15-342c0cf90d61}"/>
        </Anchor>
        <Create/>
      </Event>
      <Event time="2026-05-07T08:16:48.00" id="{b7bef0ef-9612-4847-9478-b1250d185e13}">
        <Attribution userId="placeholder@email.com" userName="Amimi Info" userProvider="google-sheets"/>
        <Anchor>
          <Comment id="{0f89ee1e-0b96-4bfd-bf15-342c0cf90d61}"/>
        </Anchor>
        <Assign userId="alepodasca@gmail.com" userName="alepodasca@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6EA1E266-1FB4-4D55-9A4B-A26D7E12C325}" id="{5c8366ea-ae80-42ff-87a6-60a903231a88}" providerId="google-sheets"/>
  <x18tc:person displayName="Amimi Info" id="{9c771056-f837-459e-8e2b-8aca7e14e99d}" providerId="google-sheets"/>
  <x18tc:person displayName="Ami Milano" id="{263f29e2-c982-4bd1-98f9-36fa2c2c898e}" providerId="google-sheets"/>
  <x18tc:person displayName="tc={9919728F-767E-47FD-9774-42B6553B74DF}" id="{267c1205-089f-4452-811f-230f6b707cc7}" providerId="google-sheets"/>
  <x18tc:person displayName="Ami Milano" id="{7a91094a-8046-47c7-94e5-1746240730af}" providerId="google-sheets"/>
  <x18tc:person displayName="Barnaba Nicoletti" id="{379ec86e-93ac-44b0-b550-05f0dc81a20b}" providerId="google-sheets"/>
  <x18tc:person displayName="barnaba.nicoletti@vivaioventures.it" id="{171b5a82-ce34-4a0c-b456-45fff4e8c6b1}" userId="barnaba.nicoletti@vivaioventures.it" providerId="google-sheets"/>
  <x18tc:person displayName="alepodasca@gmail.com" id="{15cd796b-b623-4e81-8c17-bb0780949502}" userId="alepodasca@gmail.com" providerId="google-sheets"/>
  <x18tc:person displayName="Dan Alessandro Podasca" id="{83a9c41a-9a4e-443d-aeea-52d4f1ecc79c}"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T2:X152" sheet="Sheet1"/>
  </cacheSource>
  <cacheFields>
    <cacheField name="ONLINE" numFmtId="0">
      <sharedItems>
        <s v="ONLINE"/>
        <s v="OFFLINE"/>
      </sharedItems>
    </cacheField>
    <cacheField name="MONTH" numFmtId="0">
      <sharedItems containsSemiMixedTypes="0" containsString="0" containsNumber="1" containsInteger="1">
        <n v="5.0"/>
      </sharedItems>
    </cacheField>
    <cacheField name="DATE">
      <sharedItems containsDate="1" containsMixedTypes="1">
        <s v="01/05/2025"/>
        <s v="02/05/2025"/>
        <s v="03/05/2025"/>
        <s v="04/05/2025"/>
        <s v="05/05/2025"/>
        <s v="06/05/2025"/>
        <s v="07/05/2025"/>
        <s v="08/05/2025"/>
        <s v="09/05/2025"/>
        <s v="10/05/2025"/>
        <s v="11/05/2025"/>
        <s v="12/05/2025"/>
        <s v="13/05/2025"/>
        <s v="14/05/2025"/>
        <s v="15/05/2025"/>
        <s v="17/05/2025"/>
        <s v="18/05/2025"/>
        <s v="19/05/2025"/>
        <s v="20/05/2025"/>
        <s v="21/05/2025"/>
        <s v="22/05/2025"/>
        <s v="23/05/2025"/>
        <s v="24/05/2025"/>
        <s v="25/05/2025"/>
        <s v="26/05/2025"/>
        <s v="27/05/2025"/>
        <s v="28/05/2025"/>
        <s v="29/05/2025"/>
        <s v="30/05/2025"/>
        <s v="31/05/2025"/>
        <d v="2025-05-08T00:00:00Z"/>
        <d v="2025-05-09T00:00:00Z"/>
        <d v="2025-05-12T00:00:00Z"/>
        <d v="2025-05-13T00:00:00Z"/>
        <d v="2025-05-14T00:00:00Z"/>
        <d v="2025-05-16T00:00:00Z"/>
        <d v="2025-05-17T00:00:00Z"/>
        <d v="2025-05-18T00:00:00Z"/>
        <d v="2025-05-21T00:00:00Z"/>
        <d v="2025-05-23T00:00:00Z"/>
        <d v="2025-05-25T00:00:00Z"/>
        <d v="2025-05-26T00:00:00Z"/>
        <d v="2025-05-29T00:00:00Z"/>
        <d v="2025-05-30T00:00:00Z"/>
      </sharedItems>
    </cacheField>
    <cacheField name="PRODUCT_VARIANT MAPPING">
      <sharedItems containsMixedTypes="1" containsNumber="1" containsInteger="1">
        <s v="Lea_Bag_LEOPARDO SAVANA"/>
        <s v="Lea_Bag_LEOPARDO SCURO"/>
        <s v="Lea_Bag_VERNICE ROSSA"/>
        <s v="Lea_Bag_VERNICE VIOLA"/>
        <s v="Lea_Bag_ZEBRA MARRON"/>
        <s v="Annie_Bag_paillettes_BROWN"/>
        <s v="Lea_Bag_ORANGE"/>
        <s v="Annie_Bag_paillettes_Con_Catena_BROWN"/>
        <s v="Annie_Bag_paillettes_Con_Catena_LIGHT GREEN"/>
        <s v="Lea_Bag_LEOPARDO"/>
        <s v="Lea_Bag_MUCCATA MARRONE"/>
        <n v="0.0"/>
        <s v="Lola_Bag_TURCHESE VELVET"/>
        <s v="Lea_Bag_LEOPARDO BEIGE"/>
        <s v="Valentina_Bag_GREEN"/>
        <s v="Agata_Bag_ROSE PINK"/>
        <s v="Agata_Bag_TIE DYE ORANGE"/>
        <s v="Agata_Bag_TIE DYE RED"/>
        <s v="Annie_Bag_Silk_TURQOISE"/>
        <s v="Lola_Bag_BLUE VELVET"/>
        <s v="Valentina_Bag_CHOCOLATE"/>
        <s v="Lola_Bag_CIPRIA VELVET"/>
        <s v="Annie_Bag_paillettes_ORANGE"/>
        <s v="Agata_Bag_TIE DYE BLUE"/>
        <s v="Annie_Bag_paillettes_LIGHT BLUE"/>
        <s v="Annie_Bag_Silk_DEEP PURPLE"/>
        <s v="Annie_Bag_paillettes_Con_Catena_BEIGE"/>
        <s v="Annie_Bag_paillettes_Con_Catena_ORANGE"/>
        <s v="Lea_Bag_COCCO BLACK"/>
        <s v="Annie_Bag_paillettes_LIGHT GREEN"/>
        <s v="Charm_Bon.VI_x_AMI_CHOCOLATE"/>
        <s v="Agata_Bag_Con_Catena_TIE DYE PINK"/>
        <s v="Annie_Bag_paillettes_Con_Catena_LIGHT BLUE"/>
        <s v="Annie_Bag_Silk_BLUE"/>
        <s v="Annie_Bag_Silk_PINK"/>
        <s v="Lea_Bag_BLACK"/>
        <s v="Agata_Bag_ORANGE"/>
        <s v="Agata_Bag_ROSE BLUE"/>
        <s v="Annie_Bag_paillettes_Con_Catena_DARK BROWN"/>
        <s v="Annie_Bag_paillettes_PINK"/>
        <s v="Valentina_Bag_RED"/>
        <s v="Agata_Bag_Con_Catena_RED "/>
        <s v="Agata_Bag_Con_Catena_TIE DYE BLUE"/>
        <s v="Annie_Bag_Silk_Con_Catena_PINK"/>
        <s v="Annie_Bag_paillettes_DARK BROWN"/>
        <s v="Charm_Bon.VI_x_AMI_RED"/>
        <s v="Annie_Bag_paillettes_BEIGE"/>
        <s v="Annie_Bag_Silk_BROWN"/>
        <s v="Charm_Bon.VI_x_AMI_"/>
        <s v="Lola_Bag_"/>
        <s v="Lola_Bag_PURPLE VELVET"/>
        <s v="Tshirt_"/>
        <s v="Airpods_Case_Con_Moschettone_PONY BLACK"/>
        <s v="Airpods_Case_Con_Moschettone_PONY LEOPARD"/>
        <s v="Agata_Bag_TIE DYE PINK"/>
        <s v="Airpods_Case_Con_Moschettone_"/>
        <s v="Tshirt_AMAMI"/>
        <s v="Annie_Bag_paillettes_ROSA"/>
        <s v="Tshirt_AMAMI COME"/>
      </sharedItems>
    </cacheField>
    <cacheField name="Sum of ITEMS" numFmtId="0">
      <sharedItems containsSemiMixedTypes="0" containsString="0" containsNumber="1" containsInteger="1">
        <n v="1.0"/>
        <n v="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O1069" sheet="2024 Sales"/>
  </cacheSource>
  <cacheFields>
    <cacheField name="TYPE" numFmtId="0">
      <sharedItems>
        <s v="SHOPIFY"/>
        <s v="OTHER (FATTURA)"/>
        <s v="POP UP CORSO VENEZIA"/>
        <s v="POP UP CORSO MAGENTA"/>
        <s v="POP UP GENEVA"/>
        <s v="POP UP CORSO GARIBALDI"/>
        <s v="POP UP CORSO VIA STATUTO"/>
        <s v="POP UP VIA STATUTO"/>
        <s v="POP UP SCILE"/>
        <s v="POP UP CORSO GARIBALDI 44"/>
        <s v="XMAS MARKET "/>
        <s v="POP UP VIA LANZONE"/>
      </sharedItems>
    </cacheField>
    <cacheField name="YEAR" numFmtId="0">
      <sharedItems containsSemiMixedTypes="0" containsString="0" containsNumber="1" containsInteger="1">
        <n v="2024.0"/>
      </sharedItems>
    </cacheField>
    <cacheField name="MONTH" numFmtId="0">
      <sharedItems containsSemiMixedTypes="0" containsString="0" containsNumber="1" containsInteger="1">
        <n v="1.0"/>
        <n v="2.0"/>
        <n v="3.0"/>
        <n v="4.0"/>
        <n v="12.0"/>
        <n v="5.0"/>
        <n v="6.0"/>
        <n v="7.0"/>
        <n v="8.0"/>
        <n v="9.0"/>
        <n v="10.0"/>
        <n v="11.0"/>
      </sharedItems>
    </cacheField>
    <cacheField name="DATE">
      <sharedItems containsDate="1" containsBlank="1" containsMixedTypes="1">
        <d v="2024-01-03T00:00:00Z"/>
        <d v="2024-01-10T00:00:00Z"/>
        <d v="2024-01-14T00:00:00Z"/>
        <d v="2024-01-15T00:00:00Z"/>
        <d v="2024-01-17T00:00:00Z"/>
        <d v="2024-01-29T00:00:00Z"/>
        <d v="2024-02-14T00:00:00Z"/>
        <d v="2024-02-15T00:00:00Z"/>
        <d v="2024-02-16T00:00:00Z"/>
        <d v="2024-02-17T00:00:00Z"/>
        <d v="2024-02-20T00:00:00Z"/>
        <d v="2024-02-21T00:00:00Z"/>
        <d v="2024-02-22T00:00:00Z"/>
        <d v="2024-02-24T00:00:00Z"/>
        <d v="2024-02-26T00:00:00Z"/>
        <d v="2024-02-27T00:00:00Z"/>
        <d v="2024-02-28T00:00:00Z"/>
        <d v="2024-03-02T00:00:00Z"/>
        <d v="2024-03-04T00:00:00Z"/>
        <d v="2024-03-05T00:00:00Z"/>
        <d v="2024-03-06T00:00:00Z"/>
        <d v="2024-03-08T00:00:00Z"/>
        <d v="2024-03-15T00:00:00Z"/>
        <d v="2024-03-17T00:00:00Z"/>
        <d v="2024-03-18T00:00:00Z"/>
        <d v="2024-03-19T00:00:00Z"/>
        <d v="2024-03-20T00:00:00Z"/>
        <d v="2024-03-23T00:00:00Z"/>
        <d v="2024-03-24T00:00:00Z"/>
        <d v="2024-03-25T00:00:00Z"/>
        <d v="2024-03-27T00:00:00Z"/>
        <d v="2024-03-29T00:00:00Z"/>
        <m/>
        <d v="2024-04-04T00:00:00Z"/>
        <d v="2024-04-05T00:00:00Z"/>
        <d v="2024-04-06T00:00:00Z"/>
        <d v="2024-04-08T00:00:00Z"/>
        <d v="2024-04-13T00:00:00Z"/>
        <d v="2024-04-15T00:00:00Z"/>
        <d v="2024-04-16T00:00:00Z"/>
        <d v="2024-04-17T00:00:00Z"/>
        <d v="2024-05-02T00:00:00Z"/>
        <d v="2024-05-04T00:00:00Z"/>
        <d v="2024-05-08T00:00:00Z"/>
        <d v="2024-05-10T00:00:00Z"/>
        <d v="2024-05-11T00:00:00Z"/>
        <d v="2024-05-14T00:00:00Z"/>
        <d v="2024-05-15T00:00:00Z"/>
        <d v="2024-05-16T00:00:00Z"/>
        <d v="2024-05-18T00:00:00Z"/>
        <d v="2024-05-19T00:00:00Z"/>
        <d v="2024-05-20T00:00:00Z"/>
        <d v="2024-05-21T00:00:00Z"/>
        <d v="2024-05-22T00:00:00Z"/>
        <d v="2024-05-24T00:00:00Z"/>
        <d v="2024-05-26T00:00:00Z"/>
        <d v="2024-05-27T00:00:00Z"/>
        <d v="2024-05-28T00:00:00Z"/>
        <d v="2024-05-29T00:00:00Z"/>
        <d v="2024-05-30T00:00:00Z"/>
        <d v="2024-05-31T00:00:00Z"/>
        <d v="2024-06-01T00:00:00Z"/>
        <d v="2024-06-02T00:00:00Z"/>
        <d v="2024-06-04T00:00:00Z"/>
        <d v="2024-06-05T00:00:00Z"/>
        <d v="2024-06-06T00:00:00Z"/>
        <d v="2024-06-07T00:00:00Z"/>
        <d v="2024-06-08T00:00:00Z"/>
        <d v="2024-06-09T00:00:00Z"/>
        <d v="2024-06-10T00:00:00Z"/>
        <d v="2024-06-11T00:00:00Z"/>
        <d v="2024-06-12T00:00:00Z"/>
        <d v="2024-06-13T00:00:00Z"/>
        <d v="2024-06-14T00:00:00Z"/>
        <d v="2024-06-15T00:00:00Z"/>
        <d v="2024-06-18T00:00:00Z"/>
        <d v="2024-06-19T00:00:00Z"/>
        <d v="2024-06-20T00:00:00Z"/>
        <d v="2024-06-21T00:00:00Z"/>
        <d v="2024-06-22T00:00:00Z"/>
        <d v="2024-06-23T00:00:00Z"/>
        <d v="2024-06-24T00:00:00Z"/>
        <d v="2024-06-25T00:00:00Z"/>
        <d v="2024-06-27T00:00:00Z"/>
        <d v="2024-06-28T00:00:00Z"/>
        <d v="2024-06-29T00:00:00Z"/>
        <d v="2024-06-30T00:00:00Z"/>
        <d v="2024-07-01T00:00:00Z"/>
        <d v="2024-07-02T00:00:00Z"/>
        <d v="2024-07-03T00:00:00Z"/>
        <d v="2024-07-04T00:00:00Z"/>
        <d v="2024-07-05T00:00:00Z"/>
        <d v="2024-07-07T00:00:00Z"/>
        <d v="2024-07-08T00:00:00Z"/>
        <d v="2024-07-09T00:00:00Z"/>
        <d v="2024-07-10T00:00:00Z"/>
        <d v="2024-07-11T00:00:00Z"/>
        <d v="2024-07-12T00:00:00Z"/>
        <d v="2024-07-13T00:00:00Z"/>
        <d v="2024-07-16T00:00:00Z"/>
        <d v="2024-07-17T00:00:00Z"/>
        <d v="2024-07-18T00:00:00Z"/>
        <d v="2024-07-22T00:00:00Z"/>
        <d v="2024-07-23T00:00:00Z"/>
        <d v="2024-07-24T00:00:00Z"/>
        <d v="2024-07-25T00:00:00Z"/>
        <d v="2024-07-26T00:00:00Z"/>
        <d v="2024-07-29T00:00:00Z"/>
        <d v="2024-07-30T00:00:00Z"/>
        <d v="2024-09-14T00:00:00Z"/>
        <d v="2024-09-18T00:00:00Z"/>
        <d v="2024-09-23T00:00:00Z"/>
        <d v="2024-09-24T00:00:00Z"/>
        <d v="2024-09-25T00:00:00Z"/>
        <d v="2024-09-26T00:00:00Z"/>
        <d v="2024-09-27T00:00:00Z"/>
        <d v="2024-09-28T00:00:00Z"/>
        <d v="2024-09-29T00:00:00Z"/>
        <d v="2024-10-01T00:00:00Z"/>
        <d v="2024-10-02T00:00:00Z"/>
        <d v="2024-10-04T00:00:00Z"/>
        <d v="2024-10-05T00:00:00Z"/>
        <d v="2024-10-06T00:00:00Z"/>
        <d v="2024-10-07T00:00:00Z"/>
        <d v="2024-10-09T00:00:00Z"/>
        <d v="2024-10-10T00:00:00Z"/>
        <d v="2024-10-11T00:00:00Z"/>
        <d v="2024-10-12T00:00:00Z"/>
        <d v="2024-10-13T00:00:00Z"/>
        <d v="2024-10-14T00:00:00Z"/>
        <d v="2024-10-15T00:00:00Z"/>
        <d v="2024-10-16T00:00:00Z"/>
        <d v="2024-10-18T00:00:00Z"/>
        <d v="2024-10-20T00:00:00Z"/>
        <d v="2024-10-25T00:00:00Z"/>
        <d v="2024-10-27T00:00:00Z"/>
        <d v="2024-10-29T00:00:00Z"/>
        <d v="2024-11-01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20T00:00:00Z"/>
        <d v="2024-11-21T00:00:00Z"/>
        <d v="2024-11-22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6T00:00:00Z"/>
        <d v="2024-12-29T00:00:00Z"/>
        <d v="2024-12-30T00:00:00Z"/>
        <n v="45301.0"/>
        <n v="45302.0"/>
        <n v="45304.0"/>
        <n v="45316.0"/>
        <n v="45320.0"/>
        <n v="45328.0"/>
        <n v="45364.0"/>
        <n v="45366.0"/>
        <n v="45372.0"/>
        <n v="45386.0"/>
        <n v="45389.0"/>
        <n v="45396.0"/>
        <n v="45394.0"/>
        <n v="45395.0"/>
        <n v="45406.0"/>
        <s v="29/04/24"/>
        <s v="30/04/24"/>
        <n v="45356.0"/>
        <n v="45540.0"/>
        <n v="45418.0"/>
        <n v="45429.0"/>
        <n v="45432.0"/>
        <n v="45433.0"/>
        <n v="45434.0"/>
        <n v="45435.0"/>
        <n v="45436.0"/>
        <n v="45437.0"/>
        <n v="45438.0"/>
        <n v="45442.0"/>
        <n v="45448.0"/>
        <n v="45449.0"/>
        <n v="45450.0"/>
        <n v="45451.0"/>
        <n v="45453.0"/>
        <n v="45455.0"/>
        <n v="45457.0"/>
        <n v="45460.0"/>
        <n v="45461.0"/>
        <n v="45462.0"/>
        <s v="RICORDARE"/>
        <n v="45463.0"/>
        <n v="45464.0"/>
        <n v="45465.0"/>
        <n v="45466.0"/>
        <n v="45467.0"/>
        <n v="45468.0"/>
        <n v="45470.0"/>
        <n v="45471.0"/>
        <n v="45475.0"/>
        <n v="45476.0"/>
        <s v="AVVISARE"/>
        <n v="45478.0"/>
        <n v="45483.0"/>
        <n v="45488.0"/>
        <n v="45496.0"/>
        <n v="45497.0"/>
        <n v="45502.0"/>
        <n v="45506.0"/>
        <n v="45539.0"/>
        <n v="45551.0"/>
        <n v="45547.0"/>
        <n v="45554.0"/>
        <n v="45559.0"/>
        <n v="45560.0"/>
        <n v="45561.0"/>
        <n v="45562.0"/>
        <n v="45563.0"/>
        <n v="45564.0"/>
        <n v="45565.0"/>
        <n v="45566.0"/>
        <n v="45568.0"/>
        <n v="45569.0"/>
        <n v="45600.0"/>
        <n v="45601.0"/>
        <n v="45607.0"/>
        <n v="45608.0"/>
        <n v="45609.0"/>
        <n v="45610.0"/>
        <n v="45611.0"/>
        <n v="45612.0"/>
        <n v="45613.0"/>
        <n v="45614.0"/>
        <n v="45615.0"/>
        <n v="45616.0"/>
        <n v="45617.0"/>
        <n v="45618.0"/>
        <n v="45619.0"/>
        <n v="45621.0"/>
        <n v="45623.0"/>
        <n v="45624.0"/>
        <n v="45626.0"/>
        <n v="45627.0"/>
        <n v="45628.0"/>
        <n v="45629.0"/>
        <n v="45631.0"/>
        <n v="45635.0"/>
        <n v="45636.0"/>
        <n v="45637.0"/>
        <n v="45638.0"/>
        <n v="45640.0"/>
        <n v="45641.0"/>
        <n v="45642.0"/>
        <n v="45644.0"/>
        <n v="45645.0"/>
        <n v="45647.0"/>
        <n v="45648.0"/>
        <n v="45649.0"/>
      </sharedItems>
    </cacheField>
    <cacheField name="NOME" numFmtId="0">
      <sharedItems containsBlank="1">
        <s v="Ginevra"/>
        <s v="Giulia"/>
        <s v="Francesca"/>
        <s v="Antonella"/>
        <s v="Domenico"/>
        <s v="Nicola"/>
        <s v="Federica"/>
        <s v="Silvia"/>
        <s v="Arianna"/>
        <s v="Luca"/>
        <s v="Valeria"/>
        <s v="Isabella"/>
        <s v="Camilla"/>
        <s v="Paola"/>
        <s v="Bianca"/>
        <s v="Viola"/>
        <s v="Sofia"/>
        <s v="Irene"/>
        <s v="Chiara"/>
        <s v="Valentina"/>
        <s v="Fabiola"/>
        <s v="Claudia"/>
        <s v="Maddalena"/>
        <s v="Sveva"/>
        <s v="Giorgia "/>
        <s v="Matilde"/>
        <s v="Maria Teresa"/>
        <s v="alyssa"/>
        <s v="costanza "/>
        <s v="denise"/>
        <s v="vittoria"/>
        <s v="giada"/>
        <s v="ornella"/>
        <s v="filippo maria"/>
        <s v="angelica"/>
        <s v="clizia"/>
        <s v="beatrice"/>
        <s v="sara"/>
        <s v="ilaria"/>
        <s v="Caterina"/>
        <m/>
        <s v="Sophie"/>
        <s v="Bianca Maria"/>
        <s v="Davide"/>
        <s v="Vivienne"/>
        <s v="Emma"/>
        <s v="Giovanni"/>
        <s v="Giuliana"/>
        <s v="Elena"/>
        <s v="Alice"/>
        <s v="Diletta"/>
        <s v="Carolina"/>
        <s v="Idalba"/>
        <s v="Carla"/>
        <s v="Alma"/>
        <s v="Doruntina"/>
        <s v="Cecilia"/>
        <s v="Daniele"/>
        <s v="Barbara"/>
        <s v="Veronica"/>
        <s v="Tesa"/>
        <s v="Louise"/>
        <s v="Romina"/>
        <s v="Mariachiara"/>
        <s v="Martina "/>
        <s v="Carola"/>
        <s v="Marta"/>
        <s v="Tamara"/>
        <s v="Antonio"/>
        <s v="Romina Carla"/>
        <s v="Elisa"/>
        <s v="Kamila"/>
        <s v="Loredana"/>
        <s v="Mattia"/>
        <s v="Pietro"/>
        <s v="Clara Peraldo"/>
        <s v="Amanda"/>
        <s v="Letizia"/>
        <s v="Lisa"/>
        <s v="Micol"/>
        <s v="Janaka Sebastian "/>
        <s v="Francesca Vittoria"/>
        <s v="Lia"/>
        <s v="Nathalie"/>
        <s v="Marco"/>
        <s v="Clarissa"/>
        <s v="Margherita"/>
        <s v="Paolo"/>
        <s v="Flavio"/>
        <s v="Carlotta"/>
        <s v="Fabio"/>
        <s v="Marina"/>
        <s v="Martina"/>
        <s v="jasmine"/>
        <s v="Anna"/>
        <s v="Gemma"/>
        <s v="Benedetta"/>
        <s v="Giorgia"/>
        <s v="Alessia"/>
        <s v="Annavittoria"/>
        <s v="Eleonora "/>
        <s v="Serena"/>
        <s v="Asia"/>
        <s v="Costanza"/>
        <s v="Ottavia"/>
        <s v="Giuditta"/>
        <s v="Niccolò"/>
        <s v="Eva Tyutyundzhieva"/>
        <s v="Lucia"/>
        <s v="Stefano"/>
        <s v="Egle"/>
        <s v="Michela"/>
        <s v="Roberta"/>
        <s v="Fosca"/>
        <s v="Adriana"/>
        <s v="Monica"/>
        <s v="Claudia Olga"/>
        <s v="Fedra"/>
        <s v="Annamaria"/>
        <s v="Michele"/>
        <s v="Pauline"/>
        <s v="Virginia"/>
        <s v="Patrizia"/>
        <s v="Enrico"/>
        <s v="Laura"/>
        <s v="Claudia Vittoria"/>
        <s v="Simonetta"/>
        <s v="Lavinia"/>
        <s v="Alessandro"/>
        <s v="Violia"/>
        <s v="Raffaella Coccolone"/>
        <s v="Angela"/>
        <s v="Gaia"/>
        <s v="Roberto"/>
        <s v="Rebecca"/>
        <s v="Alessandra"/>
        <s v="Elisabetta"/>
        <s v="Cristina"/>
        <s v="Alisia"/>
        <s v="Valentina "/>
        <s v="Simona"/>
        <s v="Francesco"/>
        <s v="Donata"/>
        <s v="Benedeta"/>
        <s v="Greta"/>
        <s v="Jessica"/>
        <s v="Luisa"/>
        <s v="Erika"/>
        <s v="Fiorenza"/>
        <s v="Eleonora"/>
        <s v="Kiara"/>
        <s v="Piera"/>
        <s v="Lorena"/>
        <s v="Federico"/>
        <s v="Lorenzo"/>
        <s v="Thalita"/>
        <s v="Graziella"/>
        <s v="Marika"/>
        <s v="Ludovica"/>
        <s v="Rosa"/>
        <s v="Flavia"/>
        <s v="Casa Casa"/>
        <s v="Marianna"/>
        <s v="Ottavia "/>
        <s v="Vittoria "/>
        <s v="Gabriella"/>
        <s v="Elisabeth"/>
        <s v="Ilenia"/>
        <s v="Giacomo"/>
        <s v="Enrica"/>
        <s v="Diletta "/>
        <s v="Leonardo"/>
        <s v="Lucrezia"/>
        <s v="Christian"/>
        <s v="Rosita"/>
        <s v="Elif"/>
        <s v="Matteo"/>
        <s v="Giuseppina"/>
        <s v="Allyson"/>
        <s v="Maria Giovanna"/>
        <s v="Nicoletta"/>
        <s v="Belen"/>
        <s v="Maria"/>
        <s v="Ana"/>
        <s v="Dominic"/>
        <s v="Isotta"/>
        <s v="Danilo"/>
        <s v="Stefania"/>
        <s v="Flaminia"/>
        <s v="Vito"/>
        <s v="Clarice"/>
        <s v="Felice"/>
        <s v="Sarah"/>
        <s v="Milena"/>
        <s v="Annalena"/>
        <s v="Ines"/>
        <s v="Rossella"/>
        <s v="Marina Bruns"/>
        <s v="Sonia"/>
        <s v="Alexandre"/>
        <s v="Ketty"/>
        <s v="Valentino"/>
        <s v="Daniela"/>
        <s v="Francesca Costantino"/>
        <s v="Natalia"/>
        <s v="Valeria "/>
        <s v="Susanna"/>
        <s v="Maria Eugenia"/>
        <s v="Mariangelest"/>
        <s v="Andrea"/>
        <s v="Silvia Nicoletta"/>
        <s v="Filippo"/>
        <s v="Cristiano"/>
        <s v="Mauro"/>
        <s v="Yasmeen"/>
        <s v="Benedetta Gaia"/>
        <s v="Edoardo"/>
        <s v="Gabriele"/>
        <s v="Miriam"/>
        <s v="Agostino Villa"/>
        <s v="Massimiliano"/>
        <s v="Gianmarco"/>
        <s v="Antonietta"/>
        <s v="Gianluigi"/>
        <s v="Tito Mario"/>
        <s v="Giovanna"/>
        <s v="Faustino"/>
        <s v="Olivia"/>
        <s v="Ragazza"/>
        <s v="Consorzio"/>
        <s v="Anais"/>
        <s v="Mita"/>
        <s v="Hanna"/>
        <s v="REGALO "/>
        <s v="Grazia"/>
        <s v="Clara"/>
        <s v="Mariella"/>
        <s v="Elena Benedetta"/>
        <s v="Gianluca"/>
        <s v="Mzf93"/>
        <s v="Chicca"/>
        <s v="Sofia Goetz"/>
        <s v="Guglielmo "/>
        <s v="Ada"/>
        <s v="Annacarla"/>
        <s v="Cinzia"/>
        <s v="EMANUELA"/>
        <s v="Giselle "/>
        <s v="Cecilia "/>
        <s v="Alberta"/>
        <s v="Katerina"/>
        <s v="Guia"/>
        <s v="Allegra"/>
        <s v="Candida"/>
        <s v="Anita"/>
        <s v="Carlo"/>
        <s v="Matilda"/>
        <s v="Amica Mamma Gio"/>
        <s v="Roesen"/>
        <s v="Domique"/>
        <s v="Dominique"/>
        <s v="Manfredi "/>
        <s v="Francescamaria"/>
        <s v="Cice Amica Carli"/>
        <s v="Lorenza"/>
        <s v="Ragazza vendita"/>
        <s v="Maria Beatrice"/>
        <s v="Alberto"/>
        <s v="OTTAVIA PORCARIA"/>
        <s v="Morgana "/>
        <s v="lorenza "/>
        <s v="Ioanna"/>
        <s v="Maria Camilla"/>
        <s v="Ragazza libanese"/>
        <s v="RAGAZZA STRANIERA"/>
        <s v="Anna Maria"/>
        <s v="Davide "/>
        <s v="Luce"/>
        <s v="giulia.lavarini@hotmail.it"/>
        <s v="sofiabodino7@gmail.com"/>
        <s v="fredmazz98@outlook.it"/>
        <s v="Elisa "/>
        <s v="Nonna Ginni"/>
        <s v="Nina"/>
        <s v="Annasofia"/>
        <s v="MARTA "/>
        <s v="Sasha"/>
        <s v="ALEX"/>
        <s v="Amelie"/>
        <s v="Costanza Firpo"/>
        <s v="Alice "/>
        <s v="Emi"/>
        <s v="Zakaria"/>
        <s v="Assicuratore Gio"/>
        <s v="Anna Sofia"/>
        <s v="Amica Alberta Bovio"/>
        <s v="Teresa"/>
        <s v="Maura"/>
        <s v="Signora"/>
        <s v="Mirella"/>
        <s v="Agnese"/>
        <s v="Viola Maria"/>
        <s v="Beatrice "/>
        <s v="Paolo Vannucchi"/>
        <s v="Federica Garimoldi"/>
        <s v="Marta Molesini"/>
        <s v="Mamma Fil De Pasquale"/>
        <s v="Federica (ANNA)"/>
        <s v="Gianluca "/>
        <s v="XX"/>
        <s v="Maria Laura"/>
        <s v="Cristina "/>
        <s v="RAGAZZA "/>
        <s v="Margaret"/>
        <s v="Manfredi"/>
        <s v="Barbera"/>
        <s v="Linda"/>
        <s v="Lucia Emma"/>
        <s v="SIGNORE"/>
        <s v="Marina Simona"/>
        <s v="Francesca Amica Barbara"/>
        <s v="Margheria"/>
        <s v="Filippo "/>
        <s v="Giulia "/>
        <s v="Millo"/>
        <s v="Mamma Gio"/>
        <s v="ragazza 2"/>
        <s v="MAMMA MATTEO COLUCCI"/>
        <s v="Vittorio"/>
        <s v="Navila"/>
        <s v="Davice"/>
        <s v="Martino"/>
        <s v="Virginia "/>
        <s v="Antonio Maria"/>
        <s v="Orsola"/>
        <s v="Giorgio"/>
        <s v="Pierpaolo (silvia)"/>
        <s v="Paolo "/>
        <s v="Zia Ginni"/>
        <s v="RAGAZZA POP UP"/>
        <s v="Alfonso"/>
        <s v="Alfondo"/>
        <s v="Emilia"/>
        <s v="Giulio"/>
        <s v="Renato"/>
        <s v="Flora"/>
        <s v="Carol"/>
      </sharedItems>
    </cacheField>
    <cacheField name="COGNOME">
      <sharedItems containsBlank="1" containsMixedTypes="1" containsNumber="1" containsInteger="1">
        <s v="Ossola"/>
        <s v="Galletti"/>
        <s v="Rossini"/>
        <s v="Cavalieri"/>
        <s v="Morace"/>
        <s v="Mattelloni"/>
        <s v="Dell'Anna"/>
        <s v="Fabro"/>
        <s v="Biagini"/>
        <s v="Spagnuolo"/>
        <s v="Fanti"/>
        <s v="Valsecchi"/>
        <s v="Rasini"/>
        <s v="Serioli"/>
        <s v="Pervesi"/>
        <s v="Marangoni"/>
        <s v="Roncagliolo"/>
        <s v="Frasoldati"/>
        <s v="Cresto"/>
        <s v="Molina"/>
        <s v="Fantini"/>
        <s v="Mancini"/>
        <s v="Rosa"/>
        <s v="Vaccaro"/>
        <s v="Ferro"/>
        <s v="Magliocco"/>
        <s v="Di Ruscio"/>
        <s v="Righi"/>
        <s v="Tridenti"/>
        <s v="Pieri"/>
        <s v="Giuliano"/>
        <s v="Serantoni"/>
        <s v="Riglietti"/>
        <s v="Ragusa"/>
        <s v="Torri"/>
        <s v="Mosillo"/>
        <s v="de lorenzi"/>
        <s v="ehler"/>
        <s v="sandrucci"/>
        <s v="carcangiu"/>
        <s v="pomati"/>
        <s v="ammirati"/>
        <s v="cappetta farnetti"/>
        <s v="coacci"/>
        <s v="giacalone"/>
        <s v="tronconi"/>
        <s v="bellisario"/>
        <s v="cicogna"/>
        <s v="campanella"/>
        <s v="varraso"/>
        <m/>
        <s v="daldoss"/>
        <s v="botti"/>
        <s v="bravin"/>
        <s v="Spilla"/>
        <s v="Baroni"/>
        <s v="Floriddia"/>
        <s v="Val"/>
        <s v="Cattaneo"/>
        <s v="Rancati"/>
        <s v="Frega"/>
        <s v="Giretti"/>
        <s v="Maselli"/>
        <s v="Mazzurana"/>
        <s v="Monaco"/>
        <s v="Amodio"/>
        <s v="Ruta"/>
        <s v="Dalla Rosa"/>
        <s v="Stabile"/>
        <s v="Bozzia"/>
        <s v="Levi"/>
        <s v="Bonati"/>
        <s v="Campanile"/>
        <s v="Pocobene"/>
        <s v="Schianchi"/>
        <s v="Kasaj"/>
        <s v="Podenza"/>
        <s v="Bardoni"/>
        <s v="Schapira"/>
        <s v="Chierici"/>
        <s v="Ubertini"/>
        <s v="Feston"/>
        <s v="Djordjevic"/>
        <s v="Pedron"/>
        <s v="Manenti"/>
        <s v="Franzi"/>
        <s v="De Pretis"/>
        <s v="Dela Rosa"/>
        <s v="Volpicelli"/>
        <s v="Mantello"/>
        <s v="Sala"/>
        <s v="Calò"/>
        <s v="De La Rosa"/>
        <s v="Presutti"/>
        <s v="Polini"/>
        <s v="Andrzejuk"/>
        <s v="Arrigoni"/>
        <s v="Invernici"/>
        <s v="Oggiano"/>
        <s v="Fumagalli"/>
        <s v="Mazzuca"/>
        <s v="Matton"/>
        <s v="Confalona"/>
        <s v="Robiglioni"/>
        <s v="Uguccioni"/>
        <s v="Donofio"/>
        <s v="Barra"/>
        <s v="Mazzeo"/>
        <s v="Geraci"/>
        <s v="Mazzierli"/>
        <s v="Aiello"/>
        <s v="Fedeli"/>
        <s v="De Santis"/>
        <s v="Rossetto"/>
        <s v="Scarzella"/>
        <s v="Alquati Bonisoli"/>
        <s v="Pistilli"/>
        <s v="Rinaldi"/>
        <s v="Martinotti"/>
        <s v="Lazzi"/>
        <s v="D'Andrea"/>
        <s v="Logo"/>
        <s v="Decet"/>
        <s v="Ruggero"/>
        <s v="Adami"/>
        <s v="Magni"/>
        <s v="Magnani"/>
        <s v="cascio rizzo"/>
        <s v="Polo"/>
        <s v="Venturi"/>
        <s v="Cancellieri"/>
        <s v="Morbello"/>
        <s v="di carolo"/>
        <s v="Casartelli"/>
        <s v="Cacciopolli"/>
        <s v="Ardito"/>
        <s v="Taborelli"/>
        <s v="Urru"/>
        <s v="Ceccarelli"/>
        <s v="Massarenti"/>
        <s v="Conchi"/>
        <s v="Marchi"/>
        <s v="Dissera"/>
        <s v="Ravagni"/>
        <s v="Cameli"/>
        <s v="Mazzucca"/>
        <s v="Bolzon"/>
        <s v="Zacchi"/>
        <s v="Raciti"/>
        <s v="Mastropietro"/>
        <s v="Baserca"/>
        <s v="Carissimo"/>
        <s v="Chiesta"/>
        <s v="Maglia"/>
        <s v="Ronchitelli"/>
        <s v="Farnetti"/>
        <s v="Della Porta"/>
        <s v="Boselli"/>
        <s v="Berardi"/>
        <s v="Gallera"/>
        <s v="Decurso"/>
        <s v="Della Valle"/>
        <s v="Orlando"/>
        <s v="Damini"/>
        <s v="Lanteri"/>
        <s v="Maugeri"/>
        <s v="De Spirit"/>
        <s v="De Pasquale"/>
        <s v="Fabris"/>
        <s v="Raponi"/>
        <s v="Pipani"/>
        <s v="Galliano"/>
        <s v="Rizzati"/>
        <s v="Monzino"/>
        <s v="Lavorante"/>
        <s v="Romano"/>
        <s v="Bussini"/>
        <s v="Giasante"/>
        <s v="Coletti"/>
        <s v="Gaetano"/>
        <s v="Crisci"/>
        <s v="Delle Guanti"/>
        <s v="Bonino"/>
        <s v="Buzzi"/>
        <s v="Trogu"/>
        <s v="Schiavi"/>
        <s v="Porroni"/>
        <s v="Acquarone"/>
        <s v="Veroni"/>
        <s v="Lentini"/>
        <s v="Lionetti"/>
        <s v="Meraviglia"/>
        <s v="Ulivieri"/>
        <s v="Paoli"/>
        <s v="Lezza"/>
        <s v="Brozzoni"/>
        <s v="Cutini"/>
        <s v="Donato"/>
        <s v="Franzese"/>
        <s v="De Vito"/>
        <s v="ERRE"/>
        <s v="Barani Balli"/>
        <s v="Scotton"/>
        <s v="Santangelo"/>
        <s v="Amoruso"/>
        <s v="Ghirardi"/>
        <s v="Mousa"/>
        <s v="Baldicci"/>
        <s v="Cefis"/>
        <s v="Callegari"/>
        <s v="Pocaterra"/>
        <s v="Palazzo"/>
        <s v="Marcenò"/>
        <s v="Lavarini"/>
        <s v="Oliverio"/>
        <s v="Cantini"/>
        <s v="Corinaldi"/>
        <s v="Mattarelli"/>
        <s v="Filippi"/>
        <s v="De Marco"/>
        <s v="Tosca"/>
        <s v="Julie Jamoli"/>
        <s v="Bernardini"/>
        <s v="Pace"/>
        <s v="Maccini"/>
        <s v="Mazzotti"/>
        <s v="Giusti"/>
        <s v="Lizzi"/>
        <s v="Kaculi"/>
        <s v="Bladino"/>
        <s v="Bianco"/>
        <s v="Marzano"/>
        <s v="Ambrosini"/>
        <s v="Mazzoleni"/>
        <s v="Pianon"/>
        <s v="Redaelli"/>
        <s v="Cianciulli"/>
        <s v="Coradazzi"/>
        <s v="Bollini"/>
        <s v="Gariboldi"/>
        <s v="Petrella"/>
        <s v="Garbarino"/>
        <s v="Premoli"/>
        <s v="Saka"/>
        <s v="Bindi"/>
        <s v="Garuti"/>
        <s v="Cappelletto"/>
        <s v="Pantaleoni"/>
        <s v="Donà"/>
        <s v="Raffaeli"/>
        <s v="Montinaro"/>
        <s v="Emanuele"/>
        <s v="Ferone"/>
        <s v="Loretta"/>
        <s v="Rinaldo"/>
        <s v="Bertorotta"/>
        <s v="Giannetto"/>
        <s v="Nichetti"/>
        <s v="Rossato"/>
        <s v="Miola"/>
        <s v="Offredi"/>
        <s v="Caruso"/>
        <s v="Mensi"/>
        <s v="Vitali"/>
        <s v="Faitanini"/>
        <s v="Gnolfi"/>
        <s v="Quintiliani"/>
        <s v="Magistrato"/>
        <s v="Ferri"/>
        <s v="Pessi"/>
        <s v="Bardazzi"/>
        <s v="Di Cola"/>
        <s v="Sarcinelli"/>
        <s v="Molinaro"/>
        <s v="Marzola"/>
        <s v="Stefenello"/>
        <s v="Masciangelo"/>
        <s v="Zanello"/>
        <s v="Tarasconi"/>
        <s v="Moradin"/>
        <s v="Boccadutri"/>
        <s v="Boehm"/>
        <s v="Campisi"/>
        <s v="Massarelli"/>
        <s v="Marsella"/>
        <s v="Riccardi"/>
        <s v="Valenti"/>
        <s v="Toselli"/>
        <s v="Boscolo"/>
        <s v="Pesole"/>
        <s v="Soldati"/>
        <s v="Gervasio"/>
        <s v="Del Pozzo"/>
        <s v="Valle"/>
        <s v="Tosatti"/>
        <s v="Giommi"/>
        <s v="Bronzetti"/>
        <s v="Massazza"/>
        <s v="Venini"/>
        <s v="Reinhardt"/>
        <s v="Gatti"/>
        <s v="Casalboni"/>
        <s v="Cultrera"/>
        <s v="Micheli"/>
        <s v="Calogero"/>
        <s v="Deli"/>
        <s v="Leccisi"/>
        <s v="Agarla"/>
        <s v="Garola"/>
        <s v="Gianetto"/>
        <s v="Vannucchi"/>
        <s v="Puggioli"/>
        <s v="Gulminelli"/>
        <s v="Quattrini"/>
        <s v="Cuzzucoli"/>
        <s v="Frassine"/>
        <s v="Fiorica"/>
        <s v="Bellelli"/>
        <s v="De Vicaris"/>
        <s v="De Bernardis"/>
        <s v="Neri"/>
        <s v="Terruzzi"/>
        <s v="Tosetti"/>
        <s v="Niro"/>
        <s v="Somachi"/>
        <s v="Candini"/>
        <s v="Salvagni"/>
        <s v="De Francesco"/>
        <s v="Rota"/>
        <s v="Zigiotto"/>
        <s v="Riva"/>
        <s v="Trovato"/>
        <s v="Zacheo"/>
        <s v="Graziaplena"/>
        <s v="Kaplan"/>
        <s v="Polchi"/>
        <s v="Persico"/>
        <s v="Sabatini"/>
        <s v="Pasta"/>
        <s v="Lauber"/>
        <s v="Pizzoni"/>
        <s v="Telesca"/>
        <s v="Imperiale"/>
        <s v="Dalla Betta"/>
        <s v="Pola"/>
        <s v="Galeazzi"/>
        <s v="Loviglio"/>
        <s v="Manghi"/>
        <s v="Segala"/>
        <s v="McCrory"/>
        <s v="Casamenti"/>
        <s v="Santomaso"/>
        <s v="Peron"/>
        <s v="Paci"/>
        <s v="Bini"/>
        <s v="Sperti"/>
        <s v="Fontana"/>
        <s v="Pomi"/>
        <s v="Disassonia"/>
        <s v="Scassera"/>
        <s v="Silvestri"/>
        <s v="Bosio"/>
        <s v="Borriero"/>
        <s v="De Luca"/>
        <s v="Salas"/>
        <s v="Martini"/>
        <s v="Relic"/>
        <s v="Gregorin"/>
        <s v="Vita"/>
        <s v="Gigante"/>
        <s v="Soardo"/>
        <s v="Valvano"/>
        <s v="Mozzatti"/>
        <s v="Leoni"/>
        <s v="Sportelli"/>
        <s v="Verde"/>
        <s v="Ciollaro"/>
        <s v="Torazzi"/>
        <s v="Sangiorgi"/>
        <s v="Pacchiarini"/>
        <s v="Mezzi"/>
        <s v="Zago"/>
        <s v="Trombino"/>
        <s v="Strada"/>
        <s v="De Marchi"/>
        <s v="Cavallaro"/>
        <s v="Angiero"/>
        <s v="Sommaruga"/>
        <s v="Antenna"/>
        <s v="Testino"/>
        <s v="Romano Ferulli"/>
        <s v="Celiento"/>
        <s v="Rizzo"/>
        <s v="Ferrari"/>
        <s v="Chiola"/>
        <s v="Cotogni"/>
        <s v="Della Corte"/>
        <s v="Natuzzi"/>
        <s v="Frattini"/>
        <s v="Pagani"/>
        <s v="Lagomarsino"/>
        <s v="Baldini"/>
        <s v="De Pace"/>
        <s v="Sacchetti"/>
        <s v="Romanetti"/>
        <s v="Zanette"/>
        <s v="Maida"/>
        <s v="Morelli"/>
        <s v="Ruffo"/>
        <s v="Bonassi"/>
        <s v="Della Chiesa"/>
        <s v="Mauri"/>
        <s v="Barthere"/>
        <s v="Fenogli"/>
        <s v="Tripodl"/>
        <s v="Roveglia"/>
        <s v="Pirani"/>
        <s v="Grando"/>
        <s v="Scardigno"/>
        <s v="Bino"/>
        <s v="Caserta"/>
        <s v="Citterio"/>
        <s v="Falzoni"/>
        <s v="Scirocco"/>
        <s v="Guerra"/>
        <s v="Rubino"/>
        <s v="Di Mario"/>
        <s v="Olivieri"/>
        <s v="Boroli"/>
        <s v="Pasolini"/>
        <s v="Padulazzi"/>
        <s v="Cardulo"/>
        <s v="Vaccher"/>
        <s v="Pacelli"/>
        <s v="Marconi"/>
        <s v="Traglia"/>
        <s v="Franco"/>
        <s v="Del Nero"/>
        <s v="Semeraro"/>
        <s v="Armaroli"/>
        <s v="Giorgi"/>
        <s v="Scalmana"/>
        <s v="Cappelletti"/>
        <s v="Maccagnolo"/>
        <s v="De Angelis"/>
        <s v="Piccoli"/>
        <s v="Bassano"/>
        <s v="Crimi"/>
        <s v="Iohn"/>
        <s v="Longari"/>
        <s v="Zuffetti"/>
        <s v="Todisco"/>
        <s v="Cambiaso"/>
        <s v="Rocchini"/>
        <s v="Angeleri"/>
        <s v="Pala"/>
        <s v="De Vicariis"/>
        <s v="Rocchi"/>
        <s v="Erroi"/>
        <s v="Stucchi"/>
        <s v="Rubini"/>
        <s v="Laurolia"/>
        <s v="Tempestini"/>
        <s v="Maggi"/>
        <s v="Giovanelli"/>
        <s v="Massimilanio"/>
        <s v="Golleri"/>
        <s v="Cococcia"/>
        <s v="Cozzi"/>
        <s v="Luraschi"/>
        <s v="Grossoni"/>
        <s v="Montani"/>
        <s v="Ardemagni"/>
        <s v="Guazzo"/>
        <s v="Rapazzini"/>
        <s v="Munao"/>
        <s v="Pizzuto"/>
        <s v="Mirra"/>
        <s v="Caputo"/>
        <s v="Stacchiotti"/>
        <s v="Russo"/>
        <s v="Bassi"/>
        <s v="Ruffini"/>
        <s v="Ficcadenti"/>
        <s v="Lolli"/>
        <s v="Guidetti"/>
        <s v="Carutti"/>
        <s v="Meglini"/>
        <s v="Cinquini"/>
        <s v="Tronci"/>
        <s v="Fassio"/>
        <s v="Attolico"/>
        <s v="Tessari"/>
        <s v="De Grenet"/>
        <s v="Falini"/>
        <s v="Trage"/>
        <s v="Costalunga"/>
        <s v="Fanfani"/>
        <s v="Amico Fred"/>
        <s v="Travaglia"/>
        <s v="Decio"/>
        <s v="ANITA COACH"/>
        <s v="Elefanti"/>
        <s v="Mimi a lamer"/>
        <s v="Bellassai"/>
        <s v="Rinalda"/>
        <s v="Tonoletti"/>
        <s v="Lasagna"/>
        <s v="Lomuzio"/>
        <s v="Capella"/>
        <s v="Bruni"/>
        <s v="audisio"/>
        <s v="nome ig"/>
        <s v="Colucci"/>
        <s v="Bisciotti"/>
        <s v="Perinelli"/>
        <s v="Stylist Alessia Lanza"/>
        <s v="Tremolada"/>
        <s v="Secchi"/>
        <s v="Porcari"/>
        <s v="Cattoni"/>
        <s v="FORTUNA"/>
        <s v="Longo"/>
        <s v="Giammancheri"/>
        <s v="Broggini"/>
        <s v="Pingu"/>
        <s v="Bovio"/>
        <s v="Bonvicini"/>
        <s v="Crema"/>
        <s v="Fiorentino"/>
        <s v="Lanzoni"/>
        <s v="Nilla Spinelli"/>
        <s v="Iannascoli"/>
        <s v="Mistrorigo"/>
        <s v="Borsari"/>
        <s v="Thun"/>
        <s v="Amalto"/>
        <s v="Gracis"/>
        <s v="Matturi"/>
        <s v="Brizzola"/>
        <s v="Mosca"/>
        <s v="Tronchetti Provera"/>
        <s v="Greco"/>
        <s v="Rusconi"/>
        <s v="Giuliani"/>
        <s v="Croce"/>
        <s v="Spiro"/>
        <s v="Pedersoli"/>
        <s v="Negrisoli"/>
        <s v="Ferrario"/>
        <s v="Sulfaro"/>
        <s v="Maniscalco"/>
        <s v="Salemi"/>
        <s v="Iuliani"/>
        <s v="Li Donni"/>
        <s v="Nacci"/>
        <s v="Pasqualini"/>
        <s v="Quaglia"/>
        <s v="Petrone"/>
        <s v="Feroci"/>
        <s v="Agostini"/>
        <n v="3.485665322E9"/>
        <s v="Di Mancini"/>
        <s v="Cagnetta"/>
        <s v="Fragaki"/>
        <s v="Rayneri"/>
        <s v="scotti"/>
        <s v="Ferracini"/>
        <s v="valtellino"/>
        <s v="Fraioli"/>
        <s v="Pedon"/>
        <s v="Trevisan Volta"/>
        <s v="Menozzi"/>
        <s v="Vella"/>
        <s v="Perotti"/>
        <s v="Garimoldi"/>
        <s v="Vaira"/>
        <s v="Faccioli Eterno "/>
        <s v="Bianchi"/>
        <s v="Mojioli"/>
        <s v="Petrongari"/>
        <s v="Fisichella"/>
        <s v="Ansbacher"/>
        <s v="Barni"/>
        <s v="Zuanelli"/>
        <s v="Suriano"/>
        <s v="Santana"/>
        <s v="Vullo"/>
        <s v="Mottola"/>
        <s v="Di Filippo"/>
        <s v="Notari"/>
        <s v="Binelli"/>
        <s v="Barba"/>
        <s v="Morini"/>
        <s v="MOLESINI"/>
        <s v="Regazzoni"/>
        <s v="Meda"/>
        <s v="ZANUSO"/>
        <s v="Berenghi"/>
        <s v="Fedrigotti"/>
        <s v="Patechi"/>
        <s v="Farinet"/>
        <s v="De Negris"/>
        <s v="Agnolin"/>
        <s v="Brinza"/>
        <s v="Galli"/>
        <s v="Montanelli"/>
        <s v="Mandica"/>
        <s v="Rivelli"/>
        <s v="Masetti"/>
        <s v="Gasperini"/>
        <s v="Galanti"/>
        <s v="Ribotta"/>
        <s v="Francavilla"/>
        <s v="Daniore"/>
        <s v="Branca"/>
        <s v="Dabarto"/>
        <s v="Cataudella"/>
        <s v="Poppi"/>
        <s v="Vigo"/>
        <s v="Guida"/>
        <s v="Duati"/>
        <s v="Penati"/>
        <s v="Gambarini"/>
        <s v="Rondelli"/>
        <s v="Floro"/>
        <s v="guidi"/>
        <s v="Cinali"/>
        <s v="Dalla Bona"/>
        <s v="Antonacci"/>
        <s v="Promontorio"/>
        <s v="Vincenzo"/>
        <s v="Coazzoli"/>
        <s v="Gambarino"/>
        <s v="Zagaria"/>
        <s v="Lazzaroni"/>
        <s v="Cortose"/>
        <s v="Covelli"/>
        <s v="Minoia"/>
        <s v="Rusa"/>
        <s v="Lamacchia"/>
        <s v="Manili"/>
        <s v="Chirico"/>
        <s v="Chiarletti"/>
        <s v="Bona"/>
        <s v="Lorenzi"/>
        <s v="Di Molfetta"/>
        <s v="Cairoli"/>
        <s v="Corno"/>
        <s v="Giovannetti"/>
        <s v="Ferrari Ardicini"/>
        <s v="Braghenti"/>
        <s v="Nardini"/>
        <s v="Chiregato (COSTALUNGA)"/>
        <s v="XX"/>
        <s v="Commellato"/>
        <s v="Merati"/>
        <s v="Martinelli"/>
        <s v="Soave"/>
        <s v="Engel Pelu"/>
        <s v="Avolio"/>
        <s v="Vincenzo (era greta)"/>
        <s v="Mariotti"/>
        <s v="Chiarini"/>
        <s v="Vergini"/>
        <s v="Melandri"/>
        <s v="Prandi"/>
        <s v="Francesconi"/>
        <s v="Crisante"/>
        <s v="Calegari"/>
        <s v="Ruggeri"/>
        <s v="Borella"/>
        <s v="Santhilla Beretta"/>
        <s v="Sana"/>
        <s v="VALLAPERTA"/>
        <s v="Minella "/>
        <s v="Minella"/>
        <s v="Baglioni"/>
        <s v="Abdelaziz"/>
        <s v="Bellipace"/>
        <s v="Madein.C"/>
        <s v="Asti"/>
        <s v="Milanese"/>
        <s v="Commercialista"/>
        <s v="Da Col"/>
        <s v="Lorenzetti"/>
        <s v="Pizzato"/>
        <s v="Attolico (FAKE)"/>
        <s v="Fabbri"/>
        <s v="Fabbi"/>
        <s v="Di Marco"/>
        <s v="Campione"/>
        <s v="Di Sabatino"/>
        <s v="Molesini (FAKE)"/>
        <s v="Roselli"/>
        <s v="Mancini (FAKE)"/>
        <s v="Zanelli"/>
        <s v="Di Gioia"/>
        <s v="Vannucchi (fake)"/>
        <s v="Brandani"/>
        <s v="Armellino"/>
        <s v="Gechele"/>
        <s v="Di Terlizzi"/>
        <s v="Cami"/>
        <s v="Romani"/>
        <s v="Soprani"/>
        <s v="Carolina "/>
        <s v="Villa"/>
        <s v="Peraldo"/>
        <s v="Amman"/>
        <s v="Ficca"/>
        <s v="Ton"/>
        <s v="Mioccio"/>
        <s v="Valchi"/>
        <s v="Donofrio"/>
        <s v="Savoldi"/>
        <s v="Zara"/>
        <s v="Re"/>
        <s v="Dieci10 Brand"/>
        <s v="Giovetti"/>
        <s v="Mercuri"/>
        <s v="Delfino"/>
        <s v="De Scalzo"/>
        <s v="Mamma Gio"/>
      </sharedItems>
    </cacheField>
    <cacheField name="MODELLO" numFmtId="0">
      <sharedItems containsBlank="1">
        <s v="LOLA BAG"/>
        <s v="SOPHIE BAG"/>
        <s v="ANNIE BAG"/>
        <s v="LEA BAG"/>
        <s v="VALENTINA BAG"/>
        <s v="ANNIE BAG PAILLETTES"/>
        <s v="CECILIA BAG"/>
        <s v="Amì Gift Card"/>
        <s v="CLESSIDRA BAG"/>
        <s v="2 Bustine Large + cerchio L"/>
        <s v="Airpods Case + Midi Case"/>
        <s v="AIRPODS CASE"/>
        <s v="LOLA BAG + CHARM"/>
        <s v="MIDI CASE"/>
        <s v="BON.VI x Amì Milano - RED"/>
        <s v="ANNIE BAG PERLINE"/>
        <s v="prototipo (deve 5)"/>
        <s v="ANNIE BAG PERLINE "/>
        <m/>
        <s v="BUSTINA SMALL"/>
        <s v="BUSTINA LARGE"/>
        <s v="Bustina"/>
        <s v="PORTACHIAVI"/>
        <s v="Charm con Bonvi"/>
        <s v="Elastico"/>
        <s v="Verniciata Verde"/>
        <s v="Charms Bonvi x Amì RED"/>
        <s v="Airpods Case nero"/>
        <s v="Charms Bonvi x Amì CHOCOLATE"/>
        <s v="Charms Bonvi x Amì SILVER"/>
      </sharedItems>
    </cacheField>
    <cacheField name="COLORE" numFmtId="0">
      <sharedItems containsBlank="1">
        <m/>
        <s v="nera"/>
        <s v="stampa savage"/>
        <s v="paillettes"/>
        <s v="stampa leopardata chiara"/>
        <s v="RED"/>
        <s v="Leopardata"/>
        <s v="zebrata"/>
        <s v="paillettes rosa"/>
        <s v="stampa animalier"/>
        <s v="Pink"/>
        <s v="Grey"/>
        <s v="Lilla"/>
        <s v="stampa zebrata 2"/>
        <s v="stampa zebrata"/>
        <s v="Muccata"/>
        <s v="stampa leopardo"/>
        <s v="Leopardo"/>
        <s v="Muccata Marrone"/>
        <s v="zebra"/>
        <s v="zebra marrone"/>
        <s v="Blu Elettric"/>
        <s v="Texture Ocra"/>
        <s v="Zebrata Marron"/>
        <s v="Paillettes Green"/>
        <s v="Black"/>
        <s v="Yellow"/>
        <s v="Marron"/>
        <s v="Green"/>
        <s v="Rosa Cipria"/>
        <s v="Marron Chocolate"/>
        <s v="Rossa"/>
        <s v="Fucsia"/>
        <s v="Purple"/>
        <s v="Rosa &amp; Panna"/>
        <s v="Orange"/>
        <s v="Blue Elettric"/>
        <s v="striata marron"/>
        <s v="Pink Barbie"/>
        <s v="Arancione"/>
        <s v="Classic Blue"/>
        <s v="Blue Sky"/>
        <s v="Turquoise"/>
        <s v="Dark Blue"/>
        <s v="Bordeaux"/>
        <s v="Leopardo Beige"/>
        <s v="Zebrata Beige/Marron"/>
        <s v="Leopardo Scuro"/>
        <s v="Zebra Marron/Beige"/>
        <s v="Zebra Marron"/>
        <s v="Zebra Marron (dentro viola)"/>
        <s v="Nude"/>
        <s v="Panne &amp; Verde"/>
        <s v="Lea Bag Grey"/>
        <s v="Cocco Marron"/>
        <s v="Turchese"/>
        <s v="Vernice Rossa"/>
        <s v="Leopardo "/>
        <s v="Beige"/>
        <s v="Verde"/>
        <s v="Red Velvet"/>
        <s v="Cocco Chocolate"/>
        <s v="Vernice Viola Malva"/>
        <s v="Pony Leopard"/>
        <s v="Muccata Nera"/>
        <s v="Marrone Chocolate"/>
        <s v="Scuro"/>
        <s v="Paillettes Beige"/>
        <s v="Lea Bag Leopardo Beige"/>
        <s v="Pony Zebra"/>
        <s v="Vernice Nera"/>
        <s v="Leopard Dark"/>
        <s v="Pink Velvet"/>
        <s v="Pony Black"/>
        <s v="RIGHE"/>
        <s v="LISA CORTI"/>
        <s v="difettata"/>
        <s v="RAFIA"/>
        <s v="paillettes marron"/>
        <s v="RAFIA ORO"/>
        <s v="rosa seta"/>
        <s v="in paillettes"/>
        <s v="velluto rosa"/>
        <s v="VERNICE ROSA"/>
        <s v="raso bordoux"/>
        <s v="Grigia"/>
        <s v="seta marron"/>
        <s v="rosa antico"/>
        <s v="seta verde"/>
        <s v="CAMOSCIO"/>
        <s v="raso rosa"/>
        <s v="rosa scuro"/>
        <s v="BLU CLASSIC"/>
        <s v="RIGHE VERDI"/>
        <s v="RIGHE ROSA"/>
        <s v="paillettes azzurra"/>
        <s v="con catena"/>
        <s v="Arancio"/>
        <s v="Difetto"/>
        <s v="petrolio"/>
        <s v="Bluette"/>
        <s v="ZEBRATA MARRONE"/>
        <s v="ARANCIO E FUCSIA"/>
        <s v="Rosa chiaro"/>
        <s v="BIANCA E VERDE"/>
        <s v="con perline"/>
        <s v="con paillettes"/>
        <s v="Velluto Ocra "/>
        <s v="Verde petrolio"/>
        <s v="BICOLOR"/>
        <s v="ARDATA"/>
        <s v="rosa paietes"/>
        <s v="rosa pallido"/>
        <s v="e Fucsia"/>
        <s v="e Arancio"/>
        <s v="cordino turchese"/>
        <s v="ARGENTO"/>
        <s v="BLU ELETTRIA"/>
        <s v="e Bluette"/>
        <s v="Raso Mattone"/>
        <s v="STRIATA"/>
        <s v="C EST LA VI"/>
        <s v="Paillettes red"/>
        <s v="cordino verde"/>
        <s v="ZEBRATA MARA"/>
        <s v="LEA BAG STRIATA MARA"/>
        <s v="Bag"/>
        <s v="perlina difetto"/>
        <s v="BLU NIGHT"/>
        <s v="GRIGIO TOPO"/>
        <s v="BEIGEA"/>
        <s v="ANIMALIER ZEBRATA"/>
        <s v="LEOPARDO SCURO "/>
        <s v="LEOPARDO SCURA"/>
        <s v="TIE DIE NERA"/>
        <s v="LEOPARDO SCA"/>
        <s v="BEIA"/>
        <s v="BLU SCURO"/>
        <s v="MACULATA BEIGE"/>
        <s v="BORDEAUX DIFETTATA"/>
        <s v="interno ocra"/>
        <s v="LEOPARDO CHA"/>
        <s v="LEOPARDO MEA"/>
        <s v="LEOPARDO MEDIA"/>
        <s v="Verdona Velluto"/>
        <s v="LEOPARDO CHIARO"/>
        <s v="VELLUTO ROSSO"/>
        <s v="perline rosa"/>
        <s v="Vernice Viola"/>
        <s v="Paillettes Verde"/>
        <s v="Velluto Blu"/>
        <s v="Velluto Ottanio"/>
        <s v="COCCO NERO"/>
        <s v="Cavallino Arancione"/>
        <s v="cerchio"/>
        <s v="BLU"/>
        <s v="MACULATA"/>
        <s v="Marrone"/>
        <s v="BLACK SCURO"/>
        <s v="Nero + cerchio"/>
        <s v="VERNICE ROSSO"/>
        <s v="Velluto Verde"/>
        <s v="LEOPARDO NORMALE"/>
        <s v="COCCO MARRONE"/>
        <s v="blu velluto"/>
        <s v="Paillettes Grigio"/>
        <s v="Turchese fodera gialla"/>
        <s v="MONTONE NERA"/>
        <s v="turchese|giallo"/>
        <s v="PINK BARBIEA"/>
        <s v="Verde Vernice"/>
        <s v="nera + cerchio"/>
        <s v="verde + catena"/>
        <s v="Grigio"/>
        <s v="Paillettes Ocra"/>
        <s v="Rovinata"/>
        <s v="Verde Paillettes"/>
        <s v="Velluto a Coste Blu"/>
        <s v="Leopardo + portachiavi"/>
        <s v="MUCCATO NERA"/>
      </sharedItems>
    </cacheField>
    <cacheField name="QUANTITA">
      <sharedItems containsBlank="1" containsMixedTypes="1" containsNumber="1" containsInteger="1">
        <n v="1.0"/>
        <n v="2.0"/>
        <n v="7.0"/>
        <n v="4.0"/>
        <n v="6.0"/>
        <s v="RIMBORSO"/>
        <n v="5.0"/>
        <m/>
        <n v="3.0"/>
      </sharedItems>
    </cacheField>
    <cacheField name="PRICE/UNIT" numFmtId="0">
      <sharedItems containsString="0" containsBlank="1">
        <m/>
      </sharedItems>
    </cacheField>
    <cacheField name="PAYMENT METHOD" numFmtId="0">
      <sharedItems containsBlank="1">
        <s v="carta di credito"/>
        <m/>
        <s v="paypal"/>
        <s v="cash"/>
        <s v="revolut"/>
        <s v="da verificare"/>
        <s v="bonifico"/>
        <s v="contanti"/>
        <s v="pos"/>
        <s v="paypal benni"/>
        <s v="cash (li ha ginni)"/>
        <s v="carta"/>
        <s v="se ne occupa ginni"/>
        <s v="cash ginni"/>
        <s v="GIFT"/>
        <s v="cash (me li deve dare)"/>
        <s v="cash che ha ginni"/>
        <s v="revolut ginni"/>
        <s v="CASH CHE PRENDE GINNI"/>
        <s v="DEVE PAGARE"/>
        <s v="CONSEGNATA DEVE PAGARE"/>
        <s v="paypal benni (adv)"/>
        <s v="DA CONSEGNARE"/>
        <s v="Bonifico in attesa"/>
        <s v="cash + paypal"/>
        <s v="pagamento come?"/>
        <s v="CAPIRE COME PAGARE"/>
        <s v="Revolut Ginni o IBAN"/>
        <s v="contanti benni"/>
        <s v="conto ginni (deve prelevare cash)"/>
        <s v="capire con ginni se con o senza catena"/>
        <s v="revolut benni"/>
        <s v="deve ancora pagare"/>
        <s v="carta di credito "/>
        <s v="?"/>
        <s v="conto ginni x prelievo (revolut)"/>
        <s v="ginni si mette d'accordo"/>
        <s v="conto ginni (revolut)"/>
        <s v="bonifico bancario"/>
        <s v="revolut ginn"/>
        <s v="da capire"/>
      </sharedItems>
    </cacheField>
    <cacheField name="TOTAL PRICE">
      <sharedItems containsBlank="1" containsMixedTypes="1" containsNumber="1">
        <n v="75.0"/>
        <n v="55.0"/>
        <n v="73.0"/>
        <n v="85.0"/>
        <n v="70.0"/>
        <n v="47.5"/>
        <n v="95.0"/>
        <n v="105.0"/>
        <n v="80.0"/>
        <n v="90.0"/>
        <s v=" 77,25"/>
        <n v="110.0"/>
        <n v="103.0"/>
        <n v="98.0"/>
        <n v="109.0"/>
        <n v="114.0"/>
        <n v="321.3"/>
        <n v="213.0"/>
        <n v="196.7"/>
        <n v="175.0"/>
        <n v="100.0"/>
        <n v="52.5"/>
        <n v="170.0"/>
        <n v="45.0"/>
        <n v="141.0"/>
        <n v="115.0"/>
        <n v="81.3"/>
        <n v="104.0"/>
        <n v="81.5"/>
        <n v="158.0"/>
        <n v="63.0"/>
        <n v="72.5"/>
        <n v="50.0"/>
        <n v="86.0"/>
        <n v="77.0"/>
        <n v="93.0"/>
        <n v="61.0"/>
        <n v="272.0"/>
        <n v="176.9"/>
        <n v="91.9"/>
        <n v="106.9"/>
        <n v="159.9"/>
        <n v="81.9"/>
        <n v="179.9"/>
        <n v="96.9"/>
        <n v="126.9"/>
        <n v="136.0"/>
        <n v="340.0"/>
        <n v="135.0"/>
        <n v="120.0"/>
        <s v=" RIMBORSO"/>
        <n v="185.0"/>
        <n v="121.9"/>
        <n v="153.9"/>
        <n v="110.4"/>
        <n v="108.9"/>
        <n v="114.9"/>
        <n v="102.9"/>
        <n v="104.65"/>
        <n v="79.15"/>
        <n v="116.9"/>
        <n v="66.9"/>
        <n v="138.7"/>
        <n v="83.4"/>
        <n v="176.0"/>
        <n v="105.9"/>
        <n v="62.9"/>
        <n v="34.9"/>
        <n v="180.0"/>
        <n v="150.0"/>
        <n v="156.9"/>
        <n v="179.6"/>
        <n v="76.5"/>
        <n v="28.0"/>
        <n v="25.0"/>
        <n v="256.9"/>
        <m/>
        <n v="37.9"/>
        <n v="141.9"/>
        <n v="100.4"/>
        <n v="151.4"/>
        <n v="65.9"/>
        <s v="/"/>
        <n v="69.9"/>
        <n v="108.0"/>
        <n v="65.0"/>
        <n v="300.0"/>
        <n v="60.0"/>
        <n v="40.0"/>
        <n v="125.0"/>
        <n v="160.0"/>
        <s v="GIFT"/>
        <n v="78.0"/>
        <n v="30.0"/>
        <n v="140.0"/>
        <n v="130.0"/>
        <n v="88.2"/>
        <n v="88.0"/>
        <n v="87.2"/>
        <n v="68.0"/>
        <n v="145.0"/>
        <n v="96.0"/>
        <n v="119.0"/>
        <n v="360.0"/>
        <n v="26.0"/>
        <n v="27.0"/>
        <n v="20.0"/>
        <n v="10.0"/>
        <n v="267.0"/>
        <n v="195.0"/>
        <n v="187.0"/>
        <n v="38.0"/>
        <n v="126.0"/>
        <n v="216.0"/>
        <n v="190.0"/>
        <n v="22.0"/>
        <n v="31.0"/>
        <n v="54.0"/>
        <n v="215.0"/>
        <n v="102.0"/>
      </sharedItems>
    </cacheField>
    <cacheField name="SHIPPING" numFmtId="0">
      <sharedItems containsString="0" containsBlank="1">
        <m/>
      </sharedItems>
    </cacheField>
    <cacheField name="GROSS REVENUE" numFmtId="0">
      <sharedItems containsString="0" containsBlank="1">
        <m/>
      </sharedItems>
    </cacheField>
    <cacheField name="COMMENTS" numFmtId="0">
      <sharedItems containsBlank="1">
        <m/>
        <s v="CHECK"/>
        <s v="CONVERTED INTO TWO ORDERS"/>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26" sheet="2024 Costs"/>
  </cacheSource>
  <cacheFields>
    <cacheField name="MONTH" numFmtId="0">
      <sharedItems containsSemiMixedTypes="0" containsString="0" containsNumber="1" containsInteger="1">
        <n v="1.0"/>
        <n v="2.0"/>
        <n v="3.0"/>
        <n v="4.0"/>
        <n v="5.0"/>
        <n v="6.0"/>
        <n v="7.0"/>
        <n v="8.0"/>
        <n v="9.0"/>
        <n v="10.0"/>
        <n v="11.0"/>
        <n v="12.0"/>
      </sharedItems>
    </cacheField>
    <cacheField name="COST" numFmtId="0">
      <sharedItems>
        <s v="canone mensile conto"/>
        <s v="Ikea"/>
        <s v="Conceria S.Croce"/>
        <s v="CDC Luxury Chain"/>
        <s v="PackHelp"/>
        <s v="Arcobaleno"/>
        <s v="NOTA SPESE"/>
        <s v="Abbonamento GLS"/>
        <s v="Fiorella"/>
        <s v="ADV IG - sponsorizzata 1"/>
        <s v="ADV IG - sponsorizzata 2"/>
        <s v="Produzione borse uncinetto + rafia"/>
        <s v="Spazio shooting &quot;The Colour Capsule&quot;"/>
        <s v="MailChimp"/>
        <s v="Pagamento Vale Bag"/>
        <s v="Delega I24"/>
        <s v="Pagamento tasse Ginni"/>
        <s v="Cecilia"/>
        <s v="telo shooting vale"/>
        <s v="calze shooting vale"/>
        <s v="nota spesa (pranzo offerto a fotografi)"/>
        <s v="Pelli Francesco"/>
        <s v="Sipec sacchetti personalizzati"/>
        <s v="Fili rafia"/>
        <s v="PackHelp scatole"/>
        <s v="Pisotti"/>
        <s v="Produzione Valentina Bag"/>
        <s v="Recopel"/>
        <s v="Prototipo Valentina Bag"/>
        <s v="Tessuti e scampoli"/>
        <s v="Borse Cecilia"/>
        <s v="Volantini evento"/>
        <s v="EVENTO PAREA -  MILLO"/>
        <s v="TOTE BAG 50"/>
        <s v="Implementazione nuovo Logo/Colori website"/>
        <s v="Campagna Valentina Cabassi"/>
        <s v="KODAK x Evento"/>
        <s v="Evento Mimialamer"/>
        <s v="Saldo commercialista '22"/>
        <s v="Pelle ZEROW"/>
        <s v="Tessuti paillettes"/>
        <s v="Valentina Bag - Francesco"/>
        <s v="GLS pagamento abbonamento"/>
        <s v="Pagamento Pelli + Cavallino Santa Croce"/>
        <s v="Caterina Thun (personale)"/>
        <s v="Scatole x Campaign Vale Bag"/>
        <s v="Cartoline (0,20 cent)"/>
        <s v="Poster (4 x la vendita)"/>
        <s v="ZEROW pelli"/>
        <s v="IVA I trimestre 2024"/>
        <s v="Contributi INPS fissi"/>
        <s v="Fili ottone "/>
        <s v="Spazio"/>
        <s v="NOTA SPESA 2 APE POP UP"/>
        <s v="NOTA SPESE POP UP PRANZI BENNI GINNI"/>
        <s v="Verpel (Lea Bag)"/>
        <s v="Fiorella (Annie bag)"/>
        <s v="SPESA EXTRA"/>
        <s v="RIMBORSO SPESE ginni"/>
        <s v="ADV IG (paypal)"/>
        <s v="EVENTO POP UP GENOVA"/>
        <s v="POP UP MIMIALAMER"/>
        <s v="Shooting Morgana"/>
        <s v="Foderazione Cecilia Bag"/>
        <s v="RIMBORSO BENZINA GENOVA"/>
        <s v="PRODUZIONE Valentina Bag (76) + Lea"/>
        <s v="FATTURA COMMERCIALISTA 23"/>
        <s v="pop up corso garibaldi"/>
        <s v="Shooting MARTIN"/>
        <s v="Sacchetti"/>
        <s v="nota spesa benni (multa)"/>
        <s v="nota spesa pareggio farmacia ginni (Benni)"/>
        <s v="nota spese pop up pranzi"/>
        <s v="Soldi Nina"/>
        <s v="Rimborso spese ginni e benni"/>
        <s v="Rimborso spese maggio + giugno x vari pop"/>
        <s v="Tassa STRIPE"/>
        <s v="Spedizione CA"/>
        <s v="nota spesa"/>
        <s v="SIPEC"/>
        <s v="Rimborso Benni"/>
        <s v="tessuti fada"/>
        <s v="BORSA DA COPIARE"/>
        <s v="Rimborso spese"/>
        <s v="Fattura Sample Lover"/>
        <s v="Espositori"/>
        <s v="LEA BAG FRANCESCO"/>
        <s v="Prototipo borsa in paillettes "/>
        <s v="STIPENDIO GINNI E BENNI MESI 4"/>
        <s v="STIPENDIO GINNI"/>
        <s v="STIPENDIO BENNI"/>
        <s v="Nota spesa (pranzi, benzina)"/>
        <s v="Abbonamento amanzon prime"/>
        <s v="VERPEL (Francesco)"/>
        <s v="Shopify"/>
        <s v="IVA 2 trimestre 2024"/>
        <s v="RATA INPS"/>
        <s v="Spese varie (pranzi, benzina, ecc.)"/>
        <s v="Amazon"/>
        <s v="Contratto GLS"/>
        <s v="Nuove Etichette"/>
        <s v="Cartucce stampante"/>
        <s v="Dutchlabel etichette"/>
        <s v="Rimborso Toscana"/>
        <s v="ZEROW SRL tessuti"/>
        <s v="Benzina "/>
        <s v="Campione"/>
        <s v="Spesa"/>
        <s v="Fada Tessuti"/>
        <s v="A2A GINNI"/>
        <s v="Senesi Group (1 tranche group)"/>
        <s v="Fiorella "/>
        <s v="Nota spese (pranzi, benzine, ecc.)"/>
        <s v="Cartoline Qualità Prodotto"/>
        <s v="Ricami sposa "/>
        <s v="GIMA srl"/>
        <s v="Fiorella Ciabocco"/>
        <s v="MLM Mazzola"/>
        <s v="PAGAMENTO 50% RECOPEL ORDINE"/>
        <s v="stipendio benni e ginni"/>
        <s v="Accessori GIMA"/>
        <s v="Spese Shooting Clessidra + Charms BonVi"/>
        <s v="Fattura Verpell fornitore"/>
        <s v="HOSTING SITO"/>
        <s v="Arcobaleno (fodera tracolle Lea Bag)"/>
        <s v="ADV IG"/>
        <s v="MLM Accessori Charms + Collab Guia"/>
        <s v="Espositori Amazon"/>
        <s v="Fiorella Lola Bag"/>
        <s v="Zeus Evento"/>
        <s v="Dogana Stickers"/>
        <s v="Evento influencer pop up via statuto 12"/>
        <s v="pop up via statuto 12"/>
        <s v="Delega I24 IVA 3 Trimestre"/>
        <s v="Delega I24 rata INPS"/>
        <s v="GINNI IN PIU (BENNI DA MESE PROX)"/>
        <s v="Stipendo Ginni"/>
        <s v="Shooting Clessidra Bag + Still Life"/>
        <s v="CASH A FRANCESCO"/>
        <s v="Nota spese (pranzi, benzine, shooting, ecc.)"/>
        <s v="CISAPELLI"/>
        <s v="STIKERS INDIA"/>
        <s v="PELLI ZEROLAB"/>
        <s v="VERPELL PROD. BORSE"/>
        <s v="SENESi Group (2 tranche group)"/>
        <s v="POP UP TWINS AND SHOUT"/>
        <s v="POP UP SCILE (+evento)"/>
        <s v="Spedizioni TWS"/>
        <s v="Pop Up Corso Garibaldi 44 "/>
        <s v="Shooting Natale + Capodanno"/>
        <s v="VOLI INDIA BENNI + GINNI"/>
        <s v="Plinio Pop Up"/>
        <s v="Acconto Francesco"/>
        <s v="Recopel (saldo fattura annie bag)"/>
        <s v="Recopel (cavallino zebrato)"/>
        <s v="Fattura 20 Valentina Bag Red"/>
        <s v="GIFT NATALE FORNITORI"/>
        <s v="Pagamento Pelli Zeus"/>
        <s v="Francesco"/>
        <s v="Acconto saldo Francesco"/>
        <s v="TWS"/>
      </sharedItems>
    </cacheField>
    <cacheField name="DETAIL" numFmtId="0">
      <sharedItems containsBlank="1">
        <m/>
        <s v="Mobile x magazzino"/>
        <s v="Pelli Conceria S.Croce"/>
        <s v="Catene Ottone (25 m)"/>
        <s v="scatole (1.59 al pezzo)"/>
        <s v="200 etichette"/>
        <s v="Pranzo con Francesco"/>
        <s v="Pranzo Shooting"/>
      </sharedItems>
    </cacheField>
    <cacheField name="IMPORTO (EUR)">
      <sharedItems containsMixedTypes="1" containsNumber="1">
        <n v="6.95"/>
        <n v="212.0"/>
        <n v="360.0"/>
        <n v="320.25"/>
        <n v="60.0"/>
        <n v="137.57"/>
        <n v="59.0"/>
        <n v="464.21"/>
        <n v="523.38"/>
        <n v="10.0"/>
        <n v="50.0"/>
        <n v="145.0"/>
        <n v="200.0"/>
        <n v="15.0"/>
        <n v="22.0"/>
        <n v="987.0"/>
        <n v="1073.15"/>
        <n v="993.0"/>
        <n v="174.0"/>
        <n v="40.0"/>
        <n v="12.0"/>
        <n v="9.0"/>
        <n v="90.0"/>
        <n v="130.0"/>
        <n v="480.0"/>
        <n v="210.0"/>
        <n v="77.0"/>
        <n v="25.28"/>
        <n v="958.0"/>
        <n v="765.0"/>
        <n v="151.0"/>
        <n v="369.66"/>
        <n v="395.0"/>
        <n v="158.0"/>
        <n v="30.0"/>
        <n v="660.0"/>
        <s v="/"/>
        <n v="260.0"/>
        <n v="86.38"/>
        <n v="1049.0"/>
        <n v="250.0"/>
        <n v="824.0"/>
        <n v="100.0"/>
        <n v="111.0"/>
        <n v="300.0"/>
        <n v="4304.0"/>
        <n v="748.0"/>
        <n v="203.0"/>
        <n v="17.5"/>
        <n v="389.0"/>
        <n v="857.33"/>
        <n v="1128.87"/>
        <n v="55.0"/>
        <n v="150.0"/>
        <n v="87.0"/>
        <n v="1093.0"/>
        <n v="353.0"/>
        <n v="916.0"/>
        <n v="35.9"/>
        <n v="35.0"/>
        <n v="160.0"/>
        <n v="20.0"/>
        <n v="369.99"/>
        <n v="192.0"/>
        <n v="5511.47"/>
        <n v="997.0"/>
        <n v="366.0"/>
        <n v="671.0"/>
        <n v="242.0"/>
        <n v="70.0"/>
        <n v="27.0"/>
        <n v="71.0"/>
        <n v="350.0"/>
        <n v="540.0"/>
        <n v="449.0"/>
        <n v="120.0"/>
        <n v="329.4"/>
        <n v="47.0"/>
        <n v="566.0"/>
        <n v="80.0"/>
        <n v="109.8"/>
        <n v="122.0"/>
        <n v="1515.5"/>
        <n v="500.0"/>
        <n v="302.87"/>
        <n v="6.99"/>
        <n v="1459.85"/>
        <n v="28.0"/>
        <n v="29.14"/>
        <n v="3281.51"/>
        <n v="31.98"/>
        <n v="114.35"/>
        <n v="160.45"/>
        <n v="58.98"/>
        <n v="195.5"/>
        <n v="220.0"/>
        <n v="1356.21"/>
        <n v="16.0"/>
        <n v="463.6"/>
        <n v="141.0"/>
        <n v="10.2"/>
        <n v="292.35"/>
        <n v="92.5"/>
        <n v="2448.0"/>
        <n v="1311.0"/>
        <n v="104.92"/>
        <n v="949.0"/>
        <n v="23.0"/>
        <n v="104.0"/>
        <n v="382.0"/>
        <n v="234.6"/>
        <n v="244.0"/>
        <n v="292.9"/>
        <n v="1073.0"/>
        <n v="800.0"/>
        <n v="342.0"/>
        <n v="43.3"/>
        <n v="2196.0"/>
        <n v="258.48"/>
        <n v="63.24"/>
        <n v="30.11"/>
        <n v="244.99"/>
        <n v="1484.74"/>
        <n v="114.0"/>
        <n v="68.7"/>
        <n v="581.0"/>
        <n v="461.77"/>
        <n v="41.0"/>
        <n v="99.0"/>
        <n v="184.0"/>
        <n v="1708.89"/>
        <n v="1128.7"/>
        <n v="112.0"/>
        <n v="424.0"/>
        <n v="976.0"/>
        <n v="592.92"/>
        <n v="372.0"/>
        <n v="124.0"/>
        <n v="1114.0"/>
        <n v="38.0"/>
        <n v="594.0"/>
        <n v="445.0"/>
        <n v="600.0"/>
        <n v="610.0"/>
        <n v="947.0"/>
        <n v="190.0"/>
        <n v="674.0"/>
        <n v="605.0"/>
        <n v="1088.0"/>
        <n v="140.0"/>
        <n v="532.77"/>
        <n v="1000.0"/>
        <n v="1142.5"/>
        <n v="1291.24"/>
        <n v="38.42"/>
        <n v="1190.0"/>
        <n v="851.0"/>
      </sharedItems>
    </cacheField>
    <cacheField name="CATEGORIA" numFmtId="0">
      <sharedItems>
        <s v="OPEX"/>
        <s v="COGS"/>
        <s v="LOGISTICA"/>
        <s v="MARKETING"/>
        <s v="TASSE"/>
        <s v="EVENTI"/>
        <s v="SALARI"/>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626" sheet="DB_Online Sales_24"/>
  </cacheSource>
  <cacheFields>
    <cacheField name="Gennaio">
      <sharedItems containsDate="1" containsBlank="1" containsMixedTypes="1">
        <d v="2024-01-03T00:00:00Z"/>
        <d v="2024-01-10T00:00:00Z"/>
        <d v="2024-01-14T00:00:00Z"/>
        <d v="2024-01-15T00:00:00Z"/>
        <d v="2024-01-17T00:00:00Z"/>
        <d v="2024-01-29T00:00:00Z"/>
        <s v="Febbraio"/>
        <d v="2024-02-14T00:00:00Z"/>
        <d v="2024-02-15T00:00:00Z"/>
        <d v="2024-02-16T00:00:00Z"/>
        <d v="2024-02-17T00:00:00Z"/>
        <d v="2024-02-20T00:00:00Z"/>
        <d v="2024-02-21T00:00:00Z"/>
        <d v="2024-02-22T00:00:00Z"/>
        <d v="2024-02-24T00:00:00Z"/>
        <d v="2024-02-26T00:00:00Z"/>
        <d v="2024-02-27T00:00:00Z"/>
        <d v="2024-02-28T00:00:00Z"/>
        <s v="Marzo"/>
        <d v="2024-03-02T00:00:00Z"/>
        <d v="2024-03-04T00:00:00Z"/>
        <d v="2024-03-05T00:00:00Z"/>
        <d v="2024-03-06T00:00:00Z"/>
        <d v="2024-03-08T00:00:00Z"/>
        <d v="2024-03-15T00:00:00Z"/>
        <d v="2024-03-17T00:00:00Z"/>
        <d v="2024-03-18T00:00:00Z"/>
        <d v="2024-03-19T00:00:00Z"/>
        <d v="2024-03-20T00:00:00Z"/>
        <d v="2024-03-23T00:00:00Z"/>
        <d v="2024-03-24T00:00:00Z"/>
        <d v="2024-03-25T00:00:00Z"/>
        <d v="2024-03-27T00:00:00Z"/>
        <d v="2024-03-29T00:00:00Z"/>
        <s v="Aprile"/>
        <m/>
        <d v="2024-04-04T00:00:00Z"/>
        <d v="2024-04-05T00:00:00Z"/>
        <d v="2024-04-06T00:00:00Z"/>
        <d v="2024-04-08T00:00:00Z"/>
        <d v="2024-04-13T00:00:00Z"/>
        <d v="2024-04-15T00:00:00Z"/>
        <d v="2024-04-16T00:00:00Z"/>
        <d v="2024-04-17T00:00:00Z"/>
        <s v="Maggio"/>
        <d v="2024-05-02T00:00:00Z"/>
        <d v="2024-05-04T00:00:00Z"/>
        <d v="2024-05-08T00:00:00Z"/>
        <d v="2024-05-10T00:00:00Z"/>
        <d v="2024-05-11T00:00:00Z"/>
        <d v="2024-05-14T00:00:00Z"/>
        <d v="2024-05-15T00:00:00Z"/>
        <d v="2024-05-16T00:00:00Z"/>
        <d v="2024-05-18T00:00:00Z"/>
        <d v="2024-05-19T00:00:00Z"/>
        <d v="2024-05-20T00:00:00Z"/>
        <d v="2024-05-21T00:00:00Z"/>
        <d v="2024-05-22T00:00:00Z"/>
        <d v="2024-05-24T00:00:00Z"/>
        <d v="2024-05-26T00:00:00Z"/>
        <d v="2024-05-27T00:00:00Z"/>
        <d v="2024-05-28T00:00:00Z"/>
        <d v="2024-05-29T00:00:00Z"/>
        <d v="2024-05-30T00:00:00Z"/>
        <d v="2024-05-31T00:00:00Z"/>
        <s v="Giugno"/>
        <d v="2024-06-01T00:00:00Z"/>
        <d v="2024-06-02T00:00:00Z"/>
        <d v="2024-06-04T00:00:00Z"/>
        <d v="2024-06-05T00:00:00Z"/>
        <d v="2024-06-06T00:00:00Z"/>
        <d v="2024-06-07T00:00:00Z"/>
        <d v="2024-06-08T00:00:00Z"/>
        <d v="2024-06-09T00:00:00Z"/>
        <d v="2024-06-10T00:00:00Z"/>
        <d v="2024-06-11T00:00:00Z"/>
        <d v="2024-06-12T00:00:00Z"/>
        <d v="2024-06-13T00:00:00Z"/>
        <d v="2024-06-14T00:00:00Z"/>
        <d v="2024-06-15T00:00:00Z"/>
        <d v="2024-06-18T00:00:00Z"/>
        <d v="2024-06-19T00:00:00Z"/>
        <d v="2024-06-20T00:00:00Z"/>
        <d v="2024-06-21T00:00:00Z"/>
        <d v="2024-06-22T00:00:00Z"/>
        <d v="2024-06-23T00:00:00Z"/>
        <d v="2024-06-24T00:00:00Z"/>
        <d v="2024-06-25T00:00:00Z"/>
        <d v="2024-06-27T00:00:00Z"/>
        <d v="2024-06-28T00:00:00Z"/>
        <d v="2024-06-29T00:00:00Z"/>
        <d v="2024-06-30T00:00:00Z"/>
        <s v="Luglio"/>
        <d v="2024-07-01T00:00:00Z"/>
        <d v="2024-07-02T00:00:00Z"/>
        <d v="2024-07-03T00:00:00Z"/>
        <d v="2024-07-04T00:00:00Z"/>
        <d v="2024-07-05T00:00:00Z"/>
        <d v="2024-07-07T00:00:00Z"/>
        <d v="2024-07-08T00:00:00Z"/>
        <d v="2024-07-09T00:00:00Z"/>
        <d v="2024-07-10T00:00:00Z"/>
        <d v="2024-07-11T00:00:00Z"/>
        <d v="2024-07-12T00:00:00Z"/>
        <d v="2024-07-13T00:00:00Z"/>
        <d v="2024-07-16T00:00:00Z"/>
        <d v="2024-07-17T00:00:00Z"/>
        <d v="2024-07-18T00:00:00Z"/>
        <d v="2024-07-22T00:00:00Z"/>
        <d v="2024-07-23T00:00:00Z"/>
        <d v="2024-07-24T00:00:00Z"/>
        <d v="2024-07-25T00:00:00Z"/>
        <d v="2024-07-26T00:00:00Z"/>
        <d v="2024-07-29T00:00:00Z"/>
        <d v="2024-07-30T00:00:00Z"/>
        <s v="Agosto"/>
        <s v="Settembre"/>
        <d v="2024-09-14T00:00:00Z"/>
        <d v="2024-09-18T00:00:00Z"/>
        <d v="2024-09-23T00:00:00Z"/>
        <d v="2024-09-24T00:00:00Z"/>
        <d v="2024-09-25T00:00:00Z"/>
        <d v="2024-09-26T00:00:00Z"/>
        <d v="2024-09-27T00:00:00Z"/>
        <d v="2024-09-28T00:00:00Z"/>
        <d v="2024-09-29T00:00:00Z"/>
        <s v="Ottobre"/>
        <d v="2024-10-01T00:00:00Z"/>
        <d v="2024-10-02T00:00:00Z"/>
        <d v="2024-10-04T00:00:00Z"/>
        <d v="2024-10-05T00:00:00Z"/>
        <d v="2024-10-06T00:00:00Z"/>
        <d v="2024-10-07T00:00:00Z"/>
        <d v="2024-10-09T00:00:00Z"/>
        <d v="2024-10-10T00:00:00Z"/>
        <d v="2024-10-11T00:00:00Z"/>
        <d v="2024-10-12T00:00:00Z"/>
        <d v="2024-10-13T00:00:00Z"/>
        <d v="2024-10-14T00:00:00Z"/>
        <d v="2024-10-15T00:00:00Z"/>
        <d v="2024-10-16T00:00:00Z"/>
        <d v="2024-10-18T00:00:00Z"/>
        <d v="2024-10-20T00:00:00Z"/>
        <d v="2024-10-25T00:00:00Z"/>
        <d v="2024-10-27T00:00:00Z"/>
        <d v="2024-10-29T00:00:00Z"/>
        <s v="Novembre"/>
        <d v="2024-11-01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20T00:00:00Z"/>
        <d v="2024-11-21T00:00:00Z"/>
        <d v="2024-11-22T00:00:00Z"/>
        <d v="2024-11-24T00:00:00Z"/>
        <d v="2024-11-25T00:00:00Z"/>
        <d v="2024-11-26T00:00:00Z"/>
        <d v="2024-11-27T00:00:00Z"/>
        <d v="2024-11-28T00:00:00Z"/>
        <d v="2024-11-29T00:00:00Z"/>
        <d v="2024-11-30T00:00:00Z"/>
        <s v="Dicembre"/>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6T00:00:00Z"/>
        <d v="2024-12-29T00:00:00Z"/>
        <d v="2024-12-30T00:00:00Z"/>
      </sharedItems>
    </cacheField>
    <cacheField name="NOME" numFmtId="0">
      <sharedItems containsBlank="1">
        <s v="Ginevra"/>
        <s v="Giulia"/>
        <s v="Francesca"/>
        <s v="Antonella"/>
        <s v="Domenico"/>
        <s v="Nicola"/>
        <m/>
        <s v="Federica"/>
        <s v="Silvia"/>
        <s v="Arianna"/>
        <s v="Luca"/>
        <s v="Valeria"/>
        <s v="Isabella"/>
        <s v="Camilla"/>
        <s v="Paola"/>
        <s v="Bianca"/>
        <s v="Viola"/>
        <s v="Sofia"/>
        <s v="Irene"/>
        <s v="Chiara"/>
        <s v="Valentina"/>
        <s v="Fabiola"/>
        <s v="Claudia"/>
        <s v="Maddalena"/>
        <s v="Sveva"/>
        <s v="Giorgia "/>
        <s v="Matilde"/>
        <s v="Maria Teresa"/>
        <s v="alyssa"/>
        <s v="costanza "/>
        <s v="denise"/>
        <s v="vittoria"/>
        <s v="giada"/>
        <s v="ornella"/>
        <s v="filippo maria"/>
        <s v="angelica"/>
        <s v="clizia"/>
        <s v="beatrice"/>
        <s v="sara"/>
        <s v="ilaria"/>
        <s v="Caterina"/>
        <s v="Sophie"/>
        <s v="Bianca Maria"/>
        <s v="SAMPLE LOVER"/>
        <s v="Davide"/>
        <s v="Vivienne"/>
        <s v="Emma"/>
        <s v="Giovanni"/>
        <s v="Giuliana"/>
        <s v="Elena"/>
        <s v="Alice"/>
        <s v="Diletta"/>
        <s v="Carolina"/>
        <s v="Idalba"/>
        <s v="Carla"/>
        <s v="Alma"/>
        <s v="Doruntina"/>
        <s v="Cecilia"/>
        <s v="Daniele"/>
        <s v="Barbara"/>
        <s v="Veronica"/>
        <s v="Tesa"/>
        <s v="Louise"/>
        <s v="Romina"/>
        <s v="Mariachiara"/>
        <s v="Martina "/>
        <s v="Carola"/>
        <s v="Marta"/>
        <s v="Tamara"/>
        <s v="Antonio"/>
        <s v="Romina Carla"/>
        <s v="Elisa"/>
        <s v="Kamila"/>
        <s v="Loredana"/>
        <s v="Mattia"/>
        <s v="Pietro"/>
        <s v="Clara Peraldo"/>
        <s v="Amanda"/>
        <s v="Letizia"/>
        <s v="Lisa"/>
        <s v="Micol"/>
        <s v="Janaka Sebastian "/>
        <s v="Francesca Vittoria"/>
        <s v="Lia"/>
        <s v="Nathalie"/>
        <s v="Marco"/>
        <s v="Clarissa"/>
        <s v="Margherita"/>
        <s v="Paolo"/>
        <s v="Flavio"/>
        <s v="Carlotta"/>
        <s v="Fabio"/>
        <s v="Marina"/>
        <s v="Martina"/>
        <s v="jasmine"/>
        <s v="Anna"/>
        <s v="Gemma"/>
        <s v="Benedetta"/>
        <s v="Giorgia"/>
        <s v="Alessia"/>
        <s v="Annavittoria"/>
        <s v="Eleonora "/>
        <s v="Serena"/>
        <s v="Asia"/>
        <s v="Costanza"/>
        <s v="Ottavia"/>
        <s v="Giuditta"/>
        <s v="Niccolò"/>
        <s v="Eva Tyutyundzhieva"/>
        <s v="Lucia"/>
        <s v="Stefano"/>
        <s v="Egle"/>
        <s v="Michela"/>
        <s v="Roberta"/>
        <s v="Fosca"/>
        <s v="Adriana"/>
        <s v="Monica"/>
        <s v="Claudia Olga"/>
        <s v="Fedra"/>
        <s v="Annamaria"/>
        <s v="Michele"/>
        <s v="Pauline"/>
        <s v="Virginia"/>
        <s v="Patrizia"/>
        <s v="Enrico"/>
        <s v="Laura"/>
        <s v="Claudia Vittoria"/>
        <s v="Simonetta"/>
        <s v="Lavinia"/>
        <s v="Alessandro"/>
        <s v="Violia"/>
        <s v="Raffaella Coccolone"/>
        <s v="Angela"/>
        <s v="Gaia"/>
        <s v="Roberto"/>
        <s v="Rebecca"/>
        <s v="Alessandra"/>
        <s v="Elisabetta"/>
        <s v="Cristina"/>
        <s v="Alisia"/>
        <s v="Valentina "/>
        <s v="Simona"/>
        <s v="Francesco"/>
        <s v="Donata"/>
        <s v="Benedeta"/>
        <s v="Greta"/>
        <s v="Jessica"/>
        <s v="Luisa"/>
        <s v="Erika"/>
        <s v="Fiorenza"/>
        <s v="Eleonora"/>
        <s v="Kiara"/>
        <s v="Piera"/>
        <s v="Lorena"/>
        <s v="Federico"/>
        <s v="Lorenzo"/>
        <s v="Thalita"/>
        <s v="Graziella"/>
        <s v="Marika"/>
        <s v="Ludovica"/>
        <s v="Rosa"/>
        <s v="Flavia"/>
        <s v="Casa Casa"/>
        <s v="Marianna"/>
        <s v="Ottavia "/>
        <s v="Vittoria "/>
        <s v="Gabriella"/>
        <s v="Elisabeth"/>
        <s v="Ilenia"/>
        <s v="Giacomo"/>
        <s v="Enrica"/>
        <s v="Diletta "/>
        <s v="Leonardo"/>
        <s v="Lucrezia"/>
        <s v="Christian"/>
        <s v="Rosita"/>
        <s v="Elif"/>
        <s v="Matteo"/>
        <s v="Giuseppina"/>
        <s v="Allyson"/>
        <s v="Maria Giovanna"/>
        <s v="Nicoletta"/>
        <s v="Belen"/>
        <s v="Maria"/>
        <s v="Ana"/>
        <s v="Dominic"/>
        <s v="Isotta"/>
        <s v="Danilo"/>
        <s v="Stefania"/>
        <s v="Flaminia"/>
        <s v="Vito"/>
        <s v="Clarice"/>
        <s v="Felice"/>
        <s v="Sarah"/>
        <s v="Milena"/>
        <s v="Annalena"/>
        <s v="Ines"/>
        <s v="Rossella"/>
        <s v="Marina Bruns"/>
        <s v="Sonia"/>
        <s v="Alexandre"/>
        <s v="Ketty"/>
        <s v="Valentino"/>
        <s v="Daniela"/>
        <s v="Francesca Costantino"/>
        <s v="Natalia"/>
        <s v="Valeria "/>
        <s v="Susanna"/>
        <s v="Maria Eugenia"/>
        <s v="Mariangelest"/>
        <s v="Andrea"/>
        <s v="Silvia Nicoletta"/>
        <s v="Filippo"/>
        <s v="Cristiano"/>
        <s v="Mauro"/>
        <s v="Yasmeen"/>
        <s v="Benedetta Gaia"/>
        <s v="Edoardo"/>
        <s v="Gabriele"/>
        <s v="Miriam"/>
        <s v="Agostino Villa"/>
        <s v="Massimiliano"/>
        <s v="Gianmarco"/>
        <s v="Antonietta"/>
        <s v="Gianluigi"/>
        <s v="Tito Mario"/>
        <s v="Giovanna"/>
        <s v="Faustino"/>
      </sharedItems>
    </cacheField>
    <cacheField name="COGNOME" numFmtId="0">
      <sharedItems containsBlank="1">
        <s v="Ossola"/>
        <s v="Galletti"/>
        <s v="Rossini"/>
        <s v="Cavalieri"/>
        <s v="Morace"/>
        <s v="Mattelloni"/>
        <s v="Dell'Anna"/>
        <m/>
        <s v="Fabro"/>
        <s v="Biagini"/>
        <s v="Spagnuolo"/>
        <s v="Fanti"/>
        <s v="Valsecchi"/>
        <s v="Rasini"/>
        <s v="Serioli"/>
        <s v="Pervesi"/>
        <s v="Marangoni"/>
        <s v="Roncagliolo"/>
        <s v="Frasoldati"/>
        <s v="Cresto"/>
        <s v="Molina"/>
        <s v="Fantini"/>
        <s v="Mancini"/>
        <s v="Rosa"/>
        <s v="Vaccaro"/>
        <s v="Ferro"/>
        <s v="Magliocco"/>
        <s v="Di Ruscio"/>
        <s v="Righi"/>
        <s v="Tridenti"/>
        <s v="Pieri"/>
        <s v="Giuliano"/>
        <s v="Serantoni"/>
        <s v="Riglietti"/>
        <s v="Ragusa"/>
        <s v="Torri"/>
        <s v="Mosillo"/>
        <s v="de lorenzi"/>
        <s v="ehler"/>
        <s v="sandrucci"/>
        <s v="carcangiu"/>
        <s v="pomati"/>
        <s v="ammirati"/>
        <s v="cappetta farnetti"/>
        <s v="coacci"/>
        <s v="giacalone"/>
        <s v="tronconi"/>
        <s v="bellisario"/>
        <s v="cicogna"/>
        <s v="campanella"/>
        <s v="varraso"/>
        <s v="daldoss"/>
        <s v="botti"/>
        <s v="bravin"/>
        <s v="Spilla"/>
        <s v="Baroni"/>
        <s v="Floriddia"/>
        <s v="Val"/>
        <s v="Cattaneo"/>
        <s v="Rancati"/>
        <s v="Frega"/>
        <s v="Giretti"/>
        <s v="Maselli"/>
        <s v="Mazzurana"/>
        <s v="Monaco"/>
        <s v="Amodio"/>
        <s v="Ruta"/>
        <s v="Dalla Rosa"/>
        <s v="Stabile"/>
        <s v="Bozzia"/>
        <s v="Levi"/>
        <s v="Bonati"/>
        <s v="Campanile"/>
        <s v="Pocobene"/>
        <s v="Schianchi"/>
        <s v="Kasaj"/>
        <s v="Podenza"/>
        <s v="Bardoni"/>
        <s v="Schapira"/>
        <s v="Chierici"/>
        <s v="Ubertini"/>
        <s v="Feston"/>
        <s v="Djordjevic"/>
        <s v="Pedron"/>
        <s v="Manenti"/>
        <s v="Franzi"/>
        <s v="De Pretis"/>
        <s v="Dela Rosa"/>
        <s v="Volpicelli"/>
        <s v="Mantello"/>
        <s v="Sala"/>
        <s v="Calò"/>
        <s v="De La Rosa"/>
        <s v="Presutti"/>
        <s v="Polini"/>
        <s v="Andrzejuk"/>
        <s v="Arrigoni"/>
        <s v="Invernici"/>
        <s v="Oggiano"/>
        <s v="Fumagalli"/>
        <s v="Mazzuca"/>
        <s v="Matton"/>
        <s v="Confalona"/>
        <s v="Robiglioni"/>
        <s v="Uguccioni"/>
        <s v="Donofio"/>
        <s v="Barra"/>
        <s v="Mazzeo"/>
        <s v="Geraci"/>
        <s v="Mazzierli"/>
        <s v="Aiello"/>
        <s v="Fedeli"/>
        <s v="De Santis"/>
        <s v="Rossetto"/>
        <s v="Scarzella"/>
        <s v="Alquati Bonisoli"/>
        <s v="Pistilli"/>
        <s v="Rinaldi"/>
        <s v="Martinotti"/>
        <s v="Lazzi"/>
        <s v="D'Andrea"/>
        <s v="Logo"/>
        <s v="Decet"/>
        <s v="Ruggero"/>
        <s v="Adami"/>
        <s v="Magni"/>
        <s v="Magnani"/>
        <s v="cascio rizzo"/>
        <s v="Polo"/>
        <s v="Venturi"/>
        <s v="Cancellieri"/>
        <s v="Morbello"/>
        <s v="di carolo"/>
        <s v="Casartelli"/>
        <s v="Cacciopolli"/>
        <s v="Ardito"/>
        <s v="Taborelli"/>
        <s v="Urru"/>
        <s v="Ceccarelli"/>
        <s v="Massarenti"/>
        <s v="Conchi"/>
        <s v="Marchi"/>
        <s v="Dissera"/>
        <s v="Ravagni"/>
        <s v="Cameli"/>
        <s v="Mazzucca"/>
        <s v="Bolzon"/>
        <s v="Zacchi"/>
        <s v="Raciti"/>
        <s v="Mastropietro"/>
        <s v="Baserca"/>
        <s v="Carissimo"/>
        <s v="Chiesta"/>
        <s v="Maglia"/>
        <s v="Ronchitelli"/>
        <s v="Farnetti"/>
        <s v="Della Porta"/>
        <s v="Boselli"/>
        <s v="Berardi"/>
        <s v="Gallera"/>
        <s v="Decurso"/>
        <s v="Della Valle"/>
        <s v="Orlando"/>
        <s v="Damini"/>
        <s v="Lanteri"/>
        <s v="Maugeri"/>
        <s v="De Spirit"/>
        <s v="De Pasquale"/>
        <s v="Fabris"/>
        <s v="Raponi"/>
        <s v="Pipani"/>
        <s v="Galliano"/>
        <s v="Rizzati"/>
        <s v="Monzino"/>
        <s v="Lavorante"/>
        <s v="Romano"/>
        <s v="Bussini"/>
        <s v="Giasante"/>
        <s v="Coletti"/>
        <s v="Gaetano"/>
        <s v="Crisci"/>
        <s v="Delle Guanti"/>
        <s v="Bonino"/>
        <s v="Buzzi"/>
        <s v="Trogu"/>
        <s v="Schiavi"/>
        <s v="Porroni"/>
        <s v="Acquarone"/>
        <s v="Veroni"/>
        <s v="Lentini"/>
        <s v="Lionetti"/>
        <s v="Meraviglia"/>
        <s v="Ulivieri"/>
        <s v="Paoli"/>
        <s v="Lezza"/>
        <s v="Brozzoni"/>
        <s v="Cutini"/>
        <s v="Donato"/>
        <s v="Franzese"/>
        <s v="De Vito"/>
        <s v="ERRE"/>
        <s v="Barani Balli"/>
        <s v="Scotton"/>
        <s v="Santangelo"/>
        <s v="Amoruso"/>
        <s v="Ghirardi"/>
        <s v="Mousa"/>
        <s v="Baldicci"/>
        <s v="Cefis"/>
        <s v="Callegari"/>
        <s v="Pocaterra"/>
        <s v="Palazzo"/>
        <s v="Marcenò"/>
        <s v="Lavarini"/>
        <s v="Oliverio"/>
        <s v="Cantini"/>
        <s v="Corinaldi"/>
        <s v="Mattarelli"/>
        <s v="Filippi"/>
        <s v="De Marco"/>
        <s v="Tosca"/>
        <s v="Julie Jamoli"/>
        <s v="Bernardini"/>
        <s v="Pace"/>
        <s v="Maccini"/>
        <s v="Mazzotti"/>
        <s v="Giusti"/>
        <s v="Lizzi"/>
        <s v="Kaculi"/>
        <s v="Bladino"/>
        <s v="Bianco"/>
        <s v="Marzano"/>
        <s v="Ambrosini"/>
        <s v="Mazzoleni"/>
        <s v="Pianon"/>
        <s v="Redaelli"/>
        <s v="Cianciulli"/>
        <s v="Coradazzi"/>
        <s v="Bollini"/>
        <s v="Gariboldi"/>
        <s v="Petrella"/>
        <s v="Garbarino"/>
        <s v="Premoli"/>
        <s v="Saka"/>
        <s v="Bindi"/>
        <s v="Garuti"/>
        <s v="Cappelletto"/>
        <s v="Pantaleoni"/>
        <s v="Donà"/>
        <s v="Raffaeli"/>
        <s v="Montinaro"/>
        <s v="Emanuele"/>
        <s v="Ferone"/>
        <s v="Loretta"/>
        <s v="Rinaldo"/>
        <s v="Bertorotta"/>
        <s v="Giannetto"/>
        <s v="Nichetti"/>
        <s v="Rossato"/>
        <s v="Miola"/>
        <s v="Offredi"/>
        <s v="Caruso"/>
        <s v="Mensi"/>
        <s v="Vitali"/>
        <s v="Faitanini"/>
        <s v="Gnolfi"/>
        <s v="Quintiliani"/>
        <s v="Magistrato"/>
        <s v="Ferri"/>
        <s v="Pessi"/>
        <s v="Bardazzi"/>
        <s v="Di Cola"/>
        <s v="Sarcinelli"/>
        <s v="Molinaro"/>
        <s v="Marzola"/>
        <s v="Stefenello"/>
        <s v="Masciangelo"/>
        <s v="Zanello"/>
        <s v="Tarasconi"/>
        <s v="Moradin"/>
        <s v="Boccadutri"/>
        <s v="Boehm"/>
        <s v="Campisi"/>
        <s v="Massarelli"/>
        <s v="Marsella"/>
        <s v="Riccardi"/>
        <s v="Valenti"/>
        <s v="Toselli"/>
        <s v="Boscolo"/>
        <s v="Pesole"/>
        <s v="Soldati"/>
        <s v="Gervasio"/>
        <s v="Del Pozzo"/>
        <s v="Valle"/>
        <s v="Tosatti"/>
        <s v="Giommi"/>
        <s v="Bronzetti"/>
        <s v="Massazza"/>
        <s v="Venini"/>
        <s v="Reinhardt"/>
        <s v="Gatti"/>
        <s v="Casalboni"/>
        <s v="Cultrera"/>
        <s v="Micheli"/>
        <s v="Calogero"/>
        <s v="Deli"/>
        <s v="Leccisi"/>
        <s v="Agarla"/>
        <s v="Garola"/>
        <s v="Gianetto"/>
        <s v="Vannucchi"/>
        <s v="Puggioli"/>
        <s v="Gulminelli"/>
        <s v="Quattrini"/>
        <s v="Cuzzucoli"/>
        <s v="Frassine"/>
        <s v="Fiorica"/>
        <s v="Bellelli"/>
        <s v="De Vicaris"/>
        <s v="De Bernardis"/>
        <s v="Neri"/>
        <s v="Terruzzi"/>
        <s v="Tosetti"/>
        <s v="Niro"/>
        <s v="Somachi"/>
        <s v="Candini"/>
        <s v="Salvagni"/>
        <s v="De Francesco"/>
        <s v="Rota"/>
        <s v="Zigiotto"/>
        <s v="Riva"/>
        <s v="Trovato"/>
        <s v="Zacheo"/>
        <s v="Graziaplena"/>
        <s v="Kaplan"/>
        <s v="Polchi"/>
        <s v="Persico"/>
        <s v="Sabatini"/>
        <s v="Pasta"/>
        <s v="Lauber"/>
        <s v="Pizzoni"/>
        <s v="Telesca"/>
        <s v="Imperiale"/>
        <s v="Dalla Betta"/>
        <s v="Pola"/>
        <s v="Galeazzi"/>
        <s v="Loviglio"/>
        <s v="Manghi"/>
        <s v="Segala"/>
        <s v="McCrory"/>
        <s v="Casamenti"/>
        <s v="Santomaso"/>
        <s v="Peron"/>
        <s v="Paci"/>
        <s v="Bini"/>
        <s v="Sperti"/>
        <s v="Fontana"/>
        <s v="Pomi"/>
        <s v="Disassonia"/>
        <s v="Scassera"/>
        <s v="Silvestri"/>
        <s v="Bosio"/>
        <s v="Borriero"/>
        <s v="De Luca"/>
        <s v="Salas"/>
        <s v="Martini"/>
        <s v="Relic"/>
        <s v="Gregorin"/>
        <s v="Vita"/>
        <s v="Gigante"/>
        <s v="Soardo"/>
        <s v="Valvano"/>
        <s v="Mozzatti"/>
        <s v="Leoni"/>
        <s v="Sportelli"/>
        <s v="Verde"/>
        <s v="Ciollaro"/>
        <s v="Torazzi"/>
        <s v="Sangiorgi"/>
        <s v="Pacchiarini"/>
        <s v="Mezzi"/>
        <s v="Zago"/>
        <s v="Trombino"/>
        <s v="Strada"/>
        <s v="De Marchi"/>
        <s v="Cavallaro"/>
        <s v="Angiero"/>
        <s v="Sommaruga"/>
        <s v="Antenna"/>
        <s v="Testino"/>
        <s v="Romano Ferulli"/>
        <s v="Celiento"/>
        <s v="Rizzo"/>
        <s v="Ferrari"/>
        <s v="Chiola"/>
        <s v="Cotogni"/>
        <s v="Della Corte"/>
        <s v="Natuzzi"/>
        <s v="Frattini"/>
        <s v="Pagani"/>
        <s v="Lagomarsino"/>
        <s v="Baldini"/>
        <s v="De Pace"/>
        <s v="Sacchetti"/>
        <s v="Romanetti"/>
        <s v="Zanette"/>
        <s v="Maida"/>
        <s v="Morelli"/>
        <s v="Ruffo"/>
        <s v="Bonassi"/>
        <s v="Della Chiesa"/>
        <s v="Mauri"/>
        <s v="Barthere"/>
        <s v="Fenogli"/>
        <s v="Tripodl"/>
        <s v="Roveglia"/>
        <s v="Pirani"/>
        <s v="Grando"/>
        <s v="Scardigno"/>
        <s v="Bino"/>
        <s v="Caserta"/>
        <s v="Citterio"/>
        <s v="Falzoni"/>
        <s v="Scirocco"/>
        <s v="Guerra"/>
        <s v="Rubino"/>
        <s v="Di Mario"/>
        <s v="Olivieri"/>
        <s v="Boroli"/>
        <s v="Pasolini"/>
        <s v="Padulazzi"/>
        <s v="Cardulo"/>
        <s v="Vaccher"/>
        <s v="Pacelli"/>
        <s v="Marconi"/>
        <s v="Traglia"/>
        <s v="Franco"/>
        <s v="Del Nero"/>
        <s v="Semeraro"/>
        <s v="Armaroli"/>
        <s v="Giorgi"/>
        <s v="Scalmana"/>
        <s v="Cappelletti"/>
        <s v="Maccagnolo"/>
        <s v="De Angelis"/>
        <s v="Piccoli"/>
        <s v="Bassano"/>
        <s v="Crimi"/>
        <s v="Iohn"/>
        <s v="Longari"/>
        <s v="Zuffetti"/>
        <s v="Todisco"/>
        <s v="Cambiaso"/>
        <s v="Rocchini"/>
        <s v="Angeleri"/>
        <s v="Pala"/>
        <s v="De Vicariis"/>
        <s v="Rocchi"/>
        <s v="Erroi"/>
        <s v="Stucchi"/>
        <s v="Rubini"/>
        <s v="Laurolia"/>
        <s v="Tempestini"/>
        <s v="Maggi"/>
        <s v="Giovanelli"/>
        <s v="Massimilanio"/>
        <s v="Golleri"/>
        <s v="Cococcia"/>
        <s v="Cozzi"/>
        <s v="Luraschi"/>
        <s v="Grossoni"/>
        <s v="Montani"/>
        <s v="Ardemagni"/>
        <s v="Guazzo"/>
        <s v="Rapazzini"/>
        <s v="Munao"/>
        <s v="Pizzuto"/>
        <s v="Mirra"/>
        <s v="Caputo"/>
        <s v="Stacchiotti"/>
        <s v="Russo"/>
        <s v="Bassi"/>
        <s v="Ruffini"/>
        <s v="Ficcadenti"/>
        <s v="Lolli"/>
        <s v="Guidetti"/>
        <s v="Carutti"/>
        <s v="Meglini"/>
        <s v="Cinquini"/>
        <s v="Tronci"/>
        <s v="Fassio"/>
      </sharedItems>
    </cacheField>
    <cacheField name="MODELLO" numFmtId="0">
      <sharedItems containsBlank="1">
        <s v="lola bag"/>
        <s v="sophie bag"/>
        <s v="annie bag"/>
        <m/>
        <s v="sophie bag x 2"/>
        <s v="lea bag "/>
        <s v="lea bag"/>
        <s v="valentina bag"/>
        <s v="Valentina Bag "/>
        <s v="Lea Bag Leopardata"/>
        <s v="Annie Bag in Paillettes"/>
        <s v="Lea Bag zebrata"/>
        <s v="Lea Bag maculata"/>
        <s v="Valentina bag red"/>
        <s v="valentina bag red + Sophie Bag"/>
        <s v="Lea Bag + Annie Bag"/>
        <s v="Lea Bag / Annie Bag"/>
        <s v="Cecilia Bag"/>
        <s v="Lea Bag Dark Blue"/>
        <s v="Lea Bag Bordeaux"/>
        <s v="Lea Bag Black"/>
        <s v="Lea Bag Leopardo"/>
        <s v="Lea Bag Leopardo Beige"/>
        <s v="Lea Bag Zebrata Beige/Marron"/>
        <s v="Lea Bag Zebrata Marron"/>
        <s v="Lea Bag Leopardo Scuro"/>
        <s v="Lea Bag Zebra Marron/Beige"/>
        <s v="Lea Bag Zebra Marron"/>
        <s v="Lea Bag Zebra Marron (dentro viola)"/>
        <s v="Lea Bag Orange"/>
        <s v="Valentina Bag Green"/>
        <s v="Amì Gift Card"/>
        <s v="Clessidra Bag Nude"/>
        <s v="Clessidra Bag Black"/>
        <s v="Cecilia Bag Panna &amp; Verde"/>
        <s v="Lea Bag Grey"/>
        <s v="Lea Bag Cocco Marron"/>
        <s v="Annie Bag Paillettes Turchese"/>
        <s v="Lea Bag Vernice Rossa"/>
        <s v="Lea Bag Leopardo "/>
        <s v="Annie Bag Paillettes Beige"/>
        <s v="Annie Bag Paillettes Verde"/>
        <s v="Lea Bag Pink Barbie"/>
        <s v="2 Bustine Large + cerchio L"/>
        <s v="Lola Bag Grey"/>
        <s v="Lola Bag Red Velvet"/>
        <s v="Valetina Bag Red"/>
        <s v="Lola Bag Grey "/>
        <s v="Lea Bag Cocco Chocolate"/>
        <s v="Lea Bag Vernice Viola Malva"/>
        <s v="Valentina Bag Pink"/>
        <s v="Airpods Case + Midi Case"/>
        <s v="Airpods Case Pony Leopard"/>
        <s v="Lea Bag Muccata Nera"/>
        <s v="Lea Bag Vernice Nera"/>
        <s v="Lea Bag Marrone Chocolate"/>
        <s v="Lola Bag + charm"/>
        <s v="Annie Bag Paillettes Green"/>
        <s v="Airpodcase pony zebra"/>
        <s v="Airpodcase pony leopard "/>
        <s v="Airpodcase pony leopard dark"/>
        <s v="Midi case pony leopard dark"/>
        <s v="Annie Bag Paillettes"/>
        <s v="Lola Bag Pink Velvet"/>
        <s v="Lea Bag Muccata "/>
        <s v="Midi case leopard dark"/>
        <s v="Airpods Case Pony Black"/>
        <s v="BON.VI x Amì Milano - RED"/>
        <s v="Lea Bag Green"/>
        <s v="Annie Bag in perline"/>
      </sharedItems>
    </cacheField>
    <cacheField name="COLORE" numFmtId="0">
      <sharedItems containsBlank="1">
        <m/>
        <s v="nera"/>
        <s v="stampa savage"/>
        <s v="paillettes"/>
        <s v="stampa leopardata chiara"/>
        <s v="rossa"/>
        <s v="Leopardata"/>
        <s v="zebrata"/>
        <s v="paillettes rosa"/>
        <s v="stampa animalier"/>
        <s v="Red"/>
        <s v="Pink"/>
        <s v="Grey"/>
        <s v="Lilla"/>
        <s v="stampa zebrata 2"/>
        <s v="stampa zebrata"/>
        <s v="Muccata"/>
        <s v="stampa leopardo"/>
        <s v="Leopardo"/>
        <s v="Muccata Marrone"/>
        <s v="zebra"/>
        <s v="zebra marrone"/>
        <s v="Blu Elettric"/>
        <s v="Texture Ocra"/>
        <s v="Zebrata Marron"/>
        <s v="Paillettes Green"/>
        <s v="Black"/>
        <s v="Yellow"/>
        <s v="Marron"/>
        <s v="Green"/>
        <s v="Rosa Cipria"/>
        <s v="Marron Chocolate"/>
        <s v="Fucsia"/>
        <s v="Purple"/>
        <s v="Rosa &amp; Panna"/>
        <s v="Orange"/>
        <s v="Blue Elettric"/>
        <s v="striata marron"/>
        <s v="Pink Barbie"/>
        <s v="Arancione"/>
        <s v="Classic Blue"/>
        <s v="Blue Sky"/>
        <s v="Turquoise"/>
        <s v="Nude"/>
        <s v="Leopardo Scuro"/>
        <s v="Panne &amp; Verde"/>
        <s v="Lea Bag Grey"/>
        <s v="Cocco Marron"/>
        <s v="Leopardo Beige"/>
        <s v="Paillettes Turchese"/>
        <s v="Vernice Rossa"/>
        <s v="Dark Blue"/>
        <s v="Leopardo "/>
        <s v="Paillettes Beige"/>
        <s v="Paillettes Verde"/>
        <s v="Red "/>
        <s v="Red Velvet"/>
        <s v="Annie Bag"/>
        <s v="Cocco Chocolate"/>
        <s v="Muccata Nera"/>
        <s v="Marrone Chocolate"/>
        <s v="Scuro"/>
        <s v="Lea Bag Leopardo Beige"/>
        <s v="Vernice Nera"/>
        <s v="Beige"/>
        <s v="Turchese"/>
        <s v="Verde"/>
        <s v="Leopard Dark"/>
        <s v="Pony Black"/>
      </sharedItems>
    </cacheField>
    <cacheField name="QUANTITA">
      <sharedItems containsBlank="1" containsMixedTypes="1" containsNumber="1" containsInteger="1">
        <n v="1.0"/>
        <n v="25.0"/>
        <n v="2.0"/>
        <n v="35.0"/>
        <n v="76.0"/>
        <m/>
        <n v="7.0"/>
        <n v="4.0"/>
        <n v="6.0"/>
        <n v="62.0"/>
        <n v="81.0"/>
        <n v="11.0"/>
        <n v="43.0"/>
        <n v="45.0"/>
        <s v="RIMBORSO"/>
        <n v="77.0"/>
        <n v="113.0"/>
      </sharedItems>
    </cacheField>
    <cacheField name="METODO DI PAGAMENTO" numFmtId="0">
      <sharedItems containsBlank="1">
        <s v="carta di credito"/>
        <m/>
        <s v="paypal"/>
      </sharedItems>
    </cacheField>
    <cacheField name="PREZZO">
      <sharedItems containsBlank="1" containsMixedTypes="1" containsNumber="1">
        <n v="75.0"/>
        <n v="55.0"/>
        <n v="73.0"/>
        <n v="85.0"/>
        <n v="70.0"/>
        <n v="1753.5"/>
        <n v="47.5"/>
        <n v="95.0"/>
        <n v="105.0"/>
        <n v="80.0"/>
        <n v="3374.0"/>
        <n v="90.0"/>
        <s v="77,25"/>
        <n v="110.0"/>
        <n v="103.0"/>
        <n v="98.0"/>
        <n v="109.0"/>
        <n v="114.0"/>
        <n v="10111.5"/>
        <m/>
        <n v="321.3"/>
        <n v="213.0"/>
        <n v="196.7"/>
        <n v="175.0"/>
        <n v="100.0"/>
        <n v="52.5"/>
        <n v="170.0"/>
        <n v="8819.3"/>
        <n v="45.0"/>
        <n v="141.0"/>
        <n v="115.0"/>
        <n v="81.3"/>
        <n v="225.0"/>
        <n v="7814.5"/>
        <n v="200.0"/>
        <n v="104.0"/>
        <n v="81.5"/>
        <n v="158.0"/>
        <n v="9505.0"/>
        <n v="63.0"/>
        <n v="72.5"/>
        <n v="50.0"/>
        <n v="86.0"/>
        <n v="77.0"/>
        <n v="93.0"/>
        <n v="61.0"/>
        <n v="272.0"/>
        <n v="1635.9000000000003"/>
        <n v="176.9"/>
        <n v="91.9"/>
        <n v="106.9"/>
        <n v="5911.999999999998"/>
        <n v="159.9"/>
        <n v="81.9"/>
        <n v="179.9"/>
        <n v="96.9"/>
        <n v="126.9"/>
        <n v="136.0"/>
        <n v="340.0"/>
        <n v="6173.299999999997"/>
        <n v="135.0"/>
        <n v="120.0"/>
        <s v="RIMBORSO"/>
        <n v="10069.04999999999"/>
        <n v="185.0"/>
        <n v="121.9"/>
        <n v="153.9"/>
        <n v="110.4"/>
        <n v="108.9"/>
        <n v="114.9"/>
        <n v="102.9"/>
        <n v="104.65"/>
        <n v="79.15"/>
        <n v="12253.599999999982"/>
        <n v="116.9"/>
        <n v="66.9"/>
        <n v="138.7"/>
        <n v="83.4"/>
        <n v="176.0"/>
        <n v="105.9"/>
        <n v="62.9"/>
        <n v="34.9"/>
        <n v="180.0"/>
        <n v="150.0"/>
        <n v="156.9"/>
        <n v="179.6"/>
        <n v="76.5"/>
        <n v="28.0"/>
        <n v="25.0"/>
        <n v="256.9"/>
        <n v="37.9"/>
        <n v="141.9"/>
        <n v="100.4"/>
        <n v="151.4"/>
        <n v="65.9"/>
        <s v="/"/>
        <n v="69.9"/>
        <n v="10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Sheet1" cacheId="0" dataCaption="" compact="0" compactData="0">
  <location ref="Z4:AA46" firstHeaderRow="0" firstDataRow="1" firstDataCol="0" rowPageCount="2" colPageCount="1"/>
  <pivotFields>
    <pivotField name="ONLINE" compact="0" outline="0" multipleItemSelectionAllowed="1" showAll="0">
      <items>
        <item x="0"/>
        <item x="1"/>
        <item t="default"/>
      </items>
    </pivotField>
    <pivotField name="MONTH" axis="axisPage" compact="0" outline="0" multipleItemSelectionAllowed="1" showAll="0">
      <items>
        <item x="0"/>
        <item t="default"/>
      </items>
    </pivotField>
    <pivotField name="DATE" axis="axisPage" compact="0" outline="0" multipleItemSelectionAllowed="1" showAll="0">
      <items>
        <item h="1" x="0"/>
        <item h="1" x="1"/>
        <item h="1" x="2"/>
        <item h="1" x="3"/>
        <item h="1" x="4"/>
        <item h="1" x="5"/>
        <item h="1" x="6"/>
        <item h="1" x="7"/>
        <item x="8"/>
        <item x="9"/>
        <item x="10"/>
        <item x="11"/>
        <item x="12"/>
        <item x="13"/>
        <item x="14"/>
        <item x="15"/>
        <item x="16"/>
        <item x="17"/>
        <item x="18"/>
        <item x="19"/>
        <item x="20"/>
        <item x="21"/>
        <item x="22"/>
        <item x="23"/>
        <item x="24"/>
        <item x="25"/>
        <item x="26"/>
        <item x="27"/>
        <item x="28"/>
        <item x="29"/>
        <item h="1" x="30"/>
        <item h="1" x="31"/>
        <item h="1" x="32"/>
        <item h="1" x="33"/>
        <item h="1" x="34"/>
        <item h="1" x="35"/>
        <item h="1" x="36"/>
        <item h="1" x="37"/>
        <item h="1" x="38"/>
        <item h="1" x="39"/>
        <item h="1" x="40"/>
        <item h="1" x="41"/>
        <item h="1" x="42"/>
        <item h="1" x="43"/>
        <item t="default"/>
      </items>
    </pivotField>
    <pivotField name="PRODUCT_VARIANT MAPPING" axis="axisRow" compact="0" outline="0" multipleItemSelectionAllowed="1" showAll="0" sortType="ascending">
      <items>
        <item x="11"/>
        <item x="41"/>
        <item x="42"/>
        <item x="31"/>
        <item x="36"/>
        <item x="37"/>
        <item x="15"/>
        <item x="23"/>
        <item x="16"/>
        <item x="54"/>
        <item x="17"/>
        <item x="55"/>
        <item x="52"/>
        <item x="53"/>
        <item x="46"/>
        <item x="5"/>
        <item x="26"/>
        <item x="7"/>
        <item x="38"/>
        <item x="32"/>
        <item x="8"/>
        <item x="27"/>
        <item x="44"/>
        <item x="24"/>
        <item x="29"/>
        <item x="22"/>
        <item x="39"/>
        <item x="57"/>
        <item x="33"/>
        <item x="47"/>
        <item x="43"/>
        <item x="25"/>
        <item x="34"/>
        <item x="18"/>
        <item x="48"/>
        <item x="30"/>
        <item x="45"/>
        <item x="35"/>
        <item x="28"/>
        <item x="9"/>
        <item x="13"/>
        <item x="0"/>
        <item x="1"/>
        <item x="10"/>
        <item x="6"/>
        <item x="2"/>
        <item x="3"/>
        <item x="4"/>
        <item x="49"/>
        <item x="19"/>
        <item x="21"/>
        <item x="50"/>
        <item x="12"/>
        <item x="51"/>
        <item x="56"/>
        <item x="58"/>
        <item x="20"/>
        <item x="14"/>
        <item x="40"/>
        <item t="default"/>
      </items>
    </pivotField>
    <pivotField name="Sum of ITEMS" dataField="1" compact="0" outline="0" multipleItemSelectionAllowed="1" showAll="0">
      <items>
        <item x="0"/>
        <item x="1"/>
        <item t="default"/>
      </items>
    </pivotField>
  </pivotFields>
  <rowFields>
    <field x="3"/>
  </rowFields>
  <pageFields>
    <pageField fld="1"/>
    <pageField fld="2"/>
  </pageFields>
  <dataFields>
    <dataField name="Sum of Sum of ITEMS" fld="4" baseField="0"/>
  </dataFields>
</pivotTableDefinition>
</file>

<file path=xl/pivotTables/pivotTable2.xml><?xml version="1.0" encoding="utf-8"?>
<pivotTableDefinition xmlns="http://schemas.openxmlformats.org/spreadsheetml/2006/main" name="Sales Dashboard" cacheId="1" dataCaption="" compact="0" compactData="0">
  <location ref="B3:P17" firstHeaderRow="0" firstDataRow="2" firstDataCol="1"/>
  <pivotFields>
    <pivotField name="TYPE" axis="axisRow" compact="0" outline="0" multipleItemSelectionAllowed="1" showAll="0" sortType="ascending">
      <items>
        <item sd="0" x="1"/>
        <item sd="0" x="5"/>
        <item sd="0" x="9"/>
        <item sd="0" x="3"/>
        <item sd="0" x="2"/>
        <item sd="0" x="6"/>
        <item sd="0" x="4"/>
        <item sd="0" x="8"/>
        <item sd="0" x="11"/>
        <item sd="0" x="7"/>
        <item sd="0" x="0"/>
        <item sd="0" x="10"/>
        <item t="default"/>
      </items>
    </pivotField>
    <pivotField name="YEAR" compact="0" outline="0" multipleItemSelectionAllowed="1" showAll="0">
      <items>
        <item x="0"/>
        <item t="default"/>
      </items>
    </pivotField>
    <pivotField name="MONTH" axis="axisCol" compact="0" outline="0" multipleItemSelectionAllowed="1" showAll="0" sortType="ascending">
      <items>
        <item x="0"/>
        <item x="1"/>
        <item x="2"/>
        <item x="3"/>
        <item x="5"/>
        <item x="6"/>
        <item x="7"/>
        <item x="8"/>
        <item x="9"/>
        <item x="10"/>
        <item x="11"/>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COG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name="MODELL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COL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QUANTITA" compact="0" outline="0" multipleItemSelectionAllowed="1" showAll="0">
      <items>
        <item x="0"/>
        <item x="1"/>
        <item x="2"/>
        <item x="3"/>
        <item x="4"/>
        <item x="5"/>
        <item x="6"/>
        <item x="7"/>
        <item x="8"/>
        <item t="default"/>
      </items>
    </pivotField>
    <pivotField name="PRICE/UNIT" compact="0" outline="0" multipleItemSelectionAllowed="1" showAll="0">
      <items>
        <item x="0"/>
        <item t="default"/>
      </items>
    </pivotField>
    <pivotField name="PAYMENT METHO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TOTAL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SHIPPING" compact="0" outline="0" multipleItemSelectionAllowed="1" showAll="0">
      <items>
        <item x="0"/>
        <item t="default"/>
      </items>
    </pivotField>
    <pivotField name="GROSS REVENUE" compact="0" outline="0" multipleItemSelectionAllowed="1" showAll="0">
      <items>
        <item x="0"/>
        <item t="default"/>
      </items>
    </pivotField>
    <pivotField name="COMMENTS" compact="0" outline="0" multipleItemSelectionAllowed="1" showAll="0">
      <items>
        <item x="0"/>
        <item x="1"/>
        <item x="2"/>
        <item t="default"/>
      </items>
    </pivotField>
  </pivotFields>
  <rowFields>
    <field x="0"/>
    <field x="6"/>
  </rowFields>
  <colFields>
    <field x="2"/>
  </colFields>
  <dataFields>
    <dataField name="Sum of TOTAL PRICE" fld="11" baseField="0"/>
  </dataFields>
</pivotTableDefinition>
</file>

<file path=xl/pivotTables/pivotTable3.xml><?xml version="1.0" encoding="utf-8"?>
<pivotTableDefinition xmlns="http://schemas.openxmlformats.org/spreadsheetml/2006/main" name="Sales Dashboard 2" cacheId="1" dataCaption="" compact="0" compactData="0">
  <location ref="B24:P38" firstHeaderRow="0" firstDataRow="2" firstDataCol="1"/>
  <pivotFields>
    <pivotField name="TYPE" axis="axisRow" compact="0" outline="0" multipleItemSelectionAllowed="1" showAll="0" sortType="ascending">
      <items>
        <item sd="0" x="1"/>
        <item sd="0" x="5"/>
        <item sd="0" x="9"/>
        <item sd="0" x="3"/>
        <item sd="0" x="2"/>
        <item sd="0" x="6"/>
        <item sd="0" x="4"/>
        <item sd="0" x="8"/>
        <item sd="0" x="11"/>
        <item sd="0" x="7"/>
        <item sd="0" x="0"/>
        <item sd="0" x="10"/>
        <item t="default"/>
      </items>
    </pivotField>
    <pivotField name="YEAR" compact="0" outline="0" multipleItemSelectionAllowed="1" showAll="0">
      <items>
        <item x="0"/>
        <item t="default"/>
      </items>
    </pivotField>
    <pivotField name="MONTH" axis="axisCol" compact="0" outline="0" multipleItemSelectionAllowed="1" showAll="0" sortType="ascending">
      <items>
        <item x="0"/>
        <item x="1"/>
        <item x="2"/>
        <item x="3"/>
        <item x="5"/>
        <item x="6"/>
        <item x="7"/>
        <item x="8"/>
        <item x="9"/>
        <item x="10"/>
        <item x="11"/>
        <item x="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COG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name="MODELLO" axis="axisRow" compact="0" outline="0" multipleItemSelectionAllowed="1" showAll="0" sortType="ascending">
      <items>
        <item x="18"/>
        <item x="9"/>
        <item x="11"/>
        <item x="10"/>
        <item x="27"/>
        <item x="7"/>
        <item x="2"/>
        <item x="5"/>
        <item x="15"/>
        <item x="17"/>
        <item x="14"/>
        <item x="21"/>
        <item x="20"/>
        <item x="19"/>
        <item x="6"/>
        <item x="23"/>
        <item x="28"/>
        <item x="26"/>
        <item x="29"/>
        <item x="8"/>
        <item x="24"/>
        <item x="3"/>
        <item x="0"/>
        <item x="12"/>
        <item x="13"/>
        <item x="22"/>
        <item x="16"/>
        <item x="1"/>
        <item x="4"/>
        <item x="25"/>
        <item t="default"/>
      </items>
    </pivotField>
    <pivotField name="COL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QUANTITA" dataField="1" compact="0" outline="0" multipleItemSelectionAllowed="1" showAll="0">
      <items>
        <item x="0"/>
        <item x="1"/>
        <item x="2"/>
        <item x="3"/>
        <item x="4"/>
        <item x="5"/>
        <item x="6"/>
        <item x="7"/>
        <item x="8"/>
        <item t="default"/>
      </items>
    </pivotField>
    <pivotField name="PRICE/UNIT" compact="0" outline="0" multipleItemSelectionAllowed="1" showAll="0">
      <items>
        <item x="0"/>
        <item t="default"/>
      </items>
    </pivotField>
    <pivotField name="PAYMENT METHO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TOTAL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SHIPPING" compact="0" outline="0" multipleItemSelectionAllowed="1" showAll="0">
      <items>
        <item x="0"/>
        <item t="default"/>
      </items>
    </pivotField>
    <pivotField name="GROSS REVENUE" compact="0" outline="0" multipleItemSelectionAllowed="1" showAll="0">
      <items>
        <item x="0"/>
        <item t="default"/>
      </items>
    </pivotField>
    <pivotField name="COMMENTS" compact="0" outline="0" multipleItemSelectionAllowed="1" showAll="0">
      <items>
        <item x="0"/>
        <item x="1"/>
        <item x="2"/>
        <item t="default"/>
      </items>
    </pivotField>
  </pivotFields>
  <rowFields>
    <field x="0"/>
    <field x="6"/>
  </rowFields>
  <colFields>
    <field x="2"/>
  </colFields>
  <dataFields>
    <dataField name="Sum of QUANTITA" fld="8" baseField="0"/>
  </dataFields>
</pivotTableDefinition>
</file>

<file path=xl/pivotTables/pivotTable4.xml><?xml version="1.0" encoding="utf-8"?>
<pivotTableDefinition xmlns="http://schemas.openxmlformats.org/spreadsheetml/2006/main" name="Expenses Dashboards" cacheId="2" dataCaption="" compact="0" compactData="0">
  <location ref="A3:O11" firstHeaderRow="0" firstDataRow="2" firstDataCol="1"/>
  <pivotFields>
    <pivotField name="MONTH" axis="axisCol" compact="0" outline="0" multipleItemSelectionAllowed="1" showAll="0" sortType="ascending">
      <items>
        <item x="0"/>
        <item x="1"/>
        <item x="2"/>
        <item x="3"/>
        <item x="4"/>
        <item x="5"/>
        <item x="6"/>
        <item x="7"/>
        <item x="8"/>
        <item x="9"/>
        <item x="10"/>
        <item x="11"/>
        <item t="default"/>
      </items>
    </pivotField>
    <pivotField name="COS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autoSortScope>
        <pivotArea>
          <references>
            <reference field="4294967294">
              <x v="0"/>
            </reference>
          </references>
        </pivotArea>
      </autoSortScope>
    </pivotField>
    <pivotField name="DETAIL" compact="0" outline="0" multipleItemSelectionAllowed="1" showAll="0">
      <items>
        <item x="0"/>
        <item x="1"/>
        <item x="2"/>
        <item x="3"/>
        <item x="4"/>
        <item x="5"/>
        <item x="6"/>
        <item x="7"/>
        <item t="default"/>
      </items>
    </pivotField>
    <pivotField name="IMPORTO (EU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CATEGORIA" axis="axisRow" compact="0" outline="0" multipleItemSelectionAllowed="1" showAll="0" sortType="ascending">
      <items>
        <item h="1" sd="0" x="1"/>
        <item sd="0" x="5"/>
        <item sd="0" x="2"/>
        <item sd="0" x="3"/>
        <item sd="0" x="0"/>
        <item sd="0" x="6"/>
        <item sd="0" x="4"/>
        <item t="default"/>
      </items>
    </pivotField>
  </pivotFields>
  <rowFields>
    <field x="4"/>
    <field x="1"/>
  </rowFields>
  <colFields>
    <field x="0"/>
  </colFields>
  <dataFields>
    <dataField name="Sum of IMPORTO (EUR)" fld="3" baseField="0"/>
  </dataFields>
</pivotTableDefinition>
</file>

<file path=xl/pivotTables/pivotTable5.xml><?xml version="1.0" encoding="utf-8"?>
<pivotTableDefinition xmlns="http://schemas.openxmlformats.org/spreadsheetml/2006/main" name="DB_Online Sales_24" cacheId="3" dataCaption="" compact="0" compactData="0">
  <location ref="L2:M73" firstHeaderRow="0" firstDataRow="1" firstDataCol="0"/>
  <pivotFields>
    <pivotField name="Genna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COGN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name="MODELLO" axis="axisRow" compact="0" outline="0" multipleItemSelectionAllowed="1" showAll="0" sortType="ascending">
      <items>
        <item x="3"/>
        <item x="43"/>
        <item x="59"/>
        <item x="60"/>
        <item x="58"/>
        <item x="51"/>
        <item x="66"/>
        <item x="52"/>
        <item x="31"/>
        <item x="2"/>
        <item x="10"/>
        <item x="69"/>
        <item x="62"/>
        <item x="40"/>
        <item x="57"/>
        <item x="37"/>
        <item x="41"/>
        <item x="67"/>
        <item x="17"/>
        <item x="34"/>
        <item x="33"/>
        <item x="32"/>
        <item x="6"/>
        <item x="5"/>
        <item x="16"/>
        <item x="15"/>
        <item x="20"/>
        <item x="19"/>
        <item x="48"/>
        <item x="36"/>
        <item x="18"/>
        <item x="68"/>
        <item x="35"/>
        <item x="9"/>
        <item x="21"/>
        <item x="39"/>
        <item x="22"/>
        <item x="25"/>
        <item x="12"/>
        <item x="55"/>
        <item x="64"/>
        <item x="53"/>
        <item x="29"/>
        <item x="42"/>
        <item x="54"/>
        <item x="38"/>
        <item x="49"/>
        <item x="27"/>
        <item x="28"/>
        <item x="26"/>
        <item x="11"/>
        <item x="23"/>
        <item x="24"/>
        <item x="0"/>
        <item x="56"/>
        <item x="44"/>
        <item x="47"/>
        <item x="63"/>
        <item x="45"/>
        <item x="65"/>
        <item x="61"/>
        <item x="1"/>
        <item x="4"/>
        <item x="7"/>
        <item x="8"/>
        <item x="30"/>
        <item x="50"/>
        <item x="13"/>
        <item x="14"/>
        <item x="46"/>
        <item t="default"/>
      </items>
    </pivotField>
    <pivotField name="COL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QUANTITA" compact="0" outline="0" multipleItemSelectionAllowed="1" showAll="0">
      <items>
        <item x="0"/>
        <item x="1"/>
        <item x="2"/>
        <item x="3"/>
        <item x="4"/>
        <item x="5"/>
        <item x="6"/>
        <item x="7"/>
        <item x="8"/>
        <item x="9"/>
        <item x="10"/>
        <item x="11"/>
        <item x="12"/>
        <item x="13"/>
        <item x="14"/>
        <item x="15"/>
        <item x="16"/>
        <item t="default"/>
      </items>
    </pivotField>
    <pivotField name="METODO DI PAGAMENTO" compact="0" outline="0" multipleItemSelectionAllowed="1" showAll="0">
      <items>
        <item x="0"/>
        <item x="1"/>
        <item x="2"/>
        <item t="default"/>
      </items>
    </pivotField>
    <pivotField name="PREZZ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field x="3"/>
  </rowFields>
  <dataFields>
    <dataField name="Count of PREZZO" fld="7" subtotal="count" baseField="0"/>
  </dataFields>
</pivotTableDefinition>
</file>

<file path=xl/tables/table1.xml><?xml version="1.0" encoding="utf-8"?>
<table xmlns="http://schemas.openxmlformats.org/spreadsheetml/2006/main" ref="A1:J1059" displayName="Expenses_Master" name="Expenses_Master" id="1">
  <autoFilter ref="$A$1:$J$1059"/>
  <tableColumns count="10">
    <tableColumn name="YEAR" id="1"/>
    <tableColumn name="MONTH" id="2"/>
    <tableColumn name="DATE REPORTED" id="3"/>
    <tableColumn name="DATE PAID" id="4"/>
    <tableColumn name="OPERAZIONE" id="5"/>
    <tableColumn name="COSTO" id="6"/>
    <tableColumn name="CATEGORIA" id="7"/>
    <tableColumn name="Column 10" id="8"/>
    <tableColumn name="Amimi?" id="9"/>
    <tableColumn name="Note" id="10"/>
  </tableColumns>
  <tableStyleInfo name="EXPENSES MASTER-style" showColumnStripes="0" showFirstColumn="1" showLastColumn="1" showRowStripes="1"/>
</table>
</file>

<file path=xl/tables/table2.xml><?xml version="1.0" encoding="utf-8"?>
<table xmlns="http://schemas.openxmlformats.org/spreadsheetml/2006/main" ref="A1:E169" displayName="SKU_Master_Data" name="SKU_Master_Data" id="2">
  <tableColumns count="5">
    <tableColumn name="CODICE_AMIIMI" id="1"/>
    <tableColumn name="Column 2" id="2"/>
    <tableColumn name="Column 3" id="3"/>
    <tableColumn name="Selling Price" id="4"/>
    <tableColumn name="COGS" id="5"/>
  </tableColumns>
  <tableStyleInfo name="PRODUCT_COGS&amp;PRICE-style" showColumnStripes="0" showFirstColumn="1" showLastColumn="1" showRowStripes="1"/>
</table>
</file>

<file path=xl/tables/table3.xml><?xml version="1.0" encoding="utf-8"?>
<table xmlns="http://schemas.openxmlformats.org/spreadsheetml/2006/main" ref="A1:O234" displayName="Table1" name="Table1" id="3">
  <autoFilter ref="$A$1:$O$234"/>
  <tableColumns count="15">
    <tableColumn name="ID_Acquisto" id="1"/>
    <tableColumn name="CODICE_AMIIMI" id="2"/>
    <tableColumn name="Data" id="3"/>
    <tableColumn name="Tipologia" id="4"/>
    <tableColumn name="Categoria" id="5"/>
    <tableColumn name="Item" id="6"/>
    <tableColumn name="Variant" id="7"/>
    <tableColumn name="Quantita" id="8"/>
    <tableColumn name="Unita_Misura" id="9"/>
    <tableColumn name="Costo_Unitario" id="10"/>
    <tableColumn name="Costo_Totale" id="11"/>
    <tableColumn name="Fornitore" id="12"/>
    <tableColumn name="Riferimento_Documento" id="13"/>
    <tableColumn name="Note" id="14"/>
    <tableColumn name="ONLINE" id="15"/>
  </tableColumns>
  <tableStyleInfo name="ACQUISTI-style" showColumnStripes="0" showFirstColumn="1" showLastColumn="1" showRowStripes="1"/>
</table>
</file>

<file path=xl/tables/table4.xml><?xml version="1.0" encoding="utf-8"?>
<table xmlns="http://schemas.openxmlformats.org/spreadsheetml/2006/main" ref="A1:N151" displayName="Offline_Sales" name="Offline_Sales" id="4">
  <autoFilter ref="$A$1:$N$151"/>
  <tableColumns count="14">
    <tableColumn name="YEAR" id="1"/>
    <tableColumn name="MONTH" id="2"/>
    <tableColumn name="DATE" id="3"/>
    <tableColumn name="NOME" id="4"/>
    <tableColumn name="COGNOME" id="5"/>
    <tableColumn name="CODICE_AMIIMI" id="6"/>
    <tableColumn name="ITEM" id="7"/>
    <tableColumn name="VARIANT" id="8"/>
    <tableColumn name="QUANTITA" id="9"/>
    <tableColumn name="PAYMENT METHOD" id="10"/>
    <tableColumn name="PREZZO" id="11"/>
    <tableColumn name="COGS" id="12"/>
    <tableColumn name="Note" id="13"/>
    <tableColumn name="SaleID" id="14"/>
  </tableColumns>
  <tableStyleInfo name="DB_QROMO-style" showColumnStripes="0" showFirstColumn="1" showLastColumn="1" showRowStripes="1"/>
</table>
</file>

<file path=xl/tables/table5.xml><?xml version="1.0" encoding="utf-8"?>
<table xmlns="http://schemas.openxmlformats.org/spreadsheetml/2006/main" ref="A1:N132" displayName="Offline_Sales_2" name="Offline_Sales_2" id="5">
  <autoFilter ref="$A$1:$N$132"/>
  <tableColumns count="14">
    <tableColumn name="Column 1" id="1"/>
    <tableColumn name="MONTH" id="2"/>
    <tableColumn name="DATE" id="3"/>
    <tableColumn name="NOME" id="4"/>
    <tableColumn name="COGNOME" id="5"/>
    <tableColumn name="CODICE_AMIIMI" id="6"/>
    <tableColumn name="QUANTITA" id="7"/>
    <tableColumn name="PAYMENT METHOD" id="8"/>
    <tableColumn name="PREZZO" id="9"/>
    <tableColumn name="COGS" id="10"/>
    <tableColumn name="Nota" id="11"/>
    <tableColumn name="ITEM" id="12"/>
    <tableColumn name="VARIANT" id="13"/>
    <tableColumn name="GIFT_ID" id="14"/>
  </tableColumns>
  <tableStyleInfo name="GIFT_OFFLINE-style" showColumnStripes="0" showFirstColumn="1" showLastColumn="1" showRowStripes="1"/>
</table>
</file>

<file path=xl/tables/table6.xml><?xml version="1.0" encoding="utf-8"?>
<table xmlns="http://schemas.openxmlformats.org/spreadsheetml/2006/main" ref="A1:CM467" displayName="DB_SHOPIFY" name="DB_SHOPIFY" id="6">
  <autoFilter ref="$A$1:$CM$467"/>
  <tableColumns count="91">
    <tableColumn name="Name" id="1"/>
    <tableColumn name="Email" id="2"/>
    <tableColumn name="Financial Status" id="3"/>
    <tableColumn name="Paid at" id="4"/>
    <tableColumn name="Fulfillment Status" id="5"/>
    <tableColumn name="Fulfilled at" id="6"/>
    <tableColumn name="Accepts Marketing" id="7"/>
    <tableColumn name="Currency" id="8"/>
    <tableColumn name="Subtotal" id="9"/>
    <tableColumn name="Shipping" id="10"/>
    <tableColumn name="Taxes" id="11"/>
    <tableColumn name="Total" id="12"/>
    <tableColumn name="Discount Code" id="13"/>
    <tableColumn name="Discount Amount" id="14"/>
    <tableColumn name="Shipping Method" id="15"/>
    <tableColumn name="Created at" id="16"/>
    <tableColumn name="Lineitem quantity" id="17"/>
    <tableColumn name="Lineitem name" id="18"/>
    <tableColumn name="Lineitem price" id="19"/>
    <tableColumn name="Lineitem compare at price" id="20"/>
    <tableColumn name="Lineitem sku" id="21"/>
    <tableColumn name="Lineitem requires shipping" id="22"/>
    <tableColumn name="Lineitem taxable" id="23"/>
    <tableColumn name="Lineitem fulfillment status" id="24"/>
    <tableColumn name="Billing Name" id="25"/>
    <tableColumn name="Billing Street" id="26"/>
    <tableColumn name="Billing Address1" id="27"/>
    <tableColumn name="Billing Address2" id="28"/>
    <tableColumn name="Billing Company" id="29"/>
    <tableColumn name="Billing City" id="30"/>
    <tableColumn name="Billing Zip" id="31"/>
    <tableColumn name="Billing Province" id="32"/>
    <tableColumn name="Billing Country" id="33"/>
    <tableColumn name="Billing Phone" id="34"/>
    <tableColumn name="Shipping Name" id="35"/>
    <tableColumn name="Shipping Street" id="36"/>
    <tableColumn name="Shipping Address1" id="37"/>
    <tableColumn name="Shipping Address2" id="38"/>
    <tableColumn name="Shipping Company" id="39"/>
    <tableColumn name="Shipping City" id="40"/>
    <tableColumn name="Shipping Zip" id="41"/>
    <tableColumn name="Shipping Province" id="42"/>
    <tableColumn name="Shipping Country" id="43"/>
    <tableColumn name="Shipping Phone" id="44"/>
    <tableColumn name="Notes" id="45"/>
    <tableColumn name="Note Attributes" id="46"/>
    <tableColumn name="Cancelled at" id="47"/>
    <tableColumn name="Payment Method" id="48"/>
    <tableColumn name="Payment Reference" id="49"/>
    <tableColumn name="Refunded Amount" id="50"/>
    <tableColumn name="Vendor" id="51"/>
    <tableColumn name="Outstanding Balance" id="52"/>
    <tableColumn name="Employee" id="53"/>
    <tableColumn name="Location" id="54"/>
    <tableColumn name="Device ID" id="55"/>
    <tableColumn name="Id" id="56"/>
    <tableColumn name="Tags" id="57"/>
    <tableColumn name="Risk Level" id="58"/>
    <tableColumn name="Source" id="59"/>
    <tableColumn name="Lineitem discount" id="60"/>
    <tableColumn name="Tax 1 Name" id="61"/>
    <tableColumn name="Tax 1 Value" id="62"/>
    <tableColumn name="Tax 2 Name" id="63"/>
    <tableColumn name="Tax 2 Value" id="64"/>
    <tableColumn name="Tax 3 Name" id="65"/>
    <tableColumn name="Tax 3 Value" id="66"/>
    <tableColumn name="Tax 4 Name" id="67"/>
    <tableColumn name="Tax 4 Value" id="68"/>
    <tableColumn name="Tax 5 Name" id="69"/>
    <tableColumn name="Tax 5 Value" id="70"/>
    <tableColumn name="Phone" id="71"/>
    <tableColumn name="Receipt Number" id="72"/>
    <tableColumn name="Duties" id="73"/>
    <tableColumn name="Billing Province Name" id="74"/>
    <tableColumn name="Shipping Province Name" id="75"/>
    <tableColumn name="Payment ID" id="76"/>
    <tableColumn name="Payment Terms Name" id="77"/>
    <tableColumn name="Next Payment Due At" id="78"/>
    <tableColumn name="Payment References" id="79"/>
    <tableColumn name="DATE" id="80"/>
    <tableColumn name="YEAR" id="81"/>
    <tableColumn name="MONTH" id="82"/>
    <tableColumn name="ORDER COUNT" id="83"/>
    <tableColumn name="ITEMS" id="84"/>
    <tableColumn name="FREE SHIPPING" id="85"/>
    <tableColumn name="COGS" id="86"/>
    <tableColumn name="PAYMENT FEES" id="87"/>
    <tableColumn name="LINE ITEM DISCOUNTS" id="88"/>
    <tableColumn name="TOT. DISCOUNT" id="89"/>
    <tableColumn name="CODICE_AMIIMI" id="90"/>
    <tableColumn name="ITEM_MAPPING" id="91"/>
  </tableColumns>
  <tableStyleInfo name="DB Shopify-style" showColumnStripes="0" showFirstColumn="1" showLastColumn="1" showRowStripes="1"/>
</table>
</file>

<file path=xl/tables/table7.xml><?xml version="1.0" encoding="utf-8"?>
<table xmlns="http://schemas.openxmlformats.org/spreadsheetml/2006/main" ref="A1:X2156" displayName="Table2" name="Table2" id="7">
  <autoFilter ref="$A$1:$X$2156"/>
  <tableColumns count="24">
    <tableColumn name="CODICE_AMIIMI" id="1"/>
    <tableColumn name="Nome_Prodotto_Shopify" id="2"/>
    <tableColumn name="Shopify_SKU" id="3"/>
    <tableColumn name="Categoria" id="4"/>
    <tableColumn name="Item" id="5"/>
    <tableColumn name="Variante" id="6"/>
    <tableColumn name="Prezzo_Retail" id="7"/>
    <tableColumn name="Costo_Produzione" id="8"/>
    <tableColumn name="Totale Prodotto" id="9"/>
    <tableColumn name="Giacenza_Attuale" id="10"/>
    <tableColumn name="Totale_Venduto" id="11"/>
    <tableColumn name="Totale_Venduto_Amimi" id="12"/>
    <tableColumn name="Margine_Unitario" id="13"/>
    <tableColumn name="Margine_Percentuale" id="14"/>
    <tableColumn name="Stato" id="15"/>
    <tableColumn name="Note" id="16"/>
    <tableColumn name="Immagine_URL" id="17"/>
    <tableColumn name="Check_Balance" id="18"/>
    <tableColumn name="Valore_Totale" id="19"/>
    <tableColumn name="B2B_Venduto" id="20"/>
    <tableColumn name="In_Conto_Vendita" id="21"/>
    <tableColumn name="Giacenza_Totale_conB2B" id="22"/>
    <tableColumn name="Disponibili da vendere" id="23"/>
    <tableColumn name="Shopify_push" id="24"/>
  </tableColumns>
  <tableStyleInfo name="INVENTARIO_PRODOTTI-style" showColumnStripes="0" showFirstColumn="1" showLastColumn="1" showRowStripes="1"/>
</table>
</file>

<file path=xl/tables/table8.xml><?xml version="1.0" encoding="utf-8"?>
<table xmlns="http://schemas.openxmlformats.org/spreadsheetml/2006/main" headerRowCount="0" ref="A1:P1" displayName="Table4" name="Table4" id="8">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PRODUCT_INTAKE-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A4" displayName="Table_1" name="Table_1" id="9">
  <tableColumns count="1">
    <tableColumn name="Column1" id="1"/>
  </tableColumns>
  <tableStyleInfo name="Import-style" showColumnStripes="0" showFirstColumn="1" showLastColumn="1" showRowStripes="1"/>
</table>
</file>

<file path=xl/tables/table10.xml><?xml version="1.0" encoding="utf-8"?>
<table xmlns="http://schemas.openxmlformats.org/spreadsheetml/2006/main" headerRowCount="0" ref="F2:F4" displayName="Table_2" name="Table_2" id="10">
  <tableColumns count="1">
    <tableColumn name="Column1" id="1"/>
  </tableColumns>
  <tableStyleInfo name="Import-style 2" showColumnStripes="0" showFirstColumn="1" showLastColumn="1" showRowStripes="1"/>
</table>
</file>

<file path=xl/tables/table11.xml><?xml version="1.0" encoding="utf-8"?>
<table xmlns="http://schemas.openxmlformats.org/spreadsheetml/2006/main" headerRowCount="0" ref="I20:I23" displayName="Table_3" name="Table_3" id="11">
  <tableColumns count="1">
    <tableColumn name="Column1" id="1"/>
  </tableColumns>
  <tableStyleInfo name="Import-style 3" showColumnStripes="0" showFirstColumn="1" showLastColumn="1" showRowStripes="1"/>
</table>
</file>

<file path=xl/tables/table12.xml><?xml version="1.0" encoding="utf-8"?>
<table xmlns="http://schemas.openxmlformats.org/spreadsheetml/2006/main" ref="B2:C19" displayName="Table_4" name="Table_4" id="12">
  <tableColumns count="2">
    <tableColumn name="CATEGORY" id="1"/>
    <tableColumn name="SUBCATEGORY" id="2"/>
  </tableColumns>
  <tableStyleInfo name="Ops_Map-style" showColumnStripes="0" showFirstColumn="1" showLastColumn="1" showRowStripes="1"/>
</table>
</file>

<file path=xl/tables/table13.xml><?xml version="1.0" encoding="utf-8"?>
<table xmlns="http://schemas.openxmlformats.org/spreadsheetml/2006/main" ref="A1:K47" displayName="Table3" name="Table3" id="13">
  <tableColumns count="11">
    <tableColumn name="SKU" id="1"/>
    <tableColumn name="ID_Materiale" id="2"/>
    <tableColumn name="Categoria" id="3"/>
    <tableColumn name="Item" id="4"/>
    <tableColumn name="Variant" id="5"/>
    <tableColumn name="Unita_Misura" id="6"/>
    <tableColumn name="Costo_Ultimo" id="7"/>
    <tableColumn name="Valore_Totale" id="8"/>
    <tableColumn name="Note" id="9"/>
    <tableColumn name="Giacenza_Attuale" id="10"/>
    <tableColumn name="Scorta_Minima" id="11"/>
  </tableColumns>
  <tableStyleInfo name="INVENTARIO_MATERIAL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3-25T17:45:11.00" personId="{7a91094a-8046-47c7-94e5-1746240730af}" id="{91838320-40a7-43f1-b37e-4ad230fd0d7f}" done="1">
    <x18tc:text xml:space="preserve">ok</x18tc:text>
  </x18tc:threadedComment>
  <x18tc:threadedComment ref="A1" dT="2025-04-17T10:39:45.00" personId="{263f29e2-c982-4bd1-98f9-36fa2c2c898e}" id="{b76a45e5-3db8-452c-9829-5a7f1116e473}" done="1">
    <x18tc:text xml:space="preserve">@barnaba.nicoletti@vivaioventures.it benzina in OPEX?
Assigned to barnaba.nicoletti@vivaioventures.it</x18tc:text>
    <x18tc:mentions>
      <x18tc:mention mentionpersonId="{171b5a82-ce34-4a0c-b456-45fff4e8c6b1}" mentionId="{44ed9caf-e156-490f-9454-3714b0c9be1f}" startIndex="0" length="36"/>
    </x18tc:mentions>
  </x18tc:threadedComment>
  <x18tc:threadedComment ref="A1" dT="2025-03-25T16:53:46.00" personId="{7a91094a-8046-47c7-94e5-1746240730af}" id="{4dc5a2cb-6e30-43f6-98cc-7fbb3739487c}" done="1">
    <x18tc:text xml:space="preserve">ORANGE</x18tc:text>
  </x18tc:threadedComment>
  <x18tc:threadedComment ref="A1" dT="2025-04-17T09:46:00.00" personId="{263f29e2-c982-4bd1-98f9-36fa2c2c898e}" id="{e0b63c3d-484f-4fe0-b55b-1877954a61ee}" done="1">
    <x18tc:text xml:space="preserve">annie bag</x18tc:text>
  </x18tc:threadedComment>
  <x18tc:threadedComment ref="A1" dT="2025-09-05T14:38:28.00" personId="{263f29e2-c982-4bd1-98f9-36fa2c2c898e}" id="{cc31e7f1-0fbd-4b1d-8c96-65058832f9de}" done="1">
    <x18tc:text xml:space="preserve">QUESTI SONO I CONTRIBUTI</x18tc:text>
  </x18tc:threadedComment>
  <x18tc:threadedComment ref="A1" dT="2025-03-26T15:53:47.00" personId="{7a91094a-8046-47c7-94e5-1746240730af}" id="{d9a23fc0-56f6-4e1b-86b2-c56fe91f911b}" done="1">
    <x18tc:text xml:space="preserve">muccata marrone</x18tc:text>
  </x18tc:threadedComment>
  <x18tc:threadedComment ref="A1" dT="2025-04-17T09:52:24.00" personId="{263f29e2-c982-4bd1-98f9-36fa2c2c898e}" id="{6b905e67-893d-4167-a1b0-6b169db4e57e}" done="1">
    <x18tc:text xml:space="preserve">agata bag</x18tc:text>
  </x18tc:threadedComment>
  <x18tc:threadedComment ref="A1" dT="2025-03-25T16:53:41.00" personId="{7a91094a-8046-47c7-94e5-1746240730af}" id="{b6eceba8-cf92-4744-b508-e7d1db0633e9}" done="1">
    <x18tc:text xml:space="preserve">MUCCATA MARRONE</x18tc:text>
  </x18tc:threadedComment>
  <x18tc:threadedComment ref="A1" dT="2025-04-17T09:53:06.00" personId="{263f29e2-c982-4bd1-98f9-36fa2c2c898e}" id="{f690cc14-5d81-4af5-8641-5c5b410025ed}" done="1">
    <x18tc:text xml:space="preserve">WIP</x18tc:text>
  </x18tc:threadedComment>
  <x18tc:threadedComment ref="A1" dT="2025-03-25T16:53:08.00" personId="{7a91094a-8046-47c7-94e5-1746240730af}" id="{0f5bca7f-a2c4-4d48-ae40-040ae1559962}" done="1">
    <x18tc:text xml:space="preserve">Charm (Bustina SMALL)</x18tc:text>
  </x18tc:threadedComment>
  <x18tc:threadedComment ref="A1" dT="2025-04-17T15:54:33.00" personId="{263f29e2-c982-4bd1-98f9-36fa2c2c898e}" id="{36c27735-44ba-49de-9273-00dc309423a7}" done="1">
    <x18tc:text xml:space="preserve">@barnaba.nicoletti@vivaioventures.it se il costo non è all'interno dell estratto conto ma fuori dove lo inseriamo? riporto qua per non dimenticarmi x ora
Assigned to barnaba.nicoletti@vivaioventures.it</x18tc:text>
    <x18tc:mentions>
      <x18tc:mention mentionpersonId="{171b5a82-ce34-4a0c-b456-45fff4e8c6b1}" mentionId="{7c61f81d-61d1-4783-a891-5581141a02ec}" startIndex="0" length="36"/>
    </x18tc:mentions>
  </x18tc:threadedComment>
  <x18tc:threadedComment ref="A1" dT="2025-03-25T17:45:52.00" personId="{7a91094a-8046-47c7-94e5-1746240730af}" id="{71c5e8ac-1e41-4d40-a18e-4f63600f6853}" done="1">
    <x18tc:text xml:space="preserve">ok</x18tc:text>
  </x18tc:threadedComment>
  <x18tc:threadedComment ref="A1" dT="2025-03-25T16:53:53.00" personId="{7a91094a-8046-47c7-94e5-1746240730af}" id="{7c3f8de6-d282-4779-9f4f-3474b48d0160}" done="1">
    <x18tc:text xml:space="preserve">LEOPARDO</x18tc:text>
  </x18tc:threadedComment>
  <x18tc:threadedComment ref="A1" dT="2025-04-17T08:09:46.00" personId="{263f29e2-c982-4bd1-98f9-36fa2c2c898e}" id="{ac88beeb-6b1a-4d45-99d1-e4bd43305ed7}" done="1">
    <x18tc:text xml:space="preserve">T-Shirt</x18tc:text>
  </x18tc:threadedComment>
  <x18tc:threadedComment ref="A1" dT="2025-03-25T17:45:52.00" personId="{7a91094a-8046-47c7-94e5-1746240730af}" id="{c39639cd-0008-423c-a746-b61ee636e4fb}" done="1">
    <x18tc:text xml:space="preserve">ok</x18tc:text>
  </x18tc:threadedComment>
  <x18tc:threadedComment ref="A1" dT="2025-03-25T16:52:51.00" personId="{7a91094a-8046-47c7-94e5-1746240730af}" id="{18c87085-9c85-41c4-b064-2b0c507ea2ed}" done="1">
    <x18tc:text xml:space="preserve">FUCSIA</x18tc:text>
  </x18tc:threadedComment>
  <x18tc:threadedComment ref="A1" dT="2025-04-01T18:31:58.00" personId="{7a91094a-8046-47c7-94e5-1746240730af}" id="{2b3e0c85-2c83-412a-9482-b27f358eab3a}" done="1">
    <x18tc:text xml:space="preserve">mucca</x18tc:text>
  </x18tc:threadedComment>
  <x18tc:threadedComment ref="A1" dT="2025-03-25T16:53:34.00" personId="{7a91094a-8046-47c7-94e5-1746240730af}" id="{907cc75f-c310-44e6-b10d-01fc0a34d97a}" done="1">
    <x18tc:text xml:space="preserve">ZEBRATA MARRONE</x18tc:text>
  </x18tc:threadedComment>
  <x18tc:threadedComment ref="A1" dT="2025-03-25T17:44:19.00" personId="{7a91094a-8046-47c7-94e5-1746240730af}" id="{d9c7fa16-852c-4c8f-b8d7-8d64de89936f}" done="1">
    <x18tc:text xml:space="preserve">TBD</x18tc:text>
  </x18tc:threadedComment>
  <x18tc:threadedComment ref="A1" dT="2025-04-18T15:04:23.00" personId="{263f29e2-c982-4bd1-98f9-36fa2c2c898e}" id="{576cb9c3-ae06-4e60-b811-ecd4040202b3}" done="1">
    <x18tc:text xml:space="preserve">chiedere a ginni quale e come ha pagato</x18tc:text>
  </x18tc:threadedComment>
  <x18tc:threadedComment ref="A1" dT="2025-03-25T17:45:38.00" personId="{7a91094a-8046-47c7-94e5-1746240730af}" id="{49b5e18f-55bf-4f9a-a73f-0bae261d3a42}" done="1">
    <x18tc:text xml:space="preserve">ok</x18tc:text>
  </x18tc:threadedComment>
  <x18tc:threadedComment ref="A1" dT="2025-04-01T18:31:47.00" personId="{7a91094a-8046-47c7-94e5-1746240730af}" id="{aec1ef5c-4866-4ec0-bb0d-205ec17be7b6}" done="1">
    <x18tc:text xml:space="preserve">RED</x18tc:text>
  </x18tc:threadedComment>
  <x18tc:threadedComment ref="A1" dT="2025-03-25T17:45:23.00" personId="{7a91094a-8046-47c7-94e5-1746240730af}" id="{3c40c6c4-44f1-47ac-9e99-b2e3ce3c8f9c}" done="1">
    <x18tc:text xml:space="preserve">ok</x18tc:text>
  </x18tc:threadedComment>
  <x18tc:threadedComment ref="A1" dT="2025-04-01T18:33:19.00" personId="{7a91094a-8046-47c7-94e5-1746240730af}" id="{8cca3f36-dc12-41f5-bf7b-74de15158416}" done="1">
    <x18tc:text xml:space="preserve">ZEBRA</x18tc:text>
  </x18tc:threadedComment>
  <x18tc:threadedComment ref="A1" dT="2025-04-17T08:12:50.00" personId="{263f29e2-c982-4bd1-98f9-36fa2c2c898e}" id="{efba4be1-3543-4dfd-bc58-a6375910d195}" done="1">
    <x18tc:text xml:space="preserve">vernice red</x18tc:text>
  </x18tc:threadedComment>
  <x18tc:threadedComment ref="A1" dT="2025-03-25T17:45:17.00" personId="{7a91094a-8046-47c7-94e5-1746240730af}" id="{c0ecf897-4914-4bb9-9927-d9d7cb18f0b4}" done="1">
    <x18tc:text xml:space="preserve">ok</x18tc:text>
  </x18tc:threadedComment>
  <x18tc:threadedComment ref="A1" dT="2025-03-26T15:53:56.00" personId="{7a91094a-8046-47c7-94e5-1746240730af}" id="{aa7a2155-cba9-41a7-ba7f-e58491c6e991}" done="1">
    <x18tc:text xml:space="preserve">zebra marrone</x18tc:text>
  </x18tc:threadedComment>
  <x18tc:threadedComment ref="A1" dT="2025-04-01T18:33:07.00" personId="{7a91094a-8046-47c7-94e5-1746240730af}" id="{409f0418-1f91-45b6-b06a-18eba5eaa5c5}" done="1">
    <x18tc:text xml:space="preserve">dark blu</x18tc:text>
  </x18tc:threadedComment>
  <x18tc:threadedComment ref="A1" dT="2025-03-25T17:47:15.00" personId="{7a91094a-8046-47c7-94e5-1746240730af}" id="{b7c135c6-ef0f-424a-96c9-57ef7c4d1ff3}" done="1">
    <x18tc:text xml:space="preserve">per quanto riguarda la lea bag c'è una piccola variante rispetto alle pelli, in base al costo della pelle abbiamo differenze di prezzo che oscillano tra i 100 e i 150 euro. Forse qua varrebbe la pena o fare un discorso singolo per le diverse colorazioni oppure fare una stima come fatta ad oggi?</x18tc:text>
  </x18tc:threadedComment>
  <x18tc:threadedComment ref="A1" dT="2025-03-25T16:53:20.00" personId="{7a91094a-8046-47c7-94e5-1746240730af}" id="{0adedc95-ec81-4778-8dd8-e38482d2e824}" done="1">
    <x18tc:text xml:space="preserve">RED</x18tc:text>
  </x18tc:threadedComment>
  <x18tc:threadedComment ref="A1" dT="2025-04-01T18:32:17.00" personId="{7a91094a-8046-47c7-94e5-1746240730af}" id="{0ca58040-be52-480a-bdc8-fb9358f88ad3}" done="1">
    <x18tc:text xml:space="preserve">leopardo scuro</x18tc:text>
  </x18tc:threadedComment>
  <x18tc:threadedComment ref="A1" dT="2025-04-17T10:37:54.00" personId="{263f29e2-c982-4bd1-98f9-36fa2c2c898e}" id="{6d9316f4-7d1b-46ea-b3ad-185226cc6432}" done="1">
    <x18tc:text xml:space="preserve">chiedere a ginni</x18tc:text>
  </x18tc:threadedComment>
  <x18tc:threadedComment ref="A1" dT="2025-04-23T14:07:30.00" personId="{263f29e2-c982-4bd1-98f9-36fa2c2c898e}" id="{ff457ce4-3ebc-414c-940f-2ed82a755171}" done="1">
    <x18tc:text xml:space="preserve">la benzina dove mi conviene metterla? opex o logistica? @barnaba.nicoletti@vivaioventures.it
Assigned to barnaba.nicoletti@vivaioventures.it</x18tc:text>
    <x18tc:mentions>
      <x18tc:mention mentionpersonId="{171b5a82-ce34-4a0c-b456-45fff4e8c6b1}" mentionId="{bbd76836-923c-498e-8c60-8de986612787}" startIndex="56" length="36"/>
    </x18tc:mentions>
  </x18tc:threadedComment>
  <x18tc:threadedComment ref="A1" dT="2025-04-24T07:14:24.00" personId="{379ec86e-93ac-44b0-b550-05f0dc81a20b}" id="{d45f9e00-6d06-4f16-85d3-491f58d67016}" parentId="{ff457ce4-3ebc-414c-940f-2ed82a755171}">
    <x18tc:text xml:space="preserve">Opex!</x18tc:text>
  </x18tc:threadedComment>
  <x18tc:threadedComment ref="A1" dT="2025-11-12T11:48:25.00" personId="{263f29e2-c982-4bd1-98f9-36fa2c2c898e}" id="{5bdf9a23-b74d-4d8e-a7a3-5a049a818bcd}" done="1">
    <x18tc:text xml:space="preserve">dove lo categorizziamo l hosting sito? OPEX? @barnaba.nicoletti@vivaioventures.it
Assigned to barnaba.nicoletti@vivaioventures.it</x18tc:text>
    <x18tc:mentions>
      <x18tc:mention mentionpersonId="{171b5a82-ce34-4a0c-b456-45fff4e8c6b1}" mentionId="{e16f7d7c-1af1-47d7-99cb-dfa7057d5a1b}" startIndex="45" length="36"/>
    </x18tc:mentions>
  </x18tc:threadedComment>
  <x18tc:threadedComment ref="A1" dT="2025-04-17T09:46:00.00" personId="{7a91094a-8046-47c7-94e5-1746240730af}" id="{67508756-dc82-4ed1-be37-9a24988488c3}" done="1">
    <x18tc:text xml:space="preserve">annie bag</x18tc:text>
  </x18tc:threadedComment>
  <x18tc:threadedComment ref="A1" dT="2025-07-02T08:41:27.00" personId="{263f29e2-c982-4bd1-98f9-36fa2c2c898e}" id="{af335995-e4aa-4793-a6e9-d0f1860ce143}" done="1">
    <x18tc:text xml:space="preserve">anche qui stesso dubbio x pop up torino @barnaba.nicoletti@vivaioventures.it
Assigned to barnaba.nicoletti@vivaioventures.it</x18tc:text>
    <x18tc:mentions>
      <x18tc:mention mentionpersonId="{171b5a82-ce34-4a0c-b456-45fff4e8c6b1}" mentionId="{414269c7-5eab-480a-85b3-2f06312ee6c7}" startIndex="40" length="36"/>
    </x18tc:mentions>
  </x18tc:threadedComment>
  <x18tc:threadedComment ref="A1" dT="2025-09-05T13:49:42.00" personId="{263f29e2-c982-4bd1-98f9-36fa2c2c898e}" id="{15f8d32e-573e-439d-895d-7a1aa7d60b2f}" done="1">
    <x18tc:text xml:space="preserve">QUA DA NON GUARDARE LO INSERISCO SOLO COME REMINDER CHE SONO SOLDI CHE CI DEVONO RESTITUIRE</x18tc:text>
  </x18tc:threadedComment>
  <x18tc:threadedComment ref="A1" dT="2025-04-17T10:08:56.00" personId="{263f29e2-c982-4bd1-98f9-36fa2c2c898e}" id="{8a778ab9-8451-4e33-b60f-c4d17f13d12a}" done="1">
    <x18tc:text xml:space="preserve">chiedere a ginni</x18tc:text>
  </x18tc:threadedComment>
  <x18tc:threadedComment ref="A1" dT="2025-12-29T11:23:04.00" personId="{263f29e2-c982-4bd1-98f9-36fa2c2c898e}" id="{b1a813a6-4395-4f37-935a-1b7cc4b7b6de}" done="1">
    <x18tc:text xml:space="preserve">qui è spesa commercialista, lo mettiamo Opex? Commercialista? @alepodasca@gmail.com
Assigned to alepodasca@gmail.com</x18tc:text>
    <x18tc:mentions>
      <x18tc:mention mentionpersonId="{15cd796b-b623-4e81-8c17-bb0780949502}" mentionId="{58481c89-da07-4071-93fa-22a86283179c}" startIndex="62" length="21"/>
    </x18tc:mentions>
  </x18tc:threadedComment>
  <x18tc:threadedComment ref="A1" dT="2025-03-25T17:45:52.00" personId="{7a91094a-8046-47c7-94e5-1746240730af}" id="{671e8951-89e9-432a-875e-257033ce7ecf}" done="1">
    <x18tc:text xml:space="preserve">ok</x18tc:text>
  </x18tc:threadedComment>
  <x18tc:threadedComment ref="A1" dT="2025-07-02T08:19:20.00" personId="{263f29e2-c982-4bd1-98f9-36fa2c2c898e}" id="{23097680-239f-4a37-92a9-7feacc21c41f}" done="1">
    <x18tc:text xml:space="preserve">@barnaba.nicoletti@vivaioventures.it cena a roma x pop up rientra nei costi del pop up quindi eventi o OPEX è corretto?
Assigned to barnaba.nicoletti@vivaioventures.it</x18tc:text>
    <x18tc:mentions>
      <x18tc:mention mentionpersonId="{171b5a82-ce34-4a0c-b456-45fff4e8c6b1}" mentionId="{21876948-f5c7-42cb-aaa9-8098b50a6420}" startIndex="0" length="36"/>
    </x18tc:mentions>
  </x18tc:threadedComment>
  <x18tc:threadedComment ref="A1" dT="2025-06-12T07:59:11.00" personId="{263f29e2-c982-4bd1-98f9-36fa2c2c898e}" id="{b00750f0-d204-4de7-a352-58262f262576}" done="1">
    <x18tc:text xml:space="preserve">@barnaba.nicoletti@vivaioventures.it ciao barni, qua il costo del treno per il pop up cosa metto?
Assigned to barnaba.nicoletti@vivaioventures.it</x18tc:text>
    <x18tc:mentions>
      <x18tc:mention mentionpersonId="{171b5a82-ce34-4a0c-b456-45fff4e8c6b1}" mentionId="{71d6d67a-a334-484e-bdf2-4a6ff8d4e6a8}" startIndex="0" length="36"/>
    </x18tc:mentions>
  </x18tc:threadedComment>
  <x18tc:threadedComment ref="A1" dT="2025-04-01T18:31:36.00" personId="{7a91094a-8046-47c7-94e5-1746240730af}" id="{1f9c00ed-2e6e-4a35-b6ea-d4141b7523e3}" done="1">
    <x18tc:text xml:space="preserve">PINK</x18tc:text>
  </x18tc:threadedComment>
  <x18tc:threadedComment ref="A1" dT="2025-04-17T09:46:00.00" personId="{7a91094a-8046-47c7-94e5-1746240730af}" id="{2fcbf7e1-2334-4bde-a822-45f2aed1ff35}" done="1">
    <x18tc:text xml:space="preserve">annie bag</x18tc:text>
  </x18tc:threadedComment>
  <x18tc:threadedComment ref="A1" dT="2025-03-25T17:44:26.00" personId="{7a91094a-8046-47c7-94e5-1746240730af}" id="{31cd7bc0-9bd1-4c9b-981c-4fc283ee760e}" done="1">
    <x18tc:text xml:space="preserve">dato corretto</x18tc:text>
  </x18tc:threadedComment>
  <x18tc:threadedComment ref="A1" dT="2025-03-25T17:44:26.00" personId="{7a91094a-8046-47c7-94e5-1746240730af}" id="{f2ca583e-8acd-4960-a1f3-c78894ef6d17}" done="1">
    <x18tc:text xml:space="preserve">dato corretto</x18tc:text>
  </x18tc:threadedComment>
  <x18tc:threadedComment ref="A1" dT="2025-03-25T16:52:32.00" personId="{7a91094a-8046-47c7-94e5-1746240730af}" id="{3207b39c-6052-42d9-af26-9dfb99f0f7ec}" done="1">
    <x18tc:text xml:space="preserve">ZEBRATA MARRONE</x18tc:text>
  </x18tc:threadedComment>
  <x18tc:threadedComment ref="A1" dT="2025-03-21T07:38:03.00" personId="{267c1205-089f-4452-811f-230f6b707cc7}" id="{ab830057-74ba-4e10-b96d-2adc788528d7}" done="1">
    <x18tc:text xml:space="preserve">[Threaded comment]
Your version of Excel allows you to read this threaded comment; however, any edits to it will get removed if the file is opened in a newer version of Excel. Learn more: https://go.microsoft.com/fwlink/?linkid=870924
Comment:
    AOV deriving from FY 2024 Sales</x18tc:text>
    <x18tc:extLst>
      <ext uri="{F7C98A9C-CBB3-438F-8F68-D28B6AF4A901}">
        <xltc2:checksum/>
        <xltc2:hyperlink startIndex="189" length="46" url="https://go.microsoft.com/fwlink/?linkid=870924"/>
      </ext>
    </x18tc:extLst>
  </x18tc:threadedComment>
  <x18tc:threadedComment ref="A1" dT="2025-03-21T07:38:03.00" personId="{5c8366ea-ae80-42ff-87a6-60a903231a88}" id="{4f6ba52c-736a-495e-94e7-9551ed67fc68}" done="1">
    <x18tc:text xml:space="preserve">[Threaded comment]
Your version of Excel allows you to read this threaded comment; however, any edits to it will get removed if the file is opened in a newer version of Excel. Learn more: https://go.microsoft.com/fwlink/?linkid=870924
Comment:
    We most likely have to segment this into more granular categories</x18tc:text>
    <x18tc:extLst>
      <ext uri="{F7C98A9C-CBB3-438F-8F68-D28B6AF4A901}">
        <xltc2:checksum/>
        <xltc2:hyperlink startIndex="189" length="46" url="https://go.microsoft.com/fwlink/?linkid=870924"/>
      </ext>
    </x18tc:extLst>
  </x18tc:threadedComment>
  <x18tc:threadedComment ref="A1" dT="2025-03-25T16:54:01.00" personId="{7a91094a-8046-47c7-94e5-1746240730af}" id="{a0438ffc-b6ea-429a-b4b1-24eb71f70f22}" done="1">
    <x18tc:text xml:space="preserve">BLU</x18tc:text>
  </x18tc:threadedComment>
  <x18tc:threadedComment ref="A1" dT="2025-03-21T07:38:03.00" personId="{267c1205-089f-4452-811f-230f6b707cc7}" id="{0c1817c5-4014-42ad-b788-0b3264a45335}" done="1">
    <x18tc:text xml:space="preserve">[Threaded comment]
Your version of Excel allows you to read this threaded comment; however, any edits to it will get removed if the file is opened in a newer version of Excel. Learn more: https://go.microsoft.com/fwlink/?linkid=870924
Comment:
    AOV deriving from FY 2024 Sales</x18tc:text>
    <x18tc:extLst>
      <ext uri="{F7C98A9C-CBB3-438F-8F68-D28B6AF4A901}">
        <xltc2:checksum/>
        <xltc2:hyperlink startIndex="189" length="46" url="https://go.microsoft.com/fwlink/?linkid=870924"/>
      </ext>
    </x18tc:extLst>
  </x18tc:threadedComment>
  <x18tc:threadedComment ref="A1" dT="2025-03-21T07:38:03.00" personId="{5c8366ea-ae80-42ff-87a6-60a903231a88}" id="{56649ea3-0c9b-4956-90de-0b2a4282b884}" done="1">
    <x18tc:text xml:space="preserve">[Threaded comment]
Your version of Excel allows you to read this threaded comment; however, any edits to it will get removed if the file is opened in a newer version of Excel. Learn more: https://go.microsoft.com/fwlink/?linkid=870924
Comment:
    We most likely have to segment this into more granular categories</x18tc:text>
    <x18tc:extLst>
      <ext uri="{F7C98A9C-CBB3-438F-8F68-D28B6AF4A901}">
        <xltc2:checksum/>
        <xltc2:hyperlink startIndex="189" length="46" url="https://go.microsoft.com/fwlink/?linkid=870924"/>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9" dT="2026-03-02T23:40:46.00" personId="{9c771056-f837-459e-8e2b-8aca7e14e99d}" id="{da3eda30-2f43-485f-a928-7351ca4dde39}" done="1">
    <x18tc:text xml:space="preserve">questo è sbagliato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9" dT="2026-02-28T00:23:29.00" personId="{83a9c41a-9a4e-443d-aeea-52d4f1ecc79c}" id="{f1f225d7-3191-4115-8979-4c2e6593c1f5}" done="0">
    <x18tc:text xml:space="preserve">Dovrò aggiungere commissioni qromo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64" dT="2026-05-07T08:09:10.00" personId="{9c771056-f837-459e-8e2b-8aca7e14e99d}" id="{1d64b1bc-adda-4be5-ab64-0ea23f8d3048}" done="1">
    <x18tc:text xml:space="preserve">questo è stato spesa evento video campagna , metterei in marketing eventi @alepodasca@gmail.com che dici?
Assigned to alepodasca@gmail.com</x18tc:text>
    <x18tc:mentions>
      <x18tc:mention mentionpersonId="{15cd796b-b623-4e81-8c17-bb0780949502}" mentionId="{00cf6cc7-a2e5-412f-aa86-567126a6ad3f}" startIndex="74" length="21"/>
    </x18tc:mentions>
  </x18tc:threadedComment>
  <x18tc:threadedComment ref="J163" dT="2026-05-07T08:08:33.00" personId="{9c771056-f837-459e-8e2b-8aca7e14e99d}" id="{93ffe602-408f-4e4e-b841-d61a6cc3fd15}" done="1">
    <x18tc:text xml:space="preserve">non riesco a capire cos'è mannaggia</x18tc:text>
  </x18tc:threadedComment>
  <x18tc:threadedComment ref="E6" dT="2026-02-12T09:07:15.00" personId="{263f29e2-c982-4bd1-98f9-36fa2c2c898e}" id="{88ef0ad2-902d-4f62-b8f7-43d659672467}" done="1">
    <x18tc:text xml:space="preserve">@alepodasca@gmail.com google workspace in che macrocategoria lo inseriamo?
Assigned to alepodasca@gmail.com</x18tc:text>
    <x18tc:mentions>
      <x18tc:mention mentionpersonId="{15cd796b-b623-4e81-8c17-bb0780949502}" mentionId="{0c80d5be-f622-4f2a-8e8a-f7d6bda3707e}" startIndex="0" length="21"/>
    </x18tc:mentions>
  </x18tc:threadedComment>
  <x18tc:threadedComment ref="E94" dT="2026-05-07T08:15:26.00" personId="{9c771056-f837-459e-8e2b-8aca7e14e99d}" id="{c7c061a2-a36f-4ff4-b2f2-8b3114a9ca07}" done="0">
    <x18tc:text xml:space="preserve">tema notaio non abbiamo una macrocategoria ad hoc giusto? lasciato OPEX?</x18tc:text>
  </x18tc:threadedComment>
  <x18tc:threadedComment ref="J186" dT="2026-05-07T08:11:47.00" personId="{9c771056-f837-459e-8e2b-8aca7e14e99d}" id="{1fb9f224-a018-431c-ae09-1b4f0ebc435b}" done="1">
    <x18tc:text xml:space="preserve">qui metterei LOGISTICA , alla fine è legato al nostro trasporto x presa merce , spedizioni su mi , ecc.</x18tc:text>
  </x18tc:threadedComment>
  <x18tc:threadedComment ref="J186" dT="2026-05-07T08:47:23.00" personId="{9c771056-f837-459e-8e2b-8aca7e14e99d}" id="{3c7b9851-47dc-4863-8995-5f566b2835eb}" parentId="{1fb9f224-a018-431c-ae09-1b4f0ebc435b}">
    <x18tc:text xml:space="preserve">quello direi comunque OPEX - perchè logistica per noi è solo spedizioni</x18tc:text>
  </x18tc:threadedComment>
  <x18tc:threadedComment ref="J180" dT="2026-05-07T08:11:00.00" personId="{9c771056-f837-459e-8e2b-8aca7e14e99d}" id="{9dd7c3d1-e91b-46b1-8591-1b63e145e411}" done="1">
    <x18tc:text xml:space="preserve">pranzo durante pop up weekend - facciamo sempre marketing eventi? NO OPEX?</x18tc:text>
  </x18tc:threadedComment>
  <x18tc:threadedComment ref="J180" dT="2026-05-07T08:45:27.00" personId="{9c771056-f837-459e-8e2b-8aca7e14e99d}" id="{2b403977-580b-4734-96c3-2fb572368f98}" parentId="{9dd7c3d1-e91b-46b1-8591-1b63e145e411}">
    <x18tc:text xml:space="preserve">facciamo eventi si dai, cosi fa tutto parte della parte di vendita e opex diventa meno generico</x18tc:text>
  </x18tc:threadedComment>
  <x18tc:threadedComment ref="J172" dT="2026-05-07T08:10:21.00" personId="{9c771056-f837-459e-8e2b-8aca7e14e99d}" id="{6be50185-daa6-43fc-baa9-dc3a93a1ce15}" done="1">
    <x18tc:text xml:space="preserve">questo è ricerca di anteriorità e deposizione marchio, in cosa abbiamo deciso di metterlo? è una voce a se burocratica diciamo @alepodasca@gmail.com
Assigned to alepodasca@gmail.com</x18tc:text>
    <x18tc:mentions>
      <x18tc:mention mentionpersonId="{15cd796b-b623-4e81-8c17-bb0780949502}" mentionId="{40e1becc-49f4-4108-9129-8cf2a520393d}" startIndex="127" length="21"/>
    </x18tc:mentions>
  </x18tc:threadedComment>
  <x18tc:threadedComment ref="J172" dT="2026-06-02T20:30:01.00" personId="{9c771056-f837-459e-8e2b-8aca7e14e99d}" id="{a25312f3-7909-4190-9177-990cbde9f115}" parentId="{6be50185-daa6-43fc-baa9-dc3a93a1ce15}">
    <x18tc:text xml:space="preserve">legale commercialista ci sta</x18tc:text>
  </x18tc:threadedComment>
  <x18tc:threadedComment ref="H192" dT="2026-06-02T19:20:45.00" personId="{9c771056-f837-459e-8e2b-8aca7e14e99d}" id="{022c98cc-bde0-4bc2-adb4-72e1979de9d4}" done="1">
    <x18tc:text xml:space="preserve">vogliamo mettere in OPEX spese consulenza?</x18tc:text>
  </x18tc:threadedComment>
  <x18tc:threadedComment ref="H192" dT="2026-06-02T20:30:09.00" personId="{9c771056-f837-459e-8e2b-8aca7e14e99d}" id="{a71a9a62-3041-4054-b0fc-bb817940260e}" parentId="{022c98cc-bde0-4bc2-adb4-72e1979de9d4}">
    <x18tc:text xml:space="preserve">si</x18tc:text>
  </x18tc:threadedComment>
  <x18tc:threadedComment ref="H213" dT="2026-06-02T19:22:50.00" personId="{9c771056-f837-459e-8e2b-8aca7e14e99d}" id="{8cb69691-fa92-42b3-b0f1-a30e45566cfb}" done="1">
    <x18tc:text xml:space="preserve">chatgpt teniamo in opex? non so se poi potremmo inserire anche in marketing</x18tc:text>
  </x18tc:threadedComment>
  <x18tc:threadedComment ref="H213" dT="2026-06-02T20:30:53.00" personId="{9c771056-f837-459e-8e2b-8aca7e14e99d}" id="{1cd83026-7cf5-4562-866e-08df690457c6}" parentId="{8cb69691-fa92-42b3-b0f1-a30e45566cfb}">
    <x18tc:text xml:space="preserve">opex per ora</x18tc:text>
  </x18tc:threadedComment>
  <x18tc:threadedComment ref="G207" dT="2026-06-02T19:21:51.00" personId="{9c771056-f837-459e-8e2b-8aca7e14e99d}" id="{30c88b07-3e8a-46b2-9c06-f82e1900ab87}" done="1">
    <x18tc:text xml:space="preserve">questo è packaging sacchetti cotone india</x18tc:text>
  </x18tc:threadedComment>
  <x18tc:threadedComment ref="G204" dT="2026-06-02T19:21:18.00" personId="{9c771056-f837-459e-8e2b-8aca7e14e99d}" id="{40770c92-df4f-47ae-b7c2-a549727f946c}" done="1">
    <x18tc:text xml:space="preserve">QUESTA SPESA E LEGATA ALLE SPEDIZIONI INDIA</x18tc:text>
  </x18tc:threadedComment>
  <x18tc:threadedComment ref="G204" dT="2026-06-02T20:30:17.00" personId="{9c771056-f837-459e-8e2b-8aca7e14e99d}" id="{aaf74632-281a-41d8-974e-8dfab7b4f180}" parentId="{40770c92-df4f-47ae-b7c2-a549727f946c}">
    <x18tc:text xml:space="preserve">ah perfetto</x18tc:text>
  </x18tc:threadedComment>
  <x18tc:threadedComment ref="H89" dT="2026-05-07T08:16:48.00" personId="{9c771056-f837-459e-8e2b-8aca7e14e99d}" id="{0f89ee1e-0b96-4bfd-bf15-342c0cf90d61}" done="0">
    <x18tc:text xml:space="preserve">qui non so se è corretto mettere tasse o stessa voce in cui mettiamo il costo del notaio @alepodasca@gmail.com
Assigned to alepodasca@gmail.com</x18tc:text>
    <x18tc:mentions>
      <x18tc:mention mentionpersonId="{15cd796b-b623-4e81-8c17-bb0780949502}" mentionId="{b47e8b7d-9bc2-42a2-b803-533fc84076f8}" startIndex="89" length="21"/>
    </x18tc:mentions>
  </x18tc:threadedComment>
  <x18tc:threadedComment ref="E228" dT="2026-06-02T19:25:16.00" personId="{9c771056-f837-459e-8e2b-8aca7e14e99d}" id="{695dc282-f5a2-4830-a51c-2eea30786d33}" done="0">
    <x18tc:text xml:space="preserve">qui è spesa durante shooting, metterei marketing, che dici?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5.xml"/><Relationship Id="rId5"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6.xml"/><Relationship Id="rId5"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7.xml"/><Relationship Id="rId5" Type="http://schemas.openxmlformats.org/officeDocument/2006/relationships/vmlDrawing" Target="../drawings/vmlDrawing4.vml"/><Relationship Id="rId7"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1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13.xml"/></Relationships>
</file>

<file path=xl/worksheets/_rels/sheet40.xml.rels><?xml version="1.0" encoding="UTF-8" standalone="yes"?><Relationships xmlns="http://schemas.openxmlformats.org/package/2006/relationships"><Relationship Id="rId1" Type="http://schemas.openxmlformats.org/officeDocument/2006/relationships/hyperlink" Target="http://amimi.it/" TargetMode="External"/><Relationship Id="rId2"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63"/>
  </cols>
  <sheetData>
    <row r="1">
      <c r="A1" s="1" t="s">
        <v>0</v>
      </c>
    </row>
    <row r="2">
      <c r="A2" s="2" t="s">
        <v>1</v>
      </c>
    </row>
    <row r="4">
      <c r="A4" s="3" t="s">
        <v>2</v>
      </c>
    </row>
    <row r="5">
      <c r="A5" s="2" t="s">
        <v>3</v>
      </c>
    </row>
    <row r="6">
      <c r="A6" s="2" t="s">
        <v>4</v>
      </c>
    </row>
    <row r="7">
      <c r="A7" s="2" t="s">
        <v>5</v>
      </c>
    </row>
    <row r="8">
      <c r="A8" s="2" t="s">
        <v>6</v>
      </c>
    </row>
    <row r="10">
      <c r="A10" s="3" t="s">
        <v>7</v>
      </c>
    </row>
    <row r="11">
      <c r="A11" s="2" t="s">
        <v>8</v>
      </c>
    </row>
    <row r="12">
      <c r="A12" s="2" t="s">
        <v>9</v>
      </c>
    </row>
    <row r="14">
      <c r="A14" s="2" t="s">
        <v>10</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 t="s">
        <v>11</v>
      </c>
      <c r="B1" s="2" t="s">
        <v>12</v>
      </c>
      <c r="C1" s="2" t="s">
        <v>13</v>
      </c>
      <c r="D1" s="2" t="s">
        <v>14</v>
      </c>
      <c r="E1" s="2" t="s">
        <v>15</v>
      </c>
      <c r="F1" s="2" t="s">
        <v>16</v>
      </c>
      <c r="G1" s="2" t="s">
        <v>17</v>
      </c>
      <c r="H1" s="2" t="s">
        <v>18</v>
      </c>
      <c r="I1" s="2" t="s">
        <v>19</v>
      </c>
      <c r="J1" s="2" t="s">
        <v>20</v>
      </c>
      <c r="K1" s="2" t="s">
        <v>21</v>
      </c>
    </row>
    <row r="2">
      <c r="A2" s="2" t="s">
        <v>22</v>
      </c>
      <c r="B2" s="2" t="s">
        <v>23</v>
      </c>
      <c r="C2" s="2" t="s">
        <v>24</v>
      </c>
      <c r="D2" s="2" t="s">
        <v>25</v>
      </c>
      <c r="E2" s="4">
        <v>0.35</v>
      </c>
      <c r="G2" s="2" t="s">
        <v>26</v>
      </c>
      <c r="J2" s="2" t="s">
        <v>27</v>
      </c>
      <c r="K2" s="2" t="s">
        <v>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 t="s">
        <v>29</v>
      </c>
      <c r="B1" s="2" t="s">
        <v>30</v>
      </c>
      <c r="C1" s="2" t="s">
        <v>31</v>
      </c>
      <c r="D1" s="2" t="s">
        <v>32</v>
      </c>
      <c r="E1" s="2" t="s">
        <v>33</v>
      </c>
      <c r="F1" s="2" t="s">
        <v>34</v>
      </c>
      <c r="G1" s="2" t="s">
        <v>35</v>
      </c>
      <c r="H1" s="2" t="s">
        <v>36</v>
      </c>
      <c r="I1" s="2" t="s">
        <v>37</v>
      </c>
      <c r="J1" s="2" t="s">
        <v>38</v>
      </c>
      <c r="K1" s="2" t="s">
        <v>39</v>
      </c>
      <c r="L1" s="2" t="s">
        <v>40</v>
      </c>
      <c r="M1" s="2" t="s">
        <v>41</v>
      </c>
      <c r="N1" s="2" t="s">
        <v>42</v>
      </c>
      <c r="O1" s="2" t="s">
        <v>21</v>
      </c>
      <c r="P1" s="2" t="s">
        <v>43</v>
      </c>
      <c r="Q1" s="2" t="s">
        <v>20</v>
      </c>
    </row>
    <row r="2">
      <c r="A2" s="5">
        <v>46192.625</v>
      </c>
      <c r="B2" s="6">
        <f t="array" ref="B2:B1015">IF(A2:A1015="","",YEAR(A2:A1015))</f>
        <v>2026</v>
      </c>
      <c r="C2" s="6">
        <f t="array" ref="C2:C1015">IF(A2:A1015="","",MONTH(A2:A1015))</f>
        <v>6</v>
      </c>
      <c r="D2" s="2" t="s">
        <v>44</v>
      </c>
      <c r="E2" s="4">
        <v>1.0</v>
      </c>
      <c r="F2" s="2" t="s">
        <v>45</v>
      </c>
      <c r="G2" s="2" t="s">
        <v>46</v>
      </c>
      <c r="H2" s="2" t="s">
        <v>47</v>
      </c>
      <c r="I2" s="4">
        <v>70.0</v>
      </c>
      <c r="J2" s="4">
        <v>0.5</v>
      </c>
      <c r="K2" s="6">
        <f t="array" ref="K2:K1015">IF(I2:I1015="","",I2:I1015*E2:E1015)</f>
        <v>70</v>
      </c>
      <c r="L2" s="6">
        <f t="array" ref="L2:L1015">IF(I2:I1015="","",K2:K1015*J2:J1015)</f>
        <v>35</v>
      </c>
      <c r="M2" s="6">
        <f t="array" ref="M2:M1015">IF(I2:I1015="","",K2:K1015-L2:L1015)</f>
        <v>35</v>
      </c>
      <c r="N2" s="6">
        <f t="array" ref="N2:N1015">IF(D2:D1015="","",E2:E1015*IFERROR(VLOOKUP(D2:D1015,'PRODUCT_COGS&amp;PRICE'!$A:$E,5,FALSE),0))</f>
        <v>14.58</v>
      </c>
      <c r="O2" s="2" t="s">
        <v>48</v>
      </c>
    </row>
    <row r="3">
      <c r="A3" s="5">
        <v>46192.625</v>
      </c>
      <c r="B3" s="6">
        <v>2026.0</v>
      </c>
      <c r="C3" s="6">
        <v>6.0</v>
      </c>
      <c r="D3" s="2" t="s">
        <v>49</v>
      </c>
      <c r="E3" s="4">
        <v>1.0</v>
      </c>
      <c r="F3" s="2" t="s">
        <v>45</v>
      </c>
      <c r="G3" s="2" t="s">
        <v>46</v>
      </c>
      <c r="H3" s="2" t="s">
        <v>50</v>
      </c>
      <c r="I3" s="4">
        <v>50.0</v>
      </c>
      <c r="J3" s="4">
        <v>0.5</v>
      </c>
      <c r="K3" s="6">
        <v>50.0</v>
      </c>
      <c r="L3" s="6">
        <v>25.0</v>
      </c>
      <c r="M3" s="6">
        <v>25.0</v>
      </c>
      <c r="N3" s="6">
        <v>10.71</v>
      </c>
      <c r="O3" s="2" t="s">
        <v>48</v>
      </c>
    </row>
    <row r="4">
      <c r="A4" s="5"/>
      <c r="B4" s="6" t="s">
        <v>51</v>
      </c>
      <c r="C4" s="6" t="s">
        <v>51</v>
      </c>
      <c r="D4" s="2"/>
      <c r="E4" s="4"/>
      <c r="F4" s="2"/>
      <c r="G4" s="2"/>
      <c r="H4" s="2"/>
      <c r="I4" s="4"/>
      <c r="J4" s="4"/>
      <c r="K4" s="6" t="s">
        <v>51</v>
      </c>
      <c r="L4" s="6" t="s">
        <v>51</v>
      </c>
      <c r="M4" s="6" t="s">
        <v>51</v>
      </c>
      <c r="N4" s="6" t="s">
        <v>51</v>
      </c>
    </row>
    <row r="5">
      <c r="A5" s="5"/>
      <c r="B5" s="6" t="s">
        <v>51</v>
      </c>
      <c r="C5" s="6" t="s">
        <v>51</v>
      </c>
      <c r="D5" s="2"/>
      <c r="E5" s="4"/>
      <c r="F5" s="2"/>
      <c r="G5" s="2"/>
      <c r="H5" s="2"/>
      <c r="I5" s="4"/>
      <c r="J5" s="4"/>
      <c r="K5" s="6" t="s">
        <v>51</v>
      </c>
      <c r="L5" s="6" t="s">
        <v>51</v>
      </c>
      <c r="M5" s="6" t="s">
        <v>51</v>
      </c>
      <c r="N5" s="6" t="s">
        <v>51</v>
      </c>
    </row>
    <row r="6">
      <c r="A6" s="5"/>
      <c r="B6" s="6" t="s">
        <v>51</v>
      </c>
      <c r="C6" s="6" t="s">
        <v>51</v>
      </c>
      <c r="D6" s="2"/>
      <c r="E6" s="4"/>
      <c r="F6" s="2"/>
      <c r="G6" s="2"/>
      <c r="H6" s="2"/>
      <c r="I6" s="4"/>
      <c r="J6" s="4"/>
      <c r="K6" s="6" t="s">
        <v>51</v>
      </c>
      <c r="L6" s="6" t="s">
        <v>51</v>
      </c>
      <c r="M6" s="6" t="s">
        <v>51</v>
      </c>
      <c r="N6" s="6" t="s">
        <v>51</v>
      </c>
    </row>
    <row r="7">
      <c r="B7" s="6" t="s">
        <v>51</v>
      </c>
      <c r="C7" s="6" t="s">
        <v>51</v>
      </c>
      <c r="K7" s="6" t="s">
        <v>51</v>
      </c>
      <c r="L7" s="6" t="s">
        <v>51</v>
      </c>
      <c r="M7" s="6" t="s">
        <v>51</v>
      </c>
      <c r="N7" s="6" t="s">
        <v>51</v>
      </c>
    </row>
    <row r="8">
      <c r="B8" s="6" t="s">
        <v>51</v>
      </c>
      <c r="C8" s="6" t="s">
        <v>51</v>
      </c>
      <c r="K8" s="6" t="s">
        <v>51</v>
      </c>
      <c r="L8" s="6" t="s">
        <v>51</v>
      </c>
      <c r="M8" s="6" t="s">
        <v>51</v>
      </c>
      <c r="N8" s="6" t="s">
        <v>51</v>
      </c>
    </row>
    <row r="9">
      <c r="B9" s="6" t="s">
        <v>51</v>
      </c>
      <c r="C9" s="6" t="s">
        <v>51</v>
      </c>
      <c r="K9" s="6" t="s">
        <v>51</v>
      </c>
      <c r="L9" s="6" t="s">
        <v>51</v>
      </c>
      <c r="M9" s="6" t="s">
        <v>51</v>
      </c>
      <c r="N9" s="6" t="s">
        <v>51</v>
      </c>
    </row>
    <row r="10">
      <c r="B10" s="6" t="s">
        <v>51</v>
      </c>
      <c r="C10" s="6" t="s">
        <v>51</v>
      </c>
      <c r="K10" s="6" t="s">
        <v>51</v>
      </c>
      <c r="L10" s="6" t="s">
        <v>51</v>
      </c>
      <c r="M10" s="6" t="s">
        <v>51</v>
      </c>
      <c r="N10" s="6" t="s">
        <v>51</v>
      </c>
    </row>
    <row r="11">
      <c r="B11" s="6" t="s">
        <v>51</v>
      </c>
      <c r="C11" s="6" t="s">
        <v>51</v>
      </c>
      <c r="K11" s="6" t="s">
        <v>51</v>
      </c>
      <c r="L11" s="6" t="s">
        <v>51</v>
      </c>
      <c r="M11" s="6" t="s">
        <v>51</v>
      </c>
      <c r="N11" s="6" t="s">
        <v>51</v>
      </c>
    </row>
    <row r="12">
      <c r="B12" s="6" t="s">
        <v>51</v>
      </c>
      <c r="C12" s="6" t="s">
        <v>51</v>
      </c>
      <c r="K12" s="6" t="s">
        <v>51</v>
      </c>
      <c r="L12" s="6" t="s">
        <v>51</v>
      </c>
      <c r="M12" s="6" t="s">
        <v>51</v>
      </c>
      <c r="N12" s="6" t="s">
        <v>51</v>
      </c>
    </row>
    <row r="13">
      <c r="B13" s="6" t="s">
        <v>51</v>
      </c>
      <c r="C13" s="6" t="s">
        <v>51</v>
      </c>
      <c r="K13" s="6" t="s">
        <v>51</v>
      </c>
      <c r="L13" s="6" t="s">
        <v>51</v>
      </c>
      <c r="M13" s="6" t="s">
        <v>51</v>
      </c>
      <c r="N13" s="6" t="s">
        <v>51</v>
      </c>
    </row>
    <row r="14">
      <c r="B14" s="6" t="s">
        <v>51</v>
      </c>
      <c r="C14" s="6" t="s">
        <v>51</v>
      </c>
      <c r="K14" s="6" t="s">
        <v>51</v>
      </c>
      <c r="L14" s="6" t="s">
        <v>51</v>
      </c>
      <c r="M14" s="6" t="s">
        <v>51</v>
      </c>
      <c r="N14" s="6" t="s">
        <v>51</v>
      </c>
    </row>
    <row r="15">
      <c r="B15" s="6" t="s">
        <v>51</v>
      </c>
      <c r="C15" s="6" t="s">
        <v>51</v>
      </c>
      <c r="K15" s="6" t="s">
        <v>51</v>
      </c>
      <c r="L15" s="6" t="s">
        <v>51</v>
      </c>
      <c r="M15" s="6" t="s">
        <v>51</v>
      </c>
      <c r="N15" s="6" t="s">
        <v>51</v>
      </c>
    </row>
    <row r="16">
      <c r="B16" s="6" t="s">
        <v>51</v>
      </c>
      <c r="C16" s="6" t="s">
        <v>51</v>
      </c>
      <c r="K16" s="6" t="s">
        <v>51</v>
      </c>
      <c r="L16" s="6" t="s">
        <v>51</v>
      </c>
      <c r="M16" s="6" t="s">
        <v>51</v>
      </c>
      <c r="N16" s="6" t="s">
        <v>51</v>
      </c>
    </row>
    <row r="17">
      <c r="B17" s="6" t="s">
        <v>51</v>
      </c>
      <c r="C17" s="6" t="s">
        <v>51</v>
      </c>
      <c r="K17" s="6" t="s">
        <v>51</v>
      </c>
      <c r="L17" s="6" t="s">
        <v>51</v>
      </c>
      <c r="M17" s="6" t="s">
        <v>51</v>
      </c>
      <c r="N17" s="6" t="s">
        <v>51</v>
      </c>
    </row>
    <row r="18">
      <c r="B18" s="6" t="s">
        <v>51</v>
      </c>
      <c r="C18" s="6" t="s">
        <v>51</v>
      </c>
      <c r="K18" s="6" t="s">
        <v>51</v>
      </c>
      <c r="L18" s="6" t="s">
        <v>51</v>
      </c>
      <c r="M18" s="6" t="s">
        <v>51</v>
      </c>
      <c r="N18" s="6" t="s">
        <v>51</v>
      </c>
    </row>
    <row r="19">
      <c r="B19" s="6" t="s">
        <v>51</v>
      </c>
      <c r="C19" s="6" t="s">
        <v>51</v>
      </c>
      <c r="K19" s="6" t="s">
        <v>51</v>
      </c>
      <c r="L19" s="6" t="s">
        <v>51</v>
      </c>
      <c r="M19" s="6" t="s">
        <v>51</v>
      </c>
      <c r="N19" s="6" t="s">
        <v>51</v>
      </c>
    </row>
    <row r="20">
      <c r="B20" s="6" t="s">
        <v>51</v>
      </c>
      <c r="C20" s="6" t="s">
        <v>51</v>
      </c>
      <c r="K20" s="6" t="s">
        <v>51</v>
      </c>
      <c r="L20" s="6" t="s">
        <v>51</v>
      </c>
      <c r="M20" s="6" t="s">
        <v>51</v>
      </c>
      <c r="N20" s="6" t="s">
        <v>51</v>
      </c>
    </row>
    <row r="21">
      <c r="B21" s="6" t="s">
        <v>51</v>
      </c>
      <c r="C21" s="6" t="s">
        <v>51</v>
      </c>
      <c r="K21" s="6" t="s">
        <v>51</v>
      </c>
      <c r="L21" s="6" t="s">
        <v>51</v>
      </c>
      <c r="M21" s="6" t="s">
        <v>51</v>
      </c>
      <c r="N21" s="6" t="s">
        <v>51</v>
      </c>
    </row>
    <row r="22">
      <c r="B22" s="6" t="s">
        <v>51</v>
      </c>
      <c r="C22" s="6" t="s">
        <v>51</v>
      </c>
      <c r="K22" s="6" t="s">
        <v>51</v>
      </c>
      <c r="L22" s="6" t="s">
        <v>51</v>
      </c>
      <c r="M22" s="6" t="s">
        <v>51</v>
      </c>
      <c r="N22" s="6" t="s">
        <v>51</v>
      </c>
    </row>
    <row r="23">
      <c r="B23" s="6" t="s">
        <v>51</v>
      </c>
      <c r="C23" s="6" t="s">
        <v>51</v>
      </c>
      <c r="K23" s="6" t="s">
        <v>51</v>
      </c>
      <c r="L23" s="6" t="s">
        <v>51</v>
      </c>
      <c r="M23" s="6" t="s">
        <v>51</v>
      </c>
      <c r="N23" s="6" t="s">
        <v>51</v>
      </c>
    </row>
    <row r="24">
      <c r="B24" s="6" t="s">
        <v>51</v>
      </c>
      <c r="C24" s="6" t="s">
        <v>51</v>
      </c>
      <c r="K24" s="6" t="s">
        <v>51</v>
      </c>
      <c r="L24" s="6" t="s">
        <v>51</v>
      </c>
      <c r="M24" s="6" t="s">
        <v>51</v>
      </c>
      <c r="N24" s="6" t="s">
        <v>51</v>
      </c>
    </row>
    <row r="25">
      <c r="B25" s="6" t="s">
        <v>51</v>
      </c>
      <c r="C25" s="6" t="s">
        <v>51</v>
      </c>
      <c r="K25" s="6" t="s">
        <v>51</v>
      </c>
      <c r="L25" s="6" t="s">
        <v>51</v>
      </c>
      <c r="M25" s="6" t="s">
        <v>51</v>
      </c>
      <c r="N25" s="6" t="s">
        <v>51</v>
      </c>
    </row>
    <row r="26">
      <c r="B26" s="6" t="s">
        <v>51</v>
      </c>
      <c r="C26" s="6" t="s">
        <v>51</v>
      </c>
      <c r="K26" s="6" t="s">
        <v>51</v>
      </c>
      <c r="L26" s="6" t="s">
        <v>51</v>
      </c>
      <c r="M26" s="6" t="s">
        <v>51</v>
      </c>
      <c r="N26" s="6" t="s">
        <v>51</v>
      </c>
    </row>
    <row r="27">
      <c r="B27" s="6" t="s">
        <v>51</v>
      </c>
      <c r="C27" s="6" t="s">
        <v>51</v>
      </c>
      <c r="K27" s="6" t="s">
        <v>51</v>
      </c>
      <c r="L27" s="6" t="s">
        <v>51</v>
      </c>
      <c r="M27" s="6" t="s">
        <v>51</v>
      </c>
      <c r="N27" s="6" t="s">
        <v>51</v>
      </c>
    </row>
    <row r="28">
      <c r="B28" s="6" t="s">
        <v>51</v>
      </c>
      <c r="C28" s="6" t="s">
        <v>51</v>
      </c>
      <c r="K28" s="6" t="s">
        <v>51</v>
      </c>
      <c r="L28" s="6" t="s">
        <v>51</v>
      </c>
      <c r="M28" s="6" t="s">
        <v>51</v>
      </c>
      <c r="N28" s="6" t="s">
        <v>51</v>
      </c>
    </row>
    <row r="29">
      <c r="B29" s="6" t="s">
        <v>51</v>
      </c>
      <c r="C29" s="6" t="s">
        <v>51</v>
      </c>
      <c r="K29" s="6" t="s">
        <v>51</v>
      </c>
      <c r="L29" s="6" t="s">
        <v>51</v>
      </c>
      <c r="M29" s="6" t="s">
        <v>51</v>
      </c>
      <c r="N29" s="6" t="s">
        <v>51</v>
      </c>
    </row>
    <row r="30">
      <c r="B30" s="6" t="s">
        <v>51</v>
      </c>
      <c r="C30" s="6" t="s">
        <v>51</v>
      </c>
      <c r="K30" s="6" t="s">
        <v>51</v>
      </c>
      <c r="L30" s="6" t="s">
        <v>51</v>
      </c>
      <c r="M30" s="6" t="s">
        <v>51</v>
      </c>
      <c r="N30" s="6" t="s">
        <v>51</v>
      </c>
    </row>
    <row r="31">
      <c r="B31" s="6" t="s">
        <v>51</v>
      </c>
      <c r="C31" s="6" t="s">
        <v>51</v>
      </c>
      <c r="K31" s="6" t="s">
        <v>51</v>
      </c>
      <c r="L31" s="6" t="s">
        <v>51</v>
      </c>
      <c r="M31" s="6" t="s">
        <v>51</v>
      </c>
      <c r="N31" s="6" t="s">
        <v>51</v>
      </c>
    </row>
    <row r="32">
      <c r="B32" s="6" t="s">
        <v>51</v>
      </c>
      <c r="C32" s="6" t="s">
        <v>51</v>
      </c>
      <c r="K32" s="6" t="s">
        <v>51</v>
      </c>
      <c r="L32" s="6" t="s">
        <v>51</v>
      </c>
      <c r="M32" s="6" t="s">
        <v>51</v>
      </c>
      <c r="N32" s="6" t="s">
        <v>51</v>
      </c>
    </row>
    <row r="33">
      <c r="B33" s="6" t="s">
        <v>51</v>
      </c>
      <c r="C33" s="6" t="s">
        <v>51</v>
      </c>
      <c r="K33" s="6" t="s">
        <v>51</v>
      </c>
      <c r="L33" s="6" t="s">
        <v>51</v>
      </c>
      <c r="M33" s="6" t="s">
        <v>51</v>
      </c>
      <c r="N33" s="6" t="s">
        <v>51</v>
      </c>
    </row>
    <row r="34">
      <c r="B34" s="6" t="s">
        <v>51</v>
      </c>
      <c r="C34" s="6" t="s">
        <v>51</v>
      </c>
      <c r="K34" s="6" t="s">
        <v>51</v>
      </c>
      <c r="L34" s="6" t="s">
        <v>51</v>
      </c>
      <c r="M34" s="6" t="s">
        <v>51</v>
      </c>
      <c r="N34" s="6" t="s">
        <v>51</v>
      </c>
    </row>
    <row r="35">
      <c r="B35" s="6" t="s">
        <v>51</v>
      </c>
      <c r="C35" s="6" t="s">
        <v>51</v>
      </c>
      <c r="K35" s="6" t="s">
        <v>51</v>
      </c>
      <c r="L35" s="6" t="s">
        <v>51</v>
      </c>
      <c r="M35" s="6" t="s">
        <v>51</v>
      </c>
      <c r="N35" s="6" t="s">
        <v>51</v>
      </c>
    </row>
    <row r="36">
      <c r="B36" s="6" t="s">
        <v>51</v>
      </c>
      <c r="C36" s="6" t="s">
        <v>51</v>
      </c>
      <c r="K36" s="6" t="s">
        <v>51</v>
      </c>
      <c r="L36" s="6" t="s">
        <v>51</v>
      </c>
      <c r="M36" s="6" t="s">
        <v>51</v>
      </c>
      <c r="N36" s="6" t="s">
        <v>51</v>
      </c>
    </row>
    <row r="37">
      <c r="B37" s="6" t="s">
        <v>51</v>
      </c>
      <c r="C37" s="6" t="s">
        <v>51</v>
      </c>
      <c r="K37" s="6" t="s">
        <v>51</v>
      </c>
      <c r="L37" s="6" t="s">
        <v>51</v>
      </c>
      <c r="M37" s="6" t="s">
        <v>51</v>
      </c>
      <c r="N37" s="6" t="s">
        <v>51</v>
      </c>
    </row>
    <row r="38">
      <c r="B38" s="6" t="s">
        <v>51</v>
      </c>
      <c r="C38" s="6" t="s">
        <v>51</v>
      </c>
      <c r="K38" s="6" t="s">
        <v>51</v>
      </c>
      <c r="L38" s="6" t="s">
        <v>51</v>
      </c>
      <c r="M38" s="6" t="s">
        <v>51</v>
      </c>
      <c r="N38" s="6" t="s">
        <v>51</v>
      </c>
    </row>
    <row r="39">
      <c r="B39" s="6" t="s">
        <v>51</v>
      </c>
      <c r="C39" s="6" t="s">
        <v>51</v>
      </c>
      <c r="K39" s="6" t="s">
        <v>51</v>
      </c>
      <c r="L39" s="6" t="s">
        <v>51</v>
      </c>
      <c r="M39" s="6" t="s">
        <v>51</v>
      </c>
      <c r="N39" s="6" t="s">
        <v>51</v>
      </c>
    </row>
    <row r="40">
      <c r="B40" s="6" t="s">
        <v>51</v>
      </c>
      <c r="C40" s="6" t="s">
        <v>51</v>
      </c>
      <c r="K40" s="6" t="s">
        <v>51</v>
      </c>
      <c r="L40" s="6" t="s">
        <v>51</v>
      </c>
      <c r="M40" s="6" t="s">
        <v>51</v>
      </c>
      <c r="N40" s="6" t="s">
        <v>51</v>
      </c>
    </row>
    <row r="41">
      <c r="B41" s="6" t="s">
        <v>51</v>
      </c>
      <c r="C41" s="6" t="s">
        <v>51</v>
      </c>
      <c r="K41" s="6" t="s">
        <v>51</v>
      </c>
      <c r="L41" s="6" t="s">
        <v>51</v>
      </c>
      <c r="M41" s="6" t="s">
        <v>51</v>
      </c>
      <c r="N41" s="6" t="s">
        <v>51</v>
      </c>
    </row>
    <row r="42">
      <c r="B42" s="6" t="s">
        <v>51</v>
      </c>
      <c r="C42" s="6" t="s">
        <v>51</v>
      </c>
      <c r="K42" s="6" t="s">
        <v>51</v>
      </c>
      <c r="L42" s="6" t="s">
        <v>51</v>
      </c>
      <c r="M42" s="6" t="s">
        <v>51</v>
      </c>
      <c r="N42" s="6" t="s">
        <v>51</v>
      </c>
    </row>
    <row r="43">
      <c r="B43" s="6" t="s">
        <v>51</v>
      </c>
      <c r="C43" s="6" t="s">
        <v>51</v>
      </c>
      <c r="K43" s="6" t="s">
        <v>51</v>
      </c>
      <c r="L43" s="6" t="s">
        <v>51</v>
      </c>
      <c r="M43" s="6" t="s">
        <v>51</v>
      </c>
      <c r="N43" s="6" t="s">
        <v>51</v>
      </c>
    </row>
    <row r="44">
      <c r="B44" s="6" t="s">
        <v>51</v>
      </c>
      <c r="C44" s="6" t="s">
        <v>51</v>
      </c>
      <c r="K44" s="6" t="s">
        <v>51</v>
      </c>
      <c r="L44" s="6" t="s">
        <v>51</v>
      </c>
      <c r="M44" s="6" t="s">
        <v>51</v>
      </c>
      <c r="N44" s="6" t="s">
        <v>51</v>
      </c>
    </row>
    <row r="45">
      <c r="B45" s="6" t="s">
        <v>51</v>
      </c>
      <c r="C45" s="6" t="s">
        <v>51</v>
      </c>
      <c r="K45" s="6" t="s">
        <v>51</v>
      </c>
      <c r="L45" s="6" t="s">
        <v>51</v>
      </c>
      <c r="M45" s="6" t="s">
        <v>51</v>
      </c>
      <c r="N45" s="6" t="s">
        <v>51</v>
      </c>
    </row>
    <row r="46">
      <c r="B46" s="6" t="s">
        <v>51</v>
      </c>
      <c r="C46" s="6" t="s">
        <v>51</v>
      </c>
      <c r="K46" s="6" t="s">
        <v>51</v>
      </c>
      <c r="L46" s="6" t="s">
        <v>51</v>
      </c>
      <c r="M46" s="6" t="s">
        <v>51</v>
      </c>
      <c r="N46" s="6" t="s">
        <v>51</v>
      </c>
    </row>
    <row r="47">
      <c r="B47" s="6" t="s">
        <v>51</v>
      </c>
      <c r="C47" s="6" t="s">
        <v>51</v>
      </c>
      <c r="K47" s="6" t="s">
        <v>51</v>
      </c>
      <c r="L47" s="6" t="s">
        <v>51</v>
      </c>
      <c r="M47" s="6" t="s">
        <v>51</v>
      </c>
      <c r="N47" s="6" t="s">
        <v>51</v>
      </c>
    </row>
    <row r="48">
      <c r="B48" s="6" t="s">
        <v>51</v>
      </c>
      <c r="C48" s="6" t="s">
        <v>51</v>
      </c>
      <c r="K48" s="6" t="s">
        <v>51</v>
      </c>
      <c r="L48" s="6" t="s">
        <v>51</v>
      </c>
      <c r="M48" s="6" t="s">
        <v>51</v>
      </c>
      <c r="N48" s="6" t="s">
        <v>51</v>
      </c>
    </row>
    <row r="49">
      <c r="B49" s="6" t="s">
        <v>51</v>
      </c>
      <c r="C49" s="6" t="s">
        <v>51</v>
      </c>
      <c r="K49" s="6" t="s">
        <v>51</v>
      </c>
      <c r="L49" s="6" t="s">
        <v>51</v>
      </c>
      <c r="M49" s="6" t="s">
        <v>51</v>
      </c>
      <c r="N49" s="6" t="s">
        <v>51</v>
      </c>
    </row>
    <row r="50">
      <c r="B50" s="6" t="s">
        <v>51</v>
      </c>
      <c r="C50" s="6" t="s">
        <v>51</v>
      </c>
      <c r="K50" s="6" t="s">
        <v>51</v>
      </c>
      <c r="L50" s="6" t="s">
        <v>51</v>
      </c>
      <c r="M50" s="6" t="s">
        <v>51</v>
      </c>
      <c r="N50" s="6" t="s">
        <v>51</v>
      </c>
    </row>
    <row r="51">
      <c r="B51" s="6" t="s">
        <v>51</v>
      </c>
      <c r="C51" s="6" t="s">
        <v>51</v>
      </c>
      <c r="K51" s="6" t="s">
        <v>51</v>
      </c>
      <c r="L51" s="6" t="s">
        <v>51</v>
      </c>
      <c r="M51" s="6" t="s">
        <v>51</v>
      </c>
      <c r="N51" s="6" t="s">
        <v>51</v>
      </c>
    </row>
    <row r="52">
      <c r="B52" s="6" t="s">
        <v>51</v>
      </c>
      <c r="C52" s="6" t="s">
        <v>51</v>
      </c>
      <c r="K52" s="6" t="s">
        <v>51</v>
      </c>
      <c r="L52" s="6" t="s">
        <v>51</v>
      </c>
      <c r="M52" s="6" t="s">
        <v>51</v>
      </c>
      <c r="N52" s="6" t="s">
        <v>51</v>
      </c>
    </row>
    <row r="53">
      <c r="B53" s="6" t="s">
        <v>51</v>
      </c>
      <c r="C53" s="6" t="s">
        <v>51</v>
      </c>
      <c r="K53" s="6" t="s">
        <v>51</v>
      </c>
      <c r="L53" s="6" t="s">
        <v>51</v>
      </c>
      <c r="M53" s="6" t="s">
        <v>51</v>
      </c>
      <c r="N53" s="6" t="s">
        <v>51</v>
      </c>
    </row>
    <row r="54">
      <c r="B54" s="6" t="s">
        <v>51</v>
      </c>
      <c r="C54" s="6" t="s">
        <v>51</v>
      </c>
      <c r="K54" s="6" t="s">
        <v>51</v>
      </c>
      <c r="L54" s="6" t="s">
        <v>51</v>
      </c>
      <c r="M54" s="6" t="s">
        <v>51</v>
      </c>
      <c r="N54" s="6" t="s">
        <v>51</v>
      </c>
    </row>
    <row r="55">
      <c r="B55" s="6" t="s">
        <v>51</v>
      </c>
      <c r="C55" s="6" t="s">
        <v>51</v>
      </c>
      <c r="K55" s="6" t="s">
        <v>51</v>
      </c>
      <c r="L55" s="6" t="s">
        <v>51</v>
      </c>
      <c r="M55" s="6" t="s">
        <v>51</v>
      </c>
      <c r="N55" s="6" t="s">
        <v>51</v>
      </c>
    </row>
    <row r="56">
      <c r="B56" s="6" t="s">
        <v>51</v>
      </c>
      <c r="C56" s="6" t="s">
        <v>51</v>
      </c>
      <c r="K56" s="6" t="s">
        <v>51</v>
      </c>
      <c r="L56" s="6" t="s">
        <v>51</v>
      </c>
      <c r="M56" s="6" t="s">
        <v>51</v>
      </c>
      <c r="N56" s="6" t="s">
        <v>51</v>
      </c>
    </row>
    <row r="57">
      <c r="B57" s="6" t="s">
        <v>51</v>
      </c>
      <c r="C57" s="6" t="s">
        <v>51</v>
      </c>
      <c r="K57" s="6" t="s">
        <v>51</v>
      </c>
      <c r="L57" s="6" t="s">
        <v>51</v>
      </c>
      <c r="M57" s="6" t="s">
        <v>51</v>
      </c>
      <c r="N57" s="6" t="s">
        <v>51</v>
      </c>
    </row>
    <row r="58">
      <c r="B58" s="6" t="s">
        <v>51</v>
      </c>
      <c r="C58" s="6" t="s">
        <v>51</v>
      </c>
      <c r="K58" s="6" t="s">
        <v>51</v>
      </c>
      <c r="L58" s="6" t="s">
        <v>51</v>
      </c>
      <c r="M58" s="6" t="s">
        <v>51</v>
      </c>
      <c r="N58" s="6" t="s">
        <v>51</v>
      </c>
    </row>
    <row r="59">
      <c r="B59" s="6" t="s">
        <v>51</v>
      </c>
      <c r="C59" s="6" t="s">
        <v>51</v>
      </c>
      <c r="K59" s="6" t="s">
        <v>51</v>
      </c>
      <c r="L59" s="6" t="s">
        <v>51</v>
      </c>
      <c r="M59" s="6" t="s">
        <v>51</v>
      </c>
      <c r="N59" s="6" t="s">
        <v>51</v>
      </c>
    </row>
    <row r="60">
      <c r="B60" s="6" t="s">
        <v>51</v>
      </c>
      <c r="C60" s="6" t="s">
        <v>51</v>
      </c>
      <c r="K60" s="6" t="s">
        <v>51</v>
      </c>
      <c r="L60" s="6" t="s">
        <v>51</v>
      </c>
      <c r="M60" s="6" t="s">
        <v>51</v>
      </c>
      <c r="N60" s="6" t="s">
        <v>51</v>
      </c>
    </row>
    <row r="61">
      <c r="B61" s="6" t="s">
        <v>51</v>
      </c>
      <c r="C61" s="6" t="s">
        <v>51</v>
      </c>
      <c r="K61" s="6" t="s">
        <v>51</v>
      </c>
      <c r="L61" s="6" t="s">
        <v>51</v>
      </c>
      <c r="M61" s="6" t="s">
        <v>51</v>
      </c>
      <c r="N61" s="6" t="s">
        <v>51</v>
      </c>
    </row>
    <row r="62">
      <c r="B62" s="6" t="s">
        <v>51</v>
      </c>
      <c r="C62" s="6" t="s">
        <v>51</v>
      </c>
      <c r="K62" s="6" t="s">
        <v>51</v>
      </c>
      <c r="L62" s="6" t="s">
        <v>51</v>
      </c>
      <c r="M62" s="6" t="s">
        <v>51</v>
      </c>
      <c r="N62" s="6" t="s">
        <v>51</v>
      </c>
    </row>
    <row r="63">
      <c r="B63" s="6" t="s">
        <v>51</v>
      </c>
      <c r="C63" s="6" t="s">
        <v>51</v>
      </c>
      <c r="K63" s="6" t="s">
        <v>51</v>
      </c>
      <c r="L63" s="6" t="s">
        <v>51</v>
      </c>
      <c r="M63" s="6" t="s">
        <v>51</v>
      </c>
      <c r="N63" s="6" t="s">
        <v>51</v>
      </c>
    </row>
    <row r="64">
      <c r="B64" s="6" t="s">
        <v>51</v>
      </c>
      <c r="C64" s="6" t="s">
        <v>51</v>
      </c>
      <c r="K64" s="6" t="s">
        <v>51</v>
      </c>
      <c r="L64" s="6" t="s">
        <v>51</v>
      </c>
      <c r="M64" s="6" t="s">
        <v>51</v>
      </c>
      <c r="N64" s="6" t="s">
        <v>51</v>
      </c>
    </row>
    <row r="65">
      <c r="B65" s="6" t="s">
        <v>51</v>
      </c>
      <c r="C65" s="6" t="s">
        <v>51</v>
      </c>
      <c r="K65" s="6" t="s">
        <v>51</v>
      </c>
      <c r="L65" s="6" t="s">
        <v>51</v>
      </c>
      <c r="M65" s="6" t="s">
        <v>51</v>
      </c>
      <c r="N65" s="6" t="s">
        <v>51</v>
      </c>
    </row>
    <row r="66">
      <c r="B66" s="6" t="s">
        <v>51</v>
      </c>
      <c r="C66" s="6" t="s">
        <v>51</v>
      </c>
      <c r="K66" s="6" t="s">
        <v>51</v>
      </c>
      <c r="L66" s="6" t="s">
        <v>51</v>
      </c>
      <c r="M66" s="6" t="s">
        <v>51</v>
      </c>
      <c r="N66" s="6" t="s">
        <v>51</v>
      </c>
    </row>
    <row r="67">
      <c r="B67" s="6" t="s">
        <v>51</v>
      </c>
      <c r="C67" s="6" t="s">
        <v>51</v>
      </c>
      <c r="K67" s="6" t="s">
        <v>51</v>
      </c>
      <c r="L67" s="6" t="s">
        <v>51</v>
      </c>
      <c r="M67" s="6" t="s">
        <v>51</v>
      </c>
      <c r="N67" s="6" t="s">
        <v>51</v>
      </c>
    </row>
    <row r="68">
      <c r="B68" s="6" t="s">
        <v>51</v>
      </c>
      <c r="C68" s="6" t="s">
        <v>51</v>
      </c>
      <c r="K68" s="6" t="s">
        <v>51</v>
      </c>
      <c r="L68" s="6" t="s">
        <v>51</v>
      </c>
      <c r="M68" s="6" t="s">
        <v>51</v>
      </c>
      <c r="N68" s="6" t="s">
        <v>51</v>
      </c>
    </row>
    <row r="69">
      <c r="B69" s="6" t="s">
        <v>51</v>
      </c>
      <c r="C69" s="6" t="s">
        <v>51</v>
      </c>
      <c r="K69" s="6" t="s">
        <v>51</v>
      </c>
      <c r="L69" s="6" t="s">
        <v>51</v>
      </c>
      <c r="M69" s="6" t="s">
        <v>51</v>
      </c>
      <c r="N69" s="6" t="s">
        <v>51</v>
      </c>
    </row>
    <row r="70">
      <c r="B70" s="6" t="s">
        <v>51</v>
      </c>
      <c r="C70" s="6" t="s">
        <v>51</v>
      </c>
      <c r="K70" s="6" t="s">
        <v>51</v>
      </c>
      <c r="L70" s="6" t="s">
        <v>51</v>
      </c>
      <c r="M70" s="6" t="s">
        <v>51</v>
      </c>
      <c r="N70" s="6" t="s">
        <v>51</v>
      </c>
    </row>
    <row r="71">
      <c r="B71" s="6" t="s">
        <v>51</v>
      </c>
      <c r="C71" s="6" t="s">
        <v>51</v>
      </c>
      <c r="K71" s="6" t="s">
        <v>51</v>
      </c>
      <c r="L71" s="6" t="s">
        <v>51</v>
      </c>
      <c r="M71" s="6" t="s">
        <v>51</v>
      </c>
      <c r="N71" s="6" t="s">
        <v>51</v>
      </c>
    </row>
    <row r="72">
      <c r="B72" s="6" t="s">
        <v>51</v>
      </c>
      <c r="C72" s="6" t="s">
        <v>51</v>
      </c>
      <c r="K72" s="6" t="s">
        <v>51</v>
      </c>
      <c r="L72" s="6" t="s">
        <v>51</v>
      </c>
      <c r="M72" s="6" t="s">
        <v>51</v>
      </c>
      <c r="N72" s="6" t="s">
        <v>51</v>
      </c>
    </row>
    <row r="73">
      <c r="B73" s="6" t="s">
        <v>51</v>
      </c>
      <c r="C73" s="6" t="s">
        <v>51</v>
      </c>
      <c r="K73" s="6" t="s">
        <v>51</v>
      </c>
      <c r="L73" s="6" t="s">
        <v>51</v>
      </c>
      <c r="M73" s="6" t="s">
        <v>51</v>
      </c>
      <c r="N73" s="6" t="s">
        <v>51</v>
      </c>
    </row>
    <row r="74">
      <c r="B74" s="6" t="s">
        <v>51</v>
      </c>
      <c r="C74" s="6" t="s">
        <v>51</v>
      </c>
      <c r="K74" s="6" t="s">
        <v>51</v>
      </c>
      <c r="L74" s="6" t="s">
        <v>51</v>
      </c>
      <c r="M74" s="6" t="s">
        <v>51</v>
      </c>
      <c r="N74" s="6" t="s">
        <v>51</v>
      </c>
    </row>
    <row r="75">
      <c r="B75" s="6" t="s">
        <v>51</v>
      </c>
      <c r="C75" s="6" t="s">
        <v>51</v>
      </c>
      <c r="K75" s="6" t="s">
        <v>51</v>
      </c>
      <c r="L75" s="6" t="s">
        <v>51</v>
      </c>
      <c r="M75" s="6" t="s">
        <v>51</v>
      </c>
      <c r="N75" s="6" t="s">
        <v>51</v>
      </c>
    </row>
    <row r="76">
      <c r="B76" s="6" t="s">
        <v>51</v>
      </c>
      <c r="C76" s="6" t="s">
        <v>51</v>
      </c>
      <c r="K76" s="6" t="s">
        <v>51</v>
      </c>
      <c r="L76" s="6" t="s">
        <v>51</v>
      </c>
      <c r="M76" s="6" t="s">
        <v>51</v>
      </c>
      <c r="N76" s="6" t="s">
        <v>51</v>
      </c>
    </row>
    <row r="77">
      <c r="B77" s="6" t="s">
        <v>51</v>
      </c>
      <c r="C77" s="6" t="s">
        <v>51</v>
      </c>
      <c r="K77" s="6" t="s">
        <v>51</v>
      </c>
      <c r="L77" s="6" t="s">
        <v>51</v>
      </c>
      <c r="M77" s="6" t="s">
        <v>51</v>
      </c>
      <c r="N77" s="6" t="s">
        <v>51</v>
      </c>
    </row>
    <row r="78">
      <c r="B78" s="6" t="s">
        <v>51</v>
      </c>
      <c r="C78" s="6" t="s">
        <v>51</v>
      </c>
      <c r="K78" s="6" t="s">
        <v>51</v>
      </c>
      <c r="L78" s="6" t="s">
        <v>51</v>
      </c>
      <c r="M78" s="6" t="s">
        <v>51</v>
      </c>
      <c r="N78" s="6" t="s">
        <v>51</v>
      </c>
    </row>
    <row r="79">
      <c r="B79" s="6" t="s">
        <v>51</v>
      </c>
      <c r="C79" s="6" t="s">
        <v>51</v>
      </c>
      <c r="K79" s="6" t="s">
        <v>51</v>
      </c>
      <c r="L79" s="6" t="s">
        <v>51</v>
      </c>
      <c r="M79" s="6" t="s">
        <v>51</v>
      </c>
      <c r="N79" s="6" t="s">
        <v>51</v>
      </c>
    </row>
    <row r="80">
      <c r="B80" s="6" t="s">
        <v>51</v>
      </c>
      <c r="C80" s="6" t="s">
        <v>51</v>
      </c>
      <c r="K80" s="6" t="s">
        <v>51</v>
      </c>
      <c r="L80" s="6" t="s">
        <v>51</v>
      </c>
      <c r="M80" s="6" t="s">
        <v>51</v>
      </c>
      <c r="N80" s="6" t="s">
        <v>51</v>
      </c>
    </row>
    <row r="81">
      <c r="B81" s="6" t="s">
        <v>51</v>
      </c>
      <c r="C81" s="6" t="s">
        <v>51</v>
      </c>
      <c r="K81" s="6" t="s">
        <v>51</v>
      </c>
      <c r="L81" s="6" t="s">
        <v>51</v>
      </c>
      <c r="M81" s="6" t="s">
        <v>51</v>
      </c>
      <c r="N81" s="6" t="s">
        <v>51</v>
      </c>
    </row>
    <row r="82">
      <c r="B82" s="6" t="s">
        <v>51</v>
      </c>
      <c r="C82" s="6" t="s">
        <v>51</v>
      </c>
      <c r="K82" s="6" t="s">
        <v>51</v>
      </c>
      <c r="L82" s="6" t="s">
        <v>51</v>
      </c>
      <c r="M82" s="6" t="s">
        <v>51</v>
      </c>
      <c r="N82" s="6" t="s">
        <v>51</v>
      </c>
    </row>
    <row r="83">
      <c r="B83" s="6" t="s">
        <v>51</v>
      </c>
      <c r="C83" s="6" t="s">
        <v>51</v>
      </c>
      <c r="K83" s="6" t="s">
        <v>51</v>
      </c>
      <c r="L83" s="6" t="s">
        <v>51</v>
      </c>
      <c r="M83" s="6" t="s">
        <v>51</v>
      </c>
      <c r="N83" s="6" t="s">
        <v>51</v>
      </c>
    </row>
    <row r="84">
      <c r="B84" s="6" t="s">
        <v>51</v>
      </c>
      <c r="C84" s="6" t="s">
        <v>51</v>
      </c>
      <c r="K84" s="6" t="s">
        <v>51</v>
      </c>
      <c r="L84" s="6" t="s">
        <v>51</v>
      </c>
      <c r="M84" s="6" t="s">
        <v>51</v>
      </c>
      <c r="N84" s="6" t="s">
        <v>51</v>
      </c>
    </row>
    <row r="85">
      <c r="B85" s="6" t="s">
        <v>51</v>
      </c>
      <c r="C85" s="6" t="s">
        <v>51</v>
      </c>
      <c r="K85" s="6" t="s">
        <v>51</v>
      </c>
      <c r="L85" s="6" t="s">
        <v>51</v>
      </c>
      <c r="M85" s="6" t="s">
        <v>51</v>
      </c>
      <c r="N85" s="6" t="s">
        <v>51</v>
      </c>
    </row>
    <row r="86">
      <c r="B86" s="6" t="s">
        <v>51</v>
      </c>
      <c r="C86" s="6" t="s">
        <v>51</v>
      </c>
      <c r="K86" s="6" t="s">
        <v>51</v>
      </c>
      <c r="L86" s="6" t="s">
        <v>51</v>
      </c>
      <c r="M86" s="6" t="s">
        <v>51</v>
      </c>
      <c r="N86" s="6" t="s">
        <v>51</v>
      </c>
    </row>
    <row r="87">
      <c r="B87" s="6" t="s">
        <v>51</v>
      </c>
      <c r="C87" s="6" t="s">
        <v>51</v>
      </c>
      <c r="K87" s="6" t="s">
        <v>51</v>
      </c>
      <c r="L87" s="6" t="s">
        <v>51</v>
      </c>
      <c r="M87" s="6" t="s">
        <v>51</v>
      </c>
      <c r="N87" s="6" t="s">
        <v>51</v>
      </c>
    </row>
    <row r="88">
      <c r="B88" s="6" t="s">
        <v>51</v>
      </c>
      <c r="C88" s="6" t="s">
        <v>51</v>
      </c>
      <c r="K88" s="6" t="s">
        <v>51</v>
      </c>
      <c r="L88" s="6" t="s">
        <v>51</v>
      </c>
      <c r="M88" s="6" t="s">
        <v>51</v>
      </c>
      <c r="N88" s="6" t="s">
        <v>51</v>
      </c>
    </row>
    <row r="89">
      <c r="B89" s="6" t="s">
        <v>51</v>
      </c>
      <c r="C89" s="6" t="s">
        <v>51</v>
      </c>
      <c r="K89" s="6" t="s">
        <v>51</v>
      </c>
      <c r="L89" s="6" t="s">
        <v>51</v>
      </c>
      <c r="M89" s="6" t="s">
        <v>51</v>
      </c>
      <c r="N89" s="6" t="s">
        <v>51</v>
      </c>
    </row>
    <row r="90">
      <c r="B90" s="6" t="s">
        <v>51</v>
      </c>
      <c r="C90" s="6" t="s">
        <v>51</v>
      </c>
      <c r="K90" s="6" t="s">
        <v>51</v>
      </c>
      <c r="L90" s="6" t="s">
        <v>51</v>
      </c>
      <c r="M90" s="6" t="s">
        <v>51</v>
      </c>
      <c r="N90" s="6" t="s">
        <v>51</v>
      </c>
    </row>
    <row r="91">
      <c r="B91" s="6" t="s">
        <v>51</v>
      </c>
      <c r="C91" s="6" t="s">
        <v>51</v>
      </c>
      <c r="K91" s="6" t="s">
        <v>51</v>
      </c>
      <c r="L91" s="6" t="s">
        <v>51</v>
      </c>
      <c r="M91" s="6" t="s">
        <v>51</v>
      </c>
      <c r="N91" s="6" t="s">
        <v>51</v>
      </c>
    </row>
    <row r="92">
      <c r="B92" s="6" t="s">
        <v>51</v>
      </c>
      <c r="C92" s="6" t="s">
        <v>51</v>
      </c>
      <c r="K92" s="6" t="s">
        <v>51</v>
      </c>
      <c r="L92" s="6" t="s">
        <v>51</v>
      </c>
      <c r="M92" s="6" t="s">
        <v>51</v>
      </c>
      <c r="N92" s="6" t="s">
        <v>51</v>
      </c>
    </row>
    <row r="93">
      <c r="B93" s="6" t="s">
        <v>51</v>
      </c>
      <c r="C93" s="6" t="s">
        <v>51</v>
      </c>
      <c r="K93" s="6" t="s">
        <v>51</v>
      </c>
      <c r="L93" s="6" t="s">
        <v>51</v>
      </c>
      <c r="M93" s="6" t="s">
        <v>51</v>
      </c>
      <c r="N93" s="6" t="s">
        <v>51</v>
      </c>
    </row>
    <row r="94">
      <c r="B94" s="6" t="s">
        <v>51</v>
      </c>
      <c r="C94" s="6" t="s">
        <v>51</v>
      </c>
      <c r="K94" s="6" t="s">
        <v>51</v>
      </c>
      <c r="L94" s="6" t="s">
        <v>51</v>
      </c>
      <c r="M94" s="6" t="s">
        <v>51</v>
      </c>
      <c r="N94" s="6" t="s">
        <v>51</v>
      </c>
    </row>
    <row r="95">
      <c r="B95" s="6" t="s">
        <v>51</v>
      </c>
      <c r="C95" s="6" t="s">
        <v>51</v>
      </c>
      <c r="K95" s="6" t="s">
        <v>51</v>
      </c>
      <c r="L95" s="6" t="s">
        <v>51</v>
      </c>
      <c r="M95" s="6" t="s">
        <v>51</v>
      </c>
      <c r="N95" s="6" t="s">
        <v>51</v>
      </c>
    </row>
    <row r="96">
      <c r="B96" s="6" t="s">
        <v>51</v>
      </c>
      <c r="C96" s="6" t="s">
        <v>51</v>
      </c>
      <c r="K96" s="6" t="s">
        <v>51</v>
      </c>
      <c r="L96" s="6" t="s">
        <v>51</v>
      </c>
      <c r="M96" s="6" t="s">
        <v>51</v>
      </c>
      <c r="N96" s="6" t="s">
        <v>51</v>
      </c>
    </row>
    <row r="97">
      <c r="B97" s="6" t="s">
        <v>51</v>
      </c>
      <c r="C97" s="6" t="s">
        <v>51</v>
      </c>
      <c r="K97" s="6" t="s">
        <v>51</v>
      </c>
      <c r="L97" s="6" t="s">
        <v>51</v>
      </c>
      <c r="M97" s="6" t="s">
        <v>51</v>
      </c>
      <c r="N97" s="6" t="s">
        <v>51</v>
      </c>
    </row>
    <row r="98">
      <c r="B98" s="6" t="s">
        <v>51</v>
      </c>
      <c r="C98" s="6" t="s">
        <v>51</v>
      </c>
      <c r="K98" s="6" t="s">
        <v>51</v>
      </c>
      <c r="L98" s="6" t="s">
        <v>51</v>
      </c>
      <c r="M98" s="6" t="s">
        <v>51</v>
      </c>
      <c r="N98" s="6" t="s">
        <v>51</v>
      </c>
    </row>
    <row r="99">
      <c r="B99" s="6" t="s">
        <v>51</v>
      </c>
      <c r="C99" s="6" t="s">
        <v>51</v>
      </c>
      <c r="K99" s="6" t="s">
        <v>51</v>
      </c>
      <c r="L99" s="6" t="s">
        <v>51</v>
      </c>
      <c r="M99" s="6" t="s">
        <v>51</v>
      </c>
      <c r="N99" s="6" t="s">
        <v>51</v>
      </c>
    </row>
    <row r="100">
      <c r="B100" s="6" t="s">
        <v>51</v>
      </c>
      <c r="C100" s="6" t="s">
        <v>51</v>
      </c>
      <c r="K100" s="6" t="s">
        <v>51</v>
      </c>
      <c r="L100" s="6" t="s">
        <v>51</v>
      </c>
      <c r="M100" s="6" t="s">
        <v>51</v>
      </c>
      <c r="N100" s="6" t="s">
        <v>51</v>
      </c>
    </row>
    <row r="101">
      <c r="B101" s="6" t="s">
        <v>51</v>
      </c>
      <c r="C101" s="6" t="s">
        <v>51</v>
      </c>
      <c r="K101" s="6" t="s">
        <v>51</v>
      </c>
      <c r="L101" s="6" t="s">
        <v>51</v>
      </c>
      <c r="M101" s="6" t="s">
        <v>51</v>
      </c>
      <c r="N101" s="6" t="s">
        <v>51</v>
      </c>
    </row>
    <row r="102">
      <c r="B102" s="6" t="s">
        <v>51</v>
      </c>
      <c r="C102" s="6" t="s">
        <v>51</v>
      </c>
      <c r="K102" s="6" t="s">
        <v>51</v>
      </c>
      <c r="L102" s="6" t="s">
        <v>51</v>
      </c>
      <c r="M102" s="6" t="s">
        <v>51</v>
      </c>
      <c r="N102" s="6" t="s">
        <v>51</v>
      </c>
    </row>
    <row r="103">
      <c r="B103" s="6" t="s">
        <v>51</v>
      </c>
      <c r="C103" s="6" t="s">
        <v>51</v>
      </c>
      <c r="K103" s="6" t="s">
        <v>51</v>
      </c>
      <c r="L103" s="6" t="s">
        <v>51</v>
      </c>
      <c r="M103" s="6" t="s">
        <v>51</v>
      </c>
      <c r="N103" s="6" t="s">
        <v>51</v>
      </c>
    </row>
    <row r="104">
      <c r="B104" s="6" t="s">
        <v>51</v>
      </c>
      <c r="C104" s="6" t="s">
        <v>51</v>
      </c>
      <c r="K104" s="6" t="s">
        <v>51</v>
      </c>
      <c r="L104" s="6" t="s">
        <v>51</v>
      </c>
      <c r="M104" s="6" t="s">
        <v>51</v>
      </c>
      <c r="N104" s="6" t="s">
        <v>51</v>
      </c>
    </row>
    <row r="105">
      <c r="B105" s="6" t="s">
        <v>51</v>
      </c>
      <c r="C105" s="6" t="s">
        <v>51</v>
      </c>
      <c r="K105" s="6" t="s">
        <v>51</v>
      </c>
      <c r="L105" s="6" t="s">
        <v>51</v>
      </c>
      <c r="M105" s="6" t="s">
        <v>51</v>
      </c>
      <c r="N105" s="6" t="s">
        <v>51</v>
      </c>
    </row>
    <row r="106">
      <c r="B106" s="6" t="s">
        <v>51</v>
      </c>
      <c r="C106" s="6" t="s">
        <v>51</v>
      </c>
      <c r="K106" s="6" t="s">
        <v>51</v>
      </c>
      <c r="L106" s="6" t="s">
        <v>51</v>
      </c>
      <c r="M106" s="6" t="s">
        <v>51</v>
      </c>
      <c r="N106" s="6" t="s">
        <v>51</v>
      </c>
    </row>
    <row r="107">
      <c r="B107" s="6" t="s">
        <v>51</v>
      </c>
      <c r="C107" s="6" t="s">
        <v>51</v>
      </c>
      <c r="K107" s="6" t="s">
        <v>51</v>
      </c>
      <c r="L107" s="6" t="s">
        <v>51</v>
      </c>
      <c r="M107" s="6" t="s">
        <v>51</v>
      </c>
      <c r="N107" s="6" t="s">
        <v>51</v>
      </c>
    </row>
    <row r="108">
      <c r="B108" s="6" t="s">
        <v>51</v>
      </c>
      <c r="C108" s="6" t="s">
        <v>51</v>
      </c>
      <c r="K108" s="6" t="s">
        <v>51</v>
      </c>
      <c r="L108" s="6" t="s">
        <v>51</v>
      </c>
      <c r="M108" s="6" t="s">
        <v>51</v>
      </c>
      <c r="N108" s="6" t="s">
        <v>51</v>
      </c>
    </row>
    <row r="109">
      <c r="B109" s="6" t="s">
        <v>51</v>
      </c>
      <c r="C109" s="6" t="s">
        <v>51</v>
      </c>
      <c r="K109" s="6" t="s">
        <v>51</v>
      </c>
      <c r="L109" s="6" t="s">
        <v>51</v>
      </c>
      <c r="M109" s="6" t="s">
        <v>51</v>
      </c>
      <c r="N109" s="6" t="s">
        <v>51</v>
      </c>
    </row>
    <row r="110">
      <c r="B110" s="6" t="s">
        <v>51</v>
      </c>
      <c r="C110" s="6" t="s">
        <v>51</v>
      </c>
      <c r="K110" s="6" t="s">
        <v>51</v>
      </c>
      <c r="L110" s="6" t="s">
        <v>51</v>
      </c>
      <c r="M110" s="6" t="s">
        <v>51</v>
      </c>
      <c r="N110" s="6" t="s">
        <v>51</v>
      </c>
    </row>
    <row r="111">
      <c r="B111" s="6" t="s">
        <v>51</v>
      </c>
      <c r="C111" s="6" t="s">
        <v>51</v>
      </c>
      <c r="K111" s="6" t="s">
        <v>51</v>
      </c>
      <c r="L111" s="6" t="s">
        <v>51</v>
      </c>
      <c r="M111" s="6" t="s">
        <v>51</v>
      </c>
      <c r="N111" s="6" t="s">
        <v>51</v>
      </c>
    </row>
    <row r="112">
      <c r="B112" s="6" t="s">
        <v>51</v>
      </c>
      <c r="C112" s="6" t="s">
        <v>51</v>
      </c>
      <c r="K112" s="6" t="s">
        <v>51</v>
      </c>
      <c r="L112" s="6" t="s">
        <v>51</v>
      </c>
      <c r="M112" s="6" t="s">
        <v>51</v>
      </c>
      <c r="N112" s="6" t="s">
        <v>51</v>
      </c>
    </row>
    <row r="113">
      <c r="B113" s="6" t="s">
        <v>51</v>
      </c>
      <c r="C113" s="6" t="s">
        <v>51</v>
      </c>
      <c r="K113" s="6" t="s">
        <v>51</v>
      </c>
      <c r="L113" s="6" t="s">
        <v>51</v>
      </c>
      <c r="M113" s="6" t="s">
        <v>51</v>
      </c>
      <c r="N113" s="6" t="s">
        <v>51</v>
      </c>
    </row>
    <row r="114">
      <c r="B114" s="6" t="s">
        <v>51</v>
      </c>
      <c r="C114" s="6" t="s">
        <v>51</v>
      </c>
      <c r="K114" s="6" t="s">
        <v>51</v>
      </c>
      <c r="L114" s="6" t="s">
        <v>51</v>
      </c>
      <c r="M114" s="6" t="s">
        <v>51</v>
      </c>
      <c r="N114" s="6" t="s">
        <v>51</v>
      </c>
    </row>
    <row r="115">
      <c r="B115" s="6" t="s">
        <v>51</v>
      </c>
      <c r="C115" s="6" t="s">
        <v>51</v>
      </c>
      <c r="K115" s="6" t="s">
        <v>51</v>
      </c>
      <c r="L115" s="6" t="s">
        <v>51</v>
      </c>
      <c r="M115" s="6" t="s">
        <v>51</v>
      </c>
      <c r="N115" s="6" t="s">
        <v>51</v>
      </c>
    </row>
    <row r="116">
      <c r="B116" s="6" t="s">
        <v>51</v>
      </c>
      <c r="C116" s="6" t="s">
        <v>51</v>
      </c>
      <c r="K116" s="6" t="s">
        <v>51</v>
      </c>
      <c r="L116" s="6" t="s">
        <v>51</v>
      </c>
      <c r="M116" s="6" t="s">
        <v>51</v>
      </c>
      <c r="N116" s="6" t="s">
        <v>51</v>
      </c>
    </row>
    <row r="117">
      <c r="B117" s="6" t="s">
        <v>51</v>
      </c>
      <c r="C117" s="6" t="s">
        <v>51</v>
      </c>
      <c r="K117" s="6" t="s">
        <v>51</v>
      </c>
      <c r="L117" s="6" t="s">
        <v>51</v>
      </c>
      <c r="M117" s="6" t="s">
        <v>51</v>
      </c>
      <c r="N117" s="6" t="s">
        <v>51</v>
      </c>
    </row>
    <row r="118">
      <c r="B118" s="6" t="s">
        <v>51</v>
      </c>
      <c r="C118" s="6" t="s">
        <v>51</v>
      </c>
      <c r="K118" s="6" t="s">
        <v>51</v>
      </c>
      <c r="L118" s="6" t="s">
        <v>51</v>
      </c>
      <c r="M118" s="6" t="s">
        <v>51</v>
      </c>
      <c r="N118" s="6" t="s">
        <v>51</v>
      </c>
    </row>
    <row r="119">
      <c r="B119" s="6" t="s">
        <v>51</v>
      </c>
      <c r="C119" s="6" t="s">
        <v>51</v>
      </c>
      <c r="K119" s="6" t="s">
        <v>51</v>
      </c>
      <c r="L119" s="6" t="s">
        <v>51</v>
      </c>
      <c r="M119" s="6" t="s">
        <v>51</v>
      </c>
      <c r="N119" s="6" t="s">
        <v>51</v>
      </c>
    </row>
    <row r="120">
      <c r="B120" s="6" t="s">
        <v>51</v>
      </c>
      <c r="C120" s="6" t="s">
        <v>51</v>
      </c>
      <c r="K120" s="6" t="s">
        <v>51</v>
      </c>
      <c r="L120" s="6" t="s">
        <v>51</v>
      </c>
      <c r="M120" s="6" t="s">
        <v>51</v>
      </c>
      <c r="N120" s="6" t="s">
        <v>51</v>
      </c>
    </row>
    <row r="121">
      <c r="B121" s="6" t="s">
        <v>51</v>
      </c>
      <c r="C121" s="6" t="s">
        <v>51</v>
      </c>
      <c r="K121" s="6" t="s">
        <v>51</v>
      </c>
      <c r="L121" s="6" t="s">
        <v>51</v>
      </c>
      <c r="M121" s="6" t="s">
        <v>51</v>
      </c>
      <c r="N121" s="6" t="s">
        <v>51</v>
      </c>
    </row>
    <row r="122">
      <c r="B122" s="6" t="s">
        <v>51</v>
      </c>
      <c r="C122" s="6" t="s">
        <v>51</v>
      </c>
      <c r="K122" s="6" t="s">
        <v>51</v>
      </c>
      <c r="L122" s="6" t="s">
        <v>51</v>
      </c>
      <c r="M122" s="6" t="s">
        <v>51</v>
      </c>
      <c r="N122" s="6" t="s">
        <v>51</v>
      </c>
    </row>
    <row r="123">
      <c r="B123" s="6" t="s">
        <v>51</v>
      </c>
      <c r="C123" s="6" t="s">
        <v>51</v>
      </c>
      <c r="K123" s="6" t="s">
        <v>51</v>
      </c>
      <c r="L123" s="6" t="s">
        <v>51</v>
      </c>
      <c r="M123" s="6" t="s">
        <v>51</v>
      </c>
      <c r="N123" s="6" t="s">
        <v>51</v>
      </c>
    </row>
    <row r="124">
      <c r="B124" s="6" t="s">
        <v>51</v>
      </c>
      <c r="C124" s="6" t="s">
        <v>51</v>
      </c>
      <c r="K124" s="6" t="s">
        <v>51</v>
      </c>
      <c r="L124" s="6" t="s">
        <v>51</v>
      </c>
      <c r="M124" s="6" t="s">
        <v>51</v>
      </c>
      <c r="N124" s="6" t="s">
        <v>51</v>
      </c>
    </row>
    <row r="125">
      <c r="B125" s="6" t="s">
        <v>51</v>
      </c>
      <c r="C125" s="6" t="s">
        <v>51</v>
      </c>
      <c r="K125" s="6" t="s">
        <v>51</v>
      </c>
      <c r="L125" s="6" t="s">
        <v>51</v>
      </c>
      <c r="M125" s="6" t="s">
        <v>51</v>
      </c>
      <c r="N125" s="6" t="s">
        <v>51</v>
      </c>
    </row>
    <row r="126">
      <c r="B126" s="6" t="s">
        <v>51</v>
      </c>
      <c r="C126" s="6" t="s">
        <v>51</v>
      </c>
      <c r="K126" s="6" t="s">
        <v>51</v>
      </c>
      <c r="L126" s="6" t="s">
        <v>51</v>
      </c>
      <c r="M126" s="6" t="s">
        <v>51</v>
      </c>
      <c r="N126" s="6" t="s">
        <v>51</v>
      </c>
    </row>
    <row r="127">
      <c r="B127" s="6" t="s">
        <v>51</v>
      </c>
      <c r="C127" s="6" t="s">
        <v>51</v>
      </c>
      <c r="K127" s="6" t="s">
        <v>51</v>
      </c>
      <c r="L127" s="6" t="s">
        <v>51</v>
      </c>
      <c r="M127" s="6" t="s">
        <v>51</v>
      </c>
      <c r="N127" s="6" t="s">
        <v>51</v>
      </c>
    </row>
    <row r="128">
      <c r="B128" s="6" t="s">
        <v>51</v>
      </c>
      <c r="C128" s="6" t="s">
        <v>51</v>
      </c>
      <c r="K128" s="6" t="s">
        <v>51</v>
      </c>
      <c r="L128" s="6" t="s">
        <v>51</v>
      </c>
      <c r="M128" s="6" t="s">
        <v>51</v>
      </c>
      <c r="N128" s="6" t="s">
        <v>51</v>
      </c>
    </row>
    <row r="129">
      <c r="B129" s="6" t="s">
        <v>51</v>
      </c>
      <c r="C129" s="6" t="s">
        <v>51</v>
      </c>
      <c r="K129" s="6" t="s">
        <v>51</v>
      </c>
      <c r="L129" s="6" t="s">
        <v>51</v>
      </c>
      <c r="M129" s="6" t="s">
        <v>51</v>
      </c>
      <c r="N129" s="6" t="s">
        <v>51</v>
      </c>
    </row>
    <row r="130">
      <c r="B130" s="6" t="s">
        <v>51</v>
      </c>
      <c r="C130" s="6" t="s">
        <v>51</v>
      </c>
      <c r="K130" s="6" t="s">
        <v>51</v>
      </c>
      <c r="L130" s="6" t="s">
        <v>51</v>
      </c>
      <c r="M130" s="6" t="s">
        <v>51</v>
      </c>
      <c r="N130" s="6" t="s">
        <v>51</v>
      </c>
    </row>
    <row r="131">
      <c r="B131" s="6" t="s">
        <v>51</v>
      </c>
      <c r="C131" s="6" t="s">
        <v>51</v>
      </c>
      <c r="K131" s="6" t="s">
        <v>51</v>
      </c>
      <c r="L131" s="6" t="s">
        <v>51</v>
      </c>
      <c r="M131" s="6" t="s">
        <v>51</v>
      </c>
      <c r="N131" s="6" t="s">
        <v>51</v>
      </c>
    </row>
    <row r="132">
      <c r="B132" s="6" t="s">
        <v>51</v>
      </c>
      <c r="C132" s="6" t="s">
        <v>51</v>
      </c>
      <c r="K132" s="6" t="s">
        <v>51</v>
      </c>
      <c r="L132" s="6" t="s">
        <v>51</v>
      </c>
      <c r="M132" s="6" t="s">
        <v>51</v>
      </c>
      <c r="N132" s="6" t="s">
        <v>51</v>
      </c>
    </row>
    <row r="133">
      <c r="B133" s="6" t="s">
        <v>51</v>
      </c>
      <c r="C133" s="6" t="s">
        <v>51</v>
      </c>
      <c r="K133" s="6" t="s">
        <v>51</v>
      </c>
      <c r="L133" s="6" t="s">
        <v>51</v>
      </c>
      <c r="M133" s="6" t="s">
        <v>51</v>
      </c>
      <c r="N133" s="6" t="s">
        <v>51</v>
      </c>
    </row>
    <row r="134">
      <c r="B134" s="6" t="s">
        <v>51</v>
      </c>
      <c r="C134" s="6" t="s">
        <v>51</v>
      </c>
      <c r="K134" s="6" t="s">
        <v>51</v>
      </c>
      <c r="L134" s="6" t="s">
        <v>51</v>
      </c>
      <c r="M134" s="6" t="s">
        <v>51</v>
      </c>
      <c r="N134" s="6" t="s">
        <v>51</v>
      </c>
    </row>
    <row r="135">
      <c r="B135" s="6" t="s">
        <v>51</v>
      </c>
      <c r="C135" s="6" t="s">
        <v>51</v>
      </c>
      <c r="K135" s="6" t="s">
        <v>51</v>
      </c>
      <c r="L135" s="6" t="s">
        <v>51</v>
      </c>
      <c r="M135" s="6" t="s">
        <v>51</v>
      </c>
      <c r="N135" s="6" t="s">
        <v>51</v>
      </c>
    </row>
    <row r="136">
      <c r="B136" s="6" t="s">
        <v>51</v>
      </c>
      <c r="C136" s="6" t="s">
        <v>51</v>
      </c>
      <c r="K136" s="6" t="s">
        <v>51</v>
      </c>
      <c r="L136" s="6" t="s">
        <v>51</v>
      </c>
      <c r="M136" s="6" t="s">
        <v>51</v>
      </c>
      <c r="N136" s="6" t="s">
        <v>51</v>
      </c>
    </row>
    <row r="137">
      <c r="B137" s="6" t="s">
        <v>51</v>
      </c>
      <c r="C137" s="6" t="s">
        <v>51</v>
      </c>
      <c r="K137" s="6" t="s">
        <v>51</v>
      </c>
      <c r="L137" s="6" t="s">
        <v>51</v>
      </c>
      <c r="M137" s="6" t="s">
        <v>51</v>
      </c>
      <c r="N137" s="6" t="s">
        <v>51</v>
      </c>
    </row>
    <row r="138">
      <c r="B138" s="6" t="s">
        <v>51</v>
      </c>
      <c r="C138" s="6" t="s">
        <v>51</v>
      </c>
      <c r="K138" s="6" t="s">
        <v>51</v>
      </c>
      <c r="L138" s="6" t="s">
        <v>51</v>
      </c>
      <c r="M138" s="6" t="s">
        <v>51</v>
      </c>
      <c r="N138" s="6" t="s">
        <v>51</v>
      </c>
    </row>
    <row r="139">
      <c r="B139" s="6" t="s">
        <v>51</v>
      </c>
      <c r="C139" s="6" t="s">
        <v>51</v>
      </c>
      <c r="K139" s="6" t="s">
        <v>51</v>
      </c>
      <c r="L139" s="6" t="s">
        <v>51</v>
      </c>
      <c r="M139" s="6" t="s">
        <v>51</v>
      </c>
      <c r="N139" s="6" t="s">
        <v>51</v>
      </c>
    </row>
    <row r="140">
      <c r="B140" s="6" t="s">
        <v>51</v>
      </c>
      <c r="C140" s="6" t="s">
        <v>51</v>
      </c>
      <c r="K140" s="6" t="s">
        <v>51</v>
      </c>
      <c r="L140" s="6" t="s">
        <v>51</v>
      </c>
      <c r="M140" s="6" t="s">
        <v>51</v>
      </c>
      <c r="N140" s="6" t="s">
        <v>51</v>
      </c>
    </row>
    <row r="141">
      <c r="B141" s="6" t="s">
        <v>51</v>
      </c>
      <c r="C141" s="6" t="s">
        <v>51</v>
      </c>
      <c r="K141" s="6" t="s">
        <v>51</v>
      </c>
      <c r="L141" s="6" t="s">
        <v>51</v>
      </c>
      <c r="M141" s="6" t="s">
        <v>51</v>
      </c>
      <c r="N141" s="6" t="s">
        <v>51</v>
      </c>
    </row>
    <row r="142">
      <c r="B142" s="6" t="s">
        <v>51</v>
      </c>
      <c r="C142" s="6" t="s">
        <v>51</v>
      </c>
      <c r="K142" s="6" t="s">
        <v>51</v>
      </c>
      <c r="L142" s="6" t="s">
        <v>51</v>
      </c>
      <c r="M142" s="6" t="s">
        <v>51</v>
      </c>
      <c r="N142" s="6" t="s">
        <v>51</v>
      </c>
    </row>
    <row r="143">
      <c r="B143" s="6" t="s">
        <v>51</v>
      </c>
      <c r="C143" s="6" t="s">
        <v>51</v>
      </c>
      <c r="K143" s="6" t="s">
        <v>51</v>
      </c>
      <c r="L143" s="6" t="s">
        <v>51</v>
      </c>
      <c r="M143" s="6" t="s">
        <v>51</v>
      </c>
      <c r="N143" s="6" t="s">
        <v>51</v>
      </c>
    </row>
    <row r="144">
      <c r="B144" s="6" t="s">
        <v>51</v>
      </c>
      <c r="C144" s="6" t="s">
        <v>51</v>
      </c>
      <c r="K144" s="6" t="s">
        <v>51</v>
      </c>
      <c r="L144" s="6" t="s">
        <v>51</v>
      </c>
      <c r="M144" s="6" t="s">
        <v>51</v>
      </c>
      <c r="N144" s="6" t="s">
        <v>51</v>
      </c>
    </row>
    <row r="145">
      <c r="B145" s="6" t="s">
        <v>51</v>
      </c>
      <c r="C145" s="6" t="s">
        <v>51</v>
      </c>
      <c r="K145" s="6" t="s">
        <v>51</v>
      </c>
      <c r="L145" s="6" t="s">
        <v>51</v>
      </c>
      <c r="M145" s="6" t="s">
        <v>51</v>
      </c>
      <c r="N145" s="6" t="s">
        <v>51</v>
      </c>
    </row>
    <row r="146">
      <c r="B146" s="6" t="s">
        <v>51</v>
      </c>
      <c r="C146" s="6" t="s">
        <v>51</v>
      </c>
      <c r="K146" s="6" t="s">
        <v>51</v>
      </c>
      <c r="L146" s="6" t="s">
        <v>51</v>
      </c>
      <c r="M146" s="6" t="s">
        <v>51</v>
      </c>
      <c r="N146" s="6" t="s">
        <v>51</v>
      </c>
    </row>
    <row r="147">
      <c r="B147" s="6" t="s">
        <v>51</v>
      </c>
      <c r="C147" s="6" t="s">
        <v>51</v>
      </c>
      <c r="K147" s="6" t="s">
        <v>51</v>
      </c>
      <c r="L147" s="6" t="s">
        <v>51</v>
      </c>
      <c r="M147" s="6" t="s">
        <v>51</v>
      </c>
      <c r="N147" s="6" t="s">
        <v>51</v>
      </c>
    </row>
    <row r="148">
      <c r="B148" s="6" t="s">
        <v>51</v>
      </c>
      <c r="C148" s="6" t="s">
        <v>51</v>
      </c>
      <c r="K148" s="6" t="s">
        <v>51</v>
      </c>
      <c r="L148" s="6" t="s">
        <v>51</v>
      </c>
      <c r="M148" s="6" t="s">
        <v>51</v>
      </c>
      <c r="N148" s="6" t="s">
        <v>51</v>
      </c>
    </row>
    <row r="149">
      <c r="B149" s="6" t="s">
        <v>51</v>
      </c>
      <c r="C149" s="6" t="s">
        <v>51</v>
      </c>
      <c r="K149" s="6" t="s">
        <v>51</v>
      </c>
      <c r="L149" s="6" t="s">
        <v>51</v>
      </c>
      <c r="M149" s="6" t="s">
        <v>51</v>
      </c>
      <c r="N149" s="6" t="s">
        <v>51</v>
      </c>
    </row>
    <row r="150">
      <c r="B150" s="6" t="s">
        <v>51</v>
      </c>
      <c r="C150" s="6" t="s">
        <v>51</v>
      </c>
      <c r="K150" s="6" t="s">
        <v>51</v>
      </c>
      <c r="L150" s="6" t="s">
        <v>51</v>
      </c>
      <c r="M150" s="6" t="s">
        <v>51</v>
      </c>
      <c r="N150" s="6" t="s">
        <v>51</v>
      </c>
    </row>
    <row r="151">
      <c r="B151" s="6" t="s">
        <v>51</v>
      </c>
      <c r="C151" s="6" t="s">
        <v>51</v>
      </c>
      <c r="K151" s="6" t="s">
        <v>51</v>
      </c>
      <c r="L151" s="6" t="s">
        <v>51</v>
      </c>
      <c r="M151" s="6" t="s">
        <v>51</v>
      </c>
      <c r="N151" s="6" t="s">
        <v>51</v>
      </c>
    </row>
    <row r="152">
      <c r="B152" s="6" t="s">
        <v>51</v>
      </c>
      <c r="C152" s="6" t="s">
        <v>51</v>
      </c>
      <c r="K152" s="6" t="s">
        <v>51</v>
      </c>
      <c r="L152" s="6" t="s">
        <v>51</v>
      </c>
      <c r="M152" s="6" t="s">
        <v>51</v>
      </c>
      <c r="N152" s="6" t="s">
        <v>51</v>
      </c>
    </row>
    <row r="153">
      <c r="B153" s="6" t="s">
        <v>51</v>
      </c>
      <c r="C153" s="6" t="s">
        <v>51</v>
      </c>
      <c r="K153" s="6" t="s">
        <v>51</v>
      </c>
      <c r="L153" s="6" t="s">
        <v>51</v>
      </c>
      <c r="M153" s="6" t="s">
        <v>51</v>
      </c>
      <c r="N153" s="6" t="s">
        <v>51</v>
      </c>
    </row>
    <row r="154">
      <c r="B154" s="6" t="s">
        <v>51</v>
      </c>
      <c r="C154" s="6" t="s">
        <v>51</v>
      </c>
      <c r="K154" s="6" t="s">
        <v>51</v>
      </c>
      <c r="L154" s="6" t="s">
        <v>51</v>
      </c>
      <c r="M154" s="6" t="s">
        <v>51</v>
      </c>
      <c r="N154" s="6" t="s">
        <v>51</v>
      </c>
    </row>
    <row r="155">
      <c r="B155" s="6" t="s">
        <v>51</v>
      </c>
      <c r="C155" s="6" t="s">
        <v>51</v>
      </c>
      <c r="K155" s="6" t="s">
        <v>51</v>
      </c>
      <c r="L155" s="6" t="s">
        <v>51</v>
      </c>
      <c r="M155" s="6" t="s">
        <v>51</v>
      </c>
      <c r="N155" s="6" t="s">
        <v>51</v>
      </c>
    </row>
    <row r="156">
      <c r="B156" s="6" t="s">
        <v>51</v>
      </c>
      <c r="C156" s="6" t="s">
        <v>51</v>
      </c>
      <c r="K156" s="6" t="s">
        <v>51</v>
      </c>
      <c r="L156" s="6" t="s">
        <v>51</v>
      </c>
      <c r="M156" s="6" t="s">
        <v>51</v>
      </c>
      <c r="N156" s="6" t="s">
        <v>51</v>
      </c>
    </row>
    <row r="157">
      <c r="B157" s="6" t="s">
        <v>51</v>
      </c>
      <c r="C157" s="6" t="s">
        <v>51</v>
      </c>
      <c r="K157" s="6" t="s">
        <v>51</v>
      </c>
      <c r="L157" s="6" t="s">
        <v>51</v>
      </c>
      <c r="M157" s="6" t="s">
        <v>51</v>
      </c>
      <c r="N157" s="6" t="s">
        <v>51</v>
      </c>
    </row>
    <row r="158">
      <c r="B158" s="6" t="s">
        <v>51</v>
      </c>
      <c r="C158" s="6" t="s">
        <v>51</v>
      </c>
      <c r="K158" s="6" t="s">
        <v>51</v>
      </c>
      <c r="L158" s="6" t="s">
        <v>51</v>
      </c>
      <c r="M158" s="6" t="s">
        <v>51</v>
      </c>
      <c r="N158" s="6" t="s">
        <v>51</v>
      </c>
    </row>
    <row r="159">
      <c r="B159" s="6" t="s">
        <v>51</v>
      </c>
      <c r="C159" s="6" t="s">
        <v>51</v>
      </c>
      <c r="K159" s="6" t="s">
        <v>51</v>
      </c>
      <c r="L159" s="6" t="s">
        <v>51</v>
      </c>
      <c r="M159" s="6" t="s">
        <v>51</v>
      </c>
      <c r="N159" s="6" t="s">
        <v>51</v>
      </c>
    </row>
    <row r="160">
      <c r="B160" s="6" t="s">
        <v>51</v>
      </c>
      <c r="C160" s="6" t="s">
        <v>51</v>
      </c>
      <c r="K160" s="6" t="s">
        <v>51</v>
      </c>
      <c r="L160" s="6" t="s">
        <v>51</v>
      </c>
      <c r="M160" s="6" t="s">
        <v>51</v>
      </c>
      <c r="N160" s="6" t="s">
        <v>51</v>
      </c>
    </row>
    <row r="161">
      <c r="B161" s="6" t="s">
        <v>51</v>
      </c>
      <c r="C161" s="6" t="s">
        <v>51</v>
      </c>
      <c r="K161" s="6" t="s">
        <v>51</v>
      </c>
      <c r="L161" s="6" t="s">
        <v>51</v>
      </c>
      <c r="M161" s="6" t="s">
        <v>51</v>
      </c>
      <c r="N161" s="6" t="s">
        <v>51</v>
      </c>
    </row>
    <row r="162">
      <c r="B162" s="6" t="s">
        <v>51</v>
      </c>
      <c r="C162" s="6" t="s">
        <v>51</v>
      </c>
      <c r="K162" s="6" t="s">
        <v>51</v>
      </c>
      <c r="L162" s="6" t="s">
        <v>51</v>
      </c>
      <c r="M162" s="6" t="s">
        <v>51</v>
      </c>
      <c r="N162" s="6" t="s">
        <v>51</v>
      </c>
    </row>
    <row r="163">
      <c r="B163" s="6" t="s">
        <v>51</v>
      </c>
      <c r="C163" s="6" t="s">
        <v>51</v>
      </c>
      <c r="K163" s="6" t="s">
        <v>51</v>
      </c>
      <c r="L163" s="6" t="s">
        <v>51</v>
      </c>
      <c r="M163" s="6" t="s">
        <v>51</v>
      </c>
      <c r="N163" s="6" t="s">
        <v>51</v>
      </c>
    </row>
    <row r="164">
      <c r="B164" s="6" t="s">
        <v>51</v>
      </c>
      <c r="C164" s="6" t="s">
        <v>51</v>
      </c>
      <c r="K164" s="6" t="s">
        <v>51</v>
      </c>
      <c r="L164" s="6" t="s">
        <v>51</v>
      </c>
      <c r="M164" s="6" t="s">
        <v>51</v>
      </c>
      <c r="N164" s="6" t="s">
        <v>51</v>
      </c>
    </row>
    <row r="165">
      <c r="B165" s="6" t="s">
        <v>51</v>
      </c>
      <c r="C165" s="6" t="s">
        <v>51</v>
      </c>
      <c r="K165" s="6" t="s">
        <v>51</v>
      </c>
      <c r="L165" s="6" t="s">
        <v>51</v>
      </c>
      <c r="M165" s="6" t="s">
        <v>51</v>
      </c>
      <c r="N165" s="6" t="s">
        <v>51</v>
      </c>
    </row>
    <row r="166">
      <c r="B166" s="6" t="s">
        <v>51</v>
      </c>
      <c r="C166" s="6" t="s">
        <v>51</v>
      </c>
      <c r="K166" s="6" t="s">
        <v>51</v>
      </c>
      <c r="L166" s="6" t="s">
        <v>51</v>
      </c>
      <c r="M166" s="6" t="s">
        <v>51</v>
      </c>
      <c r="N166" s="6" t="s">
        <v>51</v>
      </c>
    </row>
    <row r="167">
      <c r="B167" s="6" t="s">
        <v>51</v>
      </c>
      <c r="C167" s="6" t="s">
        <v>51</v>
      </c>
      <c r="K167" s="6" t="s">
        <v>51</v>
      </c>
      <c r="L167" s="6" t="s">
        <v>51</v>
      </c>
      <c r="M167" s="6" t="s">
        <v>51</v>
      </c>
      <c r="N167" s="6" t="s">
        <v>51</v>
      </c>
    </row>
    <row r="168">
      <c r="B168" s="6" t="s">
        <v>51</v>
      </c>
      <c r="C168" s="6" t="s">
        <v>51</v>
      </c>
      <c r="K168" s="6" t="s">
        <v>51</v>
      </c>
      <c r="L168" s="6" t="s">
        <v>51</v>
      </c>
      <c r="M168" s="6" t="s">
        <v>51</v>
      </c>
      <c r="N168" s="6" t="s">
        <v>51</v>
      </c>
    </row>
    <row r="169">
      <c r="B169" s="6" t="s">
        <v>51</v>
      </c>
      <c r="C169" s="6" t="s">
        <v>51</v>
      </c>
      <c r="K169" s="6" t="s">
        <v>51</v>
      </c>
      <c r="L169" s="6" t="s">
        <v>51</v>
      </c>
      <c r="M169" s="6" t="s">
        <v>51</v>
      </c>
      <c r="N169" s="6" t="s">
        <v>51</v>
      </c>
    </row>
    <row r="170">
      <c r="B170" s="6" t="s">
        <v>51</v>
      </c>
      <c r="C170" s="6" t="s">
        <v>51</v>
      </c>
      <c r="K170" s="6" t="s">
        <v>51</v>
      </c>
      <c r="L170" s="6" t="s">
        <v>51</v>
      </c>
      <c r="M170" s="6" t="s">
        <v>51</v>
      </c>
      <c r="N170" s="6" t="s">
        <v>51</v>
      </c>
    </row>
    <row r="171">
      <c r="B171" s="6" t="s">
        <v>51</v>
      </c>
      <c r="C171" s="6" t="s">
        <v>51</v>
      </c>
      <c r="K171" s="6" t="s">
        <v>51</v>
      </c>
      <c r="L171" s="6" t="s">
        <v>51</v>
      </c>
      <c r="M171" s="6" t="s">
        <v>51</v>
      </c>
      <c r="N171" s="6" t="s">
        <v>51</v>
      </c>
    </row>
    <row r="172">
      <c r="B172" s="6" t="s">
        <v>51</v>
      </c>
      <c r="C172" s="6" t="s">
        <v>51</v>
      </c>
      <c r="K172" s="6" t="s">
        <v>51</v>
      </c>
      <c r="L172" s="6" t="s">
        <v>51</v>
      </c>
      <c r="M172" s="6" t="s">
        <v>51</v>
      </c>
      <c r="N172" s="6" t="s">
        <v>51</v>
      </c>
    </row>
    <row r="173">
      <c r="B173" s="6" t="s">
        <v>51</v>
      </c>
      <c r="C173" s="6" t="s">
        <v>51</v>
      </c>
      <c r="K173" s="6" t="s">
        <v>51</v>
      </c>
      <c r="L173" s="6" t="s">
        <v>51</v>
      </c>
      <c r="M173" s="6" t="s">
        <v>51</v>
      </c>
      <c r="N173" s="6" t="s">
        <v>51</v>
      </c>
    </row>
    <row r="174">
      <c r="B174" s="6" t="s">
        <v>51</v>
      </c>
      <c r="C174" s="6" t="s">
        <v>51</v>
      </c>
      <c r="K174" s="6" t="s">
        <v>51</v>
      </c>
      <c r="L174" s="6" t="s">
        <v>51</v>
      </c>
      <c r="M174" s="6" t="s">
        <v>51</v>
      </c>
      <c r="N174" s="6" t="s">
        <v>51</v>
      </c>
    </row>
    <row r="175">
      <c r="B175" s="6" t="s">
        <v>51</v>
      </c>
      <c r="C175" s="6" t="s">
        <v>51</v>
      </c>
      <c r="K175" s="6" t="s">
        <v>51</v>
      </c>
      <c r="L175" s="6" t="s">
        <v>51</v>
      </c>
      <c r="M175" s="6" t="s">
        <v>51</v>
      </c>
      <c r="N175" s="6" t="s">
        <v>51</v>
      </c>
    </row>
    <row r="176">
      <c r="B176" s="6" t="s">
        <v>51</v>
      </c>
      <c r="C176" s="6" t="s">
        <v>51</v>
      </c>
      <c r="K176" s="6" t="s">
        <v>51</v>
      </c>
      <c r="L176" s="6" t="s">
        <v>51</v>
      </c>
      <c r="M176" s="6" t="s">
        <v>51</v>
      </c>
      <c r="N176" s="6" t="s">
        <v>51</v>
      </c>
    </row>
    <row r="177">
      <c r="B177" s="6" t="s">
        <v>51</v>
      </c>
      <c r="C177" s="6" t="s">
        <v>51</v>
      </c>
      <c r="K177" s="6" t="s">
        <v>51</v>
      </c>
      <c r="L177" s="6" t="s">
        <v>51</v>
      </c>
      <c r="M177" s="6" t="s">
        <v>51</v>
      </c>
      <c r="N177" s="6" t="s">
        <v>51</v>
      </c>
    </row>
    <row r="178">
      <c r="B178" s="6" t="s">
        <v>51</v>
      </c>
      <c r="C178" s="6" t="s">
        <v>51</v>
      </c>
      <c r="K178" s="6" t="s">
        <v>51</v>
      </c>
      <c r="L178" s="6" t="s">
        <v>51</v>
      </c>
      <c r="M178" s="6" t="s">
        <v>51</v>
      </c>
      <c r="N178" s="6" t="s">
        <v>51</v>
      </c>
    </row>
    <row r="179">
      <c r="B179" s="6" t="s">
        <v>51</v>
      </c>
      <c r="C179" s="6" t="s">
        <v>51</v>
      </c>
      <c r="K179" s="6" t="s">
        <v>51</v>
      </c>
      <c r="L179" s="6" t="s">
        <v>51</v>
      </c>
      <c r="M179" s="6" t="s">
        <v>51</v>
      </c>
      <c r="N179" s="6" t="s">
        <v>51</v>
      </c>
    </row>
    <row r="180">
      <c r="B180" s="6" t="s">
        <v>51</v>
      </c>
      <c r="C180" s="6" t="s">
        <v>51</v>
      </c>
      <c r="K180" s="6" t="s">
        <v>51</v>
      </c>
      <c r="L180" s="6" t="s">
        <v>51</v>
      </c>
      <c r="M180" s="6" t="s">
        <v>51</v>
      </c>
      <c r="N180" s="6" t="s">
        <v>51</v>
      </c>
    </row>
    <row r="181">
      <c r="B181" s="6" t="s">
        <v>51</v>
      </c>
      <c r="C181" s="6" t="s">
        <v>51</v>
      </c>
      <c r="K181" s="6" t="s">
        <v>51</v>
      </c>
      <c r="L181" s="6" t="s">
        <v>51</v>
      </c>
      <c r="M181" s="6" t="s">
        <v>51</v>
      </c>
      <c r="N181" s="6" t="s">
        <v>51</v>
      </c>
    </row>
    <row r="182">
      <c r="B182" s="6" t="s">
        <v>51</v>
      </c>
      <c r="C182" s="6" t="s">
        <v>51</v>
      </c>
      <c r="K182" s="6" t="s">
        <v>51</v>
      </c>
      <c r="L182" s="6" t="s">
        <v>51</v>
      </c>
      <c r="M182" s="6" t="s">
        <v>51</v>
      </c>
      <c r="N182" s="6" t="s">
        <v>51</v>
      </c>
    </row>
    <row r="183">
      <c r="B183" s="6" t="s">
        <v>51</v>
      </c>
      <c r="C183" s="6" t="s">
        <v>51</v>
      </c>
      <c r="K183" s="6" t="s">
        <v>51</v>
      </c>
      <c r="L183" s="6" t="s">
        <v>51</v>
      </c>
      <c r="M183" s="6" t="s">
        <v>51</v>
      </c>
      <c r="N183" s="6" t="s">
        <v>51</v>
      </c>
    </row>
    <row r="184">
      <c r="B184" s="6" t="s">
        <v>51</v>
      </c>
      <c r="C184" s="6" t="s">
        <v>51</v>
      </c>
      <c r="K184" s="6" t="s">
        <v>51</v>
      </c>
      <c r="L184" s="6" t="s">
        <v>51</v>
      </c>
      <c r="M184" s="6" t="s">
        <v>51</v>
      </c>
      <c r="N184" s="6" t="s">
        <v>51</v>
      </c>
    </row>
    <row r="185">
      <c r="B185" s="6" t="s">
        <v>51</v>
      </c>
      <c r="C185" s="6" t="s">
        <v>51</v>
      </c>
      <c r="K185" s="6" t="s">
        <v>51</v>
      </c>
      <c r="L185" s="6" t="s">
        <v>51</v>
      </c>
      <c r="M185" s="6" t="s">
        <v>51</v>
      </c>
      <c r="N185" s="6" t="s">
        <v>51</v>
      </c>
    </row>
    <row r="186">
      <c r="B186" s="6" t="s">
        <v>51</v>
      </c>
      <c r="C186" s="6" t="s">
        <v>51</v>
      </c>
      <c r="K186" s="6" t="s">
        <v>51</v>
      </c>
      <c r="L186" s="6" t="s">
        <v>51</v>
      </c>
      <c r="M186" s="6" t="s">
        <v>51</v>
      </c>
      <c r="N186" s="6" t="s">
        <v>51</v>
      </c>
    </row>
    <row r="187">
      <c r="B187" s="6" t="s">
        <v>51</v>
      </c>
      <c r="C187" s="6" t="s">
        <v>51</v>
      </c>
      <c r="K187" s="6" t="s">
        <v>51</v>
      </c>
      <c r="L187" s="6" t="s">
        <v>51</v>
      </c>
      <c r="M187" s="6" t="s">
        <v>51</v>
      </c>
      <c r="N187" s="6" t="s">
        <v>51</v>
      </c>
    </row>
    <row r="188">
      <c r="B188" s="6" t="s">
        <v>51</v>
      </c>
      <c r="C188" s="6" t="s">
        <v>51</v>
      </c>
      <c r="K188" s="6" t="s">
        <v>51</v>
      </c>
      <c r="L188" s="6" t="s">
        <v>51</v>
      </c>
      <c r="M188" s="6" t="s">
        <v>51</v>
      </c>
      <c r="N188" s="6" t="s">
        <v>51</v>
      </c>
    </row>
    <row r="189">
      <c r="B189" s="6" t="s">
        <v>51</v>
      </c>
      <c r="C189" s="6" t="s">
        <v>51</v>
      </c>
      <c r="K189" s="6" t="s">
        <v>51</v>
      </c>
      <c r="L189" s="6" t="s">
        <v>51</v>
      </c>
      <c r="M189" s="6" t="s">
        <v>51</v>
      </c>
      <c r="N189" s="6" t="s">
        <v>51</v>
      </c>
    </row>
    <row r="190">
      <c r="B190" s="6" t="s">
        <v>51</v>
      </c>
      <c r="C190" s="6" t="s">
        <v>51</v>
      </c>
      <c r="K190" s="6" t="s">
        <v>51</v>
      </c>
      <c r="L190" s="6" t="s">
        <v>51</v>
      </c>
      <c r="M190" s="6" t="s">
        <v>51</v>
      </c>
      <c r="N190" s="6" t="s">
        <v>51</v>
      </c>
    </row>
    <row r="191">
      <c r="B191" s="6" t="s">
        <v>51</v>
      </c>
      <c r="C191" s="6" t="s">
        <v>51</v>
      </c>
      <c r="K191" s="6" t="s">
        <v>51</v>
      </c>
      <c r="L191" s="6" t="s">
        <v>51</v>
      </c>
      <c r="M191" s="6" t="s">
        <v>51</v>
      </c>
      <c r="N191" s="6" t="s">
        <v>51</v>
      </c>
    </row>
    <row r="192">
      <c r="B192" s="6" t="s">
        <v>51</v>
      </c>
      <c r="C192" s="6" t="s">
        <v>51</v>
      </c>
      <c r="K192" s="6" t="s">
        <v>51</v>
      </c>
      <c r="L192" s="6" t="s">
        <v>51</v>
      </c>
      <c r="M192" s="6" t="s">
        <v>51</v>
      </c>
      <c r="N192" s="6" t="s">
        <v>51</v>
      </c>
    </row>
    <row r="193">
      <c r="B193" s="6" t="s">
        <v>51</v>
      </c>
      <c r="C193" s="6" t="s">
        <v>51</v>
      </c>
      <c r="K193" s="6" t="s">
        <v>51</v>
      </c>
      <c r="L193" s="6" t="s">
        <v>51</v>
      </c>
      <c r="M193" s="6" t="s">
        <v>51</v>
      </c>
      <c r="N193" s="6" t="s">
        <v>51</v>
      </c>
    </row>
    <row r="194">
      <c r="B194" s="6" t="s">
        <v>51</v>
      </c>
      <c r="C194" s="6" t="s">
        <v>51</v>
      </c>
      <c r="K194" s="6" t="s">
        <v>51</v>
      </c>
      <c r="L194" s="6" t="s">
        <v>51</v>
      </c>
      <c r="M194" s="6" t="s">
        <v>51</v>
      </c>
      <c r="N194" s="6" t="s">
        <v>51</v>
      </c>
    </row>
    <row r="195">
      <c r="B195" s="6" t="s">
        <v>51</v>
      </c>
      <c r="C195" s="6" t="s">
        <v>51</v>
      </c>
      <c r="K195" s="6" t="s">
        <v>51</v>
      </c>
      <c r="L195" s="6" t="s">
        <v>51</v>
      </c>
      <c r="M195" s="6" t="s">
        <v>51</v>
      </c>
      <c r="N195" s="6" t="s">
        <v>51</v>
      </c>
    </row>
    <row r="196">
      <c r="B196" s="6" t="s">
        <v>51</v>
      </c>
      <c r="C196" s="6" t="s">
        <v>51</v>
      </c>
      <c r="K196" s="6" t="s">
        <v>51</v>
      </c>
      <c r="L196" s="6" t="s">
        <v>51</v>
      </c>
      <c r="M196" s="6" t="s">
        <v>51</v>
      </c>
      <c r="N196" s="6" t="s">
        <v>51</v>
      </c>
    </row>
    <row r="197">
      <c r="B197" s="6" t="s">
        <v>51</v>
      </c>
      <c r="C197" s="6" t="s">
        <v>51</v>
      </c>
      <c r="K197" s="6" t="s">
        <v>51</v>
      </c>
      <c r="L197" s="6" t="s">
        <v>51</v>
      </c>
      <c r="M197" s="6" t="s">
        <v>51</v>
      </c>
      <c r="N197" s="6" t="s">
        <v>51</v>
      </c>
    </row>
    <row r="198">
      <c r="B198" s="6" t="s">
        <v>51</v>
      </c>
      <c r="C198" s="6" t="s">
        <v>51</v>
      </c>
      <c r="K198" s="6" t="s">
        <v>51</v>
      </c>
      <c r="L198" s="6" t="s">
        <v>51</v>
      </c>
      <c r="M198" s="6" t="s">
        <v>51</v>
      </c>
      <c r="N198" s="6" t="s">
        <v>51</v>
      </c>
    </row>
    <row r="199">
      <c r="B199" s="6" t="s">
        <v>51</v>
      </c>
      <c r="C199" s="6" t="s">
        <v>51</v>
      </c>
      <c r="K199" s="6" t="s">
        <v>51</v>
      </c>
      <c r="L199" s="6" t="s">
        <v>51</v>
      </c>
      <c r="M199" s="6" t="s">
        <v>51</v>
      </c>
      <c r="N199" s="6" t="s">
        <v>51</v>
      </c>
    </row>
    <row r="200">
      <c r="B200" s="6" t="s">
        <v>51</v>
      </c>
      <c r="C200" s="6" t="s">
        <v>51</v>
      </c>
      <c r="K200" s="6" t="s">
        <v>51</v>
      </c>
      <c r="L200" s="6" t="s">
        <v>51</v>
      </c>
      <c r="M200" s="6" t="s">
        <v>51</v>
      </c>
      <c r="N200" s="6" t="s">
        <v>51</v>
      </c>
    </row>
    <row r="201">
      <c r="B201" s="6" t="s">
        <v>51</v>
      </c>
      <c r="C201" s="6" t="s">
        <v>51</v>
      </c>
      <c r="K201" s="6" t="s">
        <v>51</v>
      </c>
      <c r="L201" s="6" t="s">
        <v>51</v>
      </c>
      <c r="M201" s="6" t="s">
        <v>51</v>
      </c>
      <c r="N201" s="6" t="s">
        <v>51</v>
      </c>
    </row>
    <row r="202">
      <c r="B202" s="6" t="s">
        <v>51</v>
      </c>
      <c r="C202" s="6" t="s">
        <v>51</v>
      </c>
      <c r="K202" s="6" t="s">
        <v>51</v>
      </c>
      <c r="L202" s="6" t="s">
        <v>51</v>
      </c>
      <c r="M202" s="6" t="s">
        <v>51</v>
      </c>
      <c r="N202" s="6" t="s">
        <v>51</v>
      </c>
    </row>
    <row r="203">
      <c r="B203" s="6" t="s">
        <v>51</v>
      </c>
      <c r="C203" s="6" t="s">
        <v>51</v>
      </c>
      <c r="K203" s="6" t="s">
        <v>51</v>
      </c>
      <c r="L203" s="6" t="s">
        <v>51</v>
      </c>
      <c r="M203" s="6" t="s">
        <v>51</v>
      </c>
      <c r="N203" s="6" t="s">
        <v>51</v>
      </c>
    </row>
    <row r="204">
      <c r="B204" s="6" t="s">
        <v>51</v>
      </c>
      <c r="C204" s="6" t="s">
        <v>51</v>
      </c>
      <c r="K204" s="6" t="s">
        <v>51</v>
      </c>
      <c r="L204" s="6" t="s">
        <v>51</v>
      </c>
      <c r="M204" s="6" t="s">
        <v>51</v>
      </c>
      <c r="N204" s="6" t="s">
        <v>51</v>
      </c>
    </row>
    <row r="205">
      <c r="B205" s="6" t="s">
        <v>51</v>
      </c>
      <c r="C205" s="6" t="s">
        <v>51</v>
      </c>
      <c r="K205" s="6" t="s">
        <v>51</v>
      </c>
      <c r="L205" s="6" t="s">
        <v>51</v>
      </c>
      <c r="M205" s="6" t="s">
        <v>51</v>
      </c>
      <c r="N205" s="6" t="s">
        <v>51</v>
      </c>
    </row>
    <row r="206">
      <c r="B206" s="6" t="s">
        <v>51</v>
      </c>
      <c r="C206" s="6" t="s">
        <v>51</v>
      </c>
      <c r="K206" s="6" t="s">
        <v>51</v>
      </c>
      <c r="L206" s="6" t="s">
        <v>51</v>
      </c>
      <c r="M206" s="6" t="s">
        <v>51</v>
      </c>
      <c r="N206" s="6" t="s">
        <v>51</v>
      </c>
    </row>
    <row r="207">
      <c r="B207" s="6" t="s">
        <v>51</v>
      </c>
      <c r="C207" s="6" t="s">
        <v>51</v>
      </c>
      <c r="K207" s="6" t="s">
        <v>51</v>
      </c>
      <c r="L207" s="6" t="s">
        <v>51</v>
      </c>
      <c r="M207" s="6" t="s">
        <v>51</v>
      </c>
      <c r="N207" s="6" t="s">
        <v>51</v>
      </c>
    </row>
    <row r="208">
      <c r="B208" s="6" t="s">
        <v>51</v>
      </c>
      <c r="C208" s="6" t="s">
        <v>51</v>
      </c>
      <c r="K208" s="6" t="s">
        <v>51</v>
      </c>
      <c r="L208" s="6" t="s">
        <v>51</v>
      </c>
      <c r="M208" s="6" t="s">
        <v>51</v>
      </c>
      <c r="N208" s="6" t="s">
        <v>51</v>
      </c>
    </row>
    <row r="209">
      <c r="B209" s="6" t="s">
        <v>51</v>
      </c>
      <c r="C209" s="6" t="s">
        <v>51</v>
      </c>
      <c r="K209" s="6" t="s">
        <v>51</v>
      </c>
      <c r="L209" s="6" t="s">
        <v>51</v>
      </c>
      <c r="M209" s="6" t="s">
        <v>51</v>
      </c>
      <c r="N209" s="6" t="s">
        <v>51</v>
      </c>
    </row>
    <row r="210">
      <c r="B210" s="6" t="s">
        <v>51</v>
      </c>
      <c r="C210" s="6" t="s">
        <v>51</v>
      </c>
      <c r="K210" s="6" t="s">
        <v>51</v>
      </c>
      <c r="L210" s="6" t="s">
        <v>51</v>
      </c>
      <c r="M210" s="6" t="s">
        <v>51</v>
      </c>
      <c r="N210" s="6" t="s">
        <v>51</v>
      </c>
    </row>
    <row r="211">
      <c r="B211" s="6" t="s">
        <v>51</v>
      </c>
      <c r="C211" s="6" t="s">
        <v>51</v>
      </c>
      <c r="K211" s="6" t="s">
        <v>51</v>
      </c>
      <c r="L211" s="6" t="s">
        <v>51</v>
      </c>
      <c r="M211" s="6" t="s">
        <v>51</v>
      </c>
      <c r="N211" s="6" t="s">
        <v>51</v>
      </c>
    </row>
    <row r="212">
      <c r="B212" s="6" t="s">
        <v>51</v>
      </c>
      <c r="C212" s="6" t="s">
        <v>51</v>
      </c>
      <c r="K212" s="6" t="s">
        <v>51</v>
      </c>
      <c r="L212" s="6" t="s">
        <v>51</v>
      </c>
      <c r="M212" s="6" t="s">
        <v>51</v>
      </c>
      <c r="N212" s="6" t="s">
        <v>51</v>
      </c>
    </row>
    <row r="213">
      <c r="B213" s="6" t="s">
        <v>51</v>
      </c>
      <c r="C213" s="6" t="s">
        <v>51</v>
      </c>
      <c r="K213" s="6" t="s">
        <v>51</v>
      </c>
      <c r="L213" s="6" t="s">
        <v>51</v>
      </c>
      <c r="M213" s="6" t="s">
        <v>51</v>
      </c>
      <c r="N213" s="6" t="s">
        <v>51</v>
      </c>
    </row>
    <row r="214">
      <c r="B214" s="6" t="s">
        <v>51</v>
      </c>
      <c r="C214" s="6" t="s">
        <v>51</v>
      </c>
      <c r="K214" s="6" t="s">
        <v>51</v>
      </c>
      <c r="L214" s="6" t="s">
        <v>51</v>
      </c>
      <c r="M214" s="6" t="s">
        <v>51</v>
      </c>
      <c r="N214" s="6" t="s">
        <v>51</v>
      </c>
    </row>
    <row r="215">
      <c r="B215" s="6" t="s">
        <v>51</v>
      </c>
      <c r="C215" s="6" t="s">
        <v>51</v>
      </c>
      <c r="K215" s="6" t="s">
        <v>51</v>
      </c>
      <c r="L215" s="6" t="s">
        <v>51</v>
      </c>
      <c r="M215" s="6" t="s">
        <v>51</v>
      </c>
      <c r="N215" s="6" t="s">
        <v>51</v>
      </c>
    </row>
    <row r="216">
      <c r="B216" s="6" t="s">
        <v>51</v>
      </c>
      <c r="C216" s="6" t="s">
        <v>51</v>
      </c>
      <c r="K216" s="6" t="s">
        <v>51</v>
      </c>
      <c r="L216" s="6" t="s">
        <v>51</v>
      </c>
      <c r="M216" s="6" t="s">
        <v>51</v>
      </c>
      <c r="N216" s="6" t="s">
        <v>51</v>
      </c>
    </row>
    <row r="217">
      <c r="B217" s="6" t="s">
        <v>51</v>
      </c>
      <c r="C217" s="6" t="s">
        <v>51</v>
      </c>
      <c r="K217" s="6" t="s">
        <v>51</v>
      </c>
      <c r="L217" s="6" t="s">
        <v>51</v>
      </c>
      <c r="M217" s="6" t="s">
        <v>51</v>
      </c>
      <c r="N217" s="6" t="s">
        <v>51</v>
      </c>
    </row>
    <row r="218">
      <c r="B218" s="6" t="s">
        <v>51</v>
      </c>
      <c r="C218" s="6" t="s">
        <v>51</v>
      </c>
      <c r="K218" s="6" t="s">
        <v>51</v>
      </c>
      <c r="L218" s="6" t="s">
        <v>51</v>
      </c>
      <c r="M218" s="6" t="s">
        <v>51</v>
      </c>
      <c r="N218" s="6" t="s">
        <v>51</v>
      </c>
    </row>
    <row r="219">
      <c r="B219" s="6" t="s">
        <v>51</v>
      </c>
      <c r="C219" s="6" t="s">
        <v>51</v>
      </c>
      <c r="K219" s="6" t="s">
        <v>51</v>
      </c>
      <c r="L219" s="6" t="s">
        <v>51</v>
      </c>
      <c r="M219" s="6" t="s">
        <v>51</v>
      </c>
      <c r="N219" s="6" t="s">
        <v>51</v>
      </c>
    </row>
    <row r="220">
      <c r="B220" s="6" t="s">
        <v>51</v>
      </c>
      <c r="C220" s="6" t="s">
        <v>51</v>
      </c>
      <c r="K220" s="6" t="s">
        <v>51</v>
      </c>
      <c r="L220" s="6" t="s">
        <v>51</v>
      </c>
      <c r="M220" s="6" t="s">
        <v>51</v>
      </c>
      <c r="N220" s="6" t="s">
        <v>51</v>
      </c>
    </row>
    <row r="221">
      <c r="B221" s="6" t="s">
        <v>51</v>
      </c>
      <c r="C221" s="6" t="s">
        <v>51</v>
      </c>
      <c r="K221" s="6" t="s">
        <v>51</v>
      </c>
      <c r="L221" s="6" t="s">
        <v>51</v>
      </c>
      <c r="M221" s="6" t="s">
        <v>51</v>
      </c>
      <c r="N221" s="6" t="s">
        <v>51</v>
      </c>
    </row>
    <row r="222">
      <c r="B222" s="6" t="s">
        <v>51</v>
      </c>
      <c r="C222" s="6" t="s">
        <v>51</v>
      </c>
      <c r="K222" s="6" t="s">
        <v>51</v>
      </c>
      <c r="L222" s="6" t="s">
        <v>51</v>
      </c>
      <c r="M222" s="6" t="s">
        <v>51</v>
      </c>
      <c r="N222" s="6" t="s">
        <v>51</v>
      </c>
    </row>
    <row r="223">
      <c r="B223" s="6" t="s">
        <v>51</v>
      </c>
      <c r="C223" s="6" t="s">
        <v>51</v>
      </c>
      <c r="K223" s="6" t="s">
        <v>51</v>
      </c>
      <c r="L223" s="6" t="s">
        <v>51</v>
      </c>
      <c r="M223" s="6" t="s">
        <v>51</v>
      </c>
      <c r="N223" s="6" t="s">
        <v>51</v>
      </c>
    </row>
    <row r="224">
      <c r="B224" s="6" t="s">
        <v>51</v>
      </c>
      <c r="C224" s="6" t="s">
        <v>51</v>
      </c>
      <c r="K224" s="6" t="s">
        <v>51</v>
      </c>
      <c r="L224" s="6" t="s">
        <v>51</v>
      </c>
      <c r="M224" s="6" t="s">
        <v>51</v>
      </c>
      <c r="N224" s="6" t="s">
        <v>51</v>
      </c>
    </row>
    <row r="225">
      <c r="B225" s="6" t="s">
        <v>51</v>
      </c>
      <c r="C225" s="6" t="s">
        <v>51</v>
      </c>
      <c r="K225" s="6" t="s">
        <v>51</v>
      </c>
      <c r="L225" s="6" t="s">
        <v>51</v>
      </c>
      <c r="M225" s="6" t="s">
        <v>51</v>
      </c>
      <c r="N225" s="6" t="s">
        <v>51</v>
      </c>
    </row>
    <row r="226">
      <c r="B226" s="6" t="s">
        <v>51</v>
      </c>
      <c r="C226" s="6" t="s">
        <v>51</v>
      </c>
      <c r="K226" s="6" t="s">
        <v>51</v>
      </c>
      <c r="L226" s="6" t="s">
        <v>51</v>
      </c>
      <c r="M226" s="6" t="s">
        <v>51</v>
      </c>
      <c r="N226" s="6" t="s">
        <v>51</v>
      </c>
    </row>
    <row r="227">
      <c r="B227" s="6" t="s">
        <v>51</v>
      </c>
      <c r="C227" s="6" t="s">
        <v>51</v>
      </c>
      <c r="K227" s="6" t="s">
        <v>51</v>
      </c>
      <c r="L227" s="6" t="s">
        <v>51</v>
      </c>
      <c r="M227" s="6" t="s">
        <v>51</v>
      </c>
      <c r="N227" s="6" t="s">
        <v>51</v>
      </c>
    </row>
    <row r="228">
      <c r="B228" s="6" t="s">
        <v>51</v>
      </c>
      <c r="C228" s="6" t="s">
        <v>51</v>
      </c>
      <c r="K228" s="6" t="s">
        <v>51</v>
      </c>
      <c r="L228" s="6" t="s">
        <v>51</v>
      </c>
      <c r="M228" s="6" t="s">
        <v>51</v>
      </c>
      <c r="N228" s="6" t="s">
        <v>51</v>
      </c>
    </row>
    <row r="229">
      <c r="B229" s="6" t="s">
        <v>51</v>
      </c>
      <c r="C229" s="6" t="s">
        <v>51</v>
      </c>
      <c r="K229" s="6" t="s">
        <v>51</v>
      </c>
      <c r="L229" s="6" t="s">
        <v>51</v>
      </c>
      <c r="M229" s="6" t="s">
        <v>51</v>
      </c>
      <c r="N229" s="6" t="s">
        <v>51</v>
      </c>
    </row>
    <row r="230">
      <c r="B230" s="6" t="s">
        <v>51</v>
      </c>
      <c r="C230" s="6" t="s">
        <v>51</v>
      </c>
      <c r="K230" s="6" t="s">
        <v>51</v>
      </c>
      <c r="L230" s="6" t="s">
        <v>51</v>
      </c>
      <c r="M230" s="6" t="s">
        <v>51</v>
      </c>
      <c r="N230" s="6" t="s">
        <v>51</v>
      </c>
    </row>
    <row r="231">
      <c r="B231" s="6" t="s">
        <v>51</v>
      </c>
      <c r="C231" s="6" t="s">
        <v>51</v>
      </c>
      <c r="K231" s="6" t="s">
        <v>51</v>
      </c>
      <c r="L231" s="6" t="s">
        <v>51</v>
      </c>
      <c r="M231" s="6" t="s">
        <v>51</v>
      </c>
      <c r="N231" s="6" t="s">
        <v>51</v>
      </c>
    </row>
    <row r="232">
      <c r="B232" s="6" t="s">
        <v>51</v>
      </c>
      <c r="C232" s="6" t="s">
        <v>51</v>
      </c>
      <c r="K232" s="6" t="s">
        <v>51</v>
      </c>
      <c r="L232" s="6" t="s">
        <v>51</v>
      </c>
      <c r="M232" s="6" t="s">
        <v>51</v>
      </c>
      <c r="N232" s="6" t="s">
        <v>51</v>
      </c>
    </row>
    <row r="233">
      <c r="B233" s="6" t="s">
        <v>51</v>
      </c>
      <c r="C233" s="6" t="s">
        <v>51</v>
      </c>
      <c r="K233" s="6" t="s">
        <v>51</v>
      </c>
      <c r="L233" s="6" t="s">
        <v>51</v>
      </c>
      <c r="M233" s="6" t="s">
        <v>51</v>
      </c>
      <c r="N233" s="6" t="s">
        <v>51</v>
      </c>
    </row>
    <row r="234">
      <c r="B234" s="6" t="s">
        <v>51</v>
      </c>
      <c r="C234" s="6" t="s">
        <v>51</v>
      </c>
      <c r="K234" s="6" t="s">
        <v>51</v>
      </c>
      <c r="L234" s="6" t="s">
        <v>51</v>
      </c>
      <c r="M234" s="6" t="s">
        <v>51</v>
      </c>
      <c r="N234" s="6" t="s">
        <v>51</v>
      </c>
    </row>
    <row r="235">
      <c r="B235" s="6" t="s">
        <v>51</v>
      </c>
      <c r="C235" s="6" t="s">
        <v>51</v>
      </c>
      <c r="K235" s="6" t="s">
        <v>51</v>
      </c>
      <c r="L235" s="6" t="s">
        <v>51</v>
      </c>
      <c r="M235" s="6" t="s">
        <v>51</v>
      </c>
      <c r="N235" s="6" t="s">
        <v>51</v>
      </c>
    </row>
    <row r="236">
      <c r="B236" s="6" t="s">
        <v>51</v>
      </c>
      <c r="C236" s="6" t="s">
        <v>51</v>
      </c>
      <c r="K236" s="6" t="s">
        <v>51</v>
      </c>
      <c r="L236" s="6" t="s">
        <v>51</v>
      </c>
      <c r="M236" s="6" t="s">
        <v>51</v>
      </c>
      <c r="N236" s="6" t="s">
        <v>51</v>
      </c>
    </row>
    <row r="237">
      <c r="B237" s="6" t="s">
        <v>51</v>
      </c>
      <c r="C237" s="6" t="s">
        <v>51</v>
      </c>
      <c r="K237" s="6" t="s">
        <v>51</v>
      </c>
      <c r="L237" s="6" t="s">
        <v>51</v>
      </c>
      <c r="M237" s="6" t="s">
        <v>51</v>
      </c>
      <c r="N237" s="6" t="s">
        <v>51</v>
      </c>
    </row>
    <row r="238">
      <c r="B238" s="6" t="s">
        <v>51</v>
      </c>
      <c r="C238" s="6" t="s">
        <v>51</v>
      </c>
      <c r="K238" s="6" t="s">
        <v>51</v>
      </c>
      <c r="L238" s="6" t="s">
        <v>51</v>
      </c>
      <c r="M238" s="6" t="s">
        <v>51</v>
      </c>
      <c r="N238" s="6" t="s">
        <v>51</v>
      </c>
    </row>
    <row r="239">
      <c r="B239" s="6" t="s">
        <v>51</v>
      </c>
      <c r="C239" s="6" t="s">
        <v>51</v>
      </c>
      <c r="K239" s="6" t="s">
        <v>51</v>
      </c>
      <c r="L239" s="6" t="s">
        <v>51</v>
      </c>
      <c r="M239" s="6" t="s">
        <v>51</v>
      </c>
      <c r="N239" s="6" t="s">
        <v>51</v>
      </c>
    </row>
    <row r="240">
      <c r="B240" s="6" t="s">
        <v>51</v>
      </c>
      <c r="C240" s="6" t="s">
        <v>51</v>
      </c>
      <c r="K240" s="6" t="s">
        <v>51</v>
      </c>
      <c r="L240" s="6" t="s">
        <v>51</v>
      </c>
      <c r="M240" s="6" t="s">
        <v>51</v>
      </c>
      <c r="N240" s="6" t="s">
        <v>51</v>
      </c>
    </row>
    <row r="241">
      <c r="B241" s="6" t="s">
        <v>51</v>
      </c>
      <c r="C241" s="6" t="s">
        <v>51</v>
      </c>
      <c r="K241" s="6" t="s">
        <v>51</v>
      </c>
      <c r="L241" s="6" t="s">
        <v>51</v>
      </c>
      <c r="M241" s="6" t="s">
        <v>51</v>
      </c>
      <c r="N241" s="6" t="s">
        <v>51</v>
      </c>
    </row>
    <row r="242">
      <c r="B242" s="6" t="s">
        <v>51</v>
      </c>
      <c r="C242" s="6" t="s">
        <v>51</v>
      </c>
      <c r="K242" s="6" t="s">
        <v>51</v>
      </c>
      <c r="L242" s="6" t="s">
        <v>51</v>
      </c>
      <c r="M242" s="6" t="s">
        <v>51</v>
      </c>
      <c r="N242" s="6" t="s">
        <v>51</v>
      </c>
    </row>
    <row r="243">
      <c r="B243" s="6" t="s">
        <v>51</v>
      </c>
      <c r="C243" s="6" t="s">
        <v>51</v>
      </c>
      <c r="K243" s="6" t="s">
        <v>51</v>
      </c>
      <c r="L243" s="6" t="s">
        <v>51</v>
      </c>
      <c r="M243" s="6" t="s">
        <v>51</v>
      </c>
      <c r="N243" s="6" t="s">
        <v>51</v>
      </c>
    </row>
    <row r="244">
      <c r="B244" s="6" t="s">
        <v>51</v>
      </c>
      <c r="C244" s="6" t="s">
        <v>51</v>
      </c>
      <c r="K244" s="6" t="s">
        <v>51</v>
      </c>
      <c r="L244" s="6" t="s">
        <v>51</v>
      </c>
      <c r="M244" s="6" t="s">
        <v>51</v>
      </c>
      <c r="N244" s="6" t="s">
        <v>51</v>
      </c>
    </row>
    <row r="245">
      <c r="B245" s="6" t="s">
        <v>51</v>
      </c>
      <c r="C245" s="6" t="s">
        <v>51</v>
      </c>
      <c r="K245" s="6" t="s">
        <v>51</v>
      </c>
      <c r="L245" s="6" t="s">
        <v>51</v>
      </c>
      <c r="M245" s="6" t="s">
        <v>51</v>
      </c>
      <c r="N245" s="6" t="s">
        <v>51</v>
      </c>
    </row>
    <row r="246">
      <c r="B246" s="6" t="s">
        <v>51</v>
      </c>
      <c r="C246" s="6" t="s">
        <v>51</v>
      </c>
      <c r="K246" s="6" t="s">
        <v>51</v>
      </c>
      <c r="L246" s="6" t="s">
        <v>51</v>
      </c>
      <c r="M246" s="6" t="s">
        <v>51</v>
      </c>
      <c r="N246" s="6" t="s">
        <v>51</v>
      </c>
    </row>
    <row r="247">
      <c r="B247" s="6" t="s">
        <v>51</v>
      </c>
      <c r="C247" s="6" t="s">
        <v>51</v>
      </c>
      <c r="K247" s="6" t="s">
        <v>51</v>
      </c>
      <c r="L247" s="6" t="s">
        <v>51</v>
      </c>
      <c r="M247" s="6" t="s">
        <v>51</v>
      </c>
      <c r="N247" s="6" t="s">
        <v>51</v>
      </c>
    </row>
    <row r="248">
      <c r="B248" s="6" t="s">
        <v>51</v>
      </c>
      <c r="C248" s="6" t="s">
        <v>51</v>
      </c>
      <c r="K248" s="6" t="s">
        <v>51</v>
      </c>
      <c r="L248" s="6" t="s">
        <v>51</v>
      </c>
      <c r="M248" s="6" t="s">
        <v>51</v>
      </c>
      <c r="N248" s="6" t="s">
        <v>51</v>
      </c>
    </row>
    <row r="249">
      <c r="B249" s="6" t="s">
        <v>51</v>
      </c>
      <c r="C249" s="6" t="s">
        <v>51</v>
      </c>
      <c r="K249" s="6" t="s">
        <v>51</v>
      </c>
      <c r="L249" s="6" t="s">
        <v>51</v>
      </c>
      <c r="M249" s="6" t="s">
        <v>51</v>
      </c>
      <c r="N249" s="6" t="s">
        <v>51</v>
      </c>
    </row>
    <row r="250">
      <c r="B250" s="6" t="s">
        <v>51</v>
      </c>
      <c r="C250" s="6" t="s">
        <v>51</v>
      </c>
      <c r="K250" s="6" t="s">
        <v>51</v>
      </c>
      <c r="L250" s="6" t="s">
        <v>51</v>
      </c>
      <c r="M250" s="6" t="s">
        <v>51</v>
      </c>
      <c r="N250" s="6" t="s">
        <v>51</v>
      </c>
    </row>
    <row r="251">
      <c r="B251" s="6" t="s">
        <v>51</v>
      </c>
      <c r="C251" s="6" t="s">
        <v>51</v>
      </c>
      <c r="K251" s="6" t="s">
        <v>51</v>
      </c>
      <c r="L251" s="6" t="s">
        <v>51</v>
      </c>
      <c r="M251" s="6" t="s">
        <v>51</v>
      </c>
      <c r="N251" s="6" t="s">
        <v>51</v>
      </c>
    </row>
    <row r="252">
      <c r="B252" s="6" t="s">
        <v>51</v>
      </c>
      <c r="C252" s="6" t="s">
        <v>51</v>
      </c>
      <c r="K252" s="6" t="s">
        <v>51</v>
      </c>
      <c r="L252" s="6" t="s">
        <v>51</v>
      </c>
      <c r="M252" s="6" t="s">
        <v>51</v>
      </c>
      <c r="N252" s="6" t="s">
        <v>51</v>
      </c>
    </row>
    <row r="253">
      <c r="B253" s="6" t="s">
        <v>51</v>
      </c>
      <c r="C253" s="6" t="s">
        <v>51</v>
      </c>
      <c r="K253" s="6" t="s">
        <v>51</v>
      </c>
      <c r="L253" s="6" t="s">
        <v>51</v>
      </c>
      <c r="M253" s="6" t="s">
        <v>51</v>
      </c>
      <c r="N253" s="6" t="s">
        <v>51</v>
      </c>
    </row>
    <row r="254">
      <c r="B254" s="6" t="s">
        <v>51</v>
      </c>
      <c r="C254" s="6" t="s">
        <v>51</v>
      </c>
      <c r="K254" s="6" t="s">
        <v>51</v>
      </c>
      <c r="L254" s="6" t="s">
        <v>51</v>
      </c>
      <c r="M254" s="6" t="s">
        <v>51</v>
      </c>
      <c r="N254" s="6" t="s">
        <v>51</v>
      </c>
    </row>
    <row r="255">
      <c r="B255" s="6" t="s">
        <v>51</v>
      </c>
      <c r="C255" s="6" t="s">
        <v>51</v>
      </c>
      <c r="K255" s="6" t="s">
        <v>51</v>
      </c>
      <c r="L255" s="6" t="s">
        <v>51</v>
      </c>
      <c r="M255" s="6" t="s">
        <v>51</v>
      </c>
      <c r="N255" s="6" t="s">
        <v>51</v>
      </c>
    </row>
    <row r="256">
      <c r="B256" s="6" t="s">
        <v>51</v>
      </c>
      <c r="C256" s="6" t="s">
        <v>51</v>
      </c>
      <c r="K256" s="6" t="s">
        <v>51</v>
      </c>
      <c r="L256" s="6" t="s">
        <v>51</v>
      </c>
      <c r="M256" s="6" t="s">
        <v>51</v>
      </c>
      <c r="N256" s="6" t="s">
        <v>51</v>
      </c>
    </row>
    <row r="257">
      <c r="B257" s="6" t="s">
        <v>51</v>
      </c>
      <c r="C257" s="6" t="s">
        <v>51</v>
      </c>
      <c r="K257" s="6" t="s">
        <v>51</v>
      </c>
      <c r="L257" s="6" t="s">
        <v>51</v>
      </c>
      <c r="M257" s="6" t="s">
        <v>51</v>
      </c>
      <c r="N257" s="6" t="s">
        <v>51</v>
      </c>
    </row>
    <row r="258">
      <c r="B258" s="6" t="s">
        <v>51</v>
      </c>
      <c r="C258" s="6" t="s">
        <v>51</v>
      </c>
      <c r="K258" s="6" t="s">
        <v>51</v>
      </c>
      <c r="L258" s="6" t="s">
        <v>51</v>
      </c>
      <c r="M258" s="6" t="s">
        <v>51</v>
      </c>
      <c r="N258" s="6" t="s">
        <v>51</v>
      </c>
    </row>
    <row r="259">
      <c r="B259" s="6" t="s">
        <v>51</v>
      </c>
      <c r="C259" s="6" t="s">
        <v>51</v>
      </c>
      <c r="K259" s="6" t="s">
        <v>51</v>
      </c>
      <c r="L259" s="6" t="s">
        <v>51</v>
      </c>
      <c r="M259" s="6" t="s">
        <v>51</v>
      </c>
      <c r="N259" s="6" t="s">
        <v>51</v>
      </c>
    </row>
    <row r="260">
      <c r="B260" s="6" t="s">
        <v>51</v>
      </c>
      <c r="C260" s="6" t="s">
        <v>51</v>
      </c>
      <c r="K260" s="6" t="s">
        <v>51</v>
      </c>
      <c r="L260" s="6" t="s">
        <v>51</v>
      </c>
      <c r="M260" s="6" t="s">
        <v>51</v>
      </c>
      <c r="N260" s="6" t="s">
        <v>51</v>
      </c>
    </row>
    <row r="261">
      <c r="B261" s="6" t="s">
        <v>51</v>
      </c>
      <c r="C261" s="6" t="s">
        <v>51</v>
      </c>
      <c r="K261" s="6" t="s">
        <v>51</v>
      </c>
      <c r="L261" s="6" t="s">
        <v>51</v>
      </c>
      <c r="M261" s="6" t="s">
        <v>51</v>
      </c>
      <c r="N261" s="6" t="s">
        <v>51</v>
      </c>
    </row>
    <row r="262">
      <c r="B262" s="6" t="s">
        <v>51</v>
      </c>
      <c r="C262" s="6" t="s">
        <v>51</v>
      </c>
      <c r="K262" s="6" t="s">
        <v>51</v>
      </c>
      <c r="L262" s="6" t="s">
        <v>51</v>
      </c>
      <c r="M262" s="6" t="s">
        <v>51</v>
      </c>
      <c r="N262" s="6" t="s">
        <v>51</v>
      </c>
    </row>
    <row r="263">
      <c r="B263" s="6" t="s">
        <v>51</v>
      </c>
      <c r="C263" s="6" t="s">
        <v>51</v>
      </c>
      <c r="K263" s="6" t="s">
        <v>51</v>
      </c>
      <c r="L263" s="6" t="s">
        <v>51</v>
      </c>
      <c r="M263" s="6" t="s">
        <v>51</v>
      </c>
      <c r="N263" s="6" t="s">
        <v>51</v>
      </c>
    </row>
    <row r="264">
      <c r="B264" s="6" t="s">
        <v>51</v>
      </c>
      <c r="C264" s="6" t="s">
        <v>51</v>
      </c>
      <c r="K264" s="6" t="s">
        <v>51</v>
      </c>
      <c r="L264" s="6" t="s">
        <v>51</v>
      </c>
      <c r="M264" s="6" t="s">
        <v>51</v>
      </c>
      <c r="N264" s="6" t="s">
        <v>51</v>
      </c>
    </row>
    <row r="265">
      <c r="B265" s="6" t="s">
        <v>51</v>
      </c>
      <c r="C265" s="6" t="s">
        <v>51</v>
      </c>
      <c r="K265" s="6" t="s">
        <v>51</v>
      </c>
      <c r="L265" s="6" t="s">
        <v>51</v>
      </c>
      <c r="M265" s="6" t="s">
        <v>51</v>
      </c>
      <c r="N265" s="6" t="s">
        <v>51</v>
      </c>
    </row>
    <row r="266">
      <c r="B266" s="6" t="s">
        <v>51</v>
      </c>
      <c r="C266" s="6" t="s">
        <v>51</v>
      </c>
      <c r="K266" s="6" t="s">
        <v>51</v>
      </c>
      <c r="L266" s="6" t="s">
        <v>51</v>
      </c>
      <c r="M266" s="6" t="s">
        <v>51</v>
      </c>
      <c r="N266" s="6" t="s">
        <v>51</v>
      </c>
    </row>
    <row r="267">
      <c r="B267" s="6" t="s">
        <v>51</v>
      </c>
      <c r="C267" s="6" t="s">
        <v>51</v>
      </c>
      <c r="K267" s="6" t="s">
        <v>51</v>
      </c>
      <c r="L267" s="6" t="s">
        <v>51</v>
      </c>
      <c r="M267" s="6" t="s">
        <v>51</v>
      </c>
      <c r="N267" s="6" t="s">
        <v>51</v>
      </c>
    </row>
    <row r="268">
      <c r="B268" s="6" t="s">
        <v>51</v>
      </c>
      <c r="C268" s="6" t="s">
        <v>51</v>
      </c>
      <c r="K268" s="6" t="s">
        <v>51</v>
      </c>
      <c r="L268" s="6" t="s">
        <v>51</v>
      </c>
      <c r="M268" s="6" t="s">
        <v>51</v>
      </c>
      <c r="N268" s="6" t="s">
        <v>51</v>
      </c>
    </row>
    <row r="269">
      <c r="B269" s="6" t="s">
        <v>51</v>
      </c>
      <c r="C269" s="6" t="s">
        <v>51</v>
      </c>
      <c r="K269" s="6" t="s">
        <v>51</v>
      </c>
      <c r="L269" s="6" t="s">
        <v>51</v>
      </c>
      <c r="M269" s="6" t="s">
        <v>51</v>
      </c>
      <c r="N269" s="6" t="s">
        <v>51</v>
      </c>
    </row>
    <row r="270">
      <c r="B270" s="6" t="s">
        <v>51</v>
      </c>
      <c r="C270" s="6" t="s">
        <v>51</v>
      </c>
      <c r="K270" s="6" t="s">
        <v>51</v>
      </c>
      <c r="L270" s="6" t="s">
        <v>51</v>
      </c>
      <c r="M270" s="6" t="s">
        <v>51</v>
      </c>
      <c r="N270" s="6" t="s">
        <v>51</v>
      </c>
    </row>
    <row r="271">
      <c r="B271" s="6" t="s">
        <v>51</v>
      </c>
      <c r="C271" s="6" t="s">
        <v>51</v>
      </c>
      <c r="K271" s="6" t="s">
        <v>51</v>
      </c>
      <c r="L271" s="6" t="s">
        <v>51</v>
      </c>
      <c r="M271" s="6" t="s">
        <v>51</v>
      </c>
      <c r="N271" s="6" t="s">
        <v>51</v>
      </c>
    </row>
    <row r="272">
      <c r="B272" s="6" t="s">
        <v>51</v>
      </c>
      <c r="C272" s="6" t="s">
        <v>51</v>
      </c>
      <c r="K272" s="6" t="s">
        <v>51</v>
      </c>
      <c r="L272" s="6" t="s">
        <v>51</v>
      </c>
      <c r="M272" s="6" t="s">
        <v>51</v>
      </c>
      <c r="N272" s="6" t="s">
        <v>51</v>
      </c>
    </row>
    <row r="273">
      <c r="B273" s="6" t="s">
        <v>51</v>
      </c>
      <c r="C273" s="6" t="s">
        <v>51</v>
      </c>
      <c r="K273" s="6" t="s">
        <v>51</v>
      </c>
      <c r="L273" s="6" t="s">
        <v>51</v>
      </c>
      <c r="M273" s="6" t="s">
        <v>51</v>
      </c>
      <c r="N273" s="6" t="s">
        <v>51</v>
      </c>
    </row>
    <row r="274">
      <c r="B274" s="6" t="s">
        <v>51</v>
      </c>
      <c r="C274" s="6" t="s">
        <v>51</v>
      </c>
      <c r="K274" s="6" t="s">
        <v>51</v>
      </c>
      <c r="L274" s="6" t="s">
        <v>51</v>
      </c>
      <c r="M274" s="6" t="s">
        <v>51</v>
      </c>
      <c r="N274" s="6" t="s">
        <v>51</v>
      </c>
    </row>
    <row r="275">
      <c r="B275" s="6" t="s">
        <v>51</v>
      </c>
      <c r="C275" s="6" t="s">
        <v>51</v>
      </c>
      <c r="K275" s="6" t="s">
        <v>51</v>
      </c>
      <c r="L275" s="6" t="s">
        <v>51</v>
      </c>
      <c r="M275" s="6" t="s">
        <v>51</v>
      </c>
      <c r="N275" s="6" t="s">
        <v>51</v>
      </c>
    </row>
    <row r="276">
      <c r="B276" s="6" t="s">
        <v>51</v>
      </c>
      <c r="C276" s="6" t="s">
        <v>51</v>
      </c>
      <c r="K276" s="6" t="s">
        <v>51</v>
      </c>
      <c r="L276" s="6" t="s">
        <v>51</v>
      </c>
      <c r="M276" s="6" t="s">
        <v>51</v>
      </c>
      <c r="N276" s="6" t="s">
        <v>51</v>
      </c>
    </row>
    <row r="277">
      <c r="B277" s="6" t="s">
        <v>51</v>
      </c>
      <c r="C277" s="6" t="s">
        <v>51</v>
      </c>
      <c r="K277" s="6" t="s">
        <v>51</v>
      </c>
      <c r="L277" s="6" t="s">
        <v>51</v>
      </c>
      <c r="M277" s="6" t="s">
        <v>51</v>
      </c>
      <c r="N277" s="6" t="s">
        <v>51</v>
      </c>
    </row>
    <row r="278">
      <c r="B278" s="6" t="s">
        <v>51</v>
      </c>
      <c r="C278" s="6" t="s">
        <v>51</v>
      </c>
      <c r="K278" s="6" t="s">
        <v>51</v>
      </c>
      <c r="L278" s="6" t="s">
        <v>51</v>
      </c>
      <c r="M278" s="6" t="s">
        <v>51</v>
      </c>
      <c r="N278" s="6" t="s">
        <v>51</v>
      </c>
    </row>
    <row r="279">
      <c r="B279" s="6" t="s">
        <v>51</v>
      </c>
      <c r="C279" s="6" t="s">
        <v>51</v>
      </c>
      <c r="K279" s="6" t="s">
        <v>51</v>
      </c>
      <c r="L279" s="6" t="s">
        <v>51</v>
      </c>
      <c r="M279" s="6" t="s">
        <v>51</v>
      </c>
      <c r="N279" s="6" t="s">
        <v>51</v>
      </c>
    </row>
    <row r="280">
      <c r="B280" s="6" t="s">
        <v>51</v>
      </c>
      <c r="C280" s="6" t="s">
        <v>51</v>
      </c>
      <c r="K280" s="6" t="s">
        <v>51</v>
      </c>
      <c r="L280" s="6" t="s">
        <v>51</v>
      </c>
      <c r="M280" s="6" t="s">
        <v>51</v>
      </c>
      <c r="N280" s="6" t="s">
        <v>51</v>
      </c>
    </row>
    <row r="281">
      <c r="B281" s="6" t="s">
        <v>51</v>
      </c>
      <c r="C281" s="6" t="s">
        <v>51</v>
      </c>
      <c r="K281" s="6" t="s">
        <v>51</v>
      </c>
      <c r="L281" s="6" t="s">
        <v>51</v>
      </c>
      <c r="M281" s="6" t="s">
        <v>51</v>
      </c>
      <c r="N281" s="6" t="s">
        <v>51</v>
      </c>
    </row>
    <row r="282">
      <c r="B282" s="6" t="s">
        <v>51</v>
      </c>
      <c r="C282" s="6" t="s">
        <v>51</v>
      </c>
      <c r="K282" s="6" t="s">
        <v>51</v>
      </c>
      <c r="L282" s="6" t="s">
        <v>51</v>
      </c>
      <c r="M282" s="6" t="s">
        <v>51</v>
      </c>
      <c r="N282" s="6" t="s">
        <v>51</v>
      </c>
    </row>
    <row r="283">
      <c r="B283" s="6" t="s">
        <v>51</v>
      </c>
      <c r="C283" s="6" t="s">
        <v>51</v>
      </c>
      <c r="K283" s="6" t="s">
        <v>51</v>
      </c>
      <c r="L283" s="6" t="s">
        <v>51</v>
      </c>
      <c r="M283" s="6" t="s">
        <v>51</v>
      </c>
      <c r="N283" s="6" t="s">
        <v>51</v>
      </c>
    </row>
    <row r="284">
      <c r="B284" s="6" t="s">
        <v>51</v>
      </c>
      <c r="C284" s="6" t="s">
        <v>51</v>
      </c>
      <c r="K284" s="6" t="s">
        <v>51</v>
      </c>
      <c r="L284" s="6" t="s">
        <v>51</v>
      </c>
      <c r="M284" s="6" t="s">
        <v>51</v>
      </c>
      <c r="N284" s="6" t="s">
        <v>51</v>
      </c>
    </row>
    <row r="285">
      <c r="B285" s="6" t="s">
        <v>51</v>
      </c>
      <c r="C285" s="6" t="s">
        <v>51</v>
      </c>
      <c r="K285" s="6" t="s">
        <v>51</v>
      </c>
      <c r="L285" s="6" t="s">
        <v>51</v>
      </c>
      <c r="M285" s="6" t="s">
        <v>51</v>
      </c>
      <c r="N285" s="6" t="s">
        <v>51</v>
      </c>
    </row>
    <row r="286">
      <c r="B286" s="6" t="s">
        <v>51</v>
      </c>
      <c r="C286" s="6" t="s">
        <v>51</v>
      </c>
      <c r="K286" s="6" t="s">
        <v>51</v>
      </c>
      <c r="L286" s="6" t="s">
        <v>51</v>
      </c>
      <c r="M286" s="6" t="s">
        <v>51</v>
      </c>
      <c r="N286" s="6" t="s">
        <v>51</v>
      </c>
    </row>
    <row r="287">
      <c r="B287" s="6" t="s">
        <v>51</v>
      </c>
      <c r="C287" s="6" t="s">
        <v>51</v>
      </c>
      <c r="K287" s="6" t="s">
        <v>51</v>
      </c>
      <c r="L287" s="6" t="s">
        <v>51</v>
      </c>
      <c r="M287" s="6" t="s">
        <v>51</v>
      </c>
      <c r="N287" s="6" t="s">
        <v>51</v>
      </c>
    </row>
    <row r="288">
      <c r="B288" s="6" t="s">
        <v>51</v>
      </c>
      <c r="C288" s="6" t="s">
        <v>51</v>
      </c>
      <c r="K288" s="6" t="s">
        <v>51</v>
      </c>
      <c r="L288" s="6" t="s">
        <v>51</v>
      </c>
      <c r="M288" s="6" t="s">
        <v>51</v>
      </c>
      <c r="N288" s="6" t="s">
        <v>51</v>
      </c>
    </row>
    <row r="289">
      <c r="B289" s="6" t="s">
        <v>51</v>
      </c>
      <c r="C289" s="6" t="s">
        <v>51</v>
      </c>
      <c r="K289" s="6" t="s">
        <v>51</v>
      </c>
      <c r="L289" s="6" t="s">
        <v>51</v>
      </c>
      <c r="M289" s="6" t="s">
        <v>51</v>
      </c>
      <c r="N289" s="6" t="s">
        <v>51</v>
      </c>
    </row>
    <row r="290">
      <c r="B290" s="6" t="s">
        <v>51</v>
      </c>
      <c r="C290" s="6" t="s">
        <v>51</v>
      </c>
      <c r="K290" s="6" t="s">
        <v>51</v>
      </c>
      <c r="L290" s="6" t="s">
        <v>51</v>
      </c>
      <c r="M290" s="6" t="s">
        <v>51</v>
      </c>
      <c r="N290" s="6" t="s">
        <v>51</v>
      </c>
    </row>
    <row r="291">
      <c r="B291" s="6" t="s">
        <v>51</v>
      </c>
      <c r="C291" s="6" t="s">
        <v>51</v>
      </c>
      <c r="K291" s="6" t="s">
        <v>51</v>
      </c>
      <c r="L291" s="6" t="s">
        <v>51</v>
      </c>
      <c r="M291" s="6" t="s">
        <v>51</v>
      </c>
      <c r="N291" s="6" t="s">
        <v>51</v>
      </c>
    </row>
    <row r="292">
      <c r="B292" s="6" t="s">
        <v>51</v>
      </c>
      <c r="C292" s="6" t="s">
        <v>51</v>
      </c>
      <c r="K292" s="6" t="s">
        <v>51</v>
      </c>
      <c r="L292" s="6" t="s">
        <v>51</v>
      </c>
      <c r="M292" s="6" t="s">
        <v>51</v>
      </c>
      <c r="N292" s="6" t="s">
        <v>51</v>
      </c>
    </row>
    <row r="293">
      <c r="B293" s="6" t="s">
        <v>51</v>
      </c>
      <c r="C293" s="6" t="s">
        <v>51</v>
      </c>
      <c r="K293" s="6" t="s">
        <v>51</v>
      </c>
      <c r="L293" s="6" t="s">
        <v>51</v>
      </c>
      <c r="M293" s="6" t="s">
        <v>51</v>
      </c>
      <c r="N293" s="6" t="s">
        <v>51</v>
      </c>
    </row>
    <row r="294">
      <c r="B294" s="6" t="s">
        <v>51</v>
      </c>
      <c r="C294" s="6" t="s">
        <v>51</v>
      </c>
      <c r="K294" s="6" t="s">
        <v>51</v>
      </c>
      <c r="L294" s="6" t="s">
        <v>51</v>
      </c>
      <c r="M294" s="6" t="s">
        <v>51</v>
      </c>
      <c r="N294" s="6" t="s">
        <v>51</v>
      </c>
    </row>
    <row r="295">
      <c r="B295" s="6" t="s">
        <v>51</v>
      </c>
      <c r="C295" s="6" t="s">
        <v>51</v>
      </c>
      <c r="K295" s="6" t="s">
        <v>51</v>
      </c>
      <c r="L295" s="6" t="s">
        <v>51</v>
      </c>
      <c r="M295" s="6" t="s">
        <v>51</v>
      </c>
      <c r="N295" s="6" t="s">
        <v>51</v>
      </c>
    </row>
    <row r="296">
      <c r="B296" s="6" t="s">
        <v>51</v>
      </c>
      <c r="C296" s="6" t="s">
        <v>51</v>
      </c>
      <c r="K296" s="6" t="s">
        <v>51</v>
      </c>
      <c r="L296" s="6" t="s">
        <v>51</v>
      </c>
      <c r="M296" s="6" t="s">
        <v>51</v>
      </c>
      <c r="N296" s="6" t="s">
        <v>51</v>
      </c>
    </row>
    <row r="297">
      <c r="B297" s="6" t="s">
        <v>51</v>
      </c>
      <c r="C297" s="6" t="s">
        <v>51</v>
      </c>
      <c r="K297" s="6" t="s">
        <v>51</v>
      </c>
      <c r="L297" s="6" t="s">
        <v>51</v>
      </c>
      <c r="M297" s="6" t="s">
        <v>51</v>
      </c>
      <c r="N297" s="6" t="s">
        <v>51</v>
      </c>
    </row>
    <row r="298">
      <c r="B298" s="6" t="s">
        <v>51</v>
      </c>
      <c r="C298" s="6" t="s">
        <v>51</v>
      </c>
      <c r="K298" s="6" t="s">
        <v>51</v>
      </c>
      <c r="L298" s="6" t="s">
        <v>51</v>
      </c>
      <c r="M298" s="6" t="s">
        <v>51</v>
      </c>
      <c r="N298" s="6" t="s">
        <v>51</v>
      </c>
    </row>
    <row r="299">
      <c r="B299" s="6" t="s">
        <v>51</v>
      </c>
      <c r="C299" s="6" t="s">
        <v>51</v>
      </c>
      <c r="K299" s="6" t="s">
        <v>51</v>
      </c>
      <c r="L299" s="6" t="s">
        <v>51</v>
      </c>
      <c r="M299" s="6" t="s">
        <v>51</v>
      </c>
      <c r="N299" s="6" t="s">
        <v>51</v>
      </c>
    </row>
    <row r="300">
      <c r="B300" s="6" t="s">
        <v>51</v>
      </c>
      <c r="C300" s="6" t="s">
        <v>51</v>
      </c>
      <c r="K300" s="6" t="s">
        <v>51</v>
      </c>
      <c r="L300" s="6" t="s">
        <v>51</v>
      </c>
      <c r="M300" s="6" t="s">
        <v>51</v>
      </c>
      <c r="N300" s="6" t="s">
        <v>51</v>
      </c>
    </row>
    <row r="301">
      <c r="B301" s="6" t="s">
        <v>51</v>
      </c>
      <c r="C301" s="6" t="s">
        <v>51</v>
      </c>
      <c r="K301" s="6" t="s">
        <v>51</v>
      </c>
      <c r="L301" s="6" t="s">
        <v>51</v>
      </c>
      <c r="M301" s="6" t="s">
        <v>51</v>
      </c>
      <c r="N301" s="6" t="s">
        <v>51</v>
      </c>
    </row>
    <row r="302">
      <c r="B302" s="6" t="s">
        <v>51</v>
      </c>
      <c r="C302" s="6" t="s">
        <v>51</v>
      </c>
      <c r="K302" s="6" t="s">
        <v>51</v>
      </c>
      <c r="L302" s="6" t="s">
        <v>51</v>
      </c>
      <c r="M302" s="6" t="s">
        <v>51</v>
      </c>
      <c r="N302" s="6" t="s">
        <v>51</v>
      </c>
    </row>
    <row r="303">
      <c r="B303" s="6" t="s">
        <v>51</v>
      </c>
      <c r="C303" s="6" t="s">
        <v>51</v>
      </c>
      <c r="K303" s="6" t="s">
        <v>51</v>
      </c>
      <c r="L303" s="6" t="s">
        <v>51</v>
      </c>
      <c r="M303" s="6" t="s">
        <v>51</v>
      </c>
      <c r="N303" s="6" t="s">
        <v>51</v>
      </c>
    </row>
    <row r="304">
      <c r="B304" s="6" t="s">
        <v>51</v>
      </c>
      <c r="C304" s="6" t="s">
        <v>51</v>
      </c>
      <c r="K304" s="6" t="s">
        <v>51</v>
      </c>
      <c r="L304" s="6" t="s">
        <v>51</v>
      </c>
      <c r="M304" s="6" t="s">
        <v>51</v>
      </c>
      <c r="N304" s="6" t="s">
        <v>51</v>
      </c>
    </row>
    <row r="305">
      <c r="B305" s="6" t="s">
        <v>51</v>
      </c>
      <c r="C305" s="6" t="s">
        <v>51</v>
      </c>
      <c r="K305" s="6" t="s">
        <v>51</v>
      </c>
      <c r="L305" s="6" t="s">
        <v>51</v>
      </c>
      <c r="M305" s="6" t="s">
        <v>51</v>
      </c>
      <c r="N305" s="6" t="s">
        <v>51</v>
      </c>
    </row>
    <row r="306">
      <c r="B306" s="6" t="s">
        <v>51</v>
      </c>
      <c r="C306" s="6" t="s">
        <v>51</v>
      </c>
      <c r="K306" s="6" t="s">
        <v>51</v>
      </c>
      <c r="L306" s="6" t="s">
        <v>51</v>
      </c>
      <c r="M306" s="6" t="s">
        <v>51</v>
      </c>
      <c r="N306" s="6" t="s">
        <v>51</v>
      </c>
    </row>
    <row r="307">
      <c r="B307" s="6" t="s">
        <v>51</v>
      </c>
      <c r="C307" s="6" t="s">
        <v>51</v>
      </c>
      <c r="K307" s="6" t="s">
        <v>51</v>
      </c>
      <c r="L307" s="6" t="s">
        <v>51</v>
      </c>
      <c r="M307" s="6" t="s">
        <v>51</v>
      </c>
      <c r="N307" s="6" t="s">
        <v>51</v>
      </c>
    </row>
    <row r="308">
      <c r="B308" s="6" t="s">
        <v>51</v>
      </c>
      <c r="C308" s="6" t="s">
        <v>51</v>
      </c>
      <c r="K308" s="6" t="s">
        <v>51</v>
      </c>
      <c r="L308" s="6" t="s">
        <v>51</v>
      </c>
      <c r="M308" s="6" t="s">
        <v>51</v>
      </c>
      <c r="N308" s="6" t="s">
        <v>51</v>
      </c>
    </row>
    <row r="309">
      <c r="B309" s="6" t="s">
        <v>51</v>
      </c>
      <c r="C309" s="6" t="s">
        <v>51</v>
      </c>
      <c r="K309" s="6" t="s">
        <v>51</v>
      </c>
      <c r="L309" s="6" t="s">
        <v>51</v>
      </c>
      <c r="M309" s="6" t="s">
        <v>51</v>
      </c>
      <c r="N309" s="6" t="s">
        <v>51</v>
      </c>
    </row>
    <row r="310">
      <c r="B310" s="6" t="s">
        <v>51</v>
      </c>
      <c r="C310" s="6" t="s">
        <v>51</v>
      </c>
      <c r="K310" s="6" t="s">
        <v>51</v>
      </c>
      <c r="L310" s="6" t="s">
        <v>51</v>
      </c>
      <c r="M310" s="6" t="s">
        <v>51</v>
      </c>
      <c r="N310" s="6" t="s">
        <v>51</v>
      </c>
    </row>
    <row r="311">
      <c r="B311" s="6" t="s">
        <v>51</v>
      </c>
      <c r="C311" s="6" t="s">
        <v>51</v>
      </c>
      <c r="K311" s="6" t="s">
        <v>51</v>
      </c>
      <c r="L311" s="6" t="s">
        <v>51</v>
      </c>
      <c r="M311" s="6" t="s">
        <v>51</v>
      </c>
      <c r="N311" s="6" t="s">
        <v>51</v>
      </c>
    </row>
    <row r="312">
      <c r="B312" s="6" t="s">
        <v>51</v>
      </c>
      <c r="C312" s="6" t="s">
        <v>51</v>
      </c>
      <c r="K312" s="6" t="s">
        <v>51</v>
      </c>
      <c r="L312" s="6" t="s">
        <v>51</v>
      </c>
      <c r="M312" s="6" t="s">
        <v>51</v>
      </c>
      <c r="N312" s="6" t="s">
        <v>51</v>
      </c>
    </row>
    <row r="313">
      <c r="B313" s="6" t="s">
        <v>51</v>
      </c>
      <c r="C313" s="6" t="s">
        <v>51</v>
      </c>
      <c r="K313" s="6" t="s">
        <v>51</v>
      </c>
      <c r="L313" s="6" t="s">
        <v>51</v>
      </c>
      <c r="M313" s="6" t="s">
        <v>51</v>
      </c>
      <c r="N313" s="6" t="s">
        <v>51</v>
      </c>
    </row>
    <row r="314">
      <c r="B314" s="6" t="s">
        <v>51</v>
      </c>
      <c r="C314" s="6" t="s">
        <v>51</v>
      </c>
      <c r="K314" s="6" t="s">
        <v>51</v>
      </c>
      <c r="L314" s="6" t="s">
        <v>51</v>
      </c>
      <c r="M314" s="6" t="s">
        <v>51</v>
      </c>
      <c r="N314" s="6" t="s">
        <v>51</v>
      </c>
    </row>
    <row r="315">
      <c r="B315" s="6" t="s">
        <v>51</v>
      </c>
      <c r="C315" s="6" t="s">
        <v>51</v>
      </c>
      <c r="K315" s="6" t="s">
        <v>51</v>
      </c>
      <c r="L315" s="6" t="s">
        <v>51</v>
      </c>
      <c r="M315" s="6" t="s">
        <v>51</v>
      </c>
      <c r="N315" s="6" t="s">
        <v>51</v>
      </c>
    </row>
    <row r="316">
      <c r="B316" s="6" t="s">
        <v>51</v>
      </c>
      <c r="C316" s="6" t="s">
        <v>51</v>
      </c>
      <c r="K316" s="6" t="s">
        <v>51</v>
      </c>
      <c r="L316" s="6" t="s">
        <v>51</v>
      </c>
      <c r="M316" s="6" t="s">
        <v>51</v>
      </c>
      <c r="N316" s="6" t="s">
        <v>51</v>
      </c>
    </row>
    <row r="317">
      <c r="B317" s="6" t="s">
        <v>51</v>
      </c>
      <c r="C317" s="6" t="s">
        <v>51</v>
      </c>
      <c r="K317" s="6" t="s">
        <v>51</v>
      </c>
      <c r="L317" s="6" t="s">
        <v>51</v>
      </c>
      <c r="M317" s="6" t="s">
        <v>51</v>
      </c>
      <c r="N317" s="6" t="s">
        <v>51</v>
      </c>
    </row>
    <row r="318">
      <c r="B318" s="6" t="s">
        <v>51</v>
      </c>
      <c r="C318" s="6" t="s">
        <v>51</v>
      </c>
      <c r="K318" s="6" t="s">
        <v>51</v>
      </c>
      <c r="L318" s="6" t="s">
        <v>51</v>
      </c>
      <c r="M318" s="6" t="s">
        <v>51</v>
      </c>
      <c r="N318" s="6" t="s">
        <v>51</v>
      </c>
    </row>
    <row r="319">
      <c r="B319" s="6" t="s">
        <v>51</v>
      </c>
      <c r="C319" s="6" t="s">
        <v>51</v>
      </c>
      <c r="K319" s="6" t="s">
        <v>51</v>
      </c>
      <c r="L319" s="6" t="s">
        <v>51</v>
      </c>
      <c r="M319" s="6" t="s">
        <v>51</v>
      </c>
      <c r="N319" s="6" t="s">
        <v>51</v>
      </c>
    </row>
    <row r="320">
      <c r="B320" s="6" t="s">
        <v>51</v>
      </c>
      <c r="C320" s="6" t="s">
        <v>51</v>
      </c>
      <c r="K320" s="6" t="s">
        <v>51</v>
      </c>
      <c r="L320" s="6" t="s">
        <v>51</v>
      </c>
      <c r="M320" s="6" t="s">
        <v>51</v>
      </c>
      <c r="N320" s="6" t="s">
        <v>51</v>
      </c>
    </row>
    <row r="321">
      <c r="B321" s="6" t="s">
        <v>51</v>
      </c>
      <c r="C321" s="6" t="s">
        <v>51</v>
      </c>
      <c r="K321" s="6" t="s">
        <v>51</v>
      </c>
      <c r="L321" s="6" t="s">
        <v>51</v>
      </c>
      <c r="M321" s="6" t="s">
        <v>51</v>
      </c>
      <c r="N321" s="6" t="s">
        <v>51</v>
      </c>
    </row>
    <row r="322">
      <c r="B322" s="6" t="s">
        <v>51</v>
      </c>
      <c r="C322" s="6" t="s">
        <v>51</v>
      </c>
      <c r="K322" s="6" t="s">
        <v>51</v>
      </c>
      <c r="L322" s="6" t="s">
        <v>51</v>
      </c>
      <c r="M322" s="6" t="s">
        <v>51</v>
      </c>
      <c r="N322" s="6" t="s">
        <v>51</v>
      </c>
    </row>
    <row r="323">
      <c r="B323" s="6" t="s">
        <v>51</v>
      </c>
      <c r="C323" s="6" t="s">
        <v>51</v>
      </c>
      <c r="K323" s="6" t="s">
        <v>51</v>
      </c>
      <c r="L323" s="6" t="s">
        <v>51</v>
      </c>
      <c r="M323" s="6" t="s">
        <v>51</v>
      </c>
      <c r="N323" s="6" t="s">
        <v>51</v>
      </c>
    </row>
    <row r="324">
      <c r="B324" s="6" t="s">
        <v>51</v>
      </c>
      <c r="C324" s="6" t="s">
        <v>51</v>
      </c>
      <c r="K324" s="6" t="s">
        <v>51</v>
      </c>
      <c r="L324" s="6" t="s">
        <v>51</v>
      </c>
      <c r="M324" s="6" t="s">
        <v>51</v>
      </c>
      <c r="N324" s="6" t="s">
        <v>51</v>
      </c>
    </row>
    <row r="325">
      <c r="B325" s="6" t="s">
        <v>51</v>
      </c>
      <c r="C325" s="6" t="s">
        <v>51</v>
      </c>
      <c r="K325" s="6" t="s">
        <v>51</v>
      </c>
      <c r="L325" s="6" t="s">
        <v>51</v>
      </c>
      <c r="M325" s="6" t="s">
        <v>51</v>
      </c>
      <c r="N325" s="6" t="s">
        <v>51</v>
      </c>
    </row>
    <row r="326">
      <c r="B326" s="6" t="s">
        <v>51</v>
      </c>
      <c r="C326" s="6" t="s">
        <v>51</v>
      </c>
      <c r="K326" s="6" t="s">
        <v>51</v>
      </c>
      <c r="L326" s="6" t="s">
        <v>51</v>
      </c>
      <c r="M326" s="6" t="s">
        <v>51</v>
      </c>
      <c r="N326" s="6" t="s">
        <v>51</v>
      </c>
    </row>
    <row r="327">
      <c r="B327" s="6" t="s">
        <v>51</v>
      </c>
      <c r="C327" s="6" t="s">
        <v>51</v>
      </c>
      <c r="K327" s="6" t="s">
        <v>51</v>
      </c>
      <c r="L327" s="6" t="s">
        <v>51</v>
      </c>
      <c r="M327" s="6" t="s">
        <v>51</v>
      </c>
      <c r="N327" s="6" t="s">
        <v>51</v>
      </c>
    </row>
    <row r="328">
      <c r="B328" s="6" t="s">
        <v>51</v>
      </c>
      <c r="C328" s="6" t="s">
        <v>51</v>
      </c>
      <c r="K328" s="6" t="s">
        <v>51</v>
      </c>
      <c r="L328" s="6" t="s">
        <v>51</v>
      </c>
      <c r="M328" s="6" t="s">
        <v>51</v>
      </c>
      <c r="N328" s="6" t="s">
        <v>51</v>
      </c>
    </row>
    <row r="329">
      <c r="B329" s="6" t="s">
        <v>51</v>
      </c>
      <c r="C329" s="6" t="s">
        <v>51</v>
      </c>
      <c r="K329" s="6" t="s">
        <v>51</v>
      </c>
      <c r="L329" s="6" t="s">
        <v>51</v>
      </c>
      <c r="M329" s="6" t="s">
        <v>51</v>
      </c>
      <c r="N329" s="6" t="s">
        <v>51</v>
      </c>
    </row>
    <row r="330">
      <c r="B330" s="6" t="s">
        <v>51</v>
      </c>
      <c r="C330" s="6" t="s">
        <v>51</v>
      </c>
      <c r="K330" s="6" t="s">
        <v>51</v>
      </c>
      <c r="L330" s="6" t="s">
        <v>51</v>
      </c>
      <c r="M330" s="6" t="s">
        <v>51</v>
      </c>
      <c r="N330" s="6" t="s">
        <v>51</v>
      </c>
    </row>
    <row r="331">
      <c r="B331" s="6" t="s">
        <v>51</v>
      </c>
      <c r="C331" s="6" t="s">
        <v>51</v>
      </c>
      <c r="K331" s="6" t="s">
        <v>51</v>
      </c>
      <c r="L331" s="6" t="s">
        <v>51</v>
      </c>
      <c r="M331" s="6" t="s">
        <v>51</v>
      </c>
      <c r="N331" s="6" t="s">
        <v>51</v>
      </c>
    </row>
    <row r="332">
      <c r="B332" s="6" t="s">
        <v>51</v>
      </c>
      <c r="C332" s="6" t="s">
        <v>51</v>
      </c>
      <c r="K332" s="6" t="s">
        <v>51</v>
      </c>
      <c r="L332" s="6" t="s">
        <v>51</v>
      </c>
      <c r="M332" s="6" t="s">
        <v>51</v>
      </c>
      <c r="N332" s="6" t="s">
        <v>51</v>
      </c>
    </row>
    <row r="333">
      <c r="B333" s="6" t="s">
        <v>51</v>
      </c>
      <c r="C333" s="6" t="s">
        <v>51</v>
      </c>
      <c r="K333" s="6" t="s">
        <v>51</v>
      </c>
      <c r="L333" s="6" t="s">
        <v>51</v>
      </c>
      <c r="M333" s="6" t="s">
        <v>51</v>
      </c>
      <c r="N333" s="6" t="s">
        <v>51</v>
      </c>
    </row>
    <row r="334">
      <c r="B334" s="6" t="s">
        <v>51</v>
      </c>
      <c r="C334" s="6" t="s">
        <v>51</v>
      </c>
      <c r="K334" s="6" t="s">
        <v>51</v>
      </c>
      <c r="L334" s="6" t="s">
        <v>51</v>
      </c>
      <c r="M334" s="6" t="s">
        <v>51</v>
      </c>
      <c r="N334" s="6" t="s">
        <v>51</v>
      </c>
    </row>
    <row r="335">
      <c r="B335" s="6" t="s">
        <v>51</v>
      </c>
      <c r="C335" s="6" t="s">
        <v>51</v>
      </c>
      <c r="K335" s="6" t="s">
        <v>51</v>
      </c>
      <c r="L335" s="6" t="s">
        <v>51</v>
      </c>
      <c r="M335" s="6" t="s">
        <v>51</v>
      </c>
      <c r="N335" s="6" t="s">
        <v>51</v>
      </c>
    </row>
    <row r="336">
      <c r="B336" s="6" t="s">
        <v>51</v>
      </c>
      <c r="C336" s="6" t="s">
        <v>51</v>
      </c>
      <c r="K336" s="6" t="s">
        <v>51</v>
      </c>
      <c r="L336" s="6" t="s">
        <v>51</v>
      </c>
      <c r="M336" s="6" t="s">
        <v>51</v>
      </c>
      <c r="N336" s="6" t="s">
        <v>51</v>
      </c>
    </row>
    <row r="337">
      <c r="B337" s="6" t="s">
        <v>51</v>
      </c>
      <c r="C337" s="6" t="s">
        <v>51</v>
      </c>
      <c r="K337" s="6" t="s">
        <v>51</v>
      </c>
      <c r="L337" s="6" t="s">
        <v>51</v>
      </c>
      <c r="M337" s="6" t="s">
        <v>51</v>
      </c>
      <c r="N337" s="6" t="s">
        <v>51</v>
      </c>
    </row>
    <row r="338">
      <c r="B338" s="6" t="s">
        <v>51</v>
      </c>
      <c r="C338" s="6" t="s">
        <v>51</v>
      </c>
      <c r="K338" s="6" t="s">
        <v>51</v>
      </c>
      <c r="L338" s="6" t="s">
        <v>51</v>
      </c>
      <c r="M338" s="6" t="s">
        <v>51</v>
      </c>
      <c r="N338" s="6" t="s">
        <v>51</v>
      </c>
    </row>
    <row r="339">
      <c r="B339" s="6" t="s">
        <v>51</v>
      </c>
      <c r="C339" s="6" t="s">
        <v>51</v>
      </c>
      <c r="K339" s="6" t="s">
        <v>51</v>
      </c>
      <c r="L339" s="6" t="s">
        <v>51</v>
      </c>
      <c r="M339" s="6" t="s">
        <v>51</v>
      </c>
      <c r="N339" s="6" t="s">
        <v>51</v>
      </c>
    </row>
    <row r="340">
      <c r="B340" s="6" t="s">
        <v>51</v>
      </c>
      <c r="C340" s="6" t="s">
        <v>51</v>
      </c>
      <c r="K340" s="6" t="s">
        <v>51</v>
      </c>
      <c r="L340" s="6" t="s">
        <v>51</v>
      </c>
      <c r="M340" s="6" t="s">
        <v>51</v>
      </c>
      <c r="N340" s="6" t="s">
        <v>51</v>
      </c>
    </row>
    <row r="341">
      <c r="B341" s="6" t="s">
        <v>51</v>
      </c>
      <c r="C341" s="6" t="s">
        <v>51</v>
      </c>
      <c r="K341" s="6" t="s">
        <v>51</v>
      </c>
      <c r="L341" s="6" t="s">
        <v>51</v>
      </c>
      <c r="M341" s="6" t="s">
        <v>51</v>
      </c>
      <c r="N341" s="6" t="s">
        <v>51</v>
      </c>
    </row>
    <row r="342">
      <c r="B342" s="6" t="s">
        <v>51</v>
      </c>
      <c r="C342" s="6" t="s">
        <v>51</v>
      </c>
      <c r="K342" s="6" t="s">
        <v>51</v>
      </c>
      <c r="L342" s="6" t="s">
        <v>51</v>
      </c>
      <c r="M342" s="6" t="s">
        <v>51</v>
      </c>
      <c r="N342" s="6" t="s">
        <v>51</v>
      </c>
    </row>
    <row r="343">
      <c r="B343" s="6" t="s">
        <v>51</v>
      </c>
      <c r="C343" s="6" t="s">
        <v>51</v>
      </c>
      <c r="K343" s="6" t="s">
        <v>51</v>
      </c>
      <c r="L343" s="6" t="s">
        <v>51</v>
      </c>
      <c r="M343" s="6" t="s">
        <v>51</v>
      </c>
      <c r="N343" s="6" t="s">
        <v>51</v>
      </c>
    </row>
    <row r="344">
      <c r="B344" s="6" t="s">
        <v>51</v>
      </c>
      <c r="C344" s="6" t="s">
        <v>51</v>
      </c>
      <c r="K344" s="6" t="s">
        <v>51</v>
      </c>
      <c r="L344" s="6" t="s">
        <v>51</v>
      </c>
      <c r="M344" s="6" t="s">
        <v>51</v>
      </c>
      <c r="N344" s="6" t="s">
        <v>51</v>
      </c>
    </row>
    <row r="345">
      <c r="B345" s="6" t="s">
        <v>51</v>
      </c>
      <c r="C345" s="6" t="s">
        <v>51</v>
      </c>
      <c r="K345" s="6" t="s">
        <v>51</v>
      </c>
      <c r="L345" s="6" t="s">
        <v>51</v>
      </c>
      <c r="M345" s="6" t="s">
        <v>51</v>
      </c>
      <c r="N345" s="6" t="s">
        <v>51</v>
      </c>
    </row>
    <row r="346">
      <c r="B346" s="6" t="s">
        <v>51</v>
      </c>
      <c r="C346" s="6" t="s">
        <v>51</v>
      </c>
      <c r="K346" s="6" t="s">
        <v>51</v>
      </c>
      <c r="L346" s="6" t="s">
        <v>51</v>
      </c>
      <c r="M346" s="6" t="s">
        <v>51</v>
      </c>
      <c r="N346" s="6" t="s">
        <v>51</v>
      </c>
    </row>
    <row r="347">
      <c r="B347" s="6" t="s">
        <v>51</v>
      </c>
      <c r="C347" s="6" t="s">
        <v>51</v>
      </c>
      <c r="K347" s="6" t="s">
        <v>51</v>
      </c>
      <c r="L347" s="6" t="s">
        <v>51</v>
      </c>
      <c r="M347" s="6" t="s">
        <v>51</v>
      </c>
      <c r="N347" s="6" t="s">
        <v>51</v>
      </c>
    </row>
    <row r="348">
      <c r="B348" s="6" t="s">
        <v>51</v>
      </c>
      <c r="C348" s="6" t="s">
        <v>51</v>
      </c>
      <c r="K348" s="6" t="s">
        <v>51</v>
      </c>
      <c r="L348" s="6" t="s">
        <v>51</v>
      </c>
      <c r="M348" s="6" t="s">
        <v>51</v>
      </c>
      <c r="N348" s="6" t="s">
        <v>51</v>
      </c>
    </row>
    <row r="349">
      <c r="B349" s="6" t="s">
        <v>51</v>
      </c>
      <c r="C349" s="6" t="s">
        <v>51</v>
      </c>
      <c r="K349" s="6" t="s">
        <v>51</v>
      </c>
      <c r="L349" s="6" t="s">
        <v>51</v>
      </c>
      <c r="M349" s="6" t="s">
        <v>51</v>
      </c>
      <c r="N349" s="6" t="s">
        <v>51</v>
      </c>
    </row>
    <row r="350">
      <c r="B350" s="6" t="s">
        <v>51</v>
      </c>
      <c r="C350" s="6" t="s">
        <v>51</v>
      </c>
      <c r="K350" s="6" t="s">
        <v>51</v>
      </c>
      <c r="L350" s="6" t="s">
        <v>51</v>
      </c>
      <c r="M350" s="6" t="s">
        <v>51</v>
      </c>
      <c r="N350" s="6" t="s">
        <v>51</v>
      </c>
    </row>
    <row r="351">
      <c r="B351" s="6" t="s">
        <v>51</v>
      </c>
      <c r="C351" s="6" t="s">
        <v>51</v>
      </c>
      <c r="K351" s="6" t="s">
        <v>51</v>
      </c>
      <c r="L351" s="6" t="s">
        <v>51</v>
      </c>
      <c r="M351" s="6" t="s">
        <v>51</v>
      </c>
      <c r="N351" s="6" t="s">
        <v>51</v>
      </c>
    </row>
    <row r="352">
      <c r="B352" s="6" t="s">
        <v>51</v>
      </c>
      <c r="C352" s="6" t="s">
        <v>51</v>
      </c>
      <c r="K352" s="6" t="s">
        <v>51</v>
      </c>
      <c r="L352" s="6" t="s">
        <v>51</v>
      </c>
      <c r="M352" s="6" t="s">
        <v>51</v>
      </c>
      <c r="N352" s="6" t="s">
        <v>51</v>
      </c>
    </row>
    <row r="353">
      <c r="B353" s="6" t="s">
        <v>51</v>
      </c>
      <c r="C353" s="6" t="s">
        <v>51</v>
      </c>
      <c r="K353" s="6" t="s">
        <v>51</v>
      </c>
      <c r="L353" s="6" t="s">
        <v>51</v>
      </c>
      <c r="M353" s="6" t="s">
        <v>51</v>
      </c>
      <c r="N353" s="6" t="s">
        <v>51</v>
      </c>
    </row>
    <row r="354">
      <c r="B354" s="6" t="s">
        <v>51</v>
      </c>
      <c r="C354" s="6" t="s">
        <v>51</v>
      </c>
      <c r="K354" s="6" t="s">
        <v>51</v>
      </c>
      <c r="L354" s="6" t="s">
        <v>51</v>
      </c>
      <c r="M354" s="6" t="s">
        <v>51</v>
      </c>
      <c r="N354" s="6" t="s">
        <v>51</v>
      </c>
    </row>
    <row r="355">
      <c r="B355" s="6" t="s">
        <v>51</v>
      </c>
      <c r="C355" s="6" t="s">
        <v>51</v>
      </c>
      <c r="K355" s="6" t="s">
        <v>51</v>
      </c>
      <c r="L355" s="6" t="s">
        <v>51</v>
      </c>
      <c r="M355" s="6" t="s">
        <v>51</v>
      </c>
      <c r="N355" s="6" t="s">
        <v>51</v>
      </c>
    </row>
    <row r="356">
      <c r="B356" s="6" t="s">
        <v>51</v>
      </c>
      <c r="C356" s="6" t="s">
        <v>51</v>
      </c>
      <c r="K356" s="6" t="s">
        <v>51</v>
      </c>
      <c r="L356" s="6" t="s">
        <v>51</v>
      </c>
      <c r="M356" s="6" t="s">
        <v>51</v>
      </c>
      <c r="N356" s="6" t="s">
        <v>51</v>
      </c>
    </row>
    <row r="357">
      <c r="B357" s="6" t="s">
        <v>51</v>
      </c>
      <c r="C357" s="6" t="s">
        <v>51</v>
      </c>
      <c r="K357" s="6" t="s">
        <v>51</v>
      </c>
      <c r="L357" s="6" t="s">
        <v>51</v>
      </c>
      <c r="M357" s="6" t="s">
        <v>51</v>
      </c>
      <c r="N357" s="6" t="s">
        <v>51</v>
      </c>
    </row>
    <row r="358">
      <c r="B358" s="6" t="s">
        <v>51</v>
      </c>
      <c r="C358" s="6" t="s">
        <v>51</v>
      </c>
      <c r="K358" s="6" t="s">
        <v>51</v>
      </c>
      <c r="L358" s="6" t="s">
        <v>51</v>
      </c>
      <c r="M358" s="6" t="s">
        <v>51</v>
      </c>
      <c r="N358" s="6" t="s">
        <v>51</v>
      </c>
    </row>
    <row r="359">
      <c r="B359" s="6" t="s">
        <v>51</v>
      </c>
      <c r="C359" s="6" t="s">
        <v>51</v>
      </c>
      <c r="K359" s="6" t="s">
        <v>51</v>
      </c>
      <c r="L359" s="6" t="s">
        <v>51</v>
      </c>
      <c r="M359" s="6" t="s">
        <v>51</v>
      </c>
      <c r="N359" s="6" t="s">
        <v>51</v>
      </c>
    </row>
    <row r="360">
      <c r="B360" s="6" t="s">
        <v>51</v>
      </c>
      <c r="C360" s="6" t="s">
        <v>51</v>
      </c>
      <c r="K360" s="6" t="s">
        <v>51</v>
      </c>
      <c r="L360" s="6" t="s">
        <v>51</v>
      </c>
      <c r="M360" s="6" t="s">
        <v>51</v>
      </c>
      <c r="N360" s="6" t="s">
        <v>51</v>
      </c>
    </row>
    <row r="361">
      <c r="B361" s="6" t="s">
        <v>51</v>
      </c>
      <c r="C361" s="6" t="s">
        <v>51</v>
      </c>
      <c r="K361" s="6" t="s">
        <v>51</v>
      </c>
      <c r="L361" s="6" t="s">
        <v>51</v>
      </c>
      <c r="M361" s="6" t="s">
        <v>51</v>
      </c>
      <c r="N361" s="6" t="s">
        <v>51</v>
      </c>
    </row>
    <row r="362">
      <c r="B362" s="6" t="s">
        <v>51</v>
      </c>
      <c r="C362" s="6" t="s">
        <v>51</v>
      </c>
      <c r="K362" s="6" t="s">
        <v>51</v>
      </c>
      <c r="L362" s="6" t="s">
        <v>51</v>
      </c>
      <c r="M362" s="6" t="s">
        <v>51</v>
      </c>
      <c r="N362" s="6" t="s">
        <v>51</v>
      </c>
    </row>
    <row r="363">
      <c r="B363" s="6" t="s">
        <v>51</v>
      </c>
      <c r="C363" s="6" t="s">
        <v>51</v>
      </c>
      <c r="K363" s="6" t="s">
        <v>51</v>
      </c>
      <c r="L363" s="6" t="s">
        <v>51</v>
      </c>
      <c r="M363" s="6" t="s">
        <v>51</v>
      </c>
      <c r="N363" s="6" t="s">
        <v>51</v>
      </c>
    </row>
    <row r="364">
      <c r="B364" s="6" t="s">
        <v>51</v>
      </c>
      <c r="C364" s="6" t="s">
        <v>51</v>
      </c>
      <c r="K364" s="6" t="s">
        <v>51</v>
      </c>
      <c r="L364" s="6" t="s">
        <v>51</v>
      </c>
      <c r="M364" s="6" t="s">
        <v>51</v>
      </c>
      <c r="N364" s="6" t="s">
        <v>51</v>
      </c>
    </row>
    <row r="365">
      <c r="B365" s="6" t="s">
        <v>51</v>
      </c>
      <c r="C365" s="6" t="s">
        <v>51</v>
      </c>
      <c r="K365" s="6" t="s">
        <v>51</v>
      </c>
      <c r="L365" s="6" t="s">
        <v>51</v>
      </c>
      <c r="M365" s="6" t="s">
        <v>51</v>
      </c>
      <c r="N365" s="6" t="s">
        <v>51</v>
      </c>
    </row>
    <row r="366">
      <c r="B366" s="6" t="s">
        <v>51</v>
      </c>
      <c r="C366" s="6" t="s">
        <v>51</v>
      </c>
      <c r="K366" s="6" t="s">
        <v>51</v>
      </c>
      <c r="L366" s="6" t="s">
        <v>51</v>
      </c>
      <c r="M366" s="6" t="s">
        <v>51</v>
      </c>
      <c r="N366" s="6" t="s">
        <v>51</v>
      </c>
    </row>
    <row r="367">
      <c r="B367" s="6" t="s">
        <v>51</v>
      </c>
      <c r="C367" s="6" t="s">
        <v>51</v>
      </c>
      <c r="K367" s="6" t="s">
        <v>51</v>
      </c>
      <c r="L367" s="6" t="s">
        <v>51</v>
      </c>
      <c r="M367" s="6" t="s">
        <v>51</v>
      </c>
      <c r="N367" s="6" t="s">
        <v>51</v>
      </c>
    </row>
    <row r="368">
      <c r="B368" s="6" t="s">
        <v>51</v>
      </c>
      <c r="C368" s="6" t="s">
        <v>51</v>
      </c>
      <c r="K368" s="6" t="s">
        <v>51</v>
      </c>
      <c r="L368" s="6" t="s">
        <v>51</v>
      </c>
      <c r="M368" s="6" t="s">
        <v>51</v>
      </c>
      <c r="N368" s="6" t="s">
        <v>51</v>
      </c>
    </row>
    <row r="369">
      <c r="B369" s="6" t="s">
        <v>51</v>
      </c>
      <c r="C369" s="6" t="s">
        <v>51</v>
      </c>
      <c r="K369" s="6" t="s">
        <v>51</v>
      </c>
      <c r="L369" s="6" t="s">
        <v>51</v>
      </c>
      <c r="M369" s="6" t="s">
        <v>51</v>
      </c>
      <c r="N369" s="6" t="s">
        <v>51</v>
      </c>
    </row>
    <row r="370">
      <c r="B370" s="6" t="s">
        <v>51</v>
      </c>
      <c r="C370" s="6" t="s">
        <v>51</v>
      </c>
      <c r="K370" s="6" t="s">
        <v>51</v>
      </c>
      <c r="L370" s="6" t="s">
        <v>51</v>
      </c>
      <c r="M370" s="6" t="s">
        <v>51</v>
      </c>
      <c r="N370" s="6" t="s">
        <v>51</v>
      </c>
    </row>
    <row r="371">
      <c r="B371" s="6" t="s">
        <v>51</v>
      </c>
      <c r="C371" s="6" t="s">
        <v>51</v>
      </c>
      <c r="K371" s="6" t="s">
        <v>51</v>
      </c>
      <c r="L371" s="6" t="s">
        <v>51</v>
      </c>
      <c r="M371" s="6" t="s">
        <v>51</v>
      </c>
      <c r="N371" s="6" t="s">
        <v>51</v>
      </c>
    </row>
    <row r="372">
      <c r="B372" s="6" t="s">
        <v>51</v>
      </c>
      <c r="C372" s="6" t="s">
        <v>51</v>
      </c>
      <c r="K372" s="6" t="s">
        <v>51</v>
      </c>
      <c r="L372" s="6" t="s">
        <v>51</v>
      </c>
      <c r="M372" s="6" t="s">
        <v>51</v>
      </c>
      <c r="N372" s="6" t="s">
        <v>51</v>
      </c>
    </row>
    <row r="373">
      <c r="B373" s="6" t="s">
        <v>51</v>
      </c>
      <c r="C373" s="6" t="s">
        <v>51</v>
      </c>
      <c r="K373" s="6" t="s">
        <v>51</v>
      </c>
      <c r="L373" s="6" t="s">
        <v>51</v>
      </c>
      <c r="M373" s="6" t="s">
        <v>51</v>
      </c>
      <c r="N373" s="6" t="s">
        <v>51</v>
      </c>
    </row>
    <row r="374">
      <c r="B374" s="6" t="s">
        <v>51</v>
      </c>
      <c r="C374" s="6" t="s">
        <v>51</v>
      </c>
      <c r="K374" s="6" t="s">
        <v>51</v>
      </c>
      <c r="L374" s="6" t="s">
        <v>51</v>
      </c>
      <c r="M374" s="6" t="s">
        <v>51</v>
      </c>
      <c r="N374" s="6" t="s">
        <v>51</v>
      </c>
    </row>
    <row r="375">
      <c r="B375" s="6" t="s">
        <v>51</v>
      </c>
      <c r="C375" s="6" t="s">
        <v>51</v>
      </c>
      <c r="K375" s="6" t="s">
        <v>51</v>
      </c>
      <c r="L375" s="6" t="s">
        <v>51</v>
      </c>
      <c r="M375" s="6" t="s">
        <v>51</v>
      </c>
      <c r="N375" s="6" t="s">
        <v>51</v>
      </c>
    </row>
    <row r="376">
      <c r="B376" s="6" t="s">
        <v>51</v>
      </c>
      <c r="C376" s="6" t="s">
        <v>51</v>
      </c>
      <c r="K376" s="6" t="s">
        <v>51</v>
      </c>
      <c r="L376" s="6" t="s">
        <v>51</v>
      </c>
      <c r="M376" s="6" t="s">
        <v>51</v>
      </c>
      <c r="N376" s="6" t="s">
        <v>51</v>
      </c>
    </row>
    <row r="377">
      <c r="B377" s="6" t="s">
        <v>51</v>
      </c>
      <c r="C377" s="6" t="s">
        <v>51</v>
      </c>
      <c r="K377" s="6" t="s">
        <v>51</v>
      </c>
      <c r="L377" s="6" t="s">
        <v>51</v>
      </c>
      <c r="M377" s="6" t="s">
        <v>51</v>
      </c>
      <c r="N377" s="6" t="s">
        <v>51</v>
      </c>
    </row>
    <row r="378">
      <c r="B378" s="6" t="s">
        <v>51</v>
      </c>
      <c r="C378" s="6" t="s">
        <v>51</v>
      </c>
      <c r="K378" s="6" t="s">
        <v>51</v>
      </c>
      <c r="L378" s="6" t="s">
        <v>51</v>
      </c>
      <c r="M378" s="6" t="s">
        <v>51</v>
      </c>
      <c r="N378" s="6" t="s">
        <v>51</v>
      </c>
    </row>
    <row r="379">
      <c r="B379" s="6" t="s">
        <v>51</v>
      </c>
      <c r="C379" s="6" t="s">
        <v>51</v>
      </c>
      <c r="K379" s="6" t="s">
        <v>51</v>
      </c>
      <c r="L379" s="6" t="s">
        <v>51</v>
      </c>
      <c r="M379" s="6" t="s">
        <v>51</v>
      </c>
      <c r="N379" s="6" t="s">
        <v>51</v>
      </c>
    </row>
    <row r="380">
      <c r="B380" s="6" t="s">
        <v>51</v>
      </c>
      <c r="C380" s="6" t="s">
        <v>51</v>
      </c>
      <c r="K380" s="6" t="s">
        <v>51</v>
      </c>
      <c r="L380" s="6" t="s">
        <v>51</v>
      </c>
      <c r="M380" s="6" t="s">
        <v>51</v>
      </c>
      <c r="N380" s="6" t="s">
        <v>51</v>
      </c>
    </row>
    <row r="381">
      <c r="B381" s="6" t="s">
        <v>51</v>
      </c>
      <c r="C381" s="6" t="s">
        <v>51</v>
      </c>
      <c r="K381" s="6" t="s">
        <v>51</v>
      </c>
      <c r="L381" s="6" t="s">
        <v>51</v>
      </c>
      <c r="M381" s="6" t="s">
        <v>51</v>
      </c>
      <c r="N381" s="6" t="s">
        <v>51</v>
      </c>
    </row>
    <row r="382">
      <c r="B382" s="6" t="s">
        <v>51</v>
      </c>
      <c r="C382" s="6" t="s">
        <v>51</v>
      </c>
      <c r="K382" s="6" t="s">
        <v>51</v>
      </c>
      <c r="L382" s="6" t="s">
        <v>51</v>
      </c>
      <c r="M382" s="6" t="s">
        <v>51</v>
      </c>
      <c r="N382" s="6" t="s">
        <v>51</v>
      </c>
    </row>
    <row r="383">
      <c r="B383" s="6" t="s">
        <v>51</v>
      </c>
      <c r="C383" s="6" t="s">
        <v>51</v>
      </c>
      <c r="K383" s="6" t="s">
        <v>51</v>
      </c>
      <c r="L383" s="6" t="s">
        <v>51</v>
      </c>
      <c r="M383" s="6" t="s">
        <v>51</v>
      </c>
      <c r="N383" s="6" t="s">
        <v>51</v>
      </c>
    </row>
    <row r="384">
      <c r="B384" s="6" t="s">
        <v>51</v>
      </c>
      <c r="C384" s="6" t="s">
        <v>51</v>
      </c>
      <c r="K384" s="6" t="s">
        <v>51</v>
      </c>
      <c r="L384" s="6" t="s">
        <v>51</v>
      </c>
      <c r="M384" s="6" t="s">
        <v>51</v>
      </c>
      <c r="N384" s="6" t="s">
        <v>51</v>
      </c>
    </row>
    <row r="385">
      <c r="B385" s="6" t="s">
        <v>51</v>
      </c>
      <c r="C385" s="6" t="s">
        <v>51</v>
      </c>
      <c r="K385" s="6" t="s">
        <v>51</v>
      </c>
      <c r="L385" s="6" t="s">
        <v>51</v>
      </c>
      <c r="M385" s="6" t="s">
        <v>51</v>
      </c>
      <c r="N385" s="6" t="s">
        <v>51</v>
      </c>
    </row>
    <row r="386">
      <c r="B386" s="6" t="s">
        <v>51</v>
      </c>
      <c r="C386" s="6" t="s">
        <v>51</v>
      </c>
      <c r="K386" s="6" t="s">
        <v>51</v>
      </c>
      <c r="L386" s="6" t="s">
        <v>51</v>
      </c>
      <c r="M386" s="6" t="s">
        <v>51</v>
      </c>
      <c r="N386" s="6" t="s">
        <v>51</v>
      </c>
    </row>
    <row r="387">
      <c r="B387" s="6" t="s">
        <v>51</v>
      </c>
      <c r="C387" s="6" t="s">
        <v>51</v>
      </c>
      <c r="K387" s="6" t="s">
        <v>51</v>
      </c>
      <c r="L387" s="6" t="s">
        <v>51</v>
      </c>
      <c r="M387" s="6" t="s">
        <v>51</v>
      </c>
      <c r="N387" s="6" t="s">
        <v>51</v>
      </c>
    </row>
    <row r="388">
      <c r="B388" s="6" t="s">
        <v>51</v>
      </c>
      <c r="C388" s="6" t="s">
        <v>51</v>
      </c>
      <c r="K388" s="6" t="s">
        <v>51</v>
      </c>
      <c r="L388" s="6" t="s">
        <v>51</v>
      </c>
      <c r="M388" s="6" t="s">
        <v>51</v>
      </c>
      <c r="N388" s="6" t="s">
        <v>51</v>
      </c>
    </row>
    <row r="389">
      <c r="B389" s="6" t="s">
        <v>51</v>
      </c>
      <c r="C389" s="6" t="s">
        <v>51</v>
      </c>
      <c r="K389" s="6" t="s">
        <v>51</v>
      </c>
      <c r="L389" s="6" t="s">
        <v>51</v>
      </c>
      <c r="M389" s="6" t="s">
        <v>51</v>
      </c>
      <c r="N389" s="6" t="s">
        <v>51</v>
      </c>
    </row>
    <row r="390">
      <c r="B390" s="6" t="s">
        <v>51</v>
      </c>
      <c r="C390" s="6" t="s">
        <v>51</v>
      </c>
      <c r="K390" s="6" t="s">
        <v>51</v>
      </c>
      <c r="L390" s="6" t="s">
        <v>51</v>
      </c>
      <c r="M390" s="6" t="s">
        <v>51</v>
      </c>
      <c r="N390" s="6" t="s">
        <v>51</v>
      </c>
    </row>
    <row r="391">
      <c r="B391" s="6" t="s">
        <v>51</v>
      </c>
      <c r="C391" s="6" t="s">
        <v>51</v>
      </c>
      <c r="K391" s="6" t="s">
        <v>51</v>
      </c>
      <c r="L391" s="6" t="s">
        <v>51</v>
      </c>
      <c r="M391" s="6" t="s">
        <v>51</v>
      </c>
      <c r="N391" s="6" t="s">
        <v>51</v>
      </c>
    </row>
    <row r="392">
      <c r="B392" s="6" t="s">
        <v>51</v>
      </c>
      <c r="C392" s="6" t="s">
        <v>51</v>
      </c>
      <c r="K392" s="6" t="s">
        <v>51</v>
      </c>
      <c r="L392" s="6" t="s">
        <v>51</v>
      </c>
      <c r="M392" s="6" t="s">
        <v>51</v>
      </c>
      <c r="N392" s="6" t="s">
        <v>51</v>
      </c>
    </row>
    <row r="393">
      <c r="B393" s="6" t="s">
        <v>51</v>
      </c>
      <c r="C393" s="6" t="s">
        <v>51</v>
      </c>
      <c r="K393" s="6" t="s">
        <v>51</v>
      </c>
      <c r="L393" s="6" t="s">
        <v>51</v>
      </c>
      <c r="M393" s="6" t="s">
        <v>51</v>
      </c>
      <c r="N393" s="6" t="s">
        <v>51</v>
      </c>
    </row>
    <row r="394">
      <c r="B394" s="6" t="s">
        <v>51</v>
      </c>
      <c r="C394" s="6" t="s">
        <v>51</v>
      </c>
      <c r="K394" s="6" t="s">
        <v>51</v>
      </c>
      <c r="L394" s="6" t="s">
        <v>51</v>
      </c>
      <c r="M394" s="6" t="s">
        <v>51</v>
      </c>
      <c r="N394" s="6" t="s">
        <v>51</v>
      </c>
    </row>
    <row r="395">
      <c r="B395" s="6" t="s">
        <v>51</v>
      </c>
      <c r="C395" s="6" t="s">
        <v>51</v>
      </c>
      <c r="K395" s="6" t="s">
        <v>51</v>
      </c>
      <c r="L395" s="6" t="s">
        <v>51</v>
      </c>
      <c r="M395" s="6" t="s">
        <v>51</v>
      </c>
      <c r="N395" s="6" t="s">
        <v>51</v>
      </c>
    </row>
    <row r="396">
      <c r="B396" s="6" t="s">
        <v>51</v>
      </c>
      <c r="C396" s="6" t="s">
        <v>51</v>
      </c>
      <c r="K396" s="6" t="s">
        <v>51</v>
      </c>
      <c r="L396" s="6" t="s">
        <v>51</v>
      </c>
      <c r="M396" s="6" t="s">
        <v>51</v>
      </c>
      <c r="N396" s="6" t="s">
        <v>51</v>
      </c>
    </row>
    <row r="397">
      <c r="B397" s="6" t="s">
        <v>51</v>
      </c>
      <c r="C397" s="6" t="s">
        <v>51</v>
      </c>
      <c r="K397" s="6" t="s">
        <v>51</v>
      </c>
      <c r="L397" s="6" t="s">
        <v>51</v>
      </c>
      <c r="M397" s="6" t="s">
        <v>51</v>
      </c>
      <c r="N397" s="6" t="s">
        <v>51</v>
      </c>
    </row>
    <row r="398">
      <c r="B398" s="6" t="s">
        <v>51</v>
      </c>
      <c r="C398" s="6" t="s">
        <v>51</v>
      </c>
      <c r="K398" s="6" t="s">
        <v>51</v>
      </c>
      <c r="L398" s="6" t="s">
        <v>51</v>
      </c>
      <c r="M398" s="6" t="s">
        <v>51</v>
      </c>
      <c r="N398" s="6" t="s">
        <v>51</v>
      </c>
    </row>
    <row r="399">
      <c r="B399" s="6" t="s">
        <v>51</v>
      </c>
      <c r="C399" s="6" t="s">
        <v>51</v>
      </c>
      <c r="K399" s="6" t="s">
        <v>51</v>
      </c>
      <c r="L399" s="6" t="s">
        <v>51</v>
      </c>
      <c r="M399" s="6" t="s">
        <v>51</v>
      </c>
      <c r="N399" s="6" t="s">
        <v>51</v>
      </c>
    </row>
    <row r="400">
      <c r="B400" s="6" t="s">
        <v>51</v>
      </c>
      <c r="C400" s="6" t="s">
        <v>51</v>
      </c>
      <c r="K400" s="6" t="s">
        <v>51</v>
      </c>
      <c r="L400" s="6" t="s">
        <v>51</v>
      </c>
      <c r="M400" s="6" t="s">
        <v>51</v>
      </c>
      <c r="N400" s="6" t="s">
        <v>51</v>
      </c>
    </row>
    <row r="401">
      <c r="B401" s="6" t="s">
        <v>51</v>
      </c>
      <c r="C401" s="6" t="s">
        <v>51</v>
      </c>
      <c r="K401" s="6" t="s">
        <v>51</v>
      </c>
      <c r="L401" s="6" t="s">
        <v>51</v>
      </c>
      <c r="M401" s="6" t="s">
        <v>51</v>
      </c>
      <c r="N401" s="6" t="s">
        <v>51</v>
      </c>
    </row>
    <row r="402">
      <c r="B402" s="6" t="s">
        <v>51</v>
      </c>
      <c r="C402" s="6" t="s">
        <v>51</v>
      </c>
      <c r="K402" s="6" t="s">
        <v>51</v>
      </c>
      <c r="L402" s="6" t="s">
        <v>51</v>
      </c>
      <c r="M402" s="6" t="s">
        <v>51</v>
      </c>
      <c r="N402" s="6" t="s">
        <v>51</v>
      </c>
    </row>
    <row r="403">
      <c r="B403" s="6" t="s">
        <v>51</v>
      </c>
      <c r="C403" s="6" t="s">
        <v>51</v>
      </c>
      <c r="K403" s="6" t="s">
        <v>51</v>
      </c>
      <c r="L403" s="6" t="s">
        <v>51</v>
      </c>
      <c r="M403" s="6" t="s">
        <v>51</v>
      </c>
      <c r="N403" s="6" t="s">
        <v>51</v>
      </c>
    </row>
    <row r="404">
      <c r="B404" s="6" t="s">
        <v>51</v>
      </c>
      <c r="C404" s="6" t="s">
        <v>51</v>
      </c>
      <c r="K404" s="6" t="s">
        <v>51</v>
      </c>
      <c r="L404" s="6" t="s">
        <v>51</v>
      </c>
      <c r="M404" s="6" t="s">
        <v>51</v>
      </c>
      <c r="N404" s="6" t="s">
        <v>51</v>
      </c>
    </row>
    <row r="405">
      <c r="B405" s="6" t="s">
        <v>51</v>
      </c>
      <c r="C405" s="6" t="s">
        <v>51</v>
      </c>
      <c r="K405" s="6" t="s">
        <v>51</v>
      </c>
      <c r="L405" s="6" t="s">
        <v>51</v>
      </c>
      <c r="M405" s="6" t="s">
        <v>51</v>
      </c>
      <c r="N405" s="6" t="s">
        <v>51</v>
      </c>
    </row>
    <row r="406">
      <c r="B406" s="6" t="s">
        <v>51</v>
      </c>
      <c r="C406" s="6" t="s">
        <v>51</v>
      </c>
      <c r="K406" s="6" t="s">
        <v>51</v>
      </c>
      <c r="L406" s="6" t="s">
        <v>51</v>
      </c>
      <c r="M406" s="6" t="s">
        <v>51</v>
      </c>
      <c r="N406" s="6" t="s">
        <v>51</v>
      </c>
    </row>
    <row r="407">
      <c r="B407" s="6" t="s">
        <v>51</v>
      </c>
      <c r="C407" s="6" t="s">
        <v>51</v>
      </c>
      <c r="K407" s="6" t="s">
        <v>51</v>
      </c>
      <c r="L407" s="6" t="s">
        <v>51</v>
      </c>
      <c r="M407" s="6" t="s">
        <v>51</v>
      </c>
      <c r="N407" s="6" t="s">
        <v>51</v>
      </c>
    </row>
    <row r="408">
      <c r="B408" s="6" t="s">
        <v>51</v>
      </c>
      <c r="C408" s="6" t="s">
        <v>51</v>
      </c>
      <c r="K408" s="6" t="s">
        <v>51</v>
      </c>
      <c r="L408" s="6" t="s">
        <v>51</v>
      </c>
      <c r="M408" s="6" t="s">
        <v>51</v>
      </c>
      <c r="N408" s="6" t="s">
        <v>51</v>
      </c>
    </row>
    <row r="409">
      <c r="B409" s="6" t="s">
        <v>51</v>
      </c>
      <c r="C409" s="6" t="s">
        <v>51</v>
      </c>
      <c r="K409" s="6" t="s">
        <v>51</v>
      </c>
      <c r="L409" s="6" t="s">
        <v>51</v>
      </c>
      <c r="M409" s="6" t="s">
        <v>51</v>
      </c>
      <c r="N409" s="6" t="s">
        <v>51</v>
      </c>
    </row>
    <row r="410">
      <c r="B410" s="6" t="s">
        <v>51</v>
      </c>
      <c r="C410" s="6" t="s">
        <v>51</v>
      </c>
      <c r="K410" s="6" t="s">
        <v>51</v>
      </c>
      <c r="L410" s="6" t="s">
        <v>51</v>
      </c>
      <c r="M410" s="6" t="s">
        <v>51</v>
      </c>
      <c r="N410" s="6" t="s">
        <v>51</v>
      </c>
    </row>
    <row r="411">
      <c r="B411" s="6" t="s">
        <v>51</v>
      </c>
      <c r="C411" s="6" t="s">
        <v>51</v>
      </c>
      <c r="K411" s="6" t="s">
        <v>51</v>
      </c>
      <c r="L411" s="6" t="s">
        <v>51</v>
      </c>
      <c r="M411" s="6" t="s">
        <v>51</v>
      </c>
      <c r="N411" s="6" t="s">
        <v>51</v>
      </c>
    </row>
    <row r="412">
      <c r="B412" s="6" t="s">
        <v>51</v>
      </c>
      <c r="C412" s="6" t="s">
        <v>51</v>
      </c>
      <c r="K412" s="6" t="s">
        <v>51</v>
      </c>
      <c r="L412" s="6" t="s">
        <v>51</v>
      </c>
      <c r="M412" s="6" t="s">
        <v>51</v>
      </c>
      <c r="N412" s="6" t="s">
        <v>51</v>
      </c>
    </row>
    <row r="413">
      <c r="B413" s="6" t="s">
        <v>51</v>
      </c>
      <c r="C413" s="6" t="s">
        <v>51</v>
      </c>
      <c r="K413" s="6" t="s">
        <v>51</v>
      </c>
      <c r="L413" s="6" t="s">
        <v>51</v>
      </c>
      <c r="M413" s="6" t="s">
        <v>51</v>
      </c>
      <c r="N413" s="6" t="s">
        <v>51</v>
      </c>
    </row>
    <row r="414">
      <c r="B414" s="6" t="s">
        <v>51</v>
      </c>
      <c r="C414" s="6" t="s">
        <v>51</v>
      </c>
      <c r="K414" s="6" t="s">
        <v>51</v>
      </c>
      <c r="L414" s="6" t="s">
        <v>51</v>
      </c>
      <c r="M414" s="6" t="s">
        <v>51</v>
      </c>
      <c r="N414" s="6" t="s">
        <v>51</v>
      </c>
    </row>
    <row r="415">
      <c r="B415" s="6" t="s">
        <v>51</v>
      </c>
      <c r="C415" s="6" t="s">
        <v>51</v>
      </c>
      <c r="K415" s="6" t="s">
        <v>51</v>
      </c>
      <c r="L415" s="6" t="s">
        <v>51</v>
      </c>
      <c r="M415" s="6" t="s">
        <v>51</v>
      </c>
      <c r="N415" s="6" t="s">
        <v>51</v>
      </c>
    </row>
    <row r="416">
      <c r="B416" s="6" t="s">
        <v>51</v>
      </c>
      <c r="C416" s="6" t="s">
        <v>51</v>
      </c>
      <c r="K416" s="6" t="s">
        <v>51</v>
      </c>
      <c r="L416" s="6" t="s">
        <v>51</v>
      </c>
      <c r="M416" s="6" t="s">
        <v>51</v>
      </c>
      <c r="N416" s="6" t="s">
        <v>51</v>
      </c>
    </row>
    <row r="417">
      <c r="B417" s="6" t="s">
        <v>51</v>
      </c>
      <c r="C417" s="6" t="s">
        <v>51</v>
      </c>
      <c r="K417" s="6" t="s">
        <v>51</v>
      </c>
      <c r="L417" s="6" t="s">
        <v>51</v>
      </c>
      <c r="M417" s="6" t="s">
        <v>51</v>
      </c>
      <c r="N417" s="6" t="s">
        <v>51</v>
      </c>
    </row>
    <row r="418">
      <c r="B418" s="6" t="s">
        <v>51</v>
      </c>
      <c r="C418" s="6" t="s">
        <v>51</v>
      </c>
      <c r="K418" s="6" t="s">
        <v>51</v>
      </c>
      <c r="L418" s="6" t="s">
        <v>51</v>
      </c>
      <c r="M418" s="6" t="s">
        <v>51</v>
      </c>
      <c r="N418" s="6" t="s">
        <v>51</v>
      </c>
    </row>
    <row r="419">
      <c r="B419" s="6" t="s">
        <v>51</v>
      </c>
      <c r="C419" s="6" t="s">
        <v>51</v>
      </c>
      <c r="K419" s="6" t="s">
        <v>51</v>
      </c>
      <c r="L419" s="6" t="s">
        <v>51</v>
      </c>
      <c r="M419" s="6" t="s">
        <v>51</v>
      </c>
      <c r="N419" s="6" t="s">
        <v>51</v>
      </c>
    </row>
    <row r="420">
      <c r="B420" s="6" t="s">
        <v>51</v>
      </c>
      <c r="C420" s="6" t="s">
        <v>51</v>
      </c>
      <c r="K420" s="6" t="s">
        <v>51</v>
      </c>
      <c r="L420" s="6" t="s">
        <v>51</v>
      </c>
      <c r="M420" s="6" t="s">
        <v>51</v>
      </c>
      <c r="N420" s="6" t="s">
        <v>51</v>
      </c>
    </row>
    <row r="421">
      <c r="B421" s="6" t="s">
        <v>51</v>
      </c>
      <c r="C421" s="6" t="s">
        <v>51</v>
      </c>
      <c r="K421" s="6" t="s">
        <v>51</v>
      </c>
      <c r="L421" s="6" t="s">
        <v>51</v>
      </c>
      <c r="M421" s="6" t="s">
        <v>51</v>
      </c>
      <c r="N421" s="6" t="s">
        <v>51</v>
      </c>
    </row>
    <row r="422">
      <c r="B422" s="6" t="s">
        <v>51</v>
      </c>
      <c r="C422" s="6" t="s">
        <v>51</v>
      </c>
      <c r="K422" s="6" t="s">
        <v>51</v>
      </c>
      <c r="L422" s="6" t="s">
        <v>51</v>
      </c>
      <c r="M422" s="6" t="s">
        <v>51</v>
      </c>
      <c r="N422" s="6" t="s">
        <v>51</v>
      </c>
    </row>
    <row r="423">
      <c r="B423" s="6" t="s">
        <v>51</v>
      </c>
      <c r="C423" s="6" t="s">
        <v>51</v>
      </c>
      <c r="K423" s="6" t="s">
        <v>51</v>
      </c>
      <c r="L423" s="6" t="s">
        <v>51</v>
      </c>
      <c r="M423" s="6" t="s">
        <v>51</v>
      </c>
      <c r="N423" s="6" t="s">
        <v>51</v>
      </c>
    </row>
    <row r="424">
      <c r="B424" s="6" t="s">
        <v>51</v>
      </c>
      <c r="C424" s="6" t="s">
        <v>51</v>
      </c>
      <c r="K424" s="6" t="s">
        <v>51</v>
      </c>
      <c r="L424" s="6" t="s">
        <v>51</v>
      </c>
      <c r="M424" s="6" t="s">
        <v>51</v>
      </c>
      <c r="N424" s="6" t="s">
        <v>51</v>
      </c>
    </row>
    <row r="425">
      <c r="B425" s="6" t="s">
        <v>51</v>
      </c>
      <c r="C425" s="6" t="s">
        <v>51</v>
      </c>
      <c r="K425" s="6" t="s">
        <v>51</v>
      </c>
      <c r="L425" s="6" t="s">
        <v>51</v>
      </c>
      <c r="M425" s="6" t="s">
        <v>51</v>
      </c>
      <c r="N425" s="6" t="s">
        <v>51</v>
      </c>
    </row>
    <row r="426">
      <c r="B426" s="6" t="s">
        <v>51</v>
      </c>
      <c r="C426" s="6" t="s">
        <v>51</v>
      </c>
      <c r="K426" s="6" t="s">
        <v>51</v>
      </c>
      <c r="L426" s="6" t="s">
        <v>51</v>
      </c>
      <c r="M426" s="6" t="s">
        <v>51</v>
      </c>
      <c r="N426" s="6" t="s">
        <v>51</v>
      </c>
    </row>
    <row r="427">
      <c r="B427" s="6" t="s">
        <v>51</v>
      </c>
      <c r="C427" s="6" t="s">
        <v>51</v>
      </c>
      <c r="K427" s="6" t="s">
        <v>51</v>
      </c>
      <c r="L427" s="6" t="s">
        <v>51</v>
      </c>
      <c r="M427" s="6" t="s">
        <v>51</v>
      </c>
      <c r="N427" s="6" t="s">
        <v>51</v>
      </c>
    </row>
    <row r="428">
      <c r="B428" s="6" t="s">
        <v>51</v>
      </c>
      <c r="C428" s="6" t="s">
        <v>51</v>
      </c>
      <c r="K428" s="6" t="s">
        <v>51</v>
      </c>
      <c r="L428" s="6" t="s">
        <v>51</v>
      </c>
      <c r="M428" s="6" t="s">
        <v>51</v>
      </c>
      <c r="N428" s="6" t="s">
        <v>51</v>
      </c>
    </row>
    <row r="429">
      <c r="B429" s="6" t="s">
        <v>51</v>
      </c>
      <c r="C429" s="6" t="s">
        <v>51</v>
      </c>
      <c r="K429" s="6" t="s">
        <v>51</v>
      </c>
      <c r="L429" s="6" t="s">
        <v>51</v>
      </c>
      <c r="M429" s="6" t="s">
        <v>51</v>
      </c>
      <c r="N429" s="6" t="s">
        <v>51</v>
      </c>
    </row>
    <row r="430">
      <c r="B430" s="6" t="s">
        <v>51</v>
      </c>
      <c r="C430" s="6" t="s">
        <v>51</v>
      </c>
      <c r="K430" s="6" t="s">
        <v>51</v>
      </c>
      <c r="L430" s="6" t="s">
        <v>51</v>
      </c>
      <c r="M430" s="6" t="s">
        <v>51</v>
      </c>
      <c r="N430" s="6" t="s">
        <v>51</v>
      </c>
    </row>
    <row r="431">
      <c r="B431" s="6" t="s">
        <v>51</v>
      </c>
      <c r="C431" s="6" t="s">
        <v>51</v>
      </c>
      <c r="K431" s="6" t="s">
        <v>51</v>
      </c>
      <c r="L431" s="6" t="s">
        <v>51</v>
      </c>
      <c r="M431" s="6" t="s">
        <v>51</v>
      </c>
      <c r="N431" s="6" t="s">
        <v>51</v>
      </c>
    </row>
    <row r="432">
      <c r="B432" s="6" t="s">
        <v>51</v>
      </c>
      <c r="C432" s="6" t="s">
        <v>51</v>
      </c>
      <c r="K432" s="6" t="s">
        <v>51</v>
      </c>
      <c r="L432" s="6" t="s">
        <v>51</v>
      </c>
      <c r="M432" s="6" t="s">
        <v>51</v>
      </c>
      <c r="N432" s="6" t="s">
        <v>51</v>
      </c>
    </row>
    <row r="433">
      <c r="B433" s="6" t="s">
        <v>51</v>
      </c>
      <c r="C433" s="6" t="s">
        <v>51</v>
      </c>
      <c r="K433" s="6" t="s">
        <v>51</v>
      </c>
      <c r="L433" s="6" t="s">
        <v>51</v>
      </c>
      <c r="M433" s="6" t="s">
        <v>51</v>
      </c>
      <c r="N433" s="6" t="s">
        <v>51</v>
      </c>
    </row>
    <row r="434">
      <c r="B434" s="6" t="s">
        <v>51</v>
      </c>
      <c r="C434" s="6" t="s">
        <v>51</v>
      </c>
      <c r="K434" s="6" t="s">
        <v>51</v>
      </c>
      <c r="L434" s="6" t="s">
        <v>51</v>
      </c>
      <c r="M434" s="6" t="s">
        <v>51</v>
      </c>
      <c r="N434" s="6" t="s">
        <v>51</v>
      </c>
    </row>
    <row r="435">
      <c r="B435" s="6" t="s">
        <v>51</v>
      </c>
      <c r="C435" s="6" t="s">
        <v>51</v>
      </c>
      <c r="K435" s="6" t="s">
        <v>51</v>
      </c>
      <c r="L435" s="6" t="s">
        <v>51</v>
      </c>
      <c r="M435" s="6" t="s">
        <v>51</v>
      </c>
      <c r="N435" s="6" t="s">
        <v>51</v>
      </c>
    </row>
    <row r="436">
      <c r="B436" s="6" t="s">
        <v>51</v>
      </c>
      <c r="C436" s="6" t="s">
        <v>51</v>
      </c>
      <c r="K436" s="6" t="s">
        <v>51</v>
      </c>
      <c r="L436" s="6" t="s">
        <v>51</v>
      </c>
      <c r="M436" s="6" t="s">
        <v>51</v>
      </c>
      <c r="N436" s="6" t="s">
        <v>51</v>
      </c>
    </row>
    <row r="437">
      <c r="B437" s="6" t="s">
        <v>51</v>
      </c>
      <c r="C437" s="6" t="s">
        <v>51</v>
      </c>
      <c r="K437" s="6" t="s">
        <v>51</v>
      </c>
      <c r="L437" s="6" t="s">
        <v>51</v>
      </c>
      <c r="M437" s="6" t="s">
        <v>51</v>
      </c>
      <c r="N437" s="6" t="s">
        <v>51</v>
      </c>
    </row>
    <row r="438">
      <c r="B438" s="6" t="s">
        <v>51</v>
      </c>
      <c r="C438" s="6" t="s">
        <v>51</v>
      </c>
      <c r="K438" s="6" t="s">
        <v>51</v>
      </c>
      <c r="L438" s="6" t="s">
        <v>51</v>
      </c>
      <c r="M438" s="6" t="s">
        <v>51</v>
      </c>
      <c r="N438" s="6" t="s">
        <v>51</v>
      </c>
    </row>
    <row r="439">
      <c r="B439" s="6" t="s">
        <v>51</v>
      </c>
      <c r="C439" s="6" t="s">
        <v>51</v>
      </c>
      <c r="K439" s="6" t="s">
        <v>51</v>
      </c>
      <c r="L439" s="6" t="s">
        <v>51</v>
      </c>
      <c r="M439" s="6" t="s">
        <v>51</v>
      </c>
      <c r="N439" s="6" t="s">
        <v>51</v>
      </c>
    </row>
    <row r="440">
      <c r="B440" s="6" t="s">
        <v>51</v>
      </c>
      <c r="C440" s="6" t="s">
        <v>51</v>
      </c>
      <c r="K440" s="6" t="s">
        <v>51</v>
      </c>
      <c r="L440" s="6" t="s">
        <v>51</v>
      </c>
      <c r="M440" s="6" t="s">
        <v>51</v>
      </c>
      <c r="N440" s="6" t="s">
        <v>51</v>
      </c>
    </row>
    <row r="441">
      <c r="B441" s="6" t="s">
        <v>51</v>
      </c>
      <c r="C441" s="6" t="s">
        <v>51</v>
      </c>
      <c r="K441" s="6" t="s">
        <v>51</v>
      </c>
      <c r="L441" s="6" t="s">
        <v>51</v>
      </c>
      <c r="M441" s="6" t="s">
        <v>51</v>
      </c>
      <c r="N441" s="6" t="s">
        <v>51</v>
      </c>
    </row>
    <row r="442">
      <c r="B442" s="6" t="s">
        <v>51</v>
      </c>
      <c r="C442" s="6" t="s">
        <v>51</v>
      </c>
      <c r="K442" s="6" t="s">
        <v>51</v>
      </c>
      <c r="L442" s="6" t="s">
        <v>51</v>
      </c>
      <c r="M442" s="6" t="s">
        <v>51</v>
      </c>
      <c r="N442" s="6" t="s">
        <v>51</v>
      </c>
    </row>
    <row r="443">
      <c r="B443" s="6" t="s">
        <v>51</v>
      </c>
      <c r="C443" s="6" t="s">
        <v>51</v>
      </c>
      <c r="K443" s="6" t="s">
        <v>51</v>
      </c>
      <c r="L443" s="6" t="s">
        <v>51</v>
      </c>
      <c r="M443" s="6" t="s">
        <v>51</v>
      </c>
      <c r="N443" s="6" t="s">
        <v>51</v>
      </c>
    </row>
    <row r="444">
      <c r="B444" s="6" t="s">
        <v>51</v>
      </c>
      <c r="C444" s="6" t="s">
        <v>51</v>
      </c>
      <c r="K444" s="6" t="s">
        <v>51</v>
      </c>
      <c r="L444" s="6" t="s">
        <v>51</v>
      </c>
      <c r="M444" s="6" t="s">
        <v>51</v>
      </c>
      <c r="N444" s="6" t="s">
        <v>51</v>
      </c>
    </row>
    <row r="445">
      <c r="B445" s="6" t="s">
        <v>51</v>
      </c>
      <c r="C445" s="6" t="s">
        <v>51</v>
      </c>
      <c r="K445" s="6" t="s">
        <v>51</v>
      </c>
      <c r="L445" s="6" t="s">
        <v>51</v>
      </c>
      <c r="M445" s="6" t="s">
        <v>51</v>
      </c>
      <c r="N445" s="6" t="s">
        <v>51</v>
      </c>
    </row>
    <row r="446">
      <c r="B446" s="6" t="s">
        <v>51</v>
      </c>
      <c r="C446" s="6" t="s">
        <v>51</v>
      </c>
      <c r="K446" s="6" t="s">
        <v>51</v>
      </c>
      <c r="L446" s="6" t="s">
        <v>51</v>
      </c>
      <c r="M446" s="6" t="s">
        <v>51</v>
      </c>
      <c r="N446" s="6" t="s">
        <v>51</v>
      </c>
    </row>
    <row r="447">
      <c r="B447" s="6" t="s">
        <v>51</v>
      </c>
      <c r="C447" s="6" t="s">
        <v>51</v>
      </c>
      <c r="K447" s="6" t="s">
        <v>51</v>
      </c>
      <c r="L447" s="6" t="s">
        <v>51</v>
      </c>
      <c r="M447" s="6" t="s">
        <v>51</v>
      </c>
      <c r="N447" s="6" t="s">
        <v>51</v>
      </c>
    </row>
    <row r="448">
      <c r="B448" s="6" t="s">
        <v>51</v>
      </c>
      <c r="C448" s="6" t="s">
        <v>51</v>
      </c>
      <c r="K448" s="6" t="s">
        <v>51</v>
      </c>
      <c r="L448" s="6" t="s">
        <v>51</v>
      </c>
      <c r="M448" s="6" t="s">
        <v>51</v>
      </c>
      <c r="N448" s="6" t="s">
        <v>51</v>
      </c>
    </row>
    <row r="449">
      <c r="B449" s="6" t="s">
        <v>51</v>
      </c>
      <c r="C449" s="6" t="s">
        <v>51</v>
      </c>
      <c r="K449" s="6" t="s">
        <v>51</v>
      </c>
      <c r="L449" s="6" t="s">
        <v>51</v>
      </c>
      <c r="M449" s="6" t="s">
        <v>51</v>
      </c>
      <c r="N449" s="6" t="s">
        <v>51</v>
      </c>
    </row>
    <row r="450">
      <c r="B450" s="6" t="s">
        <v>51</v>
      </c>
      <c r="C450" s="6" t="s">
        <v>51</v>
      </c>
      <c r="K450" s="6" t="s">
        <v>51</v>
      </c>
      <c r="L450" s="6" t="s">
        <v>51</v>
      </c>
      <c r="M450" s="6" t="s">
        <v>51</v>
      </c>
      <c r="N450" s="6" t="s">
        <v>51</v>
      </c>
    </row>
    <row r="451">
      <c r="B451" s="6" t="s">
        <v>51</v>
      </c>
      <c r="C451" s="6" t="s">
        <v>51</v>
      </c>
      <c r="K451" s="6" t="s">
        <v>51</v>
      </c>
      <c r="L451" s="6" t="s">
        <v>51</v>
      </c>
      <c r="M451" s="6" t="s">
        <v>51</v>
      </c>
      <c r="N451" s="6" t="s">
        <v>51</v>
      </c>
    </row>
    <row r="452">
      <c r="B452" s="6" t="s">
        <v>51</v>
      </c>
      <c r="C452" s="6" t="s">
        <v>51</v>
      </c>
      <c r="K452" s="6" t="s">
        <v>51</v>
      </c>
      <c r="L452" s="6" t="s">
        <v>51</v>
      </c>
      <c r="M452" s="6" t="s">
        <v>51</v>
      </c>
      <c r="N452" s="6" t="s">
        <v>51</v>
      </c>
    </row>
    <row r="453">
      <c r="B453" s="6" t="s">
        <v>51</v>
      </c>
      <c r="C453" s="6" t="s">
        <v>51</v>
      </c>
      <c r="K453" s="6" t="s">
        <v>51</v>
      </c>
      <c r="L453" s="6" t="s">
        <v>51</v>
      </c>
      <c r="M453" s="6" t="s">
        <v>51</v>
      </c>
      <c r="N453" s="6" t="s">
        <v>51</v>
      </c>
    </row>
    <row r="454">
      <c r="B454" s="6" t="s">
        <v>51</v>
      </c>
      <c r="C454" s="6" t="s">
        <v>51</v>
      </c>
      <c r="K454" s="6" t="s">
        <v>51</v>
      </c>
      <c r="L454" s="6" t="s">
        <v>51</v>
      </c>
      <c r="M454" s="6" t="s">
        <v>51</v>
      </c>
      <c r="N454" s="6" t="s">
        <v>51</v>
      </c>
    </row>
    <row r="455">
      <c r="B455" s="6" t="s">
        <v>51</v>
      </c>
      <c r="C455" s="6" t="s">
        <v>51</v>
      </c>
      <c r="K455" s="6" t="s">
        <v>51</v>
      </c>
      <c r="L455" s="6" t="s">
        <v>51</v>
      </c>
      <c r="M455" s="6" t="s">
        <v>51</v>
      </c>
      <c r="N455" s="6" t="s">
        <v>51</v>
      </c>
    </row>
    <row r="456">
      <c r="B456" s="6" t="s">
        <v>51</v>
      </c>
      <c r="C456" s="6" t="s">
        <v>51</v>
      </c>
      <c r="K456" s="6" t="s">
        <v>51</v>
      </c>
      <c r="L456" s="6" t="s">
        <v>51</v>
      </c>
      <c r="M456" s="6" t="s">
        <v>51</v>
      </c>
      <c r="N456" s="6" t="s">
        <v>51</v>
      </c>
    </row>
    <row r="457">
      <c r="B457" s="6" t="s">
        <v>51</v>
      </c>
      <c r="C457" s="6" t="s">
        <v>51</v>
      </c>
      <c r="K457" s="6" t="s">
        <v>51</v>
      </c>
      <c r="L457" s="6" t="s">
        <v>51</v>
      </c>
      <c r="M457" s="6" t="s">
        <v>51</v>
      </c>
      <c r="N457" s="6" t="s">
        <v>51</v>
      </c>
    </row>
    <row r="458">
      <c r="B458" s="6" t="s">
        <v>51</v>
      </c>
      <c r="C458" s="6" t="s">
        <v>51</v>
      </c>
      <c r="K458" s="6" t="s">
        <v>51</v>
      </c>
      <c r="L458" s="6" t="s">
        <v>51</v>
      </c>
      <c r="M458" s="6" t="s">
        <v>51</v>
      </c>
      <c r="N458" s="6" t="s">
        <v>51</v>
      </c>
    </row>
    <row r="459">
      <c r="B459" s="6" t="s">
        <v>51</v>
      </c>
      <c r="C459" s="6" t="s">
        <v>51</v>
      </c>
      <c r="K459" s="6" t="s">
        <v>51</v>
      </c>
      <c r="L459" s="6" t="s">
        <v>51</v>
      </c>
      <c r="M459" s="6" t="s">
        <v>51</v>
      </c>
      <c r="N459" s="6" t="s">
        <v>51</v>
      </c>
    </row>
    <row r="460">
      <c r="B460" s="6" t="s">
        <v>51</v>
      </c>
      <c r="C460" s="6" t="s">
        <v>51</v>
      </c>
      <c r="K460" s="6" t="s">
        <v>51</v>
      </c>
      <c r="L460" s="6" t="s">
        <v>51</v>
      </c>
      <c r="M460" s="6" t="s">
        <v>51</v>
      </c>
      <c r="N460" s="6" t="s">
        <v>51</v>
      </c>
    </row>
    <row r="461">
      <c r="B461" s="6" t="s">
        <v>51</v>
      </c>
      <c r="C461" s="6" t="s">
        <v>51</v>
      </c>
      <c r="K461" s="6" t="s">
        <v>51</v>
      </c>
      <c r="L461" s="6" t="s">
        <v>51</v>
      </c>
      <c r="M461" s="6" t="s">
        <v>51</v>
      </c>
      <c r="N461" s="6" t="s">
        <v>51</v>
      </c>
    </row>
    <row r="462">
      <c r="B462" s="6" t="s">
        <v>51</v>
      </c>
      <c r="C462" s="6" t="s">
        <v>51</v>
      </c>
      <c r="K462" s="6" t="s">
        <v>51</v>
      </c>
      <c r="L462" s="6" t="s">
        <v>51</v>
      </c>
      <c r="M462" s="6" t="s">
        <v>51</v>
      </c>
      <c r="N462" s="6" t="s">
        <v>51</v>
      </c>
    </row>
    <row r="463">
      <c r="B463" s="6" t="s">
        <v>51</v>
      </c>
      <c r="C463" s="6" t="s">
        <v>51</v>
      </c>
      <c r="K463" s="6" t="s">
        <v>51</v>
      </c>
      <c r="L463" s="6" t="s">
        <v>51</v>
      </c>
      <c r="M463" s="6" t="s">
        <v>51</v>
      </c>
      <c r="N463" s="6" t="s">
        <v>51</v>
      </c>
    </row>
    <row r="464">
      <c r="B464" s="6" t="s">
        <v>51</v>
      </c>
      <c r="C464" s="6" t="s">
        <v>51</v>
      </c>
      <c r="K464" s="6" t="s">
        <v>51</v>
      </c>
      <c r="L464" s="6" t="s">
        <v>51</v>
      </c>
      <c r="M464" s="6" t="s">
        <v>51</v>
      </c>
      <c r="N464" s="6" t="s">
        <v>51</v>
      </c>
    </row>
    <row r="465">
      <c r="B465" s="6" t="s">
        <v>51</v>
      </c>
      <c r="C465" s="6" t="s">
        <v>51</v>
      </c>
      <c r="K465" s="6" t="s">
        <v>51</v>
      </c>
      <c r="L465" s="6" t="s">
        <v>51</v>
      </c>
      <c r="M465" s="6" t="s">
        <v>51</v>
      </c>
      <c r="N465" s="6" t="s">
        <v>51</v>
      </c>
    </row>
    <row r="466">
      <c r="B466" s="6" t="s">
        <v>51</v>
      </c>
      <c r="C466" s="6" t="s">
        <v>51</v>
      </c>
      <c r="K466" s="6" t="s">
        <v>51</v>
      </c>
      <c r="L466" s="6" t="s">
        <v>51</v>
      </c>
      <c r="M466" s="6" t="s">
        <v>51</v>
      </c>
      <c r="N466" s="6" t="s">
        <v>51</v>
      </c>
    </row>
    <row r="467">
      <c r="B467" s="6" t="s">
        <v>51</v>
      </c>
      <c r="C467" s="6" t="s">
        <v>51</v>
      </c>
      <c r="K467" s="6" t="s">
        <v>51</v>
      </c>
      <c r="L467" s="6" t="s">
        <v>51</v>
      </c>
      <c r="M467" s="6" t="s">
        <v>51</v>
      </c>
      <c r="N467" s="6" t="s">
        <v>51</v>
      </c>
    </row>
    <row r="468">
      <c r="B468" s="6" t="s">
        <v>51</v>
      </c>
      <c r="C468" s="6" t="s">
        <v>51</v>
      </c>
      <c r="K468" s="6" t="s">
        <v>51</v>
      </c>
      <c r="L468" s="6" t="s">
        <v>51</v>
      </c>
      <c r="M468" s="6" t="s">
        <v>51</v>
      </c>
      <c r="N468" s="6" t="s">
        <v>51</v>
      </c>
    </row>
    <row r="469">
      <c r="B469" s="6" t="s">
        <v>51</v>
      </c>
      <c r="C469" s="6" t="s">
        <v>51</v>
      </c>
      <c r="K469" s="6" t="s">
        <v>51</v>
      </c>
      <c r="L469" s="6" t="s">
        <v>51</v>
      </c>
      <c r="M469" s="6" t="s">
        <v>51</v>
      </c>
      <c r="N469" s="6" t="s">
        <v>51</v>
      </c>
    </row>
    <row r="470">
      <c r="B470" s="6" t="s">
        <v>51</v>
      </c>
      <c r="C470" s="6" t="s">
        <v>51</v>
      </c>
      <c r="K470" s="6" t="s">
        <v>51</v>
      </c>
      <c r="L470" s="6" t="s">
        <v>51</v>
      </c>
      <c r="M470" s="6" t="s">
        <v>51</v>
      </c>
      <c r="N470" s="6" t="s">
        <v>51</v>
      </c>
    </row>
    <row r="471">
      <c r="B471" s="6" t="s">
        <v>51</v>
      </c>
      <c r="C471" s="6" t="s">
        <v>51</v>
      </c>
      <c r="K471" s="6" t="s">
        <v>51</v>
      </c>
      <c r="L471" s="6" t="s">
        <v>51</v>
      </c>
      <c r="M471" s="6" t="s">
        <v>51</v>
      </c>
      <c r="N471" s="6" t="s">
        <v>51</v>
      </c>
    </row>
    <row r="472">
      <c r="B472" s="6" t="s">
        <v>51</v>
      </c>
      <c r="C472" s="6" t="s">
        <v>51</v>
      </c>
      <c r="K472" s="6" t="s">
        <v>51</v>
      </c>
      <c r="L472" s="6" t="s">
        <v>51</v>
      </c>
      <c r="M472" s="6" t="s">
        <v>51</v>
      </c>
      <c r="N472" s="6" t="s">
        <v>51</v>
      </c>
    </row>
    <row r="473">
      <c r="B473" s="6" t="s">
        <v>51</v>
      </c>
      <c r="C473" s="6" t="s">
        <v>51</v>
      </c>
      <c r="K473" s="6" t="s">
        <v>51</v>
      </c>
      <c r="L473" s="6" t="s">
        <v>51</v>
      </c>
      <c r="M473" s="6" t="s">
        <v>51</v>
      </c>
      <c r="N473" s="6" t="s">
        <v>51</v>
      </c>
    </row>
    <row r="474">
      <c r="B474" s="6" t="s">
        <v>51</v>
      </c>
      <c r="C474" s="6" t="s">
        <v>51</v>
      </c>
      <c r="K474" s="6" t="s">
        <v>51</v>
      </c>
      <c r="L474" s="6" t="s">
        <v>51</v>
      </c>
      <c r="M474" s="6" t="s">
        <v>51</v>
      </c>
      <c r="N474" s="6" t="s">
        <v>51</v>
      </c>
    </row>
    <row r="475">
      <c r="B475" s="6" t="s">
        <v>51</v>
      </c>
      <c r="C475" s="6" t="s">
        <v>51</v>
      </c>
      <c r="K475" s="6" t="s">
        <v>51</v>
      </c>
      <c r="L475" s="6" t="s">
        <v>51</v>
      </c>
      <c r="M475" s="6" t="s">
        <v>51</v>
      </c>
      <c r="N475" s="6" t="s">
        <v>51</v>
      </c>
    </row>
    <row r="476">
      <c r="B476" s="6" t="s">
        <v>51</v>
      </c>
      <c r="C476" s="6" t="s">
        <v>51</v>
      </c>
      <c r="K476" s="6" t="s">
        <v>51</v>
      </c>
      <c r="L476" s="6" t="s">
        <v>51</v>
      </c>
      <c r="M476" s="6" t="s">
        <v>51</v>
      </c>
      <c r="N476" s="6" t="s">
        <v>51</v>
      </c>
    </row>
    <row r="477">
      <c r="B477" s="6" t="s">
        <v>51</v>
      </c>
      <c r="C477" s="6" t="s">
        <v>51</v>
      </c>
      <c r="K477" s="6" t="s">
        <v>51</v>
      </c>
      <c r="L477" s="6" t="s">
        <v>51</v>
      </c>
      <c r="M477" s="6" t="s">
        <v>51</v>
      </c>
      <c r="N477" s="6" t="s">
        <v>51</v>
      </c>
    </row>
    <row r="478">
      <c r="B478" s="6" t="s">
        <v>51</v>
      </c>
      <c r="C478" s="6" t="s">
        <v>51</v>
      </c>
      <c r="K478" s="6" t="s">
        <v>51</v>
      </c>
      <c r="L478" s="6" t="s">
        <v>51</v>
      </c>
      <c r="M478" s="6" t="s">
        <v>51</v>
      </c>
      <c r="N478" s="6" t="s">
        <v>51</v>
      </c>
    </row>
    <row r="479">
      <c r="B479" s="6" t="s">
        <v>51</v>
      </c>
      <c r="C479" s="6" t="s">
        <v>51</v>
      </c>
      <c r="K479" s="6" t="s">
        <v>51</v>
      </c>
      <c r="L479" s="6" t="s">
        <v>51</v>
      </c>
      <c r="M479" s="6" t="s">
        <v>51</v>
      </c>
      <c r="N479" s="6" t="s">
        <v>51</v>
      </c>
    </row>
    <row r="480">
      <c r="B480" s="6" t="s">
        <v>51</v>
      </c>
      <c r="C480" s="6" t="s">
        <v>51</v>
      </c>
      <c r="K480" s="6" t="s">
        <v>51</v>
      </c>
      <c r="L480" s="6" t="s">
        <v>51</v>
      </c>
      <c r="M480" s="6" t="s">
        <v>51</v>
      </c>
      <c r="N480" s="6" t="s">
        <v>51</v>
      </c>
    </row>
    <row r="481">
      <c r="B481" s="6" t="s">
        <v>51</v>
      </c>
      <c r="C481" s="6" t="s">
        <v>51</v>
      </c>
      <c r="K481" s="6" t="s">
        <v>51</v>
      </c>
      <c r="L481" s="6" t="s">
        <v>51</v>
      </c>
      <c r="M481" s="6" t="s">
        <v>51</v>
      </c>
      <c r="N481" s="6" t="s">
        <v>51</v>
      </c>
    </row>
    <row r="482">
      <c r="B482" s="6" t="s">
        <v>51</v>
      </c>
      <c r="C482" s="6" t="s">
        <v>51</v>
      </c>
      <c r="K482" s="6" t="s">
        <v>51</v>
      </c>
      <c r="L482" s="6" t="s">
        <v>51</v>
      </c>
      <c r="M482" s="6" t="s">
        <v>51</v>
      </c>
      <c r="N482" s="6" t="s">
        <v>51</v>
      </c>
    </row>
    <row r="483">
      <c r="B483" s="6" t="s">
        <v>51</v>
      </c>
      <c r="C483" s="6" t="s">
        <v>51</v>
      </c>
      <c r="K483" s="6" t="s">
        <v>51</v>
      </c>
      <c r="L483" s="6" t="s">
        <v>51</v>
      </c>
      <c r="M483" s="6" t="s">
        <v>51</v>
      </c>
      <c r="N483" s="6" t="s">
        <v>51</v>
      </c>
    </row>
    <row r="484">
      <c r="B484" s="6" t="s">
        <v>51</v>
      </c>
      <c r="C484" s="6" t="s">
        <v>51</v>
      </c>
      <c r="K484" s="6" t="s">
        <v>51</v>
      </c>
      <c r="L484" s="6" t="s">
        <v>51</v>
      </c>
      <c r="M484" s="6" t="s">
        <v>51</v>
      </c>
      <c r="N484" s="6" t="s">
        <v>51</v>
      </c>
    </row>
    <row r="485">
      <c r="B485" s="6" t="s">
        <v>51</v>
      </c>
      <c r="C485" s="6" t="s">
        <v>51</v>
      </c>
      <c r="K485" s="6" t="s">
        <v>51</v>
      </c>
      <c r="L485" s="6" t="s">
        <v>51</v>
      </c>
      <c r="M485" s="6" t="s">
        <v>51</v>
      </c>
      <c r="N485" s="6" t="s">
        <v>51</v>
      </c>
    </row>
    <row r="486">
      <c r="B486" s="6" t="s">
        <v>51</v>
      </c>
      <c r="C486" s="6" t="s">
        <v>51</v>
      </c>
      <c r="K486" s="6" t="s">
        <v>51</v>
      </c>
      <c r="L486" s="6" t="s">
        <v>51</v>
      </c>
      <c r="M486" s="6" t="s">
        <v>51</v>
      </c>
      <c r="N486" s="6" t="s">
        <v>51</v>
      </c>
    </row>
    <row r="487">
      <c r="B487" s="6" t="s">
        <v>51</v>
      </c>
      <c r="C487" s="6" t="s">
        <v>51</v>
      </c>
      <c r="K487" s="6" t="s">
        <v>51</v>
      </c>
      <c r="L487" s="6" t="s">
        <v>51</v>
      </c>
      <c r="M487" s="6" t="s">
        <v>51</v>
      </c>
      <c r="N487" s="6" t="s">
        <v>51</v>
      </c>
    </row>
    <row r="488">
      <c r="B488" s="6" t="s">
        <v>51</v>
      </c>
      <c r="C488" s="6" t="s">
        <v>51</v>
      </c>
      <c r="K488" s="6" t="s">
        <v>51</v>
      </c>
      <c r="L488" s="6" t="s">
        <v>51</v>
      </c>
      <c r="M488" s="6" t="s">
        <v>51</v>
      </c>
      <c r="N488" s="6" t="s">
        <v>51</v>
      </c>
    </row>
    <row r="489">
      <c r="B489" s="6" t="s">
        <v>51</v>
      </c>
      <c r="C489" s="6" t="s">
        <v>51</v>
      </c>
      <c r="K489" s="6" t="s">
        <v>51</v>
      </c>
      <c r="L489" s="6" t="s">
        <v>51</v>
      </c>
      <c r="M489" s="6" t="s">
        <v>51</v>
      </c>
      <c r="N489" s="6" t="s">
        <v>51</v>
      </c>
    </row>
    <row r="490">
      <c r="B490" s="6" t="s">
        <v>51</v>
      </c>
      <c r="C490" s="6" t="s">
        <v>51</v>
      </c>
      <c r="K490" s="6" t="s">
        <v>51</v>
      </c>
      <c r="L490" s="6" t="s">
        <v>51</v>
      </c>
      <c r="M490" s="6" t="s">
        <v>51</v>
      </c>
      <c r="N490" s="6" t="s">
        <v>51</v>
      </c>
    </row>
    <row r="491">
      <c r="B491" s="6" t="s">
        <v>51</v>
      </c>
      <c r="C491" s="6" t="s">
        <v>51</v>
      </c>
      <c r="K491" s="6" t="s">
        <v>51</v>
      </c>
      <c r="L491" s="6" t="s">
        <v>51</v>
      </c>
      <c r="M491" s="6" t="s">
        <v>51</v>
      </c>
      <c r="N491" s="6" t="s">
        <v>51</v>
      </c>
    </row>
    <row r="492">
      <c r="B492" s="6" t="s">
        <v>51</v>
      </c>
      <c r="C492" s="6" t="s">
        <v>51</v>
      </c>
      <c r="K492" s="6" t="s">
        <v>51</v>
      </c>
      <c r="L492" s="6" t="s">
        <v>51</v>
      </c>
      <c r="M492" s="6" t="s">
        <v>51</v>
      </c>
      <c r="N492" s="6" t="s">
        <v>51</v>
      </c>
    </row>
    <row r="493">
      <c r="B493" s="6" t="s">
        <v>51</v>
      </c>
      <c r="C493" s="6" t="s">
        <v>51</v>
      </c>
      <c r="K493" s="6" t="s">
        <v>51</v>
      </c>
      <c r="L493" s="6" t="s">
        <v>51</v>
      </c>
      <c r="M493" s="6" t="s">
        <v>51</v>
      </c>
      <c r="N493" s="6" t="s">
        <v>51</v>
      </c>
    </row>
    <row r="494">
      <c r="B494" s="6" t="s">
        <v>51</v>
      </c>
      <c r="C494" s="6" t="s">
        <v>51</v>
      </c>
      <c r="K494" s="6" t="s">
        <v>51</v>
      </c>
      <c r="L494" s="6" t="s">
        <v>51</v>
      </c>
      <c r="M494" s="6" t="s">
        <v>51</v>
      </c>
      <c r="N494" s="6" t="s">
        <v>51</v>
      </c>
    </row>
    <row r="495">
      <c r="B495" s="6" t="s">
        <v>51</v>
      </c>
      <c r="C495" s="6" t="s">
        <v>51</v>
      </c>
      <c r="K495" s="6" t="s">
        <v>51</v>
      </c>
      <c r="L495" s="6" t="s">
        <v>51</v>
      </c>
      <c r="M495" s="6" t="s">
        <v>51</v>
      </c>
      <c r="N495" s="6" t="s">
        <v>51</v>
      </c>
    </row>
    <row r="496">
      <c r="B496" s="6" t="s">
        <v>51</v>
      </c>
      <c r="C496" s="6" t="s">
        <v>51</v>
      </c>
      <c r="K496" s="6" t="s">
        <v>51</v>
      </c>
      <c r="L496" s="6" t="s">
        <v>51</v>
      </c>
      <c r="M496" s="6" t="s">
        <v>51</v>
      </c>
      <c r="N496" s="6" t="s">
        <v>51</v>
      </c>
    </row>
    <row r="497">
      <c r="B497" s="6" t="s">
        <v>51</v>
      </c>
      <c r="C497" s="6" t="s">
        <v>51</v>
      </c>
      <c r="K497" s="6" t="s">
        <v>51</v>
      </c>
      <c r="L497" s="6" t="s">
        <v>51</v>
      </c>
      <c r="M497" s="6" t="s">
        <v>51</v>
      </c>
      <c r="N497" s="6" t="s">
        <v>51</v>
      </c>
    </row>
    <row r="498">
      <c r="B498" s="6" t="s">
        <v>51</v>
      </c>
      <c r="C498" s="6" t="s">
        <v>51</v>
      </c>
      <c r="K498" s="6" t="s">
        <v>51</v>
      </c>
      <c r="L498" s="6" t="s">
        <v>51</v>
      </c>
      <c r="M498" s="6" t="s">
        <v>51</v>
      </c>
      <c r="N498" s="6" t="s">
        <v>51</v>
      </c>
    </row>
    <row r="499">
      <c r="B499" s="6" t="s">
        <v>51</v>
      </c>
      <c r="C499" s="6" t="s">
        <v>51</v>
      </c>
      <c r="K499" s="6" t="s">
        <v>51</v>
      </c>
      <c r="L499" s="6" t="s">
        <v>51</v>
      </c>
      <c r="M499" s="6" t="s">
        <v>51</v>
      </c>
      <c r="N499" s="6" t="s">
        <v>51</v>
      </c>
    </row>
    <row r="500">
      <c r="B500" s="6" t="s">
        <v>51</v>
      </c>
      <c r="C500" s="6" t="s">
        <v>51</v>
      </c>
      <c r="K500" s="6" t="s">
        <v>51</v>
      </c>
      <c r="L500" s="6" t="s">
        <v>51</v>
      </c>
      <c r="M500" s="6" t="s">
        <v>51</v>
      </c>
      <c r="N500" s="6" t="s">
        <v>51</v>
      </c>
    </row>
    <row r="501">
      <c r="B501" s="6" t="s">
        <v>51</v>
      </c>
      <c r="C501" s="6" t="s">
        <v>51</v>
      </c>
      <c r="K501" s="6" t="s">
        <v>51</v>
      </c>
      <c r="L501" s="6" t="s">
        <v>51</v>
      </c>
      <c r="M501" s="6" t="s">
        <v>51</v>
      </c>
      <c r="N501" s="6" t="s">
        <v>51</v>
      </c>
    </row>
    <row r="502">
      <c r="B502" s="6" t="s">
        <v>51</v>
      </c>
      <c r="C502" s="6" t="s">
        <v>51</v>
      </c>
      <c r="K502" s="6" t="s">
        <v>51</v>
      </c>
      <c r="L502" s="6" t="s">
        <v>51</v>
      </c>
      <c r="M502" s="6" t="s">
        <v>51</v>
      </c>
      <c r="N502" s="6" t="s">
        <v>51</v>
      </c>
    </row>
    <row r="503">
      <c r="B503" s="6" t="s">
        <v>51</v>
      </c>
      <c r="C503" s="6" t="s">
        <v>51</v>
      </c>
      <c r="K503" s="6" t="s">
        <v>51</v>
      </c>
      <c r="L503" s="6" t="s">
        <v>51</v>
      </c>
      <c r="M503" s="6" t="s">
        <v>51</v>
      </c>
      <c r="N503" s="6" t="s">
        <v>51</v>
      </c>
    </row>
    <row r="504">
      <c r="B504" s="6" t="s">
        <v>51</v>
      </c>
      <c r="C504" s="6" t="s">
        <v>51</v>
      </c>
      <c r="K504" s="6" t="s">
        <v>51</v>
      </c>
      <c r="L504" s="6" t="s">
        <v>51</v>
      </c>
      <c r="M504" s="6" t="s">
        <v>51</v>
      </c>
      <c r="N504" s="6" t="s">
        <v>51</v>
      </c>
    </row>
    <row r="505">
      <c r="B505" s="6" t="s">
        <v>51</v>
      </c>
      <c r="C505" s="6" t="s">
        <v>51</v>
      </c>
      <c r="K505" s="6" t="s">
        <v>51</v>
      </c>
      <c r="L505" s="6" t="s">
        <v>51</v>
      </c>
      <c r="M505" s="6" t="s">
        <v>51</v>
      </c>
      <c r="N505" s="6" t="s">
        <v>51</v>
      </c>
    </row>
    <row r="506">
      <c r="B506" s="6" t="s">
        <v>51</v>
      </c>
      <c r="C506" s="6" t="s">
        <v>51</v>
      </c>
      <c r="K506" s="6" t="s">
        <v>51</v>
      </c>
      <c r="L506" s="6" t="s">
        <v>51</v>
      </c>
      <c r="M506" s="6" t="s">
        <v>51</v>
      </c>
      <c r="N506" s="6" t="s">
        <v>51</v>
      </c>
    </row>
    <row r="507">
      <c r="B507" s="6" t="s">
        <v>51</v>
      </c>
      <c r="C507" s="6" t="s">
        <v>51</v>
      </c>
      <c r="K507" s="6" t="s">
        <v>51</v>
      </c>
      <c r="L507" s="6" t="s">
        <v>51</v>
      </c>
      <c r="M507" s="6" t="s">
        <v>51</v>
      </c>
      <c r="N507" s="6" t="s">
        <v>51</v>
      </c>
    </row>
    <row r="508">
      <c r="B508" s="6" t="s">
        <v>51</v>
      </c>
      <c r="C508" s="6" t="s">
        <v>51</v>
      </c>
      <c r="K508" s="6" t="s">
        <v>51</v>
      </c>
      <c r="L508" s="6" t="s">
        <v>51</v>
      </c>
      <c r="M508" s="6" t="s">
        <v>51</v>
      </c>
      <c r="N508" s="6" t="s">
        <v>51</v>
      </c>
    </row>
    <row r="509">
      <c r="B509" s="6" t="s">
        <v>51</v>
      </c>
      <c r="C509" s="6" t="s">
        <v>51</v>
      </c>
      <c r="K509" s="6" t="s">
        <v>51</v>
      </c>
      <c r="L509" s="6" t="s">
        <v>51</v>
      </c>
      <c r="M509" s="6" t="s">
        <v>51</v>
      </c>
      <c r="N509" s="6" t="s">
        <v>51</v>
      </c>
    </row>
    <row r="510">
      <c r="B510" s="6" t="s">
        <v>51</v>
      </c>
      <c r="C510" s="6" t="s">
        <v>51</v>
      </c>
      <c r="K510" s="6" t="s">
        <v>51</v>
      </c>
      <c r="L510" s="6" t="s">
        <v>51</v>
      </c>
      <c r="M510" s="6" t="s">
        <v>51</v>
      </c>
      <c r="N510" s="6" t="s">
        <v>51</v>
      </c>
    </row>
    <row r="511">
      <c r="B511" s="6" t="s">
        <v>51</v>
      </c>
      <c r="C511" s="6" t="s">
        <v>51</v>
      </c>
      <c r="K511" s="6" t="s">
        <v>51</v>
      </c>
      <c r="L511" s="6" t="s">
        <v>51</v>
      </c>
      <c r="M511" s="6" t="s">
        <v>51</v>
      </c>
      <c r="N511" s="6" t="s">
        <v>51</v>
      </c>
    </row>
    <row r="512">
      <c r="B512" s="6" t="s">
        <v>51</v>
      </c>
      <c r="C512" s="6" t="s">
        <v>51</v>
      </c>
      <c r="K512" s="6" t="s">
        <v>51</v>
      </c>
      <c r="L512" s="6" t="s">
        <v>51</v>
      </c>
      <c r="M512" s="6" t="s">
        <v>51</v>
      </c>
      <c r="N512" s="6" t="s">
        <v>51</v>
      </c>
    </row>
    <row r="513">
      <c r="B513" s="6" t="s">
        <v>51</v>
      </c>
      <c r="C513" s="6" t="s">
        <v>51</v>
      </c>
      <c r="K513" s="6" t="s">
        <v>51</v>
      </c>
      <c r="L513" s="6" t="s">
        <v>51</v>
      </c>
      <c r="M513" s="6" t="s">
        <v>51</v>
      </c>
      <c r="N513" s="6" t="s">
        <v>51</v>
      </c>
    </row>
    <row r="514">
      <c r="B514" s="6" t="s">
        <v>51</v>
      </c>
      <c r="C514" s="6" t="s">
        <v>51</v>
      </c>
      <c r="K514" s="6" t="s">
        <v>51</v>
      </c>
      <c r="L514" s="6" t="s">
        <v>51</v>
      </c>
      <c r="M514" s="6" t="s">
        <v>51</v>
      </c>
      <c r="N514" s="6" t="s">
        <v>51</v>
      </c>
    </row>
    <row r="515">
      <c r="B515" s="6" t="s">
        <v>51</v>
      </c>
      <c r="C515" s="6" t="s">
        <v>51</v>
      </c>
      <c r="K515" s="6" t="s">
        <v>51</v>
      </c>
      <c r="L515" s="6" t="s">
        <v>51</v>
      </c>
      <c r="M515" s="6" t="s">
        <v>51</v>
      </c>
      <c r="N515" s="6" t="s">
        <v>51</v>
      </c>
    </row>
    <row r="516">
      <c r="B516" s="6" t="s">
        <v>51</v>
      </c>
      <c r="C516" s="6" t="s">
        <v>51</v>
      </c>
      <c r="K516" s="6" t="s">
        <v>51</v>
      </c>
      <c r="L516" s="6" t="s">
        <v>51</v>
      </c>
      <c r="M516" s="6" t="s">
        <v>51</v>
      </c>
      <c r="N516" s="6" t="s">
        <v>51</v>
      </c>
    </row>
    <row r="517">
      <c r="B517" s="6" t="s">
        <v>51</v>
      </c>
      <c r="C517" s="6" t="s">
        <v>51</v>
      </c>
      <c r="K517" s="6" t="s">
        <v>51</v>
      </c>
      <c r="L517" s="6" t="s">
        <v>51</v>
      </c>
      <c r="M517" s="6" t="s">
        <v>51</v>
      </c>
      <c r="N517" s="6" t="s">
        <v>51</v>
      </c>
    </row>
    <row r="518">
      <c r="B518" s="6" t="s">
        <v>51</v>
      </c>
      <c r="C518" s="6" t="s">
        <v>51</v>
      </c>
      <c r="K518" s="6" t="s">
        <v>51</v>
      </c>
      <c r="L518" s="6" t="s">
        <v>51</v>
      </c>
      <c r="M518" s="6" t="s">
        <v>51</v>
      </c>
      <c r="N518" s="6" t="s">
        <v>51</v>
      </c>
    </row>
    <row r="519">
      <c r="B519" s="6" t="s">
        <v>51</v>
      </c>
      <c r="C519" s="6" t="s">
        <v>51</v>
      </c>
      <c r="K519" s="6" t="s">
        <v>51</v>
      </c>
      <c r="L519" s="6" t="s">
        <v>51</v>
      </c>
      <c r="M519" s="6" t="s">
        <v>51</v>
      </c>
      <c r="N519" s="6" t="s">
        <v>51</v>
      </c>
    </row>
    <row r="520">
      <c r="B520" s="6" t="s">
        <v>51</v>
      </c>
      <c r="C520" s="6" t="s">
        <v>51</v>
      </c>
      <c r="K520" s="6" t="s">
        <v>51</v>
      </c>
      <c r="L520" s="6" t="s">
        <v>51</v>
      </c>
      <c r="M520" s="6" t="s">
        <v>51</v>
      </c>
      <c r="N520" s="6" t="s">
        <v>51</v>
      </c>
    </row>
    <row r="521">
      <c r="B521" s="6" t="s">
        <v>51</v>
      </c>
      <c r="C521" s="6" t="s">
        <v>51</v>
      </c>
      <c r="K521" s="6" t="s">
        <v>51</v>
      </c>
      <c r="L521" s="6" t="s">
        <v>51</v>
      </c>
      <c r="M521" s="6" t="s">
        <v>51</v>
      </c>
      <c r="N521" s="6" t="s">
        <v>51</v>
      </c>
    </row>
    <row r="522">
      <c r="B522" s="6" t="s">
        <v>51</v>
      </c>
      <c r="C522" s="6" t="s">
        <v>51</v>
      </c>
      <c r="K522" s="6" t="s">
        <v>51</v>
      </c>
      <c r="L522" s="6" t="s">
        <v>51</v>
      </c>
      <c r="M522" s="6" t="s">
        <v>51</v>
      </c>
      <c r="N522" s="6" t="s">
        <v>51</v>
      </c>
    </row>
    <row r="523">
      <c r="B523" s="6" t="s">
        <v>51</v>
      </c>
      <c r="C523" s="6" t="s">
        <v>51</v>
      </c>
      <c r="K523" s="6" t="s">
        <v>51</v>
      </c>
      <c r="L523" s="6" t="s">
        <v>51</v>
      </c>
      <c r="M523" s="6" t="s">
        <v>51</v>
      </c>
      <c r="N523" s="6" t="s">
        <v>51</v>
      </c>
    </row>
    <row r="524">
      <c r="B524" s="6" t="s">
        <v>51</v>
      </c>
      <c r="C524" s="6" t="s">
        <v>51</v>
      </c>
      <c r="K524" s="6" t="s">
        <v>51</v>
      </c>
      <c r="L524" s="6" t="s">
        <v>51</v>
      </c>
      <c r="M524" s="6" t="s">
        <v>51</v>
      </c>
      <c r="N524" s="6" t="s">
        <v>51</v>
      </c>
    </row>
    <row r="525">
      <c r="B525" s="6" t="s">
        <v>51</v>
      </c>
      <c r="C525" s="6" t="s">
        <v>51</v>
      </c>
      <c r="K525" s="6" t="s">
        <v>51</v>
      </c>
      <c r="L525" s="6" t="s">
        <v>51</v>
      </c>
      <c r="M525" s="6" t="s">
        <v>51</v>
      </c>
      <c r="N525" s="6" t="s">
        <v>51</v>
      </c>
    </row>
    <row r="526">
      <c r="B526" s="6" t="s">
        <v>51</v>
      </c>
      <c r="C526" s="6" t="s">
        <v>51</v>
      </c>
      <c r="K526" s="6" t="s">
        <v>51</v>
      </c>
      <c r="L526" s="6" t="s">
        <v>51</v>
      </c>
      <c r="M526" s="6" t="s">
        <v>51</v>
      </c>
      <c r="N526" s="6" t="s">
        <v>51</v>
      </c>
    </row>
    <row r="527">
      <c r="B527" s="6" t="s">
        <v>51</v>
      </c>
      <c r="C527" s="6" t="s">
        <v>51</v>
      </c>
      <c r="K527" s="6" t="s">
        <v>51</v>
      </c>
      <c r="L527" s="6" t="s">
        <v>51</v>
      </c>
      <c r="M527" s="6" t="s">
        <v>51</v>
      </c>
      <c r="N527" s="6" t="s">
        <v>51</v>
      </c>
    </row>
    <row r="528">
      <c r="B528" s="6" t="s">
        <v>51</v>
      </c>
      <c r="C528" s="6" t="s">
        <v>51</v>
      </c>
      <c r="K528" s="6" t="s">
        <v>51</v>
      </c>
      <c r="L528" s="6" t="s">
        <v>51</v>
      </c>
      <c r="M528" s="6" t="s">
        <v>51</v>
      </c>
      <c r="N528" s="6" t="s">
        <v>51</v>
      </c>
    </row>
    <row r="529">
      <c r="B529" s="6" t="s">
        <v>51</v>
      </c>
      <c r="C529" s="6" t="s">
        <v>51</v>
      </c>
      <c r="K529" s="6" t="s">
        <v>51</v>
      </c>
      <c r="L529" s="6" t="s">
        <v>51</v>
      </c>
      <c r="M529" s="6" t="s">
        <v>51</v>
      </c>
      <c r="N529" s="6" t="s">
        <v>51</v>
      </c>
    </row>
    <row r="530">
      <c r="B530" s="6" t="s">
        <v>51</v>
      </c>
      <c r="C530" s="6" t="s">
        <v>51</v>
      </c>
      <c r="K530" s="6" t="s">
        <v>51</v>
      </c>
      <c r="L530" s="6" t="s">
        <v>51</v>
      </c>
      <c r="M530" s="6" t="s">
        <v>51</v>
      </c>
      <c r="N530" s="6" t="s">
        <v>51</v>
      </c>
    </row>
    <row r="531">
      <c r="B531" s="6" t="s">
        <v>51</v>
      </c>
      <c r="C531" s="6" t="s">
        <v>51</v>
      </c>
      <c r="K531" s="6" t="s">
        <v>51</v>
      </c>
      <c r="L531" s="6" t="s">
        <v>51</v>
      </c>
      <c r="M531" s="6" t="s">
        <v>51</v>
      </c>
      <c r="N531" s="6" t="s">
        <v>51</v>
      </c>
    </row>
    <row r="532">
      <c r="B532" s="6" t="s">
        <v>51</v>
      </c>
      <c r="C532" s="6" t="s">
        <v>51</v>
      </c>
      <c r="K532" s="6" t="s">
        <v>51</v>
      </c>
      <c r="L532" s="6" t="s">
        <v>51</v>
      </c>
      <c r="M532" s="6" t="s">
        <v>51</v>
      </c>
      <c r="N532" s="6" t="s">
        <v>51</v>
      </c>
    </row>
    <row r="533">
      <c r="B533" s="6" t="s">
        <v>51</v>
      </c>
      <c r="C533" s="6" t="s">
        <v>51</v>
      </c>
      <c r="K533" s="6" t="s">
        <v>51</v>
      </c>
      <c r="L533" s="6" t="s">
        <v>51</v>
      </c>
      <c r="M533" s="6" t="s">
        <v>51</v>
      </c>
      <c r="N533" s="6" t="s">
        <v>51</v>
      </c>
    </row>
    <row r="534">
      <c r="B534" s="6" t="s">
        <v>51</v>
      </c>
      <c r="C534" s="6" t="s">
        <v>51</v>
      </c>
      <c r="K534" s="6" t="s">
        <v>51</v>
      </c>
      <c r="L534" s="6" t="s">
        <v>51</v>
      </c>
      <c r="M534" s="6" t="s">
        <v>51</v>
      </c>
      <c r="N534" s="6" t="s">
        <v>51</v>
      </c>
    </row>
    <row r="535">
      <c r="B535" s="6" t="s">
        <v>51</v>
      </c>
      <c r="C535" s="6" t="s">
        <v>51</v>
      </c>
      <c r="K535" s="6" t="s">
        <v>51</v>
      </c>
      <c r="L535" s="6" t="s">
        <v>51</v>
      </c>
      <c r="M535" s="6" t="s">
        <v>51</v>
      </c>
      <c r="N535" s="6" t="s">
        <v>51</v>
      </c>
    </row>
    <row r="536">
      <c r="B536" s="6" t="s">
        <v>51</v>
      </c>
      <c r="C536" s="6" t="s">
        <v>51</v>
      </c>
      <c r="K536" s="6" t="s">
        <v>51</v>
      </c>
      <c r="L536" s="6" t="s">
        <v>51</v>
      </c>
      <c r="M536" s="6" t="s">
        <v>51</v>
      </c>
      <c r="N536" s="6" t="s">
        <v>51</v>
      </c>
    </row>
    <row r="537">
      <c r="B537" s="6" t="s">
        <v>51</v>
      </c>
      <c r="C537" s="6" t="s">
        <v>51</v>
      </c>
      <c r="K537" s="6" t="s">
        <v>51</v>
      </c>
      <c r="L537" s="6" t="s">
        <v>51</v>
      </c>
      <c r="M537" s="6" t="s">
        <v>51</v>
      </c>
      <c r="N537" s="6" t="s">
        <v>51</v>
      </c>
    </row>
    <row r="538">
      <c r="B538" s="6" t="s">
        <v>51</v>
      </c>
      <c r="C538" s="6" t="s">
        <v>51</v>
      </c>
      <c r="K538" s="6" t="s">
        <v>51</v>
      </c>
      <c r="L538" s="6" t="s">
        <v>51</v>
      </c>
      <c r="M538" s="6" t="s">
        <v>51</v>
      </c>
      <c r="N538" s="6" t="s">
        <v>51</v>
      </c>
    </row>
    <row r="539">
      <c r="B539" s="6" t="s">
        <v>51</v>
      </c>
      <c r="C539" s="6" t="s">
        <v>51</v>
      </c>
      <c r="K539" s="6" t="s">
        <v>51</v>
      </c>
      <c r="L539" s="6" t="s">
        <v>51</v>
      </c>
      <c r="M539" s="6" t="s">
        <v>51</v>
      </c>
      <c r="N539" s="6" t="s">
        <v>51</v>
      </c>
    </row>
    <row r="540">
      <c r="B540" s="6" t="s">
        <v>51</v>
      </c>
      <c r="C540" s="6" t="s">
        <v>51</v>
      </c>
      <c r="K540" s="6" t="s">
        <v>51</v>
      </c>
      <c r="L540" s="6" t="s">
        <v>51</v>
      </c>
      <c r="M540" s="6" t="s">
        <v>51</v>
      </c>
      <c r="N540" s="6" t="s">
        <v>51</v>
      </c>
    </row>
    <row r="541">
      <c r="B541" s="6" t="s">
        <v>51</v>
      </c>
      <c r="C541" s="6" t="s">
        <v>51</v>
      </c>
      <c r="K541" s="6" t="s">
        <v>51</v>
      </c>
      <c r="L541" s="6" t="s">
        <v>51</v>
      </c>
      <c r="M541" s="6" t="s">
        <v>51</v>
      </c>
      <c r="N541" s="6" t="s">
        <v>51</v>
      </c>
    </row>
    <row r="542">
      <c r="B542" s="6" t="s">
        <v>51</v>
      </c>
      <c r="C542" s="6" t="s">
        <v>51</v>
      </c>
      <c r="K542" s="6" t="s">
        <v>51</v>
      </c>
      <c r="L542" s="6" t="s">
        <v>51</v>
      </c>
      <c r="M542" s="6" t="s">
        <v>51</v>
      </c>
      <c r="N542" s="6" t="s">
        <v>51</v>
      </c>
    </row>
    <row r="543">
      <c r="B543" s="6" t="s">
        <v>51</v>
      </c>
      <c r="C543" s="6" t="s">
        <v>51</v>
      </c>
      <c r="K543" s="6" t="s">
        <v>51</v>
      </c>
      <c r="L543" s="6" t="s">
        <v>51</v>
      </c>
      <c r="M543" s="6" t="s">
        <v>51</v>
      </c>
      <c r="N543" s="6" t="s">
        <v>51</v>
      </c>
    </row>
    <row r="544">
      <c r="B544" s="6" t="s">
        <v>51</v>
      </c>
      <c r="C544" s="6" t="s">
        <v>51</v>
      </c>
      <c r="K544" s="6" t="s">
        <v>51</v>
      </c>
      <c r="L544" s="6" t="s">
        <v>51</v>
      </c>
      <c r="M544" s="6" t="s">
        <v>51</v>
      </c>
      <c r="N544" s="6" t="s">
        <v>51</v>
      </c>
    </row>
    <row r="545">
      <c r="B545" s="6" t="s">
        <v>51</v>
      </c>
      <c r="C545" s="6" t="s">
        <v>51</v>
      </c>
      <c r="K545" s="6" t="s">
        <v>51</v>
      </c>
      <c r="L545" s="6" t="s">
        <v>51</v>
      </c>
      <c r="M545" s="6" t="s">
        <v>51</v>
      </c>
      <c r="N545" s="6" t="s">
        <v>51</v>
      </c>
    </row>
    <row r="546">
      <c r="B546" s="6" t="s">
        <v>51</v>
      </c>
      <c r="C546" s="6" t="s">
        <v>51</v>
      </c>
      <c r="K546" s="6" t="s">
        <v>51</v>
      </c>
      <c r="L546" s="6" t="s">
        <v>51</v>
      </c>
      <c r="M546" s="6" t="s">
        <v>51</v>
      </c>
      <c r="N546" s="6" t="s">
        <v>51</v>
      </c>
    </row>
    <row r="547">
      <c r="B547" s="6" t="s">
        <v>51</v>
      </c>
      <c r="C547" s="6" t="s">
        <v>51</v>
      </c>
      <c r="K547" s="6" t="s">
        <v>51</v>
      </c>
      <c r="L547" s="6" t="s">
        <v>51</v>
      </c>
      <c r="M547" s="6" t="s">
        <v>51</v>
      </c>
      <c r="N547" s="6" t="s">
        <v>51</v>
      </c>
    </row>
    <row r="548">
      <c r="B548" s="6" t="s">
        <v>51</v>
      </c>
      <c r="C548" s="6" t="s">
        <v>51</v>
      </c>
      <c r="K548" s="6" t="s">
        <v>51</v>
      </c>
      <c r="L548" s="6" t="s">
        <v>51</v>
      </c>
      <c r="M548" s="6" t="s">
        <v>51</v>
      </c>
      <c r="N548" s="6" t="s">
        <v>51</v>
      </c>
    </row>
    <row r="549">
      <c r="B549" s="6" t="s">
        <v>51</v>
      </c>
      <c r="C549" s="6" t="s">
        <v>51</v>
      </c>
      <c r="K549" s="6" t="s">
        <v>51</v>
      </c>
      <c r="L549" s="6" t="s">
        <v>51</v>
      </c>
      <c r="M549" s="6" t="s">
        <v>51</v>
      </c>
      <c r="N549" s="6" t="s">
        <v>51</v>
      </c>
    </row>
    <row r="550">
      <c r="B550" s="6" t="s">
        <v>51</v>
      </c>
      <c r="C550" s="6" t="s">
        <v>51</v>
      </c>
      <c r="K550" s="6" t="s">
        <v>51</v>
      </c>
      <c r="L550" s="6" t="s">
        <v>51</v>
      </c>
      <c r="M550" s="6" t="s">
        <v>51</v>
      </c>
      <c r="N550" s="6" t="s">
        <v>51</v>
      </c>
    </row>
    <row r="551">
      <c r="B551" s="6" t="s">
        <v>51</v>
      </c>
      <c r="C551" s="6" t="s">
        <v>51</v>
      </c>
      <c r="K551" s="6" t="s">
        <v>51</v>
      </c>
      <c r="L551" s="6" t="s">
        <v>51</v>
      </c>
      <c r="M551" s="6" t="s">
        <v>51</v>
      </c>
      <c r="N551" s="6" t="s">
        <v>51</v>
      </c>
    </row>
    <row r="552">
      <c r="B552" s="6" t="s">
        <v>51</v>
      </c>
      <c r="C552" s="6" t="s">
        <v>51</v>
      </c>
      <c r="K552" s="6" t="s">
        <v>51</v>
      </c>
      <c r="L552" s="6" t="s">
        <v>51</v>
      </c>
      <c r="M552" s="6" t="s">
        <v>51</v>
      </c>
      <c r="N552" s="6" t="s">
        <v>51</v>
      </c>
    </row>
    <row r="553">
      <c r="B553" s="6" t="s">
        <v>51</v>
      </c>
      <c r="C553" s="6" t="s">
        <v>51</v>
      </c>
      <c r="K553" s="6" t="s">
        <v>51</v>
      </c>
      <c r="L553" s="6" t="s">
        <v>51</v>
      </c>
      <c r="M553" s="6" t="s">
        <v>51</v>
      </c>
      <c r="N553" s="6" t="s">
        <v>51</v>
      </c>
    </row>
    <row r="554">
      <c r="B554" s="6" t="s">
        <v>51</v>
      </c>
      <c r="C554" s="6" t="s">
        <v>51</v>
      </c>
      <c r="K554" s="6" t="s">
        <v>51</v>
      </c>
      <c r="L554" s="6" t="s">
        <v>51</v>
      </c>
      <c r="M554" s="6" t="s">
        <v>51</v>
      </c>
      <c r="N554" s="6" t="s">
        <v>51</v>
      </c>
    </row>
    <row r="555">
      <c r="B555" s="6" t="s">
        <v>51</v>
      </c>
      <c r="C555" s="6" t="s">
        <v>51</v>
      </c>
      <c r="K555" s="6" t="s">
        <v>51</v>
      </c>
      <c r="L555" s="6" t="s">
        <v>51</v>
      </c>
      <c r="M555" s="6" t="s">
        <v>51</v>
      </c>
      <c r="N555" s="6" t="s">
        <v>51</v>
      </c>
    </row>
    <row r="556">
      <c r="B556" s="6" t="s">
        <v>51</v>
      </c>
      <c r="C556" s="6" t="s">
        <v>51</v>
      </c>
      <c r="K556" s="6" t="s">
        <v>51</v>
      </c>
      <c r="L556" s="6" t="s">
        <v>51</v>
      </c>
      <c r="M556" s="6" t="s">
        <v>51</v>
      </c>
      <c r="N556" s="6" t="s">
        <v>51</v>
      </c>
    </row>
    <row r="557">
      <c r="B557" s="6" t="s">
        <v>51</v>
      </c>
      <c r="C557" s="6" t="s">
        <v>51</v>
      </c>
      <c r="K557" s="6" t="s">
        <v>51</v>
      </c>
      <c r="L557" s="6" t="s">
        <v>51</v>
      </c>
      <c r="M557" s="6" t="s">
        <v>51</v>
      </c>
      <c r="N557" s="6" t="s">
        <v>51</v>
      </c>
    </row>
    <row r="558">
      <c r="B558" s="6" t="s">
        <v>51</v>
      </c>
      <c r="C558" s="6" t="s">
        <v>51</v>
      </c>
      <c r="K558" s="6" t="s">
        <v>51</v>
      </c>
      <c r="L558" s="6" t="s">
        <v>51</v>
      </c>
      <c r="M558" s="6" t="s">
        <v>51</v>
      </c>
      <c r="N558" s="6" t="s">
        <v>51</v>
      </c>
    </row>
    <row r="559">
      <c r="B559" s="6" t="s">
        <v>51</v>
      </c>
      <c r="C559" s="6" t="s">
        <v>51</v>
      </c>
      <c r="K559" s="6" t="s">
        <v>51</v>
      </c>
      <c r="L559" s="6" t="s">
        <v>51</v>
      </c>
      <c r="M559" s="6" t="s">
        <v>51</v>
      </c>
      <c r="N559" s="6" t="s">
        <v>51</v>
      </c>
    </row>
    <row r="560">
      <c r="B560" s="6" t="s">
        <v>51</v>
      </c>
      <c r="C560" s="6" t="s">
        <v>51</v>
      </c>
      <c r="K560" s="6" t="s">
        <v>51</v>
      </c>
      <c r="L560" s="6" t="s">
        <v>51</v>
      </c>
      <c r="M560" s="6" t="s">
        <v>51</v>
      </c>
      <c r="N560" s="6" t="s">
        <v>51</v>
      </c>
    </row>
    <row r="561">
      <c r="B561" s="6" t="s">
        <v>51</v>
      </c>
      <c r="C561" s="6" t="s">
        <v>51</v>
      </c>
      <c r="K561" s="6" t="s">
        <v>51</v>
      </c>
      <c r="L561" s="6" t="s">
        <v>51</v>
      </c>
      <c r="M561" s="6" t="s">
        <v>51</v>
      </c>
      <c r="N561" s="6" t="s">
        <v>51</v>
      </c>
    </row>
    <row r="562">
      <c r="B562" s="6" t="s">
        <v>51</v>
      </c>
      <c r="C562" s="6" t="s">
        <v>51</v>
      </c>
      <c r="K562" s="6" t="s">
        <v>51</v>
      </c>
      <c r="L562" s="6" t="s">
        <v>51</v>
      </c>
      <c r="M562" s="6" t="s">
        <v>51</v>
      </c>
      <c r="N562" s="6" t="s">
        <v>51</v>
      </c>
    </row>
    <row r="563">
      <c r="B563" s="6" t="s">
        <v>51</v>
      </c>
      <c r="C563" s="6" t="s">
        <v>51</v>
      </c>
      <c r="K563" s="6" t="s">
        <v>51</v>
      </c>
      <c r="L563" s="6" t="s">
        <v>51</v>
      </c>
      <c r="M563" s="6" t="s">
        <v>51</v>
      </c>
      <c r="N563" s="6" t="s">
        <v>51</v>
      </c>
    </row>
    <row r="564">
      <c r="B564" s="6" t="s">
        <v>51</v>
      </c>
      <c r="C564" s="6" t="s">
        <v>51</v>
      </c>
      <c r="K564" s="6" t="s">
        <v>51</v>
      </c>
      <c r="L564" s="6" t="s">
        <v>51</v>
      </c>
      <c r="M564" s="6" t="s">
        <v>51</v>
      </c>
      <c r="N564" s="6" t="s">
        <v>51</v>
      </c>
    </row>
    <row r="565">
      <c r="B565" s="6" t="s">
        <v>51</v>
      </c>
      <c r="C565" s="6" t="s">
        <v>51</v>
      </c>
      <c r="K565" s="6" t="s">
        <v>51</v>
      </c>
      <c r="L565" s="6" t="s">
        <v>51</v>
      </c>
      <c r="M565" s="6" t="s">
        <v>51</v>
      </c>
      <c r="N565" s="6" t="s">
        <v>51</v>
      </c>
    </row>
    <row r="566">
      <c r="B566" s="6" t="s">
        <v>51</v>
      </c>
      <c r="C566" s="6" t="s">
        <v>51</v>
      </c>
      <c r="K566" s="6" t="s">
        <v>51</v>
      </c>
      <c r="L566" s="6" t="s">
        <v>51</v>
      </c>
      <c r="M566" s="6" t="s">
        <v>51</v>
      </c>
      <c r="N566" s="6" t="s">
        <v>51</v>
      </c>
    </row>
    <row r="567">
      <c r="B567" s="6" t="s">
        <v>51</v>
      </c>
      <c r="C567" s="6" t="s">
        <v>51</v>
      </c>
      <c r="K567" s="6" t="s">
        <v>51</v>
      </c>
      <c r="L567" s="6" t="s">
        <v>51</v>
      </c>
      <c r="M567" s="6" t="s">
        <v>51</v>
      </c>
      <c r="N567" s="6" t="s">
        <v>51</v>
      </c>
    </row>
    <row r="568">
      <c r="B568" s="6" t="s">
        <v>51</v>
      </c>
      <c r="C568" s="6" t="s">
        <v>51</v>
      </c>
      <c r="K568" s="6" t="s">
        <v>51</v>
      </c>
      <c r="L568" s="6" t="s">
        <v>51</v>
      </c>
      <c r="M568" s="6" t="s">
        <v>51</v>
      </c>
      <c r="N568" s="6" t="s">
        <v>51</v>
      </c>
    </row>
    <row r="569">
      <c r="B569" s="6" t="s">
        <v>51</v>
      </c>
      <c r="C569" s="6" t="s">
        <v>51</v>
      </c>
      <c r="K569" s="6" t="s">
        <v>51</v>
      </c>
      <c r="L569" s="6" t="s">
        <v>51</v>
      </c>
      <c r="M569" s="6" t="s">
        <v>51</v>
      </c>
      <c r="N569" s="6" t="s">
        <v>51</v>
      </c>
    </row>
    <row r="570">
      <c r="B570" s="6" t="s">
        <v>51</v>
      </c>
      <c r="C570" s="6" t="s">
        <v>51</v>
      </c>
      <c r="K570" s="6" t="s">
        <v>51</v>
      </c>
      <c r="L570" s="6" t="s">
        <v>51</v>
      </c>
      <c r="M570" s="6" t="s">
        <v>51</v>
      </c>
      <c r="N570" s="6" t="s">
        <v>51</v>
      </c>
    </row>
    <row r="571">
      <c r="B571" s="6" t="s">
        <v>51</v>
      </c>
      <c r="C571" s="6" t="s">
        <v>51</v>
      </c>
      <c r="K571" s="6" t="s">
        <v>51</v>
      </c>
      <c r="L571" s="6" t="s">
        <v>51</v>
      </c>
      <c r="M571" s="6" t="s">
        <v>51</v>
      </c>
      <c r="N571" s="6" t="s">
        <v>51</v>
      </c>
    </row>
    <row r="572">
      <c r="B572" s="6" t="s">
        <v>51</v>
      </c>
      <c r="C572" s="6" t="s">
        <v>51</v>
      </c>
      <c r="K572" s="6" t="s">
        <v>51</v>
      </c>
      <c r="L572" s="6" t="s">
        <v>51</v>
      </c>
      <c r="M572" s="6" t="s">
        <v>51</v>
      </c>
      <c r="N572" s="6" t="s">
        <v>51</v>
      </c>
    </row>
    <row r="573">
      <c r="B573" s="6" t="s">
        <v>51</v>
      </c>
      <c r="C573" s="6" t="s">
        <v>51</v>
      </c>
      <c r="K573" s="6" t="s">
        <v>51</v>
      </c>
      <c r="L573" s="6" t="s">
        <v>51</v>
      </c>
      <c r="M573" s="6" t="s">
        <v>51</v>
      </c>
      <c r="N573" s="6" t="s">
        <v>51</v>
      </c>
    </row>
    <row r="574">
      <c r="B574" s="6" t="s">
        <v>51</v>
      </c>
      <c r="C574" s="6" t="s">
        <v>51</v>
      </c>
      <c r="K574" s="6" t="s">
        <v>51</v>
      </c>
      <c r="L574" s="6" t="s">
        <v>51</v>
      </c>
      <c r="M574" s="6" t="s">
        <v>51</v>
      </c>
      <c r="N574" s="6" t="s">
        <v>51</v>
      </c>
    </row>
    <row r="575">
      <c r="B575" s="6" t="s">
        <v>51</v>
      </c>
      <c r="C575" s="6" t="s">
        <v>51</v>
      </c>
      <c r="K575" s="6" t="s">
        <v>51</v>
      </c>
      <c r="L575" s="6" t="s">
        <v>51</v>
      </c>
      <c r="M575" s="6" t="s">
        <v>51</v>
      </c>
      <c r="N575" s="6" t="s">
        <v>51</v>
      </c>
    </row>
    <row r="576">
      <c r="B576" s="6" t="s">
        <v>51</v>
      </c>
      <c r="C576" s="6" t="s">
        <v>51</v>
      </c>
      <c r="K576" s="6" t="s">
        <v>51</v>
      </c>
      <c r="L576" s="6" t="s">
        <v>51</v>
      </c>
      <c r="M576" s="6" t="s">
        <v>51</v>
      </c>
      <c r="N576" s="6" t="s">
        <v>51</v>
      </c>
    </row>
    <row r="577">
      <c r="B577" s="6" t="s">
        <v>51</v>
      </c>
      <c r="C577" s="6" t="s">
        <v>51</v>
      </c>
      <c r="K577" s="6" t="s">
        <v>51</v>
      </c>
      <c r="L577" s="6" t="s">
        <v>51</v>
      </c>
      <c r="M577" s="6" t="s">
        <v>51</v>
      </c>
      <c r="N577" s="6" t="s">
        <v>51</v>
      </c>
    </row>
    <row r="578">
      <c r="B578" s="6" t="s">
        <v>51</v>
      </c>
      <c r="C578" s="6" t="s">
        <v>51</v>
      </c>
      <c r="K578" s="6" t="s">
        <v>51</v>
      </c>
      <c r="L578" s="6" t="s">
        <v>51</v>
      </c>
      <c r="M578" s="6" t="s">
        <v>51</v>
      </c>
      <c r="N578" s="6" t="s">
        <v>51</v>
      </c>
    </row>
    <row r="579">
      <c r="B579" s="6" t="s">
        <v>51</v>
      </c>
      <c r="C579" s="6" t="s">
        <v>51</v>
      </c>
      <c r="K579" s="6" t="s">
        <v>51</v>
      </c>
      <c r="L579" s="6" t="s">
        <v>51</v>
      </c>
      <c r="M579" s="6" t="s">
        <v>51</v>
      </c>
      <c r="N579" s="6" t="s">
        <v>51</v>
      </c>
    </row>
    <row r="580">
      <c r="B580" s="6" t="s">
        <v>51</v>
      </c>
      <c r="C580" s="6" t="s">
        <v>51</v>
      </c>
      <c r="K580" s="6" t="s">
        <v>51</v>
      </c>
      <c r="L580" s="6" t="s">
        <v>51</v>
      </c>
      <c r="M580" s="6" t="s">
        <v>51</v>
      </c>
      <c r="N580" s="6" t="s">
        <v>51</v>
      </c>
    </row>
    <row r="581">
      <c r="B581" s="6" t="s">
        <v>51</v>
      </c>
      <c r="C581" s="6" t="s">
        <v>51</v>
      </c>
      <c r="K581" s="6" t="s">
        <v>51</v>
      </c>
      <c r="L581" s="6" t="s">
        <v>51</v>
      </c>
      <c r="M581" s="6" t="s">
        <v>51</v>
      </c>
      <c r="N581" s="6" t="s">
        <v>51</v>
      </c>
    </row>
    <row r="582">
      <c r="B582" s="6" t="s">
        <v>51</v>
      </c>
      <c r="C582" s="6" t="s">
        <v>51</v>
      </c>
      <c r="K582" s="6" t="s">
        <v>51</v>
      </c>
      <c r="L582" s="6" t="s">
        <v>51</v>
      </c>
      <c r="M582" s="6" t="s">
        <v>51</v>
      </c>
      <c r="N582" s="6" t="s">
        <v>51</v>
      </c>
    </row>
    <row r="583">
      <c r="B583" s="6" t="s">
        <v>51</v>
      </c>
      <c r="C583" s="6" t="s">
        <v>51</v>
      </c>
      <c r="K583" s="6" t="s">
        <v>51</v>
      </c>
      <c r="L583" s="6" t="s">
        <v>51</v>
      </c>
      <c r="M583" s="6" t="s">
        <v>51</v>
      </c>
      <c r="N583" s="6" t="s">
        <v>51</v>
      </c>
    </row>
    <row r="584">
      <c r="B584" s="6" t="s">
        <v>51</v>
      </c>
      <c r="C584" s="6" t="s">
        <v>51</v>
      </c>
      <c r="K584" s="6" t="s">
        <v>51</v>
      </c>
      <c r="L584" s="6" t="s">
        <v>51</v>
      </c>
      <c r="M584" s="6" t="s">
        <v>51</v>
      </c>
      <c r="N584" s="6" t="s">
        <v>51</v>
      </c>
    </row>
    <row r="585">
      <c r="B585" s="6" t="s">
        <v>51</v>
      </c>
      <c r="C585" s="6" t="s">
        <v>51</v>
      </c>
      <c r="K585" s="6" t="s">
        <v>51</v>
      </c>
      <c r="L585" s="6" t="s">
        <v>51</v>
      </c>
      <c r="M585" s="6" t="s">
        <v>51</v>
      </c>
      <c r="N585" s="6" t="s">
        <v>51</v>
      </c>
    </row>
    <row r="586">
      <c r="B586" s="6" t="s">
        <v>51</v>
      </c>
      <c r="C586" s="6" t="s">
        <v>51</v>
      </c>
      <c r="K586" s="6" t="s">
        <v>51</v>
      </c>
      <c r="L586" s="6" t="s">
        <v>51</v>
      </c>
      <c r="M586" s="6" t="s">
        <v>51</v>
      </c>
      <c r="N586" s="6" t="s">
        <v>51</v>
      </c>
    </row>
    <row r="587">
      <c r="B587" s="6" t="s">
        <v>51</v>
      </c>
      <c r="C587" s="6" t="s">
        <v>51</v>
      </c>
      <c r="K587" s="6" t="s">
        <v>51</v>
      </c>
      <c r="L587" s="6" t="s">
        <v>51</v>
      </c>
      <c r="M587" s="6" t="s">
        <v>51</v>
      </c>
      <c r="N587" s="6" t="s">
        <v>51</v>
      </c>
    </row>
    <row r="588">
      <c r="B588" s="6" t="s">
        <v>51</v>
      </c>
      <c r="C588" s="6" t="s">
        <v>51</v>
      </c>
      <c r="K588" s="6" t="s">
        <v>51</v>
      </c>
      <c r="L588" s="6" t="s">
        <v>51</v>
      </c>
      <c r="M588" s="6" t="s">
        <v>51</v>
      </c>
      <c r="N588" s="6" t="s">
        <v>51</v>
      </c>
    </row>
    <row r="589">
      <c r="B589" s="6" t="s">
        <v>51</v>
      </c>
      <c r="C589" s="6" t="s">
        <v>51</v>
      </c>
      <c r="K589" s="6" t="s">
        <v>51</v>
      </c>
      <c r="L589" s="6" t="s">
        <v>51</v>
      </c>
      <c r="M589" s="6" t="s">
        <v>51</v>
      </c>
      <c r="N589" s="6" t="s">
        <v>51</v>
      </c>
    </row>
    <row r="590">
      <c r="B590" s="6" t="s">
        <v>51</v>
      </c>
      <c r="C590" s="6" t="s">
        <v>51</v>
      </c>
      <c r="K590" s="6" t="s">
        <v>51</v>
      </c>
      <c r="L590" s="6" t="s">
        <v>51</v>
      </c>
      <c r="M590" s="6" t="s">
        <v>51</v>
      </c>
      <c r="N590" s="6" t="s">
        <v>51</v>
      </c>
    </row>
    <row r="591">
      <c r="B591" s="6" t="s">
        <v>51</v>
      </c>
      <c r="C591" s="6" t="s">
        <v>51</v>
      </c>
      <c r="K591" s="6" t="s">
        <v>51</v>
      </c>
      <c r="L591" s="6" t="s">
        <v>51</v>
      </c>
      <c r="M591" s="6" t="s">
        <v>51</v>
      </c>
      <c r="N591" s="6" t="s">
        <v>51</v>
      </c>
    </row>
    <row r="592">
      <c r="B592" s="6" t="s">
        <v>51</v>
      </c>
      <c r="C592" s="6" t="s">
        <v>51</v>
      </c>
      <c r="K592" s="6" t="s">
        <v>51</v>
      </c>
      <c r="L592" s="6" t="s">
        <v>51</v>
      </c>
      <c r="M592" s="6" t="s">
        <v>51</v>
      </c>
      <c r="N592" s="6" t="s">
        <v>51</v>
      </c>
    </row>
    <row r="593">
      <c r="B593" s="6" t="s">
        <v>51</v>
      </c>
      <c r="C593" s="6" t="s">
        <v>51</v>
      </c>
      <c r="K593" s="6" t="s">
        <v>51</v>
      </c>
      <c r="L593" s="6" t="s">
        <v>51</v>
      </c>
      <c r="M593" s="6" t="s">
        <v>51</v>
      </c>
      <c r="N593" s="6" t="s">
        <v>51</v>
      </c>
    </row>
    <row r="594">
      <c r="B594" s="6" t="s">
        <v>51</v>
      </c>
      <c r="C594" s="6" t="s">
        <v>51</v>
      </c>
      <c r="K594" s="6" t="s">
        <v>51</v>
      </c>
      <c r="L594" s="6" t="s">
        <v>51</v>
      </c>
      <c r="M594" s="6" t="s">
        <v>51</v>
      </c>
      <c r="N594" s="6" t="s">
        <v>51</v>
      </c>
    </row>
    <row r="595">
      <c r="B595" s="6" t="s">
        <v>51</v>
      </c>
      <c r="C595" s="6" t="s">
        <v>51</v>
      </c>
      <c r="K595" s="6" t="s">
        <v>51</v>
      </c>
      <c r="L595" s="6" t="s">
        <v>51</v>
      </c>
      <c r="M595" s="6" t="s">
        <v>51</v>
      </c>
      <c r="N595" s="6" t="s">
        <v>51</v>
      </c>
    </row>
    <row r="596">
      <c r="B596" s="6" t="s">
        <v>51</v>
      </c>
      <c r="C596" s="6" t="s">
        <v>51</v>
      </c>
      <c r="K596" s="6" t="s">
        <v>51</v>
      </c>
      <c r="L596" s="6" t="s">
        <v>51</v>
      </c>
      <c r="M596" s="6" t="s">
        <v>51</v>
      </c>
      <c r="N596" s="6" t="s">
        <v>51</v>
      </c>
    </row>
    <row r="597">
      <c r="B597" s="6" t="s">
        <v>51</v>
      </c>
      <c r="C597" s="6" t="s">
        <v>51</v>
      </c>
      <c r="K597" s="6" t="s">
        <v>51</v>
      </c>
      <c r="L597" s="6" t="s">
        <v>51</v>
      </c>
      <c r="M597" s="6" t="s">
        <v>51</v>
      </c>
      <c r="N597" s="6" t="s">
        <v>51</v>
      </c>
    </row>
    <row r="598">
      <c r="B598" s="6" t="s">
        <v>51</v>
      </c>
      <c r="C598" s="6" t="s">
        <v>51</v>
      </c>
      <c r="K598" s="6" t="s">
        <v>51</v>
      </c>
      <c r="L598" s="6" t="s">
        <v>51</v>
      </c>
      <c r="M598" s="6" t="s">
        <v>51</v>
      </c>
      <c r="N598" s="6" t="s">
        <v>51</v>
      </c>
    </row>
    <row r="599">
      <c r="B599" s="6" t="s">
        <v>51</v>
      </c>
      <c r="C599" s="6" t="s">
        <v>51</v>
      </c>
      <c r="K599" s="6" t="s">
        <v>51</v>
      </c>
      <c r="L599" s="6" t="s">
        <v>51</v>
      </c>
      <c r="M599" s="6" t="s">
        <v>51</v>
      </c>
      <c r="N599" s="6" t="s">
        <v>51</v>
      </c>
    </row>
    <row r="600">
      <c r="B600" s="6" t="s">
        <v>51</v>
      </c>
      <c r="C600" s="6" t="s">
        <v>51</v>
      </c>
      <c r="K600" s="6" t="s">
        <v>51</v>
      </c>
      <c r="L600" s="6" t="s">
        <v>51</v>
      </c>
      <c r="M600" s="6" t="s">
        <v>51</v>
      </c>
      <c r="N600" s="6" t="s">
        <v>51</v>
      </c>
    </row>
    <row r="601">
      <c r="B601" s="6" t="s">
        <v>51</v>
      </c>
      <c r="C601" s="6" t="s">
        <v>51</v>
      </c>
      <c r="K601" s="6" t="s">
        <v>51</v>
      </c>
      <c r="L601" s="6" t="s">
        <v>51</v>
      </c>
      <c r="M601" s="6" t="s">
        <v>51</v>
      </c>
      <c r="N601" s="6" t="s">
        <v>51</v>
      </c>
    </row>
    <row r="602">
      <c r="B602" s="6" t="s">
        <v>51</v>
      </c>
      <c r="C602" s="6" t="s">
        <v>51</v>
      </c>
      <c r="K602" s="6" t="s">
        <v>51</v>
      </c>
      <c r="L602" s="6" t="s">
        <v>51</v>
      </c>
      <c r="M602" s="6" t="s">
        <v>51</v>
      </c>
      <c r="N602" s="6" t="s">
        <v>51</v>
      </c>
    </row>
    <row r="603">
      <c r="B603" s="6" t="s">
        <v>51</v>
      </c>
      <c r="C603" s="6" t="s">
        <v>51</v>
      </c>
      <c r="K603" s="6" t="s">
        <v>51</v>
      </c>
      <c r="L603" s="6" t="s">
        <v>51</v>
      </c>
      <c r="M603" s="6" t="s">
        <v>51</v>
      </c>
      <c r="N603" s="6" t="s">
        <v>51</v>
      </c>
    </row>
    <row r="604">
      <c r="B604" s="6" t="s">
        <v>51</v>
      </c>
      <c r="C604" s="6" t="s">
        <v>51</v>
      </c>
      <c r="K604" s="6" t="s">
        <v>51</v>
      </c>
      <c r="L604" s="6" t="s">
        <v>51</v>
      </c>
      <c r="M604" s="6" t="s">
        <v>51</v>
      </c>
      <c r="N604" s="6" t="s">
        <v>51</v>
      </c>
    </row>
    <row r="605">
      <c r="B605" s="6" t="s">
        <v>51</v>
      </c>
      <c r="C605" s="6" t="s">
        <v>51</v>
      </c>
      <c r="K605" s="6" t="s">
        <v>51</v>
      </c>
      <c r="L605" s="6" t="s">
        <v>51</v>
      </c>
      <c r="M605" s="6" t="s">
        <v>51</v>
      </c>
      <c r="N605" s="6" t="s">
        <v>51</v>
      </c>
    </row>
    <row r="606">
      <c r="B606" s="6" t="s">
        <v>51</v>
      </c>
      <c r="C606" s="6" t="s">
        <v>51</v>
      </c>
      <c r="K606" s="6" t="s">
        <v>51</v>
      </c>
      <c r="L606" s="6" t="s">
        <v>51</v>
      </c>
      <c r="M606" s="6" t="s">
        <v>51</v>
      </c>
      <c r="N606" s="6" t="s">
        <v>51</v>
      </c>
    </row>
    <row r="607">
      <c r="B607" s="6" t="s">
        <v>51</v>
      </c>
      <c r="C607" s="6" t="s">
        <v>51</v>
      </c>
      <c r="K607" s="6" t="s">
        <v>51</v>
      </c>
      <c r="L607" s="6" t="s">
        <v>51</v>
      </c>
      <c r="M607" s="6" t="s">
        <v>51</v>
      </c>
      <c r="N607" s="6" t="s">
        <v>51</v>
      </c>
    </row>
    <row r="608">
      <c r="B608" s="6" t="s">
        <v>51</v>
      </c>
      <c r="C608" s="6" t="s">
        <v>51</v>
      </c>
      <c r="K608" s="6" t="s">
        <v>51</v>
      </c>
      <c r="L608" s="6" t="s">
        <v>51</v>
      </c>
      <c r="M608" s="6" t="s">
        <v>51</v>
      </c>
      <c r="N608" s="6" t="s">
        <v>51</v>
      </c>
    </row>
    <row r="609">
      <c r="B609" s="6" t="s">
        <v>51</v>
      </c>
      <c r="C609" s="6" t="s">
        <v>51</v>
      </c>
      <c r="K609" s="6" t="s">
        <v>51</v>
      </c>
      <c r="L609" s="6" t="s">
        <v>51</v>
      </c>
      <c r="M609" s="6" t="s">
        <v>51</v>
      </c>
      <c r="N609" s="6" t="s">
        <v>51</v>
      </c>
    </row>
    <row r="610">
      <c r="B610" s="6" t="s">
        <v>51</v>
      </c>
      <c r="C610" s="6" t="s">
        <v>51</v>
      </c>
      <c r="K610" s="6" t="s">
        <v>51</v>
      </c>
      <c r="L610" s="6" t="s">
        <v>51</v>
      </c>
      <c r="M610" s="6" t="s">
        <v>51</v>
      </c>
      <c r="N610" s="6" t="s">
        <v>51</v>
      </c>
    </row>
    <row r="611">
      <c r="B611" s="6" t="s">
        <v>51</v>
      </c>
      <c r="C611" s="6" t="s">
        <v>51</v>
      </c>
      <c r="K611" s="6" t="s">
        <v>51</v>
      </c>
      <c r="L611" s="6" t="s">
        <v>51</v>
      </c>
      <c r="M611" s="6" t="s">
        <v>51</v>
      </c>
      <c r="N611" s="6" t="s">
        <v>51</v>
      </c>
    </row>
    <row r="612">
      <c r="B612" s="6" t="s">
        <v>51</v>
      </c>
      <c r="C612" s="6" t="s">
        <v>51</v>
      </c>
      <c r="K612" s="6" t="s">
        <v>51</v>
      </c>
      <c r="L612" s="6" t="s">
        <v>51</v>
      </c>
      <c r="M612" s="6" t="s">
        <v>51</v>
      </c>
      <c r="N612" s="6" t="s">
        <v>51</v>
      </c>
    </row>
    <row r="613">
      <c r="B613" s="6" t="s">
        <v>51</v>
      </c>
      <c r="C613" s="6" t="s">
        <v>51</v>
      </c>
      <c r="K613" s="6" t="s">
        <v>51</v>
      </c>
      <c r="L613" s="6" t="s">
        <v>51</v>
      </c>
      <c r="M613" s="6" t="s">
        <v>51</v>
      </c>
      <c r="N613" s="6" t="s">
        <v>51</v>
      </c>
    </row>
    <row r="614">
      <c r="B614" s="6" t="s">
        <v>51</v>
      </c>
      <c r="C614" s="6" t="s">
        <v>51</v>
      </c>
      <c r="K614" s="6" t="s">
        <v>51</v>
      </c>
      <c r="L614" s="6" t="s">
        <v>51</v>
      </c>
      <c r="M614" s="6" t="s">
        <v>51</v>
      </c>
      <c r="N614" s="6" t="s">
        <v>51</v>
      </c>
    </row>
    <row r="615">
      <c r="B615" s="6" t="s">
        <v>51</v>
      </c>
      <c r="C615" s="6" t="s">
        <v>51</v>
      </c>
      <c r="K615" s="6" t="s">
        <v>51</v>
      </c>
      <c r="L615" s="6" t="s">
        <v>51</v>
      </c>
      <c r="M615" s="6" t="s">
        <v>51</v>
      </c>
      <c r="N615" s="6" t="s">
        <v>51</v>
      </c>
    </row>
    <row r="616">
      <c r="B616" s="6" t="s">
        <v>51</v>
      </c>
      <c r="C616" s="6" t="s">
        <v>51</v>
      </c>
      <c r="K616" s="6" t="s">
        <v>51</v>
      </c>
      <c r="L616" s="6" t="s">
        <v>51</v>
      </c>
      <c r="M616" s="6" t="s">
        <v>51</v>
      </c>
      <c r="N616" s="6" t="s">
        <v>51</v>
      </c>
    </row>
    <row r="617">
      <c r="B617" s="6" t="s">
        <v>51</v>
      </c>
      <c r="C617" s="6" t="s">
        <v>51</v>
      </c>
      <c r="K617" s="6" t="s">
        <v>51</v>
      </c>
      <c r="L617" s="6" t="s">
        <v>51</v>
      </c>
      <c r="M617" s="6" t="s">
        <v>51</v>
      </c>
      <c r="N617" s="6" t="s">
        <v>51</v>
      </c>
    </row>
    <row r="618">
      <c r="B618" s="6" t="s">
        <v>51</v>
      </c>
      <c r="C618" s="6" t="s">
        <v>51</v>
      </c>
      <c r="K618" s="6" t="s">
        <v>51</v>
      </c>
      <c r="L618" s="6" t="s">
        <v>51</v>
      </c>
      <c r="M618" s="6" t="s">
        <v>51</v>
      </c>
      <c r="N618" s="6" t="s">
        <v>51</v>
      </c>
    </row>
    <row r="619">
      <c r="B619" s="6" t="s">
        <v>51</v>
      </c>
      <c r="C619" s="6" t="s">
        <v>51</v>
      </c>
      <c r="K619" s="6" t="s">
        <v>51</v>
      </c>
      <c r="L619" s="6" t="s">
        <v>51</v>
      </c>
      <c r="M619" s="6" t="s">
        <v>51</v>
      </c>
      <c r="N619" s="6" t="s">
        <v>51</v>
      </c>
    </row>
    <row r="620">
      <c r="B620" s="6" t="s">
        <v>51</v>
      </c>
      <c r="C620" s="6" t="s">
        <v>51</v>
      </c>
      <c r="K620" s="6" t="s">
        <v>51</v>
      </c>
      <c r="L620" s="6" t="s">
        <v>51</v>
      </c>
      <c r="M620" s="6" t="s">
        <v>51</v>
      </c>
      <c r="N620" s="6" t="s">
        <v>51</v>
      </c>
    </row>
    <row r="621">
      <c r="B621" s="6" t="s">
        <v>51</v>
      </c>
      <c r="C621" s="6" t="s">
        <v>51</v>
      </c>
      <c r="K621" s="6" t="s">
        <v>51</v>
      </c>
      <c r="L621" s="6" t="s">
        <v>51</v>
      </c>
      <c r="M621" s="6" t="s">
        <v>51</v>
      </c>
      <c r="N621" s="6" t="s">
        <v>51</v>
      </c>
    </row>
    <row r="622">
      <c r="B622" s="6" t="s">
        <v>51</v>
      </c>
      <c r="C622" s="6" t="s">
        <v>51</v>
      </c>
      <c r="K622" s="6" t="s">
        <v>51</v>
      </c>
      <c r="L622" s="6" t="s">
        <v>51</v>
      </c>
      <c r="M622" s="6" t="s">
        <v>51</v>
      </c>
      <c r="N622" s="6" t="s">
        <v>51</v>
      </c>
    </row>
    <row r="623">
      <c r="B623" s="6" t="s">
        <v>51</v>
      </c>
      <c r="C623" s="6" t="s">
        <v>51</v>
      </c>
      <c r="K623" s="6" t="s">
        <v>51</v>
      </c>
      <c r="L623" s="6" t="s">
        <v>51</v>
      </c>
      <c r="M623" s="6" t="s">
        <v>51</v>
      </c>
      <c r="N623" s="6" t="s">
        <v>51</v>
      </c>
    </row>
    <row r="624">
      <c r="B624" s="6" t="s">
        <v>51</v>
      </c>
      <c r="C624" s="6" t="s">
        <v>51</v>
      </c>
      <c r="K624" s="6" t="s">
        <v>51</v>
      </c>
      <c r="L624" s="6" t="s">
        <v>51</v>
      </c>
      <c r="M624" s="6" t="s">
        <v>51</v>
      </c>
      <c r="N624" s="6" t="s">
        <v>51</v>
      </c>
    </row>
    <row r="625">
      <c r="B625" s="6" t="s">
        <v>51</v>
      </c>
      <c r="C625" s="6" t="s">
        <v>51</v>
      </c>
      <c r="K625" s="6" t="s">
        <v>51</v>
      </c>
      <c r="L625" s="6" t="s">
        <v>51</v>
      </c>
      <c r="M625" s="6" t="s">
        <v>51</v>
      </c>
      <c r="N625" s="6" t="s">
        <v>51</v>
      </c>
    </row>
    <row r="626">
      <c r="B626" s="6" t="s">
        <v>51</v>
      </c>
      <c r="C626" s="6" t="s">
        <v>51</v>
      </c>
      <c r="K626" s="6" t="s">
        <v>51</v>
      </c>
      <c r="L626" s="6" t="s">
        <v>51</v>
      </c>
      <c r="M626" s="6" t="s">
        <v>51</v>
      </c>
      <c r="N626" s="6" t="s">
        <v>51</v>
      </c>
    </row>
    <row r="627">
      <c r="B627" s="6" t="s">
        <v>51</v>
      </c>
      <c r="C627" s="6" t="s">
        <v>51</v>
      </c>
      <c r="K627" s="6" t="s">
        <v>51</v>
      </c>
      <c r="L627" s="6" t="s">
        <v>51</v>
      </c>
      <c r="M627" s="6" t="s">
        <v>51</v>
      </c>
      <c r="N627" s="6" t="s">
        <v>51</v>
      </c>
    </row>
    <row r="628">
      <c r="B628" s="6" t="s">
        <v>51</v>
      </c>
      <c r="C628" s="6" t="s">
        <v>51</v>
      </c>
      <c r="K628" s="6" t="s">
        <v>51</v>
      </c>
      <c r="L628" s="6" t="s">
        <v>51</v>
      </c>
      <c r="M628" s="6" t="s">
        <v>51</v>
      </c>
      <c r="N628" s="6" t="s">
        <v>51</v>
      </c>
    </row>
    <row r="629">
      <c r="B629" s="6" t="s">
        <v>51</v>
      </c>
      <c r="C629" s="6" t="s">
        <v>51</v>
      </c>
      <c r="K629" s="6" t="s">
        <v>51</v>
      </c>
      <c r="L629" s="6" t="s">
        <v>51</v>
      </c>
      <c r="M629" s="6" t="s">
        <v>51</v>
      </c>
      <c r="N629" s="6" t="s">
        <v>51</v>
      </c>
    </row>
    <row r="630">
      <c r="B630" s="6" t="s">
        <v>51</v>
      </c>
      <c r="C630" s="6" t="s">
        <v>51</v>
      </c>
      <c r="K630" s="6" t="s">
        <v>51</v>
      </c>
      <c r="L630" s="6" t="s">
        <v>51</v>
      </c>
      <c r="M630" s="6" t="s">
        <v>51</v>
      </c>
      <c r="N630" s="6" t="s">
        <v>51</v>
      </c>
    </row>
    <row r="631">
      <c r="B631" s="6" t="s">
        <v>51</v>
      </c>
      <c r="C631" s="6" t="s">
        <v>51</v>
      </c>
      <c r="K631" s="6" t="s">
        <v>51</v>
      </c>
      <c r="L631" s="6" t="s">
        <v>51</v>
      </c>
      <c r="M631" s="6" t="s">
        <v>51</v>
      </c>
      <c r="N631" s="6" t="s">
        <v>51</v>
      </c>
    </row>
    <row r="632">
      <c r="B632" s="6" t="s">
        <v>51</v>
      </c>
      <c r="C632" s="6" t="s">
        <v>51</v>
      </c>
      <c r="K632" s="6" t="s">
        <v>51</v>
      </c>
      <c r="L632" s="6" t="s">
        <v>51</v>
      </c>
      <c r="M632" s="6" t="s">
        <v>51</v>
      </c>
      <c r="N632" s="6" t="s">
        <v>51</v>
      </c>
    </row>
    <row r="633">
      <c r="B633" s="6" t="s">
        <v>51</v>
      </c>
      <c r="C633" s="6" t="s">
        <v>51</v>
      </c>
      <c r="K633" s="6" t="s">
        <v>51</v>
      </c>
      <c r="L633" s="6" t="s">
        <v>51</v>
      </c>
      <c r="M633" s="6" t="s">
        <v>51</v>
      </c>
      <c r="N633" s="6" t="s">
        <v>51</v>
      </c>
    </row>
    <row r="634">
      <c r="B634" s="6" t="s">
        <v>51</v>
      </c>
      <c r="C634" s="6" t="s">
        <v>51</v>
      </c>
      <c r="K634" s="6" t="s">
        <v>51</v>
      </c>
      <c r="L634" s="6" t="s">
        <v>51</v>
      </c>
      <c r="M634" s="6" t="s">
        <v>51</v>
      </c>
      <c r="N634" s="6" t="s">
        <v>51</v>
      </c>
    </row>
    <row r="635">
      <c r="B635" s="6" t="s">
        <v>51</v>
      </c>
      <c r="C635" s="6" t="s">
        <v>51</v>
      </c>
      <c r="K635" s="6" t="s">
        <v>51</v>
      </c>
      <c r="L635" s="6" t="s">
        <v>51</v>
      </c>
      <c r="M635" s="6" t="s">
        <v>51</v>
      </c>
      <c r="N635" s="6" t="s">
        <v>51</v>
      </c>
    </row>
    <row r="636">
      <c r="B636" s="6" t="s">
        <v>51</v>
      </c>
      <c r="C636" s="6" t="s">
        <v>51</v>
      </c>
      <c r="K636" s="6" t="s">
        <v>51</v>
      </c>
      <c r="L636" s="6" t="s">
        <v>51</v>
      </c>
      <c r="M636" s="6" t="s">
        <v>51</v>
      </c>
      <c r="N636" s="6" t="s">
        <v>51</v>
      </c>
    </row>
    <row r="637">
      <c r="B637" s="6" t="s">
        <v>51</v>
      </c>
      <c r="C637" s="6" t="s">
        <v>51</v>
      </c>
      <c r="K637" s="6" t="s">
        <v>51</v>
      </c>
      <c r="L637" s="6" t="s">
        <v>51</v>
      </c>
      <c r="M637" s="6" t="s">
        <v>51</v>
      </c>
      <c r="N637" s="6" t="s">
        <v>51</v>
      </c>
    </row>
    <row r="638">
      <c r="B638" s="6" t="s">
        <v>51</v>
      </c>
      <c r="C638" s="6" t="s">
        <v>51</v>
      </c>
      <c r="K638" s="6" t="s">
        <v>51</v>
      </c>
      <c r="L638" s="6" t="s">
        <v>51</v>
      </c>
      <c r="M638" s="6" t="s">
        <v>51</v>
      </c>
      <c r="N638" s="6" t="s">
        <v>51</v>
      </c>
    </row>
    <row r="639">
      <c r="B639" s="6" t="s">
        <v>51</v>
      </c>
      <c r="C639" s="6" t="s">
        <v>51</v>
      </c>
      <c r="K639" s="6" t="s">
        <v>51</v>
      </c>
      <c r="L639" s="6" t="s">
        <v>51</v>
      </c>
      <c r="M639" s="6" t="s">
        <v>51</v>
      </c>
      <c r="N639" s="6" t="s">
        <v>51</v>
      </c>
    </row>
    <row r="640">
      <c r="B640" s="6" t="s">
        <v>51</v>
      </c>
      <c r="C640" s="6" t="s">
        <v>51</v>
      </c>
      <c r="K640" s="6" t="s">
        <v>51</v>
      </c>
      <c r="L640" s="6" t="s">
        <v>51</v>
      </c>
      <c r="M640" s="6" t="s">
        <v>51</v>
      </c>
      <c r="N640" s="6" t="s">
        <v>51</v>
      </c>
    </row>
    <row r="641">
      <c r="B641" s="6" t="s">
        <v>51</v>
      </c>
      <c r="C641" s="6" t="s">
        <v>51</v>
      </c>
      <c r="K641" s="6" t="s">
        <v>51</v>
      </c>
      <c r="L641" s="6" t="s">
        <v>51</v>
      </c>
      <c r="M641" s="6" t="s">
        <v>51</v>
      </c>
      <c r="N641" s="6" t="s">
        <v>51</v>
      </c>
    </row>
    <row r="642">
      <c r="B642" s="6" t="s">
        <v>51</v>
      </c>
      <c r="C642" s="6" t="s">
        <v>51</v>
      </c>
      <c r="K642" s="6" t="s">
        <v>51</v>
      </c>
      <c r="L642" s="6" t="s">
        <v>51</v>
      </c>
      <c r="M642" s="6" t="s">
        <v>51</v>
      </c>
      <c r="N642" s="6" t="s">
        <v>51</v>
      </c>
    </row>
    <row r="643">
      <c r="B643" s="6" t="s">
        <v>51</v>
      </c>
      <c r="C643" s="6" t="s">
        <v>51</v>
      </c>
      <c r="K643" s="6" t="s">
        <v>51</v>
      </c>
      <c r="L643" s="6" t="s">
        <v>51</v>
      </c>
      <c r="M643" s="6" t="s">
        <v>51</v>
      </c>
      <c r="N643" s="6" t="s">
        <v>51</v>
      </c>
    </row>
    <row r="644">
      <c r="B644" s="6" t="s">
        <v>51</v>
      </c>
      <c r="C644" s="6" t="s">
        <v>51</v>
      </c>
      <c r="K644" s="6" t="s">
        <v>51</v>
      </c>
      <c r="L644" s="6" t="s">
        <v>51</v>
      </c>
      <c r="M644" s="6" t="s">
        <v>51</v>
      </c>
      <c r="N644" s="6" t="s">
        <v>51</v>
      </c>
    </row>
    <row r="645">
      <c r="B645" s="6" t="s">
        <v>51</v>
      </c>
      <c r="C645" s="6" t="s">
        <v>51</v>
      </c>
      <c r="K645" s="6" t="s">
        <v>51</v>
      </c>
      <c r="L645" s="6" t="s">
        <v>51</v>
      </c>
      <c r="M645" s="6" t="s">
        <v>51</v>
      </c>
      <c r="N645" s="6" t="s">
        <v>51</v>
      </c>
    </row>
    <row r="646">
      <c r="B646" s="6" t="s">
        <v>51</v>
      </c>
      <c r="C646" s="6" t="s">
        <v>51</v>
      </c>
      <c r="K646" s="6" t="s">
        <v>51</v>
      </c>
      <c r="L646" s="6" t="s">
        <v>51</v>
      </c>
      <c r="M646" s="6" t="s">
        <v>51</v>
      </c>
      <c r="N646" s="6" t="s">
        <v>51</v>
      </c>
    </row>
    <row r="647">
      <c r="B647" s="6" t="s">
        <v>51</v>
      </c>
      <c r="C647" s="6" t="s">
        <v>51</v>
      </c>
      <c r="K647" s="6" t="s">
        <v>51</v>
      </c>
      <c r="L647" s="6" t="s">
        <v>51</v>
      </c>
      <c r="M647" s="6" t="s">
        <v>51</v>
      </c>
      <c r="N647" s="6" t="s">
        <v>51</v>
      </c>
    </row>
    <row r="648">
      <c r="B648" s="6" t="s">
        <v>51</v>
      </c>
      <c r="C648" s="6" t="s">
        <v>51</v>
      </c>
      <c r="K648" s="6" t="s">
        <v>51</v>
      </c>
      <c r="L648" s="6" t="s">
        <v>51</v>
      </c>
      <c r="M648" s="6" t="s">
        <v>51</v>
      </c>
      <c r="N648" s="6" t="s">
        <v>51</v>
      </c>
    </row>
    <row r="649">
      <c r="B649" s="6" t="s">
        <v>51</v>
      </c>
      <c r="C649" s="6" t="s">
        <v>51</v>
      </c>
      <c r="K649" s="6" t="s">
        <v>51</v>
      </c>
      <c r="L649" s="6" t="s">
        <v>51</v>
      </c>
      <c r="M649" s="6" t="s">
        <v>51</v>
      </c>
      <c r="N649" s="6" t="s">
        <v>51</v>
      </c>
    </row>
    <row r="650">
      <c r="B650" s="6" t="s">
        <v>51</v>
      </c>
      <c r="C650" s="6" t="s">
        <v>51</v>
      </c>
      <c r="K650" s="6" t="s">
        <v>51</v>
      </c>
      <c r="L650" s="6" t="s">
        <v>51</v>
      </c>
      <c r="M650" s="6" t="s">
        <v>51</v>
      </c>
      <c r="N650" s="6" t="s">
        <v>51</v>
      </c>
    </row>
    <row r="651">
      <c r="B651" s="6" t="s">
        <v>51</v>
      </c>
      <c r="C651" s="6" t="s">
        <v>51</v>
      </c>
      <c r="K651" s="6" t="s">
        <v>51</v>
      </c>
      <c r="L651" s="6" t="s">
        <v>51</v>
      </c>
      <c r="M651" s="6" t="s">
        <v>51</v>
      </c>
      <c r="N651" s="6" t="s">
        <v>51</v>
      </c>
    </row>
    <row r="652">
      <c r="B652" s="6" t="s">
        <v>51</v>
      </c>
      <c r="C652" s="6" t="s">
        <v>51</v>
      </c>
      <c r="K652" s="6" t="s">
        <v>51</v>
      </c>
      <c r="L652" s="6" t="s">
        <v>51</v>
      </c>
      <c r="M652" s="6" t="s">
        <v>51</v>
      </c>
      <c r="N652" s="6" t="s">
        <v>51</v>
      </c>
    </row>
    <row r="653">
      <c r="B653" s="6" t="s">
        <v>51</v>
      </c>
      <c r="C653" s="6" t="s">
        <v>51</v>
      </c>
      <c r="K653" s="6" t="s">
        <v>51</v>
      </c>
      <c r="L653" s="6" t="s">
        <v>51</v>
      </c>
      <c r="M653" s="6" t="s">
        <v>51</v>
      </c>
      <c r="N653" s="6" t="s">
        <v>51</v>
      </c>
    </row>
    <row r="654">
      <c r="B654" s="6" t="s">
        <v>51</v>
      </c>
      <c r="C654" s="6" t="s">
        <v>51</v>
      </c>
      <c r="K654" s="6" t="s">
        <v>51</v>
      </c>
      <c r="L654" s="6" t="s">
        <v>51</v>
      </c>
      <c r="M654" s="6" t="s">
        <v>51</v>
      </c>
      <c r="N654" s="6" t="s">
        <v>51</v>
      </c>
    </row>
    <row r="655">
      <c r="B655" s="6" t="s">
        <v>51</v>
      </c>
      <c r="C655" s="6" t="s">
        <v>51</v>
      </c>
      <c r="K655" s="6" t="s">
        <v>51</v>
      </c>
      <c r="L655" s="6" t="s">
        <v>51</v>
      </c>
      <c r="M655" s="6" t="s">
        <v>51</v>
      </c>
      <c r="N655" s="6" t="s">
        <v>51</v>
      </c>
    </row>
    <row r="656">
      <c r="B656" s="6" t="s">
        <v>51</v>
      </c>
      <c r="C656" s="6" t="s">
        <v>51</v>
      </c>
      <c r="K656" s="6" t="s">
        <v>51</v>
      </c>
      <c r="L656" s="6" t="s">
        <v>51</v>
      </c>
      <c r="M656" s="6" t="s">
        <v>51</v>
      </c>
      <c r="N656" s="6" t="s">
        <v>51</v>
      </c>
    </row>
    <row r="657">
      <c r="B657" s="6" t="s">
        <v>51</v>
      </c>
      <c r="C657" s="6" t="s">
        <v>51</v>
      </c>
      <c r="K657" s="6" t="s">
        <v>51</v>
      </c>
      <c r="L657" s="6" t="s">
        <v>51</v>
      </c>
      <c r="M657" s="6" t="s">
        <v>51</v>
      </c>
      <c r="N657" s="6" t="s">
        <v>51</v>
      </c>
    </row>
    <row r="658">
      <c r="B658" s="6" t="s">
        <v>51</v>
      </c>
      <c r="C658" s="6" t="s">
        <v>51</v>
      </c>
      <c r="K658" s="6" t="s">
        <v>51</v>
      </c>
      <c r="L658" s="6" t="s">
        <v>51</v>
      </c>
      <c r="M658" s="6" t="s">
        <v>51</v>
      </c>
      <c r="N658" s="6" t="s">
        <v>51</v>
      </c>
    </row>
    <row r="659">
      <c r="B659" s="6" t="s">
        <v>51</v>
      </c>
      <c r="C659" s="6" t="s">
        <v>51</v>
      </c>
      <c r="K659" s="6" t="s">
        <v>51</v>
      </c>
      <c r="L659" s="6" t="s">
        <v>51</v>
      </c>
      <c r="M659" s="6" t="s">
        <v>51</v>
      </c>
      <c r="N659" s="6" t="s">
        <v>51</v>
      </c>
    </row>
    <row r="660">
      <c r="B660" s="6" t="s">
        <v>51</v>
      </c>
      <c r="C660" s="6" t="s">
        <v>51</v>
      </c>
      <c r="K660" s="6" t="s">
        <v>51</v>
      </c>
      <c r="L660" s="6" t="s">
        <v>51</v>
      </c>
      <c r="M660" s="6" t="s">
        <v>51</v>
      </c>
      <c r="N660" s="6" t="s">
        <v>51</v>
      </c>
    </row>
    <row r="661">
      <c r="B661" s="6" t="s">
        <v>51</v>
      </c>
      <c r="C661" s="6" t="s">
        <v>51</v>
      </c>
      <c r="K661" s="6" t="s">
        <v>51</v>
      </c>
      <c r="L661" s="6" t="s">
        <v>51</v>
      </c>
      <c r="M661" s="6" t="s">
        <v>51</v>
      </c>
      <c r="N661" s="6" t="s">
        <v>51</v>
      </c>
    </row>
    <row r="662">
      <c r="B662" s="6" t="s">
        <v>51</v>
      </c>
      <c r="C662" s="6" t="s">
        <v>51</v>
      </c>
      <c r="K662" s="6" t="s">
        <v>51</v>
      </c>
      <c r="L662" s="6" t="s">
        <v>51</v>
      </c>
      <c r="M662" s="6" t="s">
        <v>51</v>
      </c>
      <c r="N662" s="6" t="s">
        <v>51</v>
      </c>
    </row>
    <row r="663">
      <c r="B663" s="6" t="s">
        <v>51</v>
      </c>
      <c r="C663" s="6" t="s">
        <v>51</v>
      </c>
      <c r="K663" s="6" t="s">
        <v>51</v>
      </c>
      <c r="L663" s="6" t="s">
        <v>51</v>
      </c>
      <c r="M663" s="6" t="s">
        <v>51</v>
      </c>
      <c r="N663" s="6" t="s">
        <v>51</v>
      </c>
    </row>
    <row r="664">
      <c r="B664" s="6" t="s">
        <v>51</v>
      </c>
      <c r="C664" s="6" t="s">
        <v>51</v>
      </c>
      <c r="K664" s="6" t="s">
        <v>51</v>
      </c>
      <c r="L664" s="6" t="s">
        <v>51</v>
      </c>
      <c r="M664" s="6" t="s">
        <v>51</v>
      </c>
      <c r="N664" s="6" t="s">
        <v>51</v>
      </c>
    </row>
    <row r="665">
      <c r="B665" s="6" t="s">
        <v>51</v>
      </c>
      <c r="C665" s="6" t="s">
        <v>51</v>
      </c>
      <c r="K665" s="6" t="s">
        <v>51</v>
      </c>
      <c r="L665" s="6" t="s">
        <v>51</v>
      </c>
      <c r="M665" s="6" t="s">
        <v>51</v>
      </c>
      <c r="N665" s="6" t="s">
        <v>51</v>
      </c>
    </row>
    <row r="666">
      <c r="B666" s="6" t="s">
        <v>51</v>
      </c>
      <c r="C666" s="6" t="s">
        <v>51</v>
      </c>
      <c r="K666" s="6" t="s">
        <v>51</v>
      </c>
      <c r="L666" s="6" t="s">
        <v>51</v>
      </c>
      <c r="M666" s="6" t="s">
        <v>51</v>
      </c>
      <c r="N666" s="6" t="s">
        <v>51</v>
      </c>
    </row>
    <row r="667">
      <c r="B667" s="6" t="s">
        <v>51</v>
      </c>
      <c r="C667" s="6" t="s">
        <v>51</v>
      </c>
      <c r="K667" s="6" t="s">
        <v>51</v>
      </c>
      <c r="L667" s="6" t="s">
        <v>51</v>
      </c>
      <c r="M667" s="6" t="s">
        <v>51</v>
      </c>
      <c r="N667" s="6" t="s">
        <v>51</v>
      </c>
    </row>
    <row r="668">
      <c r="B668" s="6" t="s">
        <v>51</v>
      </c>
      <c r="C668" s="6" t="s">
        <v>51</v>
      </c>
      <c r="K668" s="6" t="s">
        <v>51</v>
      </c>
      <c r="L668" s="6" t="s">
        <v>51</v>
      </c>
      <c r="M668" s="6" t="s">
        <v>51</v>
      </c>
      <c r="N668" s="6" t="s">
        <v>51</v>
      </c>
    </row>
    <row r="669">
      <c r="B669" s="6" t="s">
        <v>51</v>
      </c>
      <c r="C669" s="6" t="s">
        <v>51</v>
      </c>
      <c r="K669" s="6" t="s">
        <v>51</v>
      </c>
      <c r="L669" s="6" t="s">
        <v>51</v>
      </c>
      <c r="M669" s="6" t="s">
        <v>51</v>
      </c>
      <c r="N669" s="6" t="s">
        <v>51</v>
      </c>
    </row>
    <row r="670">
      <c r="B670" s="6" t="s">
        <v>51</v>
      </c>
      <c r="C670" s="6" t="s">
        <v>51</v>
      </c>
      <c r="K670" s="6" t="s">
        <v>51</v>
      </c>
      <c r="L670" s="6" t="s">
        <v>51</v>
      </c>
      <c r="M670" s="6" t="s">
        <v>51</v>
      </c>
      <c r="N670" s="6" t="s">
        <v>51</v>
      </c>
    </row>
    <row r="671">
      <c r="B671" s="6" t="s">
        <v>51</v>
      </c>
      <c r="C671" s="6" t="s">
        <v>51</v>
      </c>
      <c r="K671" s="6" t="s">
        <v>51</v>
      </c>
      <c r="L671" s="6" t="s">
        <v>51</v>
      </c>
      <c r="M671" s="6" t="s">
        <v>51</v>
      </c>
      <c r="N671" s="6" t="s">
        <v>51</v>
      </c>
    </row>
    <row r="672">
      <c r="B672" s="6" t="s">
        <v>51</v>
      </c>
      <c r="C672" s="6" t="s">
        <v>51</v>
      </c>
      <c r="K672" s="6" t="s">
        <v>51</v>
      </c>
      <c r="L672" s="6" t="s">
        <v>51</v>
      </c>
      <c r="M672" s="6" t="s">
        <v>51</v>
      </c>
      <c r="N672" s="6" t="s">
        <v>51</v>
      </c>
    </row>
    <row r="673">
      <c r="B673" s="6" t="s">
        <v>51</v>
      </c>
      <c r="C673" s="6" t="s">
        <v>51</v>
      </c>
      <c r="K673" s="6" t="s">
        <v>51</v>
      </c>
      <c r="L673" s="6" t="s">
        <v>51</v>
      </c>
      <c r="M673" s="6" t="s">
        <v>51</v>
      </c>
      <c r="N673" s="6" t="s">
        <v>51</v>
      </c>
    </row>
    <row r="674">
      <c r="B674" s="6" t="s">
        <v>51</v>
      </c>
      <c r="C674" s="6" t="s">
        <v>51</v>
      </c>
      <c r="K674" s="6" t="s">
        <v>51</v>
      </c>
      <c r="L674" s="6" t="s">
        <v>51</v>
      </c>
      <c r="M674" s="6" t="s">
        <v>51</v>
      </c>
      <c r="N674" s="6" t="s">
        <v>51</v>
      </c>
    </row>
    <row r="675">
      <c r="B675" s="6" t="s">
        <v>51</v>
      </c>
      <c r="C675" s="6" t="s">
        <v>51</v>
      </c>
      <c r="K675" s="6" t="s">
        <v>51</v>
      </c>
      <c r="L675" s="6" t="s">
        <v>51</v>
      </c>
      <c r="M675" s="6" t="s">
        <v>51</v>
      </c>
      <c r="N675" s="6" t="s">
        <v>51</v>
      </c>
    </row>
    <row r="676">
      <c r="B676" s="6" t="s">
        <v>51</v>
      </c>
      <c r="C676" s="6" t="s">
        <v>51</v>
      </c>
      <c r="K676" s="6" t="s">
        <v>51</v>
      </c>
      <c r="L676" s="6" t="s">
        <v>51</v>
      </c>
      <c r="M676" s="6" t="s">
        <v>51</v>
      </c>
      <c r="N676" s="6" t="s">
        <v>51</v>
      </c>
    </row>
    <row r="677">
      <c r="B677" s="6" t="s">
        <v>51</v>
      </c>
      <c r="C677" s="6" t="s">
        <v>51</v>
      </c>
      <c r="K677" s="6" t="s">
        <v>51</v>
      </c>
      <c r="L677" s="6" t="s">
        <v>51</v>
      </c>
      <c r="M677" s="6" t="s">
        <v>51</v>
      </c>
      <c r="N677" s="6" t="s">
        <v>51</v>
      </c>
    </row>
    <row r="678">
      <c r="B678" s="6" t="s">
        <v>51</v>
      </c>
      <c r="C678" s="6" t="s">
        <v>51</v>
      </c>
      <c r="K678" s="6" t="s">
        <v>51</v>
      </c>
      <c r="L678" s="6" t="s">
        <v>51</v>
      </c>
      <c r="M678" s="6" t="s">
        <v>51</v>
      </c>
      <c r="N678" s="6" t="s">
        <v>51</v>
      </c>
    </row>
    <row r="679">
      <c r="B679" s="6" t="s">
        <v>51</v>
      </c>
      <c r="C679" s="6" t="s">
        <v>51</v>
      </c>
      <c r="K679" s="6" t="s">
        <v>51</v>
      </c>
      <c r="L679" s="6" t="s">
        <v>51</v>
      </c>
      <c r="M679" s="6" t="s">
        <v>51</v>
      </c>
      <c r="N679" s="6" t="s">
        <v>51</v>
      </c>
    </row>
    <row r="680">
      <c r="B680" s="6" t="s">
        <v>51</v>
      </c>
      <c r="C680" s="6" t="s">
        <v>51</v>
      </c>
      <c r="K680" s="6" t="s">
        <v>51</v>
      </c>
      <c r="L680" s="6" t="s">
        <v>51</v>
      </c>
      <c r="M680" s="6" t="s">
        <v>51</v>
      </c>
      <c r="N680" s="6" t="s">
        <v>51</v>
      </c>
    </row>
    <row r="681">
      <c r="B681" s="6" t="s">
        <v>51</v>
      </c>
      <c r="C681" s="6" t="s">
        <v>51</v>
      </c>
      <c r="K681" s="6" t="s">
        <v>51</v>
      </c>
      <c r="L681" s="6" t="s">
        <v>51</v>
      </c>
      <c r="M681" s="6" t="s">
        <v>51</v>
      </c>
      <c r="N681" s="6" t="s">
        <v>51</v>
      </c>
    </row>
    <row r="682">
      <c r="B682" s="6" t="s">
        <v>51</v>
      </c>
      <c r="C682" s="6" t="s">
        <v>51</v>
      </c>
      <c r="K682" s="6" t="s">
        <v>51</v>
      </c>
      <c r="L682" s="6" t="s">
        <v>51</v>
      </c>
      <c r="M682" s="6" t="s">
        <v>51</v>
      </c>
      <c r="N682" s="6" t="s">
        <v>51</v>
      </c>
    </row>
    <row r="683">
      <c r="B683" s="6" t="s">
        <v>51</v>
      </c>
      <c r="C683" s="6" t="s">
        <v>51</v>
      </c>
      <c r="K683" s="6" t="s">
        <v>51</v>
      </c>
      <c r="L683" s="6" t="s">
        <v>51</v>
      </c>
      <c r="M683" s="6" t="s">
        <v>51</v>
      </c>
      <c r="N683" s="6" t="s">
        <v>51</v>
      </c>
    </row>
    <row r="684">
      <c r="B684" s="6" t="s">
        <v>51</v>
      </c>
      <c r="C684" s="6" t="s">
        <v>51</v>
      </c>
      <c r="K684" s="6" t="s">
        <v>51</v>
      </c>
      <c r="L684" s="6" t="s">
        <v>51</v>
      </c>
      <c r="M684" s="6" t="s">
        <v>51</v>
      </c>
      <c r="N684" s="6" t="s">
        <v>51</v>
      </c>
    </row>
    <row r="685">
      <c r="B685" s="6" t="s">
        <v>51</v>
      </c>
      <c r="C685" s="6" t="s">
        <v>51</v>
      </c>
      <c r="K685" s="6" t="s">
        <v>51</v>
      </c>
      <c r="L685" s="6" t="s">
        <v>51</v>
      </c>
      <c r="M685" s="6" t="s">
        <v>51</v>
      </c>
      <c r="N685" s="6" t="s">
        <v>51</v>
      </c>
    </row>
    <row r="686">
      <c r="B686" s="6" t="s">
        <v>51</v>
      </c>
      <c r="C686" s="6" t="s">
        <v>51</v>
      </c>
      <c r="K686" s="6" t="s">
        <v>51</v>
      </c>
      <c r="L686" s="6" t="s">
        <v>51</v>
      </c>
      <c r="M686" s="6" t="s">
        <v>51</v>
      </c>
      <c r="N686" s="6" t="s">
        <v>51</v>
      </c>
    </row>
    <row r="687">
      <c r="B687" s="6" t="s">
        <v>51</v>
      </c>
      <c r="C687" s="6" t="s">
        <v>51</v>
      </c>
      <c r="K687" s="6" t="s">
        <v>51</v>
      </c>
      <c r="L687" s="6" t="s">
        <v>51</v>
      </c>
      <c r="M687" s="6" t="s">
        <v>51</v>
      </c>
      <c r="N687" s="6" t="s">
        <v>51</v>
      </c>
    </row>
    <row r="688">
      <c r="B688" s="6" t="s">
        <v>51</v>
      </c>
      <c r="C688" s="6" t="s">
        <v>51</v>
      </c>
      <c r="K688" s="6" t="s">
        <v>51</v>
      </c>
      <c r="L688" s="6" t="s">
        <v>51</v>
      </c>
      <c r="M688" s="6" t="s">
        <v>51</v>
      </c>
      <c r="N688" s="6" t="s">
        <v>51</v>
      </c>
    </row>
    <row r="689">
      <c r="B689" s="6" t="s">
        <v>51</v>
      </c>
      <c r="C689" s="6" t="s">
        <v>51</v>
      </c>
      <c r="K689" s="6" t="s">
        <v>51</v>
      </c>
      <c r="L689" s="6" t="s">
        <v>51</v>
      </c>
      <c r="M689" s="6" t="s">
        <v>51</v>
      </c>
      <c r="N689" s="6" t="s">
        <v>51</v>
      </c>
    </row>
    <row r="690">
      <c r="B690" s="6" t="s">
        <v>51</v>
      </c>
      <c r="C690" s="6" t="s">
        <v>51</v>
      </c>
      <c r="K690" s="6" t="s">
        <v>51</v>
      </c>
      <c r="L690" s="6" t="s">
        <v>51</v>
      </c>
      <c r="M690" s="6" t="s">
        <v>51</v>
      </c>
      <c r="N690" s="6" t="s">
        <v>51</v>
      </c>
    </row>
    <row r="691">
      <c r="B691" s="6" t="s">
        <v>51</v>
      </c>
      <c r="C691" s="6" t="s">
        <v>51</v>
      </c>
      <c r="K691" s="6" t="s">
        <v>51</v>
      </c>
      <c r="L691" s="6" t="s">
        <v>51</v>
      </c>
      <c r="M691" s="6" t="s">
        <v>51</v>
      </c>
      <c r="N691" s="6" t="s">
        <v>51</v>
      </c>
    </row>
    <row r="692">
      <c r="B692" s="6" t="s">
        <v>51</v>
      </c>
      <c r="C692" s="6" t="s">
        <v>51</v>
      </c>
      <c r="K692" s="6" t="s">
        <v>51</v>
      </c>
      <c r="L692" s="6" t="s">
        <v>51</v>
      </c>
      <c r="M692" s="6" t="s">
        <v>51</v>
      </c>
      <c r="N692" s="6" t="s">
        <v>51</v>
      </c>
    </row>
    <row r="693">
      <c r="B693" s="6" t="s">
        <v>51</v>
      </c>
      <c r="C693" s="6" t="s">
        <v>51</v>
      </c>
      <c r="K693" s="6" t="s">
        <v>51</v>
      </c>
      <c r="L693" s="6" t="s">
        <v>51</v>
      </c>
      <c r="M693" s="6" t="s">
        <v>51</v>
      </c>
      <c r="N693" s="6" t="s">
        <v>51</v>
      </c>
    </row>
    <row r="694">
      <c r="B694" s="6" t="s">
        <v>51</v>
      </c>
      <c r="C694" s="6" t="s">
        <v>51</v>
      </c>
      <c r="K694" s="6" t="s">
        <v>51</v>
      </c>
      <c r="L694" s="6" t="s">
        <v>51</v>
      </c>
      <c r="M694" s="6" t="s">
        <v>51</v>
      </c>
      <c r="N694" s="6" t="s">
        <v>51</v>
      </c>
    </row>
    <row r="695">
      <c r="B695" s="6" t="s">
        <v>51</v>
      </c>
      <c r="C695" s="6" t="s">
        <v>51</v>
      </c>
      <c r="K695" s="6" t="s">
        <v>51</v>
      </c>
      <c r="L695" s="6" t="s">
        <v>51</v>
      </c>
      <c r="M695" s="6" t="s">
        <v>51</v>
      </c>
      <c r="N695" s="6" t="s">
        <v>51</v>
      </c>
    </row>
    <row r="696">
      <c r="B696" s="6" t="s">
        <v>51</v>
      </c>
      <c r="C696" s="6" t="s">
        <v>51</v>
      </c>
      <c r="K696" s="6" t="s">
        <v>51</v>
      </c>
      <c r="L696" s="6" t="s">
        <v>51</v>
      </c>
      <c r="M696" s="6" t="s">
        <v>51</v>
      </c>
      <c r="N696" s="6" t="s">
        <v>51</v>
      </c>
    </row>
    <row r="697">
      <c r="B697" s="6" t="s">
        <v>51</v>
      </c>
      <c r="C697" s="6" t="s">
        <v>51</v>
      </c>
      <c r="K697" s="6" t="s">
        <v>51</v>
      </c>
      <c r="L697" s="6" t="s">
        <v>51</v>
      </c>
      <c r="M697" s="6" t="s">
        <v>51</v>
      </c>
      <c r="N697" s="6" t="s">
        <v>51</v>
      </c>
    </row>
    <row r="698">
      <c r="B698" s="6" t="s">
        <v>51</v>
      </c>
      <c r="C698" s="6" t="s">
        <v>51</v>
      </c>
      <c r="K698" s="6" t="s">
        <v>51</v>
      </c>
      <c r="L698" s="6" t="s">
        <v>51</v>
      </c>
      <c r="M698" s="6" t="s">
        <v>51</v>
      </c>
      <c r="N698" s="6" t="s">
        <v>51</v>
      </c>
    </row>
    <row r="699">
      <c r="B699" s="6" t="s">
        <v>51</v>
      </c>
      <c r="C699" s="6" t="s">
        <v>51</v>
      </c>
      <c r="K699" s="6" t="s">
        <v>51</v>
      </c>
      <c r="L699" s="6" t="s">
        <v>51</v>
      </c>
      <c r="M699" s="6" t="s">
        <v>51</v>
      </c>
      <c r="N699" s="6" t="s">
        <v>51</v>
      </c>
    </row>
    <row r="700">
      <c r="B700" s="6" t="s">
        <v>51</v>
      </c>
      <c r="C700" s="6" t="s">
        <v>51</v>
      </c>
      <c r="K700" s="6" t="s">
        <v>51</v>
      </c>
      <c r="L700" s="6" t="s">
        <v>51</v>
      </c>
      <c r="M700" s="6" t="s">
        <v>51</v>
      </c>
      <c r="N700" s="6" t="s">
        <v>51</v>
      </c>
    </row>
    <row r="701">
      <c r="B701" s="6" t="s">
        <v>51</v>
      </c>
      <c r="C701" s="6" t="s">
        <v>51</v>
      </c>
      <c r="K701" s="6" t="s">
        <v>51</v>
      </c>
      <c r="L701" s="6" t="s">
        <v>51</v>
      </c>
      <c r="M701" s="6" t="s">
        <v>51</v>
      </c>
      <c r="N701" s="6" t="s">
        <v>51</v>
      </c>
    </row>
    <row r="702">
      <c r="B702" s="6" t="s">
        <v>51</v>
      </c>
      <c r="C702" s="6" t="s">
        <v>51</v>
      </c>
      <c r="K702" s="6" t="s">
        <v>51</v>
      </c>
      <c r="L702" s="6" t="s">
        <v>51</v>
      </c>
      <c r="M702" s="6" t="s">
        <v>51</v>
      </c>
      <c r="N702" s="6" t="s">
        <v>51</v>
      </c>
    </row>
    <row r="703">
      <c r="B703" s="6" t="s">
        <v>51</v>
      </c>
      <c r="C703" s="6" t="s">
        <v>51</v>
      </c>
      <c r="K703" s="6" t="s">
        <v>51</v>
      </c>
      <c r="L703" s="6" t="s">
        <v>51</v>
      </c>
      <c r="M703" s="6" t="s">
        <v>51</v>
      </c>
      <c r="N703" s="6" t="s">
        <v>51</v>
      </c>
    </row>
    <row r="704">
      <c r="B704" s="6" t="s">
        <v>51</v>
      </c>
      <c r="C704" s="6" t="s">
        <v>51</v>
      </c>
      <c r="K704" s="6" t="s">
        <v>51</v>
      </c>
      <c r="L704" s="6" t="s">
        <v>51</v>
      </c>
      <c r="M704" s="6" t="s">
        <v>51</v>
      </c>
      <c r="N704" s="6" t="s">
        <v>51</v>
      </c>
    </row>
    <row r="705">
      <c r="B705" s="6" t="s">
        <v>51</v>
      </c>
      <c r="C705" s="6" t="s">
        <v>51</v>
      </c>
      <c r="K705" s="6" t="s">
        <v>51</v>
      </c>
      <c r="L705" s="6" t="s">
        <v>51</v>
      </c>
      <c r="M705" s="6" t="s">
        <v>51</v>
      </c>
      <c r="N705" s="6" t="s">
        <v>51</v>
      </c>
    </row>
    <row r="706">
      <c r="B706" s="6" t="s">
        <v>51</v>
      </c>
      <c r="C706" s="6" t="s">
        <v>51</v>
      </c>
      <c r="K706" s="6" t="s">
        <v>51</v>
      </c>
      <c r="L706" s="6" t="s">
        <v>51</v>
      </c>
      <c r="M706" s="6" t="s">
        <v>51</v>
      </c>
      <c r="N706" s="6" t="s">
        <v>51</v>
      </c>
    </row>
    <row r="707">
      <c r="B707" s="6" t="s">
        <v>51</v>
      </c>
      <c r="C707" s="6" t="s">
        <v>51</v>
      </c>
      <c r="K707" s="6" t="s">
        <v>51</v>
      </c>
      <c r="L707" s="6" t="s">
        <v>51</v>
      </c>
      <c r="M707" s="6" t="s">
        <v>51</v>
      </c>
      <c r="N707" s="6" t="s">
        <v>51</v>
      </c>
    </row>
    <row r="708">
      <c r="B708" s="6" t="s">
        <v>51</v>
      </c>
      <c r="C708" s="6" t="s">
        <v>51</v>
      </c>
      <c r="K708" s="6" t="s">
        <v>51</v>
      </c>
      <c r="L708" s="6" t="s">
        <v>51</v>
      </c>
      <c r="M708" s="6" t="s">
        <v>51</v>
      </c>
      <c r="N708" s="6" t="s">
        <v>51</v>
      </c>
    </row>
    <row r="709">
      <c r="B709" s="6" t="s">
        <v>51</v>
      </c>
      <c r="C709" s="6" t="s">
        <v>51</v>
      </c>
      <c r="K709" s="6" t="s">
        <v>51</v>
      </c>
      <c r="L709" s="6" t="s">
        <v>51</v>
      </c>
      <c r="M709" s="6" t="s">
        <v>51</v>
      </c>
      <c r="N709" s="6" t="s">
        <v>51</v>
      </c>
    </row>
    <row r="710">
      <c r="B710" s="6" t="s">
        <v>51</v>
      </c>
      <c r="C710" s="6" t="s">
        <v>51</v>
      </c>
      <c r="K710" s="6" t="s">
        <v>51</v>
      </c>
      <c r="L710" s="6" t="s">
        <v>51</v>
      </c>
      <c r="M710" s="6" t="s">
        <v>51</v>
      </c>
      <c r="N710" s="6" t="s">
        <v>51</v>
      </c>
    </row>
    <row r="711">
      <c r="B711" s="6" t="s">
        <v>51</v>
      </c>
      <c r="C711" s="6" t="s">
        <v>51</v>
      </c>
      <c r="K711" s="6" t="s">
        <v>51</v>
      </c>
      <c r="L711" s="6" t="s">
        <v>51</v>
      </c>
      <c r="M711" s="6" t="s">
        <v>51</v>
      </c>
      <c r="N711" s="6" t="s">
        <v>51</v>
      </c>
    </row>
    <row r="712">
      <c r="B712" s="6" t="s">
        <v>51</v>
      </c>
      <c r="C712" s="6" t="s">
        <v>51</v>
      </c>
      <c r="K712" s="6" t="s">
        <v>51</v>
      </c>
      <c r="L712" s="6" t="s">
        <v>51</v>
      </c>
      <c r="M712" s="6" t="s">
        <v>51</v>
      </c>
      <c r="N712" s="6" t="s">
        <v>51</v>
      </c>
    </row>
    <row r="713">
      <c r="B713" s="6" t="s">
        <v>51</v>
      </c>
      <c r="C713" s="6" t="s">
        <v>51</v>
      </c>
      <c r="K713" s="6" t="s">
        <v>51</v>
      </c>
      <c r="L713" s="6" t="s">
        <v>51</v>
      </c>
      <c r="M713" s="6" t="s">
        <v>51</v>
      </c>
      <c r="N713" s="6" t="s">
        <v>51</v>
      </c>
    </row>
    <row r="714">
      <c r="B714" s="6" t="s">
        <v>51</v>
      </c>
      <c r="C714" s="6" t="s">
        <v>51</v>
      </c>
      <c r="K714" s="6" t="s">
        <v>51</v>
      </c>
      <c r="L714" s="6" t="s">
        <v>51</v>
      </c>
      <c r="M714" s="6" t="s">
        <v>51</v>
      </c>
      <c r="N714" s="6" t="s">
        <v>51</v>
      </c>
    </row>
    <row r="715">
      <c r="B715" s="6" t="s">
        <v>51</v>
      </c>
      <c r="C715" s="6" t="s">
        <v>51</v>
      </c>
      <c r="K715" s="6" t="s">
        <v>51</v>
      </c>
      <c r="L715" s="6" t="s">
        <v>51</v>
      </c>
      <c r="M715" s="6" t="s">
        <v>51</v>
      </c>
      <c r="N715" s="6" t="s">
        <v>51</v>
      </c>
    </row>
    <row r="716">
      <c r="B716" s="6" t="s">
        <v>51</v>
      </c>
      <c r="C716" s="6" t="s">
        <v>51</v>
      </c>
      <c r="K716" s="6" t="s">
        <v>51</v>
      </c>
      <c r="L716" s="6" t="s">
        <v>51</v>
      </c>
      <c r="M716" s="6" t="s">
        <v>51</v>
      </c>
      <c r="N716" s="6" t="s">
        <v>51</v>
      </c>
    </row>
    <row r="717">
      <c r="B717" s="6" t="s">
        <v>51</v>
      </c>
      <c r="C717" s="6" t="s">
        <v>51</v>
      </c>
      <c r="K717" s="6" t="s">
        <v>51</v>
      </c>
      <c r="L717" s="6" t="s">
        <v>51</v>
      </c>
      <c r="M717" s="6" t="s">
        <v>51</v>
      </c>
      <c r="N717" s="6" t="s">
        <v>51</v>
      </c>
    </row>
    <row r="718">
      <c r="B718" s="6" t="s">
        <v>51</v>
      </c>
      <c r="C718" s="6" t="s">
        <v>51</v>
      </c>
      <c r="K718" s="6" t="s">
        <v>51</v>
      </c>
      <c r="L718" s="6" t="s">
        <v>51</v>
      </c>
      <c r="M718" s="6" t="s">
        <v>51</v>
      </c>
      <c r="N718" s="6" t="s">
        <v>51</v>
      </c>
    </row>
    <row r="719">
      <c r="B719" s="6" t="s">
        <v>51</v>
      </c>
      <c r="C719" s="6" t="s">
        <v>51</v>
      </c>
      <c r="K719" s="6" t="s">
        <v>51</v>
      </c>
      <c r="L719" s="6" t="s">
        <v>51</v>
      </c>
      <c r="M719" s="6" t="s">
        <v>51</v>
      </c>
      <c r="N719" s="6" t="s">
        <v>51</v>
      </c>
    </row>
    <row r="720">
      <c r="B720" s="6" t="s">
        <v>51</v>
      </c>
      <c r="C720" s="6" t="s">
        <v>51</v>
      </c>
      <c r="K720" s="6" t="s">
        <v>51</v>
      </c>
      <c r="L720" s="6" t="s">
        <v>51</v>
      </c>
      <c r="M720" s="6" t="s">
        <v>51</v>
      </c>
      <c r="N720" s="6" t="s">
        <v>51</v>
      </c>
    </row>
    <row r="721">
      <c r="B721" s="6" t="s">
        <v>51</v>
      </c>
      <c r="C721" s="6" t="s">
        <v>51</v>
      </c>
      <c r="K721" s="6" t="s">
        <v>51</v>
      </c>
      <c r="L721" s="6" t="s">
        <v>51</v>
      </c>
      <c r="M721" s="6" t="s">
        <v>51</v>
      </c>
      <c r="N721" s="6" t="s">
        <v>51</v>
      </c>
    </row>
    <row r="722">
      <c r="B722" s="6" t="s">
        <v>51</v>
      </c>
      <c r="C722" s="6" t="s">
        <v>51</v>
      </c>
      <c r="K722" s="6" t="s">
        <v>51</v>
      </c>
      <c r="L722" s="6" t="s">
        <v>51</v>
      </c>
      <c r="M722" s="6" t="s">
        <v>51</v>
      </c>
      <c r="N722" s="6" t="s">
        <v>51</v>
      </c>
    </row>
    <row r="723">
      <c r="B723" s="6" t="s">
        <v>51</v>
      </c>
      <c r="C723" s="6" t="s">
        <v>51</v>
      </c>
      <c r="K723" s="6" t="s">
        <v>51</v>
      </c>
      <c r="L723" s="6" t="s">
        <v>51</v>
      </c>
      <c r="M723" s="6" t="s">
        <v>51</v>
      </c>
      <c r="N723" s="6" t="s">
        <v>51</v>
      </c>
    </row>
    <row r="724">
      <c r="B724" s="6" t="s">
        <v>51</v>
      </c>
      <c r="C724" s="6" t="s">
        <v>51</v>
      </c>
      <c r="K724" s="6" t="s">
        <v>51</v>
      </c>
      <c r="L724" s="6" t="s">
        <v>51</v>
      </c>
      <c r="M724" s="6" t="s">
        <v>51</v>
      </c>
      <c r="N724" s="6" t="s">
        <v>51</v>
      </c>
    </row>
    <row r="725">
      <c r="B725" s="6" t="s">
        <v>51</v>
      </c>
      <c r="C725" s="6" t="s">
        <v>51</v>
      </c>
      <c r="K725" s="6" t="s">
        <v>51</v>
      </c>
      <c r="L725" s="6" t="s">
        <v>51</v>
      </c>
      <c r="M725" s="6" t="s">
        <v>51</v>
      </c>
      <c r="N725" s="6" t="s">
        <v>51</v>
      </c>
    </row>
    <row r="726">
      <c r="B726" s="6" t="s">
        <v>51</v>
      </c>
      <c r="C726" s="6" t="s">
        <v>51</v>
      </c>
      <c r="K726" s="6" t="s">
        <v>51</v>
      </c>
      <c r="L726" s="6" t="s">
        <v>51</v>
      </c>
      <c r="M726" s="6" t="s">
        <v>51</v>
      </c>
      <c r="N726" s="6" t="s">
        <v>51</v>
      </c>
    </row>
    <row r="727">
      <c r="B727" s="6" t="s">
        <v>51</v>
      </c>
      <c r="C727" s="6" t="s">
        <v>51</v>
      </c>
      <c r="K727" s="6" t="s">
        <v>51</v>
      </c>
      <c r="L727" s="6" t="s">
        <v>51</v>
      </c>
      <c r="M727" s="6" t="s">
        <v>51</v>
      </c>
      <c r="N727" s="6" t="s">
        <v>51</v>
      </c>
    </row>
    <row r="728">
      <c r="B728" s="6" t="s">
        <v>51</v>
      </c>
      <c r="C728" s="6" t="s">
        <v>51</v>
      </c>
      <c r="K728" s="6" t="s">
        <v>51</v>
      </c>
      <c r="L728" s="6" t="s">
        <v>51</v>
      </c>
      <c r="M728" s="6" t="s">
        <v>51</v>
      </c>
      <c r="N728" s="6" t="s">
        <v>51</v>
      </c>
    </row>
    <row r="729">
      <c r="B729" s="6" t="s">
        <v>51</v>
      </c>
      <c r="C729" s="6" t="s">
        <v>51</v>
      </c>
      <c r="K729" s="6" t="s">
        <v>51</v>
      </c>
      <c r="L729" s="6" t="s">
        <v>51</v>
      </c>
      <c r="M729" s="6" t="s">
        <v>51</v>
      </c>
      <c r="N729" s="6" t="s">
        <v>51</v>
      </c>
    </row>
    <row r="730">
      <c r="B730" s="6" t="s">
        <v>51</v>
      </c>
      <c r="C730" s="6" t="s">
        <v>51</v>
      </c>
      <c r="K730" s="6" t="s">
        <v>51</v>
      </c>
      <c r="L730" s="6" t="s">
        <v>51</v>
      </c>
      <c r="M730" s="6" t="s">
        <v>51</v>
      </c>
      <c r="N730" s="6" t="s">
        <v>51</v>
      </c>
    </row>
    <row r="731">
      <c r="B731" s="6" t="s">
        <v>51</v>
      </c>
      <c r="C731" s="6" t="s">
        <v>51</v>
      </c>
      <c r="K731" s="6" t="s">
        <v>51</v>
      </c>
      <c r="L731" s="6" t="s">
        <v>51</v>
      </c>
      <c r="M731" s="6" t="s">
        <v>51</v>
      </c>
      <c r="N731" s="6" t="s">
        <v>51</v>
      </c>
    </row>
    <row r="732">
      <c r="B732" s="6" t="s">
        <v>51</v>
      </c>
      <c r="C732" s="6" t="s">
        <v>51</v>
      </c>
      <c r="K732" s="6" t="s">
        <v>51</v>
      </c>
      <c r="L732" s="6" t="s">
        <v>51</v>
      </c>
      <c r="M732" s="6" t="s">
        <v>51</v>
      </c>
      <c r="N732" s="6" t="s">
        <v>51</v>
      </c>
    </row>
    <row r="733">
      <c r="B733" s="6" t="s">
        <v>51</v>
      </c>
      <c r="C733" s="6" t="s">
        <v>51</v>
      </c>
      <c r="K733" s="6" t="s">
        <v>51</v>
      </c>
      <c r="L733" s="6" t="s">
        <v>51</v>
      </c>
      <c r="M733" s="6" t="s">
        <v>51</v>
      </c>
      <c r="N733" s="6" t="s">
        <v>51</v>
      </c>
    </row>
    <row r="734">
      <c r="B734" s="6" t="s">
        <v>51</v>
      </c>
      <c r="C734" s="6" t="s">
        <v>51</v>
      </c>
      <c r="K734" s="6" t="s">
        <v>51</v>
      </c>
      <c r="L734" s="6" t="s">
        <v>51</v>
      </c>
      <c r="M734" s="6" t="s">
        <v>51</v>
      </c>
      <c r="N734" s="6" t="s">
        <v>51</v>
      </c>
    </row>
    <row r="735">
      <c r="B735" s="6" t="s">
        <v>51</v>
      </c>
      <c r="C735" s="6" t="s">
        <v>51</v>
      </c>
      <c r="K735" s="6" t="s">
        <v>51</v>
      </c>
      <c r="L735" s="6" t="s">
        <v>51</v>
      </c>
      <c r="M735" s="6" t="s">
        <v>51</v>
      </c>
      <c r="N735" s="6" t="s">
        <v>51</v>
      </c>
    </row>
    <row r="736">
      <c r="B736" s="6" t="s">
        <v>51</v>
      </c>
      <c r="C736" s="6" t="s">
        <v>51</v>
      </c>
      <c r="K736" s="6" t="s">
        <v>51</v>
      </c>
      <c r="L736" s="6" t="s">
        <v>51</v>
      </c>
      <c r="M736" s="6" t="s">
        <v>51</v>
      </c>
      <c r="N736" s="6" t="s">
        <v>51</v>
      </c>
    </row>
    <row r="737">
      <c r="B737" s="6" t="s">
        <v>51</v>
      </c>
      <c r="C737" s="6" t="s">
        <v>51</v>
      </c>
      <c r="K737" s="6" t="s">
        <v>51</v>
      </c>
      <c r="L737" s="6" t="s">
        <v>51</v>
      </c>
      <c r="M737" s="6" t="s">
        <v>51</v>
      </c>
      <c r="N737" s="6" t="s">
        <v>51</v>
      </c>
    </row>
    <row r="738">
      <c r="B738" s="6" t="s">
        <v>51</v>
      </c>
      <c r="C738" s="6" t="s">
        <v>51</v>
      </c>
      <c r="K738" s="6" t="s">
        <v>51</v>
      </c>
      <c r="L738" s="6" t="s">
        <v>51</v>
      </c>
      <c r="M738" s="6" t="s">
        <v>51</v>
      </c>
      <c r="N738" s="6" t="s">
        <v>51</v>
      </c>
    </row>
    <row r="739">
      <c r="B739" s="6" t="s">
        <v>51</v>
      </c>
      <c r="C739" s="6" t="s">
        <v>51</v>
      </c>
      <c r="K739" s="6" t="s">
        <v>51</v>
      </c>
      <c r="L739" s="6" t="s">
        <v>51</v>
      </c>
      <c r="M739" s="6" t="s">
        <v>51</v>
      </c>
      <c r="N739" s="6" t="s">
        <v>51</v>
      </c>
    </row>
    <row r="740">
      <c r="B740" s="6" t="s">
        <v>51</v>
      </c>
      <c r="C740" s="6" t="s">
        <v>51</v>
      </c>
      <c r="K740" s="6" t="s">
        <v>51</v>
      </c>
      <c r="L740" s="6" t="s">
        <v>51</v>
      </c>
      <c r="M740" s="6" t="s">
        <v>51</v>
      </c>
      <c r="N740" s="6" t="s">
        <v>51</v>
      </c>
    </row>
    <row r="741">
      <c r="B741" s="6" t="s">
        <v>51</v>
      </c>
      <c r="C741" s="6" t="s">
        <v>51</v>
      </c>
      <c r="K741" s="6" t="s">
        <v>51</v>
      </c>
      <c r="L741" s="6" t="s">
        <v>51</v>
      </c>
      <c r="M741" s="6" t="s">
        <v>51</v>
      </c>
      <c r="N741" s="6" t="s">
        <v>51</v>
      </c>
    </row>
    <row r="742">
      <c r="B742" s="6" t="s">
        <v>51</v>
      </c>
      <c r="C742" s="6" t="s">
        <v>51</v>
      </c>
      <c r="K742" s="6" t="s">
        <v>51</v>
      </c>
      <c r="L742" s="6" t="s">
        <v>51</v>
      </c>
      <c r="M742" s="6" t="s">
        <v>51</v>
      </c>
      <c r="N742" s="6" t="s">
        <v>51</v>
      </c>
    </row>
    <row r="743">
      <c r="B743" s="6" t="s">
        <v>51</v>
      </c>
      <c r="C743" s="6" t="s">
        <v>51</v>
      </c>
      <c r="K743" s="6" t="s">
        <v>51</v>
      </c>
      <c r="L743" s="6" t="s">
        <v>51</v>
      </c>
      <c r="M743" s="6" t="s">
        <v>51</v>
      </c>
      <c r="N743" s="6" t="s">
        <v>51</v>
      </c>
    </row>
    <row r="744">
      <c r="B744" s="6" t="s">
        <v>51</v>
      </c>
      <c r="C744" s="6" t="s">
        <v>51</v>
      </c>
      <c r="K744" s="6" t="s">
        <v>51</v>
      </c>
      <c r="L744" s="6" t="s">
        <v>51</v>
      </c>
      <c r="M744" s="6" t="s">
        <v>51</v>
      </c>
      <c r="N744" s="6" t="s">
        <v>51</v>
      </c>
    </row>
    <row r="745">
      <c r="B745" s="6" t="s">
        <v>51</v>
      </c>
      <c r="C745" s="6" t="s">
        <v>51</v>
      </c>
      <c r="K745" s="6" t="s">
        <v>51</v>
      </c>
      <c r="L745" s="6" t="s">
        <v>51</v>
      </c>
      <c r="M745" s="6" t="s">
        <v>51</v>
      </c>
      <c r="N745" s="6" t="s">
        <v>51</v>
      </c>
    </row>
    <row r="746">
      <c r="B746" s="6" t="s">
        <v>51</v>
      </c>
      <c r="C746" s="6" t="s">
        <v>51</v>
      </c>
      <c r="K746" s="6" t="s">
        <v>51</v>
      </c>
      <c r="L746" s="6" t="s">
        <v>51</v>
      </c>
      <c r="M746" s="6" t="s">
        <v>51</v>
      </c>
      <c r="N746" s="6" t="s">
        <v>51</v>
      </c>
    </row>
    <row r="747">
      <c r="B747" s="6" t="s">
        <v>51</v>
      </c>
      <c r="C747" s="6" t="s">
        <v>51</v>
      </c>
      <c r="K747" s="6" t="s">
        <v>51</v>
      </c>
      <c r="L747" s="6" t="s">
        <v>51</v>
      </c>
      <c r="M747" s="6" t="s">
        <v>51</v>
      </c>
      <c r="N747" s="6" t="s">
        <v>51</v>
      </c>
    </row>
    <row r="748">
      <c r="B748" s="6" t="s">
        <v>51</v>
      </c>
      <c r="C748" s="6" t="s">
        <v>51</v>
      </c>
      <c r="K748" s="6" t="s">
        <v>51</v>
      </c>
      <c r="L748" s="6" t="s">
        <v>51</v>
      </c>
      <c r="M748" s="6" t="s">
        <v>51</v>
      </c>
      <c r="N748" s="6" t="s">
        <v>51</v>
      </c>
    </row>
    <row r="749">
      <c r="B749" s="6" t="s">
        <v>51</v>
      </c>
      <c r="C749" s="6" t="s">
        <v>51</v>
      </c>
      <c r="K749" s="6" t="s">
        <v>51</v>
      </c>
      <c r="L749" s="6" t="s">
        <v>51</v>
      </c>
      <c r="M749" s="6" t="s">
        <v>51</v>
      </c>
      <c r="N749" s="6" t="s">
        <v>51</v>
      </c>
    </row>
    <row r="750">
      <c r="B750" s="6" t="s">
        <v>51</v>
      </c>
      <c r="C750" s="6" t="s">
        <v>51</v>
      </c>
      <c r="K750" s="6" t="s">
        <v>51</v>
      </c>
      <c r="L750" s="6" t="s">
        <v>51</v>
      </c>
      <c r="M750" s="6" t="s">
        <v>51</v>
      </c>
      <c r="N750" s="6" t="s">
        <v>51</v>
      </c>
    </row>
    <row r="751">
      <c r="B751" s="6" t="s">
        <v>51</v>
      </c>
      <c r="C751" s="6" t="s">
        <v>51</v>
      </c>
      <c r="K751" s="6" t="s">
        <v>51</v>
      </c>
      <c r="L751" s="6" t="s">
        <v>51</v>
      </c>
      <c r="M751" s="6" t="s">
        <v>51</v>
      </c>
      <c r="N751" s="6" t="s">
        <v>51</v>
      </c>
    </row>
    <row r="752">
      <c r="B752" s="6" t="s">
        <v>51</v>
      </c>
      <c r="C752" s="6" t="s">
        <v>51</v>
      </c>
      <c r="K752" s="6" t="s">
        <v>51</v>
      </c>
      <c r="L752" s="6" t="s">
        <v>51</v>
      </c>
      <c r="M752" s="6" t="s">
        <v>51</v>
      </c>
      <c r="N752" s="6" t="s">
        <v>51</v>
      </c>
    </row>
    <row r="753">
      <c r="B753" s="6" t="s">
        <v>51</v>
      </c>
      <c r="C753" s="6" t="s">
        <v>51</v>
      </c>
      <c r="K753" s="6" t="s">
        <v>51</v>
      </c>
      <c r="L753" s="6" t="s">
        <v>51</v>
      </c>
      <c r="M753" s="6" t="s">
        <v>51</v>
      </c>
      <c r="N753" s="6" t="s">
        <v>51</v>
      </c>
    </row>
    <row r="754">
      <c r="B754" s="6" t="s">
        <v>51</v>
      </c>
      <c r="C754" s="6" t="s">
        <v>51</v>
      </c>
      <c r="K754" s="6" t="s">
        <v>51</v>
      </c>
      <c r="L754" s="6" t="s">
        <v>51</v>
      </c>
      <c r="M754" s="6" t="s">
        <v>51</v>
      </c>
      <c r="N754" s="6" t="s">
        <v>51</v>
      </c>
    </row>
    <row r="755">
      <c r="B755" s="6" t="s">
        <v>51</v>
      </c>
      <c r="C755" s="6" t="s">
        <v>51</v>
      </c>
      <c r="K755" s="6" t="s">
        <v>51</v>
      </c>
      <c r="L755" s="6" t="s">
        <v>51</v>
      </c>
      <c r="M755" s="6" t="s">
        <v>51</v>
      </c>
      <c r="N755" s="6" t="s">
        <v>51</v>
      </c>
    </row>
    <row r="756">
      <c r="B756" s="6" t="s">
        <v>51</v>
      </c>
      <c r="C756" s="6" t="s">
        <v>51</v>
      </c>
      <c r="K756" s="6" t="s">
        <v>51</v>
      </c>
      <c r="L756" s="6" t="s">
        <v>51</v>
      </c>
      <c r="M756" s="6" t="s">
        <v>51</v>
      </c>
      <c r="N756" s="6" t="s">
        <v>51</v>
      </c>
    </row>
    <row r="757">
      <c r="B757" s="6" t="s">
        <v>51</v>
      </c>
      <c r="C757" s="6" t="s">
        <v>51</v>
      </c>
      <c r="K757" s="6" t="s">
        <v>51</v>
      </c>
      <c r="L757" s="6" t="s">
        <v>51</v>
      </c>
      <c r="M757" s="6" t="s">
        <v>51</v>
      </c>
      <c r="N757" s="6" t="s">
        <v>51</v>
      </c>
    </row>
    <row r="758">
      <c r="B758" s="6" t="s">
        <v>51</v>
      </c>
      <c r="C758" s="6" t="s">
        <v>51</v>
      </c>
      <c r="K758" s="6" t="s">
        <v>51</v>
      </c>
      <c r="L758" s="6" t="s">
        <v>51</v>
      </c>
      <c r="M758" s="6" t="s">
        <v>51</v>
      </c>
      <c r="N758" s="6" t="s">
        <v>51</v>
      </c>
    </row>
    <row r="759">
      <c r="B759" s="6" t="s">
        <v>51</v>
      </c>
      <c r="C759" s="6" t="s">
        <v>51</v>
      </c>
      <c r="K759" s="6" t="s">
        <v>51</v>
      </c>
      <c r="L759" s="6" t="s">
        <v>51</v>
      </c>
      <c r="M759" s="6" t="s">
        <v>51</v>
      </c>
      <c r="N759" s="6" t="s">
        <v>51</v>
      </c>
    </row>
    <row r="760">
      <c r="B760" s="6" t="s">
        <v>51</v>
      </c>
      <c r="C760" s="6" t="s">
        <v>51</v>
      </c>
      <c r="K760" s="6" t="s">
        <v>51</v>
      </c>
      <c r="L760" s="6" t="s">
        <v>51</v>
      </c>
      <c r="M760" s="6" t="s">
        <v>51</v>
      </c>
      <c r="N760" s="6" t="s">
        <v>51</v>
      </c>
    </row>
    <row r="761">
      <c r="B761" s="6" t="s">
        <v>51</v>
      </c>
      <c r="C761" s="6" t="s">
        <v>51</v>
      </c>
      <c r="K761" s="6" t="s">
        <v>51</v>
      </c>
      <c r="L761" s="6" t="s">
        <v>51</v>
      </c>
      <c r="M761" s="6" t="s">
        <v>51</v>
      </c>
      <c r="N761" s="6" t="s">
        <v>51</v>
      </c>
    </row>
    <row r="762">
      <c r="B762" s="6" t="s">
        <v>51</v>
      </c>
      <c r="C762" s="6" t="s">
        <v>51</v>
      </c>
      <c r="K762" s="6" t="s">
        <v>51</v>
      </c>
      <c r="L762" s="6" t="s">
        <v>51</v>
      </c>
      <c r="M762" s="6" t="s">
        <v>51</v>
      </c>
      <c r="N762" s="6" t="s">
        <v>51</v>
      </c>
    </row>
    <row r="763">
      <c r="B763" s="6" t="s">
        <v>51</v>
      </c>
      <c r="C763" s="6" t="s">
        <v>51</v>
      </c>
      <c r="K763" s="6" t="s">
        <v>51</v>
      </c>
      <c r="L763" s="6" t="s">
        <v>51</v>
      </c>
      <c r="M763" s="6" t="s">
        <v>51</v>
      </c>
      <c r="N763" s="6" t="s">
        <v>51</v>
      </c>
    </row>
    <row r="764">
      <c r="B764" s="6" t="s">
        <v>51</v>
      </c>
      <c r="C764" s="6" t="s">
        <v>51</v>
      </c>
      <c r="K764" s="6" t="s">
        <v>51</v>
      </c>
      <c r="L764" s="6" t="s">
        <v>51</v>
      </c>
      <c r="M764" s="6" t="s">
        <v>51</v>
      </c>
      <c r="N764" s="6" t="s">
        <v>51</v>
      </c>
    </row>
    <row r="765">
      <c r="B765" s="6" t="s">
        <v>51</v>
      </c>
      <c r="C765" s="6" t="s">
        <v>51</v>
      </c>
      <c r="K765" s="6" t="s">
        <v>51</v>
      </c>
      <c r="L765" s="6" t="s">
        <v>51</v>
      </c>
      <c r="M765" s="6" t="s">
        <v>51</v>
      </c>
      <c r="N765" s="6" t="s">
        <v>51</v>
      </c>
    </row>
    <row r="766">
      <c r="B766" s="6" t="s">
        <v>51</v>
      </c>
      <c r="C766" s="6" t="s">
        <v>51</v>
      </c>
      <c r="K766" s="6" t="s">
        <v>51</v>
      </c>
      <c r="L766" s="6" t="s">
        <v>51</v>
      </c>
      <c r="M766" s="6" t="s">
        <v>51</v>
      </c>
      <c r="N766" s="6" t="s">
        <v>51</v>
      </c>
    </row>
    <row r="767">
      <c r="B767" s="6" t="s">
        <v>51</v>
      </c>
      <c r="C767" s="6" t="s">
        <v>51</v>
      </c>
      <c r="K767" s="6" t="s">
        <v>51</v>
      </c>
      <c r="L767" s="6" t="s">
        <v>51</v>
      </c>
      <c r="M767" s="6" t="s">
        <v>51</v>
      </c>
      <c r="N767" s="6" t="s">
        <v>51</v>
      </c>
    </row>
    <row r="768">
      <c r="B768" s="6" t="s">
        <v>51</v>
      </c>
      <c r="C768" s="6" t="s">
        <v>51</v>
      </c>
      <c r="K768" s="6" t="s">
        <v>51</v>
      </c>
      <c r="L768" s="6" t="s">
        <v>51</v>
      </c>
      <c r="M768" s="6" t="s">
        <v>51</v>
      </c>
      <c r="N768" s="6" t="s">
        <v>51</v>
      </c>
    </row>
    <row r="769">
      <c r="B769" s="6" t="s">
        <v>51</v>
      </c>
      <c r="C769" s="6" t="s">
        <v>51</v>
      </c>
      <c r="K769" s="6" t="s">
        <v>51</v>
      </c>
      <c r="L769" s="6" t="s">
        <v>51</v>
      </c>
      <c r="M769" s="6" t="s">
        <v>51</v>
      </c>
      <c r="N769" s="6" t="s">
        <v>51</v>
      </c>
    </row>
    <row r="770">
      <c r="B770" s="6" t="s">
        <v>51</v>
      </c>
      <c r="C770" s="6" t="s">
        <v>51</v>
      </c>
      <c r="K770" s="6" t="s">
        <v>51</v>
      </c>
      <c r="L770" s="6" t="s">
        <v>51</v>
      </c>
      <c r="M770" s="6" t="s">
        <v>51</v>
      </c>
      <c r="N770" s="6" t="s">
        <v>51</v>
      </c>
    </row>
    <row r="771">
      <c r="B771" s="6" t="s">
        <v>51</v>
      </c>
      <c r="C771" s="6" t="s">
        <v>51</v>
      </c>
      <c r="K771" s="6" t="s">
        <v>51</v>
      </c>
      <c r="L771" s="6" t="s">
        <v>51</v>
      </c>
      <c r="M771" s="6" t="s">
        <v>51</v>
      </c>
      <c r="N771" s="6" t="s">
        <v>51</v>
      </c>
    </row>
    <row r="772">
      <c r="B772" s="6" t="s">
        <v>51</v>
      </c>
      <c r="C772" s="6" t="s">
        <v>51</v>
      </c>
      <c r="K772" s="6" t="s">
        <v>51</v>
      </c>
      <c r="L772" s="6" t="s">
        <v>51</v>
      </c>
      <c r="M772" s="6" t="s">
        <v>51</v>
      </c>
      <c r="N772" s="6" t="s">
        <v>51</v>
      </c>
    </row>
    <row r="773">
      <c r="B773" s="6" t="s">
        <v>51</v>
      </c>
      <c r="C773" s="6" t="s">
        <v>51</v>
      </c>
      <c r="K773" s="6" t="s">
        <v>51</v>
      </c>
      <c r="L773" s="6" t="s">
        <v>51</v>
      </c>
      <c r="M773" s="6" t="s">
        <v>51</v>
      </c>
      <c r="N773" s="6" t="s">
        <v>51</v>
      </c>
    </row>
    <row r="774">
      <c r="B774" s="6" t="s">
        <v>51</v>
      </c>
      <c r="C774" s="6" t="s">
        <v>51</v>
      </c>
      <c r="K774" s="6" t="s">
        <v>51</v>
      </c>
      <c r="L774" s="6" t="s">
        <v>51</v>
      </c>
      <c r="M774" s="6" t="s">
        <v>51</v>
      </c>
      <c r="N774" s="6" t="s">
        <v>51</v>
      </c>
    </row>
    <row r="775">
      <c r="B775" s="6" t="s">
        <v>51</v>
      </c>
      <c r="C775" s="6" t="s">
        <v>51</v>
      </c>
      <c r="K775" s="6" t="s">
        <v>51</v>
      </c>
      <c r="L775" s="6" t="s">
        <v>51</v>
      </c>
      <c r="M775" s="6" t="s">
        <v>51</v>
      </c>
      <c r="N775" s="6" t="s">
        <v>51</v>
      </c>
    </row>
    <row r="776">
      <c r="B776" s="6" t="s">
        <v>51</v>
      </c>
      <c r="C776" s="6" t="s">
        <v>51</v>
      </c>
      <c r="K776" s="6" t="s">
        <v>51</v>
      </c>
      <c r="L776" s="6" t="s">
        <v>51</v>
      </c>
      <c r="M776" s="6" t="s">
        <v>51</v>
      </c>
      <c r="N776" s="6" t="s">
        <v>51</v>
      </c>
    </row>
    <row r="777">
      <c r="B777" s="6" t="s">
        <v>51</v>
      </c>
      <c r="C777" s="6" t="s">
        <v>51</v>
      </c>
      <c r="K777" s="6" t="s">
        <v>51</v>
      </c>
      <c r="L777" s="6" t="s">
        <v>51</v>
      </c>
      <c r="M777" s="6" t="s">
        <v>51</v>
      </c>
      <c r="N777" s="6" t="s">
        <v>51</v>
      </c>
    </row>
    <row r="778">
      <c r="B778" s="6" t="s">
        <v>51</v>
      </c>
      <c r="C778" s="6" t="s">
        <v>51</v>
      </c>
      <c r="K778" s="6" t="s">
        <v>51</v>
      </c>
      <c r="L778" s="6" t="s">
        <v>51</v>
      </c>
      <c r="M778" s="6" t="s">
        <v>51</v>
      </c>
      <c r="N778" s="6" t="s">
        <v>51</v>
      </c>
    </row>
    <row r="779">
      <c r="B779" s="6" t="s">
        <v>51</v>
      </c>
      <c r="C779" s="6" t="s">
        <v>51</v>
      </c>
      <c r="K779" s="6" t="s">
        <v>51</v>
      </c>
      <c r="L779" s="6" t="s">
        <v>51</v>
      </c>
      <c r="M779" s="6" t="s">
        <v>51</v>
      </c>
      <c r="N779" s="6" t="s">
        <v>51</v>
      </c>
    </row>
    <row r="780">
      <c r="B780" s="6" t="s">
        <v>51</v>
      </c>
      <c r="C780" s="6" t="s">
        <v>51</v>
      </c>
      <c r="K780" s="6" t="s">
        <v>51</v>
      </c>
      <c r="L780" s="6" t="s">
        <v>51</v>
      </c>
      <c r="M780" s="6" t="s">
        <v>51</v>
      </c>
      <c r="N780" s="6" t="s">
        <v>51</v>
      </c>
    </row>
    <row r="781">
      <c r="B781" s="6" t="s">
        <v>51</v>
      </c>
      <c r="C781" s="6" t="s">
        <v>51</v>
      </c>
      <c r="K781" s="6" t="s">
        <v>51</v>
      </c>
      <c r="L781" s="6" t="s">
        <v>51</v>
      </c>
      <c r="M781" s="6" t="s">
        <v>51</v>
      </c>
      <c r="N781" s="6" t="s">
        <v>51</v>
      </c>
    </row>
    <row r="782">
      <c r="B782" s="6" t="s">
        <v>51</v>
      </c>
      <c r="C782" s="6" t="s">
        <v>51</v>
      </c>
      <c r="K782" s="6" t="s">
        <v>51</v>
      </c>
      <c r="L782" s="6" t="s">
        <v>51</v>
      </c>
      <c r="M782" s="6" t="s">
        <v>51</v>
      </c>
      <c r="N782" s="6" t="s">
        <v>51</v>
      </c>
    </row>
    <row r="783">
      <c r="B783" s="6" t="s">
        <v>51</v>
      </c>
      <c r="C783" s="6" t="s">
        <v>51</v>
      </c>
      <c r="K783" s="6" t="s">
        <v>51</v>
      </c>
      <c r="L783" s="6" t="s">
        <v>51</v>
      </c>
      <c r="M783" s="6" t="s">
        <v>51</v>
      </c>
      <c r="N783" s="6" t="s">
        <v>51</v>
      </c>
    </row>
    <row r="784">
      <c r="B784" s="6" t="s">
        <v>51</v>
      </c>
      <c r="C784" s="6" t="s">
        <v>51</v>
      </c>
      <c r="K784" s="6" t="s">
        <v>51</v>
      </c>
      <c r="L784" s="6" t="s">
        <v>51</v>
      </c>
      <c r="M784" s="6" t="s">
        <v>51</v>
      </c>
      <c r="N784" s="6" t="s">
        <v>51</v>
      </c>
    </row>
    <row r="785">
      <c r="B785" s="6" t="s">
        <v>51</v>
      </c>
      <c r="C785" s="6" t="s">
        <v>51</v>
      </c>
      <c r="K785" s="6" t="s">
        <v>51</v>
      </c>
      <c r="L785" s="6" t="s">
        <v>51</v>
      </c>
      <c r="M785" s="6" t="s">
        <v>51</v>
      </c>
      <c r="N785" s="6" t="s">
        <v>51</v>
      </c>
    </row>
    <row r="786">
      <c r="B786" s="6" t="s">
        <v>51</v>
      </c>
      <c r="C786" s="6" t="s">
        <v>51</v>
      </c>
      <c r="K786" s="6" t="s">
        <v>51</v>
      </c>
      <c r="L786" s="6" t="s">
        <v>51</v>
      </c>
      <c r="M786" s="6" t="s">
        <v>51</v>
      </c>
      <c r="N786" s="6" t="s">
        <v>51</v>
      </c>
    </row>
    <row r="787">
      <c r="B787" s="6" t="s">
        <v>51</v>
      </c>
      <c r="C787" s="6" t="s">
        <v>51</v>
      </c>
      <c r="K787" s="6" t="s">
        <v>51</v>
      </c>
      <c r="L787" s="6" t="s">
        <v>51</v>
      </c>
      <c r="M787" s="6" t="s">
        <v>51</v>
      </c>
      <c r="N787" s="6" t="s">
        <v>51</v>
      </c>
    </row>
    <row r="788">
      <c r="B788" s="6" t="s">
        <v>51</v>
      </c>
      <c r="C788" s="6" t="s">
        <v>51</v>
      </c>
      <c r="K788" s="6" t="s">
        <v>51</v>
      </c>
      <c r="L788" s="6" t="s">
        <v>51</v>
      </c>
      <c r="M788" s="6" t="s">
        <v>51</v>
      </c>
      <c r="N788" s="6" t="s">
        <v>51</v>
      </c>
    </row>
    <row r="789">
      <c r="B789" s="6" t="s">
        <v>51</v>
      </c>
      <c r="C789" s="6" t="s">
        <v>51</v>
      </c>
      <c r="K789" s="6" t="s">
        <v>51</v>
      </c>
      <c r="L789" s="6" t="s">
        <v>51</v>
      </c>
      <c r="M789" s="6" t="s">
        <v>51</v>
      </c>
      <c r="N789" s="6" t="s">
        <v>51</v>
      </c>
    </row>
    <row r="790">
      <c r="B790" s="6" t="s">
        <v>51</v>
      </c>
      <c r="C790" s="6" t="s">
        <v>51</v>
      </c>
      <c r="K790" s="6" t="s">
        <v>51</v>
      </c>
      <c r="L790" s="6" t="s">
        <v>51</v>
      </c>
      <c r="M790" s="6" t="s">
        <v>51</v>
      </c>
      <c r="N790" s="6" t="s">
        <v>51</v>
      </c>
    </row>
    <row r="791">
      <c r="B791" s="6" t="s">
        <v>51</v>
      </c>
      <c r="C791" s="6" t="s">
        <v>51</v>
      </c>
      <c r="K791" s="6" t="s">
        <v>51</v>
      </c>
      <c r="L791" s="6" t="s">
        <v>51</v>
      </c>
      <c r="M791" s="6" t="s">
        <v>51</v>
      </c>
      <c r="N791" s="6" t="s">
        <v>51</v>
      </c>
    </row>
    <row r="792">
      <c r="B792" s="6" t="s">
        <v>51</v>
      </c>
      <c r="C792" s="6" t="s">
        <v>51</v>
      </c>
      <c r="K792" s="6" t="s">
        <v>51</v>
      </c>
      <c r="L792" s="6" t="s">
        <v>51</v>
      </c>
      <c r="M792" s="6" t="s">
        <v>51</v>
      </c>
      <c r="N792" s="6" t="s">
        <v>51</v>
      </c>
    </row>
    <row r="793">
      <c r="B793" s="6" t="s">
        <v>51</v>
      </c>
      <c r="C793" s="6" t="s">
        <v>51</v>
      </c>
      <c r="K793" s="6" t="s">
        <v>51</v>
      </c>
      <c r="L793" s="6" t="s">
        <v>51</v>
      </c>
      <c r="M793" s="6" t="s">
        <v>51</v>
      </c>
      <c r="N793" s="6" t="s">
        <v>51</v>
      </c>
    </row>
    <row r="794">
      <c r="B794" s="6" t="s">
        <v>51</v>
      </c>
      <c r="C794" s="6" t="s">
        <v>51</v>
      </c>
      <c r="K794" s="6" t="s">
        <v>51</v>
      </c>
      <c r="L794" s="6" t="s">
        <v>51</v>
      </c>
      <c r="M794" s="6" t="s">
        <v>51</v>
      </c>
      <c r="N794" s="6" t="s">
        <v>51</v>
      </c>
    </row>
    <row r="795">
      <c r="B795" s="6" t="s">
        <v>51</v>
      </c>
      <c r="C795" s="6" t="s">
        <v>51</v>
      </c>
      <c r="K795" s="6" t="s">
        <v>51</v>
      </c>
      <c r="L795" s="6" t="s">
        <v>51</v>
      </c>
      <c r="M795" s="6" t="s">
        <v>51</v>
      </c>
      <c r="N795" s="6" t="s">
        <v>51</v>
      </c>
    </row>
    <row r="796">
      <c r="B796" s="6" t="s">
        <v>51</v>
      </c>
      <c r="C796" s="6" t="s">
        <v>51</v>
      </c>
      <c r="K796" s="6" t="s">
        <v>51</v>
      </c>
      <c r="L796" s="6" t="s">
        <v>51</v>
      </c>
      <c r="M796" s="6" t="s">
        <v>51</v>
      </c>
      <c r="N796" s="6" t="s">
        <v>51</v>
      </c>
    </row>
    <row r="797">
      <c r="B797" s="6" t="s">
        <v>51</v>
      </c>
      <c r="C797" s="6" t="s">
        <v>51</v>
      </c>
      <c r="K797" s="6" t="s">
        <v>51</v>
      </c>
      <c r="L797" s="6" t="s">
        <v>51</v>
      </c>
      <c r="M797" s="6" t="s">
        <v>51</v>
      </c>
      <c r="N797" s="6" t="s">
        <v>51</v>
      </c>
    </row>
    <row r="798">
      <c r="B798" s="6" t="s">
        <v>51</v>
      </c>
      <c r="C798" s="6" t="s">
        <v>51</v>
      </c>
      <c r="K798" s="6" t="s">
        <v>51</v>
      </c>
      <c r="L798" s="6" t="s">
        <v>51</v>
      </c>
      <c r="M798" s="6" t="s">
        <v>51</v>
      </c>
      <c r="N798" s="6" t="s">
        <v>51</v>
      </c>
    </row>
    <row r="799">
      <c r="B799" s="6" t="s">
        <v>51</v>
      </c>
      <c r="C799" s="6" t="s">
        <v>51</v>
      </c>
      <c r="K799" s="6" t="s">
        <v>51</v>
      </c>
      <c r="L799" s="6" t="s">
        <v>51</v>
      </c>
      <c r="M799" s="6" t="s">
        <v>51</v>
      </c>
      <c r="N799" s="6" t="s">
        <v>51</v>
      </c>
    </row>
    <row r="800">
      <c r="B800" s="6" t="s">
        <v>51</v>
      </c>
      <c r="C800" s="6" t="s">
        <v>51</v>
      </c>
      <c r="K800" s="6" t="s">
        <v>51</v>
      </c>
      <c r="L800" s="6" t="s">
        <v>51</v>
      </c>
      <c r="M800" s="6" t="s">
        <v>51</v>
      </c>
      <c r="N800" s="6" t="s">
        <v>51</v>
      </c>
    </row>
    <row r="801">
      <c r="B801" s="6" t="s">
        <v>51</v>
      </c>
      <c r="C801" s="6" t="s">
        <v>51</v>
      </c>
      <c r="K801" s="6" t="s">
        <v>51</v>
      </c>
      <c r="L801" s="6" t="s">
        <v>51</v>
      </c>
      <c r="M801" s="6" t="s">
        <v>51</v>
      </c>
      <c r="N801" s="6" t="s">
        <v>51</v>
      </c>
    </row>
    <row r="802">
      <c r="B802" s="6" t="s">
        <v>51</v>
      </c>
      <c r="C802" s="6" t="s">
        <v>51</v>
      </c>
      <c r="K802" s="6" t="s">
        <v>51</v>
      </c>
      <c r="L802" s="6" t="s">
        <v>51</v>
      </c>
      <c r="M802" s="6" t="s">
        <v>51</v>
      </c>
      <c r="N802" s="6" t="s">
        <v>51</v>
      </c>
    </row>
    <row r="803">
      <c r="B803" s="6" t="s">
        <v>51</v>
      </c>
      <c r="C803" s="6" t="s">
        <v>51</v>
      </c>
      <c r="K803" s="6" t="s">
        <v>51</v>
      </c>
      <c r="L803" s="6" t="s">
        <v>51</v>
      </c>
      <c r="M803" s="6" t="s">
        <v>51</v>
      </c>
      <c r="N803" s="6" t="s">
        <v>51</v>
      </c>
    </row>
    <row r="804">
      <c r="B804" s="6" t="s">
        <v>51</v>
      </c>
      <c r="C804" s="6" t="s">
        <v>51</v>
      </c>
      <c r="K804" s="6" t="s">
        <v>51</v>
      </c>
      <c r="L804" s="6" t="s">
        <v>51</v>
      </c>
      <c r="M804" s="6" t="s">
        <v>51</v>
      </c>
      <c r="N804" s="6" t="s">
        <v>51</v>
      </c>
    </row>
    <row r="805">
      <c r="B805" s="6" t="s">
        <v>51</v>
      </c>
      <c r="C805" s="6" t="s">
        <v>51</v>
      </c>
      <c r="K805" s="6" t="s">
        <v>51</v>
      </c>
      <c r="L805" s="6" t="s">
        <v>51</v>
      </c>
      <c r="M805" s="6" t="s">
        <v>51</v>
      </c>
      <c r="N805" s="6" t="s">
        <v>51</v>
      </c>
    </row>
    <row r="806">
      <c r="B806" s="6" t="s">
        <v>51</v>
      </c>
      <c r="C806" s="6" t="s">
        <v>51</v>
      </c>
      <c r="K806" s="6" t="s">
        <v>51</v>
      </c>
      <c r="L806" s="6" t="s">
        <v>51</v>
      </c>
      <c r="M806" s="6" t="s">
        <v>51</v>
      </c>
      <c r="N806" s="6" t="s">
        <v>51</v>
      </c>
    </row>
    <row r="807">
      <c r="B807" s="6" t="s">
        <v>51</v>
      </c>
      <c r="C807" s="6" t="s">
        <v>51</v>
      </c>
      <c r="K807" s="6" t="s">
        <v>51</v>
      </c>
      <c r="L807" s="6" t="s">
        <v>51</v>
      </c>
      <c r="M807" s="6" t="s">
        <v>51</v>
      </c>
      <c r="N807" s="6" t="s">
        <v>51</v>
      </c>
    </row>
    <row r="808">
      <c r="B808" s="6" t="s">
        <v>51</v>
      </c>
      <c r="C808" s="6" t="s">
        <v>51</v>
      </c>
      <c r="K808" s="6" t="s">
        <v>51</v>
      </c>
      <c r="L808" s="6" t="s">
        <v>51</v>
      </c>
      <c r="M808" s="6" t="s">
        <v>51</v>
      </c>
      <c r="N808" s="6" t="s">
        <v>51</v>
      </c>
    </row>
    <row r="809">
      <c r="B809" s="6" t="s">
        <v>51</v>
      </c>
      <c r="C809" s="6" t="s">
        <v>51</v>
      </c>
      <c r="K809" s="6" t="s">
        <v>51</v>
      </c>
      <c r="L809" s="6" t="s">
        <v>51</v>
      </c>
      <c r="M809" s="6" t="s">
        <v>51</v>
      </c>
      <c r="N809" s="6" t="s">
        <v>51</v>
      </c>
    </row>
    <row r="810">
      <c r="B810" s="6" t="s">
        <v>51</v>
      </c>
      <c r="C810" s="6" t="s">
        <v>51</v>
      </c>
      <c r="K810" s="6" t="s">
        <v>51</v>
      </c>
      <c r="L810" s="6" t="s">
        <v>51</v>
      </c>
      <c r="M810" s="6" t="s">
        <v>51</v>
      </c>
      <c r="N810" s="6" t="s">
        <v>51</v>
      </c>
    </row>
    <row r="811">
      <c r="B811" s="6" t="s">
        <v>51</v>
      </c>
      <c r="C811" s="6" t="s">
        <v>51</v>
      </c>
      <c r="K811" s="6" t="s">
        <v>51</v>
      </c>
      <c r="L811" s="6" t="s">
        <v>51</v>
      </c>
      <c r="M811" s="6" t="s">
        <v>51</v>
      </c>
      <c r="N811" s="6" t="s">
        <v>51</v>
      </c>
    </row>
    <row r="812">
      <c r="B812" s="6" t="s">
        <v>51</v>
      </c>
      <c r="C812" s="6" t="s">
        <v>51</v>
      </c>
      <c r="K812" s="6" t="s">
        <v>51</v>
      </c>
      <c r="L812" s="6" t="s">
        <v>51</v>
      </c>
      <c r="M812" s="6" t="s">
        <v>51</v>
      </c>
      <c r="N812" s="6" t="s">
        <v>51</v>
      </c>
    </row>
    <row r="813">
      <c r="B813" s="6" t="s">
        <v>51</v>
      </c>
      <c r="C813" s="6" t="s">
        <v>51</v>
      </c>
      <c r="K813" s="6" t="s">
        <v>51</v>
      </c>
      <c r="L813" s="6" t="s">
        <v>51</v>
      </c>
      <c r="M813" s="6" t="s">
        <v>51</v>
      </c>
      <c r="N813" s="6" t="s">
        <v>51</v>
      </c>
    </row>
    <row r="814">
      <c r="B814" s="6" t="s">
        <v>51</v>
      </c>
      <c r="C814" s="6" t="s">
        <v>51</v>
      </c>
      <c r="K814" s="6" t="s">
        <v>51</v>
      </c>
      <c r="L814" s="6" t="s">
        <v>51</v>
      </c>
      <c r="M814" s="6" t="s">
        <v>51</v>
      </c>
      <c r="N814" s="6" t="s">
        <v>51</v>
      </c>
    </row>
    <row r="815">
      <c r="B815" s="6" t="s">
        <v>51</v>
      </c>
      <c r="C815" s="6" t="s">
        <v>51</v>
      </c>
      <c r="K815" s="6" t="s">
        <v>51</v>
      </c>
      <c r="L815" s="6" t="s">
        <v>51</v>
      </c>
      <c r="M815" s="6" t="s">
        <v>51</v>
      </c>
      <c r="N815" s="6" t="s">
        <v>51</v>
      </c>
    </row>
    <row r="816">
      <c r="B816" s="6" t="s">
        <v>51</v>
      </c>
      <c r="C816" s="6" t="s">
        <v>51</v>
      </c>
      <c r="K816" s="6" t="s">
        <v>51</v>
      </c>
      <c r="L816" s="6" t="s">
        <v>51</v>
      </c>
      <c r="M816" s="6" t="s">
        <v>51</v>
      </c>
      <c r="N816" s="6" t="s">
        <v>51</v>
      </c>
    </row>
    <row r="817">
      <c r="B817" s="6" t="s">
        <v>51</v>
      </c>
      <c r="C817" s="6" t="s">
        <v>51</v>
      </c>
      <c r="K817" s="6" t="s">
        <v>51</v>
      </c>
      <c r="L817" s="6" t="s">
        <v>51</v>
      </c>
      <c r="M817" s="6" t="s">
        <v>51</v>
      </c>
      <c r="N817" s="6" t="s">
        <v>51</v>
      </c>
    </row>
    <row r="818">
      <c r="B818" s="6" t="s">
        <v>51</v>
      </c>
      <c r="C818" s="6" t="s">
        <v>51</v>
      </c>
      <c r="K818" s="6" t="s">
        <v>51</v>
      </c>
      <c r="L818" s="6" t="s">
        <v>51</v>
      </c>
      <c r="M818" s="6" t="s">
        <v>51</v>
      </c>
      <c r="N818" s="6" t="s">
        <v>51</v>
      </c>
    </row>
    <row r="819">
      <c r="B819" s="6" t="s">
        <v>51</v>
      </c>
      <c r="C819" s="6" t="s">
        <v>51</v>
      </c>
      <c r="K819" s="6" t="s">
        <v>51</v>
      </c>
      <c r="L819" s="6" t="s">
        <v>51</v>
      </c>
      <c r="M819" s="6" t="s">
        <v>51</v>
      </c>
      <c r="N819" s="6" t="s">
        <v>51</v>
      </c>
    </row>
    <row r="820">
      <c r="B820" s="6" t="s">
        <v>51</v>
      </c>
      <c r="C820" s="6" t="s">
        <v>51</v>
      </c>
      <c r="K820" s="6" t="s">
        <v>51</v>
      </c>
      <c r="L820" s="6" t="s">
        <v>51</v>
      </c>
      <c r="M820" s="6" t="s">
        <v>51</v>
      </c>
      <c r="N820" s="6" t="s">
        <v>51</v>
      </c>
    </row>
    <row r="821">
      <c r="B821" s="6" t="s">
        <v>51</v>
      </c>
      <c r="C821" s="6" t="s">
        <v>51</v>
      </c>
      <c r="K821" s="6" t="s">
        <v>51</v>
      </c>
      <c r="L821" s="6" t="s">
        <v>51</v>
      </c>
      <c r="M821" s="6" t="s">
        <v>51</v>
      </c>
      <c r="N821" s="6" t="s">
        <v>51</v>
      </c>
    </row>
    <row r="822">
      <c r="B822" s="6" t="s">
        <v>51</v>
      </c>
      <c r="C822" s="6" t="s">
        <v>51</v>
      </c>
      <c r="K822" s="6" t="s">
        <v>51</v>
      </c>
      <c r="L822" s="6" t="s">
        <v>51</v>
      </c>
      <c r="M822" s="6" t="s">
        <v>51</v>
      </c>
      <c r="N822" s="6" t="s">
        <v>51</v>
      </c>
    </row>
    <row r="823">
      <c r="B823" s="6" t="s">
        <v>51</v>
      </c>
      <c r="C823" s="6" t="s">
        <v>51</v>
      </c>
      <c r="K823" s="6" t="s">
        <v>51</v>
      </c>
      <c r="L823" s="6" t="s">
        <v>51</v>
      </c>
      <c r="M823" s="6" t="s">
        <v>51</v>
      </c>
      <c r="N823" s="6" t="s">
        <v>51</v>
      </c>
    </row>
    <row r="824">
      <c r="B824" s="6" t="s">
        <v>51</v>
      </c>
      <c r="C824" s="6" t="s">
        <v>51</v>
      </c>
      <c r="K824" s="6" t="s">
        <v>51</v>
      </c>
      <c r="L824" s="6" t="s">
        <v>51</v>
      </c>
      <c r="M824" s="6" t="s">
        <v>51</v>
      </c>
      <c r="N824" s="6" t="s">
        <v>51</v>
      </c>
    </row>
    <row r="825">
      <c r="B825" s="6" t="s">
        <v>51</v>
      </c>
      <c r="C825" s="6" t="s">
        <v>51</v>
      </c>
      <c r="K825" s="6" t="s">
        <v>51</v>
      </c>
      <c r="L825" s="6" t="s">
        <v>51</v>
      </c>
      <c r="M825" s="6" t="s">
        <v>51</v>
      </c>
      <c r="N825" s="6" t="s">
        <v>51</v>
      </c>
    </row>
    <row r="826">
      <c r="B826" s="6" t="s">
        <v>51</v>
      </c>
      <c r="C826" s="6" t="s">
        <v>51</v>
      </c>
      <c r="K826" s="6" t="s">
        <v>51</v>
      </c>
      <c r="L826" s="6" t="s">
        <v>51</v>
      </c>
      <c r="M826" s="6" t="s">
        <v>51</v>
      </c>
      <c r="N826" s="6" t="s">
        <v>51</v>
      </c>
    </row>
    <row r="827">
      <c r="B827" s="6" t="s">
        <v>51</v>
      </c>
      <c r="C827" s="6" t="s">
        <v>51</v>
      </c>
      <c r="K827" s="6" t="s">
        <v>51</v>
      </c>
      <c r="L827" s="6" t="s">
        <v>51</v>
      </c>
      <c r="M827" s="6" t="s">
        <v>51</v>
      </c>
      <c r="N827" s="6" t="s">
        <v>51</v>
      </c>
    </row>
    <row r="828">
      <c r="B828" s="6" t="s">
        <v>51</v>
      </c>
      <c r="C828" s="6" t="s">
        <v>51</v>
      </c>
      <c r="K828" s="6" t="s">
        <v>51</v>
      </c>
      <c r="L828" s="6" t="s">
        <v>51</v>
      </c>
      <c r="M828" s="6" t="s">
        <v>51</v>
      </c>
      <c r="N828" s="6" t="s">
        <v>51</v>
      </c>
    </row>
    <row r="829">
      <c r="B829" s="6" t="s">
        <v>51</v>
      </c>
      <c r="C829" s="6" t="s">
        <v>51</v>
      </c>
      <c r="K829" s="6" t="s">
        <v>51</v>
      </c>
      <c r="L829" s="6" t="s">
        <v>51</v>
      </c>
      <c r="M829" s="6" t="s">
        <v>51</v>
      </c>
      <c r="N829" s="6" t="s">
        <v>51</v>
      </c>
    </row>
    <row r="830">
      <c r="B830" s="6" t="s">
        <v>51</v>
      </c>
      <c r="C830" s="6" t="s">
        <v>51</v>
      </c>
      <c r="K830" s="6" t="s">
        <v>51</v>
      </c>
      <c r="L830" s="6" t="s">
        <v>51</v>
      </c>
      <c r="M830" s="6" t="s">
        <v>51</v>
      </c>
      <c r="N830" s="6" t="s">
        <v>51</v>
      </c>
    </row>
    <row r="831">
      <c r="B831" s="6" t="s">
        <v>51</v>
      </c>
      <c r="C831" s="6" t="s">
        <v>51</v>
      </c>
      <c r="K831" s="6" t="s">
        <v>51</v>
      </c>
      <c r="L831" s="6" t="s">
        <v>51</v>
      </c>
      <c r="M831" s="6" t="s">
        <v>51</v>
      </c>
      <c r="N831" s="6" t="s">
        <v>51</v>
      </c>
    </row>
    <row r="832">
      <c r="B832" s="6" t="s">
        <v>51</v>
      </c>
      <c r="C832" s="6" t="s">
        <v>51</v>
      </c>
      <c r="K832" s="6" t="s">
        <v>51</v>
      </c>
      <c r="L832" s="6" t="s">
        <v>51</v>
      </c>
      <c r="M832" s="6" t="s">
        <v>51</v>
      </c>
      <c r="N832" s="6" t="s">
        <v>51</v>
      </c>
    </row>
    <row r="833">
      <c r="B833" s="6" t="s">
        <v>51</v>
      </c>
      <c r="C833" s="6" t="s">
        <v>51</v>
      </c>
      <c r="K833" s="6" t="s">
        <v>51</v>
      </c>
      <c r="L833" s="6" t="s">
        <v>51</v>
      </c>
      <c r="M833" s="6" t="s">
        <v>51</v>
      </c>
      <c r="N833" s="6" t="s">
        <v>51</v>
      </c>
    </row>
    <row r="834">
      <c r="B834" s="6" t="s">
        <v>51</v>
      </c>
      <c r="C834" s="6" t="s">
        <v>51</v>
      </c>
      <c r="K834" s="6" t="s">
        <v>51</v>
      </c>
      <c r="L834" s="6" t="s">
        <v>51</v>
      </c>
      <c r="M834" s="6" t="s">
        <v>51</v>
      </c>
      <c r="N834" s="6" t="s">
        <v>51</v>
      </c>
    </row>
    <row r="835">
      <c r="B835" s="6" t="s">
        <v>51</v>
      </c>
      <c r="C835" s="6" t="s">
        <v>51</v>
      </c>
      <c r="K835" s="6" t="s">
        <v>51</v>
      </c>
      <c r="L835" s="6" t="s">
        <v>51</v>
      </c>
      <c r="M835" s="6" t="s">
        <v>51</v>
      </c>
      <c r="N835" s="6" t="s">
        <v>51</v>
      </c>
    </row>
    <row r="836">
      <c r="B836" s="6" t="s">
        <v>51</v>
      </c>
      <c r="C836" s="6" t="s">
        <v>51</v>
      </c>
      <c r="K836" s="6" t="s">
        <v>51</v>
      </c>
      <c r="L836" s="6" t="s">
        <v>51</v>
      </c>
      <c r="M836" s="6" t="s">
        <v>51</v>
      </c>
      <c r="N836" s="6" t="s">
        <v>51</v>
      </c>
    </row>
    <row r="837">
      <c r="B837" s="6" t="s">
        <v>51</v>
      </c>
      <c r="C837" s="6" t="s">
        <v>51</v>
      </c>
      <c r="K837" s="6" t="s">
        <v>51</v>
      </c>
      <c r="L837" s="6" t="s">
        <v>51</v>
      </c>
      <c r="M837" s="6" t="s">
        <v>51</v>
      </c>
      <c r="N837" s="6" t="s">
        <v>51</v>
      </c>
    </row>
    <row r="838">
      <c r="B838" s="6" t="s">
        <v>51</v>
      </c>
      <c r="C838" s="6" t="s">
        <v>51</v>
      </c>
      <c r="K838" s="6" t="s">
        <v>51</v>
      </c>
      <c r="L838" s="6" t="s">
        <v>51</v>
      </c>
      <c r="M838" s="6" t="s">
        <v>51</v>
      </c>
      <c r="N838" s="6" t="s">
        <v>51</v>
      </c>
    </row>
    <row r="839">
      <c r="B839" s="6" t="s">
        <v>51</v>
      </c>
      <c r="C839" s="6" t="s">
        <v>51</v>
      </c>
      <c r="K839" s="6" t="s">
        <v>51</v>
      </c>
      <c r="L839" s="6" t="s">
        <v>51</v>
      </c>
      <c r="M839" s="6" t="s">
        <v>51</v>
      </c>
      <c r="N839" s="6" t="s">
        <v>51</v>
      </c>
    </row>
    <row r="840">
      <c r="B840" s="6" t="s">
        <v>51</v>
      </c>
      <c r="C840" s="6" t="s">
        <v>51</v>
      </c>
      <c r="K840" s="6" t="s">
        <v>51</v>
      </c>
      <c r="L840" s="6" t="s">
        <v>51</v>
      </c>
      <c r="M840" s="6" t="s">
        <v>51</v>
      </c>
      <c r="N840" s="6" t="s">
        <v>51</v>
      </c>
    </row>
    <row r="841">
      <c r="B841" s="6" t="s">
        <v>51</v>
      </c>
      <c r="C841" s="6" t="s">
        <v>51</v>
      </c>
      <c r="K841" s="6" t="s">
        <v>51</v>
      </c>
      <c r="L841" s="6" t="s">
        <v>51</v>
      </c>
      <c r="M841" s="6" t="s">
        <v>51</v>
      </c>
      <c r="N841" s="6" t="s">
        <v>51</v>
      </c>
    </row>
    <row r="842">
      <c r="B842" s="6" t="s">
        <v>51</v>
      </c>
      <c r="C842" s="6" t="s">
        <v>51</v>
      </c>
      <c r="K842" s="6" t="s">
        <v>51</v>
      </c>
      <c r="L842" s="6" t="s">
        <v>51</v>
      </c>
      <c r="M842" s="6" t="s">
        <v>51</v>
      </c>
      <c r="N842" s="6" t="s">
        <v>51</v>
      </c>
    </row>
    <row r="843">
      <c r="B843" s="6" t="s">
        <v>51</v>
      </c>
      <c r="C843" s="6" t="s">
        <v>51</v>
      </c>
      <c r="K843" s="6" t="s">
        <v>51</v>
      </c>
      <c r="L843" s="6" t="s">
        <v>51</v>
      </c>
      <c r="M843" s="6" t="s">
        <v>51</v>
      </c>
      <c r="N843" s="6" t="s">
        <v>51</v>
      </c>
    </row>
    <row r="844">
      <c r="B844" s="6" t="s">
        <v>51</v>
      </c>
      <c r="C844" s="6" t="s">
        <v>51</v>
      </c>
      <c r="K844" s="6" t="s">
        <v>51</v>
      </c>
      <c r="L844" s="6" t="s">
        <v>51</v>
      </c>
      <c r="M844" s="6" t="s">
        <v>51</v>
      </c>
      <c r="N844" s="6" t="s">
        <v>51</v>
      </c>
    </row>
    <row r="845">
      <c r="B845" s="6" t="s">
        <v>51</v>
      </c>
      <c r="C845" s="6" t="s">
        <v>51</v>
      </c>
      <c r="K845" s="6" t="s">
        <v>51</v>
      </c>
      <c r="L845" s="6" t="s">
        <v>51</v>
      </c>
      <c r="M845" s="6" t="s">
        <v>51</v>
      </c>
      <c r="N845" s="6" t="s">
        <v>51</v>
      </c>
    </row>
    <row r="846">
      <c r="B846" s="6" t="s">
        <v>51</v>
      </c>
      <c r="C846" s="6" t="s">
        <v>51</v>
      </c>
      <c r="K846" s="6" t="s">
        <v>51</v>
      </c>
      <c r="L846" s="6" t="s">
        <v>51</v>
      </c>
      <c r="M846" s="6" t="s">
        <v>51</v>
      </c>
      <c r="N846" s="6" t="s">
        <v>51</v>
      </c>
    </row>
    <row r="847">
      <c r="B847" s="6" t="s">
        <v>51</v>
      </c>
      <c r="C847" s="6" t="s">
        <v>51</v>
      </c>
      <c r="K847" s="6" t="s">
        <v>51</v>
      </c>
      <c r="L847" s="6" t="s">
        <v>51</v>
      </c>
      <c r="M847" s="6" t="s">
        <v>51</v>
      </c>
      <c r="N847" s="6" t="s">
        <v>51</v>
      </c>
    </row>
    <row r="848">
      <c r="B848" s="6" t="s">
        <v>51</v>
      </c>
      <c r="C848" s="6" t="s">
        <v>51</v>
      </c>
      <c r="K848" s="6" t="s">
        <v>51</v>
      </c>
      <c r="L848" s="6" t="s">
        <v>51</v>
      </c>
      <c r="M848" s="6" t="s">
        <v>51</v>
      </c>
      <c r="N848" s="6" t="s">
        <v>51</v>
      </c>
    </row>
    <row r="849">
      <c r="B849" s="6" t="s">
        <v>51</v>
      </c>
      <c r="C849" s="6" t="s">
        <v>51</v>
      </c>
      <c r="K849" s="6" t="s">
        <v>51</v>
      </c>
      <c r="L849" s="6" t="s">
        <v>51</v>
      </c>
      <c r="M849" s="6" t="s">
        <v>51</v>
      </c>
      <c r="N849" s="6" t="s">
        <v>51</v>
      </c>
    </row>
    <row r="850">
      <c r="B850" s="6" t="s">
        <v>51</v>
      </c>
      <c r="C850" s="6" t="s">
        <v>51</v>
      </c>
      <c r="K850" s="6" t="s">
        <v>51</v>
      </c>
      <c r="L850" s="6" t="s">
        <v>51</v>
      </c>
      <c r="M850" s="6" t="s">
        <v>51</v>
      </c>
      <c r="N850" s="6" t="s">
        <v>51</v>
      </c>
    </row>
    <row r="851">
      <c r="B851" s="6" t="s">
        <v>51</v>
      </c>
      <c r="C851" s="6" t="s">
        <v>51</v>
      </c>
      <c r="K851" s="6" t="s">
        <v>51</v>
      </c>
      <c r="L851" s="6" t="s">
        <v>51</v>
      </c>
      <c r="M851" s="6" t="s">
        <v>51</v>
      </c>
      <c r="N851" s="6" t="s">
        <v>51</v>
      </c>
    </row>
    <row r="852">
      <c r="B852" s="6" t="s">
        <v>51</v>
      </c>
      <c r="C852" s="6" t="s">
        <v>51</v>
      </c>
      <c r="K852" s="6" t="s">
        <v>51</v>
      </c>
      <c r="L852" s="6" t="s">
        <v>51</v>
      </c>
      <c r="M852" s="6" t="s">
        <v>51</v>
      </c>
      <c r="N852" s="6" t="s">
        <v>51</v>
      </c>
    </row>
    <row r="853">
      <c r="B853" s="6" t="s">
        <v>51</v>
      </c>
      <c r="C853" s="6" t="s">
        <v>51</v>
      </c>
      <c r="K853" s="6" t="s">
        <v>51</v>
      </c>
      <c r="L853" s="6" t="s">
        <v>51</v>
      </c>
      <c r="M853" s="6" t="s">
        <v>51</v>
      </c>
      <c r="N853" s="6" t="s">
        <v>51</v>
      </c>
    </row>
    <row r="854">
      <c r="B854" s="6" t="s">
        <v>51</v>
      </c>
      <c r="C854" s="6" t="s">
        <v>51</v>
      </c>
      <c r="K854" s="6" t="s">
        <v>51</v>
      </c>
      <c r="L854" s="6" t="s">
        <v>51</v>
      </c>
      <c r="M854" s="6" t="s">
        <v>51</v>
      </c>
      <c r="N854" s="6" t="s">
        <v>51</v>
      </c>
    </row>
    <row r="855">
      <c r="B855" s="6" t="s">
        <v>51</v>
      </c>
      <c r="C855" s="6" t="s">
        <v>51</v>
      </c>
      <c r="K855" s="6" t="s">
        <v>51</v>
      </c>
      <c r="L855" s="6" t="s">
        <v>51</v>
      </c>
      <c r="M855" s="6" t="s">
        <v>51</v>
      </c>
      <c r="N855" s="6" t="s">
        <v>51</v>
      </c>
    </row>
    <row r="856">
      <c r="B856" s="6" t="s">
        <v>51</v>
      </c>
      <c r="C856" s="6" t="s">
        <v>51</v>
      </c>
      <c r="K856" s="6" t="s">
        <v>51</v>
      </c>
      <c r="L856" s="6" t="s">
        <v>51</v>
      </c>
      <c r="M856" s="6" t="s">
        <v>51</v>
      </c>
      <c r="N856" s="6" t="s">
        <v>51</v>
      </c>
    </row>
    <row r="857">
      <c r="B857" s="6" t="s">
        <v>51</v>
      </c>
      <c r="C857" s="6" t="s">
        <v>51</v>
      </c>
      <c r="K857" s="6" t="s">
        <v>51</v>
      </c>
      <c r="L857" s="6" t="s">
        <v>51</v>
      </c>
      <c r="M857" s="6" t="s">
        <v>51</v>
      </c>
      <c r="N857" s="6" t="s">
        <v>51</v>
      </c>
    </row>
    <row r="858">
      <c r="B858" s="6" t="s">
        <v>51</v>
      </c>
      <c r="C858" s="6" t="s">
        <v>51</v>
      </c>
      <c r="K858" s="6" t="s">
        <v>51</v>
      </c>
      <c r="L858" s="6" t="s">
        <v>51</v>
      </c>
      <c r="M858" s="6" t="s">
        <v>51</v>
      </c>
      <c r="N858" s="6" t="s">
        <v>51</v>
      </c>
    </row>
    <row r="859">
      <c r="B859" s="6" t="s">
        <v>51</v>
      </c>
      <c r="C859" s="6" t="s">
        <v>51</v>
      </c>
      <c r="K859" s="6" t="s">
        <v>51</v>
      </c>
      <c r="L859" s="6" t="s">
        <v>51</v>
      </c>
      <c r="M859" s="6" t="s">
        <v>51</v>
      </c>
      <c r="N859" s="6" t="s">
        <v>51</v>
      </c>
    </row>
    <row r="860">
      <c r="B860" s="6" t="s">
        <v>51</v>
      </c>
      <c r="C860" s="6" t="s">
        <v>51</v>
      </c>
      <c r="K860" s="6" t="s">
        <v>51</v>
      </c>
      <c r="L860" s="6" t="s">
        <v>51</v>
      </c>
      <c r="M860" s="6" t="s">
        <v>51</v>
      </c>
      <c r="N860" s="6" t="s">
        <v>51</v>
      </c>
    </row>
    <row r="861">
      <c r="B861" s="6" t="s">
        <v>51</v>
      </c>
      <c r="C861" s="6" t="s">
        <v>51</v>
      </c>
      <c r="K861" s="6" t="s">
        <v>51</v>
      </c>
      <c r="L861" s="6" t="s">
        <v>51</v>
      </c>
      <c r="M861" s="6" t="s">
        <v>51</v>
      </c>
      <c r="N861" s="6" t="s">
        <v>51</v>
      </c>
    </row>
    <row r="862">
      <c r="B862" s="6" t="s">
        <v>51</v>
      </c>
      <c r="C862" s="6" t="s">
        <v>51</v>
      </c>
      <c r="K862" s="6" t="s">
        <v>51</v>
      </c>
      <c r="L862" s="6" t="s">
        <v>51</v>
      </c>
      <c r="M862" s="6" t="s">
        <v>51</v>
      </c>
      <c r="N862" s="6" t="s">
        <v>51</v>
      </c>
    </row>
    <row r="863">
      <c r="B863" s="6" t="s">
        <v>51</v>
      </c>
      <c r="C863" s="6" t="s">
        <v>51</v>
      </c>
      <c r="K863" s="6" t="s">
        <v>51</v>
      </c>
      <c r="L863" s="6" t="s">
        <v>51</v>
      </c>
      <c r="M863" s="6" t="s">
        <v>51</v>
      </c>
      <c r="N863" s="6" t="s">
        <v>51</v>
      </c>
    </row>
    <row r="864">
      <c r="B864" s="6" t="s">
        <v>51</v>
      </c>
      <c r="C864" s="6" t="s">
        <v>51</v>
      </c>
      <c r="K864" s="6" t="s">
        <v>51</v>
      </c>
      <c r="L864" s="6" t="s">
        <v>51</v>
      </c>
      <c r="M864" s="6" t="s">
        <v>51</v>
      </c>
      <c r="N864" s="6" t="s">
        <v>51</v>
      </c>
    </row>
    <row r="865">
      <c r="B865" s="6" t="s">
        <v>51</v>
      </c>
      <c r="C865" s="6" t="s">
        <v>51</v>
      </c>
      <c r="K865" s="6" t="s">
        <v>51</v>
      </c>
      <c r="L865" s="6" t="s">
        <v>51</v>
      </c>
      <c r="M865" s="6" t="s">
        <v>51</v>
      </c>
      <c r="N865" s="6" t="s">
        <v>51</v>
      </c>
    </row>
    <row r="866">
      <c r="B866" s="6" t="s">
        <v>51</v>
      </c>
      <c r="C866" s="6" t="s">
        <v>51</v>
      </c>
      <c r="K866" s="6" t="s">
        <v>51</v>
      </c>
      <c r="L866" s="6" t="s">
        <v>51</v>
      </c>
      <c r="M866" s="6" t="s">
        <v>51</v>
      </c>
      <c r="N866" s="6" t="s">
        <v>51</v>
      </c>
    </row>
    <row r="867">
      <c r="B867" s="6" t="s">
        <v>51</v>
      </c>
      <c r="C867" s="6" t="s">
        <v>51</v>
      </c>
      <c r="K867" s="6" t="s">
        <v>51</v>
      </c>
      <c r="L867" s="6" t="s">
        <v>51</v>
      </c>
      <c r="M867" s="6" t="s">
        <v>51</v>
      </c>
      <c r="N867" s="6" t="s">
        <v>51</v>
      </c>
    </row>
    <row r="868">
      <c r="B868" s="6" t="s">
        <v>51</v>
      </c>
      <c r="C868" s="6" t="s">
        <v>51</v>
      </c>
      <c r="K868" s="6" t="s">
        <v>51</v>
      </c>
      <c r="L868" s="6" t="s">
        <v>51</v>
      </c>
      <c r="M868" s="6" t="s">
        <v>51</v>
      </c>
      <c r="N868" s="6" t="s">
        <v>51</v>
      </c>
    </row>
    <row r="869">
      <c r="B869" s="6" t="s">
        <v>51</v>
      </c>
      <c r="C869" s="6" t="s">
        <v>51</v>
      </c>
      <c r="K869" s="6" t="s">
        <v>51</v>
      </c>
      <c r="L869" s="6" t="s">
        <v>51</v>
      </c>
      <c r="M869" s="6" t="s">
        <v>51</v>
      </c>
      <c r="N869" s="6" t="s">
        <v>51</v>
      </c>
    </row>
    <row r="870">
      <c r="B870" s="6" t="s">
        <v>51</v>
      </c>
      <c r="C870" s="6" t="s">
        <v>51</v>
      </c>
      <c r="K870" s="6" t="s">
        <v>51</v>
      </c>
      <c r="L870" s="6" t="s">
        <v>51</v>
      </c>
      <c r="M870" s="6" t="s">
        <v>51</v>
      </c>
      <c r="N870" s="6" t="s">
        <v>51</v>
      </c>
    </row>
    <row r="871">
      <c r="B871" s="6" t="s">
        <v>51</v>
      </c>
      <c r="C871" s="6" t="s">
        <v>51</v>
      </c>
      <c r="K871" s="6" t="s">
        <v>51</v>
      </c>
      <c r="L871" s="6" t="s">
        <v>51</v>
      </c>
      <c r="M871" s="6" t="s">
        <v>51</v>
      </c>
      <c r="N871" s="6" t="s">
        <v>51</v>
      </c>
    </row>
    <row r="872">
      <c r="B872" s="6" t="s">
        <v>51</v>
      </c>
      <c r="C872" s="6" t="s">
        <v>51</v>
      </c>
      <c r="K872" s="6" t="s">
        <v>51</v>
      </c>
      <c r="L872" s="6" t="s">
        <v>51</v>
      </c>
      <c r="M872" s="6" t="s">
        <v>51</v>
      </c>
      <c r="N872" s="6" t="s">
        <v>51</v>
      </c>
    </row>
    <row r="873">
      <c r="B873" s="6" t="s">
        <v>51</v>
      </c>
      <c r="C873" s="6" t="s">
        <v>51</v>
      </c>
      <c r="K873" s="6" t="s">
        <v>51</v>
      </c>
      <c r="L873" s="6" t="s">
        <v>51</v>
      </c>
      <c r="M873" s="6" t="s">
        <v>51</v>
      </c>
      <c r="N873" s="6" t="s">
        <v>51</v>
      </c>
    </row>
    <row r="874">
      <c r="B874" s="6" t="s">
        <v>51</v>
      </c>
      <c r="C874" s="6" t="s">
        <v>51</v>
      </c>
      <c r="K874" s="6" t="s">
        <v>51</v>
      </c>
      <c r="L874" s="6" t="s">
        <v>51</v>
      </c>
      <c r="M874" s="6" t="s">
        <v>51</v>
      </c>
      <c r="N874" s="6" t="s">
        <v>51</v>
      </c>
    </row>
    <row r="875">
      <c r="B875" s="6" t="s">
        <v>51</v>
      </c>
      <c r="C875" s="6" t="s">
        <v>51</v>
      </c>
      <c r="K875" s="6" t="s">
        <v>51</v>
      </c>
      <c r="L875" s="6" t="s">
        <v>51</v>
      </c>
      <c r="M875" s="6" t="s">
        <v>51</v>
      </c>
      <c r="N875" s="6" t="s">
        <v>51</v>
      </c>
    </row>
    <row r="876">
      <c r="B876" s="6" t="s">
        <v>51</v>
      </c>
      <c r="C876" s="6" t="s">
        <v>51</v>
      </c>
      <c r="K876" s="6" t="s">
        <v>51</v>
      </c>
      <c r="L876" s="6" t="s">
        <v>51</v>
      </c>
      <c r="M876" s="6" t="s">
        <v>51</v>
      </c>
      <c r="N876" s="6" t="s">
        <v>51</v>
      </c>
    </row>
    <row r="877">
      <c r="B877" s="6" t="s">
        <v>51</v>
      </c>
      <c r="C877" s="6" t="s">
        <v>51</v>
      </c>
      <c r="K877" s="6" t="s">
        <v>51</v>
      </c>
      <c r="L877" s="6" t="s">
        <v>51</v>
      </c>
      <c r="M877" s="6" t="s">
        <v>51</v>
      </c>
      <c r="N877" s="6" t="s">
        <v>51</v>
      </c>
    </row>
    <row r="878">
      <c r="B878" s="6" t="s">
        <v>51</v>
      </c>
      <c r="C878" s="6" t="s">
        <v>51</v>
      </c>
      <c r="K878" s="6" t="s">
        <v>51</v>
      </c>
      <c r="L878" s="6" t="s">
        <v>51</v>
      </c>
      <c r="M878" s="6" t="s">
        <v>51</v>
      </c>
      <c r="N878" s="6" t="s">
        <v>51</v>
      </c>
    </row>
    <row r="879">
      <c r="B879" s="6" t="s">
        <v>51</v>
      </c>
      <c r="C879" s="6" t="s">
        <v>51</v>
      </c>
      <c r="K879" s="6" t="s">
        <v>51</v>
      </c>
      <c r="L879" s="6" t="s">
        <v>51</v>
      </c>
      <c r="M879" s="6" t="s">
        <v>51</v>
      </c>
      <c r="N879" s="6" t="s">
        <v>51</v>
      </c>
    </row>
    <row r="880">
      <c r="B880" s="6" t="s">
        <v>51</v>
      </c>
      <c r="C880" s="6" t="s">
        <v>51</v>
      </c>
      <c r="K880" s="6" t="s">
        <v>51</v>
      </c>
      <c r="L880" s="6" t="s">
        <v>51</v>
      </c>
      <c r="M880" s="6" t="s">
        <v>51</v>
      </c>
      <c r="N880" s="6" t="s">
        <v>51</v>
      </c>
    </row>
    <row r="881">
      <c r="B881" s="6" t="s">
        <v>51</v>
      </c>
      <c r="C881" s="6" t="s">
        <v>51</v>
      </c>
      <c r="K881" s="6" t="s">
        <v>51</v>
      </c>
      <c r="L881" s="6" t="s">
        <v>51</v>
      </c>
      <c r="M881" s="6" t="s">
        <v>51</v>
      </c>
      <c r="N881" s="6" t="s">
        <v>51</v>
      </c>
    </row>
    <row r="882">
      <c r="B882" s="6" t="s">
        <v>51</v>
      </c>
      <c r="C882" s="6" t="s">
        <v>51</v>
      </c>
      <c r="K882" s="6" t="s">
        <v>51</v>
      </c>
      <c r="L882" s="6" t="s">
        <v>51</v>
      </c>
      <c r="M882" s="6" t="s">
        <v>51</v>
      </c>
      <c r="N882" s="6" t="s">
        <v>51</v>
      </c>
    </row>
    <row r="883">
      <c r="B883" s="6" t="s">
        <v>51</v>
      </c>
      <c r="C883" s="6" t="s">
        <v>51</v>
      </c>
      <c r="K883" s="6" t="s">
        <v>51</v>
      </c>
      <c r="L883" s="6" t="s">
        <v>51</v>
      </c>
      <c r="M883" s="6" t="s">
        <v>51</v>
      </c>
      <c r="N883" s="6" t="s">
        <v>51</v>
      </c>
    </row>
    <row r="884">
      <c r="B884" s="6" t="s">
        <v>51</v>
      </c>
      <c r="C884" s="6" t="s">
        <v>51</v>
      </c>
      <c r="K884" s="6" t="s">
        <v>51</v>
      </c>
      <c r="L884" s="6" t="s">
        <v>51</v>
      </c>
      <c r="M884" s="6" t="s">
        <v>51</v>
      </c>
      <c r="N884" s="6" t="s">
        <v>51</v>
      </c>
    </row>
    <row r="885">
      <c r="B885" s="6" t="s">
        <v>51</v>
      </c>
      <c r="C885" s="6" t="s">
        <v>51</v>
      </c>
      <c r="K885" s="6" t="s">
        <v>51</v>
      </c>
      <c r="L885" s="6" t="s">
        <v>51</v>
      </c>
      <c r="M885" s="6" t="s">
        <v>51</v>
      </c>
      <c r="N885" s="6" t="s">
        <v>51</v>
      </c>
    </row>
    <row r="886">
      <c r="B886" s="6" t="s">
        <v>51</v>
      </c>
      <c r="C886" s="6" t="s">
        <v>51</v>
      </c>
      <c r="K886" s="6" t="s">
        <v>51</v>
      </c>
      <c r="L886" s="6" t="s">
        <v>51</v>
      </c>
      <c r="M886" s="6" t="s">
        <v>51</v>
      </c>
      <c r="N886" s="6" t="s">
        <v>51</v>
      </c>
    </row>
    <row r="887">
      <c r="B887" s="6" t="s">
        <v>51</v>
      </c>
      <c r="C887" s="6" t="s">
        <v>51</v>
      </c>
      <c r="K887" s="6" t="s">
        <v>51</v>
      </c>
      <c r="L887" s="6" t="s">
        <v>51</v>
      </c>
      <c r="M887" s="6" t="s">
        <v>51</v>
      </c>
      <c r="N887" s="6" t="s">
        <v>51</v>
      </c>
    </row>
    <row r="888">
      <c r="B888" s="6" t="s">
        <v>51</v>
      </c>
      <c r="C888" s="6" t="s">
        <v>51</v>
      </c>
      <c r="K888" s="6" t="s">
        <v>51</v>
      </c>
      <c r="L888" s="6" t="s">
        <v>51</v>
      </c>
      <c r="M888" s="6" t="s">
        <v>51</v>
      </c>
      <c r="N888" s="6" t="s">
        <v>51</v>
      </c>
    </row>
    <row r="889">
      <c r="B889" s="6" t="s">
        <v>51</v>
      </c>
      <c r="C889" s="6" t="s">
        <v>51</v>
      </c>
      <c r="K889" s="6" t="s">
        <v>51</v>
      </c>
      <c r="L889" s="6" t="s">
        <v>51</v>
      </c>
      <c r="M889" s="6" t="s">
        <v>51</v>
      </c>
      <c r="N889" s="6" t="s">
        <v>51</v>
      </c>
    </row>
    <row r="890">
      <c r="B890" s="6" t="s">
        <v>51</v>
      </c>
      <c r="C890" s="6" t="s">
        <v>51</v>
      </c>
      <c r="K890" s="6" t="s">
        <v>51</v>
      </c>
      <c r="L890" s="6" t="s">
        <v>51</v>
      </c>
      <c r="M890" s="6" t="s">
        <v>51</v>
      </c>
      <c r="N890" s="6" t="s">
        <v>51</v>
      </c>
    </row>
    <row r="891">
      <c r="B891" s="6" t="s">
        <v>51</v>
      </c>
      <c r="C891" s="6" t="s">
        <v>51</v>
      </c>
      <c r="K891" s="6" t="s">
        <v>51</v>
      </c>
      <c r="L891" s="6" t="s">
        <v>51</v>
      </c>
      <c r="M891" s="6" t="s">
        <v>51</v>
      </c>
      <c r="N891" s="6" t="s">
        <v>51</v>
      </c>
    </row>
    <row r="892">
      <c r="B892" s="6" t="s">
        <v>51</v>
      </c>
      <c r="C892" s="6" t="s">
        <v>51</v>
      </c>
      <c r="K892" s="6" t="s">
        <v>51</v>
      </c>
      <c r="L892" s="6" t="s">
        <v>51</v>
      </c>
      <c r="M892" s="6" t="s">
        <v>51</v>
      </c>
      <c r="N892" s="6" t="s">
        <v>51</v>
      </c>
    </row>
    <row r="893">
      <c r="B893" s="6" t="s">
        <v>51</v>
      </c>
      <c r="C893" s="6" t="s">
        <v>51</v>
      </c>
      <c r="K893" s="6" t="s">
        <v>51</v>
      </c>
      <c r="L893" s="6" t="s">
        <v>51</v>
      </c>
      <c r="M893" s="6" t="s">
        <v>51</v>
      </c>
      <c r="N893" s="6" t="s">
        <v>51</v>
      </c>
    </row>
    <row r="894">
      <c r="B894" s="6" t="s">
        <v>51</v>
      </c>
      <c r="C894" s="6" t="s">
        <v>51</v>
      </c>
      <c r="K894" s="6" t="s">
        <v>51</v>
      </c>
      <c r="L894" s="6" t="s">
        <v>51</v>
      </c>
      <c r="M894" s="6" t="s">
        <v>51</v>
      </c>
      <c r="N894" s="6" t="s">
        <v>51</v>
      </c>
    </row>
    <row r="895">
      <c r="B895" s="6" t="s">
        <v>51</v>
      </c>
      <c r="C895" s="6" t="s">
        <v>51</v>
      </c>
      <c r="K895" s="6" t="s">
        <v>51</v>
      </c>
      <c r="L895" s="6" t="s">
        <v>51</v>
      </c>
      <c r="M895" s="6" t="s">
        <v>51</v>
      </c>
      <c r="N895" s="6" t="s">
        <v>51</v>
      </c>
    </row>
    <row r="896">
      <c r="B896" s="6" t="s">
        <v>51</v>
      </c>
      <c r="C896" s="6" t="s">
        <v>51</v>
      </c>
      <c r="K896" s="6" t="s">
        <v>51</v>
      </c>
      <c r="L896" s="6" t="s">
        <v>51</v>
      </c>
      <c r="M896" s="6" t="s">
        <v>51</v>
      </c>
      <c r="N896" s="6" t="s">
        <v>51</v>
      </c>
    </row>
    <row r="897">
      <c r="B897" s="6" t="s">
        <v>51</v>
      </c>
      <c r="C897" s="6" t="s">
        <v>51</v>
      </c>
      <c r="K897" s="6" t="s">
        <v>51</v>
      </c>
      <c r="L897" s="6" t="s">
        <v>51</v>
      </c>
      <c r="M897" s="6" t="s">
        <v>51</v>
      </c>
      <c r="N897" s="6" t="s">
        <v>51</v>
      </c>
    </row>
    <row r="898">
      <c r="B898" s="6" t="s">
        <v>51</v>
      </c>
      <c r="C898" s="6" t="s">
        <v>51</v>
      </c>
      <c r="K898" s="6" t="s">
        <v>51</v>
      </c>
      <c r="L898" s="6" t="s">
        <v>51</v>
      </c>
      <c r="M898" s="6" t="s">
        <v>51</v>
      </c>
      <c r="N898" s="6" t="s">
        <v>51</v>
      </c>
    </row>
    <row r="899">
      <c r="B899" s="6" t="s">
        <v>51</v>
      </c>
      <c r="C899" s="6" t="s">
        <v>51</v>
      </c>
      <c r="K899" s="6" t="s">
        <v>51</v>
      </c>
      <c r="L899" s="6" t="s">
        <v>51</v>
      </c>
      <c r="M899" s="6" t="s">
        <v>51</v>
      </c>
      <c r="N899" s="6" t="s">
        <v>51</v>
      </c>
    </row>
    <row r="900">
      <c r="B900" s="6" t="s">
        <v>51</v>
      </c>
      <c r="C900" s="6" t="s">
        <v>51</v>
      </c>
      <c r="K900" s="6" t="s">
        <v>51</v>
      </c>
      <c r="L900" s="6" t="s">
        <v>51</v>
      </c>
      <c r="M900" s="6" t="s">
        <v>51</v>
      </c>
      <c r="N900" s="6" t="s">
        <v>51</v>
      </c>
    </row>
    <row r="901">
      <c r="B901" s="6" t="s">
        <v>51</v>
      </c>
      <c r="C901" s="6" t="s">
        <v>51</v>
      </c>
      <c r="K901" s="6" t="s">
        <v>51</v>
      </c>
      <c r="L901" s="6" t="s">
        <v>51</v>
      </c>
      <c r="M901" s="6" t="s">
        <v>51</v>
      </c>
      <c r="N901" s="6" t="s">
        <v>51</v>
      </c>
    </row>
    <row r="902">
      <c r="B902" s="6" t="s">
        <v>51</v>
      </c>
      <c r="C902" s="6" t="s">
        <v>51</v>
      </c>
      <c r="K902" s="6" t="s">
        <v>51</v>
      </c>
      <c r="L902" s="6" t="s">
        <v>51</v>
      </c>
      <c r="M902" s="6" t="s">
        <v>51</v>
      </c>
      <c r="N902" s="6" t="s">
        <v>51</v>
      </c>
    </row>
    <row r="903">
      <c r="B903" s="6" t="s">
        <v>51</v>
      </c>
      <c r="C903" s="6" t="s">
        <v>51</v>
      </c>
      <c r="K903" s="6" t="s">
        <v>51</v>
      </c>
      <c r="L903" s="6" t="s">
        <v>51</v>
      </c>
      <c r="M903" s="6" t="s">
        <v>51</v>
      </c>
      <c r="N903" s="6" t="s">
        <v>51</v>
      </c>
    </row>
    <row r="904">
      <c r="B904" s="6" t="s">
        <v>51</v>
      </c>
      <c r="C904" s="6" t="s">
        <v>51</v>
      </c>
      <c r="K904" s="6" t="s">
        <v>51</v>
      </c>
      <c r="L904" s="6" t="s">
        <v>51</v>
      </c>
      <c r="M904" s="6" t="s">
        <v>51</v>
      </c>
      <c r="N904" s="6" t="s">
        <v>51</v>
      </c>
    </row>
    <row r="905">
      <c r="B905" s="6" t="s">
        <v>51</v>
      </c>
      <c r="C905" s="6" t="s">
        <v>51</v>
      </c>
      <c r="K905" s="6" t="s">
        <v>51</v>
      </c>
      <c r="L905" s="6" t="s">
        <v>51</v>
      </c>
      <c r="M905" s="6" t="s">
        <v>51</v>
      </c>
      <c r="N905" s="6" t="s">
        <v>51</v>
      </c>
    </row>
    <row r="906">
      <c r="B906" s="6" t="s">
        <v>51</v>
      </c>
      <c r="C906" s="6" t="s">
        <v>51</v>
      </c>
      <c r="K906" s="6" t="s">
        <v>51</v>
      </c>
      <c r="L906" s="6" t="s">
        <v>51</v>
      </c>
      <c r="M906" s="6" t="s">
        <v>51</v>
      </c>
      <c r="N906" s="6" t="s">
        <v>51</v>
      </c>
    </row>
    <row r="907">
      <c r="B907" s="6" t="s">
        <v>51</v>
      </c>
      <c r="C907" s="6" t="s">
        <v>51</v>
      </c>
      <c r="K907" s="6" t="s">
        <v>51</v>
      </c>
      <c r="L907" s="6" t="s">
        <v>51</v>
      </c>
      <c r="M907" s="6" t="s">
        <v>51</v>
      </c>
      <c r="N907" s="6" t="s">
        <v>51</v>
      </c>
    </row>
    <row r="908">
      <c r="B908" s="6" t="s">
        <v>51</v>
      </c>
      <c r="C908" s="6" t="s">
        <v>51</v>
      </c>
      <c r="K908" s="6" t="s">
        <v>51</v>
      </c>
      <c r="L908" s="6" t="s">
        <v>51</v>
      </c>
      <c r="M908" s="6" t="s">
        <v>51</v>
      </c>
      <c r="N908" s="6" t="s">
        <v>51</v>
      </c>
    </row>
    <row r="909">
      <c r="B909" s="6" t="s">
        <v>51</v>
      </c>
      <c r="C909" s="6" t="s">
        <v>51</v>
      </c>
      <c r="K909" s="6" t="s">
        <v>51</v>
      </c>
      <c r="L909" s="6" t="s">
        <v>51</v>
      </c>
      <c r="M909" s="6" t="s">
        <v>51</v>
      </c>
      <c r="N909" s="6" t="s">
        <v>51</v>
      </c>
    </row>
    <row r="910">
      <c r="B910" s="6" t="s">
        <v>51</v>
      </c>
      <c r="C910" s="6" t="s">
        <v>51</v>
      </c>
      <c r="K910" s="6" t="s">
        <v>51</v>
      </c>
      <c r="L910" s="6" t="s">
        <v>51</v>
      </c>
      <c r="M910" s="6" t="s">
        <v>51</v>
      </c>
      <c r="N910" s="6" t="s">
        <v>51</v>
      </c>
    </row>
    <row r="911">
      <c r="B911" s="6" t="s">
        <v>51</v>
      </c>
      <c r="C911" s="6" t="s">
        <v>51</v>
      </c>
      <c r="K911" s="6" t="s">
        <v>51</v>
      </c>
      <c r="L911" s="6" t="s">
        <v>51</v>
      </c>
      <c r="M911" s="6" t="s">
        <v>51</v>
      </c>
      <c r="N911" s="6" t="s">
        <v>51</v>
      </c>
    </row>
    <row r="912">
      <c r="B912" s="6" t="s">
        <v>51</v>
      </c>
      <c r="C912" s="6" t="s">
        <v>51</v>
      </c>
      <c r="K912" s="6" t="s">
        <v>51</v>
      </c>
      <c r="L912" s="6" t="s">
        <v>51</v>
      </c>
      <c r="M912" s="6" t="s">
        <v>51</v>
      </c>
      <c r="N912" s="6" t="s">
        <v>51</v>
      </c>
    </row>
    <row r="913">
      <c r="B913" s="6" t="s">
        <v>51</v>
      </c>
      <c r="C913" s="6" t="s">
        <v>51</v>
      </c>
      <c r="K913" s="6" t="s">
        <v>51</v>
      </c>
      <c r="L913" s="6" t="s">
        <v>51</v>
      </c>
      <c r="M913" s="6" t="s">
        <v>51</v>
      </c>
      <c r="N913" s="6" t="s">
        <v>51</v>
      </c>
    </row>
    <row r="914">
      <c r="B914" s="6" t="s">
        <v>51</v>
      </c>
      <c r="C914" s="6" t="s">
        <v>51</v>
      </c>
      <c r="K914" s="6" t="s">
        <v>51</v>
      </c>
      <c r="L914" s="6" t="s">
        <v>51</v>
      </c>
      <c r="M914" s="6" t="s">
        <v>51</v>
      </c>
      <c r="N914" s="6" t="s">
        <v>51</v>
      </c>
    </row>
    <row r="915">
      <c r="B915" s="6" t="s">
        <v>51</v>
      </c>
      <c r="C915" s="6" t="s">
        <v>51</v>
      </c>
      <c r="K915" s="6" t="s">
        <v>51</v>
      </c>
      <c r="L915" s="6" t="s">
        <v>51</v>
      </c>
      <c r="M915" s="6" t="s">
        <v>51</v>
      </c>
      <c r="N915" s="6" t="s">
        <v>51</v>
      </c>
    </row>
    <row r="916">
      <c r="B916" s="6" t="s">
        <v>51</v>
      </c>
      <c r="C916" s="6" t="s">
        <v>51</v>
      </c>
      <c r="K916" s="6" t="s">
        <v>51</v>
      </c>
      <c r="L916" s="6" t="s">
        <v>51</v>
      </c>
      <c r="M916" s="6" t="s">
        <v>51</v>
      </c>
      <c r="N916" s="6" t="s">
        <v>51</v>
      </c>
    </row>
    <row r="917">
      <c r="B917" s="6" t="s">
        <v>51</v>
      </c>
      <c r="C917" s="6" t="s">
        <v>51</v>
      </c>
      <c r="K917" s="6" t="s">
        <v>51</v>
      </c>
      <c r="L917" s="6" t="s">
        <v>51</v>
      </c>
      <c r="M917" s="6" t="s">
        <v>51</v>
      </c>
      <c r="N917" s="6" t="s">
        <v>51</v>
      </c>
    </row>
    <row r="918">
      <c r="B918" s="6" t="s">
        <v>51</v>
      </c>
      <c r="C918" s="6" t="s">
        <v>51</v>
      </c>
      <c r="K918" s="6" t="s">
        <v>51</v>
      </c>
      <c r="L918" s="6" t="s">
        <v>51</v>
      </c>
      <c r="M918" s="6" t="s">
        <v>51</v>
      </c>
      <c r="N918" s="6" t="s">
        <v>51</v>
      </c>
    </row>
    <row r="919">
      <c r="B919" s="6" t="s">
        <v>51</v>
      </c>
      <c r="C919" s="6" t="s">
        <v>51</v>
      </c>
      <c r="K919" s="6" t="s">
        <v>51</v>
      </c>
      <c r="L919" s="6" t="s">
        <v>51</v>
      </c>
      <c r="M919" s="6" t="s">
        <v>51</v>
      </c>
      <c r="N919" s="6" t="s">
        <v>51</v>
      </c>
    </row>
    <row r="920">
      <c r="B920" s="6" t="s">
        <v>51</v>
      </c>
      <c r="C920" s="6" t="s">
        <v>51</v>
      </c>
      <c r="K920" s="6" t="s">
        <v>51</v>
      </c>
      <c r="L920" s="6" t="s">
        <v>51</v>
      </c>
      <c r="M920" s="6" t="s">
        <v>51</v>
      </c>
      <c r="N920" s="6" t="s">
        <v>51</v>
      </c>
    </row>
    <row r="921">
      <c r="B921" s="6" t="s">
        <v>51</v>
      </c>
      <c r="C921" s="6" t="s">
        <v>51</v>
      </c>
      <c r="K921" s="6" t="s">
        <v>51</v>
      </c>
      <c r="L921" s="6" t="s">
        <v>51</v>
      </c>
      <c r="M921" s="6" t="s">
        <v>51</v>
      </c>
      <c r="N921" s="6" t="s">
        <v>51</v>
      </c>
    </row>
    <row r="922">
      <c r="B922" s="6" t="s">
        <v>51</v>
      </c>
      <c r="C922" s="6" t="s">
        <v>51</v>
      </c>
      <c r="K922" s="6" t="s">
        <v>51</v>
      </c>
      <c r="L922" s="6" t="s">
        <v>51</v>
      </c>
      <c r="M922" s="6" t="s">
        <v>51</v>
      </c>
      <c r="N922" s="6" t="s">
        <v>51</v>
      </c>
    </row>
    <row r="923">
      <c r="B923" s="6" t="s">
        <v>51</v>
      </c>
      <c r="C923" s="6" t="s">
        <v>51</v>
      </c>
      <c r="K923" s="6" t="s">
        <v>51</v>
      </c>
      <c r="L923" s="6" t="s">
        <v>51</v>
      </c>
      <c r="M923" s="6" t="s">
        <v>51</v>
      </c>
      <c r="N923" s="6" t="s">
        <v>51</v>
      </c>
    </row>
    <row r="924">
      <c r="B924" s="6" t="s">
        <v>51</v>
      </c>
      <c r="C924" s="6" t="s">
        <v>51</v>
      </c>
      <c r="K924" s="6" t="s">
        <v>51</v>
      </c>
      <c r="L924" s="6" t="s">
        <v>51</v>
      </c>
      <c r="M924" s="6" t="s">
        <v>51</v>
      </c>
      <c r="N924" s="6" t="s">
        <v>51</v>
      </c>
    </row>
    <row r="925">
      <c r="B925" s="6" t="s">
        <v>51</v>
      </c>
      <c r="C925" s="6" t="s">
        <v>51</v>
      </c>
      <c r="K925" s="6" t="s">
        <v>51</v>
      </c>
      <c r="L925" s="6" t="s">
        <v>51</v>
      </c>
      <c r="M925" s="6" t="s">
        <v>51</v>
      </c>
      <c r="N925" s="6" t="s">
        <v>51</v>
      </c>
    </row>
    <row r="926">
      <c r="B926" s="6" t="s">
        <v>51</v>
      </c>
      <c r="C926" s="6" t="s">
        <v>51</v>
      </c>
      <c r="K926" s="6" t="s">
        <v>51</v>
      </c>
      <c r="L926" s="6" t="s">
        <v>51</v>
      </c>
      <c r="M926" s="6" t="s">
        <v>51</v>
      </c>
      <c r="N926" s="6" t="s">
        <v>51</v>
      </c>
    </row>
    <row r="927">
      <c r="B927" s="6" t="s">
        <v>51</v>
      </c>
      <c r="C927" s="6" t="s">
        <v>51</v>
      </c>
      <c r="K927" s="6" t="s">
        <v>51</v>
      </c>
      <c r="L927" s="6" t="s">
        <v>51</v>
      </c>
      <c r="M927" s="6" t="s">
        <v>51</v>
      </c>
      <c r="N927" s="6" t="s">
        <v>51</v>
      </c>
    </row>
    <row r="928">
      <c r="B928" s="6" t="s">
        <v>51</v>
      </c>
      <c r="C928" s="6" t="s">
        <v>51</v>
      </c>
      <c r="K928" s="6" t="s">
        <v>51</v>
      </c>
      <c r="L928" s="6" t="s">
        <v>51</v>
      </c>
      <c r="M928" s="6" t="s">
        <v>51</v>
      </c>
      <c r="N928" s="6" t="s">
        <v>51</v>
      </c>
    </row>
    <row r="929">
      <c r="B929" s="6" t="s">
        <v>51</v>
      </c>
      <c r="C929" s="6" t="s">
        <v>51</v>
      </c>
      <c r="K929" s="6" t="s">
        <v>51</v>
      </c>
      <c r="L929" s="6" t="s">
        <v>51</v>
      </c>
      <c r="M929" s="6" t="s">
        <v>51</v>
      </c>
      <c r="N929" s="6" t="s">
        <v>51</v>
      </c>
    </row>
    <row r="930">
      <c r="B930" s="6" t="s">
        <v>51</v>
      </c>
      <c r="C930" s="6" t="s">
        <v>51</v>
      </c>
      <c r="K930" s="6" t="s">
        <v>51</v>
      </c>
      <c r="L930" s="6" t="s">
        <v>51</v>
      </c>
      <c r="M930" s="6" t="s">
        <v>51</v>
      </c>
      <c r="N930" s="6" t="s">
        <v>51</v>
      </c>
    </row>
    <row r="931">
      <c r="B931" s="6" t="s">
        <v>51</v>
      </c>
      <c r="C931" s="6" t="s">
        <v>51</v>
      </c>
      <c r="K931" s="6" t="s">
        <v>51</v>
      </c>
      <c r="L931" s="6" t="s">
        <v>51</v>
      </c>
      <c r="M931" s="6" t="s">
        <v>51</v>
      </c>
      <c r="N931" s="6" t="s">
        <v>51</v>
      </c>
    </row>
    <row r="932">
      <c r="B932" s="6" t="s">
        <v>51</v>
      </c>
      <c r="C932" s="6" t="s">
        <v>51</v>
      </c>
      <c r="K932" s="6" t="s">
        <v>51</v>
      </c>
      <c r="L932" s="6" t="s">
        <v>51</v>
      </c>
      <c r="M932" s="6" t="s">
        <v>51</v>
      </c>
      <c r="N932" s="6" t="s">
        <v>51</v>
      </c>
    </row>
    <row r="933">
      <c r="B933" s="6" t="s">
        <v>51</v>
      </c>
      <c r="C933" s="6" t="s">
        <v>51</v>
      </c>
      <c r="K933" s="6" t="s">
        <v>51</v>
      </c>
      <c r="L933" s="6" t="s">
        <v>51</v>
      </c>
      <c r="M933" s="6" t="s">
        <v>51</v>
      </c>
      <c r="N933" s="6" t="s">
        <v>51</v>
      </c>
    </row>
    <row r="934">
      <c r="B934" s="6" t="s">
        <v>51</v>
      </c>
      <c r="C934" s="6" t="s">
        <v>51</v>
      </c>
      <c r="K934" s="6" t="s">
        <v>51</v>
      </c>
      <c r="L934" s="6" t="s">
        <v>51</v>
      </c>
      <c r="M934" s="6" t="s">
        <v>51</v>
      </c>
      <c r="N934" s="6" t="s">
        <v>51</v>
      </c>
    </row>
    <row r="935">
      <c r="B935" s="6" t="s">
        <v>51</v>
      </c>
      <c r="C935" s="6" t="s">
        <v>51</v>
      </c>
      <c r="K935" s="6" t="s">
        <v>51</v>
      </c>
      <c r="L935" s="6" t="s">
        <v>51</v>
      </c>
      <c r="M935" s="6" t="s">
        <v>51</v>
      </c>
      <c r="N935" s="6" t="s">
        <v>51</v>
      </c>
    </row>
    <row r="936">
      <c r="B936" s="6" t="s">
        <v>51</v>
      </c>
      <c r="C936" s="6" t="s">
        <v>51</v>
      </c>
      <c r="K936" s="6" t="s">
        <v>51</v>
      </c>
      <c r="L936" s="6" t="s">
        <v>51</v>
      </c>
      <c r="M936" s="6" t="s">
        <v>51</v>
      </c>
      <c r="N936" s="6" t="s">
        <v>51</v>
      </c>
    </row>
    <row r="937">
      <c r="B937" s="6" t="s">
        <v>51</v>
      </c>
      <c r="C937" s="6" t="s">
        <v>51</v>
      </c>
      <c r="K937" s="6" t="s">
        <v>51</v>
      </c>
      <c r="L937" s="6" t="s">
        <v>51</v>
      </c>
      <c r="M937" s="6" t="s">
        <v>51</v>
      </c>
      <c r="N937" s="6" t="s">
        <v>51</v>
      </c>
    </row>
    <row r="938">
      <c r="B938" s="6" t="s">
        <v>51</v>
      </c>
      <c r="C938" s="6" t="s">
        <v>51</v>
      </c>
      <c r="K938" s="6" t="s">
        <v>51</v>
      </c>
      <c r="L938" s="6" t="s">
        <v>51</v>
      </c>
      <c r="M938" s="6" t="s">
        <v>51</v>
      </c>
      <c r="N938" s="6" t="s">
        <v>51</v>
      </c>
    </row>
    <row r="939">
      <c r="B939" s="6" t="s">
        <v>51</v>
      </c>
      <c r="C939" s="6" t="s">
        <v>51</v>
      </c>
      <c r="K939" s="6" t="s">
        <v>51</v>
      </c>
      <c r="L939" s="6" t="s">
        <v>51</v>
      </c>
      <c r="M939" s="6" t="s">
        <v>51</v>
      </c>
      <c r="N939" s="6" t="s">
        <v>51</v>
      </c>
    </row>
    <row r="940">
      <c r="B940" s="6" t="s">
        <v>51</v>
      </c>
      <c r="C940" s="6" t="s">
        <v>51</v>
      </c>
      <c r="K940" s="6" t="s">
        <v>51</v>
      </c>
      <c r="L940" s="6" t="s">
        <v>51</v>
      </c>
      <c r="M940" s="6" t="s">
        <v>51</v>
      </c>
      <c r="N940" s="6" t="s">
        <v>51</v>
      </c>
    </row>
    <row r="941">
      <c r="B941" s="6" t="s">
        <v>51</v>
      </c>
      <c r="C941" s="6" t="s">
        <v>51</v>
      </c>
      <c r="K941" s="6" t="s">
        <v>51</v>
      </c>
      <c r="L941" s="6" t="s">
        <v>51</v>
      </c>
      <c r="M941" s="6" t="s">
        <v>51</v>
      </c>
      <c r="N941" s="6" t="s">
        <v>51</v>
      </c>
    </row>
    <row r="942">
      <c r="B942" s="6" t="s">
        <v>51</v>
      </c>
      <c r="C942" s="6" t="s">
        <v>51</v>
      </c>
      <c r="K942" s="6" t="s">
        <v>51</v>
      </c>
      <c r="L942" s="6" t="s">
        <v>51</v>
      </c>
      <c r="M942" s="6" t="s">
        <v>51</v>
      </c>
      <c r="N942" s="6" t="s">
        <v>51</v>
      </c>
    </row>
    <row r="943">
      <c r="B943" s="6" t="s">
        <v>51</v>
      </c>
      <c r="C943" s="6" t="s">
        <v>51</v>
      </c>
      <c r="K943" s="6" t="s">
        <v>51</v>
      </c>
      <c r="L943" s="6" t="s">
        <v>51</v>
      </c>
      <c r="M943" s="6" t="s">
        <v>51</v>
      </c>
      <c r="N943" s="6" t="s">
        <v>51</v>
      </c>
    </row>
    <row r="944">
      <c r="B944" s="6" t="s">
        <v>51</v>
      </c>
      <c r="C944" s="6" t="s">
        <v>51</v>
      </c>
      <c r="K944" s="6" t="s">
        <v>51</v>
      </c>
      <c r="L944" s="6" t="s">
        <v>51</v>
      </c>
      <c r="M944" s="6" t="s">
        <v>51</v>
      </c>
      <c r="N944" s="6" t="s">
        <v>51</v>
      </c>
    </row>
    <row r="945">
      <c r="B945" s="6" t="s">
        <v>51</v>
      </c>
      <c r="C945" s="6" t="s">
        <v>51</v>
      </c>
      <c r="K945" s="6" t="s">
        <v>51</v>
      </c>
      <c r="L945" s="6" t="s">
        <v>51</v>
      </c>
      <c r="M945" s="6" t="s">
        <v>51</v>
      </c>
      <c r="N945" s="6" t="s">
        <v>51</v>
      </c>
    </row>
    <row r="946">
      <c r="B946" s="6" t="s">
        <v>51</v>
      </c>
      <c r="C946" s="6" t="s">
        <v>51</v>
      </c>
      <c r="K946" s="6" t="s">
        <v>51</v>
      </c>
      <c r="L946" s="6" t="s">
        <v>51</v>
      </c>
      <c r="M946" s="6" t="s">
        <v>51</v>
      </c>
      <c r="N946" s="6" t="s">
        <v>51</v>
      </c>
    </row>
    <row r="947">
      <c r="B947" s="6" t="s">
        <v>51</v>
      </c>
      <c r="C947" s="6" t="s">
        <v>51</v>
      </c>
      <c r="K947" s="6" t="s">
        <v>51</v>
      </c>
      <c r="L947" s="6" t="s">
        <v>51</v>
      </c>
      <c r="M947" s="6" t="s">
        <v>51</v>
      </c>
      <c r="N947" s="6" t="s">
        <v>51</v>
      </c>
    </row>
    <row r="948">
      <c r="B948" s="6" t="s">
        <v>51</v>
      </c>
      <c r="C948" s="6" t="s">
        <v>51</v>
      </c>
      <c r="K948" s="6" t="s">
        <v>51</v>
      </c>
      <c r="L948" s="6" t="s">
        <v>51</v>
      </c>
      <c r="M948" s="6" t="s">
        <v>51</v>
      </c>
      <c r="N948" s="6" t="s">
        <v>51</v>
      </c>
    </row>
    <row r="949">
      <c r="B949" s="6" t="s">
        <v>51</v>
      </c>
      <c r="C949" s="6" t="s">
        <v>51</v>
      </c>
      <c r="K949" s="6" t="s">
        <v>51</v>
      </c>
      <c r="L949" s="6" t="s">
        <v>51</v>
      </c>
      <c r="M949" s="6" t="s">
        <v>51</v>
      </c>
      <c r="N949" s="6" t="s">
        <v>51</v>
      </c>
    </row>
    <row r="950">
      <c r="B950" s="6" t="s">
        <v>51</v>
      </c>
      <c r="C950" s="6" t="s">
        <v>51</v>
      </c>
      <c r="K950" s="6" t="s">
        <v>51</v>
      </c>
      <c r="L950" s="6" t="s">
        <v>51</v>
      </c>
      <c r="M950" s="6" t="s">
        <v>51</v>
      </c>
      <c r="N950" s="6" t="s">
        <v>51</v>
      </c>
    </row>
    <row r="951">
      <c r="B951" s="6" t="s">
        <v>51</v>
      </c>
      <c r="C951" s="6" t="s">
        <v>51</v>
      </c>
      <c r="K951" s="6" t="s">
        <v>51</v>
      </c>
      <c r="L951" s="6" t="s">
        <v>51</v>
      </c>
      <c r="M951" s="6" t="s">
        <v>51</v>
      </c>
      <c r="N951" s="6" t="s">
        <v>51</v>
      </c>
    </row>
    <row r="952">
      <c r="B952" s="6" t="s">
        <v>51</v>
      </c>
      <c r="C952" s="6" t="s">
        <v>51</v>
      </c>
      <c r="K952" s="6" t="s">
        <v>51</v>
      </c>
      <c r="L952" s="6" t="s">
        <v>51</v>
      </c>
      <c r="M952" s="6" t="s">
        <v>51</v>
      </c>
      <c r="N952" s="6" t="s">
        <v>51</v>
      </c>
    </row>
    <row r="953">
      <c r="B953" s="6" t="s">
        <v>51</v>
      </c>
      <c r="C953" s="6" t="s">
        <v>51</v>
      </c>
      <c r="K953" s="6" t="s">
        <v>51</v>
      </c>
      <c r="L953" s="6" t="s">
        <v>51</v>
      </c>
      <c r="M953" s="6" t="s">
        <v>51</v>
      </c>
      <c r="N953" s="6" t="s">
        <v>51</v>
      </c>
    </row>
    <row r="954">
      <c r="B954" s="6" t="s">
        <v>51</v>
      </c>
      <c r="C954" s="6" t="s">
        <v>51</v>
      </c>
      <c r="K954" s="6" t="s">
        <v>51</v>
      </c>
      <c r="L954" s="6" t="s">
        <v>51</v>
      </c>
      <c r="M954" s="6" t="s">
        <v>51</v>
      </c>
      <c r="N954" s="6" t="s">
        <v>51</v>
      </c>
    </row>
    <row r="955">
      <c r="B955" s="6" t="s">
        <v>51</v>
      </c>
      <c r="C955" s="6" t="s">
        <v>51</v>
      </c>
      <c r="K955" s="6" t="s">
        <v>51</v>
      </c>
      <c r="L955" s="6" t="s">
        <v>51</v>
      </c>
      <c r="M955" s="6" t="s">
        <v>51</v>
      </c>
      <c r="N955" s="6" t="s">
        <v>51</v>
      </c>
    </row>
    <row r="956">
      <c r="B956" s="6" t="s">
        <v>51</v>
      </c>
      <c r="C956" s="6" t="s">
        <v>51</v>
      </c>
      <c r="K956" s="6" t="s">
        <v>51</v>
      </c>
      <c r="L956" s="6" t="s">
        <v>51</v>
      </c>
      <c r="M956" s="6" t="s">
        <v>51</v>
      </c>
      <c r="N956" s="6" t="s">
        <v>51</v>
      </c>
    </row>
    <row r="957">
      <c r="B957" s="6" t="s">
        <v>51</v>
      </c>
      <c r="C957" s="6" t="s">
        <v>51</v>
      </c>
      <c r="K957" s="6" t="s">
        <v>51</v>
      </c>
      <c r="L957" s="6" t="s">
        <v>51</v>
      </c>
      <c r="M957" s="6" t="s">
        <v>51</v>
      </c>
      <c r="N957" s="6" t="s">
        <v>51</v>
      </c>
    </row>
    <row r="958">
      <c r="B958" s="6" t="s">
        <v>51</v>
      </c>
      <c r="C958" s="6" t="s">
        <v>51</v>
      </c>
      <c r="K958" s="6" t="s">
        <v>51</v>
      </c>
      <c r="L958" s="6" t="s">
        <v>51</v>
      </c>
      <c r="M958" s="6" t="s">
        <v>51</v>
      </c>
      <c r="N958" s="6" t="s">
        <v>51</v>
      </c>
    </row>
    <row r="959">
      <c r="B959" s="6" t="s">
        <v>51</v>
      </c>
      <c r="C959" s="6" t="s">
        <v>51</v>
      </c>
      <c r="K959" s="6" t="s">
        <v>51</v>
      </c>
      <c r="L959" s="6" t="s">
        <v>51</v>
      </c>
      <c r="M959" s="6" t="s">
        <v>51</v>
      </c>
      <c r="N959" s="6" t="s">
        <v>51</v>
      </c>
    </row>
    <row r="960">
      <c r="B960" s="6" t="s">
        <v>51</v>
      </c>
      <c r="C960" s="6" t="s">
        <v>51</v>
      </c>
      <c r="K960" s="6" t="s">
        <v>51</v>
      </c>
      <c r="L960" s="6" t="s">
        <v>51</v>
      </c>
      <c r="M960" s="6" t="s">
        <v>51</v>
      </c>
      <c r="N960" s="6" t="s">
        <v>51</v>
      </c>
    </row>
    <row r="961">
      <c r="B961" s="6" t="s">
        <v>51</v>
      </c>
      <c r="C961" s="6" t="s">
        <v>51</v>
      </c>
      <c r="K961" s="6" t="s">
        <v>51</v>
      </c>
      <c r="L961" s="6" t="s">
        <v>51</v>
      </c>
      <c r="M961" s="6" t="s">
        <v>51</v>
      </c>
      <c r="N961" s="6" t="s">
        <v>51</v>
      </c>
    </row>
    <row r="962">
      <c r="B962" s="6" t="s">
        <v>51</v>
      </c>
      <c r="C962" s="6" t="s">
        <v>51</v>
      </c>
      <c r="K962" s="6" t="s">
        <v>51</v>
      </c>
      <c r="L962" s="6" t="s">
        <v>51</v>
      </c>
      <c r="M962" s="6" t="s">
        <v>51</v>
      </c>
      <c r="N962" s="6" t="s">
        <v>51</v>
      </c>
    </row>
    <row r="963">
      <c r="B963" s="6" t="s">
        <v>51</v>
      </c>
      <c r="C963" s="6" t="s">
        <v>51</v>
      </c>
      <c r="K963" s="6" t="s">
        <v>51</v>
      </c>
      <c r="L963" s="6" t="s">
        <v>51</v>
      </c>
      <c r="M963" s="6" t="s">
        <v>51</v>
      </c>
      <c r="N963" s="6" t="s">
        <v>51</v>
      </c>
    </row>
    <row r="964">
      <c r="B964" s="6" t="s">
        <v>51</v>
      </c>
      <c r="C964" s="6" t="s">
        <v>51</v>
      </c>
      <c r="K964" s="6" t="s">
        <v>51</v>
      </c>
      <c r="L964" s="6" t="s">
        <v>51</v>
      </c>
      <c r="M964" s="6" t="s">
        <v>51</v>
      </c>
      <c r="N964" s="6" t="s">
        <v>51</v>
      </c>
    </row>
    <row r="965">
      <c r="B965" s="6" t="s">
        <v>51</v>
      </c>
      <c r="C965" s="6" t="s">
        <v>51</v>
      </c>
      <c r="K965" s="6" t="s">
        <v>51</v>
      </c>
      <c r="L965" s="6" t="s">
        <v>51</v>
      </c>
      <c r="M965" s="6" t="s">
        <v>51</v>
      </c>
      <c r="N965" s="6" t="s">
        <v>51</v>
      </c>
    </row>
    <row r="966">
      <c r="B966" s="6" t="s">
        <v>51</v>
      </c>
      <c r="C966" s="6" t="s">
        <v>51</v>
      </c>
      <c r="K966" s="6" t="s">
        <v>51</v>
      </c>
      <c r="L966" s="6" t="s">
        <v>51</v>
      </c>
      <c r="M966" s="6" t="s">
        <v>51</v>
      </c>
      <c r="N966" s="6" t="s">
        <v>51</v>
      </c>
    </row>
    <row r="967">
      <c r="B967" s="6" t="s">
        <v>51</v>
      </c>
      <c r="C967" s="6" t="s">
        <v>51</v>
      </c>
      <c r="K967" s="6" t="s">
        <v>51</v>
      </c>
      <c r="L967" s="6" t="s">
        <v>51</v>
      </c>
      <c r="M967" s="6" t="s">
        <v>51</v>
      </c>
      <c r="N967" s="6" t="s">
        <v>51</v>
      </c>
    </row>
    <row r="968">
      <c r="B968" s="6" t="s">
        <v>51</v>
      </c>
      <c r="C968" s="6" t="s">
        <v>51</v>
      </c>
      <c r="K968" s="6" t="s">
        <v>51</v>
      </c>
      <c r="L968" s="6" t="s">
        <v>51</v>
      </c>
      <c r="M968" s="6" t="s">
        <v>51</v>
      </c>
      <c r="N968" s="6" t="s">
        <v>51</v>
      </c>
    </row>
    <row r="969">
      <c r="B969" s="6" t="s">
        <v>51</v>
      </c>
      <c r="C969" s="6" t="s">
        <v>51</v>
      </c>
      <c r="K969" s="6" t="s">
        <v>51</v>
      </c>
      <c r="L969" s="6" t="s">
        <v>51</v>
      </c>
      <c r="M969" s="6" t="s">
        <v>51</v>
      </c>
      <c r="N969" s="6" t="s">
        <v>51</v>
      </c>
    </row>
    <row r="970">
      <c r="B970" s="6" t="s">
        <v>51</v>
      </c>
      <c r="C970" s="6" t="s">
        <v>51</v>
      </c>
      <c r="K970" s="6" t="s">
        <v>51</v>
      </c>
      <c r="L970" s="6" t="s">
        <v>51</v>
      </c>
      <c r="M970" s="6" t="s">
        <v>51</v>
      </c>
      <c r="N970" s="6" t="s">
        <v>51</v>
      </c>
    </row>
    <row r="971">
      <c r="B971" s="6" t="s">
        <v>51</v>
      </c>
      <c r="C971" s="6" t="s">
        <v>51</v>
      </c>
      <c r="K971" s="6" t="s">
        <v>51</v>
      </c>
      <c r="L971" s="6" t="s">
        <v>51</v>
      </c>
      <c r="M971" s="6" t="s">
        <v>51</v>
      </c>
      <c r="N971" s="6" t="s">
        <v>51</v>
      </c>
    </row>
    <row r="972">
      <c r="B972" s="6" t="s">
        <v>51</v>
      </c>
      <c r="C972" s="6" t="s">
        <v>51</v>
      </c>
      <c r="K972" s="6" t="s">
        <v>51</v>
      </c>
      <c r="L972" s="6" t="s">
        <v>51</v>
      </c>
      <c r="M972" s="6" t="s">
        <v>51</v>
      </c>
      <c r="N972" s="6" t="s">
        <v>51</v>
      </c>
    </row>
    <row r="973">
      <c r="B973" s="6" t="s">
        <v>51</v>
      </c>
      <c r="C973" s="6" t="s">
        <v>51</v>
      </c>
      <c r="K973" s="6" t="s">
        <v>51</v>
      </c>
      <c r="L973" s="6" t="s">
        <v>51</v>
      </c>
      <c r="M973" s="6" t="s">
        <v>51</v>
      </c>
      <c r="N973" s="6" t="s">
        <v>51</v>
      </c>
    </row>
    <row r="974">
      <c r="B974" s="6" t="s">
        <v>51</v>
      </c>
      <c r="C974" s="6" t="s">
        <v>51</v>
      </c>
      <c r="K974" s="6" t="s">
        <v>51</v>
      </c>
      <c r="L974" s="6" t="s">
        <v>51</v>
      </c>
      <c r="M974" s="6" t="s">
        <v>51</v>
      </c>
      <c r="N974" s="6" t="s">
        <v>51</v>
      </c>
    </row>
    <row r="975">
      <c r="B975" s="6" t="s">
        <v>51</v>
      </c>
      <c r="C975" s="6" t="s">
        <v>51</v>
      </c>
      <c r="K975" s="6" t="s">
        <v>51</v>
      </c>
      <c r="L975" s="6" t="s">
        <v>51</v>
      </c>
      <c r="M975" s="6" t="s">
        <v>51</v>
      </c>
      <c r="N975" s="6" t="s">
        <v>51</v>
      </c>
    </row>
    <row r="976">
      <c r="B976" s="6" t="s">
        <v>51</v>
      </c>
      <c r="C976" s="6" t="s">
        <v>51</v>
      </c>
      <c r="K976" s="6" t="s">
        <v>51</v>
      </c>
      <c r="L976" s="6" t="s">
        <v>51</v>
      </c>
      <c r="M976" s="6" t="s">
        <v>51</v>
      </c>
      <c r="N976" s="6" t="s">
        <v>51</v>
      </c>
    </row>
    <row r="977">
      <c r="B977" s="6" t="s">
        <v>51</v>
      </c>
      <c r="C977" s="6" t="s">
        <v>51</v>
      </c>
      <c r="K977" s="6" t="s">
        <v>51</v>
      </c>
      <c r="L977" s="6" t="s">
        <v>51</v>
      </c>
      <c r="M977" s="6" t="s">
        <v>51</v>
      </c>
      <c r="N977" s="6" t="s">
        <v>51</v>
      </c>
    </row>
    <row r="978">
      <c r="B978" s="6" t="s">
        <v>51</v>
      </c>
      <c r="C978" s="6" t="s">
        <v>51</v>
      </c>
      <c r="K978" s="6" t="s">
        <v>51</v>
      </c>
      <c r="L978" s="6" t="s">
        <v>51</v>
      </c>
      <c r="M978" s="6" t="s">
        <v>51</v>
      </c>
      <c r="N978" s="6" t="s">
        <v>51</v>
      </c>
    </row>
    <row r="979">
      <c r="B979" s="6" t="s">
        <v>51</v>
      </c>
      <c r="C979" s="6" t="s">
        <v>51</v>
      </c>
      <c r="K979" s="6" t="s">
        <v>51</v>
      </c>
      <c r="L979" s="6" t="s">
        <v>51</v>
      </c>
      <c r="M979" s="6" t="s">
        <v>51</v>
      </c>
      <c r="N979" s="6" t="s">
        <v>51</v>
      </c>
    </row>
    <row r="980">
      <c r="B980" s="6" t="s">
        <v>51</v>
      </c>
      <c r="C980" s="6" t="s">
        <v>51</v>
      </c>
      <c r="K980" s="6" t="s">
        <v>51</v>
      </c>
      <c r="L980" s="6" t="s">
        <v>51</v>
      </c>
      <c r="M980" s="6" t="s">
        <v>51</v>
      </c>
      <c r="N980" s="6" t="s">
        <v>51</v>
      </c>
    </row>
    <row r="981">
      <c r="B981" s="6" t="s">
        <v>51</v>
      </c>
      <c r="C981" s="6" t="s">
        <v>51</v>
      </c>
      <c r="K981" s="6" t="s">
        <v>51</v>
      </c>
      <c r="L981" s="6" t="s">
        <v>51</v>
      </c>
      <c r="M981" s="6" t="s">
        <v>51</v>
      </c>
      <c r="N981" s="6" t="s">
        <v>51</v>
      </c>
    </row>
    <row r="982">
      <c r="B982" s="6" t="s">
        <v>51</v>
      </c>
      <c r="C982" s="6" t="s">
        <v>51</v>
      </c>
      <c r="K982" s="6" t="s">
        <v>51</v>
      </c>
      <c r="L982" s="6" t="s">
        <v>51</v>
      </c>
      <c r="M982" s="6" t="s">
        <v>51</v>
      </c>
      <c r="N982" s="6" t="s">
        <v>51</v>
      </c>
    </row>
    <row r="983">
      <c r="B983" s="6" t="s">
        <v>51</v>
      </c>
      <c r="C983" s="6" t="s">
        <v>51</v>
      </c>
      <c r="K983" s="6" t="s">
        <v>51</v>
      </c>
      <c r="L983" s="6" t="s">
        <v>51</v>
      </c>
      <c r="M983" s="6" t="s">
        <v>51</v>
      </c>
      <c r="N983" s="6" t="s">
        <v>51</v>
      </c>
    </row>
    <row r="984">
      <c r="B984" s="6" t="s">
        <v>51</v>
      </c>
      <c r="C984" s="6" t="s">
        <v>51</v>
      </c>
      <c r="K984" s="6" t="s">
        <v>51</v>
      </c>
      <c r="L984" s="6" t="s">
        <v>51</v>
      </c>
      <c r="M984" s="6" t="s">
        <v>51</v>
      </c>
      <c r="N984" s="6" t="s">
        <v>51</v>
      </c>
    </row>
    <row r="985">
      <c r="B985" s="6" t="s">
        <v>51</v>
      </c>
      <c r="C985" s="6" t="s">
        <v>51</v>
      </c>
      <c r="K985" s="6" t="s">
        <v>51</v>
      </c>
      <c r="L985" s="6" t="s">
        <v>51</v>
      </c>
      <c r="M985" s="6" t="s">
        <v>51</v>
      </c>
      <c r="N985" s="6" t="s">
        <v>51</v>
      </c>
    </row>
    <row r="986">
      <c r="B986" s="6" t="s">
        <v>51</v>
      </c>
      <c r="C986" s="6" t="s">
        <v>51</v>
      </c>
      <c r="K986" s="6" t="s">
        <v>51</v>
      </c>
      <c r="L986" s="6" t="s">
        <v>51</v>
      </c>
      <c r="M986" s="6" t="s">
        <v>51</v>
      </c>
      <c r="N986" s="6" t="s">
        <v>51</v>
      </c>
    </row>
    <row r="987">
      <c r="B987" s="6" t="s">
        <v>51</v>
      </c>
      <c r="C987" s="6" t="s">
        <v>51</v>
      </c>
      <c r="K987" s="6" t="s">
        <v>51</v>
      </c>
      <c r="L987" s="6" t="s">
        <v>51</v>
      </c>
      <c r="M987" s="6" t="s">
        <v>51</v>
      </c>
      <c r="N987" s="6" t="s">
        <v>51</v>
      </c>
    </row>
    <row r="988">
      <c r="B988" s="6" t="s">
        <v>51</v>
      </c>
      <c r="C988" s="6" t="s">
        <v>51</v>
      </c>
      <c r="K988" s="6" t="s">
        <v>51</v>
      </c>
      <c r="L988" s="6" t="s">
        <v>51</v>
      </c>
      <c r="M988" s="6" t="s">
        <v>51</v>
      </c>
      <c r="N988" s="6" t="s">
        <v>51</v>
      </c>
    </row>
    <row r="989">
      <c r="B989" s="6" t="s">
        <v>51</v>
      </c>
      <c r="C989" s="6" t="s">
        <v>51</v>
      </c>
      <c r="K989" s="6" t="s">
        <v>51</v>
      </c>
      <c r="L989" s="6" t="s">
        <v>51</v>
      </c>
      <c r="M989" s="6" t="s">
        <v>51</v>
      </c>
      <c r="N989" s="6" t="s">
        <v>51</v>
      </c>
    </row>
    <row r="990">
      <c r="B990" s="6" t="s">
        <v>51</v>
      </c>
      <c r="C990" s="6" t="s">
        <v>51</v>
      </c>
      <c r="K990" s="6" t="s">
        <v>51</v>
      </c>
      <c r="L990" s="6" t="s">
        <v>51</v>
      </c>
      <c r="M990" s="6" t="s">
        <v>51</v>
      </c>
      <c r="N990" s="6" t="s">
        <v>51</v>
      </c>
    </row>
    <row r="991">
      <c r="B991" s="6" t="s">
        <v>51</v>
      </c>
      <c r="C991" s="6" t="s">
        <v>51</v>
      </c>
      <c r="K991" s="6" t="s">
        <v>51</v>
      </c>
      <c r="L991" s="6" t="s">
        <v>51</v>
      </c>
      <c r="M991" s="6" t="s">
        <v>51</v>
      </c>
      <c r="N991" s="6" t="s">
        <v>51</v>
      </c>
    </row>
    <row r="992">
      <c r="B992" s="6" t="s">
        <v>51</v>
      </c>
      <c r="C992" s="6" t="s">
        <v>51</v>
      </c>
      <c r="K992" s="6" t="s">
        <v>51</v>
      </c>
      <c r="L992" s="6" t="s">
        <v>51</v>
      </c>
      <c r="M992" s="6" t="s">
        <v>51</v>
      </c>
      <c r="N992" s="6" t="s">
        <v>51</v>
      </c>
    </row>
    <row r="993">
      <c r="B993" s="6" t="s">
        <v>51</v>
      </c>
      <c r="C993" s="6" t="s">
        <v>51</v>
      </c>
      <c r="K993" s="6" t="s">
        <v>51</v>
      </c>
      <c r="L993" s="6" t="s">
        <v>51</v>
      </c>
      <c r="M993" s="6" t="s">
        <v>51</v>
      </c>
      <c r="N993" s="6" t="s">
        <v>51</v>
      </c>
    </row>
    <row r="994">
      <c r="B994" s="6" t="s">
        <v>51</v>
      </c>
      <c r="C994" s="6" t="s">
        <v>51</v>
      </c>
      <c r="K994" s="6" t="s">
        <v>51</v>
      </c>
      <c r="L994" s="6" t="s">
        <v>51</v>
      </c>
      <c r="M994" s="6" t="s">
        <v>51</v>
      </c>
      <c r="N994" s="6" t="s">
        <v>51</v>
      </c>
    </row>
    <row r="995">
      <c r="B995" s="6" t="s">
        <v>51</v>
      </c>
      <c r="C995" s="6" t="s">
        <v>51</v>
      </c>
      <c r="K995" s="6" t="s">
        <v>51</v>
      </c>
      <c r="L995" s="6" t="s">
        <v>51</v>
      </c>
      <c r="M995" s="6" t="s">
        <v>51</v>
      </c>
      <c r="N995" s="6" t="s">
        <v>51</v>
      </c>
    </row>
    <row r="996">
      <c r="B996" s="6" t="s">
        <v>51</v>
      </c>
      <c r="C996" s="6" t="s">
        <v>51</v>
      </c>
      <c r="K996" s="6" t="s">
        <v>51</v>
      </c>
      <c r="L996" s="6" t="s">
        <v>51</v>
      </c>
      <c r="M996" s="6" t="s">
        <v>51</v>
      </c>
      <c r="N996" s="6" t="s">
        <v>51</v>
      </c>
    </row>
    <row r="997">
      <c r="B997" s="6" t="s">
        <v>51</v>
      </c>
      <c r="C997" s="6" t="s">
        <v>51</v>
      </c>
      <c r="K997" s="6" t="s">
        <v>51</v>
      </c>
      <c r="L997" s="6" t="s">
        <v>51</v>
      </c>
      <c r="M997" s="6" t="s">
        <v>51</v>
      </c>
      <c r="N997" s="6" t="s">
        <v>51</v>
      </c>
    </row>
    <row r="998">
      <c r="B998" s="6" t="s">
        <v>51</v>
      </c>
      <c r="C998" s="6" t="s">
        <v>51</v>
      </c>
      <c r="K998" s="6" t="s">
        <v>51</v>
      </c>
      <c r="L998" s="6" t="s">
        <v>51</v>
      </c>
      <c r="M998" s="6" t="s">
        <v>51</v>
      </c>
      <c r="N998" s="6" t="s">
        <v>51</v>
      </c>
    </row>
    <row r="999">
      <c r="B999" s="6" t="s">
        <v>51</v>
      </c>
      <c r="C999" s="6" t="s">
        <v>51</v>
      </c>
      <c r="K999" s="6" t="s">
        <v>51</v>
      </c>
      <c r="L999" s="6" t="s">
        <v>51</v>
      </c>
      <c r="M999" s="6" t="s">
        <v>51</v>
      </c>
      <c r="N999" s="6" t="s">
        <v>51</v>
      </c>
    </row>
    <row r="1000">
      <c r="B1000" s="6" t="s">
        <v>51</v>
      </c>
      <c r="C1000" s="6" t="s">
        <v>51</v>
      </c>
      <c r="K1000" s="6" t="s">
        <v>51</v>
      </c>
      <c r="L1000" s="6" t="s">
        <v>51</v>
      </c>
      <c r="M1000" s="6" t="s">
        <v>51</v>
      </c>
      <c r="N1000" s="6" t="s">
        <v>51</v>
      </c>
    </row>
    <row r="1001">
      <c r="A1001" s="5">
        <v>46193.625</v>
      </c>
      <c r="B1001" s="6">
        <v>2026.0</v>
      </c>
      <c r="C1001" s="6">
        <v>6.0</v>
      </c>
      <c r="D1001" s="2" t="s">
        <v>52</v>
      </c>
      <c r="E1001" s="4">
        <v>1.0</v>
      </c>
      <c r="F1001" s="2" t="s">
        <v>53</v>
      </c>
      <c r="G1001" s="2" t="s">
        <v>54</v>
      </c>
      <c r="H1001" s="2" t="s">
        <v>47</v>
      </c>
      <c r="I1001" s="4">
        <v>80.0</v>
      </c>
      <c r="J1001" s="4">
        <v>0.4</v>
      </c>
      <c r="K1001" s="6">
        <v>80.0</v>
      </c>
      <c r="L1001" s="6">
        <v>32.0</v>
      </c>
      <c r="M1001" s="6">
        <v>48.0</v>
      </c>
      <c r="N1001" s="6">
        <v>19.0</v>
      </c>
      <c r="P1001" s="2" t="s">
        <v>55</v>
      </c>
    </row>
    <row r="1002">
      <c r="A1002" s="5">
        <v>46193.625</v>
      </c>
      <c r="B1002" s="6">
        <v>2026.0</v>
      </c>
      <c r="C1002" s="6">
        <v>6.0</v>
      </c>
      <c r="D1002" s="2" t="s">
        <v>44</v>
      </c>
      <c r="E1002" s="4">
        <v>3.0</v>
      </c>
      <c r="F1002" s="2" t="s">
        <v>53</v>
      </c>
      <c r="G1002" s="2" t="s">
        <v>54</v>
      </c>
      <c r="H1002" s="2" t="s">
        <v>56</v>
      </c>
      <c r="I1002" s="4">
        <v>100.0</v>
      </c>
      <c r="J1002" s="4">
        <v>0.4</v>
      </c>
      <c r="K1002" s="6">
        <v>300.0</v>
      </c>
      <c r="L1002" s="6">
        <v>120.0</v>
      </c>
      <c r="M1002" s="6">
        <v>180.0</v>
      </c>
      <c r="N1002" s="6">
        <v>43.74</v>
      </c>
      <c r="P1002" s="2" t="s">
        <v>57</v>
      </c>
      <c r="Q1002" s="2" t="s">
        <v>58</v>
      </c>
    </row>
    <row r="1003">
      <c r="A1003" s="5">
        <v>46193.625</v>
      </c>
      <c r="B1003" s="6">
        <v>2026.0</v>
      </c>
      <c r="C1003" s="6">
        <v>6.0</v>
      </c>
      <c r="D1003" s="2" t="s">
        <v>44</v>
      </c>
      <c r="E1003" s="4">
        <v>1.0</v>
      </c>
      <c r="F1003" s="2" t="s">
        <v>53</v>
      </c>
      <c r="G1003" s="2" t="s">
        <v>46</v>
      </c>
      <c r="H1003" s="2" t="s">
        <v>56</v>
      </c>
      <c r="I1003" s="4">
        <v>100.0</v>
      </c>
      <c r="J1003" s="4">
        <v>0.4</v>
      </c>
      <c r="K1003" s="6">
        <v>100.0</v>
      </c>
      <c r="L1003" s="6">
        <v>40.0</v>
      </c>
      <c r="M1003" s="6">
        <v>60.0</v>
      </c>
      <c r="N1003" s="6">
        <v>14.58</v>
      </c>
      <c r="P1003" s="2" t="s">
        <v>59</v>
      </c>
    </row>
    <row r="1004">
      <c r="A1004" s="5">
        <v>46193.625</v>
      </c>
      <c r="B1004" s="6">
        <v>2026.0</v>
      </c>
      <c r="C1004" s="6">
        <v>6.0</v>
      </c>
      <c r="D1004" s="2" t="s">
        <v>44</v>
      </c>
      <c r="E1004" s="4">
        <v>1.0</v>
      </c>
      <c r="F1004" s="2" t="s">
        <v>53</v>
      </c>
      <c r="G1004" s="2" t="s">
        <v>60</v>
      </c>
      <c r="H1004" s="2" t="s">
        <v>56</v>
      </c>
      <c r="I1004" s="4">
        <v>100.0</v>
      </c>
      <c r="J1004" s="4">
        <v>0.4</v>
      </c>
      <c r="K1004" s="6">
        <v>100.0</v>
      </c>
      <c r="L1004" s="6">
        <v>40.0</v>
      </c>
      <c r="M1004" s="6">
        <v>60.0</v>
      </c>
      <c r="N1004" s="6">
        <v>14.58</v>
      </c>
      <c r="P1004" s="2" t="s">
        <v>61</v>
      </c>
    </row>
    <row r="1005">
      <c r="A1005" s="5">
        <v>46193.625</v>
      </c>
      <c r="B1005" s="6">
        <v>2026.0</v>
      </c>
      <c r="C1005" s="6">
        <v>6.0</v>
      </c>
      <c r="D1005" s="2" t="s">
        <v>49</v>
      </c>
      <c r="E1005" s="4">
        <v>2.0</v>
      </c>
      <c r="F1005" s="2" t="s">
        <v>45</v>
      </c>
      <c r="G1005" s="2" t="s">
        <v>46</v>
      </c>
      <c r="H1005" s="2" t="s">
        <v>56</v>
      </c>
      <c r="I1005" s="4">
        <v>50.0</v>
      </c>
      <c r="J1005" s="4">
        <v>0.0</v>
      </c>
      <c r="K1005" s="6">
        <v>100.0</v>
      </c>
      <c r="L1005" s="6">
        <v>0.0</v>
      </c>
      <c r="M1005" s="6">
        <v>100.0</v>
      </c>
      <c r="N1005" s="6">
        <v>21.42</v>
      </c>
      <c r="P1005" s="2" t="s">
        <v>62</v>
      </c>
    </row>
    <row r="1006">
      <c r="A1006" s="5">
        <v>46195.625</v>
      </c>
      <c r="B1006" s="6">
        <v>2026.0</v>
      </c>
      <c r="C1006" s="6">
        <v>6.0</v>
      </c>
      <c r="D1006" s="2" t="s">
        <v>63</v>
      </c>
      <c r="E1006" s="4">
        <v>1.0</v>
      </c>
      <c r="F1006" s="2" t="s">
        <v>45</v>
      </c>
      <c r="G1006" s="2" t="s">
        <v>46</v>
      </c>
      <c r="H1006" s="2" t="s">
        <v>64</v>
      </c>
      <c r="I1006" s="4">
        <v>80.0</v>
      </c>
      <c r="J1006" s="4">
        <v>0.0</v>
      </c>
      <c r="K1006" s="6">
        <v>80.0</v>
      </c>
      <c r="L1006" s="6">
        <v>0.0</v>
      </c>
      <c r="M1006" s="6">
        <v>80.0</v>
      </c>
      <c r="N1006" s="6">
        <v>19.0</v>
      </c>
      <c r="O1006" s="2" t="s">
        <v>65</v>
      </c>
      <c r="P1006" s="2" t="s">
        <v>66</v>
      </c>
      <c r="Q1006" s="2" t="s">
        <v>58</v>
      </c>
    </row>
    <row r="1007">
      <c r="A1007" s="5">
        <v>46195.625</v>
      </c>
      <c r="B1007" s="6">
        <v>2026.0</v>
      </c>
      <c r="C1007" s="6">
        <v>6.0</v>
      </c>
      <c r="D1007" s="2" t="s">
        <v>63</v>
      </c>
      <c r="E1007" s="4">
        <v>2.0</v>
      </c>
      <c r="F1007" s="2" t="s">
        <v>53</v>
      </c>
      <c r="G1007" s="2" t="s">
        <v>54</v>
      </c>
      <c r="H1007" s="2" t="s">
        <v>67</v>
      </c>
      <c r="I1007" s="4">
        <v>160.0</v>
      </c>
      <c r="J1007" s="4">
        <v>0.4</v>
      </c>
      <c r="K1007" s="6">
        <v>320.0</v>
      </c>
      <c r="L1007" s="6">
        <v>128.0</v>
      </c>
      <c r="M1007" s="6">
        <v>192.0</v>
      </c>
      <c r="N1007" s="6">
        <v>38.0</v>
      </c>
      <c r="O1007" s="2" t="s">
        <v>68</v>
      </c>
      <c r="P1007" s="2" t="s">
        <v>69</v>
      </c>
      <c r="Q1007" s="2" t="s">
        <v>58</v>
      </c>
    </row>
    <row r="1008">
      <c r="A1008" s="5">
        <v>46195.625</v>
      </c>
      <c r="B1008" s="6">
        <v>2026.0</v>
      </c>
      <c r="C1008" s="6">
        <v>6.0</v>
      </c>
      <c r="D1008" s="2" t="s">
        <v>63</v>
      </c>
      <c r="E1008" s="4">
        <v>5.0</v>
      </c>
      <c r="F1008" s="2" t="s">
        <v>53</v>
      </c>
      <c r="G1008" s="2" t="s">
        <v>54</v>
      </c>
      <c r="H1008" s="2" t="s">
        <v>70</v>
      </c>
      <c r="I1008" s="4">
        <v>160.0</v>
      </c>
      <c r="J1008" s="4">
        <v>0.4</v>
      </c>
      <c r="K1008" s="6">
        <v>800.0</v>
      </c>
      <c r="L1008" s="6">
        <v>320.0</v>
      </c>
      <c r="M1008" s="6">
        <v>480.0</v>
      </c>
      <c r="N1008" s="6">
        <v>95.0</v>
      </c>
      <c r="O1008" s="2" t="s">
        <v>71</v>
      </c>
      <c r="P1008" s="2" t="s">
        <v>72</v>
      </c>
      <c r="Q1008" s="2" t="s">
        <v>58</v>
      </c>
    </row>
    <row r="1009">
      <c r="A1009" s="5">
        <v>46195.625</v>
      </c>
      <c r="B1009" s="6">
        <v>2026.0</v>
      </c>
      <c r="C1009" s="6">
        <v>6.0</v>
      </c>
      <c r="D1009" s="2" t="s">
        <v>63</v>
      </c>
      <c r="E1009" s="4">
        <v>2.0</v>
      </c>
      <c r="F1009" s="2" t="s">
        <v>53</v>
      </c>
      <c r="G1009" s="2" t="s">
        <v>46</v>
      </c>
      <c r="H1009" s="2" t="s">
        <v>70</v>
      </c>
      <c r="I1009" s="4">
        <v>160.0</v>
      </c>
      <c r="J1009" s="4">
        <v>0.4</v>
      </c>
      <c r="K1009" s="6">
        <v>320.0</v>
      </c>
      <c r="L1009" s="6">
        <v>128.0</v>
      </c>
      <c r="M1009" s="6">
        <v>192.0</v>
      </c>
      <c r="N1009" s="6">
        <v>38.0</v>
      </c>
      <c r="O1009" s="2" t="s">
        <v>71</v>
      </c>
      <c r="P1009" s="2" t="s">
        <v>73</v>
      </c>
      <c r="Q1009" s="2" t="s">
        <v>58</v>
      </c>
    </row>
    <row r="1010">
      <c r="A1010" s="5">
        <v>46195.625</v>
      </c>
      <c r="B1010" s="6">
        <v>2026.0</v>
      </c>
      <c r="C1010" s="6">
        <v>6.0</v>
      </c>
      <c r="D1010" s="2" t="s">
        <v>63</v>
      </c>
      <c r="E1010" s="4">
        <v>1.0</v>
      </c>
      <c r="F1010" s="2" t="s">
        <v>53</v>
      </c>
      <c r="G1010" s="2" t="s">
        <v>60</v>
      </c>
      <c r="H1010" s="2" t="s">
        <v>70</v>
      </c>
      <c r="I1010" s="4">
        <v>160.0</v>
      </c>
      <c r="J1010" s="4">
        <v>0.4</v>
      </c>
      <c r="K1010" s="6">
        <v>160.0</v>
      </c>
      <c r="L1010" s="6">
        <v>64.0</v>
      </c>
      <c r="M1010" s="6">
        <v>96.0</v>
      </c>
      <c r="N1010" s="6">
        <v>19.0</v>
      </c>
      <c r="O1010" s="2" t="s">
        <v>71</v>
      </c>
      <c r="P1010" s="2" t="s">
        <v>74</v>
      </c>
      <c r="Q1010" s="2" t="s">
        <v>58</v>
      </c>
    </row>
    <row r="1011">
      <c r="A1011" s="5">
        <v>46156.625</v>
      </c>
      <c r="B1011" s="6">
        <v>2026.0</v>
      </c>
      <c r="C1011" s="6">
        <v>5.0</v>
      </c>
      <c r="D1011" s="2" t="s">
        <v>63</v>
      </c>
      <c r="E1011" s="4">
        <v>1.0</v>
      </c>
      <c r="F1011" s="2" t="s">
        <v>53</v>
      </c>
      <c r="G1011" s="2" t="s">
        <v>54</v>
      </c>
      <c r="H1011" s="2" t="s">
        <v>70</v>
      </c>
      <c r="I1011" s="4">
        <v>160.0</v>
      </c>
      <c r="J1011" s="4">
        <v>0.4</v>
      </c>
      <c r="K1011" s="6">
        <v>160.0</v>
      </c>
      <c r="L1011" s="6">
        <v>64.0</v>
      </c>
      <c r="M1011" s="6">
        <v>96.0</v>
      </c>
      <c r="N1011" s="6">
        <v>19.0</v>
      </c>
      <c r="O1011" s="2" t="s">
        <v>75</v>
      </c>
      <c r="P1011" s="2" t="s">
        <v>76</v>
      </c>
      <c r="Q1011" s="2" t="s">
        <v>58</v>
      </c>
    </row>
    <row r="1012">
      <c r="A1012" s="5">
        <v>46182.625</v>
      </c>
      <c r="B1012" s="6">
        <v>2026.0</v>
      </c>
      <c r="C1012" s="6">
        <v>6.0</v>
      </c>
      <c r="D1012" s="2" t="s">
        <v>63</v>
      </c>
      <c r="E1012" s="4">
        <v>1.0</v>
      </c>
      <c r="F1012" s="2" t="s">
        <v>53</v>
      </c>
      <c r="G1012" s="2" t="s">
        <v>54</v>
      </c>
      <c r="H1012" s="2" t="s">
        <v>77</v>
      </c>
      <c r="I1012" s="4">
        <v>160.0</v>
      </c>
      <c r="J1012" s="4">
        <v>0.4</v>
      </c>
      <c r="K1012" s="6">
        <v>160.0</v>
      </c>
      <c r="L1012" s="6">
        <v>64.0</v>
      </c>
      <c r="M1012" s="6">
        <v>96.0</v>
      </c>
      <c r="N1012" s="6">
        <v>19.0</v>
      </c>
      <c r="O1012" s="2" t="s">
        <v>78</v>
      </c>
      <c r="P1012" s="2" t="s">
        <v>79</v>
      </c>
      <c r="Q1012" s="2" t="s">
        <v>58</v>
      </c>
    </row>
    <row r="1013">
      <c r="A1013" s="5">
        <v>46182.625</v>
      </c>
      <c r="B1013" s="6">
        <v>2026.0</v>
      </c>
      <c r="C1013" s="6">
        <v>6.0</v>
      </c>
      <c r="D1013" s="2" t="s">
        <v>63</v>
      </c>
      <c r="E1013" s="4">
        <v>1.0</v>
      </c>
      <c r="F1013" s="2" t="s">
        <v>53</v>
      </c>
      <c r="G1013" s="2" t="s">
        <v>54</v>
      </c>
      <c r="H1013" s="2" t="s">
        <v>80</v>
      </c>
      <c r="I1013" s="4">
        <v>160.0</v>
      </c>
      <c r="J1013" s="4">
        <v>0.4</v>
      </c>
      <c r="K1013" s="6">
        <v>160.0</v>
      </c>
      <c r="L1013" s="6">
        <v>64.0</v>
      </c>
      <c r="M1013" s="6">
        <v>96.0</v>
      </c>
      <c r="N1013" s="6">
        <v>19.0</v>
      </c>
      <c r="O1013" s="2" t="s">
        <v>81</v>
      </c>
      <c r="P1013" s="2" t="s">
        <v>82</v>
      </c>
      <c r="Q1013" s="2" t="s">
        <v>58</v>
      </c>
    </row>
    <row r="1014">
      <c r="A1014" s="5">
        <v>46183.125</v>
      </c>
      <c r="B1014" s="6">
        <v>2026.0</v>
      </c>
      <c r="C1014" s="6">
        <v>6.0</v>
      </c>
      <c r="D1014" s="2" t="s">
        <v>63</v>
      </c>
      <c r="E1014" s="4">
        <v>1.0</v>
      </c>
      <c r="F1014" s="2" t="s">
        <v>53</v>
      </c>
      <c r="G1014" s="2" t="s">
        <v>54</v>
      </c>
      <c r="H1014" s="2" t="s">
        <v>80</v>
      </c>
      <c r="I1014" s="4">
        <v>160.0</v>
      </c>
      <c r="J1014" s="4">
        <v>0.4</v>
      </c>
      <c r="K1014" s="6">
        <v>160.0</v>
      </c>
      <c r="L1014" s="6">
        <v>64.0</v>
      </c>
      <c r="M1014" s="6">
        <v>96.0</v>
      </c>
      <c r="N1014" s="6">
        <v>19.0</v>
      </c>
      <c r="O1014" s="2" t="s">
        <v>83</v>
      </c>
      <c r="P1014" s="2" t="s">
        <v>84</v>
      </c>
      <c r="Q1014" s="2" t="s">
        <v>58</v>
      </c>
    </row>
    <row r="1015">
      <c r="A1015" s="5">
        <v>46196.125</v>
      </c>
      <c r="B1015" s="6">
        <v>2026.0</v>
      </c>
      <c r="C1015" s="6">
        <v>6.0</v>
      </c>
      <c r="D1015" s="2" t="s">
        <v>63</v>
      </c>
      <c r="E1015" s="4">
        <v>1.0</v>
      </c>
      <c r="F1015" s="2" t="s">
        <v>53</v>
      </c>
      <c r="G1015" s="2" t="s">
        <v>54</v>
      </c>
      <c r="H1015" s="2" t="s">
        <v>80</v>
      </c>
      <c r="I1015" s="4">
        <v>160.0</v>
      </c>
      <c r="J1015" s="4">
        <v>0.4</v>
      </c>
      <c r="K1015" s="6">
        <v>160.0</v>
      </c>
      <c r="L1015" s="6">
        <v>64.0</v>
      </c>
      <c r="M1015" s="6">
        <v>96.0</v>
      </c>
      <c r="N1015" s="6">
        <v>19.0</v>
      </c>
      <c r="O1015" s="2" t="s">
        <v>85</v>
      </c>
      <c r="P1015" s="2" t="s">
        <v>86</v>
      </c>
      <c r="Q1015" s="2" t="s">
        <v>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 t="s">
        <v>87</v>
      </c>
      <c r="B1" s="7" t="s">
        <v>88</v>
      </c>
      <c r="C1" s="7" t="s">
        <v>89</v>
      </c>
      <c r="D1" s="7" t="s">
        <v>90</v>
      </c>
    </row>
    <row r="2">
      <c r="A2" s="8">
        <v>46172.551429328705</v>
      </c>
      <c r="B2" s="2" t="s">
        <v>91</v>
      </c>
      <c r="D2" s="2" t="s">
        <v>92</v>
      </c>
    </row>
    <row r="3">
      <c r="A3" s="8">
        <v>46172.5679619213</v>
      </c>
      <c r="B3" s="2" t="s">
        <v>91</v>
      </c>
      <c r="D3" s="2" t="s">
        <v>92</v>
      </c>
    </row>
    <row r="4">
      <c r="A4" s="8">
        <v>46172.58512289352</v>
      </c>
      <c r="B4" s="2" t="s">
        <v>93</v>
      </c>
      <c r="D4" s="2" t="s">
        <v>94</v>
      </c>
    </row>
    <row r="5">
      <c r="A5" s="8">
        <v>46172.58517104167</v>
      </c>
      <c r="B5" s="2" t="s">
        <v>95</v>
      </c>
      <c r="D5" s="2" t="s">
        <v>96</v>
      </c>
    </row>
    <row r="6">
      <c r="A6" s="8">
        <v>46172.59094140046</v>
      </c>
      <c r="B6" s="2" t="s">
        <v>93</v>
      </c>
      <c r="D6" s="2" t="s">
        <v>97</v>
      </c>
    </row>
    <row r="7">
      <c r="A7" s="8">
        <v>46172.5979390162</v>
      </c>
      <c r="B7" s="2" t="s">
        <v>98</v>
      </c>
      <c r="C7" s="2">
        <v>9.999000001E9</v>
      </c>
      <c r="D7" s="2" t="s">
        <v>99</v>
      </c>
    </row>
    <row r="8">
      <c r="A8" s="8">
        <v>46172.60172024305</v>
      </c>
      <c r="B8" s="2" t="s">
        <v>100</v>
      </c>
      <c r="D8" s="2" t="s">
        <v>101</v>
      </c>
    </row>
    <row r="9">
      <c r="A9" s="8">
        <v>46172.9732539699</v>
      </c>
      <c r="B9" s="2" t="s">
        <v>102</v>
      </c>
      <c r="D9" s="2" t="s">
        <v>103</v>
      </c>
    </row>
    <row r="10">
      <c r="A10" s="8">
        <v>46173.44480824074</v>
      </c>
      <c r="B10" s="2" t="s">
        <v>104</v>
      </c>
      <c r="C10" s="2">
        <v>7.786211606855E12</v>
      </c>
      <c r="D10" s="2" t="s">
        <v>105</v>
      </c>
    </row>
    <row r="11">
      <c r="A11" s="8">
        <v>46173.444848125</v>
      </c>
      <c r="B11" s="2" t="s">
        <v>106</v>
      </c>
      <c r="C11" s="2">
        <v>7.786211606855E12</v>
      </c>
      <c r="D11" s="2" t="s">
        <v>107</v>
      </c>
    </row>
    <row r="12">
      <c r="A12" s="8">
        <v>46173.445578900464</v>
      </c>
      <c r="B12" s="2" t="s">
        <v>106</v>
      </c>
      <c r="C12" s="2">
        <v>7.786211606855E12</v>
      </c>
      <c r="D12" s="2" t="s">
        <v>107</v>
      </c>
    </row>
    <row r="13">
      <c r="A13" s="8">
        <v>46173.447003622685</v>
      </c>
      <c r="B13" s="2" t="s">
        <v>106</v>
      </c>
      <c r="C13" s="2">
        <v>7.786211606855E12</v>
      </c>
      <c r="D13" s="2" t="s">
        <v>107</v>
      </c>
    </row>
    <row r="14">
      <c r="A14" s="8">
        <v>46173.45051501157</v>
      </c>
      <c r="B14" s="2" t="s">
        <v>106</v>
      </c>
      <c r="C14" s="2">
        <v>7.786211606855E12</v>
      </c>
      <c r="D14" s="2" t="s">
        <v>107</v>
      </c>
    </row>
    <row r="15">
      <c r="A15" s="8">
        <v>46173.46583710648</v>
      </c>
      <c r="B15" s="2" t="s">
        <v>106</v>
      </c>
      <c r="C15" s="2">
        <v>7.786211606855E12</v>
      </c>
      <c r="D15" s="2" t="s">
        <v>107</v>
      </c>
    </row>
    <row r="16">
      <c r="A16" s="8">
        <v>46173.48673311343</v>
      </c>
      <c r="B16" s="2" t="s">
        <v>106</v>
      </c>
      <c r="C16" s="2">
        <v>7.786211606855E12</v>
      </c>
      <c r="D16" s="2" t="s">
        <v>107</v>
      </c>
    </row>
    <row r="17">
      <c r="A17" s="8">
        <v>46173.528464641204</v>
      </c>
      <c r="B17" s="2" t="s">
        <v>106</v>
      </c>
      <c r="C17" s="2">
        <v>7.786211606855E12</v>
      </c>
      <c r="D17" s="2" t="s">
        <v>107</v>
      </c>
    </row>
    <row r="18">
      <c r="A18" s="8">
        <v>46173.55434905093</v>
      </c>
      <c r="B18" s="2" t="s">
        <v>98</v>
      </c>
      <c r="C18" s="2">
        <v>7.786725081415E12</v>
      </c>
      <c r="D18" s="2" t="s">
        <v>108</v>
      </c>
    </row>
    <row r="19">
      <c r="A19" s="8">
        <v>46173.55438739584</v>
      </c>
      <c r="B19" s="2" t="s">
        <v>106</v>
      </c>
      <c r="C19" s="2">
        <v>7.786725081415E12</v>
      </c>
      <c r="D19" s="2" t="s">
        <v>107</v>
      </c>
    </row>
    <row r="20">
      <c r="A20" s="8">
        <v>46173.55510939815</v>
      </c>
      <c r="B20" s="2" t="s">
        <v>106</v>
      </c>
      <c r="C20" s="2">
        <v>7.786725081415E12</v>
      </c>
      <c r="D20" s="2" t="s">
        <v>107</v>
      </c>
    </row>
    <row r="21">
      <c r="A21" s="8">
        <v>46173.556540509264</v>
      </c>
      <c r="B21" s="2" t="s">
        <v>106</v>
      </c>
      <c r="C21" s="2">
        <v>7.786725081415E12</v>
      </c>
      <c r="D21" s="2" t="s">
        <v>107</v>
      </c>
    </row>
    <row r="22">
      <c r="A22" s="8">
        <v>46173.56005013888</v>
      </c>
      <c r="B22" s="2" t="s">
        <v>106</v>
      </c>
      <c r="C22" s="2">
        <v>7.786725081415E12</v>
      </c>
      <c r="D22" s="2" t="s">
        <v>107</v>
      </c>
    </row>
    <row r="23">
      <c r="A23" s="8">
        <v>46173.575629756946</v>
      </c>
      <c r="B23" s="2" t="s">
        <v>106</v>
      </c>
      <c r="C23" s="2">
        <v>7.786725081415E12</v>
      </c>
      <c r="D23" s="2" t="s">
        <v>107</v>
      </c>
    </row>
    <row r="24">
      <c r="A24" s="8">
        <v>46173.59628010417</v>
      </c>
      <c r="B24" s="2" t="s">
        <v>106</v>
      </c>
      <c r="C24" s="2">
        <v>7.786725081415E12</v>
      </c>
      <c r="D24" s="2" t="s">
        <v>107</v>
      </c>
    </row>
    <row r="25">
      <c r="A25" s="8">
        <v>46173.61183841435</v>
      </c>
      <c r="B25" s="2" t="s">
        <v>106</v>
      </c>
      <c r="C25" s="2">
        <v>7.786211606855E12</v>
      </c>
      <c r="D25" s="2" t="s">
        <v>107</v>
      </c>
    </row>
    <row r="26">
      <c r="A26" s="8">
        <v>46173.637991689815</v>
      </c>
      <c r="B26" s="2" t="s">
        <v>106</v>
      </c>
      <c r="C26" s="2">
        <v>7.786725081415E12</v>
      </c>
      <c r="D26" s="2" t="s">
        <v>107</v>
      </c>
    </row>
    <row r="27">
      <c r="A27" s="8">
        <v>46173.7213903588</v>
      </c>
      <c r="B27" s="2" t="s">
        <v>106</v>
      </c>
      <c r="C27" s="2">
        <v>7.786725081415E12</v>
      </c>
      <c r="D27" s="2" t="s">
        <v>107</v>
      </c>
    </row>
    <row r="28">
      <c r="A28" s="8">
        <v>46173.970974675925</v>
      </c>
      <c r="B28" s="2" t="s">
        <v>98</v>
      </c>
      <c r="C28" s="2">
        <v>7.787347968327E12</v>
      </c>
      <c r="D28" s="2" t="s">
        <v>109</v>
      </c>
    </row>
    <row r="29">
      <c r="A29" s="8">
        <v>46173.97101299769</v>
      </c>
      <c r="B29" s="2" t="s">
        <v>106</v>
      </c>
      <c r="C29" s="2">
        <v>7.787347968327E12</v>
      </c>
      <c r="D29" s="2" t="s">
        <v>107</v>
      </c>
    </row>
    <row r="30">
      <c r="A30" s="8">
        <v>46173.971731261576</v>
      </c>
      <c r="B30" s="2" t="s">
        <v>106</v>
      </c>
      <c r="C30" s="2">
        <v>7.787347968327E12</v>
      </c>
      <c r="D30" s="2" t="s">
        <v>107</v>
      </c>
    </row>
    <row r="31">
      <c r="A31" s="8">
        <v>46173.97314785879</v>
      </c>
      <c r="B31" s="2" t="s">
        <v>106</v>
      </c>
      <c r="C31" s="2">
        <v>7.787347968327E12</v>
      </c>
      <c r="D31" s="2" t="s">
        <v>107</v>
      </c>
    </row>
    <row r="32">
      <c r="A32" s="8">
        <v>46173.9733327662</v>
      </c>
      <c r="B32" s="2" t="s">
        <v>102</v>
      </c>
      <c r="D32" s="2" t="s">
        <v>110</v>
      </c>
    </row>
    <row r="33">
      <c r="A33" s="8">
        <v>46173.97665496528</v>
      </c>
      <c r="B33" s="2" t="s">
        <v>106</v>
      </c>
      <c r="C33" s="2">
        <v>7.787347968327E12</v>
      </c>
      <c r="D33" s="2" t="s">
        <v>107</v>
      </c>
    </row>
    <row r="34">
      <c r="A34" s="8">
        <v>46173.99198303241</v>
      </c>
      <c r="B34" s="2" t="s">
        <v>106</v>
      </c>
      <c r="C34" s="2">
        <v>7.787347968327E12</v>
      </c>
      <c r="D34" s="2" t="s">
        <v>107</v>
      </c>
    </row>
    <row r="35">
      <c r="A35" s="8">
        <v>46174.012866793986</v>
      </c>
      <c r="B35" s="2" t="s">
        <v>106</v>
      </c>
      <c r="C35" s="2">
        <v>7.787347968327E12</v>
      </c>
      <c r="D35" s="2" t="s">
        <v>107</v>
      </c>
    </row>
    <row r="36">
      <c r="A36" s="8">
        <v>46174.05458315973</v>
      </c>
      <c r="B36" s="2" t="s">
        <v>106</v>
      </c>
      <c r="C36" s="2">
        <v>7.787347968327E12</v>
      </c>
      <c r="D36" s="2" t="s">
        <v>107</v>
      </c>
    </row>
    <row r="37">
      <c r="A37" s="8">
        <v>46174.11708137731</v>
      </c>
      <c r="B37" s="2" t="s">
        <v>104</v>
      </c>
      <c r="C37" s="2">
        <v>7.787787419975E12</v>
      </c>
      <c r="D37" s="2" t="s">
        <v>105</v>
      </c>
    </row>
    <row r="38">
      <c r="A38" s="8">
        <v>46174.117109733794</v>
      </c>
      <c r="B38" s="2" t="s">
        <v>106</v>
      </c>
      <c r="C38" s="2">
        <v>7.787787419975E12</v>
      </c>
      <c r="D38" s="2" t="s">
        <v>107</v>
      </c>
    </row>
    <row r="39">
      <c r="A39" s="8">
        <v>46174.11784133102</v>
      </c>
      <c r="B39" s="2" t="s">
        <v>106</v>
      </c>
      <c r="C39" s="2">
        <v>7.787787419975E12</v>
      </c>
      <c r="D39" s="2" t="s">
        <v>107</v>
      </c>
    </row>
    <row r="40">
      <c r="A40" s="8">
        <v>46174.11926375</v>
      </c>
      <c r="B40" s="2" t="s">
        <v>106</v>
      </c>
      <c r="C40" s="2">
        <v>7.787787419975E12</v>
      </c>
      <c r="D40" s="2" t="s">
        <v>107</v>
      </c>
    </row>
    <row r="41">
      <c r="A41" s="8">
        <v>46174.12277487268</v>
      </c>
      <c r="B41" s="2" t="s">
        <v>106</v>
      </c>
      <c r="C41" s="2">
        <v>7.787787419975E12</v>
      </c>
      <c r="D41" s="2" t="s">
        <v>107</v>
      </c>
    </row>
    <row r="42">
      <c r="A42" s="8">
        <v>46174.137945462964</v>
      </c>
      <c r="B42" s="2" t="s">
        <v>106</v>
      </c>
      <c r="C42" s="2">
        <v>7.787347968327E12</v>
      </c>
      <c r="D42" s="2" t="s">
        <v>107</v>
      </c>
    </row>
    <row r="43">
      <c r="A43" s="8">
        <v>46174.13808981482</v>
      </c>
      <c r="B43" s="2" t="s">
        <v>106</v>
      </c>
      <c r="C43" s="2">
        <v>7.787787419975E12</v>
      </c>
      <c r="D43" s="2" t="s">
        <v>107</v>
      </c>
    </row>
    <row r="44">
      <c r="A44" s="8">
        <v>46174.15896296296</v>
      </c>
      <c r="B44" s="2" t="s">
        <v>106</v>
      </c>
      <c r="C44" s="2">
        <v>7.787787419975E12</v>
      </c>
      <c r="D44" s="2" t="s">
        <v>107</v>
      </c>
    </row>
    <row r="45">
      <c r="A45" s="8">
        <v>46174.17007813657</v>
      </c>
      <c r="B45" s="2" t="s">
        <v>104</v>
      </c>
      <c r="C45" s="2">
        <v>7.787977081159E12</v>
      </c>
      <c r="D45" s="2" t="s">
        <v>105</v>
      </c>
    </row>
    <row r="46">
      <c r="A46" s="8">
        <v>46174.1701234375</v>
      </c>
      <c r="B46" s="2" t="s">
        <v>106</v>
      </c>
      <c r="C46" s="2">
        <v>7.787977081159E12</v>
      </c>
      <c r="D46" s="2" t="s">
        <v>107</v>
      </c>
    </row>
    <row r="47">
      <c r="A47" s="8">
        <v>46174.170854525466</v>
      </c>
      <c r="B47" s="2" t="s">
        <v>106</v>
      </c>
      <c r="C47" s="2">
        <v>7.787977081159E12</v>
      </c>
      <c r="D47" s="2" t="s">
        <v>107</v>
      </c>
    </row>
    <row r="48">
      <c r="A48" s="8">
        <v>46174.17227322917</v>
      </c>
      <c r="B48" s="2" t="s">
        <v>106</v>
      </c>
      <c r="C48" s="2">
        <v>7.787977081159E12</v>
      </c>
      <c r="D48" s="2" t="s">
        <v>107</v>
      </c>
    </row>
    <row r="49">
      <c r="A49" s="8">
        <v>46174.17581526621</v>
      </c>
      <c r="B49" s="2" t="s">
        <v>106</v>
      </c>
      <c r="C49" s="2">
        <v>7.787977081159E12</v>
      </c>
      <c r="D49" s="2" t="s">
        <v>107</v>
      </c>
    </row>
    <row r="50">
      <c r="A50" s="8">
        <v>46174.19095443287</v>
      </c>
      <c r="B50" s="2" t="s">
        <v>104</v>
      </c>
      <c r="C50" s="2">
        <v>7.788046451015E12</v>
      </c>
      <c r="D50" s="2" t="s">
        <v>105</v>
      </c>
    </row>
    <row r="51">
      <c r="A51" s="8">
        <v>46174.19098895833</v>
      </c>
      <c r="B51" s="2" t="s">
        <v>106</v>
      </c>
      <c r="C51" s="2">
        <v>7.788046451015E12</v>
      </c>
      <c r="D51" s="2" t="s">
        <v>107</v>
      </c>
    </row>
    <row r="52">
      <c r="A52" s="8">
        <v>46174.19113611111</v>
      </c>
      <c r="B52" s="2" t="s">
        <v>106</v>
      </c>
      <c r="C52" s="2">
        <v>7.787977081159E12</v>
      </c>
      <c r="D52" s="2" t="s">
        <v>107</v>
      </c>
    </row>
    <row r="53">
      <c r="A53" s="8">
        <v>46174.191712581014</v>
      </c>
      <c r="B53" s="2" t="s">
        <v>106</v>
      </c>
      <c r="C53" s="2">
        <v>7.788046451015E12</v>
      </c>
      <c r="D53" s="2" t="s">
        <v>107</v>
      </c>
    </row>
    <row r="54">
      <c r="A54" s="8">
        <v>46174.19314886574</v>
      </c>
      <c r="B54" s="2" t="s">
        <v>106</v>
      </c>
      <c r="C54" s="2">
        <v>7.788046451015E12</v>
      </c>
      <c r="D54" s="2" t="s">
        <v>107</v>
      </c>
    </row>
    <row r="55">
      <c r="A55" s="8">
        <v>46174.19665563657</v>
      </c>
      <c r="B55" s="2" t="s">
        <v>106</v>
      </c>
      <c r="C55" s="2">
        <v>7.788046451015E12</v>
      </c>
      <c r="D55" s="2" t="s">
        <v>107</v>
      </c>
    </row>
    <row r="56">
      <c r="A56" s="8">
        <v>46174.20066083333</v>
      </c>
      <c r="B56" s="2" t="s">
        <v>106</v>
      </c>
      <c r="C56" s="2">
        <v>7.787787419975E12</v>
      </c>
      <c r="D56" s="2" t="s">
        <v>107</v>
      </c>
    </row>
    <row r="57">
      <c r="A57" s="8">
        <v>46174.21197361111</v>
      </c>
      <c r="B57" s="2" t="s">
        <v>106</v>
      </c>
      <c r="C57" s="2">
        <v>7.788046451015E12</v>
      </c>
      <c r="D57" s="2" t="s">
        <v>107</v>
      </c>
    </row>
    <row r="58">
      <c r="A58" s="8">
        <v>46174.212010682866</v>
      </c>
      <c r="B58" s="2" t="s">
        <v>106</v>
      </c>
      <c r="C58" s="2">
        <v>7.787977081159E12</v>
      </c>
      <c r="D58" s="2" t="s">
        <v>107</v>
      </c>
    </row>
    <row r="59">
      <c r="A59" s="8">
        <v>46174.223494363425</v>
      </c>
      <c r="B59" s="2" t="s">
        <v>98</v>
      </c>
      <c r="C59" s="2">
        <v>7.788163170631E12</v>
      </c>
      <c r="D59" s="2" t="s">
        <v>111</v>
      </c>
    </row>
    <row r="60">
      <c r="A60" s="8">
        <v>46174.223530972224</v>
      </c>
      <c r="B60" s="2" t="s">
        <v>106</v>
      </c>
      <c r="C60" s="2">
        <v>7.788163170631E12</v>
      </c>
      <c r="D60" s="2" t="s">
        <v>107</v>
      </c>
    </row>
    <row r="61">
      <c r="A61" s="8">
        <v>46174.22425693287</v>
      </c>
      <c r="B61" s="2" t="s">
        <v>106</v>
      </c>
      <c r="C61" s="2">
        <v>7.788163170631E12</v>
      </c>
      <c r="D61" s="2" t="s">
        <v>107</v>
      </c>
    </row>
    <row r="62">
      <c r="A62" s="8">
        <v>46174.22568469908</v>
      </c>
      <c r="B62" s="2" t="s">
        <v>106</v>
      </c>
      <c r="C62" s="2">
        <v>7.788163170631E12</v>
      </c>
      <c r="D62" s="2" t="s">
        <v>107</v>
      </c>
    </row>
    <row r="63">
      <c r="A63" s="8">
        <v>46174.22920164352</v>
      </c>
      <c r="B63" s="2" t="s">
        <v>106</v>
      </c>
      <c r="C63" s="2">
        <v>7.788163170631E12</v>
      </c>
      <c r="D63" s="2" t="s">
        <v>107</v>
      </c>
    </row>
    <row r="64">
      <c r="A64" s="8">
        <v>46174.23092729167</v>
      </c>
      <c r="B64" s="2" t="s">
        <v>104</v>
      </c>
      <c r="C64" s="2">
        <v>7.788188369223E12</v>
      </c>
      <c r="D64" s="2" t="s">
        <v>105</v>
      </c>
    </row>
    <row r="65">
      <c r="A65" s="8">
        <v>46174.23096825232</v>
      </c>
      <c r="B65" s="2" t="s">
        <v>106</v>
      </c>
      <c r="C65" s="2">
        <v>7.788188369223E12</v>
      </c>
      <c r="D65" s="2" t="s">
        <v>107</v>
      </c>
    </row>
    <row r="66">
      <c r="A66" s="8">
        <v>46174.231696863426</v>
      </c>
      <c r="B66" s="2" t="s">
        <v>106</v>
      </c>
      <c r="C66" s="2">
        <v>7.788188369223E12</v>
      </c>
      <c r="D66" s="2" t="s">
        <v>107</v>
      </c>
    </row>
    <row r="67">
      <c r="A67" s="8">
        <v>46174.23294392361</v>
      </c>
      <c r="B67" s="2" t="s">
        <v>106</v>
      </c>
      <c r="C67" s="2">
        <v>7.788046451015E12</v>
      </c>
      <c r="D67" s="2" t="s">
        <v>107</v>
      </c>
    </row>
    <row r="68">
      <c r="A68" s="8">
        <v>46174.23311952547</v>
      </c>
      <c r="B68" s="2" t="s">
        <v>106</v>
      </c>
      <c r="C68" s="2">
        <v>7.788188369223E12</v>
      </c>
      <c r="D68" s="2" t="s">
        <v>107</v>
      </c>
    </row>
    <row r="69">
      <c r="A69" s="8">
        <v>46174.23663616898</v>
      </c>
      <c r="B69" s="2" t="s">
        <v>106</v>
      </c>
      <c r="C69" s="2">
        <v>7.788188369223E12</v>
      </c>
      <c r="D69" s="2" t="s">
        <v>107</v>
      </c>
    </row>
    <row r="70">
      <c r="A70" s="8">
        <v>46174.2445233912</v>
      </c>
      <c r="B70" s="2" t="s">
        <v>106</v>
      </c>
      <c r="C70" s="2">
        <v>7.788163170631E12</v>
      </c>
      <c r="D70" s="2" t="s">
        <v>107</v>
      </c>
    </row>
    <row r="71">
      <c r="A71" s="8">
        <v>46174.249603530094</v>
      </c>
      <c r="B71" s="2" t="s">
        <v>98</v>
      </c>
      <c r="C71" s="2">
        <v>7.788252725575E12</v>
      </c>
      <c r="D71" s="2" t="s">
        <v>99</v>
      </c>
    </row>
    <row r="72">
      <c r="A72" s="8">
        <v>46174.249661504626</v>
      </c>
      <c r="B72" s="2" t="s">
        <v>106</v>
      </c>
      <c r="C72" s="2">
        <v>7.788252725575E12</v>
      </c>
      <c r="D72" s="2" t="s">
        <v>107</v>
      </c>
    </row>
    <row r="73">
      <c r="A73" s="8">
        <v>46174.250564444446</v>
      </c>
      <c r="B73" s="2" t="s">
        <v>106</v>
      </c>
      <c r="C73" s="2">
        <v>7.788252725575E12</v>
      </c>
      <c r="D73" s="2" t="s">
        <v>107</v>
      </c>
    </row>
    <row r="74">
      <c r="A74" s="8">
        <v>46174.25195489584</v>
      </c>
      <c r="B74" s="2" t="s">
        <v>106</v>
      </c>
      <c r="C74" s="2">
        <v>7.788188369223E12</v>
      </c>
      <c r="D74" s="2" t="s">
        <v>107</v>
      </c>
    </row>
    <row r="75">
      <c r="A75" s="8">
        <v>46174.25198798611</v>
      </c>
      <c r="B75" s="2" t="s">
        <v>106</v>
      </c>
      <c r="C75" s="2">
        <v>7.788252725575E12</v>
      </c>
      <c r="D75" s="2" t="s">
        <v>107</v>
      </c>
    </row>
    <row r="76">
      <c r="A76" s="8">
        <v>46174.25371365741</v>
      </c>
      <c r="B76" s="2" t="s">
        <v>106</v>
      </c>
      <c r="C76" s="2">
        <v>7.787977081159E12</v>
      </c>
      <c r="D76" s="2" t="s">
        <v>107</v>
      </c>
    </row>
    <row r="77">
      <c r="A77" s="8">
        <v>46174.255514375</v>
      </c>
      <c r="B77" s="2" t="s">
        <v>106</v>
      </c>
      <c r="C77" s="2">
        <v>7.788252725575E12</v>
      </c>
      <c r="D77" s="2" t="s">
        <v>107</v>
      </c>
    </row>
    <row r="78">
      <c r="A78" s="8">
        <v>46174.26541216436</v>
      </c>
      <c r="B78" s="2" t="s">
        <v>106</v>
      </c>
      <c r="C78" s="2">
        <v>7.788163170631E12</v>
      </c>
      <c r="D78" s="2" t="s">
        <v>107</v>
      </c>
    </row>
    <row r="79">
      <c r="A79" s="8">
        <v>46174.27083136574</v>
      </c>
      <c r="B79" s="2" t="s">
        <v>106</v>
      </c>
      <c r="C79" s="2">
        <v>7.788252725575E12</v>
      </c>
      <c r="D79" s="2" t="s">
        <v>107</v>
      </c>
    </row>
    <row r="80">
      <c r="A80" s="8">
        <v>46174.2728265162</v>
      </c>
      <c r="B80" s="2" t="s">
        <v>106</v>
      </c>
      <c r="C80" s="2">
        <v>7.788188369223E12</v>
      </c>
      <c r="D80" s="2" t="s">
        <v>107</v>
      </c>
    </row>
    <row r="81">
      <c r="A81" s="8">
        <v>46174.27465061343</v>
      </c>
      <c r="B81" s="2" t="s">
        <v>106</v>
      </c>
      <c r="C81" s="2">
        <v>7.788046451015E12</v>
      </c>
      <c r="D81" s="2" t="s">
        <v>107</v>
      </c>
    </row>
    <row r="82">
      <c r="A82" s="8">
        <v>46174.28404861111</v>
      </c>
      <c r="B82" s="2" t="s">
        <v>106</v>
      </c>
      <c r="C82" s="2">
        <v>7.787787419975E12</v>
      </c>
      <c r="D82" s="2" t="s">
        <v>107</v>
      </c>
    </row>
    <row r="83">
      <c r="A83" s="8">
        <v>46174.2917022801</v>
      </c>
      <c r="B83" s="2" t="s">
        <v>106</v>
      </c>
      <c r="C83" s="2">
        <v>7.788252725575E12</v>
      </c>
      <c r="D83" s="2" t="s">
        <v>107</v>
      </c>
    </row>
    <row r="84">
      <c r="A84" s="8">
        <v>46174.30711065972</v>
      </c>
      <c r="B84" s="2" t="s">
        <v>106</v>
      </c>
      <c r="C84" s="2">
        <v>7.788163170631E12</v>
      </c>
      <c r="D84" s="2" t="s">
        <v>107</v>
      </c>
    </row>
    <row r="85">
      <c r="A85" s="8">
        <v>46174.31454396991</v>
      </c>
      <c r="B85" s="2" t="s">
        <v>106</v>
      </c>
      <c r="C85" s="2">
        <v>7.788188369223E12</v>
      </c>
      <c r="D85" s="2" t="s">
        <v>107</v>
      </c>
    </row>
    <row r="86">
      <c r="A86" s="8">
        <v>46174.333406516205</v>
      </c>
      <c r="B86" s="2" t="s">
        <v>106</v>
      </c>
      <c r="C86" s="2">
        <v>7.788252725575E12</v>
      </c>
      <c r="D86" s="2" t="s">
        <v>107</v>
      </c>
    </row>
    <row r="87">
      <c r="A87" s="8">
        <v>46174.337083391205</v>
      </c>
      <c r="B87" s="2" t="s">
        <v>106</v>
      </c>
      <c r="C87" s="2">
        <v>7.787977081159E12</v>
      </c>
      <c r="D87" s="2" t="s">
        <v>107</v>
      </c>
    </row>
    <row r="88">
      <c r="A88" s="8">
        <v>46174.35806414352</v>
      </c>
      <c r="B88" s="2" t="s">
        <v>106</v>
      </c>
      <c r="C88" s="2">
        <v>7.788046451015E12</v>
      </c>
      <c r="D88" s="2" t="s">
        <v>107</v>
      </c>
    </row>
    <row r="89">
      <c r="A89" s="8">
        <v>46174.390497465276</v>
      </c>
      <c r="B89" s="2" t="s">
        <v>106</v>
      </c>
      <c r="C89" s="2">
        <v>7.788163170631E12</v>
      </c>
      <c r="D89" s="2" t="s">
        <v>107</v>
      </c>
    </row>
    <row r="90">
      <c r="A90" s="8">
        <v>46174.39791306713</v>
      </c>
      <c r="B90" s="2" t="s">
        <v>106</v>
      </c>
      <c r="C90" s="2">
        <v>7.788188369223E12</v>
      </c>
      <c r="D90" s="2" t="s">
        <v>107</v>
      </c>
    </row>
    <row r="91">
      <c r="A91" s="8">
        <v>46174.416772372686</v>
      </c>
      <c r="B91" s="2" t="s">
        <v>106</v>
      </c>
      <c r="C91" s="2">
        <v>7.788252725575E12</v>
      </c>
      <c r="D91" s="2" t="s">
        <v>107</v>
      </c>
    </row>
    <row r="92">
      <c r="A92" s="8">
        <v>46174.97333854166</v>
      </c>
      <c r="B92" s="2" t="s">
        <v>102</v>
      </c>
      <c r="D92" s="2" t="s">
        <v>112</v>
      </c>
    </row>
    <row r="93">
      <c r="A93" s="8">
        <v>46175.05101115741</v>
      </c>
      <c r="B93" s="2" t="s">
        <v>104</v>
      </c>
      <c r="C93" s="2">
        <v>7.790371373383E12</v>
      </c>
      <c r="D93" s="2" t="s">
        <v>105</v>
      </c>
    </row>
    <row r="94">
      <c r="A94" s="8">
        <v>46175.05104664352</v>
      </c>
      <c r="B94" s="2" t="s">
        <v>106</v>
      </c>
      <c r="C94" s="2">
        <v>7.790371373383E12</v>
      </c>
      <c r="D94" s="2" t="s">
        <v>107</v>
      </c>
    </row>
    <row r="95">
      <c r="A95" s="8">
        <v>46175.05177034722</v>
      </c>
      <c r="B95" s="2" t="s">
        <v>106</v>
      </c>
      <c r="C95" s="2">
        <v>7.790371373383E12</v>
      </c>
      <c r="D95" s="2" t="s">
        <v>107</v>
      </c>
    </row>
    <row r="96">
      <c r="A96" s="8">
        <v>46175.05319859953</v>
      </c>
      <c r="B96" s="2" t="s">
        <v>106</v>
      </c>
      <c r="C96" s="2">
        <v>7.790371373383E12</v>
      </c>
      <c r="D96" s="2" t="s">
        <v>107</v>
      </c>
    </row>
    <row r="97">
      <c r="A97" s="8">
        <v>46175.0567012963</v>
      </c>
      <c r="B97" s="2" t="s">
        <v>106</v>
      </c>
      <c r="C97" s="2">
        <v>7.790371373383E12</v>
      </c>
      <c r="D97" s="2" t="s">
        <v>107</v>
      </c>
    </row>
    <row r="98">
      <c r="A98" s="8">
        <v>46175.07204637732</v>
      </c>
      <c r="B98" s="2" t="s">
        <v>106</v>
      </c>
      <c r="C98" s="2">
        <v>7.790371373383E12</v>
      </c>
      <c r="D98" s="2" t="s">
        <v>107</v>
      </c>
    </row>
    <row r="99">
      <c r="A99" s="8">
        <v>46175.09291880787</v>
      </c>
      <c r="B99" s="2" t="s">
        <v>106</v>
      </c>
      <c r="C99" s="2">
        <v>7.790371373383E12</v>
      </c>
      <c r="D99" s="2" t="s">
        <v>107</v>
      </c>
    </row>
    <row r="100">
      <c r="A100" s="8">
        <v>46175.134629224536</v>
      </c>
      <c r="B100" s="2" t="s">
        <v>106</v>
      </c>
      <c r="C100" s="2">
        <v>7.790371373383E12</v>
      </c>
      <c r="D100" s="2" t="s">
        <v>107</v>
      </c>
    </row>
    <row r="101">
      <c r="A101" s="8">
        <v>46175.217184085646</v>
      </c>
      <c r="B101" s="2" t="s">
        <v>98</v>
      </c>
      <c r="C101" s="2">
        <v>7.790919942471E12</v>
      </c>
      <c r="D101" s="2" t="s">
        <v>113</v>
      </c>
    </row>
    <row r="102">
      <c r="A102" s="8">
        <v>46175.217218969905</v>
      </c>
      <c r="B102" s="2" t="s">
        <v>106</v>
      </c>
      <c r="C102" s="2">
        <v>7.790919942471E12</v>
      </c>
      <c r="D102" s="2" t="s">
        <v>107</v>
      </c>
    </row>
    <row r="103">
      <c r="A103" s="8">
        <v>46175.21802828704</v>
      </c>
      <c r="B103" s="2" t="s">
        <v>106</v>
      </c>
      <c r="C103" s="2">
        <v>7.790919942471E12</v>
      </c>
      <c r="D103" s="2" t="s">
        <v>107</v>
      </c>
    </row>
    <row r="104">
      <c r="A104" s="8">
        <v>46175.21803444445</v>
      </c>
      <c r="B104" s="2" t="s">
        <v>106</v>
      </c>
      <c r="C104" s="2">
        <v>7.790371373383E12</v>
      </c>
      <c r="D104" s="2" t="s">
        <v>107</v>
      </c>
    </row>
    <row r="105">
      <c r="A105" s="8">
        <v>46175.21940295139</v>
      </c>
      <c r="B105" s="2" t="s">
        <v>106</v>
      </c>
      <c r="C105" s="2">
        <v>7.790919942471E12</v>
      </c>
      <c r="D105" s="2" t="s">
        <v>107</v>
      </c>
    </row>
    <row r="106">
      <c r="A106" s="8">
        <v>46175.22291892361</v>
      </c>
      <c r="B106" s="2" t="s">
        <v>106</v>
      </c>
      <c r="C106" s="2">
        <v>7.790919942471E12</v>
      </c>
      <c r="D106" s="2" t="s">
        <v>107</v>
      </c>
    </row>
    <row r="107">
      <c r="A107" s="8">
        <v>46175.23823318287</v>
      </c>
      <c r="B107" s="2" t="s">
        <v>106</v>
      </c>
      <c r="C107" s="2">
        <v>7.790919942471E12</v>
      </c>
      <c r="D107" s="2" t="s">
        <v>107</v>
      </c>
    </row>
    <row r="108">
      <c r="A108" s="8">
        <v>46175.243405914356</v>
      </c>
      <c r="B108" s="2" t="s">
        <v>98</v>
      </c>
      <c r="C108" s="2">
        <v>7.791016083783E12</v>
      </c>
      <c r="D108" s="2" t="s">
        <v>114</v>
      </c>
    </row>
    <row r="109">
      <c r="A109" s="8">
        <v>46175.24345459491</v>
      </c>
      <c r="B109" s="2" t="s">
        <v>106</v>
      </c>
      <c r="C109" s="2">
        <v>7.791016083783E12</v>
      </c>
      <c r="D109" s="2" t="s">
        <v>107</v>
      </c>
    </row>
    <row r="110">
      <c r="A110" s="8">
        <v>46175.244182581024</v>
      </c>
      <c r="B110" s="2" t="s">
        <v>106</v>
      </c>
      <c r="C110" s="2">
        <v>7.791016083783E12</v>
      </c>
      <c r="D110" s="2" t="s">
        <v>107</v>
      </c>
    </row>
    <row r="111">
      <c r="A111" s="8">
        <v>46175.24560704861</v>
      </c>
      <c r="B111" s="2" t="s">
        <v>106</v>
      </c>
      <c r="C111" s="2">
        <v>7.791016083783E12</v>
      </c>
      <c r="D111" s="2" t="s">
        <v>107</v>
      </c>
    </row>
    <row r="112">
      <c r="A112" s="8">
        <v>46175.24911340278</v>
      </c>
      <c r="B112" s="2" t="s">
        <v>106</v>
      </c>
      <c r="C112" s="2">
        <v>7.791016083783E12</v>
      </c>
      <c r="D112" s="2" t="s">
        <v>107</v>
      </c>
    </row>
    <row r="113">
      <c r="A113" s="8">
        <v>46175.2591006713</v>
      </c>
      <c r="B113" s="2" t="s">
        <v>106</v>
      </c>
      <c r="C113" s="2">
        <v>7.790919942471E12</v>
      </c>
      <c r="D113" s="2" t="s">
        <v>107</v>
      </c>
    </row>
    <row r="114">
      <c r="A114" s="8">
        <v>46175.264433495366</v>
      </c>
      <c r="B114" s="2" t="s">
        <v>106</v>
      </c>
      <c r="C114" s="2">
        <v>7.791016083783E12</v>
      </c>
      <c r="D114" s="2" t="s">
        <v>107</v>
      </c>
    </row>
    <row r="115">
      <c r="A115" s="8">
        <v>46175.285323923614</v>
      </c>
      <c r="B115" s="2" t="s">
        <v>106</v>
      </c>
      <c r="C115" s="2">
        <v>7.791016083783E12</v>
      </c>
      <c r="D115" s="2" t="s">
        <v>107</v>
      </c>
    </row>
    <row r="116">
      <c r="A116" s="8">
        <v>46175.30079922454</v>
      </c>
      <c r="B116" s="2" t="s">
        <v>106</v>
      </c>
      <c r="C116" s="2">
        <v>7.790919942471E12</v>
      </c>
      <c r="D116" s="2" t="s">
        <v>107</v>
      </c>
    </row>
    <row r="117">
      <c r="A117" s="8">
        <v>46175.327048356485</v>
      </c>
      <c r="B117" s="2" t="s">
        <v>106</v>
      </c>
      <c r="C117" s="2">
        <v>7.791016083783E12</v>
      </c>
      <c r="D117" s="2" t="s">
        <v>107</v>
      </c>
    </row>
    <row r="118">
      <c r="A118" s="8">
        <v>46175.38419114583</v>
      </c>
      <c r="B118" s="2" t="s">
        <v>106</v>
      </c>
      <c r="C118" s="2">
        <v>7.790919942471E12</v>
      </c>
      <c r="D118" s="2" t="s">
        <v>107</v>
      </c>
    </row>
    <row r="119">
      <c r="A119" s="8">
        <v>46175.41044493056</v>
      </c>
      <c r="B119" s="2" t="s">
        <v>106</v>
      </c>
      <c r="C119" s="2">
        <v>7.791016083783E12</v>
      </c>
      <c r="D119" s="2" t="s">
        <v>107</v>
      </c>
    </row>
    <row r="120">
      <c r="A120" s="8">
        <v>46175.494769502315</v>
      </c>
      <c r="B120" s="2" t="s">
        <v>98</v>
      </c>
      <c r="C120" s="2">
        <v>7.791833612615E12</v>
      </c>
      <c r="D120" s="2" t="s">
        <v>115</v>
      </c>
    </row>
    <row r="121">
      <c r="A121" s="8">
        <v>46175.49480436342</v>
      </c>
      <c r="B121" s="2" t="s">
        <v>106</v>
      </c>
      <c r="C121" s="2">
        <v>7.791833612615E12</v>
      </c>
      <c r="D121" s="2" t="s">
        <v>107</v>
      </c>
    </row>
    <row r="122">
      <c r="A122" s="8">
        <v>46175.49554354166</v>
      </c>
      <c r="B122" s="2" t="s">
        <v>106</v>
      </c>
      <c r="C122" s="2">
        <v>7.791833612615E12</v>
      </c>
      <c r="D122" s="2" t="s">
        <v>107</v>
      </c>
    </row>
    <row r="123">
      <c r="A123" s="8">
        <v>46175.49697320602</v>
      </c>
      <c r="B123" s="2" t="s">
        <v>106</v>
      </c>
      <c r="C123" s="2">
        <v>7.791833612615E12</v>
      </c>
      <c r="D123" s="2" t="s">
        <v>107</v>
      </c>
    </row>
    <row r="124">
      <c r="A124" s="8">
        <v>46175.50048983796</v>
      </c>
      <c r="B124" s="2" t="s">
        <v>106</v>
      </c>
      <c r="C124" s="2">
        <v>7.791833612615E12</v>
      </c>
      <c r="D124" s="2" t="s">
        <v>107</v>
      </c>
    </row>
    <row r="125">
      <c r="A125" s="8">
        <v>46175.515807442134</v>
      </c>
      <c r="B125" s="2" t="s">
        <v>106</v>
      </c>
      <c r="C125" s="2">
        <v>7.791833612615E12</v>
      </c>
      <c r="D125" s="2" t="s">
        <v>107</v>
      </c>
    </row>
    <row r="126">
      <c r="A126" s="8">
        <v>46175.536704513885</v>
      </c>
      <c r="B126" s="2" t="s">
        <v>106</v>
      </c>
      <c r="C126" s="2">
        <v>7.791833612615E12</v>
      </c>
      <c r="D126" s="2" t="s">
        <v>107</v>
      </c>
    </row>
    <row r="127">
      <c r="A127" s="8">
        <v>46175.57841524306</v>
      </c>
      <c r="B127" s="2" t="s">
        <v>106</v>
      </c>
      <c r="C127" s="2">
        <v>7.791833612615E12</v>
      </c>
      <c r="D127" s="2" t="s">
        <v>107</v>
      </c>
    </row>
    <row r="128">
      <c r="A128" s="8">
        <v>46175.66178703704</v>
      </c>
      <c r="B128" s="2" t="s">
        <v>106</v>
      </c>
      <c r="C128" s="2">
        <v>7.791833612615E12</v>
      </c>
      <c r="D128" s="2" t="s">
        <v>107</v>
      </c>
    </row>
    <row r="129">
      <c r="A129" s="8">
        <v>46175.97340405092</v>
      </c>
      <c r="B129" s="2" t="s">
        <v>102</v>
      </c>
      <c r="D129" s="2" t="s">
        <v>116</v>
      </c>
    </row>
    <row r="130">
      <c r="A130" s="8">
        <v>46176.00773269676</v>
      </c>
      <c r="B130" s="2" t="s">
        <v>98</v>
      </c>
      <c r="C130" s="2">
        <v>7.792659693895E12</v>
      </c>
      <c r="D130" s="2" t="s">
        <v>117</v>
      </c>
    </row>
    <row r="131">
      <c r="A131" s="8">
        <v>46176.007765682865</v>
      </c>
      <c r="B131" s="2" t="s">
        <v>106</v>
      </c>
      <c r="C131" s="2">
        <v>7.792659693895E12</v>
      </c>
      <c r="D131" s="2" t="s">
        <v>107</v>
      </c>
    </row>
    <row r="132">
      <c r="A132" s="8">
        <v>46176.0085027662</v>
      </c>
      <c r="B132" s="2" t="s">
        <v>106</v>
      </c>
      <c r="C132" s="2">
        <v>7.792659693895E12</v>
      </c>
      <c r="D132" s="2" t="s">
        <v>107</v>
      </c>
    </row>
    <row r="133">
      <c r="A133" s="8">
        <v>46176.00992861111</v>
      </c>
      <c r="B133" s="2" t="s">
        <v>106</v>
      </c>
      <c r="C133" s="2">
        <v>7.792659693895E12</v>
      </c>
      <c r="D133" s="2" t="s">
        <v>107</v>
      </c>
    </row>
    <row r="134">
      <c r="A134" s="8">
        <v>46176.01343196759</v>
      </c>
      <c r="B134" s="2" t="s">
        <v>106</v>
      </c>
      <c r="C134" s="2">
        <v>7.792659693895E12</v>
      </c>
      <c r="D134" s="2" t="s">
        <v>107</v>
      </c>
    </row>
    <row r="135">
      <c r="A135" s="8">
        <v>46176.02875802084</v>
      </c>
      <c r="B135" s="2" t="s">
        <v>106</v>
      </c>
      <c r="C135" s="2">
        <v>7.792659693895E12</v>
      </c>
      <c r="D135" s="2" t="s">
        <v>107</v>
      </c>
    </row>
    <row r="136">
      <c r="A136" s="8">
        <v>46176.04384496528</v>
      </c>
      <c r="B136" s="2" t="s">
        <v>98</v>
      </c>
      <c r="C136" s="2">
        <v>7.792763502919E12</v>
      </c>
      <c r="D136" s="2" t="s">
        <v>118</v>
      </c>
    </row>
    <row r="137">
      <c r="A137" s="8">
        <v>46176.04386615741</v>
      </c>
      <c r="B137" s="2" t="s">
        <v>106</v>
      </c>
      <c r="C137" s="2">
        <v>7.792763502919E12</v>
      </c>
      <c r="D137" s="2" t="s">
        <v>107</v>
      </c>
    </row>
    <row r="138">
      <c r="A138" s="8">
        <v>46176.04461885417</v>
      </c>
      <c r="B138" s="2" t="s">
        <v>106</v>
      </c>
      <c r="C138" s="2">
        <v>7.792763502919E12</v>
      </c>
      <c r="D138" s="2" t="s">
        <v>107</v>
      </c>
    </row>
    <row r="139">
      <c r="A139" s="8">
        <v>46176.04604577547</v>
      </c>
      <c r="B139" s="2" t="s">
        <v>106</v>
      </c>
      <c r="C139" s="2">
        <v>7.792763502919E12</v>
      </c>
      <c r="D139" s="2" t="s">
        <v>107</v>
      </c>
    </row>
    <row r="140">
      <c r="A140" s="8">
        <v>46176.04954931713</v>
      </c>
      <c r="B140" s="2" t="s">
        <v>106</v>
      </c>
      <c r="C140" s="2">
        <v>7.792763502919E12</v>
      </c>
      <c r="D140" s="2" t="s">
        <v>107</v>
      </c>
    </row>
    <row r="141">
      <c r="A141" s="8">
        <v>46176.04963447917</v>
      </c>
      <c r="B141" s="2" t="s">
        <v>106</v>
      </c>
      <c r="C141" s="2">
        <v>7.792659693895E12</v>
      </c>
      <c r="D141" s="2" t="s">
        <v>107</v>
      </c>
    </row>
    <row r="142">
      <c r="A142" s="8">
        <v>46176.064870428236</v>
      </c>
      <c r="B142" s="2" t="s">
        <v>106</v>
      </c>
      <c r="C142" s="2">
        <v>7.792763502919E12</v>
      </c>
      <c r="D142" s="2" t="s">
        <v>107</v>
      </c>
    </row>
    <row r="143">
      <c r="A143" s="8">
        <v>46176.08574751158</v>
      </c>
      <c r="B143" s="2" t="s">
        <v>106</v>
      </c>
      <c r="C143" s="2">
        <v>7.792763502919E12</v>
      </c>
      <c r="D143" s="2" t="s">
        <v>107</v>
      </c>
    </row>
    <row r="144">
      <c r="A144" s="8">
        <v>46176.09133601852</v>
      </c>
      <c r="B144" s="2" t="s">
        <v>106</v>
      </c>
      <c r="C144" s="2">
        <v>7.792659693895E12</v>
      </c>
      <c r="D144" s="2" t="s">
        <v>107</v>
      </c>
    </row>
    <row r="145">
      <c r="A145" s="8">
        <v>46176.12744517361</v>
      </c>
      <c r="B145" s="2" t="s">
        <v>106</v>
      </c>
      <c r="C145" s="2">
        <v>7.792763502919E12</v>
      </c>
      <c r="D145" s="2" t="s">
        <v>107</v>
      </c>
    </row>
    <row r="146">
      <c r="A146" s="8">
        <v>46176.157446550926</v>
      </c>
      <c r="B146" s="2" t="s">
        <v>104</v>
      </c>
      <c r="C146" s="2">
        <v>7.793141678407E12</v>
      </c>
      <c r="D146" s="2" t="s">
        <v>105</v>
      </c>
    </row>
    <row r="147">
      <c r="A147" s="8">
        <v>46176.15747701389</v>
      </c>
      <c r="B147" s="2" t="s">
        <v>106</v>
      </c>
      <c r="C147" s="2">
        <v>7.793141678407E12</v>
      </c>
      <c r="D147" s="2" t="s">
        <v>107</v>
      </c>
    </row>
    <row r="148">
      <c r="A148" s="8">
        <v>46176.15820844907</v>
      </c>
      <c r="B148" s="2" t="s">
        <v>106</v>
      </c>
      <c r="C148" s="2">
        <v>7.793141678407E12</v>
      </c>
      <c r="D148" s="2" t="s">
        <v>107</v>
      </c>
    </row>
    <row r="149">
      <c r="A149" s="8">
        <v>46176.15964175926</v>
      </c>
      <c r="B149" s="2" t="s">
        <v>106</v>
      </c>
      <c r="C149" s="2">
        <v>7.793141678407E12</v>
      </c>
      <c r="D149" s="2" t="s">
        <v>107</v>
      </c>
    </row>
    <row r="150">
      <c r="A150" s="8">
        <v>46176.163146921295</v>
      </c>
      <c r="B150" s="2" t="s">
        <v>106</v>
      </c>
      <c r="C150" s="2">
        <v>7.793141678407E12</v>
      </c>
      <c r="D150" s="2" t="s">
        <v>107</v>
      </c>
    </row>
    <row r="151">
      <c r="A151" s="8">
        <v>46176.17470524306</v>
      </c>
      <c r="B151" s="2" t="s">
        <v>106</v>
      </c>
      <c r="C151" s="2">
        <v>7.792659693895E12</v>
      </c>
      <c r="D151" s="2" t="s">
        <v>107</v>
      </c>
    </row>
    <row r="152">
      <c r="A152" s="8">
        <v>46176.17846177083</v>
      </c>
      <c r="B152" s="2" t="s">
        <v>106</v>
      </c>
      <c r="C152" s="2">
        <v>7.793141678407E12</v>
      </c>
      <c r="D152" s="2" t="s">
        <v>107</v>
      </c>
    </row>
    <row r="153">
      <c r="A153" s="8">
        <v>46176.19935318287</v>
      </c>
      <c r="B153" s="2" t="s">
        <v>106</v>
      </c>
      <c r="C153" s="2">
        <v>7.793141678407E12</v>
      </c>
      <c r="D153" s="2" t="s">
        <v>107</v>
      </c>
    </row>
    <row r="154">
      <c r="A154" s="8">
        <v>46176.21081568287</v>
      </c>
      <c r="B154" s="2" t="s">
        <v>106</v>
      </c>
      <c r="C154" s="2">
        <v>7.792763502919E12</v>
      </c>
      <c r="D154" s="2" t="s">
        <v>107</v>
      </c>
    </row>
    <row r="155">
      <c r="A155" s="8">
        <v>46176.241082858796</v>
      </c>
      <c r="B155" s="2" t="s">
        <v>106</v>
      </c>
      <c r="C155" s="2">
        <v>7.793141678407E12</v>
      </c>
      <c r="D155" s="2" t="s">
        <v>107</v>
      </c>
    </row>
    <row r="156">
      <c r="A156" s="8">
        <v>46176.245002916665</v>
      </c>
      <c r="B156" s="2" t="s">
        <v>98</v>
      </c>
      <c r="C156" s="2">
        <v>7.793445732679E12</v>
      </c>
      <c r="D156" s="2" t="s">
        <v>119</v>
      </c>
    </row>
    <row r="157">
      <c r="A157" s="8">
        <v>46176.2450402199</v>
      </c>
      <c r="B157" s="2" t="s">
        <v>106</v>
      </c>
      <c r="C157" s="2">
        <v>7.793445732679E12</v>
      </c>
      <c r="D157" s="2" t="s">
        <v>107</v>
      </c>
    </row>
    <row r="158">
      <c r="A158" s="8">
        <v>46176.24577184027</v>
      </c>
      <c r="B158" s="2" t="s">
        <v>106</v>
      </c>
      <c r="C158" s="2">
        <v>7.793445732679E12</v>
      </c>
      <c r="D158" s="2" t="s">
        <v>107</v>
      </c>
    </row>
    <row r="159">
      <c r="A159" s="8">
        <v>46176.24723059028</v>
      </c>
      <c r="B159" s="2" t="s">
        <v>106</v>
      </c>
      <c r="C159" s="2">
        <v>7.793445732679E12</v>
      </c>
      <c r="D159" s="2" t="s">
        <v>107</v>
      </c>
    </row>
    <row r="160">
      <c r="A160" s="8">
        <v>46176.250787303245</v>
      </c>
      <c r="B160" s="2" t="s">
        <v>106</v>
      </c>
      <c r="C160" s="2">
        <v>7.793445732679E12</v>
      </c>
      <c r="D160" s="2" t="s">
        <v>107</v>
      </c>
    </row>
    <row r="161">
      <c r="A161" s="8">
        <v>46176.26612803241</v>
      </c>
      <c r="B161" s="2" t="s">
        <v>106</v>
      </c>
      <c r="C161" s="2">
        <v>7.793445732679E12</v>
      </c>
      <c r="D161" s="2" t="s">
        <v>107</v>
      </c>
    </row>
    <row r="162">
      <c r="A162" s="8">
        <v>46176.28701803241</v>
      </c>
      <c r="B162" s="2" t="s">
        <v>106</v>
      </c>
      <c r="C162" s="2">
        <v>7.793445732679E12</v>
      </c>
      <c r="D162" s="2" t="s">
        <v>107</v>
      </c>
    </row>
    <row r="163">
      <c r="A163" s="8">
        <v>46176.324459062496</v>
      </c>
      <c r="B163" s="2" t="s">
        <v>106</v>
      </c>
      <c r="C163" s="2">
        <v>7.793141678407E12</v>
      </c>
      <c r="D163" s="2" t="s">
        <v>107</v>
      </c>
    </row>
    <row r="164">
      <c r="A164" s="8">
        <v>46176.328718749995</v>
      </c>
      <c r="B164" s="2" t="s">
        <v>106</v>
      </c>
      <c r="C164" s="2">
        <v>7.793445732679E12</v>
      </c>
      <c r="D164" s="2" t="s">
        <v>107</v>
      </c>
    </row>
    <row r="165">
      <c r="A165" s="8">
        <v>46176.38997403935</v>
      </c>
      <c r="B165" s="2" t="s">
        <v>98</v>
      </c>
      <c r="C165" s="2">
        <v>7.793862312263E12</v>
      </c>
      <c r="D165" s="2" t="s">
        <v>120</v>
      </c>
    </row>
    <row r="166">
      <c r="A166" s="8">
        <v>46176.39000600694</v>
      </c>
      <c r="B166" s="2" t="s">
        <v>106</v>
      </c>
      <c r="C166" s="2">
        <v>7.793862312263E12</v>
      </c>
      <c r="D166" s="2" t="s">
        <v>107</v>
      </c>
    </row>
    <row r="167">
      <c r="A167" s="8">
        <v>46176.39073728009</v>
      </c>
      <c r="B167" s="2" t="s">
        <v>106</v>
      </c>
      <c r="C167" s="2">
        <v>7.793862312263E12</v>
      </c>
      <c r="D167" s="2" t="s">
        <v>107</v>
      </c>
    </row>
    <row r="168">
      <c r="A168" s="8">
        <v>46176.39216372685</v>
      </c>
      <c r="B168" s="2" t="s">
        <v>106</v>
      </c>
      <c r="C168" s="2">
        <v>7.793862312263E12</v>
      </c>
      <c r="D168" s="2" t="s">
        <v>107</v>
      </c>
    </row>
    <row r="169">
      <c r="A169" s="8">
        <v>46176.39566815972</v>
      </c>
      <c r="B169" s="2" t="s">
        <v>106</v>
      </c>
      <c r="C169" s="2">
        <v>7.793862312263E12</v>
      </c>
      <c r="D169" s="2" t="s">
        <v>107</v>
      </c>
    </row>
    <row r="170">
      <c r="A170" s="8">
        <v>46176.410987696756</v>
      </c>
      <c r="B170" s="2" t="s">
        <v>106</v>
      </c>
      <c r="C170" s="2">
        <v>7.793862312263E12</v>
      </c>
      <c r="D170" s="2" t="s">
        <v>107</v>
      </c>
    </row>
    <row r="171">
      <c r="A171" s="8">
        <v>46176.41209049769</v>
      </c>
      <c r="B171" s="2" t="s">
        <v>106</v>
      </c>
      <c r="C171" s="2">
        <v>7.793445732679E12</v>
      </c>
      <c r="D171" s="2" t="s">
        <v>107</v>
      </c>
    </row>
    <row r="172">
      <c r="A172" s="8">
        <v>46176.422304884254</v>
      </c>
      <c r="B172" s="2" t="s">
        <v>104</v>
      </c>
      <c r="C172" s="2">
        <v>7.793970479431E12</v>
      </c>
      <c r="D172" s="2" t="s">
        <v>105</v>
      </c>
    </row>
    <row r="173">
      <c r="A173" s="8">
        <v>46176.42234680556</v>
      </c>
      <c r="B173" s="2" t="s">
        <v>106</v>
      </c>
      <c r="C173" s="2">
        <v>7.793970479431E12</v>
      </c>
      <c r="D173" s="2" t="s">
        <v>107</v>
      </c>
    </row>
    <row r="174">
      <c r="A174" s="8">
        <v>46176.42307802083</v>
      </c>
      <c r="B174" s="2" t="s">
        <v>106</v>
      </c>
      <c r="C174" s="2">
        <v>7.793970479431E12</v>
      </c>
      <c r="D174" s="2" t="s">
        <v>107</v>
      </c>
    </row>
    <row r="175">
      <c r="A175" s="8">
        <v>46176.42450673611</v>
      </c>
      <c r="B175" s="2" t="s">
        <v>106</v>
      </c>
      <c r="C175" s="2">
        <v>7.793970479431E12</v>
      </c>
      <c r="D175" s="2" t="s">
        <v>107</v>
      </c>
    </row>
    <row r="176">
      <c r="A176" s="8">
        <v>46176.42801038195</v>
      </c>
      <c r="B176" s="2" t="s">
        <v>106</v>
      </c>
      <c r="C176" s="2">
        <v>7.793970479431E12</v>
      </c>
      <c r="D176" s="2" t="s">
        <v>107</v>
      </c>
    </row>
    <row r="177">
      <c r="A177" s="8">
        <v>46176.43185690972</v>
      </c>
      <c r="B177" s="2" t="s">
        <v>106</v>
      </c>
      <c r="C177" s="2">
        <v>7.793862312263E12</v>
      </c>
      <c r="D177" s="2" t="s">
        <v>107</v>
      </c>
    </row>
    <row r="178">
      <c r="A178" s="8">
        <v>46176.44334957176</v>
      </c>
      <c r="B178" s="2" t="s">
        <v>106</v>
      </c>
      <c r="C178" s="2">
        <v>7.793970479431E12</v>
      </c>
      <c r="D178" s="2" t="s">
        <v>107</v>
      </c>
    </row>
    <row r="179">
      <c r="A179" s="8">
        <v>46176.46425276621</v>
      </c>
      <c r="B179" s="2" t="s">
        <v>106</v>
      </c>
      <c r="C179" s="2">
        <v>7.793970479431E12</v>
      </c>
      <c r="D179" s="2" t="s">
        <v>107</v>
      </c>
    </row>
    <row r="180">
      <c r="A180" s="8">
        <v>46176.464282141205</v>
      </c>
      <c r="B180" s="2" t="s">
        <v>98</v>
      </c>
      <c r="C180" s="2">
        <v>7.794101551431E12</v>
      </c>
      <c r="D180" s="2" t="s">
        <v>121</v>
      </c>
    </row>
    <row r="181">
      <c r="A181" s="8">
        <v>46176.464309814815</v>
      </c>
      <c r="B181" s="2" t="s">
        <v>106</v>
      </c>
      <c r="C181" s="2">
        <v>7.794101551431E12</v>
      </c>
      <c r="D181" s="2" t="s">
        <v>107</v>
      </c>
    </row>
    <row r="182">
      <c r="A182" s="8">
        <v>46176.46504053241</v>
      </c>
      <c r="B182" s="2" t="s">
        <v>106</v>
      </c>
      <c r="C182" s="2">
        <v>7.794101551431E12</v>
      </c>
      <c r="D182" s="2" t="s">
        <v>107</v>
      </c>
    </row>
    <row r="183">
      <c r="A183" s="8">
        <v>46176.466460972224</v>
      </c>
      <c r="B183" s="2" t="s">
        <v>106</v>
      </c>
      <c r="C183" s="2">
        <v>7.794101551431E12</v>
      </c>
      <c r="D183" s="2" t="s">
        <v>107</v>
      </c>
    </row>
    <row r="184">
      <c r="A184" s="8">
        <v>46176.46996877315</v>
      </c>
      <c r="B184" s="2" t="s">
        <v>106</v>
      </c>
      <c r="C184" s="2">
        <v>7.794101551431E12</v>
      </c>
      <c r="D184" s="2" t="s">
        <v>107</v>
      </c>
    </row>
    <row r="185">
      <c r="A185" s="8">
        <v>46176.47356008102</v>
      </c>
      <c r="B185" s="2" t="s">
        <v>106</v>
      </c>
      <c r="C185" s="2">
        <v>7.793862312263E12</v>
      </c>
      <c r="D185" s="2" t="s">
        <v>107</v>
      </c>
    </row>
    <row r="186">
      <c r="A186" s="8">
        <v>46176.48528017361</v>
      </c>
      <c r="B186" s="2" t="s">
        <v>106</v>
      </c>
      <c r="C186" s="2">
        <v>7.794101551431E12</v>
      </c>
      <c r="D186" s="2" t="s">
        <v>107</v>
      </c>
    </row>
    <row r="187">
      <c r="A187" s="8">
        <v>46176.50598938657</v>
      </c>
      <c r="B187" s="2" t="s">
        <v>106</v>
      </c>
      <c r="C187" s="2">
        <v>7.793970479431E12</v>
      </c>
      <c r="D187" s="2" t="s">
        <v>107</v>
      </c>
    </row>
    <row r="188">
      <c r="A188" s="8">
        <v>46176.506140729165</v>
      </c>
      <c r="B188" s="2" t="s">
        <v>106</v>
      </c>
      <c r="C188" s="2">
        <v>7.794101551431E12</v>
      </c>
      <c r="D188" s="2" t="s">
        <v>107</v>
      </c>
    </row>
    <row r="189">
      <c r="A189" s="8">
        <v>46176.547838252314</v>
      </c>
      <c r="B189" s="2" t="s">
        <v>106</v>
      </c>
      <c r="C189" s="2">
        <v>7.794101551431E12</v>
      </c>
      <c r="D189" s="2" t="s">
        <v>107</v>
      </c>
    </row>
    <row r="190">
      <c r="A190" s="8">
        <v>46176.55693491898</v>
      </c>
      <c r="B190" s="2" t="s">
        <v>106</v>
      </c>
      <c r="C190" s="2">
        <v>7.793862312263E12</v>
      </c>
      <c r="D190" s="2" t="s">
        <v>107</v>
      </c>
    </row>
    <row r="191">
      <c r="A191" s="8">
        <v>46176.57428170139</v>
      </c>
      <c r="B191" s="2" t="s">
        <v>98</v>
      </c>
      <c r="C191" s="2">
        <v>7.794459803975E12</v>
      </c>
      <c r="D191" s="2" t="s">
        <v>122</v>
      </c>
    </row>
    <row r="192">
      <c r="A192" s="8">
        <v>46176.57432048611</v>
      </c>
      <c r="B192" s="2" t="s">
        <v>106</v>
      </c>
      <c r="C192" s="2">
        <v>7.794459803975E12</v>
      </c>
      <c r="D192" s="2" t="s">
        <v>107</v>
      </c>
    </row>
    <row r="193">
      <c r="A193" s="8">
        <v>46176.57505806713</v>
      </c>
      <c r="B193" s="2" t="s">
        <v>106</v>
      </c>
      <c r="C193" s="2">
        <v>7.794459803975E12</v>
      </c>
      <c r="D193" s="2" t="s">
        <v>107</v>
      </c>
    </row>
    <row r="194">
      <c r="A194" s="8">
        <v>46176.57647825232</v>
      </c>
      <c r="B194" s="2" t="s">
        <v>106</v>
      </c>
      <c r="C194" s="2">
        <v>7.794459803975E12</v>
      </c>
      <c r="D194" s="2" t="s">
        <v>107</v>
      </c>
    </row>
    <row r="195">
      <c r="A195" s="8">
        <v>46176.57997707176</v>
      </c>
      <c r="B195" s="2" t="s">
        <v>106</v>
      </c>
      <c r="C195" s="2">
        <v>7.794459803975E12</v>
      </c>
      <c r="D195" s="2" t="s">
        <v>107</v>
      </c>
    </row>
    <row r="196">
      <c r="A196" s="8">
        <v>46176.5893825463</v>
      </c>
      <c r="B196" s="2" t="s">
        <v>106</v>
      </c>
      <c r="C196" s="2">
        <v>7.793970479431E12</v>
      </c>
      <c r="D196" s="2" t="s">
        <v>107</v>
      </c>
    </row>
    <row r="197">
      <c r="A197" s="8">
        <v>46176.595290185185</v>
      </c>
      <c r="B197" s="2" t="s">
        <v>106</v>
      </c>
      <c r="C197" s="2">
        <v>7.794459803975E12</v>
      </c>
      <c r="D197" s="2" t="s">
        <v>107</v>
      </c>
    </row>
    <row r="198">
      <c r="A198" s="8">
        <v>46176.616154918986</v>
      </c>
      <c r="B198" s="2" t="s">
        <v>106</v>
      </c>
      <c r="C198" s="2">
        <v>7.794459803975E12</v>
      </c>
      <c r="D198" s="2" t="s">
        <v>107</v>
      </c>
    </row>
    <row r="199">
      <c r="A199" s="8">
        <v>46176.62224420139</v>
      </c>
      <c r="B199" s="2" t="s">
        <v>98</v>
      </c>
      <c r="C199" s="2">
        <v>7.794561614151E12</v>
      </c>
      <c r="D199" s="2" t="s">
        <v>123</v>
      </c>
    </row>
    <row r="200">
      <c r="A200" s="8">
        <v>46176.622300648145</v>
      </c>
      <c r="B200" s="2" t="s">
        <v>106</v>
      </c>
      <c r="C200" s="2">
        <v>7.794561614151E12</v>
      </c>
      <c r="D200" s="2" t="s">
        <v>107</v>
      </c>
    </row>
    <row r="201">
      <c r="A201" s="8">
        <v>46176.623040798615</v>
      </c>
      <c r="B201" s="2" t="s">
        <v>106</v>
      </c>
      <c r="C201" s="2">
        <v>7.794561614151E12</v>
      </c>
      <c r="D201" s="2" t="s">
        <v>107</v>
      </c>
    </row>
    <row r="202">
      <c r="A202" s="8">
        <v>46176.62446759259</v>
      </c>
      <c r="B202" s="2" t="s">
        <v>106</v>
      </c>
      <c r="C202" s="2">
        <v>7.794561614151E12</v>
      </c>
      <c r="D202" s="2" t="s">
        <v>107</v>
      </c>
    </row>
    <row r="203">
      <c r="A203" s="8">
        <v>46176.62796831019</v>
      </c>
      <c r="B203" s="2" t="s">
        <v>106</v>
      </c>
      <c r="C203" s="2">
        <v>7.794561614151E12</v>
      </c>
      <c r="D203" s="2" t="s">
        <v>107</v>
      </c>
    </row>
    <row r="204">
      <c r="A204" s="8">
        <v>46176.63121153935</v>
      </c>
      <c r="B204" s="2" t="s">
        <v>106</v>
      </c>
      <c r="C204" s="2">
        <v>7.794101551431E12</v>
      </c>
      <c r="D204" s="2" t="s">
        <v>107</v>
      </c>
    </row>
    <row r="205">
      <c r="A205" s="8">
        <v>46176.643278877316</v>
      </c>
      <c r="B205" s="2" t="s">
        <v>106</v>
      </c>
      <c r="C205" s="2">
        <v>7.794561614151E12</v>
      </c>
      <c r="D205" s="2" t="s">
        <v>107</v>
      </c>
    </row>
    <row r="206">
      <c r="A206" s="8">
        <v>46176.657868194445</v>
      </c>
      <c r="B206" s="2" t="s">
        <v>106</v>
      </c>
      <c r="C206" s="2">
        <v>7.794459803975E12</v>
      </c>
      <c r="D206" s="2" t="s">
        <v>107</v>
      </c>
    </row>
    <row r="207">
      <c r="A207" s="8">
        <v>46176.66417305556</v>
      </c>
      <c r="B207" s="2" t="s">
        <v>106</v>
      </c>
      <c r="C207" s="2">
        <v>7.794561614151E12</v>
      </c>
      <c r="D207" s="2" t="s">
        <v>107</v>
      </c>
    </row>
    <row r="208">
      <c r="A208" s="8">
        <v>46176.70590219907</v>
      </c>
      <c r="B208" s="2" t="s">
        <v>106</v>
      </c>
      <c r="C208" s="2">
        <v>7.794561614151E12</v>
      </c>
      <c r="D208" s="2" t="s">
        <v>107</v>
      </c>
    </row>
    <row r="209">
      <c r="A209" s="8">
        <v>46176.74127303241</v>
      </c>
      <c r="B209" s="2" t="s">
        <v>106</v>
      </c>
      <c r="C209" s="2">
        <v>7.794459803975E12</v>
      </c>
      <c r="D209" s="2" t="s">
        <v>107</v>
      </c>
    </row>
    <row r="210">
      <c r="A210" s="8">
        <v>46176.789314062495</v>
      </c>
      <c r="B210" s="2" t="s">
        <v>106</v>
      </c>
      <c r="C210" s="2">
        <v>7.794561614151E12</v>
      </c>
      <c r="D210" s="2" t="s">
        <v>107</v>
      </c>
    </row>
    <row r="211">
      <c r="A211" s="8">
        <v>46176.97324633102</v>
      </c>
      <c r="B211" s="2" t="s">
        <v>102</v>
      </c>
      <c r="D211" s="2" t="s">
        <v>124</v>
      </c>
    </row>
    <row r="212">
      <c r="A212" s="8">
        <v>46177.281995439815</v>
      </c>
      <c r="B212" s="2" t="s">
        <v>104</v>
      </c>
      <c r="C212" s="2">
        <v>7.796977369415E12</v>
      </c>
      <c r="D212" s="2" t="s">
        <v>105</v>
      </c>
    </row>
    <row r="213">
      <c r="A213" s="8">
        <v>46177.2820346875</v>
      </c>
      <c r="B213" s="2" t="s">
        <v>106</v>
      </c>
      <c r="C213" s="2">
        <v>7.796977369415E12</v>
      </c>
      <c r="D213" s="2" t="s">
        <v>107</v>
      </c>
    </row>
    <row r="214">
      <c r="A214" s="8">
        <v>46177.28276221065</v>
      </c>
      <c r="B214" s="2" t="s">
        <v>106</v>
      </c>
      <c r="C214" s="2">
        <v>7.796977369415E12</v>
      </c>
      <c r="D214" s="2" t="s">
        <v>107</v>
      </c>
    </row>
    <row r="215">
      <c r="A215" s="8">
        <v>46177.28290226852</v>
      </c>
      <c r="B215" s="2" t="s">
        <v>98</v>
      </c>
      <c r="C215" s="2">
        <v>7.797044838727E12</v>
      </c>
      <c r="D215" s="2" t="s">
        <v>125</v>
      </c>
    </row>
    <row r="216">
      <c r="A216" s="8">
        <v>46177.28293137731</v>
      </c>
      <c r="B216" s="2" t="s">
        <v>106</v>
      </c>
      <c r="C216" s="2">
        <v>7.797044838727E12</v>
      </c>
      <c r="D216" s="2" t="s">
        <v>107</v>
      </c>
    </row>
    <row r="217">
      <c r="A217" s="8">
        <v>46177.283664675924</v>
      </c>
      <c r="B217" s="2" t="s">
        <v>106</v>
      </c>
      <c r="C217" s="2">
        <v>7.797044838727E12</v>
      </c>
      <c r="D217" s="2" t="s">
        <v>107</v>
      </c>
    </row>
    <row r="218">
      <c r="A218" s="8">
        <v>46177.284192349536</v>
      </c>
      <c r="B218" s="2" t="s">
        <v>106</v>
      </c>
      <c r="C218" s="2">
        <v>7.796977369415E12</v>
      </c>
      <c r="D218" s="2" t="s">
        <v>107</v>
      </c>
    </row>
    <row r="219">
      <c r="A219" s="8">
        <v>46177.285088668985</v>
      </c>
      <c r="B219" s="2" t="s">
        <v>106</v>
      </c>
      <c r="C219" s="2">
        <v>7.797044838727E12</v>
      </c>
      <c r="D219" s="2" t="s">
        <v>107</v>
      </c>
    </row>
    <row r="220">
      <c r="A220" s="8">
        <v>46177.28769629629</v>
      </c>
      <c r="B220" s="2" t="s">
        <v>106</v>
      </c>
      <c r="C220" s="2">
        <v>7.796977369415E12</v>
      </c>
      <c r="D220" s="2" t="s">
        <v>107</v>
      </c>
    </row>
    <row r="221">
      <c r="A221" s="8">
        <v>46177.28859762731</v>
      </c>
      <c r="B221" s="2" t="s">
        <v>106</v>
      </c>
      <c r="C221" s="2">
        <v>7.797044838727E12</v>
      </c>
      <c r="D221" s="2" t="s">
        <v>107</v>
      </c>
    </row>
    <row r="222">
      <c r="A222" s="8">
        <v>46177.30301603009</v>
      </c>
      <c r="B222" s="2" t="s">
        <v>106</v>
      </c>
      <c r="C222" s="2">
        <v>7.796977369415E12</v>
      </c>
      <c r="D222" s="2" t="s">
        <v>107</v>
      </c>
    </row>
    <row r="223">
      <c r="A223" s="8">
        <v>46177.30344204861</v>
      </c>
      <c r="B223" s="2" t="s">
        <v>98</v>
      </c>
      <c r="C223" s="2">
        <v>7.797411283271E12</v>
      </c>
      <c r="D223" s="2" t="s">
        <v>126</v>
      </c>
    </row>
    <row r="224">
      <c r="A224" s="8">
        <v>46177.30347960648</v>
      </c>
      <c r="B224" s="2" t="s">
        <v>106</v>
      </c>
      <c r="C224" s="2">
        <v>7.797411283271E12</v>
      </c>
      <c r="D224" s="2" t="s">
        <v>107</v>
      </c>
    </row>
    <row r="225">
      <c r="A225" s="8">
        <v>46177.30391122685</v>
      </c>
      <c r="B225" s="2" t="s">
        <v>106</v>
      </c>
      <c r="C225" s="2">
        <v>7.797044838727E12</v>
      </c>
      <c r="D225" s="2" t="s">
        <v>107</v>
      </c>
    </row>
    <row r="226">
      <c r="A226" s="8">
        <v>46177.30421158565</v>
      </c>
      <c r="B226" s="2" t="s">
        <v>106</v>
      </c>
      <c r="C226" s="2">
        <v>7.797411283271E12</v>
      </c>
      <c r="D226" s="2" t="s">
        <v>107</v>
      </c>
    </row>
    <row r="227">
      <c r="A227" s="8">
        <v>46177.30563513889</v>
      </c>
      <c r="B227" s="2" t="s">
        <v>106</v>
      </c>
      <c r="C227" s="2">
        <v>7.797411283271E12</v>
      </c>
      <c r="D227" s="2" t="s">
        <v>107</v>
      </c>
    </row>
    <row r="228">
      <c r="A228" s="8">
        <v>46177.30913700232</v>
      </c>
      <c r="B228" s="2" t="s">
        <v>106</v>
      </c>
      <c r="C228" s="2">
        <v>7.797411283271E12</v>
      </c>
      <c r="D228" s="2" t="s">
        <v>107</v>
      </c>
    </row>
    <row r="229">
      <c r="A229" s="8">
        <v>46177.32388653935</v>
      </c>
      <c r="B229" s="2" t="s">
        <v>106</v>
      </c>
      <c r="C229" s="2">
        <v>7.796977369415E12</v>
      </c>
      <c r="D229" s="2" t="s">
        <v>107</v>
      </c>
    </row>
    <row r="230">
      <c r="A230" s="8">
        <v>46177.324447430554</v>
      </c>
      <c r="B230" s="2" t="s">
        <v>106</v>
      </c>
      <c r="C230" s="2">
        <v>7.797411283271E12</v>
      </c>
      <c r="D230" s="2" t="s">
        <v>107</v>
      </c>
    </row>
    <row r="231">
      <c r="A231" s="8">
        <v>46177.324776064816</v>
      </c>
      <c r="B231" s="2" t="s">
        <v>106</v>
      </c>
      <c r="C231" s="2">
        <v>7.797044838727E12</v>
      </c>
      <c r="D231" s="2" t="s">
        <v>107</v>
      </c>
    </row>
    <row r="232">
      <c r="A232" s="8">
        <v>46177.33129394676</v>
      </c>
      <c r="B232" s="2" t="s">
        <v>98</v>
      </c>
      <c r="C232" s="2">
        <v>7.798351954247E12</v>
      </c>
      <c r="D232" s="2" t="s">
        <v>127</v>
      </c>
    </row>
    <row r="233">
      <c r="A233" s="8">
        <v>46177.33134505787</v>
      </c>
      <c r="B233" s="2" t="s">
        <v>106</v>
      </c>
      <c r="C233" s="2">
        <v>7.798351954247E12</v>
      </c>
      <c r="D233" s="2" t="s">
        <v>107</v>
      </c>
    </row>
    <row r="234">
      <c r="A234" s="8">
        <v>46177.33206728009</v>
      </c>
      <c r="B234" s="2" t="s">
        <v>106</v>
      </c>
      <c r="C234" s="2">
        <v>7.798351954247E12</v>
      </c>
      <c r="D234" s="2" t="s">
        <v>107</v>
      </c>
    </row>
    <row r="235">
      <c r="A235" s="8">
        <v>46177.33348800926</v>
      </c>
      <c r="B235" s="2" t="s">
        <v>106</v>
      </c>
      <c r="C235" s="2">
        <v>7.798351954247E12</v>
      </c>
      <c r="D235" s="2" t="s">
        <v>107</v>
      </c>
    </row>
    <row r="236">
      <c r="A236" s="8">
        <v>46177.33699894676</v>
      </c>
      <c r="B236" s="2" t="s">
        <v>106</v>
      </c>
      <c r="C236" s="2">
        <v>7.798351954247E12</v>
      </c>
      <c r="D236" s="2" t="s">
        <v>107</v>
      </c>
    </row>
    <row r="237">
      <c r="A237" s="8">
        <v>46177.34089216436</v>
      </c>
      <c r="B237" s="2" t="s">
        <v>104</v>
      </c>
      <c r="C237" s="2">
        <v>7.798458319175E12</v>
      </c>
      <c r="D237" s="2" t="s">
        <v>105</v>
      </c>
    </row>
    <row r="238">
      <c r="A238" s="8">
        <v>46177.340932928244</v>
      </c>
      <c r="B238" s="2" t="s">
        <v>106</v>
      </c>
      <c r="C238" s="2">
        <v>7.798458319175E12</v>
      </c>
      <c r="D238" s="2" t="s">
        <v>107</v>
      </c>
    </row>
    <row r="239">
      <c r="A239" s="8">
        <v>46177.34166721065</v>
      </c>
      <c r="B239" s="2" t="s">
        <v>106</v>
      </c>
      <c r="C239" s="2">
        <v>7.798458319175E12</v>
      </c>
      <c r="D239" s="2" t="s">
        <v>107</v>
      </c>
    </row>
    <row r="240">
      <c r="A240" s="8">
        <v>46177.343100451384</v>
      </c>
      <c r="B240" s="2" t="s">
        <v>106</v>
      </c>
      <c r="C240" s="2">
        <v>7.798458319175E12</v>
      </c>
      <c r="D240" s="2" t="s">
        <v>107</v>
      </c>
    </row>
    <row r="241">
      <c r="A241" s="8">
        <v>46177.34530851852</v>
      </c>
      <c r="B241" s="2" t="s">
        <v>106</v>
      </c>
      <c r="C241" s="2">
        <v>7.797411283271E12</v>
      </c>
      <c r="D241" s="2" t="s">
        <v>107</v>
      </c>
    </row>
    <row r="242">
      <c r="A242" s="8">
        <v>46177.346637372684</v>
      </c>
      <c r="B242" s="2" t="s">
        <v>106</v>
      </c>
      <c r="C242" s="2">
        <v>7.798458319175E12</v>
      </c>
      <c r="D242" s="2" t="s">
        <v>107</v>
      </c>
    </row>
    <row r="243">
      <c r="A243" s="8">
        <v>46177.352323287036</v>
      </c>
      <c r="B243" s="2" t="s">
        <v>106</v>
      </c>
      <c r="C243" s="2">
        <v>7.798351954247E12</v>
      </c>
      <c r="D243" s="2" t="s">
        <v>107</v>
      </c>
    </row>
    <row r="244">
      <c r="A244" s="8">
        <v>46177.361947303245</v>
      </c>
      <c r="B244" s="2" t="s">
        <v>106</v>
      </c>
      <c r="C244" s="2">
        <v>7.798458319175E12</v>
      </c>
      <c r="D244" s="2" t="s">
        <v>107</v>
      </c>
    </row>
    <row r="245">
      <c r="A245" s="8">
        <v>46177.365589918976</v>
      </c>
      <c r="B245" s="2" t="s">
        <v>106</v>
      </c>
      <c r="C245" s="2">
        <v>7.796977369415E12</v>
      </c>
      <c r="D245" s="2" t="s">
        <v>107</v>
      </c>
    </row>
    <row r="246">
      <c r="A246" s="8">
        <v>46177.36647627315</v>
      </c>
      <c r="B246" s="2" t="s">
        <v>106</v>
      </c>
      <c r="C246" s="2">
        <v>7.797044838727E12</v>
      </c>
      <c r="D246" s="2" t="s">
        <v>107</v>
      </c>
    </row>
    <row r="247">
      <c r="A247" s="8">
        <v>46177.37320689815</v>
      </c>
      <c r="B247" s="2" t="s">
        <v>106</v>
      </c>
      <c r="C247" s="2">
        <v>7.798351954247E12</v>
      </c>
      <c r="D247" s="2" t="s">
        <v>107</v>
      </c>
    </row>
    <row r="248">
      <c r="A248" s="8">
        <v>46177.38286042824</v>
      </c>
      <c r="B248" s="2" t="s">
        <v>106</v>
      </c>
      <c r="C248" s="2">
        <v>7.798458319175E12</v>
      </c>
      <c r="D248" s="2" t="s">
        <v>107</v>
      </c>
    </row>
    <row r="249">
      <c r="A249" s="8">
        <v>46177.387011134255</v>
      </c>
      <c r="B249" s="2" t="s">
        <v>106</v>
      </c>
      <c r="C249" s="2">
        <v>7.797411283271E12</v>
      </c>
      <c r="D249" s="2" t="s">
        <v>107</v>
      </c>
    </row>
    <row r="250">
      <c r="A250" s="8">
        <v>46177.414938368056</v>
      </c>
      <c r="B250" s="2" t="s">
        <v>106</v>
      </c>
      <c r="C250" s="2">
        <v>7.798351954247E12</v>
      </c>
      <c r="D250" s="2" t="s">
        <v>107</v>
      </c>
    </row>
    <row r="251">
      <c r="A251" s="8">
        <v>46177.42458369213</v>
      </c>
      <c r="B251" s="2" t="s">
        <v>106</v>
      </c>
      <c r="C251" s="2">
        <v>7.798458319175E12</v>
      </c>
      <c r="D251" s="2" t="s">
        <v>107</v>
      </c>
    </row>
    <row r="252">
      <c r="A252" s="8">
        <v>46177.42997894676</v>
      </c>
      <c r="B252" s="2" t="s">
        <v>104</v>
      </c>
      <c r="C252" s="2">
        <v>7.800000315719E12</v>
      </c>
      <c r="D252" s="2" t="s">
        <v>105</v>
      </c>
    </row>
    <row r="253">
      <c r="A253" s="8">
        <v>46177.430023402776</v>
      </c>
      <c r="B253" s="2" t="s">
        <v>106</v>
      </c>
      <c r="C253" s="2">
        <v>7.800000315719E12</v>
      </c>
      <c r="D253" s="2" t="s">
        <v>107</v>
      </c>
    </row>
    <row r="254">
      <c r="A254" s="8">
        <v>46177.43075908565</v>
      </c>
      <c r="B254" s="2" t="s">
        <v>106</v>
      </c>
      <c r="C254" s="2">
        <v>7.800000315719E12</v>
      </c>
      <c r="D254" s="2" t="s">
        <v>107</v>
      </c>
    </row>
    <row r="255">
      <c r="A255" s="8">
        <v>46177.43218587963</v>
      </c>
      <c r="B255" s="2" t="s">
        <v>106</v>
      </c>
      <c r="C255" s="2">
        <v>7.800000315719E12</v>
      </c>
      <c r="D255" s="2" t="s">
        <v>107</v>
      </c>
    </row>
    <row r="256">
      <c r="A256" s="8">
        <v>46177.43569424769</v>
      </c>
      <c r="B256" s="2" t="s">
        <v>106</v>
      </c>
      <c r="C256" s="2">
        <v>7.800000315719E12</v>
      </c>
      <c r="D256" s="2" t="s">
        <v>107</v>
      </c>
    </row>
    <row r="257">
      <c r="A257" s="8">
        <v>46177.44898804398</v>
      </c>
      <c r="B257" s="2" t="s">
        <v>106</v>
      </c>
      <c r="C257" s="2">
        <v>7.796977369415E12</v>
      </c>
      <c r="D257" s="2" t="s">
        <v>107</v>
      </c>
    </row>
    <row r="258">
      <c r="A258" s="8">
        <v>46177.44984862268</v>
      </c>
      <c r="B258" s="2" t="s">
        <v>106</v>
      </c>
      <c r="C258" s="2">
        <v>7.797044838727E12</v>
      </c>
      <c r="D258" s="2" t="s">
        <v>107</v>
      </c>
    </row>
    <row r="259">
      <c r="A259" s="8">
        <v>46177.451008379634</v>
      </c>
      <c r="B259" s="2" t="s">
        <v>106</v>
      </c>
      <c r="C259" s="2">
        <v>7.800000315719E12</v>
      </c>
      <c r="D259" s="2" t="s">
        <v>107</v>
      </c>
    </row>
    <row r="260">
      <c r="A260" s="8">
        <v>46177.47040855324</v>
      </c>
      <c r="B260" s="2" t="s">
        <v>106</v>
      </c>
      <c r="C260" s="2">
        <v>7.797411283271E12</v>
      </c>
      <c r="D260" s="2" t="s">
        <v>107</v>
      </c>
    </row>
    <row r="261">
      <c r="A261" s="8">
        <v>46177.47188835648</v>
      </c>
      <c r="B261" s="2" t="s">
        <v>106</v>
      </c>
      <c r="C261" s="2">
        <v>7.800000315719E12</v>
      </c>
      <c r="D261" s="2" t="s">
        <v>107</v>
      </c>
    </row>
    <row r="262">
      <c r="A262" s="8">
        <v>46177.498353159725</v>
      </c>
      <c r="B262" s="2" t="s">
        <v>106</v>
      </c>
      <c r="C262" s="2">
        <v>7.798351954247E12</v>
      </c>
      <c r="D262" s="2" t="s">
        <v>107</v>
      </c>
    </row>
    <row r="263">
      <c r="A263" s="8">
        <v>46177.50798347223</v>
      </c>
      <c r="B263" s="2" t="s">
        <v>106</v>
      </c>
      <c r="C263" s="2">
        <v>7.798458319175E12</v>
      </c>
      <c r="D263" s="2" t="s">
        <v>107</v>
      </c>
    </row>
    <row r="264">
      <c r="A264" s="8">
        <v>46177.513590462964</v>
      </c>
      <c r="B264" s="2" t="s">
        <v>106</v>
      </c>
      <c r="C264" s="2">
        <v>7.800000315719E12</v>
      </c>
      <c r="D264" s="2" t="s">
        <v>107</v>
      </c>
    </row>
    <row r="265">
      <c r="A265" s="8">
        <v>46177.52417233796</v>
      </c>
      <c r="B265" s="2" t="s">
        <v>104</v>
      </c>
      <c r="C265" s="2">
        <v>7.801029722439E12</v>
      </c>
      <c r="D265" s="2" t="s">
        <v>105</v>
      </c>
    </row>
    <row r="266">
      <c r="A266" s="8">
        <v>46177.52421203704</v>
      </c>
      <c r="B266" s="2" t="s">
        <v>106</v>
      </c>
      <c r="C266" s="2">
        <v>7.801029722439E12</v>
      </c>
      <c r="D266" s="2" t="s">
        <v>107</v>
      </c>
    </row>
    <row r="267">
      <c r="A267" s="8">
        <v>46177.524945185185</v>
      </c>
      <c r="B267" s="2" t="s">
        <v>106</v>
      </c>
      <c r="C267" s="2">
        <v>7.801029722439E12</v>
      </c>
      <c r="D267" s="2" t="s">
        <v>107</v>
      </c>
    </row>
    <row r="268">
      <c r="A268" s="8">
        <v>46177.52637525463</v>
      </c>
      <c r="B268" s="2" t="s">
        <v>106</v>
      </c>
      <c r="C268" s="2">
        <v>7.801029722439E12</v>
      </c>
      <c r="D268" s="2" t="s">
        <v>107</v>
      </c>
    </row>
    <row r="269">
      <c r="A269" s="8">
        <v>46177.52988400463</v>
      </c>
      <c r="B269" s="2" t="s">
        <v>106</v>
      </c>
      <c r="C269" s="2">
        <v>7.801029722439E12</v>
      </c>
      <c r="D269" s="2" t="s">
        <v>107</v>
      </c>
    </row>
    <row r="270">
      <c r="A270" s="8">
        <v>46177.54522958334</v>
      </c>
      <c r="B270" s="2" t="s">
        <v>106</v>
      </c>
      <c r="C270" s="2">
        <v>7.801029722439E12</v>
      </c>
      <c r="D270" s="2" t="s">
        <v>107</v>
      </c>
    </row>
    <row r="271">
      <c r="A271" s="8">
        <v>46177.56609694444</v>
      </c>
      <c r="B271" s="2" t="s">
        <v>106</v>
      </c>
      <c r="C271" s="2">
        <v>7.801029722439E12</v>
      </c>
      <c r="D271" s="2" t="s">
        <v>107</v>
      </c>
    </row>
    <row r="272">
      <c r="A272" s="8">
        <v>46177.59697111111</v>
      </c>
      <c r="B272" s="2" t="s">
        <v>106</v>
      </c>
      <c r="C272" s="2">
        <v>7.800000315719E12</v>
      </c>
      <c r="D272" s="2" t="s">
        <v>107</v>
      </c>
    </row>
    <row r="273">
      <c r="A273" s="8">
        <v>46177.60781113426</v>
      </c>
      <c r="B273" s="2" t="s">
        <v>106</v>
      </c>
      <c r="C273" s="2">
        <v>7.801029722439E12</v>
      </c>
      <c r="D273" s="2" t="s">
        <v>107</v>
      </c>
    </row>
    <row r="274">
      <c r="A274" s="8">
        <v>46177.691200925925</v>
      </c>
      <c r="B274" s="2" t="s">
        <v>106</v>
      </c>
      <c r="C274" s="2">
        <v>7.801029722439E12</v>
      </c>
      <c r="D274" s="2" t="s">
        <v>107</v>
      </c>
    </row>
    <row r="275">
      <c r="A275" s="8">
        <v>46177.973304733794</v>
      </c>
      <c r="B275" s="2" t="s">
        <v>102</v>
      </c>
      <c r="D275" s="2" t="s">
        <v>128</v>
      </c>
    </row>
    <row r="276">
      <c r="A276" s="8">
        <v>46178.07935962963</v>
      </c>
      <c r="B276" s="2" t="s">
        <v>98</v>
      </c>
      <c r="C276" s="2">
        <v>7.804770812231E12</v>
      </c>
      <c r="D276" s="2" t="s">
        <v>129</v>
      </c>
    </row>
    <row r="277">
      <c r="A277" s="8">
        <v>46178.07939521991</v>
      </c>
      <c r="B277" s="2" t="s">
        <v>106</v>
      </c>
      <c r="C277" s="2">
        <v>7.804770812231E12</v>
      </c>
      <c r="D277" s="2" t="s">
        <v>107</v>
      </c>
    </row>
    <row r="278">
      <c r="A278" s="8">
        <v>46178.08013949074</v>
      </c>
      <c r="B278" s="2" t="s">
        <v>106</v>
      </c>
      <c r="C278" s="2">
        <v>7.804770812231E12</v>
      </c>
      <c r="D278" s="2" t="s">
        <v>107</v>
      </c>
    </row>
    <row r="279">
      <c r="A279" s="8">
        <v>46178.08156715278</v>
      </c>
      <c r="B279" s="2" t="s">
        <v>106</v>
      </c>
      <c r="C279" s="2">
        <v>7.804770812231E12</v>
      </c>
      <c r="D279" s="2" t="s">
        <v>107</v>
      </c>
    </row>
    <row r="280">
      <c r="A280" s="8">
        <v>46178.08234530092</v>
      </c>
      <c r="B280" s="2" t="s">
        <v>104</v>
      </c>
      <c r="C280" s="2">
        <v>7.804808298823E12</v>
      </c>
      <c r="D280" s="2" t="s">
        <v>105</v>
      </c>
    </row>
    <row r="281">
      <c r="A281" s="8">
        <v>46178.082379479165</v>
      </c>
      <c r="B281" s="2" t="s">
        <v>106</v>
      </c>
      <c r="C281" s="2">
        <v>7.804808298823E12</v>
      </c>
      <c r="D281" s="2" t="s">
        <v>107</v>
      </c>
    </row>
    <row r="282">
      <c r="A282" s="8">
        <v>46178.08310798611</v>
      </c>
      <c r="B282" s="2" t="s">
        <v>106</v>
      </c>
      <c r="C282" s="2">
        <v>7.804808298823E12</v>
      </c>
      <c r="D282" s="2" t="s">
        <v>107</v>
      </c>
    </row>
    <row r="283">
      <c r="A283" s="8">
        <v>46178.08453113426</v>
      </c>
      <c r="B283" s="2" t="s">
        <v>106</v>
      </c>
      <c r="C283" s="2">
        <v>7.804808298823E12</v>
      </c>
      <c r="D283" s="2" t="s">
        <v>107</v>
      </c>
    </row>
    <row r="284">
      <c r="A284" s="8">
        <v>46178.085061527774</v>
      </c>
      <c r="B284" s="2" t="s">
        <v>106</v>
      </c>
      <c r="C284" s="2">
        <v>7.804770812231E12</v>
      </c>
      <c r="D284" s="2" t="s">
        <v>107</v>
      </c>
    </row>
    <row r="285">
      <c r="A285" s="8">
        <v>46178.08803136574</v>
      </c>
      <c r="B285" s="2" t="s">
        <v>106</v>
      </c>
      <c r="C285" s="2">
        <v>7.804808298823E12</v>
      </c>
      <c r="D285" s="2" t="s">
        <v>107</v>
      </c>
    </row>
    <row r="286">
      <c r="A286" s="8">
        <v>46178.10041708333</v>
      </c>
      <c r="B286" s="2" t="s">
        <v>106</v>
      </c>
      <c r="C286" s="2">
        <v>7.804770812231E12</v>
      </c>
      <c r="D286" s="2" t="s">
        <v>107</v>
      </c>
    </row>
    <row r="287">
      <c r="A287" s="8">
        <v>46178.10334611111</v>
      </c>
      <c r="B287" s="2" t="s">
        <v>106</v>
      </c>
      <c r="C287" s="2">
        <v>7.804808298823E12</v>
      </c>
      <c r="D287" s="2" t="s">
        <v>107</v>
      </c>
    </row>
    <row r="288">
      <c r="A288" s="8">
        <v>46178.121302326384</v>
      </c>
      <c r="B288" s="2" t="s">
        <v>106</v>
      </c>
      <c r="C288" s="2">
        <v>7.804770812231E12</v>
      </c>
      <c r="D288" s="2" t="s">
        <v>107</v>
      </c>
    </row>
    <row r="289">
      <c r="A289" s="8">
        <v>46178.12422722222</v>
      </c>
      <c r="B289" s="2" t="s">
        <v>106</v>
      </c>
      <c r="C289" s="2">
        <v>7.804808298823E12</v>
      </c>
      <c r="D289" s="2" t="s">
        <v>107</v>
      </c>
    </row>
    <row r="290">
      <c r="A290" s="8">
        <v>46178.16302245371</v>
      </c>
      <c r="B290" s="2" t="s">
        <v>106</v>
      </c>
      <c r="C290" s="2">
        <v>7.804770812231E12</v>
      </c>
      <c r="D290" s="2" t="s">
        <v>107</v>
      </c>
    </row>
    <row r="291">
      <c r="A291" s="8">
        <v>46178.163230983795</v>
      </c>
      <c r="B291" s="2" t="s">
        <v>104</v>
      </c>
      <c r="C291" s="2">
        <v>7.805808804167E12</v>
      </c>
      <c r="D291" s="2" t="s">
        <v>105</v>
      </c>
    </row>
    <row r="292">
      <c r="A292" s="8">
        <v>46178.16327582176</v>
      </c>
      <c r="B292" s="2" t="s">
        <v>106</v>
      </c>
      <c r="C292" s="2">
        <v>7.805808804167E12</v>
      </c>
      <c r="D292" s="2" t="s">
        <v>107</v>
      </c>
    </row>
    <row r="293">
      <c r="A293" s="8">
        <v>46178.16400326389</v>
      </c>
      <c r="B293" s="2" t="s">
        <v>106</v>
      </c>
      <c r="C293" s="2">
        <v>7.805808804167E12</v>
      </c>
      <c r="D293" s="2" t="s">
        <v>107</v>
      </c>
    </row>
    <row r="294">
      <c r="A294" s="8">
        <v>46178.16544005787</v>
      </c>
      <c r="B294" s="2" t="s">
        <v>106</v>
      </c>
      <c r="C294" s="2">
        <v>7.805808804167E12</v>
      </c>
      <c r="D294" s="2" t="s">
        <v>107</v>
      </c>
    </row>
    <row r="295">
      <c r="A295" s="8">
        <v>46178.165932696764</v>
      </c>
      <c r="B295" s="2" t="s">
        <v>106</v>
      </c>
      <c r="C295" s="2">
        <v>7.804808298823E12</v>
      </c>
      <c r="D295" s="2" t="s">
        <v>107</v>
      </c>
    </row>
    <row r="296">
      <c r="A296" s="8">
        <v>46178.168949722225</v>
      </c>
      <c r="B296" s="2" t="s">
        <v>106</v>
      </c>
      <c r="C296" s="2">
        <v>7.805808804167E12</v>
      </c>
      <c r="D296" s="2" t="s">
        <v>107</v>
      </c>
    </row>
    <row r="297">
      <c r="A297" s="8">
        <v>46178.18426576389</v>
      </c>
      <c r="B297" s="2" t="s">
        <v>106</v>
      </c>
      <c r="C297" s="2">
        <v>7.805808804167E12</v>
      </c>
      <c r="D297" s="2" t="s">
        <v>107</v>
      </c>
    </row>
    <row r="298">
      <c r="A298" s="8">
        <v>46178.20515325232</v>
      </c>
      <c r="B298" s="2" t="s">
        <v>106</v>
      </c>
      <c r="C298" s="2">
        <v>7.805808804167E12</v>
      </c>
      <c r="D298" s="2" t="s">
        <v>107</v>
      </c>
    </row>
    <row r="299">
      <c r="A299" s="8">
        <v>46178.23260878472</v>
      </c>
      <c r="B299" s="2" t="s">
        <v>104</v>
      </c>
      <c r="C299" s="2">
        <v>7.806487855431E12</v>
      </c>
      <c r="D299" s="2" t="s">
        <v>105</v>
      </c>
    </row>
    <row r="300">
      <c r="A300" s="8">
        <v>46178.23264311343</v>
      </c>
      <c r="B300" s="2" t="s">
        <v>106</v>
      </c>
      <c r="C300" s="2">
        <v>7.806487855431E12</v>
      </c>
      <c r="D300" s="2" t="s">
        <v>107</v>
      </c>
    </row>
    <row r="301">
      <c r="A301" s="8">
        <v>46178.233373807874</v>
      </c>
      <c r="B301" s="2" t="s">
        <v>106</v>
      </c>
      <c r="C301" s="2">
        <v>7.806487855431E12</v>
      </c>
      <c r="D301" s="2" t="s">
        <v>107</v>
      </c>
    </row>
    <row r="302">
      <c r="A302" s="8">
        <v>46178.23479703703</v>
      </c>
      <c r="B302" s="2" t="s">
        <v>106</v>
      </c>
      <c r="C302" s="2">
        <v>7.806487855431E12</v>
      </c>
      <c r="D302" s="2" t="s">
        <v>107</v>
      </c>
    </row>
    <row r="303">
      <c r="A303" s="8">
        <v>46178.238307997686</v>
      </c>
      <c r="B303" s="2" t="s">
        <v>106</v>
      </c>
      <c r="C303" s="2">
        <v>7.806487855431E12</v>
      </c>
      <c r="D303" s="2" t="s">
        <v>107</v>
      </c>
    </row>
    <row r="304">
      <c r="A304" s="8">
        <v>46178.24639890046</v>
      </c>
      <c r="B304" s="2" t="s">
        <v>106</v>
      </c>
      <c r="C304" s="2">
        <v>7.804770812231E12</v>
      </c>
      <c r="D304" s="2" t="s">
        <v>107</v>
      </c>
    </row>
    <row r="305">
      <c r="A305" s="8">
        <v>46178.246860671294</v>
      </c>
      <c r="B305" s="2" t="s">
        <v>106</v>
      </c>
      <c r="C305" s="2">
        <v>7.805808804167E12</v>
      </c>
      <c r="D305" s="2" t="s">
        <v>107</v>
      </c>
    </row>
    <row r="306">
      <c r="A306" s="8">
        <v>46178.24930552083</v>
      </c>
      <c r="B306" s="2" t="s">
        <v>106</v>
      </c>
      <c r="C306" s="2">
        <v>7.804808298823E12</v>
      </c>
      <c r="D306" s="2" t="s">
        <v>107</v>
      </c>
    </row>
    <row r="307">
      <c r="A307" s="8">
        <v>46178.25362539352</v>
      </c>
      <c r="B307" s="2" t="s">
        <v>106</v>
      </c>
      <c r="C307" s="2">
        <v>7.806487855431E12</v>
      </c>
      <c r="D307" s="2" t="s">
        <v>107</v>
      </c>
    </row>
    <row r="308">
      <c r="A308" s="8">
        <v>46178.27451552083</v>
      </c>
      <c r="B308" s="2" t="s">
        <v>106</v>
      </c>
      <c r="C308" s="2">
        <v>7.806487855431E12</v>
      </c>
      <c r="D308" s="2" t="s">
        <v>107</v>
      </c>
    </row>
    <row r="309">
      <c r="A309" s="8">
        <v>46178.31624335649</v>
      </c>
      <c r="B309" s="2" t="s">
        <v>106</v>
      </c>
      <c r="C309" s="2">
        <v>7.806487855431E12</v>
      </c>
      <c r="D309" s="2" t="s">
        <v>107</v>
      </c>
    </row>
    <row r="310">
      <c r="A310" s="8">
        <v>46178.330231458334</v>
      </c>
      <c r="B310" s="2" t="s">
        <v>106</v>
      </c>
      <c r="C310" s="2">
        <v>7.805808804167E12</v>
      </c>
      <c r="D310" s="2" t="s">
        <v>107</v>
      </c>
    </row>
    <row r="311">
      <c r="A311" s="8">
        <v>46178.39962145833</v>
      </c>
      <c r="B311" s="2" t="s">
        <v>106</v>
      </c>
      <c r="C311" s="2">
        <v>7.806487855431E12</v>
      </c>
      <c r="D311" s="2" t="s">
        <v>107</v>
      </c>
    </row>
    <row r="312">
      <c r="A312" s="8">
        <v>46178.53447116898</v>
      </c>
      <c r="B312" s="2" t="s">
        <v>104</v>
      </c>
      <c r="C312" s="2">
        <v>7.808782041415E12</v>
      </c>
      <c r="D312" s="2" t="s">
        <v>105</v>
      </c>
    </row>
    <row r="313">
      <c r="A313" s="8">
        <v>46178.53450721064</v>
      </c>
      <c r="B313" s="2" t="s">
        <v>106</v>
      </c>
      <c r="C313" s="2">
        <v>7.808782041415E12</v>
      </c>
      <c r="D313" s="2" t="s">
        <v>107</v>
      </c>
    </row>
    <row r="314">
      <c r="A314" s="8">
        <v>46178.53524200231</v>
      </c>
      <c r="B314" s="2" t="s">
        <v>106</v>
      </c>
      <c r="C314" s="2">
        <v>7.808782041415E12</v>
      </c>
      <c r="D314" s="2" t="s">
        <v>107</v>
      </c>
    </row>
    <row r="315">
      <c r="A315" s="8">
        <v>46178.53666707176</v>
      </c>
      <c r="B315" s="2" t="s">
        <v>106</v>
      </c>
      <c r="C315" s="2">
        <v>7.808782041415E12</v>
      </c>
      <c r="D315" s="2" t="s">
        <v>107</v>
      </c>
    </row>
    <row r="316">
      <c r="A316" s="8">
        <v>46178.54017197917</v>
      </c>
      <c r="B316" s="2" t="s">
        <v>106</v>
      </c>
      <c r="C316" s="2">
        <v>7.808782041415E12</v>
      </c>
      <c r="D316" s="2" t="s">
        <v>107</v>
      </c>
    </row>
    <row r="317">
      <c r="A317" s="8">
        <v>46178.55549274306</v>
      </c>
      <c r="B317" s="2" t="s">
        <v>106</v>
      </c>
      <c r="C317" s="2">
        <v>7.808782041415E12</v>
      </c>
      <c r="D317" s="2" t="s">
        <v>107</v>
      </c>
    </row>
    <row r="318">
      <c r="A318" s="8">
        <v>46178.57636922454</v>
      </c>
      <c r="B318" s="2" t="s">
        <v>106</v>
      </c>
      <c r="C318" s="2">
        <v>7.808782041415E12</v>
      </c>
      <c r="D318" s="2" t="s">
        <v>107</v>
      </c>
    </row>
    <row r="319">
      <c r="A319" s="8">
        <v>46178.61807722222</v>
      </c>
      <c r="B319" s="2" t="s">
        <v>106</v>
      </c>
      <c r="C319" s="2">
        <v>7.808782041415E12</v>
      </c>
      <c r="D319" s="2" t="s">
        <v>107</v>
      </c>
    </row>
    <row r="320">
      <c r="A320" s="8">
        <v>46178.70145847222</v>
      </c>
      <c r="B320" s="2" t="s">
        <v>106</v>
      </c>
      <c r="C320" s="2">
        <v>7.808782041415E12</v>
      </c>
      <c r="D320" s="2" t="s">
        <v>107</v>
      </c>
    </row>
    <row r="321">
      <c r="A321" s="8">
        <v>46178.973316828706</v>
      </c>
      <c r="B321" s="2" t="s">
        <v>102</v>
      </c>
      <c r="D321" s="2" t="s">
        <v>130</v>
      </c>
    </row>
    <row r="322">
      <c r="A322" s="8">
        <v>46178.9883697801</v>
      </c>
      <c r="B322" s="2" t="s">
        <v>98</v>
      </c>
      <c r="C322" s="2">
        <v>7.809285718343E12</v>
      </c>
      <c r="D322" s="2" t="s">
        <v>131</v>
      </c>
    </row>
    <row r="323">
      <c r="A323" s="8">
        <v>46178.98840671296</v>
      </c>
      <c r="B323" s="2" t="s">
        <v>106</v>
      </c>
      <c r="C323" s="2">
        <v>7.809285718343E12</v>
      </c>
      <c r="D323" s="2" t="s">
        <v>107</v>
      </c>
    </row>
    <row r="324">
      <c r="A324" s="8">
        <v>46178.989136759265</v>
      </c>
      <c r="B324" s="2" t="s">
        <v>106</v>
      </c>
      <c r="C324" s="2">
        <v>7.809285718343E12</v>
      </c>
      <c r="D324" s="2" t="s">
        <v>107</v>
      </c>
    </row>
    <row r="325">
      <c r="A325" s="8">
        <v>46178.990553703705</v>
      </c>
      <c r="B325" s="2" t="s">
        <v>106</v>
      </c>
      <c r="C325" s="2">
        <v>7.809285718343E12</v>
      </c>
      <c r="D325" s="2" t="s">
        <v>107</v>
      </c>
    </row>
    <row r="326">
      <c r="A326" s="8">
        <v>46178.99405075231</v>
      </c>
      <c r="B326" s="2" t="s">
        <v>106</v>
      </c>
      <c r="C326" s="2">
        <v>7.809285718343E12</v>
      </c>
      <c r="D326" s="2" t="s">
        <v>107</v>
      </c>
    </row>
    <row r="327">
      <c r="A327" s="8">
        <v>46179.00936556713</v>
      </c>
      <c r="B327" s="2" t="s">
        <v>106</v>
      </c>
      <c r="C327" s="2">
        <v>7.809285718343E12</v>
      </c>
      <c r="D327" s="2" t="s">
        <v>107</v>
      </c>
    </row>
    <row r="328">
      <c r="A328" s="8">
        <v>46179.03023030092</v>
      </c>
      <c r="B328" s="2" t="s">
        <v>106</v>
      </c>
      <c r="C328" s="2">
        <v>7.809285718343E12</v>
      </c>
      <c r="D328" s="2" t="s">
        <v>107</v>
      </c>
    </row>
    <row r="329">
      <c r="A329" s="8">
        <v>46179.07193527778</v>
      </c>
      <c r="B329" s="2" t="s">
        <v>106</v>
      </c>
      <c r="C329" s="2">
        <v>7.809285718343E12</v>
      </c>
      <c r="D329" s="2" t="s">
        <v>107</v>
      </c>
    </row>
    <row r="330">
      <c r="A330" s="8">
        <v>46179.15532719907</v>
      </c>
      <c r="B330" s="2" t="s">
        <v>106</v>
      </c>
      <c r="C330" s="2">
        <v>7.809285718343E12</v>
      </c>
      <c r="D330" s="2" t="s">
        <v>107</v>
      </c>
    </row>
    <row r="331">
      <c r="A331" s="8">
        <v>46179.20920993056</v>
      </c>
      <c r="B331" s="2" t="s">
        <v>98</v>
      </c>
      <c r="C331" s="2">
        <v>7.810453242183E12</v>
      </c>
      <c r="D331" s="2" t="s">
        <v>132</v>
      </c>
    </row>
    <row r="332">
      <c r="A332" s="8">
        <v>46179.20924752315</v>
      </c>
      <c r="B332" s="2" t="s">
        <v>106</v>
      </c>
      <c r="C332" s="2">
        <v>7.810453242183E12</v>
      </c>
      <c r="D332" s="2" t="s">
        <v>107</v>
      </c>
    </row>
    <row r="333">
      <c r="A333" s="8">
        <v>46179.20997752315</v>
      </c>
      <c r="B333" s="2" t="s">
        <v>106</v>
      </c>
      <c r="C333" s="2">
        <v>7.810453242183E12</v>
      </c>
      <c r="D333" s="2" t="s">
        <v>107</v>
      </c>
    </row>
    <row r="334">
      <c r="A334" s="8">
        <v>46179.21140181713</v>
      </c>
      <c r="B334" s="2" t="s">
        <v>106</v>
      </c>
      <c r="C334" s="2">
        <v>7.810453242183E12</v>
      </c>
      <c r="D334" s="2" t="s">
        <v>107</v>
      </c>
    </row>
    <row r="335">
      <c r="A335" s="8">
        <v>46179.21490579861</v>
      </c>
      <c r="B335" s="2" t="s">
        <v>106</v>
      </c>
      <c r="C335" s="2">
        <v>7.810453242183E12</v>
      </c>
      <c r="D335" s="2" t="s">
        <v>107</v>
      </c>
    </row>
    <row r="336">
      <c r="A336" s="8">
        <v>46179.23022719908</v>
      </c>
      <c r="B336" s="2" t="s">
        <v>106</v>
      </c>
      <c r="C336" s="2">
        <v>7.810453242183E12</v>
      </c>
      <c r="D336" s="2" t="s">
        <v>107</v>
      </c>
    </row>
    <row r="337">
      <c r="A337" s="8">
        <v>46179.251104375</v>
      </c>
      <c r="B337" s="2" t="s">
        <v>106</v>
      </c>
      <c r="C337" s="2">
        <v>7.810453242183E12</v>
      </c>
      <c r="D337" s="2" t="s">
        <v>107</v>
      </c>
    </row>
    <row r="338">
      <c r="A338" s="8">
        <v>46179.263093472226</v>
      </c>
      <c r="B338" s="2" t="s">
        <v>91</v>
      </c>
      <c r="D338" s="2" t="s">
        <v>92</v>
      </c>
    </row>
    <row r="339">
      <c r="A339" s="8">
        <v>46179.266542604164</v>
      </c>
      <c r="B339" s="2" t="s">
        <v>100</v>
      </c>
      <c r="D339" s="2" t="s">
        <v>133</v>
      </c>
    </row>
    <row r="340">
      <c r="A340" s="8">
        <v>46179.29281599537</v>
      </c>
      <c r="B340" s="2" t="s">
        <v>106</v>
      </c>
      <c r="C340" s="2">
        <v>7.810453242183E12</v>
      </c>
      <c r="D340" s="2" t="s">
        <v>107</v>
      </c>
    </row>
    <row r="341">
      <c r="A341" s="8">
        <v>46179.33408458333</v>
      </c>
      <c r="B341" s="2" t="s">
        <v>100</v>
      </c>
      <c r="D341" s="2" t="s">
        <v>134</v>
      </c>
    </row>
    <row r="342">
      <c r="A342" s="8">
        <v>46179.3549132176</v>
      </c>
      <c r="B342" s="2" t="s">
        <v>104</v>
      </c>
      <c r="C342" s="2">
        <v>7.810971992391E12</v>
      </c>
      <c r="D342" s="2" t="s">
        <v>105</v>
      </c>
    </row>
    <row r="343">
      <c r="A343" s="8">
        <v>46179.354950243054</v>
      </c>
      <c r="B343" s="2" t="s">
        <v>106</v>
      </c>
      <c r="C343" s="2">
        <v>7.810971992391E12</v>
      </c>
      <c r="D343" s="2" t="s">
        <v>107</v>
      </c>
    </row>
    <row r="344">
      <c r="A344" s="8">
        <v>46179.35568059028</v>
      </c>
      <c r="B344" s="2" t="s">
        <v>106</v>
      </c>
      <c r="C344" s="2">
        <v>7.810971992391E12</v>
      </c>
      <c r="D344" s="2" t="s">
        <v>107</v>
      </c>
    </row>
    <row r="345">
      <c r="A345" s="8">
        <v>46179.357101331014</v>
      </c>
      <c r="B345" s="2" t="s">
        <v>106</v>
      </c>
      <c r="C345" s="2">
        <v>7.810971992391E12</v>
      </c>
      <c r="D345" s="2" t="s">
        <v>107</v>
      </c>
    </row>
    <row r="346">
      <c r="A346" s="8">
        <v>46179.3606050463</v>
      </c>
      <c r="B346" s="2" t="s">
        <v>106</v>
      </c>
      <c r="C346" s="2">
        <v>7.810971992391E12</v>
      </c>
      <c r="D346" s="2" t="s">
        <v>107</v>
      </c>
    </row>
    <row r="347">
      <c r="A347" s="8">
        <v>46179.37611631944</v>
      </c>
      <c r="B347" s="2" t="s">
        <v>106</v>
      </c>
      <c r="C347" s="2">
        <v>7.810971992391E12</v>
      </c>
      <c r="D347" s="2" t="s">
        <v>107</v>
      </c>
    </row>
    <row r="348">
      <c r="A348" s="8">
        <v>46179.37618222222</v>
      </c>
      <c r="B348" s="2" t="s">
        <v>106</v>
      </c>
      <c r="C348" s="2">
        <v>7.810453242183E12</v>
      </c>
      <c r="D348" s="2" t="s">
        <v>107</v>
      </c>
    </row>
    <row r="349">
      <c r="A349" s="8">
        <v>46179.396829062505</v>
      </c>
      <c r="B349" s="2" t="s">
        <v>106</v>
      </c>
      <c r="C349" s="2">
        <v>7.810971992391E12</v>
      </c>
      <c r="D349" s="2" t="s">
        <v>107</v>
      </c>
    </row>
    <row r="350">
      <c r="A350" s="8">
        <v>46179.43855357639</v>
      </c>
      <c r="B350" s="2" t="s">
        <v>106</v>
      </c>
      <c r="C350" s="2">
        <v>7.810971992391E12</v>
      </c>
      <c r="D350" s="2" t="s">
        <v>107</v>
      </c>
    </row>
    <row r="351">
      <c r="A351" s="8">
        <v>46179.51469891204</v>
      </c>
      <c r="B351" s="2" t="s">
        <v>104</v>
      </c>
      <c r="C351" s="2">
        <v>7.811412296007E12</v>
      </c>
      <c r="D351" s="2" t="s">
        <v>105</v>
      </c>
    </row>
    <row r="352">
      <c r="A352" s="8">
        <v>46179.51473909723</v>
      </c>
      <c r="B352" s="2" t="s">
        <v>106</v>
      </c>
      <c r="C352" s="2">
        <v>7.811412296007E12</v>
      </c>
      <c r="D352" s="2" t="s">
        <v>107</v>
      </c>
    </row>
    <row r="353">
      <c r="A353" s="8">
        <v>46179.51546381944</v>
      </c>
      <c r="B353" s="2" t="s">
        <v>106</v>
      </c>
      <c r="C353" s="2">
        <v>7.811412296007E12</v>
      </c>
      <c r="D353" s="2" t="s">
        <v>107</v>
      </c>
    </row>
    <row r="354">
      <c r="A354" s="8">
        <v>46179.51688866898</v>
      </c>
      <c r="B354" s="2" t="s">
        <v>106</v>
      </c>
      <c r="C354" s="2">
        <v>7.811412296007E12</v>
      </c>
      <c r="D354" s="2" t="s">
        <v>107</v>
      </c>
    </row>
    <row r="355">
      <c r="A355" s="8">
        <v>46179.52039506944</v>
      </c>
      <c r="B355" s="2" t="s">
        <v>106</v>
      </c>
      <c r="C355" s="2">
        <v>7.811412296007E12</v>
      </c>
      <c r="D355" s="2" t="s">
        <v>107</v>
      </c>
    </row>
    <row r="356">
      <c r="A356" s="8">
        <v>46179.52192180556</v>
      </c>
      <c r="B356" s="2" t="s">
        <v>106</v>
      </c>
      <c r="C356" s="2">
        <v>7.810971992391E12</v>
      </c>
      <c r="D356" s="2" t="s">
        <v>107</v>
      </c>
    </row>
    <row r="357">
      <c r="A357" s="8">
        <v>46179.53570792824</v>
      </c>
      <c r="B357" s="2" t="s">
        <v>106</v>
      </c>
      <c r="C357" s="2">
        <v>7.811412296007E12</v>
      </c>
      <c r="D357" s="2" t="s">
        <v>107</v>
      </c>
    </row>
    <row r="358">
      <c r="A358" s="8">
        <v>46179.556607418985</v>
      </c>
      <c r="B358" s="2" t="s">
        <v>106</v>
      </c>
      <c r="C358" s="2">
        <v>7.811412296007E12</v>
      </c>
      <c r="D358" s="2" t="s">
        <v>107</v>
      </c>
    </row>
    <row r="359">
      <c r="A359" s="8">
        <v>46179.598315254625</v>
      </c>
      <c r="B359" s="2" t="s">
        <v>106</v>
      </c>
      <c r="C359" s="2">
        <v>7.811412296007E12</v>
      </c>
      <c r="D359" s="2" t="s">
        <v>107</v>
      </c>
    </row>
    <row r="360">
      <c r="A360" s="8">
        <v>46179.68168980324</v>
      </c>
      <c r="B360" s="2" t="s">
        <v>106</v>
      </c>
      <c r="C360" s="2">
        <v>7.811412296007E12</v>
      </c>
      <c r="D360" s="2" t="s">
        <v>107</v>
      </c>
    </row>
    <row r="361">
      <c r="A361" s="8">
        <v>46179.97337638889</v>
      </c>
      <c r="B361" s="2" t="s">
        <v>102</v>
      </c>
      <c r="D361" s="2" t="s">
        <v>135</v>
      </c>
    </row>
    <row r="362">
      <c r="A362" s="8">
        <v>46180.02826791667</v>
      </c>
      <c r="B362" s="2" t="s">
        <v>98</v>
      </c>
      <c r="C362" s="2">
        <v>7.811991863623E12</v>
      </c>
      <c r="D362" s="2" t="s">
        <v>136</v>
      </c>
    </row>
    <row r="363">
      <c r="A363" s="8">
        <v>46180.028306319444</v>
      </c>
      <c r="B363" s="2" t="s">
        <v>106</v>
      </c>
      <c r="C363" s="2">
        <v>7.811991863623E12</v>
      </c>
      <c r="D363" s="2" t="s">
        <v>107</v>
      </c>
    </row>
    <row r="364">
      <c r="A364" s="8">
        <v>46180.02903203704</v>
      </c>
      <c r="B364" s="2" t="s">
        <v>106</v>
      </c>
      <c r="C364" s="2">
        <v>7.811991863623E12</v>
      </c>
      <c r="D364" s="2" t="s">
        <v>107</v>
      </c>
    </row>
    <row r="365">
      <c r="A365" s="8">
        <v>46180.03044949074</v>
      </c>
      <c r="B365" s="2" t="s">
        <v>106</v>
      </c>
      <c r="C365" s="2">
        <v>7.811991863623E12</v>
      </c>
      <c r="D365" s="2" t="s">
        <v>107</v>
      </c>
    </row>
    <row r="366">
      <c r="A366" s="8">
        <v>46180.03395186343</v>
      </c>
      <c r="B366" s="2" t="s">
        <v>106</v>
      </c>
      <c r="C366" s="2">
        <v>7.811991863623E12</v>
      </c>
      <c r="D366" s="2" t="s">
        <v>107</v>
      </c>
    </row>
    <row r="367">
      <c r="A367" s="8">
        <v>46180.04927613426</v>
      </c>
      <c r="B367" s="2" t="s">
        <v>106</v>
      </c>
      <c r="C367" s="2">
        <v>7.811991863623E12</v>
      </c>
      <c r="D367" s="2" t="s">
        <v>107</v>
      </c>
    </row>
    <row r="368">
      <c r="A368" s="8">
        <v>46180.069849259264</v>
      </c>
      <c r="B368" s="2" t="s">
        <v>104</v>
      </c>
      <c r="C368" s="2">
        <v>7.812105077063E12</v>
      </c>
      <c r="D368" s="2" t="s">
        <v>105</v>
      </c>
    </row>
    <row r="369">
      <c r="A369" s="8">
        <v>46180.06987846065</v>
      </c>
      <c r="B369" s="2" t="s">
        <v>106</v>
      </c>
      <c r="C369" s="2">
        <v>7.812105077063E12</v>
      </c>
      <c r="D369" s="2" t="s">
        <v>107</v>
      </c>
    </row>
    <row r="370">
      <c r="A370" s="8">
        <v>46180.070144074074</v>
      </c>
      <c r="B370" s="2" t="s">
        <v>106</v>
      </c>
      <c r="C370" s="2">
        <v>7.811991863623E12</v>
      </c>
      <c r="D370" s="2" t="s">
        <v>107</v>
      </c>
    </row>
    <row r="371">
      <c r="A371" s="8">
        <v>46180.07061260416</v>
      </c>
      <c r="B371" s="2" t="s">
        <v>106</v>
      </c>
      <c r="C371" s="2">
        <v>7.812105077063E12</v>
      </c>
      <c r="D371" s="2" t="s">
        <v>107</v>
      </c>
    </row>
    <row r="372">
      <c r="A372" s="8">
        <v>46180.07203512732</v>
      </c>
      <c r="B372" s="2" t="s">
        <v>106</v>
      </c>
      <c r="C372" s="2">
        <v>7.812105077063E12</v>
      </c>
      <c r="D372" s="2" t="s">
        <v>107</v>
      </c>
    </row>
    <row r="373">
      <c r="A373" s="8">
        <v>46180.07554297453</v>
      </c>
      <c r="B373" s="2" t="s">
        <v>106</v>
      </c>
      <c r="C373" s="2">
        <v>7.812105077063E12</v>
      </c>
      <c r="D373" s="2" t="s">
        <v>107</v>
      </c>
    </row>
    <row r="374">
      <c r="A374" s="8">
        <v>46180.09085861111</v>
      </c>
      <c r="B374" s="2" t="s">
        <v>106</v>
      </c>
      <c r="C374" s="2">
        <v>7.812105077063E12</v>
      </c>
      <c r="D374" s="2" t="s">
        <v>107</v>
      </c>
    </row>
    <row r="375">
      <c r="A375" s="8">
        <v>46180.11176680555</v>
      </c>
      <c r="B375" s="2" t="s">
        <v>106</v>
      </c>
      <c r="C375" s="2">
        <v>7.812105077063E12</v>
      </c>
      <c r="D375" s="2" t="s">
        <v>107</v>
      </c>
    </row>
    <row r="376">
      <c r="A376" s="8">
        <v>46180.111833055555</v>
      </c>
      <c r="B376" s="2" t="s">
        <v>106</v>
      </c>
      <c r="C376" s="2">
        <v>7.811991863623E12</v>
      </c>
      <c r="D376" s="2" t="s">
        <v>107</v>
      </c>
    </row>
    <row r="377">
      <c r="A377" s="8">
        <v>46180.15350703704</v>
      </c>
      <c r="B377" s="2" t="s">
        <v>106</v>
      </c>
      <c r="C377" s="2">
        <v>7.812105077063E12</v>
      </c>
      <c r="D377" s="2" t="s">
        <v>107</v>
      </c>
    </row>
    <row r="378">
      <c r="A378" s="8">
        <v>46180.19521309028</v>
      </c>
      <c r="B378" s="2" t="s">
        <v>106</v>
      </c>
      <c r="C378" s="2">
        <v>7.811991863623E12</v>
      </c>
      <c r="D378" s="2" t="s">
        <v>107</v>
      </c>
    </row>
    <row r="379">
      <c r="A379" s="8">
        <v>46180.236892071756</v>
      </c>
      <c r="B379" s="2" t="s">
        <v>106</v>
      </c>
      <c r="C379" s="2">
        <v>7.812105077063E12</v>
      </c>
      <c r="D379" s="2" t="s">
        <v>107</v>
      </c>
    </row>
    <row r="380">
      <c r="A380" s="8">
        <v>46180.35390524306</v>
      </c>
      <c r="B380" s="2" t="s">
        <v>104</v>
      </c>
      <c r="C380" s="2">
        <v>7.813022187847E12</v>
      </c>
      <c r="D380" s="2" t="s">
        <v>105</v>
      </c>
    </row>
    <row r="381">
      <c r="A381" s="8">
        <v>46180.353941064815</v>
      </c>
      <c r="B381" s="2" t="s">
        <v>106</v>
      </c>
      <c r="C381" s="2">
        <v>7.813022187847E12</v>
      </c>
      <c r="D381" s="2" t="s">
        <v>107</v>
      </c>
    </row>
    <row r="382">
      <c r="A382" s="8">
        <v>46180.354673634254</v>
      </c>
      <c r="B382" s="2" t="s">
        <v>106</v>
      </c>
      <c r="C382" s="2">
        <v>7.813022187847E12</v>
      </c>
      <c r="D382" s="2" t="s">
        <v>107</v>
      </c>
    </row>
    <row r="383">
      <c r="A383" s="8">
        <v>46180.35609469908</v>
      </c>
      <c r="B383" s="2" t="s">
        <v>106</v>
      </c>
      <c r="C383" s="2">
        <v>7.813022187847E12</v>
      </c>
      <c r="D383" s="2" t="s">
        <v>107</v>
      </c>
    </row>
    <row r="384">
      <c r="A384" s="8">
        <v>46180.359607025464</v>
      </c>
      <c r="B384" s="2" t="s">
        <v>106</v>
      </c>
      <c r="C384" s="2">
        <v>7.813022187847E12</v>
      </c>
      <c r="D384" s="2" t="s">
        <v>107</v>
      </c>
    </row>
    <row r="385">
      <c r="A385" s="8">
        <v>46180.37493046296</v>
      </c>
      <c r="B385" s="2" t="s">
        <v>106</v>
      </c>
      <c r="C385" s="2">
        <v>7.813022187847E12</v>
      </c>
      <c r="D385" s="2" t="s">
        <v>107</v>
      </c>
    </row>
    <row r="386">
      <c r="A386" s="8">
        <v>46180.395802175924</v>
      </c>
      <c r="B386" s="2" t="s">
        <v>106</v>
      </c>
      <c r="C386" s="2">
        <v>7.813022187847E12</v>
      </c>
      <c r="D386" s="2" t="s">
        <v>107</v>
      </c>
    </row>
    <row r="387">
      <c r="A387" s="8">
        <v>46180.40872273148</v>
      </c>
      <c r="B387" s="2" t="s">
        <v>104</v>
      </c>
      <c r="C387" s="2">
        <v>7.813194056007E12</v>
      </c>
      <c r="D387" s="2" t="s">
        <v>105</v>
      </c>
    </row>
    <row r="388">
      <c r="A388" s="8">
        <v>46180.408772800925</v>
      </c>
      <c r="B388" s="2" t="s">
        <v>106</v>
      </c>
      <c r="C388" s="2">
        <v>7.813194056007E12</v>
      </c>
      <c r="D388" s="2" t="s">
        <v>107</v>
      </c>
    </row>
    <row r="389">
      <c r="A389" s="8">
        <v>46180.40950171296</v>
      </c>
      <c r="B389" s="2" t="s">
        <v>106</v>
      </c>
      <c r="C389" s="2">
        <v>7.813194056007E12</v>
      </c>
      <c r="D389" s="2" t="s">
        <v>107</v>
      </c>
    </row>
    <row r="390">
      <c r="A390" s="8">
        <v>46180.41092582176</v>
      </c>
      <c r="B390" s="2" t="s">
        <v>106</v>
      </c>
      <c r="C390" s="2">
        <v>7.813194056007E12</v>
      </c>
      <c r="D390" s="2" t="s">
        <v>107</v>
      </c>
    </row>
    <row r="391">
      <c r="A391" s="8">
        <v>46180.414435231476</v>
      </c>
      <c r="B391" s="2" t="s">
        <v>106</v>
      </c>
      <c r="C391" s="2">
        <v>7.813194056007E12</v>
      </c>
      <c r="D391" s="2" t="s">
        <v>107</v>
      </c>
    </row>
    <row r="392">
      <c r="A392" s="8">
        <v>46180.42974886574</v>
      </c>
      <c r="B392" s="2" t="s">
        <v>106</v>
      </c>
      <c r="C392" s="2">
        <v>7.813194056007E12</v>
      </c>
      <c r="D392" s="2" t="s">
        <v>107</v>
      </c>
    </row>
    <row r="393">
      <c r="A393" s="8">
        <v>46180.43753943287</v>
      </c>
      <c r="B393" s="2" t="s">
        <v>106</v>
      </c>
      <c r="C393" s="2">
        <v>7.813022187847E12</v>
      </c>
      <c r="D393" s="2" t="s">
        <v>107</v>
      </c>
    </row>
    <row r="394">
      <c r="A394" s="8">
        <v>46180.45062112268</v>
      </c>
      <c r="B394" s="2" t="s">
        <v>106</v>
      </c>
      <c r="C394" s="2">
        <v>7.813194056007E12</v>
      </c>
      <c r="D394" s="2" t="s">
        <v>107</v>
      </c>
    </row>
    <row r="395">
      <c r="A395" s="8">
        <v>46180.492338125</v>
      </c>
      <c r="B395" s="2" t="s">
        <v>106</v>
      </c>
      <c r="C395" s="2">
        <v>7.813194056007E12</v>
      </c>
      <c r="D395" s="2" t="s">
        <v>107</v>
      </c>
    </row>
    <row r="396">
      <c r="A396" s="8">
        <v>46180.50636388889</v>
      </c>
      <c r="B396" s="2" t="s">
        <v>104</v>
      </c>
      <c r="C396" s="2">
        <v>7.813508268359E12</v>
      </c>
      <c r="D396" s="2" t="s">
        <v>105</v>
      </c>
    </row>
    <row r="397">
      <c r="A397" s="8">
        <v>46180.50640168981</v>
      </c>
      <c r="B397" s="2" t="s">
        <v>106</v>
      </c>
      <c r="C397" s="2">
        <v>7.813508268359E12</v>
      </c>
      <c r="D397" s="2" t="s">
        <v>107</v>
      </c>
    </row>
    <row r="398">
      <c r="A398" s="8">
        <v>46180.50713626157</v>
      </c>
      <c r="B398" s="2" t="s">
        <v>106</v>
      </c>
      <c r="C398" s="2">
        <v>7.813508268359E12</v>
      </c>
      <c r="D398" s="2" t="s">
        <v>107</v>
      </c>
    </row>
    <row r="399">
      <c r="A399" s="8">
        <v>46180.50855946759</v>
      </c>
      <c r="B399" s="2" t="s">
        <v>106</v>
      </c>
      <c r="C399" s="2">
        <v>7.813508268359E12</v>
      </c>
      <c r="D399" s="2" t="s">
        <v>107</v>
      </c>
    </row>
    <row r="400">
      <c r="A400" s="8">
        <v>46180.51208215278</v>
      </c>
      <c r="B400" s="2" t="s">
        <v>106</v>
      </c>
      <c r="C400" s="2">
        <v>7.813508268359E12</v>
      </c>
      <c r="D400" s="2" t="s">
        <v>107</v>
      </c>
    </row>
    <row r="401">
      <c r="A401" s="8">
        <v>46180.52092217593</v>
      </c>
      <c r="B401" s="2" t="s">
        <v>106</v>
      </c>
      <c r="C401" s="2">
        <v>7.813022187847E12</v>
      </c>
      <c r="D401" s="2" t="s">
        <v>107</v>
      </c>
    </row>
    <row r="402">
      <c r="A402" s="8">
        <v>46180.52741009259</v>
      </c>
      <c r="B402" s="2" t="s">
        <v>106</v>
      </c>
      <c r="C402" s="2">
        <v>7.813508268359E12</v>
      </c>
      <c r="D402" s="2" t="s">
        <v>107</v>
      </c>
    </row>
    <row r="403">
      <c r="A403" s="8">
        <v>46180.54829479167</v>
      </c>
      <c r="B403" s="2" t="s">
        <v>106</v>
      </c>
      <c r="C403" s="2">
        <v>7.813508268359E12</v>
      </c>
      <c r="D403" s="2" t="s">
        <v>107</v>
      </c>
    </row>
    <row r="404">
      <c r="A404" s="8">
        <v>46180.57571923611</v>
      </c>
      <c r="B404" s="2" t="s">
        <v>106</v>
      </c>
      <c r="C404" s="2">
        <v>7.813194056007E12</v>
      </c>
      <c r="D404" s="2" t="s">
        <v>107</v>
      </c>
    </row>
    <row r="405">
      <c r="A405" s="8">
        <v>46180.589990636574</v>
      </c>
      <c r="B405" s="2" t="s">
        <v>106</v>
      </c>
      <c r="C405" s="2">
        <v>7.813508268359E12</v>
      </c>
      <c r="D405" s="2" t="s">
        <v>107</v>
      </c>
    </row>
    <row r="406">
      <c r="A406" s="8">
        <v>46180.673380625</v>
      </c>
      <c r="B406" s="2" t="s">
        <v>106</v>
      </c>
      <c r="C406" s="2">
        <v>7.813508268359E12</v>
      </c>
      <c r="D406" s="2" t="s">
        <v>107</v>
      </c>
    </row>
    <row r="407">
      <c r="A407" s="8">
        <v>46180.973371493055</v>
      </c>
      <c r="B407" s="2" t="s">
        <v>102</v>
      </c>
      <c r="D407" s="2" t="s">
        <v>135</v>
      </c>
    </row>
    <row r="408">
      <c r="A408" s="8">
        <v>46181.018896967595</v>
      </c>
      <c r="B408" s="2" t="s">
        <v>98</v>
      </c>
      <c r="C408" s="2">
        <v>7.814252462407E12</v>
      </c>
      <c r="D408" s="2" t="s">
        <v>137</v>
      </c>
    </row>
    <row r="409">
      <c r="A409" s="8">
        <v>46181.01892873843</v>
      </c>
      <c r="B409" s="2" t="s">
        <v>106</v>
      </c>
      <c r="C409" s="2">
        <v>7.814252462407E12</v>
      </c>
      <c r="D409" s="2" t="s">
        <v>107</v>
      </c>
    </row>
    <row r="410">
      <c r="A410" s="8">
        <v>46181.01965628473</v>
      </c>
      <c r="B410" s="2" t="s">
        <v>106</v>
      </c>
      <c r="C410" s="2">
        <v>7.814252462407E12</v>
      </c>
      <c r="D410" s="2" t="s">
        <v>107</v>
      </c>
    </row>
    <row r="411">
      <c r="A411" s="8">
        <v>46181.021080694445</v>
      </c>
      <c r="B411" s="2" t="s">
        <v>106</v>
      </c>
      <c r="C411" s="2">
        <v>7.814252462407E12</v>
      </c>
      <c r="D411" s="2" t="s">
        <v>107</v>
      </c>
    </row>
    <row r="412">
      <c r="A412" s="8">
        <v>46181.024582314814</v>
      </c>
      <c r="B412" s="2" t="s">
        <v>106</v>
      </c>
      <c r="C412" s="2">
        <v>7.814252462407E12</v>
      </c>
      <c r="D412" s="2" t="s">
        <v>107</v>
      </c>
    </row>
    <row r="413">
      <c r="A413" s="8">
        <v>46181.039899814816</v>
      </c>
      <c r="B413" s="2" t="s">
        <v>106</v>
      </c>
      <c r="C413" s="2">
        <v>7.814252462407E12</v>
      </c>
      <c r="D413" s="2" t="s">
        <v>107</v>
      </c>
    </row>
    <row r="414">
      <c r="A414" s="8">
        <v>46181.06078511574</v>
      </c>
      <c r="B414" s="2" t="s">
        <v>106</v>
      </c>
      <c r="C414" s="2">
        <v>7.814252462407E12</v>
      </c>
      <c r="D414" s="2" t="s">
        <v>107</v>
      </c>
    </row>
    <row r="415">
      <c r="A415" s="8">
        <v>46181.10247694445</v>
      </c>
      <c r="B415" s="2" t="s">
        <v>106</v>
      </c>
      <c r="C415" s="2">
        <v>7.814252462407E12</v>
      </c>
      <c r="D415" s="2" t="s">
        <v>107</v>
      </c>
    </row>
    <row r="416">
      <c r="A416" s="8">
        <v>46181.18586165509</v>
      </c>
      <c r="B416" s="2" t="s">
        <v>106</v>
      </c>
      <c r="C416" s="2">
        <v>7.814252462407E12</v>
      </c>
      <c r="D416" s="2" t="s">
        <v>107</v>
      </c>
    </row>
    <row r="417">
      <c r="A417" s="8">
        <v>46181.18811243055</v>
      </c>
      <c r="B417" s="2" t="s">
        <v>104</v>
      </c>
      <c r="C417" s="2">
        <v>7.814772621639E12</v>
      </c>
      <c r="D417" s="2" t="s">
        <v>105</v>
      </c>
    </row>
    <row r="418">
      <c r="A418" s="8">
        <v>46181.18814373843</v>
      </c>
      <c r="B418" s="2" t="s">
        <v>106</v>
      </c>
      <c r="C418" s="2">
        <v>7.814772621639E12</v>
      </c>
      <c r="D418" s="2" t="s">
        <v>107</v>
      </c>
    </row>
    <row r="419">
      <c r="A419" s="8">
        <v>46181.18888592593</v>
      </c>
      <c r="B419" s="2" t="s">
        <v>106</v>
      </c>
      <c r="C419" s="2">
        <v>7.814772621639E12</v>
      </c>
      <c r="D419" s="2" t="s">
        <v>107</v>
      </c>
    </row>
    <row r="420">
      <c r="A420" s="8">
        <v>46181.190311666665</v>
      </c>
      <c r="B420" s="2" t="s">
        <v>106</v>
      </c>
      <c r="C420" s="2">
        <v>7.814772621639E12</v>
      </c>
      <c r="D420" s="2" t="s">
        <v>107</v>
      </c>
    </row>
    <row r="421">
      <c r="A421" s="8">
        <v>46181.19382119213</v>
      </c>
      <c r="B421" s="2" t="s">
        <v>106</v>
      </c>
      <c r="C421" s="2">
        <v>7.814772621639E12</v>
      </c>
      <c r="D421" s="2" t="s">
        <v>107</v>
      </c>
    </row>
    <row r="422">
      <c r="A422" s="8">
        <v>46181.2091262037</v>
      </c>
      <c r="B422" s="2" t="s">
        <v>106</v>
      </c>
      <c r="C422" s="2">
        <v>7.814772621639E12</v>
      </c>
      <c r="D422" s="2" t="s">
        <v>107</v>
      </c>
    </row>
    <row r="423">
      <c r="A423" s="8">
        <v>46181.23000467593</v>
      </c>
      <c r="B423" s="2" t="s">
        <v>106</v>
      </c>
      <c r="C423" s="2">
        <v>7.814772621639E12</v>
      </c>
      <c r="D423" s="2" t="s">
        <v>107</v>
      </c>
    </row>
    <row r="424">
      <c r="A424" s="8">
        <v>46181.247446875</v>
      </c>
      <c r="B424" s="2" t="s">
        <v>98</v>
      </c>
      <c r="C424" s="2">
        <v>7.814965526855E12</v>
      </c>
      <c r="D424" s="2" t="s">
        <v>138</v>
      </c>
    </row>
    <row r="425">
      <c r="A425" s="8">
        <v>46181.24749956018</v>
      </c>
      <c r="B425" s="2" t="s">
        <v>106</v>
      </c>
      <c r="C425" s="2">
        <v>7.814965526855E12</v>
      </c>
      <c r="D425" s="2" t="s">
        <v>107</v>
      </c>
    </row>
    <row r="426">
      <c r="A426" s="8">
        <v>46181.24822630787</v>
      </c>
      <c r="B426" s="2" t="s">
        <v>106</v>
      </c>
      <c r="C426" s="2">
        <v>7.814965526855E12</v>
      </c>
      <c r="D426" s="2" t="s">
        <v>107</v>
      </c>
    </row>
    <row r="427">
      <c r="A427" s="8">
        <v>46181.24965819444</v>
      </c>
      <c r="B427" s="2" t="s">
        <v>106</v>
      </c>
      <c r="C427" s="2">
        <v>7.814965526855E12</v>
      </c>
      <c r="D427" s="2" t="s">
        <v>107</v>
      </c>
    </row>
    <row r="428">
      <c r="A428" s="8">
        <v>46181.25317226852</v>
      </c>
      <c r="B428" s="2" t="s">
        <v>106</v>
      </c>
      <c r="C428" s="2">
        <v>7.814965526855E12</v>
      </c>
      <c r="D428" s="2" t="s">
        <v>107</v>
      </c>
    </row>
    <row r="429">
      <c r="A429" s="8">
        <v>46181.268481875</v>
      </c>
      <c r="B429" s="2" t="s">
        <v>106</v>
      </c>
      <c r="C429" s="2">
        <v>7.814965526855E12</v>
      </c>
      <c r="D429" s="2" t="s">
        <v>107</v>
      </c>
    </row>
    <row r="430">
      <c r="A430" s="8">
        <v>46181.271709513894</v>
      </c>
      <c r="B430" s="2" t="s">
        <v>106</v>
      </c>
      <c r="C430" s="2">
        <v>7.814772621639E12</v>
      </c>
      <c r="D430" s="2" t="s">
        <v>107</v>
      </c>
    </row>
    <row r="431">
      <c r="A431" s="8">
        <v>46181.289427905096</v>
      </c>
      <c r="B431" s="2" t="s">
        <v>106</v>
      </c>
      <c r="C431" s="2">
        <v>7.814965526855E12</v>
      </c>
      <c r="D431" s="2" t="s">
        <v>107</v>
      </c>
    </row>
    <row r="432">
      <c r="A432" s="8">
        <v>46181.33113900463</v>
      </c>
      <c r="B432" s="2" t="s">
        <v>106</v>
      </c>
      <c r="C432" s="2">
        <v>7.814965526855E12</v>
      </c>
      <c r="D432" s="2" t="s">
        <v>107</v>
      </c>
    </row>
    <row r="433">
      <c r="A433" s="8">
        <v>46181.34609690972</v>
      </c>
      <c r="B433" s="2" t="s">
        <v>104</v>
      </c>
      <c r="C433" s="2">
        <v>7.815338459463E12</v>
      </c>
      <c r="D433" s="2" t="s">
        <v>105</v>
      </c>
    </row>
    <row r="434">
      <c r="A434" s="8">
        <v>46181.34613452546</v>
      </c>
      <c r="B434" s="2" t="s">
        <v>106</v>
      </c>
      <c r="C434" s="2">
        <v>7.815338459463E12</v>
      </c>
      <c r="D434" s="2" t="s">
        <v>107</v>
      </c>
    </row>
    <row r="435">
      <c r="A435" s="8">
        <v>46181.34686140047</v>
      </c>
      <c r="B435" s="2" t="s">
        <v>106</v>
      </c>
      <c r="C435" s="2">
        <v>7.815338459463E12</v>
      </c>
      <c r="D435" s="2" t="s">
        <v>107</v>
      </c>
    </row>
    <row r="436">
      <c r="A436" s="8">
        <v>46181.34828273148</v>
      </c>
      <c r="B436" s="2" t="s">
        <v>106</v>
      </c>
      <c r="C436" s="2">
        <v>7.815338459463E12</v>
      </c>
      <c r="D436" s="2" t="s">
        <v>107</v>
      </c>
    </row>
    <row r="437">
      <c r="A437" s="8">
        <v>46181.351779108794</v>
      </c>
      <c r="B437" s="2" t="s">
        <v>106</v>
      </c>
      <c r="C437" s="2">
        <v>7.815338459463E12</v>
      </c>
      <c r="D437" s="2" t="s">
        <v>107</v>
      </c>
    </row>
    <row r="438">
      <c r="A438" s="8">
        <v>46181.355089930556</v>
      </c>
      <c r="B438" s="2" t="s">
        <v>106</v>
      </c>
      <c r="C438" s="2">
        <v>7.814772621639E12</v>
      </c>
      <c r="D438" s="2" t="s">
        <v>107</v>
      </c>
    </row>
    <row r="439">
      <c r="A439" s="8">
        <v>46181.36708460648</v>
      </c>
      <c r="B439" s="2" t="s">
        <v>106</v>
      </c>
      <c r="C439" s="2">
        <v>7.815338459463E12</v>
      </c>
      <c r="D439" s="2" t="s">
        <v>107</v>
      </c>
    </row>
    <row r="440">
      <c r="A440" s="8">
        <v>46181.387957071754</v>
      </c>
      <c r="B440" s="2" t="s">
        <v>106</v>
      </c>
      <c r="C440" s="2">
        <v>7.815338459463E12</v>
      </c>
      <c r="D440" s="2" t="s">
        <v>107</v>
      </c>
    </row>
    <row r="441">
      <c r="A441" s="8">
        <v>46181.414511828705</v>
      </c>
      <c r="B441" s="2" t="s">
        <v>106</v>
      </c>
      <c r="C441" s="2">
        <v>7.814965526855E12</v>
      </c>
      <c r="D441" s="2" t="s">
        <v>107</v>
      </c>
    </row>
    <row r="442">
      <c r="A442" s="8">
        <v>46181.422948946754</v>
      </c>
      <c r="B442" s="2" t="s">
        <v>91</v>
      </c>
      <c r="D442" s="2" t="s">
        <v>139</v>
      </c>
    </row>
    <row r="443">
      <c r="A443" s="8">
        <v>46181.42968164352</v>
      </c>
      <c r="B443" s="2" t="s">
        <v>106</v>
      </c>
      <c r="C443" s="2">
        <v>7.815338459463E12</v>
      </c>
      <c r="D443" s="2" t="s">
        <v>107</v>
      </c>
    </row>
    <row r="444">
      <c r="A444" s="8">
        <v>46181.507033773145</v>
      </c>
      <c r="B444" s="2" t="s">
        <v>104</v>
      </c>
      <c r="C444" s="2">
        <v>7.816028324167E12</v>
      </c>
      <c r="D444" s="2" t="s">
        <v>105</v>
      </c>
    </row>
    <row r="445">
      <c r="A445" s="8">
        <v>46181.50706912037</v>
      </c>
      <c r="B445" s="2" t="s">
        <v>106</v>
      </c>
      <c r="C445" s="2">
        <v>7.816028324167E12</v>
      </c>
      <c r="D445" s="2" t="s">
        <v>107</v>
      </c>
    </row>
    <row r="446">
      <c r="A446" s="8">
        <v>46181.50779565972</v>
      </c>
      <c r="B446" s="2" t="s">
        <v>106</v>
      </c>
      <c r="C446" s="2">
        <v>7.816028324167E12</v>
      </c>
      <c r="D446" s="2" t="s">
        <v>107</v>
      </c>
    </row>
    <row r="447">
      <c r="A447" s="8">
        <v>46181.50921711806</v>
      </c>
      <c r="B447" s="2" t="s">
        <v>106</v>
      </c>
      <c r="C447" s="2">
        <v>7.816028324167E12</v>
      </c>
      <c r="D447" s="2" t="s">
        <v>107</v>
      </c>
    </row>
    <row r="448">
      <c r="A448" s="8">
        <v>46181.512718576385</v>
      </c>
      <c r="B448" s="2" t="s">
        <v>106</v>
      </c>
      <c r="C448" s="2">
        <v>7.816028324167E12</v>
      </c>
      <c r="D448" s="2" t="s">
        <v>107</v>
      </c>
    </row>
    <row r="449">
      <c r="A449" s="8">
        <v>46181.51305008102</v>
      </c>
      <c r="B449" s="2" t="s">
        <v>106</v>
      </c>
      <c r="C449" s="2">
        <v>7.815338459463E12</v>
      </c>
      <c r="D449" s="2" t="s">
        <v>107</v>
      </c>
    </row>
    <row r="450">
      <c r="A450" s="8">
        <v>46181.52805267361</v>
      </c>
      <c r="B450" s="2" t="s">
        <v>106</v>
      </c>
      <c r="C450" s="2">
        <v>7.816028324167E12</v>
      </c>
      <c r="D450" s="2" t="s">
        <v>107</v>
      </c>
    </row>
    <row r="451">
      <c r="A451" s="8">
        <v>46181.53566681713</v>
      </c>
      <c r="B451" s="2" t="s">
        <v>91</v>
      </c>
      <c r="D451" s="2" t="s">
        <v>139</v>
      </c>
    </row>
    <row r="452">
      <c r="A452" s="8">
        <v>46181.53786186343</v>
      </c>
      <c r="B452" s="2" t="s">
        <v>93</v>
      </c>
      <c r="D452" s="2" t="s">
        <v>140</v>
      </c>
    </row>
    <row r="453">
      <c r="A453" s="8">
        <v>46181.54894768518</v>
      </c>
      <c r="B453" s="2" t="s">
        <v>98</v>
      </c>
      <c r="C453" s="2">
        <v>7.816168046919E12</v>
      </c>
      <c r="D453" s="2" t="s">
        <v>141</v>
      </c>
    </row>
    <row r="454">
      <c r="A454" s="8">
        <v>46181.5489528125</v>
      </c>
      <c r="B454" s="2" t="s">
        <v>106</v>
      </c>
      <c r="C454" s="2">
        <v>7.816028324167E12</v>
      </c>
      <c r="D454" s="2" t="s">
        <v>107</v>
      </c>
    </row>
    <row r="455">
      <c r="A455" s="8">
        <v>46181.54897534722</v>
      </c>
      <c r="B455" s="2" t="s">
        <v>106</v>
      </c>
      <c r="C455" s="2">
        <v>7.816168046919E12</v>
      </c>
      <c r="D455" s="2" t="s">
        <v>107</v>
      </c>
    </row>
    <row r="456">
      <c r="A456" s="8">
        <v>46181.54918361111</v>
      </c>
      <c r="B456" s="2" t="s">
        <v>106</v>
      </c>
      <c r="C456" s="2">
        <v>7.816168046919E12</v>
      </c>
      <c r="D456" s="2" t="s">
        <v>107</v>
      </c>
    </row>
    <row r="457">
      <c r="A457" s="8">
        <v>46181.54970296296</v>
      </c>
      <c r="B457" s="2" t="s">
        <v>106</v>
      </c>
      <c r="C457" s="2">
        <v>7.816168046919E12</v>
      </c>
      <c r="D457" s="2" t="s">
        <v>107</v>
      </c>
    </row>
    <row r="458">
      <c r="A458" s="8">
        <v>46181.54991717593</v>
      </c>
      <c r="B458" s="2" t="s">
        <v>106</v>
      </c>
      <c r="C458" s="2">
        <v>7.816168046919E12</v>
      </c>
      <c r="D458" s="2" t="s">
        <v>107</v>
      </c>
    </row>
    <row r="459">
      <c r="A459" s="8">
        <v>46181.55112826389</v>
      </c>
      <c r="B459" s="2" t="s">
        <v>106</v>
      </c>
      <c r="C459" s="2">
        <v>7.816168046919E12</v>
      </c>
      <c r="D459" s="2" t="s">
        <v>107</v>
      </c>
    </row>
    <row r="460">
      <c r="A460" s="8">
        <v>46181.55134096065</v>
      </c>
      <c r="B460" s="2" t="s">
        <v>106</v>
      </c>
      <c r="C460" s="2">
        <v>7.816168046919E12</v>
      </c>
      <c r="D460" s="2" t="s">
        <v>107</v>
      </c>
    </row>
    <row r="461">
      <c r="A461" s="8">
        <v>46181.55463914352</v>
      </c>
      <c r="B461" s="2" t="s">
        <v>106</v>
      </c>
      <c r="C461" s="2">
        <v>7.816168046919E12</v>
      </c>
      <c r="D461" s="2" t="s">
        <v>107</v>
      </c>
    </row>
    <row r="462">
      <c r="A462" s="8">
        <v>46181.5548466551</v>
      </c>
      <c r="B462" s="2" t="s">
        <v>106</v>
      </c>
      <c r="C462" s="2">
        <v>7.816168046919E12</v>
      </c>
      <c r="D462" s="2" t="s">
        <v>107</v>
      </c>
    </row>
    <row r="463">
      <c r="A463" s="8">
        <v>46181.56994847222</v>
      </c>
      <c r="B463" s="2" t="s">
        <v>106</v>
      </c>
      <c r="C463" s="2">
        <v>7.816168046919E12</v>
      </c>
      <c r="D463" s="2" t="s">
        <v>107</v>
      </c>
    </row>
    <row r="464">
      <c r="A464" s="8">
        <v>46181.57015506944</v>
      </c>
      <c r="B464" s="2" t="s">
        <v>106</v>
      </c>
      <c r="C464" s="2">
        <v>7.816168046919E12</v>
      </c>
      <c r="D464" s="2" t="s">
        <v>107</v>
      </c>
    </row>
    <row r="465">
      <c r="A465" s="8">
        <v>46181.590652812505</v>
      </c>
      <c r="B465" s="2" t="s">
        <v>106</v>
      </c>
      <c r="C465" s="2">
        <v>7.816028324167E12</v>
      </c>
      <c r="D465" s="2" t="s">
        <v>107</v>
      </c>
    </row>
    <row r="466">
      <c r="A466" s="8">
        <v>46181.59081451389</v>
      </c>
      <c r="B466" s="2" t="s">
        <v>106</v>
      </c>
      <c r="C466" s="2">
        <v>7.816168046919E12</v>
      </c>
      <c r="D466" s="2" t="s">
        <v>107</v>
      </c>
    </row>
    <row r="467">
      <c r="A467" s="8">
        <v>46181.59101549769</v>
      </c>
      <c r="B467" s="2" t="s">
        <v>106</v>
      </c>
      <c r="C467" s="2">
        <v>7.816168046919E12</v>
      </c>
      <c r="D467" s="2" t="s">
        <v>107</v>
      </c>
    </row>
    <row r="468">
      <c r="A468" s="8">
        <v>46181.62509318287</v>
      </c>
      <c r="B468" s="2" t="s">
        <v>98</v>
      </c>
      <c r="C468" s="2">
        <v>7.816360395079E12</v>
      </c>
      <c r="D468" s="2" t="s">
        <v>142</v>
      </c>
    </row>
    <row r="469">
      <c r="A469" s="8">
        <v>46181.625143854166</v>
      </c>
      <c r="B469" s="2" t="s">
        <v>106</v>
      </c>
      <c r="C469" s="2">
        <v>7.816360395079E12</v>
      </c>
      <c r="D469" s="2" t="s">
        <v>107</v>
      </c>
    </row>
    <row r="470">
      <c r="A470" s="8">
        <v>46181.62587650463</v>
      </c>
      <c r="B470" s="2" t="s">
        <v>106</v>
      </c>
      <c r="C470" s="2">
        <v>7.816360395079E12</v>
      </c>
      <c r="D470" s="2" t="s">
        <v>107</v>
      </c>
    </row>
    <row r="471">
      <c r="A471" s="8">
        <v>46181.627298287036</v>
      </c>
      <c r="B471" s="2" t="s">
        <v>106</v>
      </c>
      <c r="C471" s="2">
        <v>7.816360395079E12</v>
      </c>
      <c r="D471" s="2" t="s">
        <v>107</v>
      </c>
    </row>
    <row r="472">
      <c r="A472" s="8">
        <v>46181.630812083335</v>
      </c>
      <c r="B472" s="2" t="s">
        <v>106</v>
      </c>
      <c r="C472" s="2">
        <v>7.816360395079E12</v>
      </c>
      <c r="D472" s="2" t="s">
        <v>107</v>
      </c>
    </row>
    <row r="473">
      <c r="A473" s="8">
        <v>46181.63251524305</v>
      </c>
      <c r="B473" s="2" t="s">
        <v>106</v>
      </c>
      <c r="C473" s="2">
        <v>7.816168046919E12</v>
      </c>
      <c r="D473" s="2" t="s">
        <v>107</v>
      </c>
    </row>
    <row r="474">
      <c r="A474" s="8">
        <v>46181.63271261574</v>
      </c>
      <c r="B474" s="2" t="s">
        <v>106</v>
      </c>
      <c r="C474" s="2">
        <v>7.816168046919E12</v>
      </c>
      <c r="D474" s="2" t="s">
        <v>107</v>
      </c>
    </row>
    <row r="475">
      <c r="A475" s="8">
        <v>46181.64613736111</v>
      </c>
      <c r="B475" s="2" t="s">
        <v>106</v>
      </c>
      <c r="C475" s="2">
        <v>7.816360395079E12</v>
      </c>
      <c r="D475" s="2" t="s">
        <v>107</v>
      </c>
    </row>
    <row r="476">
      <c r="A476" s="8">
        <v>46181.667003888884</v>
      </c>
      <c r="B476" s="2" t="s">
        <v>106</v>
      </c>
      <c r="C476" s="2">
        <v>7.816360395079E12</v>
      </c>
      <c r="D476" s="2" t="s">
        <v>107</v>
      </c>
    </row>
    <row r="477">
      <c r="A477" s="8">
        <v>46181.674017418976</v>
      </c>
      <c r="B477" s="2" t="s">
        <v>106</v>
      </c>
      <c r="C477" s="2">
        <v>7.816028324167E12</v>
      </c>
      <c r="D477" s="2" t="s">
        <v>107</v>
      </c>
    </row>
    <row r="478">
      <c r="A478" s="8">
        <v>46181.67557827546</v>
      </c>
      <c r="B478" s="2" t="s">
        <v>143</v>
      </c>
      <c r="D478" s="2" t="s">
        <v>144</v>
      </c>
    </row>
    <row r="479">
      <c r="A479" s="8">
        <v>46181.70871034722</v>
      </c>
      <c r="B479" s="2" t="s">
        <v>106</v>
      </c>
      <c r="C479" s="2">
        <v>7.816360395079E12</v>
      </c>
      <c r="D479" s="2" t="s">
        <v>107</v>
      </c>
    </row>
    <row r="480">
      <c r="A480" s="8">
        <v>46181.71588854167</v>
      </c>
      <c r="B480" s="2" t="s">
        <v>106</v>
      </c>
      <c r="C480" s="2">
        <v>7.816168046919E12</v>
      </c>
      <c r="D480" s="2" t="s">
        <v>107</v>
      </c>
    </row>
    <row r="481">
      <c r="A481" s="8">
        <v>46181.71608261574</v>
      </c>
      <c r="B481" s="2" t="s">
        <v>106</v>
      </c>
      <c r="C481" s="2">
        <v>7.816168046919E12</v>
      </c>
      <c r="D481" s="2" t="s">
        <v>107</v>
      </c>
    </row>
    <row r="482">
      <c r="A482" s="8">
        <v>46181.792080625004</v>
      </c>
      <c r="B482" s="2" t="s">
        <v>106</v>
      </c>
      <c r="C482" s="2">
        <v>7.816360395079E12</v>
      </c>
      <c r="D482" s="2" t="s">
        <v>107</v>
      </c>
    </row>
    <row r="483">
      <c r="A483" s="8">
        <v>46190.63493840278</v>
      </c>
      <c r="B483" s="2" t="s">
        <v>145</v>
      </c>
      <c r="D483" s="2" t="s">
        <v>146</v>
      </c>
    </row>
    <row r="484">
      <c r="A484" s="8">
        <v>46190.675377141204</v>
      </c>
      <c r="B484" s="2" t="s">
        <v>145</v>
      </c>
      <c r="D484" s="2" t="s">
        <v>146</v>
      </c>
    </row>
    <row r="485">
      <c r="A485" s="8">
        <v>46192.327318298616</v>
      </c>
      <c r="B485" s="2" t="s">
        <v>145</v>
      </c>
      <c r="D485" s="2" t="s">
        <v>146</v>
      </c>
    </row>
    <row r="486">
      <c r="A486" s="8">
        <v>46192.36673369213</v>
      </c>
      <c r="B486" s="2" t="s">
        <v>145</v>
      </c>
      <c r="D486" s="2" t="s">
        <v>146</v>
      </c>
    </row>
    <row r="487">
      <c r="A487" s="8">
        <v>46192.3822418287</v>
      </c>
      <c r="B487" s="2" t="s">
        <v>145</v>
      </c>
      <c r="D487" s="2" t="s">
        <v>146</v>
      </c>
    </row>
    <row r="488">
      <c r="A488" s="8">
        <v>46192.39034626157</v>
      </c>
      <c r="B488" s="2" t="s">
        <v>147</v>
      </c>
      <c r="D488" s="2" t="s">
        <v>148</v>
      </c>
    </row>
    <row r="489">
      <c r="A489" s="8">
        <v>46192.390610358794</v>
      </c>
      <c r="B489" s="2" t="s">
        <v>147</v>
      </c>
      <c r="D489" s="2" t="s">
        <v>148</v>
      </c>
    </row>
    <row r="490">
      <c r="A490" s="8">
        <v>46192.39064774306</v>
      </c>
      <c r="B490" s="2" t="s">
        <v>149</v>
      </c>
      <c r="D490" s="2" t="s">
        <v>150</v>
      </c>
    </row>
    <row r="491">
      <c r="A491" s="8">
        <v>46192.39100023148</v>
      </c>
      <c r="B491" s="2" t="s">
        <v>149</v>
      </c>
      <c r="D491" s="2" t="s">
        <v>150</v>
      </c>
    </row>
    <row r="492">
      <c r="A492" s="8">
        <v>46197.64440746528</v>
      </c>
      <c r="B492" s="2" t="s">
        <v>145</v>
      </c>
      <c r="D492" s="2" t="s">
        <v>146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3" t="s">
        <v>151</v>
      </c>
      <c r="B1" s="3" t="s">
        <v>152</v>
      </c>
      <c r="C1" s="3" t="s">
        <v>32</v>
      </c>
      <c r="D1" s="3" t="s">
        <v>153</v>
      </c>
      <c r="E1" s="3" t="s">
        <v>154</v>
      </c>
      <c r="F1" s="3" t="s">
        <v>155</v>
      </c>
      <c r="G1" s="3" t="s">
        <v>156</v>
      </c>
      <c r="H1" s="3" t="s">
        <v>157</v>
      </c>
      <c r="I1" s="3" t="s">
        <v>158</v>
      </c>
      <c r="J1" s="3" t="s">
        <v>159</v>
      </c>
      <c r="K1" s="3" t="s">
        <v>160</v>
      </c>
    </row>
    <row r="2">
      <c r="A2" s="9">
        <v>46189.14068287037</v>
      </c>
      <c r="B2" s="10">
        <v>46189.0</v>
      </c>
      <c r="C2" s="2" t="s">
        <v>161</v>
      </c>
      <c r="D2" s="2" t="s">
        <v>162</v>
      </c>
      <c r="E2" s="2" t="s">
        <v>163</v>
      </c>
      <c r="F2" s="4">
        <v>3.0</v>
      </c>
      <c r="G2" s="4">
        <v>8.0</v>
      </c>
      <c r="H2" s="4">
        <v>-5.0</v>
      </c>
      <c r="I2" s="2" t="s">
        <v>164</v>
      </c>
      <c r="J2" s="2" t="s">
        <v>165</v>
      </c>
      <c r="K2" s="2" t="s">
        <v>166</v>
      </c>
    </row>
    <row r="3">
      <c r="A3" s="9">
        <v>46189.14068287037</v>
      </c>
      <c r="B3" s="10">
        <v>46189.0</v>
      </c>
      <c r="C3" s="2" t="s">
        <v>167</v>
      </c>
      <c r="D3" s="2" t="s">
        <v>162</v>
      </c>
      <c r="E3" s="2" t="s">
        <v>168</v>
      </c>
      <c r="F3" s="4">
        <v>8.0</v>
      </c>
      <c r="G3" s="4">
        <v>6.0</v>
      </c>
      <c r="H3" s="4">
        <v>2.0</v>
      </c>
      <c r="I3" s="2" t="s">
        <v>164</v>
      </c>
      <c r="J3" s="2" t="s">
        <v>169</v>
      </c>
      <c r="K3" s="2" t="s">
        <v>166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hidden="1" min="3" max="3" width="12.63"/>
    <col hidden="1" min="11" max="11" width="12.63"/>
  </cols>
  <sheetData>
    <row r="1">
      <c r="A1" s="11" t="s">
        <v>170</v>
      </c>
      <c r="B1" s="11" t="s">
        <v>171</v>
      </c>
      <c r="C1" s="11" t="s">
        <v>172</v>
      </c>
      <c r="D1" s="11" t="s">
        <v>173</v>
      </c>
      <c r="E1" s="11" t="s">
        <v>174</v>
      </c>
      <c r="F1" s="11" t="s">
        <v>175</v>
      </c>
      <c r="G1" s="11" t="s">
        <v>176</v>
      </c>
      <c r="H1" s="11" t="s">
        <v>177</v>
      </c>
      <c r="I1" s="11" t="s">
        <v>178</v>
      </c>
      <c r="J1" s="11" t="s">
        <v>21</v>
      </c>
      <c r="K1" s="11" t="s">
        <v>179</v>
      </c>
    </row>
    <row r="2">
      <c r="A2" s="2" t="s">
        <v>162</v>
      </c>
      <c r="B2" s="2" t="s">
        <v>180</v>
      </c>
      <c r="C2" s="2" t="s">
        <v>181</v>
      </c>
      <c r="D2" s="12">
        <v>8.0</v>
      </c>
      <c r="E2" s="13">
        <v>8.0</v>
      </c>
      <c r="F2" s="13" t="s">
        <v>182</v>
      </c>
      <c r="G2" s="14"/>
      <c r="H2" s="6" t="str">
        <f t="shared" ref="H2:H110" si="1">IF(G2="","",G2-D2)</f>
        <v/>
      </c>
      <c r="I2" s="6" t="str">
        <f t="shared" ref="I2:I110" si="2">IF(G2="","Non ancora contato",IF(G2-D2=0,"OK",IF(G2-D2&lt;0,IF(ABS(G2-D2)&lt;3,"Rettifica -"&amp;ABS(G2-D2)&amp;" (GIFT_OFFLINE)","DA VERIFICARE: ammanco "&amp;ABS(G2-D2)),"DA VERIFICARE: surplus +"&amp;(G2-D2))))</f>
        <v>Non ancora contato</v>
      </c>
      <c r="K2" s="10"/>
    </row>
    <row r="3">
      <c r="A3" s="2" t="s">
        <v>162</v>
      </c>
      <c r="B3" s="2" t="s">
        <v>163</v>
      </c>
      <c r="C3" s="2" t="s">
        <v>161</v>
      </c>
      <c r="D3" s="12">
        <v>8.0</v>
      </c>
      <c r="E3" s="13">
        <v>8.0</v>
      </c>
      <c r="F3" s="13" t="s">
        <v>182</v>
      </c>
      <c r="G3" s="14"/>
      <c r="H3" s="6" t="str">
        <f t="shared" si="1"/>
        <v/>
      </c>
      <c r="I3" s="6" t="str">
        <f t="shared" si="2"/>
        <v>Non ancora contato</v>
      </c>
      <c r="K3" s="10"/>
    </row>
    <row r="4">
      <c r="A4" s="2" t="s">
        <v>162</v>
      </c>
      <c r="B4" s="2" t="s">
        <v>168</v>
      </c>
      <c r="C4" s="2" t="s">
        <v>167</v>
      </c>
      <c r="D4" s="12">
        <v>6.0</v>
      </c>
      <c r="E4" s="13">
        <v>6.0</v>
      </c>
      <c r="F4" s="13" t="s">
        <v>182</v>
      </c>
      <c r="G4" s="14"/>
      <c r="H4" s="6" t="str">
        <f t="shared" si="1"/>
        <v/>
      </c>
      <c r="I4" s="6" t="str">
        <f t="shared" si="2"/>
        <v>Non ancora contato</v>
      </c>
      <c r="K4" s="10"/>
    </row>
    <row r="5">
      <c r="A5" s="2" t="s">
        <v>162</v>
      </c>
      <c r="B5" s="2" t="s">
        <v>183</v>
      </c>
      <c r="C5" s="2" t="s">
        <v>184</v>
      </c>
      <c r="D5" s="15">
        <v>0.0</v>
      </c>
      <c r="E5" s="13">
        <v>0.0</v>
      </c>
      <c r="F5" s="13" t="s">
        <v>182</v>
      </c>
      <c r="G5" s="16"/>
      <c r="H5" s="6" t="str">
        <f t="shared" si="1"/>
        <v/>
      </c>
      <c r="I5" s="6" t="str">
        <f t="shared" si="2"/>
        <v>Non ancora contato</v>
      </c>
    </row>
    <row r="6">
      <c r="A6" s="2" t="s">
        <v>162</v>
      </c>
      <c r="B6" s="2" t="s">
        <v>185</v>
      </c>
      <c r="C6" s="2" t="s">
        <v>186</v>
      </c>
      <c r="D6" s="15">
        <v>1.0</v>
      </c>
      <c r="E6" s="13">
        <v>0.0</v>
      </c>
      <c r="F6" s="13" t="s">
        <v>187</v>
      </c>
      <c r="G6" s="16"/>
      <c r="H6" s="6" t="str">
        <f t="shared" si="1"/>
        <v/>
      </c>
      <c r="I6" s="6" t="str">
        <f t="shared" si="2"/>
        <v>Non ancora contato</v>
      </c>
    </row>
    <row r="7">
      <c r="A7" s="2" t="s">
        <v>162</v>
      </c>
      <c r="B7" s="2" t="s">
        <v>188</v>
      </c>
      <c r="C7" s="2" t="s">
        <v>189</v>
      </c>
      <c r="D7" s="15">
        <v>1.0</v>
      </c>
      <c r="E7" s="13">
        <v>1.0</v>
      </c>
      <c r="F7" s="13" t="s">
        <v>182</v>
      </c>
      <c r="G7" s="16"/>
      <c r="H7" s="6" t="str">
        <f t="shared" si="1"/>
        <v/>
      </c>
      <c r="I7" s="6" t="str">
        <f t="shared" si="2"/>
        <v>Non ancora contato</v>
      </c>
    </row>
    <row r="8">
      <c r="A8" s="2" t="s">
        <v>162</v>
      </c>
      <c r="B8" s="2" t="s">
        <v>190</v>
      </c>
      <c r="C8" s="2" t="s">
        <v>191</v>
      </c>
      <c r="D8" s="15">
        <v>1.0</v>
      </c>
      <c r="E8" s="13">
        <v>0.0</v>
      </c>
      <c r="F8" s="13" t="s">
        <v>182</v>
      </c>
      <c r="G8" s="16"/>
      <c r="H8" s="6" t="str">
        <f t="shared" si="1"/>
        <v/>
      </c>
      <c r="I8" s="6" t="str">
        <f t="shared" si="2"/>
        <v>Non ancora contato</v>
      </c>
    </row>
    <row r="9">
      <c r="A9" s="2" t="s">
        <v>162</v>
      </c>
      <c r="B9" s="2" t="s">
        <v>192</v>
      </c>
      <c r="C9" s="2" t="s">
        <v>193</v>
      </c>
      <c r="D9" s="15">
        <v>1.0</v>
      </c>
      <c r="E9" s="13" t="s">
        <v>194</v>
      </c>
      <c r="F9" s="13" t="s">
        <v>194</v>
      </c>
      <c r="G9" s="16"/>
      <c r="H9" s="6" t="str">
        <f t="shared" si="1"/>
        <v/>
      </c>
      <c r="I9" s="6" t="str">
        <f t="shared" si="2"/>
        <v>Non ancora contato</v>
      </c>
    </row>
    <row r="10">
      <c r="A10" s="2" t="s">
        <v>162</v>
      </c>
      <c r="B10" s="2" t="s">
        <v>195</v>
      </c>
      <c r="C10" s="2" t="s">
        <v>196</v>
      </c>
      <c r="D10" s="15">
        <v>1.0</v>
      </c>
      <c r="E10" s="13">
        <v>1.0</v>
      </c>
      <c r="F10" s="13" t="s">
        <v>182</v>
      </c>
      <c r="G10" s="16"/>
      <c r="H10" s="6" t="str">
        <f t="shared" si="1"/>
        <v/>
      </c>
      <c r="I10" s="6" t="str">
        <f t="shared" si="2"/>
        <v>Non ancora contato</v>
      </c>
    </row>
    <row r="11">
      <c r="A11" s="2" t="s">
        <v>162</v>
      </c>
      <c r="B11" s="2" t="s">
        <v>197</v>
      </c>
      <c r="C11" s="2" t="s">
        <v>198</v>
      </c>
      <c r="D11" s="15">
        <v>2.0</v>
      </c>
      <c r="E11" s="13" t="s">
        <v>194</v>
      </c>
      <c r="F11" s="13" t="s">
        <v>194</v>
      </c>
      <c r="G11" s="16"/>
      <c r="H11" s="6" t="str">
        <f t="shared" si="1"/>
        <v/>
      </c>
      <c r="I11" s="6" t="str">
        <f t="shared" si="2"/>
        <v>Non ancora contato</v>
      </c>
    </row>
    <row r="12">
      <c r="A12" s="2" t="s">
        <v>162</v>
      </c>
      <c r="B12" s="2" t="s">
        <v>199</v>
      </c>
      <c r="C12" s="2" t="s">
        <v>200</v>
      </c>
      <c r="D12" s="15">
        <v>0.0</v>
      </c>
      <c r="E12" s="13">
        <v>0.0</v>
      </c>
      <c r="F12" s="13" t="s">
        <v>187</v>
      </c>
      <c r="G12" s="16"/>
      <c r="H12" s="6" t="str">
        <f t="shared" si="1"/>
        <v/>
      </c>
      <c r="I12" s="6" t="str">
        <f t="shared" si="2"/>
        <v>Non ancora contato</v>
      </c>
    </row>
    <row r="13">
      <c r="A13" s="2" t="s">
        <v>162</v>
      </c>
      <c r="B13" s="2" t="s">
        <v>201</v>
      </c>
      <c r="C13" s="2" t="s">
        <v>202</v>
      </c>
      <c r="D13" s="15">
        <v>2.0</v>
      </c>
      <c r="E13" s="13">
        <v>1.0</v>
      </c>
      <c r="F13" s="13" t="s">
        <v>182</v>
      </c>
      <c r="G13" s="16"/>
      <c r="H13" s="6" t="str">
        <f t="shared" si="1"/>
        <v/>
      </c>
      <c r="I13" s="6" t="str">
        <f t="shared" si="2"/>
        <v>Non ancora contato</v>
      </c>
    </row>
    <row r="14">
      <c r="A14" s="2" t="s">
        <v>203</v>
      </c>
      <c r="B14" s="2" t="s">
        <v>204</v>
      </c>
      <c r="C14" s="2" t="s">
        <v>205</v>
      </c>
      <c r="D14" s="15">
        <v>0.0</v>
      </c>
      <c r="E14" s="13">
        <v>0.0</v>
      </c>
      <c r="F14" s="13" t="s">
        <v>187</v>
      </c>
      <c r="G14" s="16"/>
      <c r="H14" s="6" t="str">
        <f t="shared" si="1"/>
        <v/>
      </c>
      <c r="I14" s="6" t="str">
        <f t="shared" si="2"/>
        <v>Non ancora contato</v>
      </c>
    </row>
    <row r="15">
      <c r="A15" s="2" t="s">
        <v>203</v>
      </c>
      <c r="B15" s="2" t="s">
        <v>206</v>
      </c>
      <c r="C15" s="2" t="s">
        <v>207</v>
      </c>
      <c r="D15" s="15">
        <v>4.0</v>
      </c>
      <c r="E15" s="13">
        <v>4.0</v>
      </c>
      <c r="F15" s="13" t="s">
        <v>182</v>
      </c>
      <c r="G15" s="16"/>
      <c r="H15" s="6" t="str">
        <f t="shared" si="1"/>
        <v/>
      </c>
      <c r="I15" s="6" t="str">
        <f t="shared" si="2"/>
        <v>Non ancora contato</v>
      </c>
    </row>
    <row r="16">
      <c r="A16" s="2" t="s">
        <v>208</v>
      </c>
      <c r="B16" s="2" t="s">
        <v>209</v>
      </c>
      <c r="C16" s="2" t="s">
        <v>210</v>
      </c>
      <c r="D16" s="15">
        <v>21.0</v>
      </c>
      <c r="E16" s="13">
        <v>8.0</v>
      </c>
      <c r="F16" s="13" t="s">
        <v>182</v>
      </c>
      <c r="G16" s="16"/>
      <c r="H16" s="6" t="str">
        <f t="shared" si="1"/>
        <v/>
      </c>
      <c r="I16" s="6" t="str">
        <f t="shared" si="2"/>
        <v>Non ancora contato</v>
      </c>
    </row>
    <row r="17">
      <c r="A17" s="2" t="s">
        <v>211</v>
      </c>
      <c r="B17" s="2" t="s">
        <v>212</v>
      </c>
      <c r="C17" s="2" t="s">
        <v>213</v>
      </c>
      <c r="D17" s="15">
        <v>21.0</v>
      </c>
      <c r="E17" s="13">
        <v>19.0</v>
      </c>
      <c r="F17" s="13" t="s">
        <v>182</v>
      </c>
      <c r="G17" s="16"/>
      <c r="H17" s="6" t="str">
        <f t="shared" si="1"/>
        <v/>
      </c>
      <c r="I17" s="6" t="str">
        <f t="shared" si="2"/>
        <v>Non ancora contato</v>
      </c>
    </row>
    <row r="18">
      <c r="A18" s="2" t="s">
        <v>211</v>
      </c>
      <c r="B18" s="2" t="s">
        <v>214</v>
      </c>
      <c r="C18" s="2" t="s">
        <v>215</v>
      </c>
      <c r="D18" s="15">
        <v>24.0</v>
      </c>
      <c r="E18" s="13">
        <v>22.0</v>
      </c>
      <c r="F18" s="13" t="s">
        <v>182</v>
      </c>
      <c r="G18" s="16"/>
      <c r="H18" s="6" t="str">
        <f t="shared" si="1"/>
        <v/>
      </c>
      <c r="I18" s="6" t="str">
        <f t="shared" si="2"/>
        <v>Non ancora contato</v>
      </c>
    </row>
    <row r="19">
      <c r="A19" s="2" t="s">
        <v>211</v>
      </c>
      <c r="B19" s="2" t="s">
        <v>216</v>
      </c>
      <c r="C19" s="2" t="s">
        <v>217</v>
      </c>
      <c r="D19" s="15">
        <v>22.0</v>
      </c>
      <c r="E19" s="13">
        <v>20.0</v>
      </c>
      <c r="F19" s="13" t="s">
        <v>182</v>
      </c>
      <c r="G19" s="16"/>
      <c r="H19" s="6" t="str">
        <f t="shared" si="1"/>
        <v/>
      </c>
      <c r="I19" s="6" t="str">
        <f t="shared" si="2"/>
        <v>Non ancora contato</v>
      </c>
    </row>
    <row r="20">
      <c r="A20" s="2" t="s">
        <v>211</v>
      </c>
      <c r="B20" s="2" t="s">
        <v>218</v>
      </c>
      <c r="C20" s="2" t="s">
        <v>219</v>
      </c>
      <c r="D20" s="15">
        <v>5.0</v>
      </c>
      <c r="E20" s="13">
        <v>3.0</v>
      </c>
      <c r="F20" s="13" t="s">
        <v>182</v>
      </c>
      <c r="G20" s="16"/>
      <c r="H20" s="6" t="str">
        <f t="shared" si="1"/>
        <v/>
      </c>
      <c r="I20" s="6" t="str">
        <f t="shared" si="2"/>
        <v>Non ancora contato</v>
      </c>
    </row>
    <row r="21">
      <c r="A21" s="2" t="s">
        <v>162</v>
      </c>
      <c r="B21" s="2" t="s">
        <v>220</v>
      </c>
      <c r="C21" s="2" t="s">
        <v>221</v>
      </c>
      <c r="D21" s="15">
        <v>0.0</v>
      </c>
      <c r="E21" s="13">
        <v>0.0</v>
      </c>
      <c r="F21" s="13" t="s">
        <v>187</v>
      </c>
      <c r="G21" s="16"/>
      <c r="H21" s="6" t="str">
        <f t="shared" si="1"/>
        <v/>
      </c>
      <c r="I21" s="6" t="str">
        <f t="shared" si="2"/>
        <v>Non ancora contato</v>
      </c>
    </row>
    <row r="22">
      <c r="A22" s="2" t="s">
        <v>162</v>
      </c>
      <c r="B22" s="2" t="s">
        <v>222</v>
      </c>
      <c r="C22" s="2" t="s">
        <v>223</v>
      </c>
      <c r="D22" s="15">
        <v>8.0</v>
      </c>
      <c r="E22" s="13">
        <v>8.0</v>
      </c>
      <c r="F22" s="13" t="s">
        <v>182</v>
      </c>
      <c r="G22" s="16"/>
      <c r="H22" s="6" t="str">
        <f t="shared" si="1"/>
        <v/>
      </c>
      <c r="I22" s="6" t="str">
        <f t="shared" si="2"/>
        <v>Non ancora contato</v>
      </c>
    </row>
    <row r="23">
      <c r="A23" s="2" t="s">
        <v>162</v>
      </c>
      <c r="B23" s="2" t="s">
        <v>224</v>
      </c>
      <c r="C23" s="2" t="s">
        <v>225</v>
      </c>
      <c r="D23" s="15">
        <v>0.0</v>
      </c>
      <c r="E23" s="13">
        <v>0.0</v>
      </c>
      <c r="F23" s="13" t="s">
        <v>187</v>
      </c>
      <c r="G23" s="16"/>
      <c r="H23" s="6" t="str">
        <f t="shared" si="1"/>
        <v/>
      </c>
      <c r="I23" s="6" t="str">
        <f t="shared" si="2"/>
        <v>Non ancora contato</v>
      </c>
    </row>
    <row r="24">
      <c r="A24" s="2" t="s">
        <v>162</v>
      </c>
      <c r="B24" s="2" t="s">
        <v>226</v>
      </c>
      <c r="C24" s="2" t="s">
        <v>227</v>
      </c>
      <c r="D24" s="15">
        <v>0.0</v>
      </c>
      <c r="E24" s="13">
        <v>0.0</v>
      </c>
      <c r="F24" s="13" t="s">
        <v>187</v>
      </c>
      <c r="G24" s="16"/>
      <c r="H24" s="6" t="str">
        <f t="shared" si="1"/>
        <v/>
      </c>
      <c r="I24" s="6" t="str">
        <f t="shared" si="2"/>
        <v>Non ancora contato</v>
      </c>
    </row>
    <row r="25">
      <c r="A25" s="2" t="s">
        <v>162</v>
      </c>
      <c r="B25" s="2" t="s">
        <v>228</v>
      </c>
      <c r="C25" s="2" t="s">
        <v>229</v>
      </c>
      <c r="D25" s="15">
        <v>-5.0</v>
      </c>
      <c r="E25" s="13">
        <v>0.0</v>
      </c>
      <c r="F25" s="13" t="s">
        <v>187</v>
      </c>
      <c r="G25" s="16"/>
      <c r="H25" s="6" t="str">
        <f t="shared" si="1"/>
        <v/>
      </c>
      <c r="I25" s="6" t="str">
        <f t="shared" si="2"/>
        <v>Non ancora contato</v>
      </c>
    </row>
    <row r="26">
      <c r="A26" s="2" t="s">
        <v>162</v>
      </c>
      <c r="B26" s="2" t="s">
        <v>230</v>
      </c>
      <c r="C26" s="2" t="s">
        <v>231</v>
      </c>
      <c r="D26" s="15">
        <v>-1.0</v>
      </c>
      <c r="E26" s="13">
        <v>0.0</v>
      </c>
      <c r="F26" s="13" t="s">
        <v>187</v>
      </c>
      <c r="G26" s="16"/>
      <c r="H26" s="6" t="str">
        <f t="shared" si="1"/>
        <v/>
      </c>
      <c r="I26" s="6" t="str">
        <f t="shared" si="2"/>
        <v>Non ancora contato</v>
      </c>
    </row>
    <row r="27">
      <c r="A27" s="2" t="s">
        <v>162</v>
      </c>
      <c r="B27" s="2" t="s">
        <v>232</v>
      </c>
      <c r="C27" s="2" t="s">
        <v>233</v>
      </c>
      <c r="D27" s="15">
        <v>0.0</v>
      </c>
      <c r="E27" s="13">
        <v>0.0</v>
      </c>
      <c r="F27" s="13" t="s">
        <v>182</v>
      </c>
      <c r="G27" s="16"/>
      <c r="H27" s="6" t="str">
        <f t="shared" si="1"/>
        <v/>
      </c>
      <c r="I27" s="6" t="str">
        <f t="shared" si="2"/>
        <v>Non ancora contato</v>
      </c>
    </row>
    <row r="28">
      <c r="A28" s="2" t="s">
        <v>162</v>
      </c>
      <c r="B28" s="2" t="s">
        <v>234</v>
      </c>
      <c r="C28" s="2" t="s">
        <v>235</v>
      </c>
      <c r="D28" s="15">
        <v>0.0</v>
      </c>
      <c r="E28" s="13">
        <v>0.0</v>
      </c>
      <c r="F28" s="13" t="s">
        <v>187</v>
      </c>
      <c r="G28" s="16"/>
      <c r="H28" s="6" t="str">
        <f t="shared" si="1"/>
        <v/>
      </c>
      <c r="I28" s="6" t="str">
        <f t="shared" si="2"/>
        <v>Non ancora contato</v>
      </c>
    </row>
    <row r="29">
      <c r="A29" s="2" t="s">
        <v>162</v>
      </c>
      <c r="B29" s="2" t="s">
        <v>236</v>
      </c>
      <c r="C29" s="2" t="s">
        <v>237</v>
      </c>
      <c r="D29" s="15">
        <v>-1.0</v>
      </c>
      <c r="E29" s="13">
        <v>0.0</v>
      </c>
      <c r="F29" s="13" t="s">
        <v>187</v>
      </c>
      <c r="G29" s="16"/>
      <c r="H29" s="6" t="str">
        <f t="shared" si="1"/>
        <v/>
      </c>
      <c r="I29" s="6" t="str">
        <f t="shared" si="2"/>
        <v>Non ancora contato</v>
      </c>
    </row>
    <row r="30">
      <c r="A30" s="2" t="s">
        <v>162</v>
      </c>
      <c r="B30" s="2" t="s">
        <v>238</v>
      </c>
      <c r="C30" s="2" t="s">
        <v>239</v>
      </c>
      <c r="D30" s="15">
        <v>4.0</v>
      </c>
      <c r="E30" s="13">
        <v>2.0</v>
      </c>
      <c r="F30" s="13" t="s">
        <v>182</v>
      </c>
      <c r="G30" s="16"/>
      <c r="H30" s="6" t="str">
        <f t="shared" si="1"/>
        <v/>
      </c>
      <c r="I30" s="6" t="str">
        <f t="shared" si="2"/>
        <v>Non ancora contato</v>
      </c>
    </row>
    <row r="31">
      <c r="A31" s="2" t="s">
        <v>162</v>
      </c>
      <c r="B31" s="2" t="s">
        <v>240</v>
      </c>
      <c r="C31" s="2" t="s">
        <v>241</v>
      </c>
      <c r="D31" s="15">
        <v>4.0</v>
      </c>
      <c r="E31" s="13" t="s">
        <v>194</v>
      </c>
      <c r="F31" s="13" t="s">
        <v>194</v>
      </c>
      <c r="G31" s="16"/>
      <c r="H31" s="6" t="str">
        <f t="shared" si="1"/>
        <v/>
      </c>
      <c r="I31" s="6" t="str">
        <f t="shared" si="2"/>
        <v>Non ancora contato</v>
      </c>
    </row>
    <row r="32">
      <c r="A32" s="2" t="s">
        <v>242</v>
      </c>
      <c r="B32" s="2" t="s">
        <v>243</v>
      </c>
      <c r="C32" s="2" t="s">
        <v>244</v>
      </c>
      <c r="D32" s="15">
        <v>-2.0</v>
      </c>
      <c r="E32" s="13">
        <v>0.0</v>
      </c>
      <c r="F32" s="13" t="s">
        <v>182</v>
      </c>
      <c r="G32" s="16"/>
      <c r="H32" s="6" t="str">
        <f t="shared" si="1"/>
        <v/>
      </c>
      <c r="I32" s="6" t="str">
        <f t="shared" si="2"/>
        <v>Non ancora contato</v>
      </c>
    </row>
    <row r="33">
      <c r="A33" s="2" t="s">
        <v>242</v>
      </c>
      <c r="B33" s="2" t="s">
        <v>245</v>
      </c>
      <c r="C33" s="2" t="s">
        <v>246</v>
      </c>
      <c r="D33" s="15">
        <v>0.0</v>
      </c>
      <c r="E33" s="13">
        <v>0.0</v>
      </c>
      <c r="F33" s="13" t="s">
        <v>182</v>
      </c>
      <c r="G33" s="16"/>
      <c r="H33" s="6" t="str">
        <f t="shared" si="1"/>
        <v/>
      </c>
      <c r="I33" s="6" t="str">
        <f t="shared" si="2"/>
        <v>Non ancora contato</v>
      </c>
    </row>
    <row r="34">
      <c r="A34" s="2" t="s">
        <v>242</v>
      </c>
      <c r="B34" s="2" t="s">
        <v>163</v>
      </c>
      <c r="C34" s="2" t="s">
        <v>247</v>
      </c>
      <c r="D34" s="15">
        <v>6.0</v>
      </c>
      <c r="E34" s="13">
        <v>6.0</v>
      </c>
      <c r="F34" s="13" t="s">
        <v>182</v>
      </c>
      <c r="G34" s="16"/>
      <c r="H34" s="6" t="str">
        <f t="shared" si="1"/>
        <v/>
      </c>
      <c r="I34" s="6" t="str">
        <f t="shared" si="2"/>
        <v>Non ancora contato</v>
      </c>
    </row>
    <row r="35">
      <c r="A35" s="2" t="s">
        <v>208</v>
      </c>
      <c r="B35" s="2" t="s">
        <v>248</v>
      </c>
      <c r="C35" s="2" t="s">
        <v>249</v>
      </c>
      <c r="D35" s="15">
        <v>15.0</v>
      </c>
      <c r="E35" s="13">
        <v>6.0</v>
      </c>
      <c r="F35" s="13" t="s">
        <v>182</v>
      </c>
      <c r="G35" s="16"/>
      <c r="H35" s="6" t="str">
        <f t="shared" si="1"/>
        <v/>
      </c>
      <c r="I35" s="6" t="str">
        <f t="shared" si="2"/>
        <v>Non ancora contato</v>
      </c>
    </row>
    <row r="36">
      <c r="A36" s="2" t="s">
        <v>208</v>
      </c>
      <c r="B36" s="2" t="s">
        <v>163</v>
      </c>
      <c r="C36" s="2" t="s">
        <v>250</v>
      </c>
      <c r="D36" s="15">
        <v>7.0</v>
      </c>
      <c r="E36" s="13">
        <v>10.0</v>
      </c>
      <c r="F36" s="13" t="s">
        <v>182</v>
      </c>
      <c r="G36" s="16"/>
      <c r="H36" s="6" t="str">
        <f t="shared" si="1"/>
        <v/>
      </c>
      <c r="I36" s="6" t="str">
        <f t="shared" si="2"/>
        <v>Non ancora contato</v>
      </c>
    </row>
    <row r="37">
      <c r="A37" s="2" t="s">
        <v>208</v>
      </c>
      <c r="B37" s="2" t="s">
        <v>188</v>
      </c>
      <c r="C37" s="2" t="s">
        <v>251</v>
      </c>
      <c r="D37" s="15">
        <v>9.0</v>
      </c>
      <c r="E37" s="13">
        <v>7.0</v>
      </c>
      <c r="F37" s="13" t="s">
        <v>182</v>
      </c>
      <c r="G37" s="16"/>
      <c r="H37" s="6" t="str">
        <f t="shared" si="1"/>
        <v/>
      </c>
      <c r="I37" s="6" t="str">
        <f t="shared" si="2"/>
        <v>Non ancora contato</v>
      </c>
    </row>
    <row r="38">
      <c r="A38" s="2" t="s">
        <v>252</v>
      </c>
      <c r="B38" s="2" t="s">
        <v>253</v>
      </c>
      <c r="C38" s="2" t="s">
        <v>254</v>
      </c>
      <c r="D38" s="15">
        <v>0.0</v>
      </c>
      <c r="E38" s="13">
        <v>0.0</v>
      </c>
      <c r="F38" s="13" t="s">
        <v>187</v>
      </c>
      <c r="G38" s="16"/>
      <c r="H38" s="6" t="str">
        <f t="shared" si="1"/>
        <v/>
      </c>
      <c r="I38" s="6" t="str">
        <f t="shared" si="2"/>
        <v>Non ancora contato</v>
      </c>
    </row>
    <row r="39">
      <c r="A39" s="2" t="s">
        <v>252</v>
      </c>
      <c r="B39" s="2" t="s">
        <v>255</v>
      </c>
      <c r="C39" s="2" t="s">
        <v>256</v>
      </c>
      <c r="D39" s="15">
        <v>0.0</v>
      </c>
      <c r="E39" s="13">
        <v>0.0</v>
      </c>
      <c r="F39" s="13" t="s">
        <v>182</v>
      </c>
      <c r="G39" s="16"/>
      <c r="H39" s="6" t="str">
        <f t="shared" si="1"/>
        <v/>
      </c>
      <c r="I39" s="6" t="str">
        <f t="shared" si="2"/>
        <v>Non ancora contato</v>
      </c>
    </row>
    <row r="40">
      <c r="A40" s="2" t="s">
        <v>252</v>
      </c>
      <c r="B40" s="2" t="s">
        <v>257</v>
      </c>
      <c r="C40" s="2" t="s">
        <v>258</v>
      </c>
      <c r="D40" s="15">
        <v>5.0</v>
      </c>
      <c r="E40" s="13">
        <v>5.0</v>
      </c>
      <c r="F40" s="13" t="s">
        <v>182</v>
      </c>
      <c r="G40" s="16"/>
      <c r="H40" s="6" t="str">
        <f t="shared" si="1"/>
        <v/>
      </c>
      <c r="I40" s="6" t="str">
        <f t="shared" si="2"/>
        <v>Non ancora contato</v>
      </c>
    </row>
    <row r="41">
      <c r="A41" s="2" t="s">
        <v>252</v>
      </c>
      <c r="B41" s="2" t="s">
        <v>259</v>
      </c>
      <c r="C41" s="2" t="s">
        <v>260</v>
      </c>
      <c r="D41" s="15">
        <v>3.0</v>
      </c>
      <c r="E41" s="13">
        <v>3.0</v>
      </c>
      <c r="F41" s="13" t="s">
        <v>182</v>
      </c>
      <c r="G41" s="16"/>
      <c r="H41" s="6" t="str">
        <f t="shared" si="1"/>
        <v/>
      </c>
      <c r="I41" s="6" t="str">
        <f t="shared" si="2"/>
        <v>Non ancora contato</v>
      </c>
    </row>
    <row r="42">
      <c r="A42" s="2" t="s">
        <v>252</v>
      </c>
      <c r="B42" s="2" t="s">
        <v>261</v>
      </c>
      <c r="C42" s="2" t="s">
        <v>262</v>
      </c>
      <c r="D42" s="15">
        <v>0.0</v>
      </c>
      <c r="E42" s="13">
        <v>0.0</v>
      </c>
      <c r="F42" s="13" t="s">
        <v>187</v>
      </c>
      <c r="G42" s="16"/>
      <c r="H42" s="6" t="str">
        <f t="shared" si="1"/>
        <v/>
      </c>
      <c r="I42" s="6" t="str">
        <f t="shared" si="2"/>
        <v>Non ancora contato</v>
      </c>
    </row>
    <row r="43">
      <c r="A43" s="2" t="s">
        <v>252</v>
      </c>
      <c r="B43" s="2" t="s">
        <v>263</v>
      </c>
      <c r="C43" s="2" t="s">
        <v>264</v>
      </c>
      <c r="D43" s="15">
        <v>0.0</v>
      </c>
      <c r="E43" s="13">
        <v>0.0</v>
      </c>
      <c r="F43" s="13" t="s">
        <v>182</v>
      </c>
      <c r="G43" s="16"/>
      <c r="H43" s="6" t="str">
        <f t="shared" si="1"/>
        <v/>
      </c>
      <c r="I43" s="6" t="str">
        <f t="shared" si="2"/>
        <v>Non ancora contato</v>
      </c>
    </row>
    <row r="44">
      <c r="A44" s="2" t="s">
        <v>252</v>
      </c>
      <c r="B44" s="2" t="s">
        <v>265</v>
      </c>
      <c r="C44" s="2" t="s">
        <v>266</v>
      </c>
      <c r="D44" s="15">
        <v>0.0</v>
      </c>
      <c r="E44" s="13">
        <v>0.0</v>
      </c>
      <c r="F44" s="13" t="s">
        <v>182</v>
      </c>
      <c r="G44" s="16"/>
      <c r="H44" s="6" t="str">
        <f t="shared" si="1"/>
        <v/>
      </c>
      <c r="I44" s="6" t="str">
        <f t="shared" si="2"/>
        <v>Non ancora contato</v>
      </c>
    </row>
    <row r="45">
      <c r="A45" s="2" t="s">
        <v>252</v>
      </c>
      <c r="B45" s="2" t="s">
        <v>267</v>
      </c>
      <c r="C45" s="2" t="s">
        <v>268</v>
      </c>
      <c r="D45" s="15">
        <v>-4.0</v>
      </c>
      <c r="E45" s="13">
        <v>0.0</v>
      </c>
      <c r="F45" s="13" t="s">
        <v>182</v>
      </c>
      <c r="G45" s="16"/>
      <c r="H45" s="6" t="str">
        <f t="shared" si="1"/>
        <v/>
      </c>
      <c r="I45" s="6" t="str">
        <f t="shared" si="2"/>
        <v>Non ancora contato</v>
      </c>
    </row>
    <row r="46">
      <c r="A46" s="2" t="s">
        <v>269</v>
      </c>
      <c r="B46" s="2" t="s">
        <v>270</v>
      </c>
      <c r="C46" s="2" t="s">
        <v>271</v>
      </c>
      <c r="D46" s="15">
        <v>0.0</v>
      </c>
      <c r="E46" s="13">
        <v>0.0</v>
      </c>
      <c r="F46" s="13" t="s">
        <v>182</v>
      </c>
      <c r="G46" s="16"/>
      <c r="H46" s="6" t="str">
        <f t="shared" si="1"/>
        <v/>
      </c>
      <c r="I46" s="6" t="str">
        <f t="shared" si="2"/>
        <v>Non ancora contato</v>
      </c>
    </row>
    <row r="47">
      <c r="A47" s="2" t="s">
        <v>269</v>
      </c>
      <c r="B47" s="2" t="s">
        <v>272</v>
      </c>
      <c r="C47" s="2" t="s">
        <v>273</v>
      </c>
      <c r="D47" s="15">
        <v>-2.0</v>
      </c>
      <c r="E47" s="13">
        <v>0.0</v>
      </c>
      <c r="F47" s="13" t="s">
        <v>182</v>
      </c>
      <c r="G47" s="16"/>
      <c r="H47" s="6" t="str">
        <f t="shared" si="1"/>
        <v/>
      </c>
      <c r="I47" s="6" t="str">
        <f t="shared" si="2"/>
        <v>Non ancora contato</v>
      </c>
    </row>
    <row r="48">
      <c r="A48" s="2" t="s">
        <v>269</v>
      </c>
      <c r="B48" s="2" t="s">
        <v>274</v>
      </c>
      <c r="C48" s="2" t="s">
        <v>275</v>
      </c>
      <c r="D48" s="15">
        <v>1.0</v>
      </c>
      <c r="E48" s="13">
        <v>1.0</v>
      </c>
      <c r="F48" s="13" t="s">
        <v>182</v>
      </c>
      <c r="G48" s="16"/>
      <c r="H48" s="6" t="str">
        <f t="shared" si="1"/>
        <v/>
      </c>
      <c r="I48" s="6" t="str">
        <f t="shared" si="2"/>
        <v>Non ancora contato</v>
      </c>
    </row>
    <row r="49">
      <c r="A49" s="2" t="s">
        <v>269</v>
      </c>
      <c r="B49" s="2" t="s">
        <v>276</v>
      </c>
      <c r="C49" s="2" t="s">
        <v>277</v>
      </c>
      <c r="D49" s="15">
        <v>3.0</v>
      </c>
      <c r="E49" s="13">
        <v>3.0</v>
      </c>
      <c r="F49" s="13" t="s">
        <v>182</v>
      </c>
      <c r="G49" s="16"/>
      <c r="H49" s="6" t="str">
        <f t="shared" si="1"/>
        <v/>
      </c>
      <c r="I49" s="6" t="str">
        <f t="shared" si="2"/>
        <v>Non ancora contato</v>
      </c>
    </row>
    <row r="50">
      <c r="A50" s="2" t="s">
        <v>269</v>
      </c>
      <c r="B50" s="2" t="s">
        <v>278</v>
      </c>
      <c r="C50" s="2" t="s">
        <v>279</v>
      </c>
      <c r="D50" s="15">
        <v>0.0</v>
      </c>
      <c r="E50" s="13">
        <v>0.0</v>
      </c>
      <c r="F50" s="13" t="s">
        <v>182</v>
      </c>
      <c r="G50" s="16"/>
      <c r="H50" s="6" t="str">
        <f t="shared" si="1"/>
        <v/>
      </c>
      <c r="I50" s="6" t="str">
        <f t="shared" si="2"/>
        <v>Non ancora contato</v>
      </c>
    </row>
    <row r="51">
      <c r="A51" s="2" t="s">
        <v>269</v>
      </c>
      <c r="B51" s="2" t="s">
        <v>280</v>
      </c>
      <c r="C51" s="2" t="s">
        <v>281</v>
      </c>
      <c r="D51" s="15">
        <v>3.0</v>
      </c>
      <c r="E51" s="13">
        <v>3.0</v>
      </c>
      <c r="F51" s="13" t="s">
        <v>182</v>
      </c>
      <c r="G51" s="16"/>
      <c r="H51" s="6" t="str">
        <f t="shared" si="1"/>
        <v/>
      </c>
      <c r="I51" s="6" t="str">
        <f t="shared" si="2"/>
        <v>Non ancora contato</v>
      </c>
    </row>
    <row r="52">
      <c r="A52" s="2" t="s">
        <v>269</v>
      </c>
      <c r="B52" s="2" t="s">
        <v>282</v>
      </c>
      <c r="C52" s="2" t="s">
        <v>63</v>
      </c>
      <c r="D52" s="15">
        <v>-1.0</v>
      </c>
      <c r="E52" s="13">
        <v>0.0</v>
      </c>
      <c r="F52" s="13" t="s">
        <v>182</v>
      </c>
      <c r="G52" s="16"/>
      <c r="H52" s="6" t="str">
        <f t="shared" si="1"/>
        <v/>
      </c>
      <c r="I52" s="6" t="str">
        <f t="shared" si="2"/>
        <v>Non ancora contato</v>
      </c>
    </row>
    <row r="53">
      <c r="A53" s="2" t="s">
        <v>269</v>
      </c>
      <c r="B53" s="2" t="s">
        <v>283</v>
      </c>
      <c r="C53" s="2" t="s">
        <v>52</v>
      </c>
      <c r="D53" s="15">
        <v>4.0</v>
      </c>
      <c r="E53" s="13">
        <v>2.0</v>
      </c>
      <c r="F53" s="13" t="s">
        <v>182</v>
      </c>
      <c r="G53" s="16"/>
      <c r="H53" s="6" t="str">
        <f t="shared" si="1"/>
        <v/>
      </c>
      <c r="I53" s="6" t="str">
        <f t="shared" si="2"/>
        <v>Non ancora contato</v>
      </c>
    </row>
    <row r="54">
      <c r="A54" s="2" t="s">
        <v>252</v>
      </c>
      <c r="B54" s="2" t="s">
        <v>284</v>
      </c>
      <c r="C54" s="2" t="s">
        <v>285</v>
      </c>
      <c r="D54" s="15">
        <v>1.0</v>
      </c>
      <c r="E54" s="13">
        <v>1.0</v>
      </c>
      <c r="F54" s="13" t="s">
        <v>182</v>
      </c>
      <c r="G54" s="16"/>
      <c r="H54" s="6" t="str">
        <f t="shared" si="1"/>
        <v/>
      </c>
      <c r="I54" s="6" t="str">
        <f t="shared" si="2"/>
        <v>Non ancora contato</v>
      </c>
    </row>
    <row r="55">
      <c r="A55" s="2" t="s">
        <v>162</v>
      </c>
      <c r="B55" s="2" t="s">
        <v>286</v>
      </c>
      <c r="C55" s="2" t="s">
        <v>287</v>
      </c>
      <c r="D55" s="15">
        <v>8.0</v>
      </c>
      <c r="E55" s="13" t="s">
        <v>194</v>
      </c>
      <c r="F55" s="13" t="s">
        <v>194</v>
      </c>
      <c r="G55" s="16"/>
      <c r="H55" s="6" t="str">
        <f t="shared" si="1"/>
        <v/>
      </c>
      <c r="I55" s="6" t="str">
        <f t="shared" si="2"/>
        <v>Non ancora contato</v>
      </c>
    </row>
    <row r="56">
      <c r="A56" s="2" t="s">
        <v>162</v>
      </c>
      <c r="B56" s="2" t="s">
        <v>288</v>
      </c>
      <c r="C56" s="2" t="s">
        <v>289</v>
      </c>
      <c r="D56" s="15">
        <v>0.0</v>
      </c>
      <c r="E56" s="13">
        <v>0.0</v>
      </c>
      <c r="F56" s="13" t="s">
        <v>182</v>
      </c>
      <c r="G56" s="16"/>
      <c r="H56" s="6" t="str">
        <f t="shared" si="1"/>
        <v/>
      </c>
      <c r="I56" s="6" t="str">
        <f t="shared" si="2"/>
        <v>Non ancora contato</v>
      </c>
    </row>
    <row r="57">
      <c r="A57" s="2" t="s">
        <v>162</v>
      </c>
      <c r="B57" s="2" t="s">
        <v>290</v>
      </c>
      <c r="C57" s="2" t="s">
        <v>291</v>
      </c>
      <c r="D57" s="15">
        <v>8.0</v>
      </c>
      <c r="E57" s="13">
        <v>6.0</v>
      </c>
      <c r="F57" s="13" t="s">
        <v>182</v>
      </c>
      <c r="G57" s="16"/>
      <c r="H57" s="6" t="str">
        <f t="shared" si="1"/>
        <v/>
      </c>
      <c r="I57" s="6" t="str">
        <f t="shared" si="2"/>
        <v>Non ancora contato</v>
      </c>
    </row>
    <row r="58">
      <c r="A58" s="2" t="s">
        <v>162</v>
      </c>
      <c r="B58" s="2" t="s">
        <v>292</v>
      </c>
      <c r="C58" s="2" t="s">
        <v>293</v>
      </c>
      <c r="D58" s="15">
        <v>4.0</v>
      </c>
      <c r="E58" s="13">
        <v>2.0</v>
      </c>
      <c r="F58" s="13" t="s">
        <v>182</v>
      </c>
      <c r="G58" s="16"/>
      <c r="H58" s="6" t="str">
        <f t="shared" si="1"/>
        <v/>
      </c>
      <c r="I58" s="6" t="str">
        <f t="shared" si="2"/>
        <v>Non ancora contato</v>
      </c>
    </row>
    <row r="59">
      <c r="A59" s="2" t="s">
        <v>203</v>
      </c>
      <c r="B59" s="2" t="s">
        <v>294</v>
      </c>
      <c r="C59" s="2" t="s">
        <v>295</v>
      </c>
      <c r="D59" s="15">
        <v>11.0</v>
      </c>
      <c r="E59" s="13">
        <v>9.0</v>
      </c>
      <c r="F59" s="13" t="s">
        <v>182</v>
      </c>
      <c r="G59" s="16"/>
      <c r="H59" s="6" t="str">
        <f t="shared" si="1"/>
        <v/>
      </c>
      <c r="I59" s="6" t="str">
        <f t="shared" si="2"/>
        <v>Non ancora contato</v>
      </c>
    </row>
    <row r="60">
      <c r="A60" s="2" t="s">
        <v>242</v>
      </c>
      <c r="B60" s="2" t="s">
        <v>236</v>
      </c>
      <c r="C60" s="2" t="s">
        <v>296</v>
      </c>
      <c r="D60" s="15">
        <v>7.0</v>
      </c>
      <c r="E60" s="13">
        <v>5.0</v>
      </c>
      <c r="F60" s="13" t="s">
        <v>182</v>
      </c>
      <c r="G60" s="16"/>
      <c r="H60" s="6" t="str">
        <f t="shared" si="1"/>
        <v/>
      </c>
      <c r="I60" s="6" t="str">
        <f t="shared" si="2"/>
        <v>Non ancora contato</v>
      </c>
    </row>
    <row r="61">
      <c r="A61" s="2" t="s">
        <v>162</v>
      </c>
      <c r="B61" s="2" t="s">
        <v>297</v>
      </c>
      <c r="C61" s="2" t="s">
        <v>298</v>
      </c>
      <c r="D61" s="15">
        <v>3.0</v>
      </c>
      <c r="E61" s="13">
        <v>3.0</v>
      </c>
      <c r="F61" s="13" t="s">
        <v>182</v>
      </c>
      <c r="G61" s="16"/>
      <c r="H61" s="6" t="str">
        <f t="shared" si="1"/>
        <v/>
      </c>
      <c r="I61" s="6" t="str">
        <f t="shared" si="2"/>
        <v>Non ancora contato</v>
      </c>
    </row>
    <row r="62">
      <c r="A62" s="2" t="s">
        <v>162</v>
      </c>
      <c r="B62" s="2" t="s">
        <v>299</v>
      </c>
      <c r="C62" s="2" t="s">
        <v>300</v>
      </c>
      <c r="D62" s="15">
        <v>8.0</v>
      </c>
      <c r="E62" s="13">
        <v>6.0</v>
      </c>
      <c r="F62" s="13" t="s">
        <v>182</v>
      </c>
      <c r="G62" s="16"/>
      <c r="H62" s="6" t="str">
        <f t="shared" si="1"/>
        <v/>
      </c>
      <c r="I62" s="6" t="str">
        <f t="shared" si="2"/>
        <v>Non ancora contato</v>
      </c>
    </row>
    <row r="63">
      <c r="A63" s="2" t="s">
        <v>269</v>
      </c>
      <c r="B63" s="2" t="s">
        <v>301</v>
      </c>
      <c r="C63" s="2" t="s">
        <v>302</v>
      </c>
      <c r="D63" s="15">
        <v>1.0</v>
      </c>
      <c r="E63" s="13">
        <v>1.0</v>
      </c>
      <c r="F63" s="13" t="s">
        <v>182</v>
      </c>
      <c r="G63" s="16"/>
      <c r="H63" s="6" t="str">
        <f t="shared" si="1"/>
        <v/>
      </c>
      <c r="I63" s="6" t="str">
        <f t="shared" si="2"/>
        <v>Non ancora contato</v>
      </c>
    </row>
    <row r="64">
      <c r="A64" s="2" t="s">
        <v>269</v>
      </c>
      <c r="B64" s="2" t="s">
        <v>303</v>
      </c>
      <c r="C64" s="2" t="s">
        <v>304</v>
      </c>
      <c r="D64" s="15">
        <v>1.0</v>
      </c>
      <c r="E64" s="13">
        <v>1.0</v>
      </c>
      <c r="F64" s="13" t="s">
        <v>182</v>
      </c>
      <c r="G64" s="16"/>
      <c r="H64" s="6" t="str">
        <f t="shared" si="1"/>
        <v/>
      </c>
      <c r="I64" s="6" t="str">
        <f t="shared" si="2"/>
        <v>Non ancora contato</v>
      </c>
    </row>
    <row r="65">
      <c r="A65" s="2" t="s">
        <v>269</v>
      </c>
      <c r="B65" s="2" t="s">
        <v>255</v>
      </c>
      <c r="C65" s="2" t="s">
        <v>305</v>
      </c>
      <c r="D65" s="15">
        <v>9.0</v>
      </c>
      <c r="E65" s="13">
        <v>7.0</v>
      </c>
      <c r="F65" s="13" t="s">
        <v>182</v>
      </c>
      <c r="G65" s="16"/>
      <c r="H65" s="6" t="str">
        <f t="shared" si="1"/>
        <v/>
      </c>
      <c r="I65" s="6" t="str">
        <f t="shared" si="2"/>
        <v>Non ancora contato</v>
      </c>
    </row>
    <row r="66">
      <c r="A66" s="2" t="s">
        <v>252</v>
      </c>
      <c r="B66" s="2" t="s">
        <v>306</v>
      </c>
      <c r="C66" s="2" t="s">
        <v>307</v>
      </c>
      <c r="D66" s="15">
        <v>0.0</v>
      </c>
      <c r="E66" s="13" t="s">
        <v>194</v>
      </c>
      <c r="F66" s="13" t="s">
        <v>194</v>
      </c>
      <c r="G66" s="16"/>
      <c r="H66" s="6" t="str">
        <f t="shared" si="1"/>
        <v/>
      </c>
      <c r="I66" s="6" t="str">
        <f t="shared" si="2"/>
        <v>Non ancora contato</v>
      </c>
    </row>
    <row r="67">
      <c r="A67" s="2" t="s">
        <v>211</v>
      </c>
      <c r="B67" s="2" t="s">
        <v>308</v>
      </c>
      <c r="C67" s="2" t="s">
        <v>49</v>
      </c>
      <c r="D67" s="15">
        <v>31.0</v>
      </c>
      <c r="E67" s="13">
        <v>29.0</v>
      </c>
      <c r="F67" s="13" t="s">
        <v>182</v>
      </c>
      <c r="G67" s="16"/>
      <c r="H67" s="6" t="str">
        <f t="shared" si="1"/>
        <v/>
      </c>
      <c r="I67" s="6" t="str">
        <f t="shared" si="2"/>
        <v>Non ancora contato</v>
      </c>
    </row>
    <row r="68">
      <c r="A68" s="2" t="s">
        <v>211</v>
      </c>
      <c r="B68" s="2" t="s">
        <v>309</v>
      </c>
      <c r="C68" s="2" t="s">
        <v>310</v>
      </c>
      <c r="D68" s="15">
        <v>14.0</v>
      </c>
      <c r="E68" s="13">
        <v>12.0</v>
      </c>
      <c r="F68" s="13" t="s">
        <v>182</v>
      </c>
      <c r="G68" s="16"/>
      <c r="H68" s="6" t="str">
        <f t="shared" si="1"/>
        <v/>
      </c>
      <c r="I68" s="6" t="str">
        <f t="shared" si="2"/>
        <v>Non ancora contato</v>
      </c>
    </row>
    <row r="69">
      <c r="A69" s="2" t="s">
        <v>211</v>
      </c>
      <c r="B69" s="2" t="s">
        <v>311</v>
      </c>
      <c r="C69" s="2" t="s">
        <v>312</v>
      </c>
      <c r="D69" s="15">
        <v>8.0</v>
      </c>
      <c r="E69" s="13">
        <v>6.0</v>
      </c>
      <c r="F69" s="13" t="s">
        <v>182</v>
      </c>
      <c r="G69" s="16"/>
      <c r="H69" s="6" t="str">
        <f t="shared" si="1"/>
        <v/>
      </c>
      <c r="I69" s="6" t="str">
        <f t="shared" si="2"/>
        <v>Non ancora contato</v>
      </c>
    </row>
    <row r="70">
      <c r="A70" s="2" t="s">
        <v>211</v>
      </c>
      <c r="B70" s="2" t="s">
        <v>313</v>
      </c>
      <c r="C70" s="2" t="s">
        <v>314</v>
      </c>
      <c r="D70" s="15">
        <v>14.0</v>
      </c>
      <c r="E70" s="13">
        <v>12.0</v>
      </c>
      <c r="F70" s="13" t="s">
        <v>182</v>
      </c>
      <c r="G70" s="16"/>
      <c r="H70" s="6" t="str">
        <f t="shared" si="1"/>
        <v/>
      </c>
      <c r="I70" s="6" t="str">
        <f t="shared" si="2"/>
        <v>Non ancora contato</v>
      </c>
    </row>
    <row r="71">
      <c r="A71" s="2" t="s">
        <v>211</v>
      </c>
      <c r="B71" s="2" t="s">
        <v>315</v>
      </c>
      <c r="C71" s="2" t="s">
        <v>316</v>
      </c>
      <c r="D71" s="15">
        <v>18.0</v>
      </c>
      <c r="E71" s="13">
        <v>16.0</v>
      </c>
      <c r="F71" s="13" t="s">
        <v>182</v>
      </c>
      <c r="G71" s="16"/>
      <c r="H71" s="6" t="str">
        <f t="shared" si="1"/>
        <v/>
      </c>
      <c r="I71" s="6" t="str">
        <f t="shared" si="2"/>
        <v>Non ancora contato</v>
      </c>
    </row>
    <row r="72">
      <c r="A72" s="2" t="s">
        <v>211</v>
      </c>
      <c r="B72" s="2" t="s">
        <v>317</v>
      </c>
      <c r="C72" s="2" t="s">
        <v>318</v>
      </c>
      <c r="D72" s="15">
        <v>14.0</v>
      </c>
      <c r="E72" s="13">
        <v>12.0</v>
      </c>
      <c r="F72" s="13" t="s">
        <v>182</v>
      </c>
      <c r="G72" s="16"/>
      <c r="H72" s="6" t="str">
        <f t="shared" si="1"/>
        <v/>
      </c>
      <c r="I72" s="6" t="str">
        <f t="shared" si="2"/>
        <v>Non ancora contato</v>
      </c>
    </row>
    <row r="73">
      <c r="A73" s="2" t="s">
        <v>319</v>
      </c>
      <c r="B73" s="2" t="s">
        <v>309</v>
      </c>
      <c r="C73" s="2" t="s">
        <v>320</v>
      </c>
      <c r="D73" s="15">
        <v>19.0</v>
      </c>
      <c r="E73" s="13">
        <v>17.0</v>
      </c>
      <c r="F73" s="13" t="s">
        <v>182</v>
      </c>
      <c r="G73" s="16"/>
      <c r="H73" s="6" t="str">
        <f t="shared" si="1"/>
        <v/>
      </c>
      <c r="I73" s="6" t="str">
        <f t="shared" si="2"/>
        <v>Non ancora contato</v>
      </c>
    </row>
    <row r="74">
      <c r="A74" s="2" t="s">
        <v>319</v>
      </c>
      <c r="B74" s="2" t="s">
        <v>311</v>
      </c>
      <c r="C74" s="2" t="s">
        <v>321</v>
      </c>
      <c r="D74" s="15">
        <v>20.0</v>
      </c>
      <c r="E74" s="13">
        <v>18.0</v>
      </c>
      <c r="F74" s="13" t="s">
        <v>182</v>
      </c>
      <c r="G74" s="16"/>
      <c r="H74" s="6" t="str">
        <f t="shared" si="1"/>
        <v/>
      </c>
      <c r="I74" s="6" t="str">
        <f t="shared" si="2"/>
        <v>Non ancora contato</v>
      </c>
    </row>
    <row r="75">
      <c r="A75" s="2" t="s">
        <v>319</v>
      </c>
      <c r="B75" s="2" t="s">
        <v>313</v>
      </c>
      <c r="C75" s="2" t="s">
        <v>322</v>
      </c>
      <c r="D75" s="15">
        <v>20.0</v>
      </c>
      <c r="E75" s="13">
        <v>18.0</v>
      </c>
      <c r="F75" s="13" t="s">
        <v>182</v>
      </c>
      <c r="G75" s="16"/>
      <c r="H75" s="6" t="str">
        <f t="shared" si="1"/>
        <v/>
      </c>
      <c r="I75" s="6" t="str">
        <f t="shared" si="2"/>
        <v>Non ancora contato</v>
      </c>
    </row>
    <row r="76">
      <c r="A76" s="2" t="s">
        <v>319</v>
      </c>
      <c r="B76" s="2" t="s">
        <v>315</v>
      </c>
      <c r="C76" s="2" t="s">
        <v>323</v>
      </c>
      <c r="D76" s="15">
        <v>23.0</v>
      </c>
      <c r="E76" s="13">
        <v>21.0</v>
      </c>
      <c r="F76" s="13" t="s">
        <v>182</v>
      </c>
      <c r="G76" s="16"/>
      <c r="H76" s="6" t="str">
        <f t="shared" si="1"/>
        <v/>
      </c>
      <c r="I76" s="6" t="str">
        <f t="shared" si="2"/>
        <v>Non ancora contato</v>
      </c>
    </row>
    <row r="77">
      <c r="A77" s="2" t="s">
        <v>319</v>
      </c>
      <c r="B77" s="2" t="s">
        <v>324</v>
      </c>
      <c r="C77" s="2" t="s">
        <v>44</v>
      </c>
      <c r="D77" s="15">
        <v>30.0</v>
      </c>
      <c r="E77" s="13">
        <v>28.0</v>
      </c>
      <c r="F77" s="13" t="s">
        <v>182</v>
      </c>
      <c r="G77" s="16"/>
      <c r="H77" s="6" t="str">
        <f t="shared" si="1"/>
        <v/>
      </c>
      <c r="I77" s="6" t="str">
        <f t="shared" si="2"/>
        <v>Non ancora contato</v>
      </c>
    </row>
    <row r="78">
      <c r="A78" s="2" t="s">
        <v>319</v>
      </c>
      <c r="B78" s="2" t="s">
        <v>325</v>
      </c>
      <c r="C78" s="2" t="s">
        <v>326</v>
      </c>
      <c r="D78" s="15">
        <v>20.0</v>
      </c>
      <c r="E78" s="13">
        <v>18.0</v>
      </c>
      <c r="F78" s="13" t="s">
        <v>182</v>
      </c>
      <c r="G78" s="16"/>
      <c r="H78" s="6" t="str">
        <f t="shared" si="1"/>
        <v/>
      </c>
      <c r="I78" s="6" t="str">
        <f t="shared" si="2"/>
        <v>Non ancora contato</v>
      </c>
    </row>
    <row r="79">
      <c r="A79" s="2" t="s">
        <v>327</v>
      </c>
      <c r="B79" s="2" t="s">
        <v>328</v>
      </c>
      <c r="C79" s="2" t="s">
        <v>329</v>
      </c>
      <c r="D79" s="15">
        <v>16.0</v>
      </c>
      <c r="E79" s="13">
        <v>14.0</v>
      </c>
      <c r="F79" s="13" t="s">
        <v>182</v>
      </c>
      <c r="G79" s="16"/>
      <c r="H79" s="6" t="str">
        <f t="shared" si="1"/>
        <v/>
      </c>
      <c r="I79" s="6" t="str">
        <f t="shared" si="2"/>
        <v>Non ancora contato</v>
      </c>
    </row>
    <row r="80">
      <c r="A80" s="2" t="s">
        <v>327</v>
      </c>
      <c r="B80" s="2" t="s">
        <v>330</v>
      </c>
      <c r="C80" s="2" t="s">
        <v>331</v>
      </c>
      <c r="D80" s="15">
        <v>9.0</v>
      </c>
      <c r="E80" s="13">
        <v>7.0</v>
      </c>
      <c r="F80" s="13" t="s">
        <v>182</v>
      </c>
      <c r="G80" s="16"/>
      <c r="H80" s="6" t="str">
        <f t="shared" si="1"/>
        <v/>
      </c>
      <c r="I80" s="6" t="str">
        <f t="shared" si="2"/>
        <v>Non ancora contato</v>
      </c>
    </row>
    <row r="81">
      <c r="A81" s="2" t="s">
        <v>327</v>
      </c>
      <c r="B81" s="2" t="s">
        <v>332</v>
      </c>
      <c r="C81" s="2" t="s">
        <v>333</v>
      </c>
      <c r="D81" s="15">
        <v>21.0</v>
      </c>
      <c r="E81" s="13">
        <v>19.0</v>
      </c>
      <c r="F81" s="13" t="s">
        <v>182</v>
      </c>
      <c r="G81" s="16"/>
      <c r="H81" s="6" t="str">
        <f t="shared" si="1"/>
        <v/>
      </c>
      <c r="I81" s="6" t="str">
        <f t="shared" si="2"/>
        <v>Non ancora contato</v>
      </c>
    </row>
    <row r="82">
      <c r="A82" s="2" t="s">
        <v>327</v>
      </c>
      <c r="B82" s="2" t="s">
        <v>334</v>
      </c>
      <c r="C82" s="2" t="s">
        <v>335</v>
      </c>
      <c r="D82" s="15">
        <v>19.0</v>
      </c>
      <c r="E82" s="13">
        <v>17.0</v>
      </c>
      <c r="F82" s="13" t="s">
        <v>182</v>
      </c>
      <c r="G82" s="16"/>
      <c r="H82" s="6" t="str">
        <f t="shared" si="1"/>
        <v/>
      </c>
      <c r="I82" s="6" t="str">
        <f t="shared" si="2"/>
        <v>Non ancora contato</v>
      </c>
    </row>
    <row r="83">
      <c r="A83" s="2" t="s">
        <v>327</v>
      </c>
      <c r="B83" s="2" t="s">
        <v>336</v>
      </c>
      <c r="C83" s="2" t="s">
        <v>337</v>
      </c>
      <c r="D83" s="15">
        <v>16.0</v>
      </c>
      <c r="E83" s="13">
        <v>14.0</v>
      </c>
      <c r="F83" s="13" t="s">
        <v>182</v>
      </c>
      <c r="G83" s="16"/>
      <c r="H83" s="6" t="str">
        <f t="shared" si="1"/>
        <v/>
      </c>
      <c r="I83" s="6" t="str">
        <f t="shared" si="2"/>
        <v>Non ancora contato</v>
      </c>
    </row>
    <row r="84">
      <c r="A84" s="2" t="s">
        <v>327</v>
      </c>
      <c r="B84" s="2" t="s">
        <v>338</v>
      </c>
      <c r="C84" s="2" t="s">
        <v>339</v>
      </c>
      <c r="D84" s="15">
        <v>16.0</v>
      </c>
      <c r="E84" s="13">
        <v>14.0</v>
      </c>
      <c r="F84" s="13" t="s">
        <v>182</v>
      </c>
      <c r="G84" s="16"/>
      <c r="H84" s="6" t="str">
        <f t="shared" si="1"/>
        <v/>
      </c>
      <c r="I84" s="6" t="str">
        <f t="shared" si="2"/>
        <v>Non ancora contato</v>
      </c>
    </row>
    <row r="85">
      <c r="A85" s="2" t="s">
        <v>327</v>
      </c>
      <c r="B85" s="2" t="s">
        <v>340</v>
      </c>
      <c r="C85" s="2" t="s">
        <v>341</v>
      </c>
      <c r="D85" s="15">
        <v>15.0</v>
      </c>
      <c r="E85" s="13">
        <v>13.0</v>
      </c>
      <c r="F85" s="13" t="s">
        <v>182</v>
      </c>
      <c r="G85" s="16"/>
      <c r="H85" s="6" t="str">
        <f t="shared" si="1"/>
        <v/>
      </c>
      <c r="I85" s="6" t="str">
        <f t="shared" si="2"/>
        <v>Non ancora contato</v>
      </c>
    </row>
    <row r="86">
      <c r="A86" s="2" t="s">
        <v>327</v>
      </c>
      <c r="B86" s="2" t="s">
        <v>342</v>
      </c>
      <c r="C86" s="2" t="s">
        <v>343</v>
      </c>
      <c r="D86" s="15">
        <v>9.0</v>
      </c>
      <c r="E86" s="13">
        <v>7.0</v>
      </c>
      <c r="F86" s="13" t="s">
        <v>182</v>
      </c>
      <c r="G86" s="16"/>
      <c r="H86" s="6" t="str">
        <f t="shared" si="1"/>
        <v/>
      </c>
      <c r="I86" s="6" t="str">
        <f t="shared" si="2"/>
        <v>Non ancora contato</v>
      </c>
    </row>
    <row r="87">
      <c r="A87" s="2" t="s">
        <v>327</v>
      </c>
      <c r="B87" s="2" t="s">
        <v>344</v>
      </c>
      <c r="C87" s="2" t="s">
        <v>345</v>
      </c>
      <c r="D87" s="15">
        <v>21.0</v>
      </c>
      <c r="E87" s="13">
        <v>19.0</v>
      </c>
      <c r="F87" s="13" t="s">
        <v>182</v>
      </c>
      <c r="G87" s="16"/>
      <c r="H87" s="6" t="str">
        <f t="shared" si="1"/>
        <v/>
      </c>
      <c r="I87" s="6" t="str">
        <f t="shared" si="2"/>
        <v>Non ancora contato</v>
      </c>
    </row>
    <row r="88">
      <c r="A88" s="2" t="s">
        <v>327</v>
      </c>
      <c r="B88" s="2" t="s">
        <v>346</v>
      </c>
      <c r="C88" s="2" t="s">
        <v>347</v>
      </c>
      <c r="D88" s="15">
        <v>19.0</v>
      </c>
      <c r="E88" s="13">
        <v>17.0</v>
      </c>
      <c r="F88" s="13" t="s">
        <v>182</v>
      </c>
      <c r="G88" s="16"/>
      <c r="H88" s="6" t="str">
        <f t="shared" si="1"/>
        <v/>
      </c>
      <c r="I88" s="6" t="str">
        <f t="shared" si="2"/>
        <v>Non ancora contato</v>
      </c>
    </row>
    <row r="89">
      <c r="A89" s="2" t="s">
        <v>327</v>
      </c>
      <c r="B89" s="2" t="s">
        <v>348</v>
      </c>
      <c r="C89" s="2" t="s">
        <v>349</v>
      </c>
      <c r="D89" s="15">
        <v>16.0</v>
      </c>
      <c r="E89" s="13">
        <v>14.0</v>
      </c>
      <c r="F89" s="13" t="s">
        <v>182</v>
      </c>
      <c r="G89" s="16"/>
      <c r="H89" s="6" t="str">
        <f t="shared" si="1"/>
        <v/>
      </c>
      <c r="I89" s="6" t="str">
        <f t="shared" si="2"/>
        <v>Non ancora contato</v>
      </c>
    </row>
    <row r="90">
      <c r="A90" s="2" t="s">
        <v>327</v>
      </c>
      <c r="B90" s="2" t="s">
        <v>350</v>
      </c>
      <c r="C90" s="2" t="s">
        <v>351</v>
      </c>
      <c r="D90" s="15">
        <v>15.0</v>
      </c>
      <c r="E90" s="13">
        <v>13.0</v>
      </c>
      <c r="F90" s="13" t="s">
        <v>182</v>
      </c>
      <c r="G90" s="16"/>
      <c r="H90" s="6" t="str">
        <f t="shared" si="1"/>
        <v/>
      </c>
      <c r="I90" s="6" t="str">
        <f t="shared" si="2"/>
        <v>Non ancora contato</v>
      </c>
    </row>
    <row r="91">
      <c r="A91" s="2" t="s">
        <v>352</v>
      </c>
      <c r="B91" s="2" t="s">
        <v>353</v>
      </c>
      <c r="C91" s="2" t="s">
        <v>354</v>
      </c>
      <c r="D91" s="15">
        <v>15.0</v>
      </c>
      <c r="E91" s="13">
        <v>13.0</v>
      </c>
      <c r="F91" s="13" t="s">
        <v>182</v>
      </c>
      <c r="G91" s="16"/>
      <c r="H91" s="6" t="str">
        <f t="shared" si="1"/>
        <v/>
      </c>
      <c r="I91" s="6" t="str">
        <f t="shared" si="2"/>
        <v>Non ancora contato</v>
      </c>
    </row>
    <row r="92">
      <c r="A92" s="2" t="s">
        <v>352</v>
      </c>
      <c r="B92" s="2" t="s">
        <v>355</v>
      </c>
      <c r="C92" s="2" t="s">
        <v>356</v>
      </c>
      <c r="D92" s="15">
        <v>8.0</v>
      </c>
      <c r="E92" s="13">
        <v>6.0</v>
      </c>
      <c r="F92" s="13" t="s">
        <v>182</v>
      </c>
      <c r="G92" s="16"/>
      <c r="H92" s="6" t="str">
        <f t="shared" si="1"/>
        <v/>
      </c>
      <c r="I92" s="6" t="str">
        <f t="shared" si="2"/>
        <v>Non ancora contato</v>
      </c>
    </row>
    <row r="93">
      <c r="A93" s="2" t="s">
        <v>352</v>
      </c>
      <c r="B93" s="2" t="s">
        <v>357</v>
      </c>
      <c r="C93" s="2" t="s">
        <v>358</v>
      </c>
      <c r="D93" s="15">
        <v>20.0</v>
      </c>
      <c r="E93" s="13">
        <v>18.0</v>
      </c>
      <c r="F93" s="13" t="s">
        <v>182</v>
      </c>
      <c r="G93" s="16"/>
      <c r="H93" s="6" t="str">
        <f t="shared" si="1"/>
        <v/>
      </c>
      <c r="I93" s="6" t="str">
        <f t="shared" si="2"/>
        <v>Non ancora contato</v>
      </c>
    </row>
    <row r="94">
      <c r="A94" s="2" t="s">
        <v>352</v>
      </c>
      <c r="B94" s="2" t="s">
        <v>359</v>
      </c>
      <c r="C94" s="2" t="s">
        <v>360</v>
      </c>
      <c r="D94" s="15">
        <v>20.0</v>
      </c>
      <c r="E94" s="13">
        <v>18.0</v>
      </c>
      <c r="F94" s="13" t="s">
        <v>182</v>
      </c>
      <c r="G94" s="16"/>
      <c r="H94" s="6" t="str">
        <f t="shared" si="1"/>
        <v/>
      </c>
      <c r="I94" s="6" t="str">
        <f t="shared" si="2"/>
        <v>Non ancora contato</v>
      </c>
    </row>
    <row r="95">
      <c r="A95" s="2" t="s">
        <v>352</v>
      </c>
      <c r="B95" s="2" t="s">
        <v>361</v>
      </c>
      <c r="C95" s="2" t="s">
        <v>362</v>
      </c>
      <c r="D95" s="15">
        <v>16.0</v>
      </c>
      <c r="E95" s="13">
        <v>14.0</v>
      </c>
      <c r="F95" s="13" t="s">
        <v>182</v>
      </c>
      <c r="G95" s="16"/>
      <c r="H95" s="6" t="str">
        <f t="shared" si="1"/>
        <v/>
      </c>
      <c r="I95" s="6" t="str">
        <f t="shared" si="2"/>
        <v>Non ancora contato</v>
      </c>
    </row>
    <row r="96">
      <c r="A96" s="2" t="s">
        <v>352</v>
      </c>
      <c r="B96" s="2" t="s">
        <v>363</v>
      </c>
      <c r="C96" s="2" t="s">
        <v>364</v>
      </c>
      <c r="D96" s="15">
        <v>16.0</v>
      </c>
      <c r="E96" s="13">
        <v>14.0</v>
      </c>
      <c r="F96" s="13" t="s">
        <v>182</v>
      </c>
      <c r="G96" s="16"/>
      <c r="H96" s="6" t="str">
        <f t="shared" si="1"/>
        <v/>
      </c>
      <c r="I96" s="6" t="str">
        <f t="shared" si="2"/>
        <v>Non ancora contato</v>
      </c>
    </row>
    <row r="97">
      <c r="A97" s="2" t="s">
        <v>365</v>
      </c>
      <c r="B97" s="2" t="s">
        <v>366</v>
      </c>
      <c r="C97" s="2" t="s">
        <v>367</v>
      </c>
      <c r="D97" s="15">
        <v>15.0</v>
      </c>
      <c r="E97" s="13">
        <v>13.0</v>
      </c>
      <c r="F97" s="13" t="s">
        <v>182</v>
      </c>
      <c r="G97" s="16"/>
      <c r="H97" s="6" t="str">
        <f t="shared" si="1"/>
        <v/>
      </c>
      <c r="I97" s="6" t="str">
        <f t="shared" si="2"/>
        <v>Non ancora contato</v>
      </c>
    </row>
    <row r="98">
      <c r="A98" s="2" t="s">
        <v>365</v>
      </c>
      <c r="B98" s="2" t="s">
        <v>368</v>
      </c>
      <c r="C98" s="2" t="s">
        <v>369</v>
      </c>
      <c r="D98" s="15">
        <v>25.0</v>
      </c>
      <c r="E98" s="13">
        <v>23.0</v>
      </c>
      <c r="F98" s="13" t="s">
        <v>182</v>
      </c>
      <c r="G98" s="16"/>
      <c r="H98" s="6" t="str">
        <f t="shared" si="1"/>
        <v/>
      </c>
      <c r="I98" s="6" t="str">
        <f t="shared" si="2"/>
        <v>Non ancora contato</v>
      </c>
    </row>
    <row r="99">
      <c r="A99" s="2" t="s">
        <v>365</v>
      </c>
      <c r="B99" s="2" t="s">
        <v>370</v>
      </c>
      <c r="C99" s="2" t="s">
        <v>371</v>
      </c>
      <c r="D99" s="15">
        <v>20.0</v>
      </c>
      <c r="E99" s="13">
        <v>18.0</v>
      </c>
      <c r="F99" s="13" t="s">
        <v>182</v>
      </c>
      <c r="G99" s="16"/>
      <c r="H99" s="6" t="str">
        <f t="shared" si="1"/>
        <v/>
      </c>
      <c r="I99" s="6" t="str">
        <f t="shared" si="2"/>
        <v>Non ancora contato</v>
      </c>
    </row>
    <row r="100">
      <c r="A100" s="2" t="s">
        <v>365</v>
      </c>
      <c r="B100" s="2" t="s">
        <v>372</v>
      </c>
      <c r="C100" s="2" t="s">
        <v>373</v>
      </c>
      <c r="D100" s="15">
        <v>20.0</v>
      </c>
      <c r="E100" s="13">
        <v>18.0</v>
      </c>
      <c r="F100" s="13" t="s">
        <v>182</v>
      </c>
      <c r="G100" s="16"/>
      <c r="H100" s="6" t="str">
        <f t="shared" si="1"/>
        <v/>
      </c>
      <c r="I100" s="6" t="str">
        <f t="shared" si="2"/>
        <v>Non ancora contato</v>
      </c>
    </row>
    <row r="101">
      <c r="A101" s="2" t="s">
        <v>365</v>
      </c>
      <c r="B101" s="2" t="s">
        <v>374</v>
      </c>
      <c r="C101" s="2" t="s">
        <v>375</v>
      </c>
      <c r="D101" s="15">
        <v>24.0</v>
      </c>
      <c r="E101" s="13">
        <v>22.0</v>
      </c>
      <c r="F101" s="13" t="s">
        <v>182</v>
      </c>
      <c r="G101" s="16"/>
      <c r="H101" s="6" t="str">
        <f t="shared" si="1"/>
        <v/>
      </c>
      <c r="I101" s="6" t="str">
        <f t="shared" si="2"/>
        <v>Non ancora contato</v>
      </c>
    </row>
    <row r="102">
      <c r="A102" s="2" t="s">
        <v>365</v>
      </c>
      <c r="B102" s="2" t="s">
        <v>376</v>
      </c>
      <c r="C102" s="2" t="s">
        <v>377</v>
      </c>
      <c r="D102" s="15">
        <v>22.0</v>
      </c>
      <c r="E102" s="13">
        <v>20.0</v>
      </c>
      <c r="F102" s="13" t="s">
        <v>182</v>
      </c>
      <c r="G102" s="16"/>
      <c r="H102" s="6" t="str">
        <f t="shared" si="1"/>
        <v/>
      </c>
      <c r="I102" s="6" t="str">
        <f t="shared" si="2"/>
        <v>Non ancora contato</v>
      </c>
    </row>
    <row r="103">
      <c r="A103" s="2" t="s">
        <v>365</v>
      </c>
      <c r="B103" s="2" t="s">
        <v>378</v>
      </c>
      <c r="C103" s="2" t="s">
        <v>379</v>
      </c>
      <c r="D103" s="15">
        <v>15.0</v>
      </c>
      <c r="E103" s="13">
        <v>13.0</v>
      </c>
      <c r="F103" s="13" t="s">
        <v>182</v>
      </c>
      <c r="G103" s="16"/>
      <c r="H103" s="6" t="str">
        <f t="shared" si="1"/>
        <v/>
      </c>
      <c r="I103" s="6" t="str">
        <f t="shared" si="2"/>
        <v>Non ancora contato</v>
      </c>
    </row>
    <row r="104">
      <c r="A104" s="2" t="s">
        <v>269</v>
      </c>
      <c r="B104" s="2" t="s">
        <v>380</v>
      </c>
      <c r="C104" s="2" t="s">
        <v>381</v>
      </c>
      <c r="D104" s="15">
        <v>2.0</v>
      </c>
      <c r="E104" s="13">
        <v>2.0</v>
      </c>
      <c r="F104" s="13" t="s">
        <v>187</v>
      </c>
      <c r="G104" s="16"/>
      <c r="H104" s="6" t="str">
        <f t="shared" si="1"/>
        <v/>
      </c>
      <c r="I104" s="6" t="str">
        <f t="shared" si="2"/>
        <v>Non ancora contato</v>
      </c>
    </row>
    <row r="105">
      <c r="A105" s="2" t="s">
        <v>269</v>
      </c>
      <c r="B105" s="2" t="s">
        <v>382</v>
      </c>
      <c r="C105" s="2" t="s">
        <v>383</v>
      </c>
      <c r="D105" s="15">
        <v>8.0</v>
      </c>
      <c r="E105" s="13">
        <v>6.0</v>
      </c>
      <c r="F105" s="13" t="s">
        <v>182</v>
      </c>
      <c r="G105" s="16"/>
      <c r="H105" s="6" t="str">
        <f t="shared" si="1"/>
        <v/>
      </c>
      <c r="I105" s="6" t="str">
        <f t="shared" si="2"/>
        <v>Non ancora contato</v>
      </c>
    </row>
    <row r="106">
      <c r="A106" s="2" t="s">
        <v>269</v>
      </c>
      <c r="B106" s="2" t="s">
        <v>384</v>
      </c>
      <c r="C106" s="2" t="s">
        <v>385</v>
      </c>
      <c r="D106" s="15">
        <v>0.0</v>
      </c>
      <c r="E106" s="13">
        <v>0.0</v>
      </c>
      <c r="F106" s="13" t="s">
        <v>182</v>
      </c>
      <c r="G106" s="16"/>
      <c r="H106" s="6" t="str">
        <f t="shared" si="1"/>
        <v/>
      </c>
      <c r="I106" s="6" t="str">
        <f t="shared" si="2"/>
        <v>Non ancora contato</v>
      </c>
    </row>
    <row r="107">
      <c r="A107" s="2" t="s">
        <v>252</v>
      </c>
      <c r="B107" s="2" t="s">
        <v>386</v>
      </c>
      <c r="C107" s="2" t="s">
        <v>387</v>
      </c>
      <c r="D107" s="15">
        <v>8.0</v>
      </c>
      <c r="E107" s="13">
        <v>7.0</v>
      </c>
      <c r="F107" s="13" t="s">
        <v>182</v>
      </c>
      <c r="G107" s="16"/>
      <c r="H107" s="6" t="str">
        <f t="shared" si="1"/>
        <v/>
      </c>
      <c r="I107" s="6" t="str">
        <f t="shared" si="2"/>
        <v>Non ancora contato</v>
      </c>
    </row>
    <row r="108">
      <c r="A108" s="2" t="s">
        <v>252</v>
      </c>
      <c r="B108" s="2" t="s">
        <v>388</v>
      </c>
      <c r="C108" s="2" t="s">
        <v>389</v>
      </c>
      <c r="D108" s="15">
        <v>9.0</v>
      </c>
      <c r="E108" s="13">
        <v>9.0</v>
      </c>
      <c r="F108" s="13" t="s">
        <v>182</v>
      </c>
      <c r="G108" s="16"/>
      <c r="H108" s="6" t="str">
        <f t="shared" si="1"/>
        <v/>
      </c>
      <c r="I108" s="6" t="str">
        <f t="shared" si="2"/>
        <v>Non ancora contato</v>
      </c>
    </row>
    <row r="109">
      <c r="A109" s="2" t="s">
        <v>269</v>
      </c>
      <c r="B109" s="2" t="s">
        <v>390</v>
      </c>
      <c r="C109" s="2" t="s">
        <v>391</v>
      </c>
      <c r="D109" s="15">
        <v>8.0</v>
      </c>
      <c r="E109" s="13">
        <v>0.0</v>
      </c>
      <c r="F109" s="13" t="s">
        <v>187</v>
      </c>
      <c r="G109" s="16"/>
      <c r="H109" s="6" t="str">
        <f t="shared" si="1"/>
        <v/>
      </c>
      <c r="I109" s="6" t="str">
        <f t="shared" si="2"/>
        <v>Non ancora contato</v>
      </c>
    </row>
    <row r="110">
      <c r="A110" s="2" t="s">
        <v>252</v>
      </c>
      <c r="B110" s="2" t="s">
        <v>392</v>
      </c>
      <c r="C110" s="2" t="s">
        <v>393</v>
      </c>
      <c r="D110" s="15">
        <v>0.0</v>
      </c>
      <c r="E110" s="13" t="s">
        <v>194</v>
      </c>
      <c r="F110" s="13" t="s">
        <v>194</v>
      </c>
      <c r="G110" s="16"/>
      <c r="H110" s="6" t="str">
        <f t="shared" si="1"/>
        <v/>
      </c>
      <c r="I110" s="6" t="str">
        <f t="shared" si="2"/>
        <v>Non ancora contato</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394</v>
      </c>
      <c r="B1" s="2" t="s">
        <v>395</v>
      </c>
      <c r="C1" s="2" t="s">
        <v>396</v>
      </c>
    </row>
    <row r="2">
      <c r="A2" s="17">
        <v>46182.87291666667</v>
      </c>
      <c r="B2" s="10">
        <v>46182.0</v>
      </c>
      <c r="C2" s="2" t="s">
        <v>397</v>
      </c>
    </row>
    <row r="3">
      <c r="A3" s="17">
        <v>46182.88402777778</v>
      </c>
      <c r="B3" s="10">
        <v>46182.0</v>
      </c>
      <c r="C3" s="2" t="s">
        <v>398</v>
      </c>
    </row>
    <row r="4">
      <c r="A4" s="17">
        <v>46182.91875</v>
      </c>
      <c r="B4" s="10">
        <v>46182.0</v>
      </c>
      <c r="C4" s="2" t="s">
        <v>399</v>
      </c>
    </row>
    <row r="5">
      <c r="A5" s="17">
        <v>46182.99166666667</v>
      </c>
      <c r="B5" s="10">
        <v>46182.0</v>
      </c>
      <c r="C5" s="2" t="s">
        <v>400</v>
      </c>
    </row>
    <row r="6">
      <c r="A6" s="17">
        <v>46183.72152777778</v>
      </c>
      <c r="B6" s="10">
        <v>46183.0</v>
      </c>
      <c r="C6" s="2" t="s">
        <v>401</v>
      </c>
    </row>
    <row r="7">
      <c r="A7" s="17">
        <v>46183.92847222222</v>
      </c>
      <c r="B7" s="10">
        <v>46183.0</v>
      </c>
      <c r="C7" s="2" t="s">
        <v>402</v>
      </c>
    </row>
    <row r="8">
      <c r="A8" s="17">
        <v>46186.9125</v>
      </c>
      <c r="B8" s="10">
        <v>46186.0</v>
      </c>
      <c r="C8" s="2" t="s">
        <v>403</v>
      </c>
    </row>
    <row r="9">
      <c r="A9" s="17">
        <v>46187.55902777778</v>
      </c>
      <c r="B9" s="10">
        <v>46187.0</v>
      </c>
      <c r="C9" s="2" t="s">
        <v>404</v>
      </c>
    </row>
    <row r="10">
      <c r="A10" s="17">
        <v>46188.55902777778</v>
      </c>
      <c r="B10" s="10">
        <v>46188.0</v>
      </c>
      <c r="C10" s="2" t="s">
        <v>405</v>
      </c>
    </row>
    <row r="11">
      <c r="A11" s="17">
        <v>46189.55902777778</v>
      </c>
      <c r="B11" s="10">
        <v>46189.0</v>
      </c>
      <c r="C11" s="2" t="s">
        <v>406</v>
      </c>
    </row>
    <row r="12">
      <c r="A12" s="17">
        <v>46190.55902777778</v>
      </c>
      <c r="B12" s="10">
        <v>46190.0</v>
      </c>
      <c r="C12" s="2" t="s">
        <v>407</v>
      </c>
    </row>
    <row r="13">
      <c r="A13" s="17">
        <v>46191.55902777778</v>
      </c>
      <c r="B13" s="10">
        <v>46191.0</v>
      </c>
      <c r="C13" s="2" t="s">
        <v>408</v>
      </c>
    </row>
    <row r="14">
      <c r="A14" s="17">
        <v>46192.55902777778</v>
      </c>
      <c r="B14" s="10">
        <v>46192.0</v>
      </c>
      <c r="C14" s="2" t="s">
        <v>409</v>
      </c>
    </row>
    <row r="15">
      <c r="A15" s="17">
        <v>46193.55902777778</v>
      </c>
      <c r="B15" s="10">
        <v>46193.0</v>
      </c>
      <c r="C15" s="2" t="s">
        <v>410</v>
      </c>
    </row>
    <row r="16">
      <c r="A16" s="17">
        <v>46194.55902777778</v>
      </c>
      <c r="B16" s="10">
        <v>46194.0</v>
      </c>
      <c r="C16" s="2" t="s">
        <v>411</v>
      </c>
    </row>
    <row r="17">
      <c r="A17" s="17">
        <v>46195.55902777778</v>
      </c>
      <c r="B17" s="10">
        <v>46195.0</v>
      </c>
      <c r="C17" s="2" t="s">
        <v>412</v>
      </c>
    </row>
    <row r="18">
      <c r="A18" s="17">
        <v>46196.55902777778</v>
      </c>
      <c r="B18" s="10">
        <v>46196.0</v>
      </c>
      <c r="C18" s="2" t="s">
        <v>413</v>
      </c>
    </row>
    <row r="19">
      <c r="A19" s="17">
        <v>46197.55902777778</v>
      </c>
      <c r="B19" s="10">
        <v>46197.0</v>
      </c>
      <c r="C19" s="2" t="s">
        <v>414</v>
      </c>
    </row>
    <row r="20">
      <c r="A20" s="17">
        <v>46198.55902777778</v>
      </c>
      <c r="B20" s="10">
        <v>46198.0</v>
      </c>
      <c r="C20" s="2" t="s">
        <v>415</v>
      </c>
    </row>
    <row r="21">
      <c r="A21" s="17">
        <v>46199.55902777778</v>
      </c>
      <c r="B21" s="10">
        <v>46199.0</v>
      </c>
      <c r="C21" s="2" t="s">
        <v>416</v>
      </c>
    </row>
    <row r="22">
      <c r="A22" s="17">
        <v>46200.55902777778</v>
      </c>
      <c r="B22" s="10">
        <v>46200.0</v>
      </c>
      <c r="C22" s="2" t="s">
        <v>417</v>
      </c>
    </row>
    <row r="23">
      <c r="A23" s="17">
        <v>46201.55902777778</v>
      </c>
      <c r="B23" s="10">
        <v>46201.0</v>
      </c>
      <c r="C23" s="2" t="s">
        <v>418</v>
      </c>
    </row>
    <row r="24">
      <c r="A24" s="17">
        <v>46202.55902777778</v>
      </c>
      <c r="B24" s="10">
        <v>46202.0</v>
      </c>
      <c r="C24" s="2" t="s">
        <v>419</v>
      </c>
    </row>
    <row r="25">
      <c r="A25" s="17">
        <v>46203.55902777778</v>
      </c>
      <c r="B25" s="10">
        <v>46203.0</v>
      </c>
      <c r="C25" s="2" t="s">
        <v>420</v>
      </c>
    </row>
    <row r="26">
      <c r="A26" s="17">
        <v>46204.55902777778</v>
      </c>
      <c r="B26" s="10">
        <v>46204.0</v>
      </c>
      <c r="C26" s="2" t="s">
        <v>421</v>
      </c>
    </row>
    <row r="27">
      <c r="A27" s="17">
        <v>46205.55902777778</v>
      </c>
      <c r="B27" s="10">
        <v>46205.0</v>
      </c>
      <c r="C27" s="2" t="s">
        <v>422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 t="s">
        <v>423</v>
      </c>
      <c r="B1" s="7" t="s">
        <v>424</v>
      </c>
      <c r="C1" s="7" t="s">
        <v>425</v>
      </c>
      <c r="D1" s="7" t="s">
        <v>426</v>
      </c>
      <c r="E1" s="7" t="s">
        <v>427</v>
      </c>
      <c r="F1" s="7" t="s">
        <v>172</v>
      </c>
      <c r="G1" s="7" t="s">
        <v>428</v>
      </c>
      <c r="H1" s="7" t="s">
        <v>429</v>
      </c>
      <c r="I1" s="7" t="s">
        <v>430</v>
      </c>
      <c r="J1" s="7" t="s">
        <v>431</v>
      </c>
    </row>
    <row r="2">
      <c r="A2" s="2" t="s">
        <v>432</v>
      </c>
      <c r="B2" s="2" t="s">
        <v>433</v>
      </c>
      <c r="C2" s="2" t="s">
        <v>434</v>
      </c>
      <c r="D2" s="2" t="s">
        <v>435</v>
      </c>
      <c r="E2" s="2" t="s">
        <v>436</v>
      </c>
      <c r="F2" s="2" t="s">
        <v>437</v>
      </c>
      <c r="H2" s="2" t="s">
        <v>438</v>
      </c>
    </row>
    <row r="3">
      <c r="A3" s="2" t="s">
        <v>439</v>
      </c>
      <c r="B3" s="2" t="s">
        <v>440</v>
      </c>
      <c r="C3" s="2" t="s">
        <v>441</v>
      </c>
      <c r="D3" s="2" t="s">
        <v>442</v>
      </c>
      <c r="E3" s="2" t="s">
        <v>436</v>
      </c>
      <c r="F3" s="2" t="s">
        <v>337</v>
      </c>
      <c r="H3" s="2" t="s">
        <v>443</v>
      </c>
    </row>
    <row r="4">
      <c r="A4" s="2" t="s">
        <v>444</v>
      </c>
      <c r="B4" s="2" t="s">
        <v>445</v>
      </c>
      <c r="C4" s="2" t="s">
        <v>446</v>
      </c>
      <c r="D4" s="2" t="s">
        <v>447</v>
      </c>
      <c r="E4" s="2" t="s">
        <v>436</v>
      </c>
      <c r="F4" s="2" t="s">
        <v>448</v>
      </c>
      <c r="H4" s="2" t="s">
        <v>449</v>
      </c>
    </row>
    <row r="5">
      <c r="A5" s="2" t="s">
        <v>450</v>
      </c>
      <c r="B5" s="2" t="s">
        <v>451</v>
      </c>
      <c r="C5" s="2" t="s">
        <v>452</v>
      </c>
      <c r="D5" s="2" t="s">
        <v>453</v>
      </c>
      <c r="E5" s="2" t="s">
        <v>436</v>
      </c>
      <c r="F5" s="2" t="s">
        <v>454</v>
      </c>
      <c r="H5" s="2" t="s">
        <v>455</v>
      </c>
    </row>
    <row r="6">
      <c r="A6" s="2" t="s">
        <v>456</v>
      </c>
      <c r="B6" s="2" t="s">
        <v>457</v>
      </c>
      <c r="C6" s="2" t="s">
        <v>458</v>
      </c>
      <c r="D6" s="2" t="s">
        <v>459</v>
      </c>
      <c r="E6" s="2" t="s">
        <v>436</v>
      </c>
      <c r="F6" s="2" t="s">
        <v>460</v>
      </c>
      <c r="H6" s="2" t="s">
        <v>461</v>
      </c>
    </row>
    <row r="7">
      <c r="A7" s="2" t="s">
        <v>462</v>
      </c>
      <c r="B7" s="2" t="s">
        <v>463</v>
      </c>
      <c r="C7" s="2" t="s">
        <v>464</v>
      </c>
      <c r="D7" s="2" t="s">
        <v>465</v>
      </c>
      <c r="E7" s="2" t="s">
        <v>436</v>
      </c>
      <c r="F7" s="2" t="s">
        <v>466</v>
      </c>
      <c r="H7" s="2" t="s">
        <v>467</v>
      </c>
    </row>
    <row r="8">
      <c r="A8" s="2" t="s">
        <v>468</v>
      </c>
      <c r="B8" s="2" t="s">
        <v>469</v>
      </c>
      <c r="C8" s="2" t="s">
        <v>470</v>
      </c>
      <c r="D8" s="2" t="s">
        <v>471</v>
      </c>
      <c r="E8" s="2" t="s">
        <v>436</v>
      </c>
      <c r="F8" s="2" t="s">
        <v>472</v>
      </c>
      <c r="H8" s="2" t="s">
        <v>473</v>
      </c>
    </row>
    <row r="9">
      <c r="A9" s="2" t="s">
        <v>474</v>
      </c>
      <c r="B9" s="2" t="s">
        <v>475</v>
      </c>
      <c r="C9" s="2" t="s">
        <v>476</v>
      </c>
      <c r="D9" s="2" t="s">
        <v>477</v>
      </c>
      <c r="E9" s="2" t="s">
        <v>436</v>
      </c>
      <c r="F9" s="2" t="s">
        <v>478</v>
      </c>
      <c r="H9" s="2" t="s">
        <v>479</v>
      </c>
    </row>
    <row r="10">
      <c r="A10" s="2" t="s">
        <v>480</v>
      </c>
      <c r="B10" s="2" t="s">
        <v>481</v>
      </c>
      <c r="C10" s="2" t="s">
        <v>482</v>
      </c>
      <c r="D10" s="2" t="s">
        <v>483</v>
      </c>
      <c r="E10" s="2" t="s">
        <v>436</v>
      </c>
      <c r="F10" s="2" t="s">
        <v>375</v>
      </c>
      <c r="H10" s="2" t="s">
        <v>484</v>
      </c>
    </row>
    <row r="11">
      <c r="A11" s="2" t="s">
        <v>485</v>
      </c>
      <c r="B11" s="2" t="s">
        <v>486</v>
      </c>
      <c r="C11" s="2" t="s">
        <v>487</v>
      </c>
      <c r="D11" s="2" t="s">
        <v>488</v>
      </c>
      <c r="E11" s="2" t="s">
        <v>436</v>
      </c>
      <c r="F11" s="2" t="s">
        <v>489</v>
      </c>
      <c r="H11" s="2" t="s">
        <v>490</v>
      </c>
    </row>
    <row r="12">
      <c r="A12" s="2" t="s">
        <v>491</v>
      </c>
      <c r="B12" s="2" t="s">
        <v>492</v>
      </c>
      <c r="C12" s="2" t="s">
        <v>493</v>
      </c>
      <c r="D12" s="2" t="s">
        <v>494</v>
      </c>
      <c r="E12" s="2" t="s">
        <v>436</v>
      </c>
      <c r="F12" s="2" t="s">
        <v>495</v>
      </c>
      <c r="H12" s="2" t="s">
        <v>496</v>
      </c>
    </row>
    <row r="13">
      <c r="A13" s="2" t="s">
        <v>497</v>
      </c>
      <c r="B13" s="2" t="s">
        <v>498</v>
      </c>
      <c r="C13" s="2" t="s">
        <v>499</v>
      </c>
      <c r="D13" s="2" t="s">
        <v>500</v>
      </c>
      <c r="E13" s="2" t="s">
        <v>436</v>
      </c>
      <c r="F13" s="2" t="s">
        <v>501</v>
      </c>
      <c r="H13" s="2" t="s">
        <v>502</v>
      </c>
    </row>
    <row r="14">
      <c r="A14" s="2" t="s">
        <v>503</v>
      </c>
      <c r="B14" s="2" t="s">
        <v>504</v>
      </c>
      <c r="C14" s="2" t="s">
        <v>505</v>
      </c>
      <c r="D14" s="2" t="s">
        <v>506</v>
      </c>
      <c r="E14" s="2" t="s">
        <v>436</v>
      </c>
      <c r="F14" s="2" t="s">
        <v>507</v>
      </c>
      <c r="H14" s="2" t="s">
        <v>508</v>
      </c>
    </row>
    <row r="15">
      <c r="A15" s="2" t="s">
        <v>509</v>
      </c>
      <c r="B15" s="2" t="s">
        <v>510</v>
      </c>
      <c r="C15" s="2" t="s">
        <v>511</v>
      </c>
      <c r="D15" s="2" t="s">
        <v>512</v>
      </c>
      <c r="E15" s="2" t="s">
        <v>436</v>
      </c>
      <c r="F15" s="2" t="s">
        <v>161</v>
      </c>
      <c r="H15" s="2" t="s">
        <v>513</v>
      </c>
      <c r="J15" s="5">
        <v>46182.625</v>
      </c>
    </row>
    <row r="16">
      <c r="A16" s="2" t="s">
        <v>514</v>
      </c>
      <c r="B16" s="2" t="s">
        <v>515</v>
      </c>
      <c r="C16" s="2" t="s">
        <v>516</v>
      </c>
      <c r="D16" s="2" t="s">
        <v>517</v>
      </c>
      <c r="E16" s="2" t="s">
        <v>436</v>
      </c>
      <c r="F16" s="2" t="s">
        <v>202</v>
      </c>
      <c r="H16" s="2" t="s">
        <v>518</v>
      </c>
    </row>
    <row r="17">
      <c r="A17" s="2" t="s">
        <v>519</v>
      </c>
      <c r="B17" s="2" t="s">
        <v>520</v>
      </c>
      <c r="C17" s="2" t="s">
        <v>521</v>
      </c>
      <c r="D17" s="2" t="s">
        <v>522</v>
      </c>
      <c r="E17" s="2" t="s">
        <v>436</v>
      </c>
      <c r="F17" s="2" t="s">
        <v>291</v>
      </c>
      <c r="H17" s="2" t="s">
        <v>523</v>
      </c>
      <c r="J17" s="5">
        <v>46182.625</v>
      </c>
    </row>
    <row r="18">
      <c r="A18" s="2" t="s">
        <v>524</v>
      </c>
      <c r="B18" s="2" t="s">
        <v>525</v>
      </c>
      <c r="C18" s="2" t="s">
        <v>526</v>
      </c>
      <c r="D18" s="2" t="s">
        <v>527</v>
      </c>
      <c r="E18" s="2" t="s">
        <v>436</v>
      </c>
      <c r="F18" s="2" t="s">
        <v>300</v>
      </c>
      <c r="H18" s="2" t="s">
        <v>528</v>
      </c>
    </row>
    <row r="19">
      <c r="A19" s="2" t="s">
        <v>529</v>
      </c>
      <c r="B19" s="2" t="s">
        <v>530</v>
      </c>
      <c r="C19" s="2" t="s">
        <v>531</v>
      </c>
      <c r="D19" s="2" t="s">
        <v>532</v>
      </c>
      <c r="E19" s="2" t="s">
        <v>436</v>
      </c>
      <c r="F19" s="2" t="s">
        <v>298</v>
      </c>
      <c r="H19" s="2" t="s">
        <v>533</v>
      </c>
      <c r="J19" s="5">
        <v>46182.625</v>
      </c>
    </row>
    <row r="20">
      <c r="A20" s="2" t="s">
        <v>534</v>
      </c>
      <c r="B20" s="2" t="s">
        <v>535</v>
      </c>
      <c r="C20" s="2" t="s">
        <v>536</v>
      </c>
      <c r="D20" s="2" t="s">
        <v>537</v>
      </c>
      <c r="E20" s="2" t="s">
        <v>436</v>
      </c>
      <c r="F20" s="2" t="s">
        <v>293</v>
      </c>
      <c r="H20" s="2" t="s">
        <v>538</v>
      </c>
      <c r="J20" s="5">
        <v>46182.625</v>
      </c>
    </row>
    <row r="21">
      <c r="A21" s="2" t="s">
        <v>539</v>
      </c>
      <c r="B21" s="2" t="s">
        <v>540</v>
      </c>
      <c r="C21" s="2" t="s">
        <v>541</v>
      </c>
      <c r="D21" s="2" t="s">
        <v>542</v>
      </c>
      <c r="E21" s="2" t="s">
        <v>436</v>
      </c>
      <c r="F21" s="2" t="s">
        <v>167</v>
      </c>
      <c r="H21" s="2" t="s">
        <v>543</v>
      </c>
      <c r="J21" s="5">
        <v>46182.625</v>
      </c>
    </row>
    <row r="22">
      <c r="A22" s="2" t="s">
        <v>544</v>
      </c>
      <c r="B22" s="2" t="s">
        <v>545</v>
      </c>
      <c r="C22" s="2" t="s">
        <v>546</v>
      </c>
      <c r="D22" s="2" t="s">
        <v>547</v>
      </c>
      <c r="E22" s="2" t="s">
        <v>436</v>
      </c>
      <c r="F22" s="2" t="s">
        <v>196</v>
      </c>
      <c r="H22" s="2" t="s">
        <v>548</v>
      </c>
      <c r="J22" s="5">
        <v>46182.625</v>
      </c>
    </row>
    <row r="23">
      <c r="A23" s="2" t="s">
        <v>549</v>
      </c>
      <c r="B23" s="2" t="s">
        <v>550</v>
      </c>
      <c r="C23" s="2" t="s">
        <v>551</v>
      </c>
      <c r="D23" s="2" t="s">
        <v>552</v>
      </c>
      <c r="E23" s="2" t="s">
        <v>436</v>
      </c>
      <c r="F23" s="2" t="s">
        <v>247</v>
      </c>
      <c r="H23" s="2" t="s">
        <v>553</v>
      </c>
      <c r="J23" s="5">
        <v>46182.625</v>
      </c>
    </row>
    <row r="24">
      <c r="A24" s="2" t="s">
        <v>554</v>
      </c>
      <c r="B24" s="2" t="s">
        <v>555</v>
      </c>
      <c r="C24" s="2" t="s">
        <v>556</v>
      </c>
      <c r="D24" s="2" t="s">
        <v>557</v>
      </c>
      <c r="E24" s="2" t="s">
        <v>436</v>
      </c>
      <c r="F24" s="2" t="s">
        <v>296</v>
      </c>
      <c r="H24" s="2" t="s">
        <v>558</v>
      </c>
      <c r="J24" s="5"/>
    </row>
    <row r="25">
      <c r="A25" s="2" t="s">
        <v>559</v>
      </c>
      <c r="B25" s="2" t="s">
        <v>560</v>
      </c>
      <c r="C25" s="2" t="s">
        <v>561</v>
      </c>
      <c r="D25" s="2" t="s">
        <v>562</v>
      </c>
      <c r="E25" s="2" t="s">
        <v>436</v>
      </c>
      <c r="F25" s="2" t="s">
        <v>246</v>
      </c>
      <c r="H25" s="2" t="s">
        <v>563</v>
      </c>
      <c r="J25" s="5"/>
    </row>
    <row r="26">
      <c r="A26" s="2" t="s">
        <v>564</v>
      </c>
      <c r="B26" s="2" t="s">
        <v>565</v>
      </c>
      <c r="C26" s="2" t="s">
        <v>566</v>
      </c>
      <c r="D26" s="2" t="s">
        <v>567</v>
      </c>
      <c r="E26" s="2" t="s">
        <v>436</v>
      </c>
      <c r="F26" s="2" t="s">
        <v>244</v>
      </c>
      <c r="H26" s="2" t="s">
        <v>568</v>
      </c>
      <c r="J26" s="5">
        <v>46182.625</v>
      </c>
    </row>
    <row r="27">
      <c r="A27" s="2" t="s">
        <v>569</v>
      </c>
      <c r="B27" s="2" t="s">
        <v>570</v>
      </c>
      <c r="C27" s="2" t="s">
        <v>571</v>
      </c>
      <c r="D27" s="2" t="s">
        <v>572</v>
      </c>
      <c r="E27" s="2" t="s">
        <v>436</v>
      </c>
      <c r="F27" s="2" t="s">
        <v>223</v>
      </c>
      <c r="H27" s="2" t="s">
        <v>573</v>
      </c>
      <c r="J27" s="5">
        <v>46182.625</v>
      </c>
    </row>
    <row r="28">
      <c r="A28" s="2" t="s">
        <v>574</v>
      </c>
      <c r="B28" s="2" t="s">
        <v>575</v>
      </c>
      <c r="C28" s="2" t="s">
        <v>576</v>
      </c>
      <c r="D28" s="2" t="s">
        <v>577</v>
      </c>
      <c r="E28" s="2" t="s">
        <v>436</v>
      </c>
      <c r="F28" s="2" t="s">
        <v>181</v>
      </c>
      <c r="H28" s="2" t="s">
        <v>578</v>
      </c>
      <c r="J28" s="5">
        <v>46182.625</v>
      </c>
    </row>
    <row r="29">
      <c r="A29" s="2" t="s">
        <v>579</v>
      </c>
      <c r="B29" s="2" t="s">
        <v>580</v>
      </c>
      <c r="C29" s="2" t="s">
        <v>581</v>
      </c>
      <c r="D29" s="2" t="s">
        <v>582</v>
      </c>
      <c r="E29" s="2" t="s">
        <v>436</v>
      </c>
      <c r="F29" s="2" t="s">
        <v>239</v>
      </c>
      <c r="H29" s="2" t="s">
        <v>583</v>
      </c>
      <c r="J29" s="5">
        <v>46182.625</v>
      </c>
    </row>
    <row r="30">
      <c r="A30" s="2" t="s">
        <v>584</v>
      </c>
      <c r="B30" s="2" t="s">
        <v>585</v>
      </c>
      <c r="C30" s="2" t="s">
        <v>586</v>
      </c>
      <c r="D30" s="2" t="s">
        <v>587</v>
      </c>
      <c r="E30" s="2" t="s">
        <v>436</v>
      </c>
      <c r="F30" s="2" t="s">
        <v>588</v>
      </c>
      <c r="H30" s="2" t="s">
        <v>589</v>
      </c>
      <c r="J30" s="5"/>
    </row>
    <row r="31">
      <c r="A31" s="2" t="s">
        <v>590</v>
      </c>
      <c r="B31" s="2" t="s">
        <v>591</v>
      </c>
      <c r="C31" s="2" t="s">
        <v>592</v>
      </c>
      <c r="D31" s="2" t="s">
        <v>593</v>
      </c>
      <c r="E31" s="2" t="s">
        <v>436</v>
      </c>
      <c r="F31" s="2" t="s">
        <v>295</v>
      </c>
      <c r="H31" s="2" t="s">
        <v>594</v>
      </c>
      <c r="J31" s="5"/>
    </row>
    <row r="32">
      <c r="A32" s="2" t="s">
        <v>595</v>
      </c>
      <c r="B32" s="2" t="s">
        <v>596</v>
      </c>
      <c r="C32" s="2" t="s">
        <v>597</v>
      </c>
      <c r="D32" s="2" t="s">
        <v>598</v>
      </c>
      <c r="E32" s="2" t="s">
        <v>436</v>
      </c>
      <c r="F32" s="2" t="s">
        <v>599</v>
      </c>
      <c r="H32" s="2" t="s">
        <v>600</v>
      </c>
      <c r="J32" s="5"/>
    </row>
    <row r="33">
      <c r="A33" s="2" t="s">
        <v>601</v>
      </c>
      <c r="B33" s="2" t="s">
        <v>602</v>
      </c>
      <c r="C33" s="2" t="s">
        <v>603</v>
      </c>
      <c r="D33" s="2" t="s">
        <v>604</v>
      </c>
      <c r="E33" s="2" t="s">
        <v>436</v>
      </c>
      <c r="F33" s="2" t="s">
        <v>605</v>
      </c>
      <c r="H33" s="2" t="s">
        <v>606</v>
      </c>
      <c r="J33" s="5"/>
    </row>
    <row r="34">
      <c r="A34" s="2" t="s">
        <v>607</v>
      </c>
      <c r="B34" s="2" t="s">
        <v>608</v>
      </c>
      <c r="C34" s="2" t="s">
        <v>609</v>
      </c>
      <c r="D34" s="2" t="s">
        <v>610</v>
      </c>
      <c r="E34" s="2" t="s">
        <v>436</v>
      </c>
      <c r="F34" s="2" t="s">
        <v>207</v>
      </c>
      <c r="H34" s="2" t="s">
        <v>611</v>
      </c>
      <c r="J34" s="5">
        <v>46182.625</v>
      </c>
    </row>
    <row r="35">
      <c r="A35" s="2" t="s">
        <v>612</v>
      </c>
      <c r="B35" s="2" t="s">
        <v>613</v>
      </c>
      <c r="C35" s="2" t="s">
        <v>614</v>
      </c>
      <c r="D35" s="2" t="s">
        <v>615</v>
      </c>
      <c r="E35" s="2" t="s">
        <v>436</v>
      </c>
      <c r="F35" s="2" t="s">
        <v>616</v>
      </c>
      <c r="H35" s="2" t="s">
        <v>617</v>
      </c>
    </row>
    <row r="36">
      <c r="A36" s="2" t="s">
        <v>618</v>
      </c>
      <c r="B36" s="2" t="s">
        <v>619</v>
      </c>
      <c r="C36" s="2" t="s">
        <v>620</v>
      </c>
      <c r="D36" s="2" t="s">
        <v>621</v>
      </c>
      <c r="E36" s="2" t="s">
        <v>436</v>
      </c>
      <c r="F36" s="2" t="s">
        <v>349</v>
      </c>
      <c r="H36" s="2" t="s">
        <v>622</v>
      </c>
      <c r="J36" s="5"/>
    </row>
    <row r="37">
      <c r="A37" s="2" t="s">
        <v>623</v>
      </c>
      <c r="B37" s="2" t="s">
        <v>624</v>
      </c>
      <c r="C37" s="2" t="s">
        <v>625</v>
      </c>
      <c r="D37" s="2" t="s">
        <v>626</v>
      </c>
      <c r="E37" s="2" t="s">
        <v>436</v>
      </c>
      <c r="F37" s="2" t="s">
        <v>627</v>
      </c>
      <c r="H37" s="2" t="s">
        <v>628</v>
      </c>
    </row>
    <row r="38">
      <c r="A38" s="2" t="s">
        <v>629</v>
      </c>
      <c r="B38" s="2" t="s">
        <v>630</v>
      </c>
      <c r="C38" s="2" t="s">
        <v>631</v>
      </c>
      <c r="D38" s="2" t="s">
        <v>632</v>
      </c>
      <c r="E38" s="2" t="s">
        <v>436</v>
      </c>
      <c r="F38" s="2" t="s">
        <v>633</v>
      </c>
      <c r="H38" s="2" t="s">
        <v>634</v>
      </c>
    </row>
    <row r="39">
      <c r="A39" s="2" t="s">
        <v>635</v>
      </c>
      <c r="B39" s="2" t="s">
        <v>636</v>
      </c>
      <c r="C39" s="2" t="s">
        <v>637</v>
      </c>
      <c r="D39" s="2" t="s">
        <v>638</v>
      </c>
      <c r="E39" s="2" t="s">
        <v>436</v>
      </c>
      <c r="F39" s="2" t="s">
        <v>639</v>
      </c>
      <c r="H39" s="2" t="s">
        <v>640</v>
      </c>
      <c r="J39" s="5"/>
    </row>
    <row r="40">
      <c r="A40" s="2" t="s">
        <v>641</v>
      </c>
      <c r="B40" s="2" t="s">
        <v>642</v>
      </c>
      <c r="C40" s="2" t="s">
        <v>643</v>
      </c>
      <c r="D40" s="2" t="s">
        <v>644</v>
      </c>
      <c r="E40" s="2" t="s">
        <v>436</v>
      </c>
      <c r="F40" s="2" t="s">
        <v>645</v>
      </c>
      <c r="H40" s="2" t="s">
        <v>646</v>
      </c>
    </row>
    <row r="41">
      <c r="A41" s="2" t="s">
        <v>647</v>
      </c>
      <c r="B41" s="2" t="s">
        <v>648</v>
      </c>
      <c r="C41" s="2" t="s">
        <v>649</v>
      </c>
      <c r="D41" s="2" t="s">
        <v>650</v>
      </c>
      <c r="E41" s="2" t="s">
        <v>436</v>
      </c>
      <c r="F41" s="2" t="s">
        <v>217</v>
      </c>
      <c r="H41" s="2" t="s">
        <v>651</v>
      </c>
    </row>
    <row r="42">
      <c r="A42" s="2" t="s">
        <v>652</v>
      </c>
      <c r="B42" s="2" t="s">
        <v>653</v>
      </c>
      <c r="C42" s="2" t="s">
        <v>654</v>
      </c>
      <c r="D42" s="2" t="s">
        <v>655</v>
      </c>
      <c r="E42" s="2" t="s">
        <v>436</v>
      </c>
      <c r="F42" s="2" t="s">
        <v>310</v>
      </c>
      <c r="H42" s="2" t="s">
        <v>656</v>
      </c>
    </row>
    <row r="43">
      <c r="A43" s="2" t="s">
        <v>657</v>
      </c>
      <c r="B43" s="2" t="s">
        <v>658</v>
      </c>
      <c r="C43" s="2" t="s">
        <v>659</v>
      </c>
      <c r="D43" s="2" t="s">
        <v>660</v>
      </c>
      <c r="E43" s="2" t="s">
        <v>436</v>
      </c>
      <c r="F43" s="2" t="s">
        <v>316</v>
      </c>
      <c r="H43" s="2" t="s">
        <v>661</v>
      </c>
    </row>
    <row r="44">
      <c r="A44" s="2" t="s">
        <v>662</v>
      </c>
      <c r="B44" s="2" t="s">
        <v>663</v>
      </c>
      <c r="C44" s="2" t="s">
        <v>664</v>
      </c>
      <c r="D44" s="2" t="s">
        <v>665</v>
      </c>
      <c r="E44" s="2" t="s">
        <v>436</v>
      </c>
      <c r="F44" s="2" t="s">
        <v>314</v>
      </c>
      <c r="H44" s="2" t="s">
        <v>666</v>
      </c>
    </row>
    <row r="45">
      <c r="A45" s="2" t="s">
        <v>667</v>
      </c>
      <c r="B45" s="2" t="s">
        <v>668</v>
      </c>
      <c r="C45" s="2" t="s">
        <v>669</v>
      </c>
      <c r="D45" s="2" t="s">
        <v>670</v>
      </c>
      <c r="E45" s="2" t="s">
        <v>436</v>
      </c>
      <c r="F45" s="2" t="s">
        <v>326</v>
      </c>
      <c r="H45" s="2" t="s">
        <v>671</v>
      </c>
    </row>
    <row r="46">
      <c r="A46" s="2" t="s">
        <v>672</v>
      </c>
      <c r="B46" s="2" t="s">
        <v>673</v>
      </c>
      <c r="C46" s="2" t="s">
        <v>674</v>
      </c>
      <c r="D46" s="2" t="s">
        <v>675</v>
      </c>
      <c r="E46" s="2" t="s">
        <v>436</v>
      </c>
      <c r="F46" s="2" t="s">
        <v>320</v>
      </c>
      <c r="H46" s="2" t="s">
        <v>676</v>
      </c>
    </row>
    <row r="47">
      <c r="A47" s="2" t="s">
        <v>677</v>
      </c>
      <c r="B47" s="2" t="s">
        <v>678</v>
      </c>
      <c r="C47" s="2" t="s">
        <v>679</v>
      </c>
      <c r="D47" s="2" t="s">
        <v>680</v>
      </c>
      <c r="E47" s="2" t="s">
        <v>436</v>
      </c>
      <c r="F47" s="2" t="s">
        <v>323</v>
      </c>
      <c r="H47" s="2" t="s">
        <v>681</v>
      </c>
    </row>
    <row r="48">
      <c r="A48" s="2" t="s">
        <v>682</v>
      </c>
      <c r="B48" s="2" t="s">
        <v>683</v>
      </c>
      <c r="C48" s="2" t="s">
        <v>684</v>
      </c>
      <c r="D48" s="2" t="s">
        <v>685</v>
      </c>
      <c r="E48" s="2" t="s">
        <v>436</v>
      </c>
      <c r="F48" s="2" t="s">
        <v>322</v>
      </c>
      <c r="H48" s="2" t="s">
        <v>686</v>
      </c>
    </row>
    <row r="49">
      <c r="A49" s="2" t="s">
        <v>687</v>
      </c>
      <c r="B49" s="2" t="s">
        <v>688</v>
      </c>
      <c r="C49" s="2" t="s">
        <v>689</v>
      </c>
      <c r="D49" s="2" t="s">
        <v>690</v>
      </c>
      <c r="E49" s="2" t="s">
        <v>436</v>
      </c>
      <c r="F49" s="2" t="s">
        <v>321</v>
      </c>
      <c r="H49" s="2" t="s">
        <v>691</v>
      </c>
    </row>
    <row r="50">
      <c r="A50" s="2" t="s">
        <v>692</v>
      </c>
      <c r="B50" s="2" t="s">
        <v>693</v>
      </c>
      <c r="C50" s="2" t="s">
        <v>694</v>
      </c>
      <c r="D50" s="2" t="s">
        <v>695</v>
      </c>
      <c r="E50" s="2" t="s">
        <v>436</v>
      </c>
      <c r="F50" s="2" t="s">
        <v>44</v>
      </c>
      <c r="H50" s="2" t="s">
        <v>696</v>
      </c>
    </row>
    <row r="51">
      <c r="A51" s="2" t="s">
        <v>697</v>
      </c>
      <c r="B51" s="2" t="s">
        <v>698</v>
      </c>
      <c r="C51" s="2" t="s">
        <v>699</v>
      </c>
      <c r="D51" s="2" t="s">
        <v>700</v>
      </c>
      <c r="E51" s="2" t="s">
        <v>436</v>
      </c>
      <c r="F51" s="2" t="s">
        <v>312</v>
      </c>
      <c r="H51" s="2" t="s">
        <v>701</v>
      </c>
    </row>
    <row r="52">
      <c r="A52" s="2" t="s">
        <v>702</v>
      </c>
      <c r="B52" s="2" t="s">
        <v>703</v>
      </c>
      <c r="C52" s="2" t="s">
        <v>704</v>
      </c>
      <c r="D52" s="2" t="s">
        <v>705</v>
      </c>
      <c r="E52" s="2" t="s">
        <v>436</v>
      </c>
      <c r="F52" s="2" t="s">
        <v>49</v>
      </c>
      <c r="H52" s="2" t="s">
        <v>706</v>
      </c>
    </row>
    <row r="53">
      <c r="A53" s="2" t="s">
        <v>707</v>
      </c>
      <c r="B53" s="2" t="s">
        <v>708</v>
      </c>
      <c r="C53" s="2" t="s">
        <v>709</v>
      </c>
      <c r="D53" s="2" t="s">
        <v>710</v>
      </c>
      <c r="E53" s="2" t="s">
        <v>436</v>
      </c>
      <c r="F53" s="2" t="s">
        <v>318</v>
      </c>
      <c r="H53" s="2" t="s">
        <v>711</v>
      </c>
    </row>
    <row r="54">
      <c r="A54" s="2" t="s">
        <v>712</v>
      </c>
      <c r="B54" s="2" t="s">
        <v>713</v>
      </c>
      <c r="C54" s="2" t="s">
        <v>714</v>
      </c>
      <c r="D54" s="2" t="s">
        <v>715</v>
      </c>
      <c r="E54" s="2" t="s">
        <v>436</v>
      </c>
      <c r="F54" s="2" t="s">
        <v>219</v>
      </c>
      <c r="H54" s="2" t="s">
        <v>716</v>
      </c>
    </row>
    <row r="55">
      <c r="A55" s="2" t="s">
        <v>717</v>
      </c>
      <c r="B55" s="2" t="s">
        <v>718</v>
      </c>
      <c r="C55" s="2" t="s">
        <v>719</v>
      </c>
      <c r="D55" s="2" t="s">
        <v>720</v>
      </c>
      <c r="E55" s="2" t="s">
        <v>436</v>
      </c>
      <c r="F55" s="2" t="s">
        <v>215</v>
      </c>
      <c r="H55" s="2" t="s">
        <v>721</v>
      </c>
    </row>
    <row r="56">
      <c r="A56" s="2" t="s">
        <v>722</v>
      </c>
      <c r="B56" s="2" t="s">
        <v>723</v>
      </c>
      <c r="C56" s="2" t="s">
        <v>724</v>
      </c>
      <c r="D56" s="2" t="s">
        <v>725</v>
      </c>
      <c r="E56" s="2" t="s">
        <v>436</v>
      </c>
      <c r="F56" s="2" t="s">
        <v>213</v>
      </c>
      <c r="H56" s="2" t="s">
        <v>726</v>
      </c>
    </row>
    <row r="57">
      <c r="A57" s="2" t="s">
        <v>727</v>
      </c>
      <c r="B57" s="2" t="s">
        <v>728</v>
      </c>
      <c r="C57" s="2" t="s">
        <v>729</v>
      </c>
      <c r="D57" s="2" t="s">
        <v>730</v>
      </c>
      <c r="E57" s="2" t="s">
        <v>436</v>
      </c>
      <c r="F57" s="2" t="s">
        <v>731</v>
      </c>
      <c r="H57" s="2" t="s">
        <v>732</v>
      </c>
    </row>
    <row r="58">
      <c r="A58" s="2" t="s">
        <v>733</v>
      </c>
      <c r="B58" s="2" t="s">
        <v>734</v>
      </c>
      <c r="C58" s="2" t="s">
        <v>735</v>
      </c>
      <c r="D58" s="2" t="s">
        <v>736</v>
      </c>
      <c r="E58" s="2" t="s">
        <v>436</v>
      </c>
      <c r="F58" s="2" t="s">
        <v>362</v>
      </c>
      <c r="H58" s="2" t="s">
        <v>737</v>
      </c>
    </row>
    <row r="59">
      <c r="A59" s="2" t="s">
        <v>738</v>
      </c>
      <c r="B59" s="2" t="s">
        <v>739</v>
      </c>
      <c r="C59" s="2" t="s">
        <v>740</v>
      </c>
      <c r="D59" s="2" t="s">
        <v>741</v>
      </c>
      <c r="E59" s="2" t="s">
        <v>436</v>
      </c>
      <c r="F59" s="2" t="s">
        <v>742</v>
      </c>
      <c r="H59" s="2" t="s">
        <v>743</v>
      </c>
    </row>
    <row r="60">
      <c r="A60" s="2" t="s">
        <v>744</v>
      </c>
      <c r="B60" s="2" t="s">
        <v>745</v>
      </c>
      <c r="C60" s="2" t="s">
        <v>746</v>
      </c>
      <c r="D60" s="2" t="s">
        <v>747</v>
      </c>
      <c r="E60" s="2" t="s">
        <v>436</v>
      </c>
      <c r="F60" s="2" t="s">
        <v>748</v>
      </c>
      <c r="H60" s="2" t="s">
        <v>749</v>
      </c>
    </row>
    <row r="61">
      <c r="A61" s="2" t="s">
        <v>750</v>
      </c>
      <c r="B61" s="2" t="s">
        <v>751</v>
      </c>
      <c r="C61" s="2" t="s">
        <v>752</v>
      </c>
      <c r="D61" s="2" t="s">
        <v>753</v>
      </c>
      <c r="E61" s="2" t="s">
        <v>436</v>
      </c>
      <c r="F61" s="2" t="s">
        <v>754</v>
      </c>
      <c r="H61" s="2" t="s">
        <v>755</v>
      </c>
    </row>
    <row r="62">
      <c r="A62" s="2" t="s">
        <v>756</v>
      </c>
      <c r="B62" s="2" t="s">
        <v>757</v>
      </c>
      <c r="C62" s="2" t="s">
        <v>758</v>
      </c>
      <c r="D62" s="2" t="s">
        <v>759</v>
      </c>
      <c r="E62" s="2" t="s">
        <v>436</v>
      </c>
      <c r="F62" s="2" t="s">
        <v>760</v>
      </c>
      <c r="H62" s="2" t="s">
        <v>761</v>
      </c>
    </row>
    <row r="63">
      <c r="A63" s="2" t="s">
        <v>762</v>
      </c>
      <c r="B63" s="2" t="s">
        <v>763</v>
      </c>
      <c r="C63" s="2" t="s">
        <v>764</v>
      </c>
      <c r="D63" s="2" t="s">
        <v>765</v>
      </c>
      <c r="E63" s="2" t="s">
        <v>436</v>
      </c>
      <c r="F63" s="2" t="s">
        <v>766</v>
      </c>
      <c r="H63" s="2" t="s">
        <v>767</v>
      </c>
    </row>
    <row r="64">
      <c r="A64" s="2" t="s">
        <v>768</v>
      </c>
      <c r="B64" s="2" t="s">
        <v>769</v>
      </c>
      <c r="C64" s="2" t="s">
        <v>770</v>
      </c>
      <c r="D64" s="2" t="s">
        <v>771</v>
      </c>
      <c r="E64" s="2" t="s">
        <v>436</v>
      </c>
      <c r="F64" s="2" t="s">
        <v>210</v>
      </c>
      <c r="H64" s="2" t="s">
        <v>772</v>
      </c>
    </row>
    <row r="65">
      <c r="A65" s="2" t="s">
        <v>773</v>
      </c>
      <c r="B65" s="2" t="s">
        <v>774</v>
      </c>
      <c r="C65" s="2" t="s">
        <v>775</v>
      </c>
      <c r="D65" s="2" t="s">
        <v>776</v>
      </c>
      <c r="E65" s="2" t="s">
        <v>436</v>
      </c>
      <c r="F65" s="2" t="s">
        <v>250</v>
      </c>
      <c r="H65" s="2" t="s">
        <v>777</v>
      </c>
    </row>
    <row r="66">
      <c r="A66" s="2" t="s">
        <v>778</v>
      </c>
      <c r="B66" s="2" t="s">
        <v>779</v>
      </c>
      <c r="C66" s="2" t="s">
        <v>780</v>
      </c>
      <c r="D66" s="2" t="s">
        <v>781</v>
      </c>
      <c r="E66" s="2" t="s">
        <v>436</v>
      </c>
      <c r="F66" s="2" t="s">
        <v>251</v>
      </c>
      <c r="H66" s="2" t="s">
        <v>782</v>
      </c>
    </row>
    <row r="67">
      <c r="A67" s="2" t="s">
        <v>783</v>
      </c>
      <c r="B67" s="2" t="s">
        <v>784</v>
      </c>
      <c r="C67" s="2" t="s">
        <v>785</v>
      </c>
      <c r="D67" s="2" t="s">
        <v>786</v>
      </c>
      <c r="E67" s="2" t="s">
        <v>436</v>
      </c>
      <c r="F67" s="2" t="s">
        <v>249</v>
      </c>
      <c r="H67" s="2" t="s">
        <v>787</v>
      </c>
    </row>
    <row r="68">
      <c r="A68" s="2"/>
      <c r="B68" s="2"/>
      <c r="C68" s="2"/>
      <c r="D68" s="2"/>
      <c r="E68" s="2"/>
      <c r="F68" s="2"/>
      <c r="H68" s="2"/>
    </row>
    <row r="69">
      <c r="A69" s="2"/>
      <c r="B69" s="2"/>
      <c r="C69" s="2"/>
      <c r="D69" s="2"/>
      <c r="E69" s="2"/>
      <c r="F69" s="2"/>
      <c r="H69" s="2"/>
    </row>
    <row r="70">
      <c r="A70" s="2"/>
      <c r="B70" s="2"/>
      <c r="C70" s="2"/>
      <c r="D70" s="2"/>
      <c r="E70" s="2"/>
      <c r="F70" s="2"/>
      <c r="H70" s="2"/>
    </row>
    <row r="71">
      <c r="A71" s="2"/>
      <c r="B71" s="2"/>
      <c r="C71" s="2"/>
      <c r="D71" s="2"/>
      <c r="E71" s="2"/>
      <c r="F71" s="2"/>
      <c r="H71" s="2"/>
    </row>
    <row r="72">
      <c r="A72" s="2"/>
      <c r="B72" s="2"/>
      <c r="C72" s="2"/>
      <c r="D72" s="2"/>
      <c r="E72" s="2"/>
      <c r="F72" s="2"/>
      <c r="H72"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 t="s">
        <v>87</v>
      </c>
      <c r="B1" s="7" t="s">
        <v>88</v>
      </c>
      <c r="C1" s="7" t="s">
        <v>788</v>
      </c>
      <c r="D1" s="7" t="s">
        <v>90</v>
      </c>
    </row>
    <row r="2">
      <c r="A2" s="8">
        <v>46181.55671333333</v>
      </c>
      <c r="B2" s="2" t="s">
        <v>789</v>
      </c>
      <c r="D2" s="2" t="s">
        <v>790</v>
      </c>
    </row>
    <row r="3">
      <c r="A3" s="8">
        <v>46181.557549641206</v>
      </c>
      <c r="B3" s="2" t="s">
        <v>789</v>
      </c>
      <c r="D3" s="2" t="s">
        <v>790</v>
      </c>
    </row>
    <row r="4">
      <c r="A4" s="8">
        <v>46181.55868209491</v>
      </c>
      <c r="B4" s="2" t="s">
        <v>791</v>
      </c>
      <c r="C4" s="2" t="s">
        <v>792</v>
      </c>
      <c r="D4" s="2" t="s">
        <v>793</v>
      </c>
    </row>
    <row r="5">
      <c r="A5" s="8">
        <v>46181.55868555556</v>
      </c>
      <c r="B5" s="2" t="s">
        <v>791</v>
      </c>
      <c r="C5" s="2" t="s">
        <v>794</v>
      </c>
      <c r="D5" s="2" t="s">
        <v>795</v>
      </c>
    </row>
    <row r="6">
      <c r="A6" s="8">
        <v>46181.558688784724</v>
      </c>
      <c r="B6" s="2" t="s">
        <v>791</v>
      </c>
      <c r="C6" s="2" t="s">
        <v>796</v>
      </c>
      <c r="D6" s="2" t="s">
        <v>797</v>
      </c>
    </row>
    <row r="7">
      <c r="A7" s="8">
        <v>46181.55869747685</v>
      </c>
      <c r="B7" s="2" t="s">
        <v>798</v>
      </c>
      <c r="C7" s="2" t="s">
        <v>799</v>
      </c>
      <c r="D7" s="2" t="s">
        <v>800</v>
      </c>
    </row>
    <row r="8">
      <c r="A8" s="8">
        <v>46181.55870041667</v>
      </c>
      <c r="B8" s="2" t="s">
        <v>801</v>
      </c>
      <c r="C8" s="2" t="s">
        <v>802</v>
      </c>
      <c r="D8" s="2" t="s">
        <v>803</v>
      </c>
    </row>
    <row r="9">
      <c r="A9" s="8">
        <v>46181.55870825231</v>
      </c>
      <c r="B9" s="2" t="s">
        <v>791</v>
      </c>
      <c r="C9" s="2" t="s">
        <v>804</v>
      </c>
      <c r="D9" s="2" t="s">
        <v>805</v>
      </c>
    </row>
    <row r="10">
      <c r="A10" s="8">
        <v>46181.55871159722</v>
      </c>
      <c r="B10" s="2" t="s">
        <v>791</v>
      </c>
      <c r="C10" s="2" t="s">
        <v>806</v>
      </c>
      <c r="D10" s="2" t="s">
        <v>807</v>
      </c>
    </row>
    <row r="11">
      <c r="A11" s="8">
        <v>46181.55872289352</v>
      </c>
      <c r="B11" s="2" t="s">
        <v>791</v>
      </c>
      <c r="C11" s="2" t="s">
        <v>808</v>
      </c>
      <c r="D11" s="2" t="s">
        <v>809</v>
      </c>
    </row>
    <row r="12">
      <c r="A12" s="8">
        <v>46181.55872630787</v>
      </c>
      <c r="B12" s="2" t="s">
        <v>791</v>
      </c>
      <c r="C12" s="2" t="s">
        <v>810</v>
      </c>
      <c r="D12" s="2" t="s">
        <v>811</v>
      </c>
    </row>
    <row r="13">
      <c r="A13" s="8">
        <v>46181.55872912037</v>
      </c>
      <c r="B13" s="2" t="s">
        <v>798</v>
      </c>
      <c r="C13" s="2" t="s">
        <v>812</v>
      </c>
      <c r="D13" s="2" t="s">
        <v>813</v>
      </c>
    </row>
    <row r="14">
      <c r="A14" s="8">
        <v>46181.55873229167</v>
      </c>
      <c r="B14" s="2" t="s">
        <v>791</v>
      </c>
      <c r="C14" s="2" t="s">
        <v>814</v>
      </c>
      <c r="D14" s="2" t="s">
        <v>815</v>
      </c>
    </row>
    <row r="15">
      <c r="A15" s="8">
        <v>46181.55873517361</v>
      </c>
      <c r="B15" s="2" t="s">
        <v>791</v>
      </c>
      <c r="C15" s="2" t="s">
        <v>816</v>
      </c>
      <c r="D15" s="2" t="s">
        <v>817</v>
      </c>
    </row>
    <row r="16">
      <c r="A16" s="8">
        <v>46181.55873925926</v>
      </c>
      <c r="B16" s="2" t="s">
        <v>801</v>
      </c>
      <c r="C16" s="2" t="s">
        <v>818</v>
      </c>
      <c r="D16" s="2" t="s">
        <v>819</v>
      </c>
    </row>
    <row r="17">
      <c r="A17" s="8">
        <v>46181.55874234954</v>
      </c>
      <c r="B17" s="2" t="s">
        <v>791</v>
      </c>
      <c r="C17" s="2" t="s">
        <v>820</v>
      </c>
      <c r="D17" s="2" t="s">
        <v>821</v>
      </c>
    </row>
    <row r="18">
      <c r="A18" s="8">
        <v>46181.558745925926</v>
      </c>
      <c r="B18" s="2" t="s">
        <v>791</v>
      </c>
      <c r="C18" s="2" t="s">
        <v>822</v>
      </c>
      <c r="D18" s="2" t="s">
        <v>823</v>
      </c>
    </row>
    <row r="19">
      <c r="A19" s="8">
        <v>46181.55874962963</v>
      </c>
      <c r="B19" s="2" t="s">
        <v>791</v>
      </c>
      <c r="C19" s="2" t="s">
        <v>824</v>
      </c>
      <c r="D19" s="2" t="s">
        <v>825</v>
      </c>
    </row>
    <row r="20">
      <c r="A20" s="8">
        <v>46181.55875273148</v>
      </c>
      <c r="B20" s="2" t="s">
        <v>801</v>
      </c>
      <c r="C20" s="2" t="s">
        <v>826</v>
      </c>
      <c r="D20" s="2" t="s">
        <v>827</v>
      </c>
    </row>
    <row r="21">
      <c r="A21" s="8">
        <v>46181.55875577546</v>
      </c>
      <c r="B21" s="2" t="s">
        <v>828</v>
      </c>
      <c r="C21" s="2" t="s">
        <v>826</v>
      </c>
      <c r="D21" s="2" t="s">
        <v>829</v>
      </c>
    </row>
    <row r="22">
      <c r="A22" s="8">
        <v>46181.55875916667</v>
      </c>
      <c r="B22" s="2" t="s">
        <v>798</v>
      </c>
      <c r="C22" s="2" t="s">
        <v>830</v>
      </c>
      <c r="D22" s="2" t="s">
        <v>831</v>
      </c>
    </row>
    <row r="23">
      <c r="A23" s="8">
        <v>46181.558762615736</v>
      </c>
      <c r="B23" s="2" t="s">
        <v>832</v>
      </c>
      <c r="D23" s="2" t="s">
        <v>833</v>
      </c>
    </row>
    <row r="24">
      <c r="A24" s="8">
        <v>46181.67565954861</v>
      </c>
      <c r="B24" s="2" t="s">
        <v>834</v>
      </c>
      <c r="C24" s="2" t="s">
        <v>792</v>
      </c>
      <c r="D24" s="2" t="s">
        <v>835</v>
      </c>
    </row>
    <row r="25">
      <c r="A25" s="8">
        <v>46181.67566275463</v>
      </c>
      <c r="B25" s="2" t="s">
        <v>834</v>
      </c>
      <c r="C25" s="2" t="s">
        <v>836</v>
      </c>
      <c r="D25" s="2" t="s">
        <v>837</v>
      </c>
    </row>
    <row r="26">
      <c r="A26" s="8">
        <v>46181.67566554398</v>
      </c>
      <c r="B26" s="2" t="s">
        <v>798</v>
      </c>
      <c r="C26" s="2" t="s">
        <v>799</v>
      </c>
      <c r="D26" s="2" t="s">
        <v>800</v>
      </c>
    </row>
    <row r="27">
      <c r="A27" s="8">
        <v>46181.67566894676</v>
      </c>
      <c r="B27" s="2" t="s">
        <v>838</v>
      </c>
      <c r="C27" s="2" t="s">
        <v>802</v>
      </c>
      <c r="D27" s="2" t="s">
        <v>839</v>
      </c>
    </row>
    <row r="28">
      <c r="A28" s="8">
        <v>46181.67567186343</v>
      </c>
      <c r="B28" s="2" t="s">
        <v>840</v>
      </c>
      <c r="C28" s="2" t="s">
        <v>804</v>
      </c>
      <c r="D28" s="2" t="s">
        <v>841</v>
      </c>
    </row>
    <row r="29">
      <c r="A29" s="8">
        <v>46181.67567505787</v>
      </c>
      <c r="B29" s="2" t="s">
        <v>834</v>
      </c>
      <c r="C29" s="2" t="s">
        <v>842</v>
      </c>
      <c r="D29" s="2" t="s">
        <v>843</v>
      </c>
    </row>
    <row r="30">
      <c r="A30" s="8">
        <v>46181.675682546294</v>
      </c>
      <c r="B30" s="2" t="s">
        <v>844</v>
      </c>
      <c r="C30" s="2" t="s">
        <v>842</v>
      </c>
      <c r="D30" s="2" t="s">
        <v>845</v>
      </c>
    </row>
    <row r="31">
      <c r="A31" s="8">
        <v>46181.67568788194</v>
      </c>
      <c r="B31" s="2" t="s">
        <v>834</v>
      </c>
      <c r="C31" s="2" t="s">
        <v>846</v>
      </c>
      <c r="D31" s="2" t="s">
        <v>847</v>
      </c>
    </row>
    <row r="32">
      <c r="A32" s="8">
        <v>46181.67569491898</v>
      </c>
      <c r="B32" s="2" t="s">
        <v>844</v>
      </c>
      <c r="C32" s="2" t="s">
        <v>846</v>
      </c>
      <c r="D32" s="2" t="s">
        <v>845</v>
      </c>
    </row>
    <row r="33">
      <c r="A33" s="8">
        <v>46181.67570383102</v>
      </c>
      <c r="B33" s="2" t="s">
        <v>844</v>
      </c>
      <c r="C33" s="2" t="s">
        <v>848</v>
      </c>
      <c r="D33" s="2" t="s">
        <v>849</v>
      </c>
    </row>
    <row r="34">
      <c r="A34" s="8">
        <v>46181.67571253472</v>
      </c>
      <c r="B34" s="2" t="s">
        <v>844</v>
      </c>
      <c r="C34" s="2" t="s">
        <v>808</v>
      </c>
      <c r="D34" s="2" t="s">
        <v>850</v>
      </c>
    </row>
    <row r="35">
      <c r="A35" s="8">
        <v>46181.67571966435</v>
      </c>
      <c r="B35" s="2" t="s">
        <v>840</v>
      </c>
      <c r="C35" s="2" t="s">
        <v>810</v>
      </c>
      <c r="D35" s="2" t="s">
        <v>851</v>
      </c>
    </row>
    <row r="36">
      <c r="A36" s="8">
        <v>46181.67572346065</v>
      </c>
      <c r="B36" s="2" t="s">
        <v>798</v>
      </c>
      <c r="C36" s="2" t="s">
        <v>812</v>
      </c>
      <c r="D36" s="2" t="s">
        <v>813</v>
      </c>
    </row>
    <row r="37">
      <c r="A37" s="8">
        <v>46181.675726608795</v>
      </c>
      <c r="B37" s="2" t="s">
        <v>840</v>
      </c>
      <c r="C37" s="2" t="s">
        <v>814</v>
      </c>
      <c r="D37" s="2" t="s">
        <v>852</v>
      </c>
    </row>
    <row r="38">
      <c r="A38" s="8">
        <v>46181.67572925926</v>
      </c>
      <c r="B38" s="2" t="s">
        <v>838</v>
      </c>
      <c r="C38" s="2" t="s">
        <v>818</v>
      </c>
      <c r="D38" s="2" t="s">
        <v>853</v>
      </c>
    </row>
    <row r="39">
      <c r="A39" s="8">
        <v>46181.67573239583</v>
      </c>
      <c r="B39" s="2" t="s">
        <v>840</v>
      </c>
      <c r="C39" s="2" t="s">
        <v>820</v>
      </c>
      <c r="D39" s="2" t="s">
        <v>854</v>
      </c>
    </row>
    <row r="40">
      <c r="A40" s="8">
        <v>46181.67573519676</v>
      </c>
      <c r="B40" s="2" t="s">
        <v>840</v>
      </c>
      <c r="C40" s="2" t="s">
        <v>822</v>
      </c>
      <c r="D40" s="2" t="s">
        <v>855</v>
      </c>
    </row>
    <row r="41">
      <c r="A41" s="8">
        <v>46181.67573829861</v>
      </c>
      <c r="B41" s="2" t="s">
        <v>838</v>
      </c>
      <c r="C41" s="2" t="s">
        <v>826</v>
      </c>
      <c r="D41" s="2" t="s">
        <v>856</v>
      </c>
    </row>
    <row r="42">
      <c r="A42" s="8">
        <v>46181.67574118056</v>
      </c>
      <c r="B42" s="2" t="s">
        <v>840</v>
      </c>
      <c r="C42" s="2" t="s">
        <v>826</v>
      </c>
      <c r="D42" s="2" t="s">
        <v>857</v>
      </c>
    </row>
    <row r="43">
      <c r="A43" s="8">
        <v>46181.675744120366</v>
      </c>
      <c r="B43" s="2" t="s">
        <v>798</v>
      </c>
      <c r="C43" s="2" t="s">
        <v>830</v>
      </c>
      <c r="D43" s="2" t="s">
        <v>831</v>
      </c>
    </row>
    <row r="44">
      <c r="A44" s="8">
        <v>46181.67574716435</v>
      </c>
      <c r="B44" s="2" t="s">
        <v>832</v>
      </c>
      <c r="D44" s="2" t="s">
        <v>858</v>
      </c>
    </row>
    <row r="45">
      <c r="A45" s="8">
        <v>46181.69644193287</v>
      </c>
      <c r="B45" s="2" t="s">
        <v>834</v>
      </c>
      <c r="C45" s="2" t="s">
        <v>792</v>
      </c>
      <c r="D45" s="2" t="s">
        <v>835</v>
      </c>
    </row>
    <row r="46">
      <c r="A46" s="8">
        <v>46181.696445821755</v>
      </c>
      <c r="B46" s="2" t="s">
        <v>834</v>
      </c>
      <c r="C46" s="2" t="s">
        <v>836</v>
      </c>
      <c r="D46" s="2" t="s">
        <v>837</v>
      </c>
    </row>
    <row r="47">
      <c r="A47" s="8">
        <v>46181.69645023148</v>
      </c>
      <c r="B47" s="2" t="s">
        <v>798</v>
      </c>
      <c r="C47" s="2" t="s">
        <v>799</v>
      </c>
      <c r="D47" s="2" t="s">
        <v>800</v>
      </c>
    </row>
    <row r="48">
      <c r="A48" s="8">
        <v>46181.69646474537</v>
      </c>
      <c r="B48" s="2" t="s">
        <v>838</v>
      </c>
      <c r="C48" s="2" t="s">
        <v>802</v>
      </c>
      <c r="D48" s="2" t="s">
        <v>839</v>
      </c>
    </row>
    <row r="49">
      <c r="A49" s="8">
        <v>46181.69646820602</v>
      </c>
      <c r="B49" s="2" t="s">
        <v>840</v>
      </c>
      <c r="C49" s="2" t="s">
        <v>804</v>
      </c>
      <c r="D49" s="2" t="s">
        <v>841</v>
      </c>
    </row>
    <row r="50">
      <c r="A50" s="8">
        <v>46181.69647164352</v>
      </c>
      <c r="B50" s="2" t="s">
        <v>834</v>
      </c>
      <c r="C50" s="2" t="s">
        <v>842</v>
      </c>
      <c r="D50" s="2" t="s">
        <v>843</v>
      </c>
    </row>
    <row r="51">
      <c r="A51" s="8">
        <v>46181.6964777199</v>
      </c>
      <c r="B51" s="2" t="s">
        <v>834</v>
      </c>
      <c r="C51" s="2" t="s">
        <v>846</v>
      </c>
      <c r="D51" s="2" t="s">
        <v>847</v>
      </c>
    </row>
    <row r="52">
      <c r="A52" s="8">
        <v>46181.69648780093</v>
      </c>
      <c r="B52" s="2" t="s">
        <v>840</v>
      </c>
      <c r="C52" s="2" t="s">
        <v>810</v>
      </c>
      <c r="D52" s="2" t="s">
        <v>851</v>
      </c>
    </row>
    <row r="53">
      <c r="A53" s="8">
        <v>46181.69649078704</v>
      </c>
      <c r="B53" s="2" t="s">
        <v>798</v>
      </c>
      <c r="C53" s="2" t="s">
        <v>812</v>
      </c>
      <c r="D53" s="2" t="s">
        <v>813</v>
      </c>
    </row>
    <row r="54">
      <c r="A54" s="8">
        <v>46181.696495069446</v>
      </c>
      <c r="B54" s="2" t="s">
        <v>840</v>
      </c>
      <c r="C54" s="2" t="s">
        <v>814</v>
      </c>
      <c r="D54" s="2" t="s">
        <v>852</v>
      </c>
    </row>
    <row r="55">
      <c r="A55" s="8">
        <v>46181.696498680554</v>
      </c>
      <c r="B55" s="2" t="s">
        <v>838</v>
      </c>
      <c r="C55" s="2" t="s">
        <v>818</v>
      </c>
      <c r="D55" s="2" t="s">
        <v>853</v>
      </c>
    </row>
    <row r="56">
      <c r="A56" s="8">
        <v>46181.69650984954</v>
      </c>
      <c r="B56" s="2" t="s">
        <v>840</v>
      </c>
      <c r="C56" s="2" t="s">
        <v>820</v>
      </c>
      <c r="D56" s="2" t="s">
        <v>854</v>
      </c>
    </row>
    <row r="57">
      <c r="A57" s="8">
        <v>46181.69651299769</v>
      </c>
      <c r="B57" s="2" t="s">
        <v>840</v>
      </c>
      <c r="C57" s="2" t="s">
        <v>822</v>
      </c>
      <c r="D57" s="2" t="s">
        <v>855</v>
      </c>
    </row>
    <row r="58">
      <c r="A58" s="8">
        <v>46181.696516261574</v>
      </c>
      <c r="B58" s="2" t="s">
        <v>838</v>
      </c>
      <c r="C58" s="2" t="s">
        <v>826</v>
      </c>
      <c r="D58" s="2" t="s">
        <v>856</v>
      </c>
    </row>
    <row r="59">
      <c r="A59" s="8">
        <v>46181.69651954861</v>
      </c>
      <c r="B59" s="2" t="s">
        <v>840</v>
      </c>
      <c r="C59" s="2" t="s">
        <v>826</v>
      </c>
      <c r="D59" s="2" t="s">
        <v>857</v>
      </c>
    </row>
    <row r="60">
      <c r="A60" s="8">
        <v>46181.69652298611</v>
      </c>
      <c r="B60" s="2" t="s">
        <v>798</v>
      </c>
      <c r="C60" s="2" t="s">
        <v>830</v>
      </c>
      <c r="D60" s="2" t="s">
        <v>831</v>
      </c>
    </row>
    <row r="61">
      <c r="A61" s="8">
        <v>46181.69653069445</v>
      </c>
      <c r="B61" s="2" t="s">
        <v>832</v>
      </c>
      <c r="D61" s="2" t="s">
        <v>859</v>
      </c>
    </row>
    <row r="62">
      <c r="A62" s="8">
        <v>46181.73809979166</v>
      </c>
      <c r="B62" s="2" t="s">
        <v>834</v>
      </c>
      <c r="C62" s="2" t="s">
        <v>792</v>
      </c>
      <c r="D62" s="2" t="s">
        <v>835</v>
      </c>
    </row>
    <row r="63">
      <c r="A63" s="8">
        <v>46181.73810190972</v>
      </c>
      <c r="B63" s="2" t="s">
        <v>834</v>
      </c>
      <c r="C63" s="2" t="s">
        <v>836</v>
      </c>
      <c r="D63" s="2" t="s">
        <v>837</v>
      </c>
    </row>
    <row r="64">
      <c r="A64" s="8">
        <v>46181.73810376157</v>
      </c>
      <c r="B64" s="2" t="s">
        <v>798</v>
      </c>
      <c r="C64" s="2" t="s">
        <v>799</v>
      </c>
      <c r="D64" s="2" t="s">
        <v>800</v>
      </c>
    </row>
    <row r="65">
      <c r="A65" s="8">
        <v>46181.738119710644</v>
      </c>
      <c r="B65" s="2" t="s">
        <v>838</v>
      </c>
      <c r="C65" s="2" t="s">
        <v>802</v>
      </c>
      <c r="D65" s="2" t="s">
        <v>839</v>
      </c>
    </row>
    <row r="66">
      <c r="A66" s="8">
        <v>46181.73812177083</v>
      </c>
      <c r="B66" s="2" t="s">
        <v>840</v>
      </c>
      <c r="C66" s="2" t="s">
        <v>804</v>
      </c>
      <c r="D66" s="2" t="s">
        <v>841</v>
      </c>
    </row>
    <row r="67">
      <c r="A67" s="8">
        <v>46181.738124375</v>
      </c>
      <c r="B67" s="2" t="s">
        <v>834</v>
      </c>
      <c r="C67" s="2" t="s">
        <v>842</v>
      </c>
      <c r="D67" s="2" t="s">
        <v>843</v>
      </c>
    </row>
    <row r="68">
      <c r="A68" s="8">
        <v>46181.73812621528</v>
      </c>
      <c r="B68" s="2" t="s">
        <v>834</v>
      </c>
      <c r="C68" s="2" t="s">
        <v>846</v>
      </c>
      <c r="D68" s="2" t="s">
        <v>847</v>
      </c>
    </row>
    <row r="69">
      <c r="A69" s="8">
        <v>46181.73812820602</v>
      </c>
      <c r="B69" s="2" t="s">
        <v>840</v>
      </c>
      <c r="C69" s="2" t="s">
        <v>810</v>
      </c>
      <c r="D69" s="2" t="s">
        <v>851</v>
      </c>
    </row>
    <row r="70">
      <c r="A70" s="8">
        <v>46181.73813054398</v>
      </c>
      <c r="B70" s="2" t="s">
        <v>798</v>
      </c>
      <c r="C70" s="2" t="s">
        <v>812</v>
      </c>
      <c r="D70" s="2" t="s">
        <v>813</v>
      </c>
    </row>
    <row r="71">
      <c r="A71" s="8">
        <v>46181.73813233797</v>
      </c>
      <c r="B71" s="2" t="s">
        <v>840</v>
      </c>
      <c r="C71" s="2" t="s">
        <v>814</v>
      </c>
      <c r="D71" s="2" t="s">
        <v>852</v>
      </c>
    </row>
    <row r="72">
      <c r="A72" s="8">
        <v>46181.738134178246</v>
      </c>
      <c r="B72" s="2" t="s">
        <v>838</v>
      </c>
      <c r="C72" s="2" t="s">
        <v>818</v>
      </c>
      <c r="D72" s="2" t="s">
        <v>853</v>
      </c>
    </row>
    <row r="73">
      <c r="A73" s="8">
        <v>46181.73813960648</v>
      </c>
      <c r="B73" s="2" t="s">
        <v>840</v>
      </c>
      <c r="C73" s="2" t="s">
        <v>820</v>
      </c>
      <c r="D73" s="2" t="s">
        <v>854</v>
      </c>
    </row>
    <row r="74">
      <c r="A74" s="8">
        <v>46181.73814165509</v>
      </c>
      <c r="B74" s="2" t="s">
        <v>840</v>
      </c>
      <c r="C74" s="2" t="s">
        <v>822</v>
      </c>
      <c r="D74" s="2" t="s">
        <v>855</v>
      </c>
    </row>
    <row r="75">
      <c r="A75" s="8">
        <v>46181.738143703704</v>
      </c>
      <c r="B75" s="2" t="s">
        <v>838</v>
      </c>
      <c r="C75" s="2" t="s">
        <v>826</v>
      </c>
      <c r="D75" s="2" t="s">
        <v>856</v>
      </c>
    </row>
    <row r="76">
      <c r="A76" s="8">
        <v>46181.738146400465</v>
      </c>
      <c r="B76" s="2" t="s">
        <v>840</v>
      </c>
      <c r="C76" s="2" t="s">
        <v>826</v>
      </c>
      <c r="D76" s="2" t="s">
        <v>857</v>
      </c>
    </row>
    <row r="77">
      <c r="A77" s="8">
        <v>46181.738148449076</v>
      </c>
      <c r="B77" s="2" t="s">
        <v>798</v>
      </c>
      <c r="C77" s="2" t="s">
        <v>830</v>
      </c>
      <c r="D77" s="2" t="s">
        <v>831</v>
      </c>
    </row>
    <row r="78">
      <c r="A78" s="8">
        <v>46181.7381503588</v>
      </c>
      <c r="B78" s="2" t="s">
        <v>832</v>
      </c>
      <c r="D78" s="2" t="s">
        <v>859</v>
      </c>
    </row>
    <row r="79">
      <c r="A79" s="8">
        <v>46181.77979616898</v>
      </c>
      <c r="B79" s="2" t="s">
        <v>834</v>
      </c>
      <c r="C79" s="2" t="s">
        <v>792</v>
      </c>
      <c r="D79" s="2" t="s">
        <v>835</v>
      </c>
    </row>
    <row r="80">
      <c r="A80" s="8">
        <v>46181.7798009838</v>
      </c>
      <c r="B80" s="2" t="s">
        <v>834</v>
      </c>
      <c r="C80" s="2" t="s">
        <v>836</v>
      </c>
      <c r="D80" s="2" t="s">
        <v>837</v>
      </c>
    </row>
    <row r="81">
      <c r="A81" s="8">
        <v>46181.779805405095</v>
      </c>
      <c r="B81" s="2" t="s">
        <v>798</v>
      </c>
      <c r="C81" s="2" t="s">
        <v>799</v>
      </c>
      <c r="D81" s="2" t="s">
        <v>800</v>
      </c>
    </row>
    <row r="82">
      <c r="A82" s="8">
        <v>46181.77982738426</v>
      </c>
      <c r="B82" s="2" t="s">
        <v>838</v>
      </c>
      <c r="C82" s="2" t="s">
        <v>802</v>
      </c>
      <c r="D82" s="2" t="s">
        <v>839</v>
      </c>
    </row>
    <row r="83">
      <c r="A83" s="8">
        <v>46181.77983038194</v>
      </c>
      <c r="B83" s="2" t="s">
        <v>840</v>
      </c>
      <c r="C83" s="2" t="s">
        <v>804</v>
      </c>
      <c r="D83" s="2" t="s">
        <v>841</v>
      </c>
    </row>
    <row r="84">
      <c r="A84" s="8">
        <v>46181.77983332176</v>
      </c>
      <c r="B84" s="2" t="s">
        <v>834</v>
      </c>
      <c r="C84" s="2" t="s">
        <v>842</v>
      </c>
      <c r="D84" s="2" t="s">
        <v>843</v>
      </c>
    </row>
    <row r="85">
      <c r="A85" s="8">
        <v>46181.77983626157</v>
      </c>
      <c r="B85" s="2" t="s">
        <v>834</v>
      </c>
      <c r="C85" s="2" t="s">
        <v>846</v>
      </c>
      <c r="D85" s="2" t="s">
        <v>847</v>
      </c>
    </row>
    <row r="86">
      <c r="A86" s="8">
        <v>46181.77984012732</v>
      </c>
      <c r="B86" s="2" t="s">
        <v>840</v>
      </c>
      <c r="C86" s="2" t="s">
        <v>810</v>
      </c>
      <c r="D86" s="2" t="s">
        <v>851</v>
      </c>
    </row>
    <row r="87">
      <c r="A87" s="8">
        <v>46181.779854733795</v>
      </c>
      <c r="B87" s="2" t="s">
        <v>798</v>
      </c>
      <c r="C87" s="2" t="s">
        <v>812</v>
      </c>
      <c r="D87" s="2" t="s">
        <v>813</v>
      </c>
    </row>
    <row r="88">
      <c r="A88" s="8">
        <v>46181.779865335644</v>
      </c>
      <c r="B88" s="2" t="s">
        <v>840</v>
      </c>
      <c r="C88" s="2" t="s">
        <v>814</v>
      </c>
      <c r="D88" s="2" t="s">
        <v>852</v>
      </c>
    </row>
    <row r="89">
      <c r="A89" s="8">
        <v>46181.77987049769</v>
      </c>
      <c r="B89" s="2" t="s">
        <v>838</v>
      </c>
      <c r="C89" s="2" t="s">
        <v>818</v>
      </c>
      <c r="D89" s="2" t="s">
        <v>853</v>
      </c>
    </row>
    <row r="90">
      <c r="A90" s="8">
        <v>46181.77987392361</v>
      </c>
      <c r="B90" s="2" t="s">
        <v>840</v>
      </c>
      <c r="C90" s="2" t="s">
        <v>820</v>
      </c>
      <c r="D90" s="2" t="s">
        <v>854</v>
      </c>
    </row>
    <row r="91">
      <c r="A91" s="8">
        <v>46181.779876932866</v>
      </c>
      <c r="B91" s="2" t="s">
        <v>840</v>
      </c>
      <c r="C91" s="2" t="s">
        <v>822</v>
      </c>
      <c r="D91" s="2" t="s">
        <v>855</v>
      </c>
    </row>
    <row r="92">
      <c r="A92" s="8">
        <v>46181.77988410879</v>
      </c>
      <c r="B92" s="2" t="s">
        <v>838</v>
      </c>
      <c r="C92" s="2" t="s">
        <v>826</v>
      </c>
      <c r="D92" s="2" t="s">
        <v>856</v>
      </c>
    </row>
    <row r="93">
      <c r="A93" s="8">
        <v>46181.779891921295</v>
      </c>
      <c r="B93" s="2" t="s">
        <v>840</v>
      </c>
      <c r="C93" s="2" t="s">
        <v>826</v>
      </c>
      <c r="D93" s="2" t="s">
        <v>857</v>
      </c>
    </row>
    <row r="94">
      <c r="A94" s="8">
        <v>46181.77989466435</v>
      </c>
      <c r="B94" s="2" t="s">
        <v>798</v>
      </c>
      <c r="C94" s="2" t="s">
        <v>830</v>
      </c>
      <c r="D94" s="2" t="s">
        <v>831</v>
      </c>
    </row>
    <row r="95">
      <c r="A95" s="8">
        <v>46181.77989837963</v>
      </c>
      <c r="B95" s="2" t="s">
        <v>832</v>
      </c>
      <c r="D95" s="2" t="s">
        <v>859</v>
      </c>
    </row>
    <row r="96">
      <c r="A96" s="8">
        <v>46181.821475150464</v>
      </c>
      <c r="B96" s="2" t="s">
        <v>844</v>
      </c>
      <c r="C96" s="2" t="s">
        <v>792</v>
      </c>
      <c r="D96" s="2" t="s">
        <v>860</v>
      </c>
    </row>
    <row r="97">
      <c r="A97" s="8">
        <v>46181.82149219907</v>
      </c>
      <c r="B97" s="2" t="s">
        <v>844</v>
      </c>
      <c r="C97" s="2" t="s">
        <v>836</v>
      </c>
      <c r="D97" s="2" t="s">
        <v>860</v>
      </c>
    </row>
    <row r="98">
      <c r="A98" s="8">
        <v>46181.821509560184</v>
      </c>
      <c r="B98" s="2" t="s">
        <v>798</v>
      </c>
      <c r="C98" s="2" t="s">
        <v>799</v>
      </c>
      <c r="D98" s="2" t="s">
        <v>800</v>
      </c>
    </row>
    <row r="99">
      <c r="A99" s="8">
        <v>46181.82151583333</v>
      </c>
      <c r="B99" s="2" t="s">
        <v>838</v>
      </c>
      <c r="C99" s="2" t="s">
        <v>802</v>
      </c>
      <c r="D99" s="2" t="s">
        <v>839</v>
      </c>
    </row>
    <row r="100">
      <c r="A100" s="8">
        <v>46181.82151820602</v>
      </c>
      <c r="B100" s="2" t="s">
        <v>840</v>
      </c>
      <c r="C100" s="2" t="s">
        <v>804</v>
      </c>
      <c r="D100" s="2" t="s">
        <v>841</v>
      </c>
    </row>
    <row r="101">
      <c r="A101" s="8">
        <v>46181.821521342594</v>
      </c>
      <c r="B101" s="2" t="s">
        <v>834</v>
      </c>
      <c r="C101" s="2" t="s">
        <v>842</v>
      </c>
      <c r="D101" s="2" t="s">
        <v>843</v>
      </c>
    </row>
    <row r="102">
      <c r="A102" s="8">
        <v>46181.82152408565</v>
      </c>
      <c r="B102" s="2" t="s">
        <v>834</v>
      </c>
      <c r="C102" s="2" t="s">
        <v>846</v>
      </c>
      <c r="D102" s="2" t="s">
        <v>847</v>
      </c>
    </row>
    <row r="103">
      <c r="A103" s="8">
        <v>46181.82152831019</v>
      </c>
      <c r="B103" s="2" t="s">
        <v>834</v>
      </c>
      <c r="C103" s="2" t="s">
        <v>806</v>
      </c>
      <c r="D103" s="2" t="s">
        <v>861</v>
      </c>
    </row>
    <row r="104">
      <c r="A104" s="8">
        <v>46181.8215309375</v>
      </c>
      <c r="B104" s="2" t="s">
        <v>840</v>
      </c>
      <c r="C104" s="2" t="s">
        <v>810</v>
      </c>
      <c r="D104" s="2" t="s">
        <v>851</v>
      </c>
    </row>
    <row r="105">
      <c r="A105" s="8">
        <v>46181.821533194445</v>
      </c>
      <c r="B105" s="2" t="s">
        <v>798</v>
      </c>
      <c r="C105" s="2" t="s">
        <v>812</v>
      </c>
      <c r="D105" s="2" t="s">
        <v>813</v>
      </c>
    </row>
    <row r="106">
      <c r="A106" s="8">
        <v>46181.82153582176</v>
      </c>
      <c r="B106" s="2" t="s">
        <v>840</v>
      </c>
      <c r="C106" s="2" t="s">
        <v>814</v>
      </c>
      <c r="D106" s="2" t="s">
        <v>852</v>
      </c>
    </row>
    <row r="107">
      <c r="A107" s="8">
        <v>46181.82154337963</v>
      </c>
      <c r="B107" s="2" t="s">
        <v>838</v>
      </c>
      <c r="C107" s="2" t="s">
        <v>818</v>
      </c>
      <c r="D107" s="2" t="s">
        <v>853</v>
      </c>
    </row>
    <row r="108">
      <c r="A108" s="8">
        <v>46181.82154609954</v>
      </c>
      <c r="B108" s="2" t="s">
        <v>840</v>
      </c>
      <c r="C108" s="2" t="s">
        <v>820</v>
      </c>
      <c r="D108" s="2" t="s">
        <v>854</v>
      </c>
    </row>
    <row r="109">
      <c r="A109" s="8">
        <v>46181.82154818287</v>
      </c>
      <c r="B109" s="2" t="s">
        <v>840</v>
      </c>
      <c r="C109" s="2" t="s">
        <v>822</v>
      </c>
      <c r="D109" s="2" t="s">
        <v>855</v>
      </c>
    </row>
    <row r="110">
      <c r="A110" s="8">
        <v>46181.821550636574</v>
      </c>
      <c r="B110" s="2" t="s">
        <v>838</v>
      </c>
      <c r="C110" s="2" t="s">
        <v>826</v>
      </c>
      <c r="D110" s="2" t="s">
        <v>856</v>
      </c>
    </row>
    <row r="111">
      <c r="A111" s="8">
        <v>46181.82155337963</v>
      </c>
      <c r="B111" s="2" t="s">
        <v>840</v>
      </c>
      <c r="C111" s="2" t="s">
        <v>826</v>
      </c>
      <c r="D111" s="2" t="s">
        <v>857</v>
      </c>
    </row>
    <row r="112">
      <c r="A112" s="8">
        <v>46181.82155599537</v>
      </c>
      <c r="B112" s="2" t="s">
        <v>798</v>
      </c>
      <c r="C112" s="2" t="s">
        <v>830</v>
      </c>
      <c r="D112" s="2" t="s">
        <v>831</v>
      </c>
    </row>
    <row r="113">
      <c r="A113" s="8">
        <v>46181.821558275464</v>
      </c>
      <c r="B113" s="2" t="s">
        <v>832</v>
      </c>
      <c r="D113" s="2" t="s">
        <v>862</v>
      </c>
    </row>
    <row r="114">
      <c r="A114" s="8">
        <v>46181.86319438658</v>
      </c>
      <c r="B114" s="2" t="s">
        <v>798</v>
      </c>
      <c r="C114" s="2" t="s">
        <v>799</v>
      </c>
      <c r="D114" s="2" t="s">
        <v>800</v>
      </c>
    </row>
    <row r="115">
      <c r="A115" s="8">
        <v>46181.86319899306</v>
      </c>
      <c r="B115" s="2" t="s">
        <v>838</v>
      </c>
      <c r="C115" s="2" t="s">
        <v>802</v>
      </c>
      <c r="D115" s="2" t="s">
        <v>839</v>
      </c>
    </row>
    <row r="116">
      <c r="A116" s="8">
        <v>46181.86320475694</v>
      </c>
      <c r="B116" s="2" t="s">
        <v>840</v>
      </c>
      <c r="C116" s="2" t="s">
        <v>804</v>
      </c>
      <c r="D116" s="2" t="s">
        <v>841</v>
      </c>
    </row>
    <row r="117">
      <c r="A117" s="8">
        <v>46181.86321802084</v>
      </c>
      <c r="B117" s="2" t="s">
        <v>834</v>
      </c>
      <c r="C117" s="2" t="s">
        <v>842</v>
      </c>
      <c r="D117" s="2" t="s">
        <v>843</v>
      </c>
    </row>
    <row r="118">
      <c r="A118" s="8">
        <v>46181.86322240741</v>
      </c>
      <c r="B118" s="2" t="s">
        <v>834</v>
      </c>
      <c r="C118" s="2" t="s">
        <v>846</v>
      </c>
      <c r="D118" s="2" t="s">
        <v>847</v>
      </c>
    </row>
    <row r="119">
      <c r="A119" s="8">
        <v>46181.863231192125</v>
      </c>
      <c r="B119" s="2" t="s">
        <v>834</v>
      </c>
      <c r="C119" s="2" t="s">
        <v>806</v>
      </c>
      <c r="D119" s="2" t="s">
        <v>861</v>
      </c>
    </row>
    <row r="120">
      <c r="A120" s="8">
        <v>46181.863235983794</v>
      </c>
      <c r="B120" s="2" t="s">
        <v>840</v>
      </c>
      <c r="C120" s="2" t="s">
        <v>810</v>
      </c>
      <c r="D120" s="2" t="s">
        <v>851</v>
      </c>
    </row>
    <row r="121">
      <c r="A121" s="8">
        <v>46181.86324002314</v>
      </c>
      <c r="B121" s="2" t="s">
        <v>798</v>
      </c>
      <c r="C121" s="2" t="s">
        <v>812</v>
      </c>
      <c r="D121" s="2" t="s">
        <v>813</v>
      </c>
    </row>
    <row r="122">
      <c r="A122" s="8">
        <v>46181.86324493056</v>
      </c>
      <c r="B122" s="2" t="s">
        <v>840</v>
      </c>
      <c r="C122" s="2" t="s">
        <v>814</v>
      </c>
      <c r="D122" s="2" t="s">
        <v>852</v>
      </c>
    </row>
    <row r="123">
      <c r="A123" s="8">
        <v>46181.86324978009</v>
      </c>
      <c r="B123" s="2" t="s">
        <v>838</v>
      </c>
      <c r="C123" s="2" t="s">
        <v>818</v>
      </c>
      <c r="D123" s="2" t="s">
        <v>853</v>
      </c>
    </row>
    <row r="124">
      <c r="A124" s="8">
        <v>46181.863255578704</v>
      </c>
      <c r="B124" s="2" t="s">
        <v>840</v>
      </c>
      <c r="C124" s="2" t="s">
        <v>820</v>
      </c>
      <c r="D124" s="2" t="s">
        <v>854</v>
      </c>
    </row>
    <row r="125">
      <c r="A125" s="8">
        <v>46181.86326048611</v>
      </c>
      <c r="B125" s="2" t="s">
        <v>840</v>
      </c>
      <c r="C125" s="2" t="s">
        <v>822</v>
      </c>
      <c r="D125" s="2" t="s">
        <v>855</v>
      </c>
    </row>
    <row r="126">
      <c r="A126" s="8">
        <v>46181.8632665162</v>
      </c>
      <c r="B126" s="2" t="s">
        <v>838</v>
      </c>
      <c r="C126" s="2" t="s">
        <v>826</v>
      </c>
      <c r="D126" s="2" t="s">
        <v>856</v>
      </c>
    </row>
    <row r="127">
      <c r="A127" s="8">
        <v>46181.863279537036</v>
      </c>
      <c r="B127" s="2" t="s">
        <v>840</v>
      </c>
      <c r="C127" s="2" t="s">
        <v>826</v>
      </c>
      <c r="D127" s="2" t="s">
        <v>857</v>
      </c>
    </row>
    <row r="128">
      <c r="A128" s="8">
        <v>46181.863285115745</v>
      </c>
      <c r="B128" s="2" t="s">
        <v>798</v>
      </c>
      <c r="C128" s="2" t="s">
        <v>830</v>
      </c>
      <c r="D128" s="2" t="s">
        <v>831</v>
      </c>
    </row>
    <row r="129">
      <c r="A129" s="8">
        <v>46181.8632903588</v>
      </c>
      <c r="B129" s="2" t="s">
        <v>832</v>
      </c>
      <c r="D129" s="2" t="s">
        <v>859</v>
      </c>
    </row>
    <row r="130">
      <c r="A130" s="8">
        <v>46181.90481662037</v>
      </c>
      <c r="B130" s="2" t="s">
        <v>798</v>
      </c>
      <c r="C130" s="2" t="s">
        <v>799</v>
      </c>
      <c r="D130" s="2" t="s">
        <v>800</v>
      </c>
    </row>
    <row r="131">
      <c r="A131" s="8">
        <v>46181.904825844904</v>
      </c>
      <c r="B131" s="2" t="s">
        <v>838</v>
      </c>
      <c r="C131" s="2" t="s">
        <v>802</v>
      </c>
      <c r="D131" s="2" t="s">
        <v>839</v>
      </c>
    </row>
    <row r="132">
      <c r="A132" s="8">
        <v>46181.90484043982</v>
      </c>
      <c r="B132" s="2" t="s">
        <v>840</v>
      </c>
      <c r="C132" s="2" t="s">
        <v>804</v>
      </c>
      <c r="D132" s="2" t="s">
        <v>841</v>
      </c>
    </row>
    <row r="133">
      <c r="A133" s="8">
        <v>46181.90484479167</v>
      </c>
      <c r="B133" s="2" t="s">
        <v>834</v>
      </c>
      <c r="C133" s="2" t="s">
        <v>842</v>
      </c>
      <c r="D133" s="2" t="s">
        <v>843</v>
      </c>
    </row>
    <row r="134">
      <c r="A134" s="8">
        <v>46181.90484870371</v>
      </c>
      <c r="B134" s="2" t="s">
        <v>834</v>
      </c>
      <c r="C134" s="2" t="s">
        <v>846</v>
      </c>
      <c r="D134" s="2" t="s">
        <v>847</v>
      </c>
    </row>
    <row r="135">
      <c r="A135" s="8">
        <v>46181.90485304398</v>
      </c>
      <c r="B135" s="2" t="s">
        <v>834</v>
      </c>
      <c r="C135" s="2" t="s">
        <v>806</v>
      </c>
      <c r="D135" s="2" t="s">
        <v>861</v>
      </c>
    </row>
    <row r="136">
      <c r="A136" s="8">
        <v>46181.90485746528</v>
      </c>
      <c r="B136" s="2" t="s">
        <v>840</v>
      </c>
      <c r="C136" s="2" t="s">
        <v>810</v>
      </c>
      <c r="D136" s="2" t="s">
        <v>851</v>
      </c>
    </row>
    <row r="137">
      <c r="A137" s="8">
        <v>46181.90486185186</v>
      </c>
      <c r="B137" s="2" t="s">
        <v>798</v>
      </c>
      <c r="C137" s="2" t="s">
        <v>812</v>
      </c>
      <c r="D137" s="2" t="s">
        <v>813</v>
      </c>
    </row>
    <row r="138">
      <c r="A138" s="8">
        <v>46181.90486650463</v>
      </c>
      <c r="B138" s="2" t="s">
        <v>840</v>
      </c>
      <c r="C138" s="2" t="s">
        <v>814</v>
      </c>
      <c r="D138" s="2" t="s">
        <v>852</v>
      </c>
    </row>
    <row r="139">
      <c r="A139" s="8">
        <v>46181.9048709375</v>
      </c>
      <c r="B139" s="2" t="s">
        <v>838</v>
      </c>
      <c r="C139" s="2" t="s">
        <v>818</v>
      </c>
      <c r="D139" s="2" t="s">
        <v>853</v>
      </c>
    </row>
    <row r="140">
      <c r="A140" s="8">
        <v>46181.9048758912</v>
      </c>
      <c r="B140" s="2" t="s">
        <v>840</v>
      </c>
      <c r="C140" s="2" t="s">
        <v>820</v>
      </c>
      <c r="D140" s="2" t="s">
        <v>854</v>
      </c>
    </row>
    <row r="141">
      <c r="A141" s="8">
        <v>46181.904879803245</v>
      </c>
      <c r="B141" s="2" t="s">
        <v>840</v>
      </c>
      <c r="C141" s="2" t="s">
        <v>822</v>
      </c>
      <c r="D141" s="2" t="s">
        <v>855</v>
      </c>
    </row>
    <row r="142">
      <c r="A142" s="8">
        <v>46181.90488456019</v>
      </c>
      <c r="B142" s="2" t="s">
        <v>838</v>
      </c>
      <c r="C142" s="2" t="s">
        <v>826</v>
      </c>
      <c r="D142" s="2" t="s">
        <v>856</v>
      </c>
    </row>
    <row r="143">
      <c r="A143" s="8">
        <v>46181.90489423611</v>
      </c>
      <c r="B143" s="2" t="s">
        <v>840</v>
      </c>
      <c r="C143" s="2" t="s">
        <v>826</v>
      </c>
      <c r="D143" s="2" t="s">
        <v>857</v>
      </c>
    </row>
    <row r="144">
      <c r="A144" s="8">
        <v>46181.90489895833</v>
      </c>
      <c r="B144" s="2" t="s">
        <v>798</v>
      </c>
      <c r="C144" s="2" t="s">
        <v>830</v>
      </c>
      <c r="D144" s="2" t="s">
        <v>831</v>
      </c>
    </row>
    <row r="145">
      <c r="A145" s="8">
        <v>46181.904903055554</v>
      </c>
      <c r="B145" s="2" t="s">
        <v>832</v>
      </c>
      <c r="D145" s="2" t="s">
        <v>859</v>
      </c>
    </row>
    <row r="146">
      <c r="A146" s="8">
        <v>46181.917097488425</v>
      </c>
      <c r="B146" s="2" t="s">
        <v>863</v>
      </c>
      <c r="D146" s="2" t="s">
        <v>864</v>
      </c>
    </row>
    <row r="147">
      <c r="A147" s="8">
        <v>46181.946458252314</v>
      </c>
      <c r="B147" s="2" t="s">
        <v>798</v>
      </c>
      <c r="C147" s="2" t="s">
        <v>799</v>
      </c>
      <c r="D147" s="2" t="s">
        <v>800</v>
      </c>
    </row>
    <row r="148">
      <c r="A148" s="8">
        <v>46181.94646202546</v>
      </c>
      <c r="B148" s="2" t="s">
        <v>838</v>
      </c>
      <c r="C148" s="2" t="s">
        <v>802</v>
      </c>
      <c r="D148" s="2" t="s">
        <v>839</v>
      </c>
    </row>
    <row r="149">
      <c r="A149" s="8">
        <v>46181.94646633102</v>
      </c>
      <c r="B149" s="2" t="s">
        <v>840</v>
      </c>
      <c r="C149" s="2" t="s">
        <v>804</v>
      </c>
      <c r="D149" s="2" t="s">
        <v>841</v>
      </c>
    </row>
    <row r="150">
      <c r="A150" s="8">
        <v>46181.94648263889</v>
      </c>
      <c r="B150" s="2" t="s">
        <v>834</v>
      </c>
      <c r="C150" s="2" t="s">
        <v>842</v>
      </c>
      <c r="D150" s="2" t="s">
        <v>843</v>
      </c>
    </row>
    <row r="151">
      <c r="A151" s="8">
        <v>46181.94648625</v>
      </c>
      <c r="B151" s="2" t="s">
        <v>834</v>
      </c>
      <c r="C151" s="2" t="s">
        <v>846</v>
      </c>
      <c r="D151" s="2" t="s">
        <v>847</v>
      </c>
    </row>
    <row r="152">
      <c r="A152" s="8">
        <v>46181.94648958334</v>
      </c>
      <c r="B152" s="2" t="s">
        <v>834</v>
      </c>
      <c r="C152" s="2" t="s">
        <v>806</v>
      </c>
      <c r="D152" s="2" t="s">
        <v>861</v>
      </c>
    </row>
    <row r="153">
      <c r="A153" s="8">
        <v>46181.94649299768</v>
      </c>
      <c r="B153" s="2" t="s">
        <v>840</v>
      </c>
      <c r="C153" s="2" t="s">
        <v>810</v>
      </c>
      <c r="D153" s="2" t="s">
        <v>851</v>
      </c>
    </row>
    <row r="154">
      <c r="A154" s="8">
        <v>46181.94649627314</v>
      </c>
      <c r="B154" s="2" t="s">
        <v>798</v>
      </c>
      <c r="C154" s="2" t="s">
        <v>812</v>
      </c>
      <c r="D154" s="2" t="s">
        <v>813</v>
      </c>
    </row>
    <row r="155">
      <c r="A155" s="8">
        <v>46181.94649996528</v>
      </c>
      <c r="B155" s="2" t="s">
        <v>840</v>
      </c>
      <c r="C155" s="2" t="s">
        <v>814</v>
      </c>
      <c r="D155" s="2" t="s">
        <v>852</v>
      </c>
    </row>
    <row r="156">
      <c r="A156" s="8">
        <v>46181.9465033912</v>
      </c>
      <c r="B156" s="2" t="s">
        <v>838</v>
      </c>
      <c r="C156" s="2" t="s">
        <v>818</v>
      </c>
      <c r="D156" s="2" t="s">
        <v>853</v>
      </c>
    </row>
    <row r="157">
      <c r="A157" s="8">
        <v>46181.9465066088</v>
      </c>
      <c r="B157" s="2" t="s">
        <v>840</v>
      </c>
      <c r="C157" s="2" t="s">
        <v>820</v>
      </c>
      <c r="D157" s="2" t="s">
        <v>854</v>
      </c>
    </row>
    <row r="158">
      <c r="A158" s="8">
        <v>46181.94650935185</v>
      </c>
      <c r="B158" s="2" t="s">
        <v>840</v>
      </c>
      <c r="C158" s="2" t="s">
        <v>822</v>
      </c>
      <c r="D158" s="2" t="s">
        <v>855</v>
      </c>
    </row>
    <row r="159">
      <c r="A159" s="8">
        <v>46181.94651612268</v>
      </c>
      <c r="B159" s="2" t="s">
        <v>838</v>
      </c>
      <c r="C159" s="2" t="s">
        <v>826</v>
      </c>
      <c r="D159" s="2" t="s">
        <v>856</v>
      </c>
    </row>
    <row r="160">
      <c r="A160" s="8">
        <v>46181.94651894676</v>
      </c>
      <c r="B160" s="2" t="s">
        <v>840</v>
      </c>
      <c r="C160" s="2" t="s">
        <v>826</v>
      </c>
      <c r="D160" s="2" t="s">
        <v>857</v>
      </c>
    </row>
    <row r="161">
      <c r="A161" s="8">
        <v>46181.946522025464</v>
      </c>
      <c r="B161" s="2" t="s">
        <v>798</v>
      </c>
      <c r="C161" s="2" t="s">
        <v>830</v>
      </c>
      <c r="D161" s="2" t="s">
        <v>831</v>
      </c>
    </row>
    <row r="162">
      <c r="A162" s="8">
        <v>46181.94652548611</v>
      </c>
      <c r="B162" s="2" t="s">
        <v>832</v>
      </c>
      <c r="D162" s="2" t="s">
        <v>859</v>
      </c>
    </row>
    <row r="163">
      <c r="A163" s="8">
        <v>46181.98811189814</v>
      </c>
      <c r="B163" s="2" t="s">
        <v>798</v>
      </c>
      <c r="C163" s="2" t="s">
        <v>799</v>
      </c>
      <c r="D163" s="2" t="s">
        <v>800</v>
      </c>
    </row>
    <row r="164">
      <c r="A164" s="8">
        <v>46181.98811396991</v>
      </c>
      <c r="B164" s="2" t="s">
        <v>838</v>
      </c>
      <c r="C164" s="2" t="s">
        <v>802</v>
      </c>
      <c r="D164" s="2" t="s">
        <v>839</v>
      </c>
    </row>
    <row r="165">
      <c r="A165" s="8">
        <v>46181.9881162963</v>
      </c>
      <c r="B165" s="2" t="s">
        <v>840</v>
      </c>
      <c r="C165" s="2" t="s">
        <v>804</v>
      </c>
      <c r="D165" s="2" t="s">
        <v>841</v>
      </c>
    </row>
    <row r="166">
      <c r="A166" s="8">
        <v>46181.98811824074</v>
      </c>
      <c r="B166" s="2" t="s">
        <v>834</v>
      </c>
      <c r="C166" s="2" t="s">
        <v>842</v>
      </c>
      <c r="D166" s="2" t="s">
        <v>843</v>
      </c>
    </row>
    <row r="167">
      <c r="A167" s="8">
        <v>46181.98813672454</v>
      </c>
      <c r="B167" s="2" t="s">
        <v>834</v>
      </c>
      <c r="C167" s="2" t="s">
        <v>846</v>
      </c>
      <c r="D167" s="2" t="s">
        <v>847</v>
      </c>
    </row>
    <row r="168">
      <c r="A168" s="8">
        <v>46181.988138506946</v>
      </c>
      <c r="B168" s="2" t="s">
        <v>834</v>
      </c>
      <c r="C168" s="2" t="s">
        <v>806</v>
      </c>
      <c r="D168" s="2" t="s">
        <v>861</v>
      </c>
    </row>
    <row r="169">
      <c r="A169" s="8">
        <v>46181.98814179398</v>
      </c>
      <c r="B169" s="2" t="s">
        <v>840</v>
      </c>
      <c r="C169" s="2" t="s">
        <v>810</v>
      </c>
      <c r="D169" s="2" t="s">
        <v>851</v>
      </c>
    </row>
    <row r="170">
      <c r="A170" s="8">
        <v>46181.98814350694</v>
      </c>
      <c r="B170" s="2" t="s">
        <v>798</v>
      </c>
      <c r="C170" s="2" t="s">
        <v>812</v>
      </c>
      <c r="D170" s="2" t="s">
        <v>813</v>
      </c>
    </row>
    <row r="171">
      <c r="A171" s="8">
        <v>46181.988145173615</v>
      </c>
      <c r="B171" s="2" t="s">
        <v>840</v>
      </c>
      <c r="C171" s="2" t="s">
        <v>814</v>
      </c>
      <c r="D171" s="2" t="s">
        <v>852</v>
      </c>
    </row>
    <row r="172">
      <c r="A172" s="8">
        <v>46181.98814957176</v>
      </c>
      <c r="B172" s="2" t="s">
        <v>838</v>
      </c>
      <c r="C172" s="2" t="s">
        <v>818</v>
      </c>
      <c r="D172" s="2" t="s">
        <v>853</v>
      </c>
    </row>
    <row r="173">
      <c r="A173" s="8">
        <v>46181.98815293981</v>
      </c>
      <c r="B173" s="2" t="s">
        <v>840</v>
      </c>
      <c r="C173" s="2" t="s">
        <v>820</v>
      </c>
      <c r="D173" s="2" t="s">
        <v>854</v>
      </c>
    </row>
    <row r="174">
      <c r="A174" s="8">
        <v>46181.98815643518</v>
      </c>
      <c r="B174" s="2" t="s">
        <v>840</v>
      </c>
      <c r="C174" s="2" t="s">
        <v>822</v>
      </c>
      <c r="D174" s="2" t="s">
        <v>855</v>
      </c>
    </row>
    <row r="175">
      <c r="A175" s="8">
        <v>46181.98815826389</v>
      </c>
      <c r="B175" s="2" t="s">
        <v>838</v>
      </c>
      <c r="C175" s="2" t="s">
        <v>826</v>
      </c>
      <c r="D175" s="2" t="s">
        <v>856</v>
      </c>
    </row>
    <row r="176">
      <c r="A176" s="8">
        <v>46181.988167083335</v>
      </c>
      <c r="B176" s="2" t="s">
        <v>840</v>
      </c>
      <c r="C176" s="2" t="s">
        <v>826</v>
      </c>
      <c r="D176" s="2" t="s">
        <v>857</v>
      </c>
    </row>
    <row r="177">
      <c r="A177" s="8">
        <v>46181.98817039352</v>
      </c>
      <c r="B177" s="2" t="s">
        <v>798</v>
      </c>
      <c r="C177" s="2" t="s">
        <v>830</v>
      </c>
      <c r="D177" s="2" t="s">
        <v>831</v>
      </c>
    </row>
    <row r="178">
      <c r="A178" s="8">
        <v>46181.988177754625</v>
      </c>
      <c r="B178" s="2" t="s">
        <v>832</v>
      </c>
      <c r="D178" s="2" t="s">
        <v>859</v>
      </c>
    </row>
    <row r="179">
      <c r="A179" s="8">
        <v>46182.02977820602</v>
      </c>
      <c r="B179" s="2" t="s">
        <v>798</v>
      </c>
      <c r="C179" s="2" t="s">
        <v>799</v>
      </c>
      <c r="D179" s="2" t="s">
        <v>800</v>
      </c>
    </row>
    <row r="180">
      <c r="A180" s="8">
        <v>46182.029780729164</v>
      </c>
      <c r="B180" s="2" t="s">
        <v>838</v>
      </c>
      <c r="C180" s="2" t="s">
        <v>802</v>
      </c>
      <c r="D180" s="2" t="s">
        <v>839</v>
      </c>
    </row>
    <row r="181">
      <c r="A181" s="8">
        <v>46182.029783148144</v>
      </c>
      <c r="B181" s="2" t="s">
        <v>840</v>
      </c>
      <c r="C181" s="2" t="s">
        <v>804</v>
      </c>
      <c r="D181" s="2" t="s">
        <v>841</v>
      </c>
    </row>
    <row r="182">
      <c r="A182" s="8">
        <v>46182.029785694445</v>
      </c>
      <c r="B182" s="2" t="s">
        <v>834</v>
      </c>
      <c r="C182" s="2" t="s">
        <v>842</v>
      </c>
      <c r="D182" s="2" t="s">
        <v>843</v>
      </c>
    </row>
    <row r="183">
      <c r="A183" s="8">
        <v>46182.02979959491</v>
      </c>
      <c r="B183" s="2" t="s">
        <v>834</v>
      </c>
      <c r="C183" s="2" t="s">
        <v>846</v>
      </c>
      <c r="D183" s="2" t="s">
        <v>847</v>
      </c>
    </row>
    <row r="184">
      <c r="A184" s="8">
        <v>46182.02980171297</v>
      </c>
      <c r="B184" s="2" t="s">
        <v>834</v>
      </c>
      <c r="C184" s="2" t="s">
        <v>806</v>
      </c>
      <c r="D184" s="2" t="s">
        <v>861</v>
      </c>
    </row>
    <row r="185">
      <c r="A185" s="8">
        <v>46182.029804108795</v>
      </c>
      <c r="B185" s="2" t="s">
        <v>840</v>
      </c>
      <c r="C185" s="2" t="s">
        <v>810</v>
      </c>
      <c r="D185" s="2" t="s">
        <v>851</v>
      </c>
    </row>
    <row r="186">
      <c r="A186" s="8">
        <v>46182.02980653935</v>
      </c>
      <c r="B186" s="2" t="s">
        <v>798</v>
      </c>
      <c r="C186" s="2" t="s">
        <v>812</v>
      </c>
      <c r="D186" s="2" t="s">
        <v>813</v>
      </c>
    </row>
    <row r="187">
      <c r="A187" s="8">
        <v>46182.02980924769</v>
      </c>
      <c r="B187" s="2" t="s">
        <v>840</v>
      </c>
      <c r="C187" s="2" t="s">
        <v>814</v>
      </c>
      <c r="D187" s="2" t="s">
        <v>852</v>
      </c>
    </row>
    <row r="188">
      <c r="A188" s="8">
        <v>46182.02981197917</v>
      </c>
      <c r="B188" s="2" t="s">
        <v>838</v>
      </c>
      <c r="C188" s="2" t="s">
        <v>818</v>
      </c>
      <c r="D188" s="2" t="s">
        <v>853</v>
      </c>
    </row>
    <row r="189">
      <c r="A189" s="8">
        <v>46182.029814305555</v>
      </c>
      <c r="B189" s="2" t="s">
        <v>840</v>
      </c>
      <c r="C189" s="2" t="s">
        <v>820</v>
      </c>
      <c r="D189" s="2" t="s">
        <v>854</v>
      </c>
    </row>
    <row r="190">
      <c r="A190" s="8">
        <v>46182.02981681713</v>
      </c>
      <c r="B190" s="2" t="s">
        <v>840</v>
      </c>
      <c r="C190" s="2" t="s">
        <v>822</v>
      </c>
      <c r="D190" s="2" t="s">
        <v>855</v>
      </c>
    </row>
    <row r="191">
      <c r="A191" s="8">
        <v>46182.02981921296</v>
      </c>
      <c r="B191" s="2" t="s">
        <v>838</v>
      </c>
      <c r="C191" s="2" t="s">
        <v>826</v>
      </c>
      <c r="D191" s="2" t="s">
        <v>856</v>
      </c>
    </row>
    <row r="192">
      <c r="A192" s="8">
        <v>46182.02982256944</v>
      </c>
      <c r="B192" s="2" t="s">
        <v>840</v>
      </c>
      <c r="C192" s="2" t="s">
        <v>826</v>
      </c>
      <c r="D192" s="2" t="s">
        <v>857</v>
      </c>
    </row>
    <row r="193">
      <c r="A193" s="8">
        <v>46182.02982502315</v>
      </c>
      <c r="B193" s="2" t="s">
        <v>798</v>
      </c>
      <c r="C193" s="2" t="s">
        <v>830</v>
      </c>
      <c r="D193" s="2" t="s">
        <v>831</v>
      </c>
    </row>
    <row r="194">
      <c r="A194" s="8">
        <v>46182.029828506944</v>
      </c>
      <c r="B194" s="2" t="s">
        <v>832</v>
      </c>
      <c r="D194" s="2" t="s">
        <v>859</v>
      </c>
    </row>
    <row r="195">
      <c r="A195" s="8">
        <v>46182.0714524537</v>
      </c>
      <c r="B195" s="2" t="s">
        <v>798</v>
      </c>
      <c r="C195" s="2" t="s">
        <v>799</v>
      </c>
      <c r="D195" s="2" t="s">
        <v>800</v>
      </c>
    </row>
    <row r="196">
      <c r="A196" s="8">
        <v>46182.07145931713</v>
      </c>
      <c r="B196" s="2" t="s">
        <v>838</v>
      </c>
      <c r="C196" s="2" t="s">
        <v>802</v>
      </c>
      <c r="D196" s="2" t="s">
        <v>839</v>
      </c>
    </row>
    <row r="197">
      <c r="A197" s="8">
        <v>46182.07146435185</v>
      </c>
      <c r="B197" s="2" t="s">
        <v>840</v>
      </c>
      <c r="C197" s="2" t="s">
        <v>804</v>
      </c>
      <c r="D197" s="2" t="s">
        <v>841</v>
      </c>
    </row>
    <row r="198">
      <c r="A198" s="8">
        <v>46182.0714824537</v>
      </c>
      <c r="B198" s="2" t="s">
        <v>834</v>
      </c>
      <c r="C198" s="2" t="s">
        <v>842</v>
      </c>
      <c r="D198" s="2" t="s">
        <v>843</v>
      </c>
    </row>
    <row r="199">
      <c r="A199" s="8">
        <v>46182.07148596065</v>
      </c>
      <c r="B199" s="2" t="s">
        <v>834</v>
      </c>
      <c r="C199" s="2" t="s">
        <v>846</v>
      </c>
      <c r="D199" s="2" t="s">
        <v>847</v>
      </c>
    </row>
    <row r="200">
      <c r="A200" s="8">
        <v>46182.07149069445</v>
      </c>
      <c r="B200" s="2" t="s">
        <v>834</v>
      </c>
      <c r="C200" s="2" t="s">
        <v>806</v>
      </c>
      <c r="D200" s="2" t="s">
        <v>861</v>
      </c>
    </row>
    <row r="201">
      <c r="A201" s="8">
        <v>46182.07149430556</v>
      </c>
      <c r="B201" s="2" t="s">
        <v>840</v>
      </c>
      <c r="C201" s="2" t="s">
        <v>810</v>
      </c>
      <c r="D201" s="2" t="s">
        <v>851</v>
      </c>
    </row>
    <row r="202">
      <c r="A202" s="8">
        <v>46182.07149873843</v>
      </c>
      <c r="B202" s="2" t="s">
        <v>798</v>
      </c>
      <c r="C202" s="2" t="s">
        <v>812</v>
      </c>
      <c r="D202" s="2" t="s">
        <v>813</v>
      </c>
    </row>
    <row r="203">
      <c r="A203" s="8">
        <v>46182.071502384264</v>
      </c>
      <c r="B203" s="2" t="s">
        <v>840</v>
      </c>
      <c r="C203" s="2" t="s">
        <v>814</v>
      </c>
      <c r="D203" s="2" t="s">
        <v>852</v>
      </c>
    </row>
    <row r="204">
      <c r="A204" s="8">
        <v>46182.0715059375</v>
      </c>
      <c r="B204" s="2" t="s">
        <v>838</v>
      </c>
      <c r="C204" s="2" t="s">
        <v>818</v>
      </c>
      <c r="D204" s="2" t="s">
        <v>853</v>
      </c>
    </row>
    <row r="205">
      <c r="A205" s="8">
        <v>46182.071515185184</v>
      </c>
      <c r="B205" s="2" t="s">
        <v>840</v>
      </c>
      <c r="C205" s="2" t="s">
        <v>820</v>
      </c>
      <c r="D205" s="2" t="s">
        <v>854</v>
      </c>
    </row>
    <row r="206">
      <c r="A206" s="8">
        <v>46182.07151844907</v>
      </c>
      <c r="B206" s="2" t="s">
        <v>840</v>
      </c>
      <c r="C206" s="2" t="s">
        <v>822</v>
      </c>
      <c r="D206" s="2" t="s">
        <v>855</v>
      </c>
    </row>
    <row r="207">
      <c r="A207" s="8">
        <v>46182.07152189815</v>
      </c>
      <c r="B207" s="2" t="s">
        <v>838</v>
      </c>
      <c r="C207" s="2" t="s">
        <v>826</v>
      </c>
      <c r="D207" s="2" t="s">
        <v>856</v>
      </c>
    </row>
    <row r="208">
      <c r="A208" s="8">
        <v>46182.071528796296</v>
      </c>
      <c r="B208" s="2" t="s">
        <v>840</v>
      </c>
      <c r="C208" s="2" t="s">
        <v>826</v>
      </c>
      <c r="D208" s="2" t="s">
        <v>857</v>
      </c>
    </row>
    <row r="209">
      <c r="A209" s="8">
        <v>46182.071533888884</v>
      </c>
      <c r="B209" s="2" t="s">
        <v>798</v>
      </c>
      <c r="C209" s="2" t="s">
        <v>830</v>
      </c>
      <c r="D209" s="2" t="s">
        <v>831</v>
      </c>
    </row>
    <row r="210">
      <c r="A210" s="8">
        <v>46182.07154041667</v>
      </c>
      <c r="B210" s="2" t="s">
        <v>832</v>
      </c>
      <c r="D210" s="2" t="s">
        <v>859</v>
      </c>
    </row>
    <row r="211">
      <c r="A211" s="8">
        <v>46182.11313524305</v>
      </c>
      <c r="B211" s="2" t="s">
        <v>798</v>
      </c>
      <c r="C211" s="2" t="s">
        <v>799</v>
      </c>
      <c r="D211" s="2" t="s">
        <v>800</v>
      </c>
    </row>
    <row r="212">
      <c r="A212" s="8">
        <v>46182.113138877314</v>
      </c>
      <c r="B212" s="2" t="s">
        <v>838</v>
      </c>
      <c r="C212" s="2" t="s">
        <v>802</v>
      </c>
      <c r="D212" s="2" t="s">
        <v>839</v>
      </c>
    </row>
    <row r="213">
      <c r="A213" s="8">
        <v>46182.11314354167</v>
      </c>
      <c r="B213" s="2" t="s">
        <v>840</v>
      </c>
      <c r="C213" s="2" t="s">
        <v>804</v>
      </c>
      <c r="D213" s="2" t="s">
        <v>841</v>
      </c>
    </row>
    <row r="214">
      <c r="A214" s="8">
        <v>46182.11314717593</v>
      </c>
      <c r="B214" s="2" t="s">
        <v>834</v>
      </c>
      <c r="C214" s="2" t="s">
        <v>842</v>
      </c>
      <c r="D214" s="2" t="s">
        <v>843</v>
      </c>
    </row>
    <row r="215">
      <c r="A215" s="8">
        <v>46182.1131506713</v>
      </c>
      <c r="B215" s="2" t="s">
        <v>834</v>
      </c>
      <c r="C215" s="2" t="s">
        <v>846</v>
      </c>
      <c r="D215" s="2" t="s">
        <v>847</v>
      </c>
    </row>
    <row r="216">
      <c r="A216" s="8">
        <v>46182.11316184027</v>
      </c>
      <c r="B216" s="2" t="s">
        <v>834</v>
      </c>
      <c r="C216" s="2" t="s">
        <v>806</v>
      </c>
      <c r="D216" s="2" t="s">
        <v>861</v>
      </c>
    </row>
    <row r="217">
      <c r="A217" s="8">
        <v>46182.11316523148</v>
      </c>
      <c r="B217" s="2" t="s">
        <v>840</v>
      </c>
      <c r="C217" s="2" t="s">
        <v>810</v>
      </c>
      <c r="D217" s="2" t="s">
        <v>851</v>
      </c>
    </row>
    <row r="218">
      <c r="A218" s="8">
        <v>46182.11316857639</v>
      </c>
      <c r="B218" s="2" t="s">
        <v>798</v>
      </c>
      <c r="C218" s="2" t="s">
        <v>812</v>
      </c>
      <c r="D218" s="2" t="s">
        <v>813</v>
      </c>
    </row>
    <row r="219">
      <c r="A219" s="8">
        <v>46182.113183865746</v>
      </c>
      <c r="B219" s="2" t="s">
        <v>840</v>
      </c>
      <c r="C219" s="2" t="s">
        <v>814</v>
      </c>
      <c r="D219" s="2" t="s">
        <v>852</v>
      </c>
    </row>
    <row r="220">
      <c r="A220" s="8">
        <v>46182.11318730324</v>
      </c>
      <c r="B220" s="2" t="s">
        <v>838</v>
      </c>
      <c r="C220" s="2" t="s">
        <v>818</v>
      </c>
      <c r="D220" s="2" t="s">
        <v>853</v>
      </c>
    </row>
    <row r="221">
      <c r="A221" s="8">
        <v>46182.113196817125</v>
      </c>
      <c r="B221" s="2" t="s">
        <v>840</v>
      </c>
      <c r="C221" s="2" t="s">
        <v>820</v>
      </c>
      <c r="D221" s="2" t="s">
        <v>854</v>
      </c>
    </row>
    <row r="222">
      <c r="A222" s="8">
        <v>46182.11319929398</v>
      </c>
      <c r="B222" s="2" t="s">
        <v>840</v>
      </c>
      <c r="C222" s="2" t="s">
        <v>822</v>
      </c>
      <c r="D222" s="2" t="s">
        <v>855</v>
      </c>
    </row>
    <row r="223">
      <c r="A223" s="8">
        <v>46182.11320234954</v>
      </c>
      <c r="B223" s="2" t="s">
        <v>838</v>
      </c>
      <c r="C223" s="2" t="s">
        <v>826</v>
      </c>
      <c r="D223" s="2" t="s">
        <v>856</v>
      </c>
    </row>
    <row r="224">
      <c r="A224" s="8">
        <v>46182.11320519676</v>
      </c>
      <c r="B224" s="2" t="s">
        <v>840</v>
      </c>
      <c r="C224" s="2" t="s">
        <v>826</v>
      </c>
      <c r="D224" s="2" t="s">
        <v>857</v>
      </c>
    </row>
    <row r="225">
      <c r="A225" s="8">
        <v>46182.11320854167</v>
      </c>
      <c r="B225" s="2" t="s">
        <v>798</v>
      </c>
      <c r="C225" s="2" t="s">
        <v>830</v>
      </c>
      <c r="D225" s="2" t="s">
        <v>831</v>
      </c>
    </row>
    <row r="226">
      <c r="A226" s="8">
        <v>46182.113220960644</v>
      </c>
      <c r="B226" s="2" t="s">
        <v>832</v>
      </c>
      <c r="D226" s="2" t="s">
        <v>859</v>
      </c>
    </row>
    <row r="227">
      <c r="A227" s="8">
        <v>46182.15480609954</v>
      </c>
      <c r="B227" s="2" t="s">
        <v>844</v>
      </c>
      <c r="C227" s="2" t="s">
        <v>792</v>
      </c>
      <c r="D227" s="2" t="s">
        <v>860</v>
      </c>
    </row>
    <row r="228">
      <c r="A228" s="8">
        <v>46182.154824791665</v>
      </c>
      <c r="B228" s="2" t="s">
        <v>844</v>
      </c>
      <c r="C228" s="2" t="s">
        <v>836</v>
      </c>
      <c r="D228" s="2" t="s">
        <v>860</v>
      </c>
    </row>
    <row r="229">
      <c r="A229" s="8">
        <v>46182.154838622686</v>
      </c>
      <c r="B229" s="2" t="s">
        <v>798</v>
      </c>
      <c r="C229" s="2" t="s">
        <v>799</v>
      </c>
      <c r="D229" s="2" t="s">
        <v>800</v>
      </c>
    </row>
    <row r="230">
      <c r="A230" s="8">
        <v>46182.1548453125</v>
      </c>
      <c r="B230" s="2" t="s">
        <v>838</v>
      </c>
      <c r="C230" s="2" t="s">
        <v>802</v>
      </c>
      <c r="D230" s="2" t="s">
        <v>839</v>
      </c>
    </row>
    <row r="231">
      <c r="A231" s="8">
        <v>46182.154848935184</v>
      </c>
      <c r="B231" s="2" t="s">
        <v>834</v>
      </c>
      <c r="C231" s="2" t="s">
        <v>842</v>
      </c>
      <c r="D231" s="2" t="s">
        <v>843</v>
      </c>
    </row>
    <row r="232">
      <c r="A232" s="8">
        <v>46182.15485331019</v>
      </c>
      <c r="B232" s="2" t="s">
        <v>834</v>
      </c>
      <c r="C232" s="2" t="s">
        <v>846</v>
      </c>
      <c r="D232" s="2" t="s">
        <v>847</v>
      </c>
    </row>
    <row r="233">
      <c r="A233" s="8">
        <v>46182.154858229165</v>
      </c>
      <c r="B233" s="2" t="s">
        <v>834</v>
      </c>
      <c r="C233" s="2" t="s">
        <v>806</v>
      </c>
      <c r="D233" s="2" t="s">
        <v>861</v>
      </c>
    </row>
    <row r="234">
      <c r="A234" s="8">
        <v>46182.1548639699</v>
      </c>
      <c r="B234" s="2" t="s">
        <v>840</v>
      </c>
      <c r="C234" s="2" t="s">
        <v>810</v>
      </c>
      <c r="D234" s="2" t="s">
        <v>851</v>
      </c>
    </row>
    <row r="235">
      <c r="A235" s="8">
        <v>46182.15486760417</v>
      </c>
      <c r="B235" s="2" t="s">
        <v>798</v>
      </c>
      <c r="C235" s="2" t="s">
        <v>812</v>
      </c>
      <c r="D235" s="2" t="s">
        <v>813</v>
      </c>
    </row>
    <row r="236">
      <c r="A236" s="8">
        <v>46182.15487211806</v>
      </c>
      <c r="B236" s="2" t="s">
        <v>840</v>
      </c>
      <c r="C236" s="2" t="s">
        <v>814</v>
      </c>
      <c r="D236" s="2" t="s">
        <v>852</v>
      </c>
    </row>
    <row r="237">
      <c r="A237" s="8">
        <v>46182.154876678236</v>
      </c>
      <c r="B237" s="2" t="s">
        <v>838</v>
      </c>
      <c r="C237" s="2" t="s">
        <v>818</v>
      </c>
      <c r="D237" s="2" t="s">
        <v>853</v>
      </c>
    </row>
    <row r="238">
      <c r="A238" s="8">
        <v>46182.15488016204</v>
      </c>
      <c r="B238" s="2" t="s">
        <v>840</v>
      </c>
      <c r="C238" s="2" t="s">
        <v>820</v>
      </c>
      <c r="D238" s="2" t="s">
        <v>854</v>
      </c>
    </row>
    <row r="239">
      <c r="A239" s="8">
        <v>46182.1548841551</v>
      </c>
      <c r="B239" s="2" t="s">
        <v>838</v>
      </c>
      <c r="C239" s="2" t="s">
        <v>826</v>
      </c>
      <c r="D239" s="2" t="s">
        <v>856</v>
      </c>
    </row>
    <row r="240">
      <c r="A240" s="8">
        <v>46182.154888495366</v>
      </c>
      <c r="B240" s="2" t="s">
        <v>840</v>
      </c>
      <c r="C240" s="2" t="s">
        <v>826</v>
      </c>
      <c r="D240" s="2" t="s">
        <v>857</v>
      </c>
    </row>
    <row r="241">
      <c r="A241" s="8">
        <v>46182.15489290509</v>
      </c>
      <c r="B241" s="2" t="s">
        <v>798</v>
      </c>
      <c r="C241" s="2" t="s">
        <v>830</v>
      </c>
      <c r="D241" s="2" t="s">
        <v>831</v>
      </c>
    </row>
    <row r="242">
      <c r="A242" s="8">
        <v>46182.15489748842</v>
      </c>
      <c r="B242" s="2" t="s">
        <v>832</v>
      </c>
      <c r="D242" s="2" t="s">
        <v>865</v>
      </c>
    </row>
    <row r="243">
      <c r="A243" s="8">
        <v>46182.19647831019</v>
      </c>
      <c r="B243" s="2" t="s">
        <v>798</v>
      </c>
      <c r="C243" s="2" t="s">
        <v>799</v>
      </c>
      <c r="D243" s="2" t="s">
        <v>800</v>
      </c>
    </row>
    <row r="244">
      <c r="A244" s="8">
        <v>46182.196482245374</v>
      </c>
      <c r="B244" s="2" t="s">
        <v>838</v>
      </c>
      <c r="C244" s="2" t="s">
        <v>802</v>
      </c>
      <c r="D244" s="2" t="s">
        <v>839</v>
      </c>
    </row>
    <row r="245">
      <c r="A245" s="8">
        <v>46182.19648670139</v>
      </c>
      <c r="B245" s="2" t="s">
        <v>834</v>
      </c>
      <c r="C245" s="2" t="s">
        <v>842</v>
      </c>
      <c r="D245" s="2" t="s">
        <v>843</v>
      </c>
    </row>
    <row r="246">
      <c r="A246" s="8">
        <v>46182.19649099537</v>
      </c>
      <c r="B246" s="2" t="s">
        <v>834</v>
      </c>
      <c r="C246" s="2" t="s">
        <v>846</v>
      </c>
      <c r="D246" s="2" t="s">
        <v>847</v>
      </c>
    </row>
    <row r="247">
      <c r="A247" s="8">
        <v>46182.19649497685</v>
      </c>
      <c r="B247" s="2" t="s">
        <v>834</v>
      </c>
      <c r="C247" s="2" t="s">
        <v>806</v>
      </c>
      <c r="D247" s="2" t="s">
        <v>861</v>
      </c>
    </row>
    <row r="248">
      <c r="A248" s="8">
        <v>46182.19649945602</v>
      </c>
      <c r="B248" s="2" t="s">
        <v>840</v>
      </c>
      <c r="C248" s="2" t="s">
        <v>810</v>
      </c>
      <c r="D248" s="2" t="s">
        <v>851</v>
      </c>
    </row>
    <row r="249">
      <c r="A249" s="8">
        <v>46182.19650266204</v>
      </c>
      <c r="B249" s="2" t="s">
        <v>798</v>
      </c>
      <c r="C249" s="2" t="s">
        <v>812</v>
      </c>
      <c r="D249" s="2" t="s">
        <v>813</v>
      </c>
    </row>
    <row r="250">
      <c r="A250" s="8">
        <v>46182.19650655093</v>
      </c>
      <c r="B250" s="2" t="s">
        <v>840</v>
      </c>
      <c r="C250" s="2" t="s">
        <v>814</v>
      </c>
      <c r="D250" s="2" t="s">
        <v>852</v>
      </c>
    </row>
    <row r="251">
      <c r="A251" s="8">
        <v>46182.19651233796</v>
      </c>
      <c r="B251" s="2" t="s">
        <v>838</v>
      </c>
      <c r="C251" s="2" t="s">
        <v>818</v>
      </c>
      <c r="D251" s="2" t="s">
        <v>853</v>
      </c>
    </row>
    <row r="252">
      <c r="A252" s="8">
        <v>46182.196517812496</v>
      </c>
      <c r="B252" s="2" t="s">
        <v>840</v>
      </c>
      <c r="C252" s="2" t="s">
        <v>820</v>
      </c>
      <c r="D252" s="2" t="s">
        <v>854</v>
      </c>
    </row>
    <row r="253">
      <c r="A253" s="8">
        <v>46182.196522604165</v>
      </c>
      <c r="B253" s="2" t="s">
        <v>838</v>
      </c>
      <c r="C253" s="2" t="s">
        <v>826</v>
      </c>
      <c r="D253" s="2" t="s">
        <v>856</v>
      </c>
    </row>
    <row r="254">
      <c r="A254" s="8">
        <v>46182.1965268287</v>
      </c>
      <c r="B254" s="2" t="s">
        <v>840</v>
      </c>
      <c r="C254" s="2" t="s">
        <v>826</v>
      </c>
      <c r="D254" s="2" t="s">
        <v>857</v>
      </c>
    </row>
    <row r="255">
      <c r="A255" s="8">
        <v>46182.19653237268</v>
      </c>
      <c r="B255" s="2" t="s">
        <v>798</v>
      </c>
      <c r="C255" s="2" t="s">
        <v>830</v>
      </c>
      <c r="D255" s="2" t="s">
        <v>831</v>
      </c>
    </row>
    <row r="256">
      <c r="A256" s="8">
        <v>46182.19653649305</v>
      </c>
      <c r="B256" s="2" t="s">
        <v>832</v>
      </c>
      <c r="D256" s="2" t="s">
        <v>866</v>
      </c>
    </row>
    <row r="257">
      <c r="A257" s="8">
        <v>46182.238112708335</v>
      </c>
      <c r="B257" s="2" t="s">
        <v>798</v>
      </c>
      <c r="C257" s="2" t="s">
        <v>799</v>
      </c>
      <c r="D257" s="2" t="s">
        <v>800</v>
      </c>
    </row>
    <row r="258">
      <c r="A258" s="8">
        <v>46182.238118194444</v>
      </c>
      <c r="B258" s="2" t="s">
        <v>838</v>
      </c>
      <c r="C258" s="2" t="s">
        <v>802</v>
      </c>
      <c r="D258" s="2" t="s">
        <v>839</v>
      </c>
    </row>
    <row r="259">
      <c r="A259" s="8">
        <v>46182.23812384259</v>
      </c>
      <c r="B259" s="2" t="s">
        <v>834</v>
      </c>
      <c r="C259" s="2" t="s">
        <v>842</v>
      </c>
      <c r="D259" s="2" t="s">
        <v>843</v>
      </c>
    </row>
    <row r="260">
      <c r="A260" s="8">
        <v>46182.23813622685</v>
      </c>
      <c r="B260" s="2" t="s">
        <v>834</v>
      </c>
      <c r="C260" s="2" t="s">
        <v>846</v>
      </c>
      <c r="D260" s="2" t="s">
        <v>847</v>
      </c>
    </row>
    <row r="261">
      <c r="A261" s="8">
        <v>46182.238139050925</v>
      </c>
      <c r="B261" s="2" t="s">
        <v>834</v>
      </c>
      <c r="C261" s="2" t="s">
        <v>806</v>
      </c>
      <c r="D261" s="2" t="s">
        <v>861</v>
      </c>
    </row>
    <row r="262">
      <c r="A262" s="8">
        <v>46182.23814240741</v>
      </c>
      <c r="B262" s="2" t="s">
        <v>840</v>
      </c>
      <c r="C262" s="2" t="s">
        <v>810</v>
      </c>
      <c r="D262" s="2" t="s">
        <v>851</v>
      </c>
    </row>
    <row r="263">
      <c r="A263" s="8">
        <v>46182.23814811342</v>
      </c>
      <c r="B263" s="2" t="s">
        <v>798</v>
      </c>
      <c r="C263" s="2" t="s">
        <v>812</v>
      </c>
      <c r="D263" s="2" t="s">
        <v>813</v>
      </c>
    </row>
    <row r="264">
      <c r="A264" s="8">
        <v>46182.238151666665</v>
      </c>
      <c r="B264" s="2" t="s">
        <v>840</v>
      </c>
      <c r="C264" s="2" t="s">
        <v>814</v>
      </c>
      <c r="D264" s="2" t="s">
        <v>852</v>
      </c>
    </row>
    <row r="265">
      <c r="A265" s="8">
        <v>46182.23815427083</v>
      </c>
      <c r="B265" s="2" t="s">
        <v>838</v>
      </c>
      <c r="C265" s="2" t="s">
        <v>818</v>
      </c>
      <c r="D265" s="2" t="s">
        <v>853</v>
      </c>
    </row>
    <row r="266">
      <c r="A266" s="8">
        <v>46182.23815697916</v>
      </c>
      <c r="B266" s="2" t="s">
        <v>840</v>
      </c>
      <c r="C266" s="2" t="s">
        <v>820</v>
      </c>
      <c r="D266" s="2" t="s">
        <v>854</v>
      </c>
    </row>
    <row r="267">
      <c r="A267" s="8">
        <v>46182.238160810186</v>
      </c>
      <c r="B267" s="2" t="s">
        <v>838</v>
      </c>
      <c r="C267" s="2" t="s">
        <v>826</v>
      </c>
      <c r="D267" s="2" t="s">
        <v>856</v>
      </c>
    </row>
    <row r="268">
      <c r="A268" s="8">
        <v>46182.23816424768</v>
      </c>
      <c r="B268" s="2" t="s">
        <v>840</v>
      </c>
      <c r="C268" s="2" t="s">
        <v>826</v>
      </c>
      <c r="D268" s="2" t="s">
        <v>857</v>
      </c>
    </row>
    <row r="269">
      <c r="A269" s="8">
        <v>46182.23816783565</v>
      </c>
      <c r="B269" s="2" t="s">
        <v>798</v>
      </c>
      <c r="C269" s="2" t="s">
        <v>830</v>
      </c>
      <c r="D269" s="2" t="s">
        <v>831</v>
      </c>
    </row>
    <row r="270">
      <c r="A270" s="8">
        <v>46182.23817363426</v>
      </c>
      <c r="B270" s="2" t="s">
        <v>832</v>
      </c>
      <c r="D270" s="2" t="s">
        <v>866</v>
      </c>
    </row>
    <row r="271">
      <c r="A271" s="8">
        <v>46182.27980390046</v>
      </c>
      <c r="B271" s="2" t="s">
        <v>798</v>
      </c>
      <c r="C271" s="2" t="s">
        <v>799</v>
      </c>
      <c r="D271" s="2" t="s">
        <v>800</v>
      </c>
    </row>
    <row r="272">
      <c r="A272" s="8">
        <v>46182.27980844908</v>
      </c>
      <c r="B272" s="2" t="s">
        <v>838</v>
      </c>
      <c r="C272" s="2" t="s">
        <v>802</v>
      </c>
      <c r="D272" s="2" t="s">
        <v>839</v>
      </c>
    </row>
    <row r="273">
      <c r="A273" s="8">
        <v>46182.279813506946</v>
      </c>
      <c r="B273" s="2" t="s">
        <v>834</v>
      </c>
      <c r="C273" s="2" t="s">
        <v>842</v>
      </c>
      <c r="D273" s="2" t="s">
        <v>843</v>
      </c>
    </row>
    <row r="274">
      <c r="A274" s="8">
        <v>46182.27983321759</v>
      </c>
      <c r="B274" s="2" t="s">
        <v>834</v>
      </c>
      <c r="C274" s="2" t="s">
        <v>846</v>
      </c>
      <c r="D274" s="2" t="s">
        <v>847</v>
      </c>
    </row>
    <row r="275">
      <c r="A275" s="8">
        <v>46182.279837662034</v>
      </c>
      <c r="B275" s="2" t="s">
        <v>834</v>
      </c>
      <c r="C275" s="2" t="s">
        <v>806</v>
      </c>
      <c r="D275" s="2" t="s">
        <v>861</v>
      </c>
    </row>
    <row r="276">
      <c r="A276" s="8">
        <v>46182.27984672454</v>
      </c>
      <c r="B276" s="2" t="s">
        <v>840</v>
      </c>
      <c r="C276" s="2" t="s">
        <v>810</v>
      </c>
      <c r="D276" s="2" t="s">
        <v>851</v>
      </c>
    </row>
    <row r="277">
      <c r="A277" s="8">
        <v>46182.27985092593</v>
      </c>
      <c r="B277" s="2" t="s">
        <v>798</v>
      </c>
      <c r="C277" s="2" t="s">
        <v>812</v>
      </c>
      <c r="D277" s="2" t="s">
        <v>813</v>
      </c>
    </row>
    <row r="278">
      <c r="A278" s="8">
        <v>46182.279854988425</v>
      </c>
      <c r="B278" s="2" t="s">
        <v>840</v>
      </c>
      <c r="C278" s="2" t="s">
        <v>814</v>
      </c>
      <c r="D278" s="2" t="s">
        <v>852</v>
      </c>
    </row>
    <row r="279">
      <c r="A279" s="8">
        <v>46182.279859270835</v>
      </c>
      <c r="B279" s="2" t="s">
        <v>838</v>
      </c>
      <c r="C279" s="2" t="s">
        <v>818</v>
      </c>
      <c r="D279" s="2" t="s">
        <v>853</v>
      </c>
    </row>
    <row r="280">
      <c r="A280" s="8">
        <v>46182.27986310185</v>
      </c>
      <c r="B280" s="2" t="s">
        <v>840</v>
      </c>
      <c r="C280" s="2" t="s">
        <v>820</v>
      </c>
      <c r="D280" s="2" t="s">
        <v>854</v>
      </c>
    </row>
    <row r="281">
      <c r="A281" s="8">
        <v>46182.27986738426</v>
      </c>
      <c r="B281" s="2" t="s">
        <v>838</v>
      </c>
      <c r="C281" s="2" t="s">
        <v>826</v>
      </c>
      <c r="D281" s="2" t="s">
        <v>856</v>
      </c>
    </row>
    <row r="282">
      <c r="A282" s="8">
        <v>46182.279876319444</v>
      </c>
      <c r="B282" s="2" t="s">
        <v>840</v>
      </c>
      <c r="C282" s="2" t="s">
        <v>826</v>
      </c>
      <c r="D282" s="2" t="s">
        <v>857</v>
      </c>
    </row>
    <row r="283">
      <c r="A283" s="8">
        <v>46182.27988061342</v>
      </c>
      <c r="B283" s="2" t="s">
        <v>798</v>
      </c>
      <c r="C283" s="2" t="s">
        <v>830</v>
      </c>
      <c r="D283" s="2" t="s">
        <v>831</v>
      </c>
    </row>
    <row r="284">
      <c r="A284" s="8">
        <v>46182.279885324075</v>
      </c>
      <c r="B284" s="2" t="s">
        <v>832</v>
      </c>
      <c r="D284" s="2" t="s">
        <v>866</v>
      </c>
    </row>
    <row r="285">
      <c r="A285" s="8">
        <v>46182.32149916667</v>
      </c>
      <c r="B285" s="2" t="s">
        <v>798</v>
      </c>
      <c r="C285" s="2" t="s">
        <v>799</v>
      </c>
      <c r="D285" s="2" t="s">
        <v>800</v>
      </c>
    </row>
    <row r="286">
      <c r="A286" s="8">
        <v>46182.32150479167</v>
      </c>
      <c r="B286" s="2" t="s">
        <v>838</v>
      </c>
      <c r="C286" s="2" t="s">
        <v>802</v>
      </c>
      <c r="D286" s="2" t="s">
        <v>839</v>
      </c>
    </row>
    <row r="287">
      <c r="A287" s="8">
        <v>46182.321510636575</v>
      </c>
      <c r="B287" s="2" t="s">
        <v>834</v>
      </c>
      <c r="C287" s="2" t="s">
        <v>842</v>
      </c>
      <c r="D287" s="2" t="s">
        <v>843</v>
      </c>
    </row>
    <row r="288">
      <c r="A288" s="8">
        <v>46182.32152351852</v>
      </c>
      <c r="B288" s="2" t="s">
        <v>834</v>
      </c>
      <c r="C288" s="2" t="s">
        <v>846</v>
      </c>
      <c r="D288" s="2" t="s">
        <v>847</v>
      </c>
    </row>
    <row r="289">
      <c r="A289" s="8">
        <v>46182.32152987269</v>
      </c>
      <c r="B289" s="2" t="s">
        <v>834</v>
      </c>
      <c r="C289" s="2" t="s">
        <v>806</v>
      </c>
      <c r="D289" s="2" t="s">
        <v>861</v>
      </c>
    </row>
    <row r="290">
      <c r="A290" s="8">
        <v>46182.321533599534</v>
      </c>
      <c r="B290" s="2" t="s">
        <v>840</v>
      </c>
      <c r="C290" s="2" t="s">
        <v>810</v>
      </c>
      <c r="D290" s="2" t="s">
        <v>851</v>
      </c>
    </row>
    <row r="291">
      <c r="A291" s="8">
        <v>46182.32153773148</v>
      </c>
      <c r="B291" s="2" t="s">
        <v>798</v>
      </c>
      <c r="C291" s="2" t="s">
        <v>812</v>
      </c>
      <c r="D291" s="2" t="s">
        <v>813</v>
      </c>
    </row>
    <row r="292">
      <c r="A292" s="8">
        <v>46182.32154097222</v>
      </c>
      <c r="B292" s="2" t="s">
        <v>840</v>
      </c>
      <c r="C292" s="2" t="s">
        <v>814</v>
      </c>
      <c r="D292" s="2" t="s">
        <v>852</v>
      </c>
    </row>
    <row r="293">
      <c r="A293" s="8">
        <v>46182.32154609954</v>
      </c>
      <c r="B293" s="2" t="s">
        <v>838</v>
      </c>
      <c r="C293" s="2" t="s">
        <v>818</v>
      </c>
      <c r="D293" s="2" t="s">
        <v>853</v>
      </c>
    </row>
    <row r="294">
      <c r="A294" s="8">
        <v>46182.32155071759</v>
      </c>
      <c r="B294" s="2" t="s">
        <v>840</v>
      </c>
      <c r="C294" s="2" t="s">
        <v>820</v>
      </c>
      <c r="D294" s="2" t="s">
        <v>854</v>
      </c>
    </row>
    <row r="295">
      <c r="A295" s="8">
        <v>46182.3215552662</v>
      </c>
      <c r="B295" s="2" t="s">
        <v>838</v>
      </c>
      <c r="C295" s="2" t="s">
        <v>826</v>
      </c>
      <c r="D295" s="2" t="s">
        <v>856</v>
      </c>
    </row>
    <row r="296">
      <c r="A296" s="8">
        <v>46182.32156019676</v>
      </c>
      <c r="B296" s="2" t="s">
        <v>840</v>
      </c>
      <c r="C296" s="2" t="s">
        <v>826</v>
      </c>
      <c r="D296" s="2" t="s">
        <v>857</v>
      </c>
    </row>
    <row r="297">
      <c r="A297" s="8">
        <v>46182.32156520833</v>
      </c>
      <c r="B297" s="2" t="s">
        <v>798</v>
      </c>
      <c r="C297" s="2" t="s">
        <v>830</v>
      </c>
      <c r="D297" s="2" t="s">
        <v>831</v>
      </c>
    </row>
    <row r="298">
      <c r="A298" s="8">
        <v>46182.321571493056</v>
      </c>
      <c r="B298" s="2" t="s">
        <v>832</v>
      </c>
      <c r="D298" s="2" t="s">
        <v>866</v>
      </c>
    </row>
    <row r="299">
      <c r="A299" s="8">
        <v>46182.36317159722</v>
      </c>
      <c r="B299" s="2" t="s">
        <v>798</v>
      </c>
      <c r="C299" s="2" t="s">
        <v>799</v>
      </c>
      <c r="D299" s="2" t="s">
        <v>800</v>
      </c>
    </row>
    <row r="300">
      <c r="A300" s="8">
        <v>46182.36317670139</v>
      </c>
      <c r="B300" s="2" t="s">
        <v>838</v>
      </c>
      <c r="C300" s="2" t="s">
        <v>802</v>
      </c>
      <c r="D300" s="2" t="s">
        <v>839</v>
      </c>
    </row>
    <row r="301">
      <c r="A301" s="8">
        <v>46182.36319725694</v>
      </c>
      <c r="B301" s="2" t="s">
        <v>834</v>
      </c>
      <c r="C301" s="2" t="s">
        <v>842</v>
      </c>
      <c r="D301" s="2" t="s">
        <v>843</v>
      </c>
    </row>
    <row r="302">
      <c r="A302" s="8">
        <v>46182.36320357639</v>
      </c>
      <c r="B302" s="2" t="s">
        <v>834</v>
      </c>
      <c r="C302" s="2" t="s">
        <v>846</v>
      </c>
      <c r="D302" s="2" t="s">
        <v>847</v>
      </c>
    </row>
    <row r="303">
      <c r="A303" s="8">
        <v>46182.3632121875</v>
      </c>
      <c r="B303" s="2" t="s">
        <v>834</v>
      </c>
      <c r="C303" s="2" t="s">
        <v>806</v>
      </c>
      <c r="D303" s="2" t="s">
        <v>861</v>
      </c>
    </row>
    <row r="304">
      <c r="A304" s="8">
        <v>46182.36321847222</v>
      </c>
      <c r="B304" s="2" t="s">
        <v>840</v>
      </c>
      <c r="C304" s="2" t="s">
        <v>810</v>
      </c>
      <c r="D304" s="2" t="s">
        <v>851</v>
      </c>
    </row>
    <row r="305">
      <c r="A305" s="8">
        <v>46182.36322486111</v>
      </c>
      <c r="B305" s="2" t="s">
        <v>798</v>
      </c>
      <c r="C305" s="2" t="s">
        <v>812</v>
      </c>
      <c r="D305" s="2" t="s">
        <v>813</v>
      </c>
    </row>
    <row r="306">
      <c r="A306" s="8">
        <v>46182.36322950231</v>
      </c>
      <c r="B306" s="2" t="s">
        <v>840</v>
      </c>
      <c r="C306" s="2" t="s">
        <v>814</v>
      </c>
      <c r="D306" s="2" t="s">
        <v>852</v>
      </c>
    </row>
    <row r="307">
      <c r="A307" s="8">
        <v>46182.363246967594</v>
      </c>
      <c r="B307" s="2" t="s">
        <v>838</v>
      </c>
      <c r="C307" s="2" t="s">
        <v>818</v>
      </c>
      <c r="D307" s="2" t="s">
        <v>853</v>
      </c>
    </row>
    <row r="308">
      <c r="A308" s="8">
        <v>46182.36325608796</v>
      </c>
      <c r="B308" s="2" t="s">
        <v>840</v>
      </c>
      <c r="C308" s="2" t="s">
        <v>820</v>
      </c>
      <c r="D308" s="2" t="s">
        <v>854</v>
      </c>
    </row>
    <row r="309">
      <c r="A309" s="8">
        <v>46182.36326076389</v>
      </c>
      <c r="B309" s="2" t="s">
        <v>838</v>
      </c>
      <c r="C309" s="2" t="s">
        <v>826</v>
      </c>
      <c r="D309" s="2" t="s">
        <v>856</v>
      </c>
    </row>
    <row r="310">
      <c r="A310" s="8">
        <v>46182.363277013894</v>
      </c>
      <c r="B310" s="2" t="s">
        <v>840</v>
      </c>
      <c r="C310" s="2" t="s">
        <v>826</v>
      </c>
      <c r="D310" s="2" t="s">
        <v>857</v>
      </c>
    </row>
    <row r="311">
      <c r="A311" s="8">
        <v>46182.36328615741</v>
      </c>
      <c r="B311" s="2" t="s">
        <v>798</v>
      </c>
      <c r="C311" s="2" t="s">
        <v>830</v>
      </c>
      <c r="D311" s="2" t="s">
        <v>831</v>
      </c>
    </row>
    <row r="312">
      <c r="A312" s="8">
        <v>46182.36329100694</v>
      </c>
      <c r="B312" s="2" t="s">
        <v>832</v>
      </c>
      <c r="D312" s="2" t="s">
        <v>866</v>
      </c>
    </row>
    <row r="313">
      <c r="A313" s="8">
        <v>46182.40480616898</v>
      </c>
      <c r="B313" s="2" t="s">
        <v>798</v>
      </c>
      <c r="C313" s="2" t="s">
        <v>792</v>
      </c>
      <c r="D313" s="2" t="s">
        <v>867</v>
      </c>
    </row>
    <row r="314">
      <c r="A314" s="8">
        <v>46182.40481097222</v>
      </c>
      <c r="B314" s="2" t="s">
        <v>798</v>
      </c>
      <c r="C314" s="2" t="s">
        <v>794</v>
      </c>
      <c r="D314" s="2" t="s">
        <v>868</v>
      </c>
    </row>
    <row r="315">
      <c r="A315" s="8">
        <v>46182.40481506944</v>
      </c>
      <c r="B315" s="2" t="s">
        <v>798</v>
      </c>
      <c r="C315" s="2" t="s">
        <v>796</v>
      </c>
      <c r="D315" s="2" t="s">
        <v>869</v>
      </c>
    </row>
    <row r="316">
      <c r="A316" s="8">
        <v>46182.404832141205</v>
      </c>
      <c r="B316" s="2" t="s">
        <v>798</v>
      </c>
      <c r="C316" s="2" t="s">
        <v>836</v>
      </c>
      <c r="D316" s="2" t="s">
        <v>870</v>
      </c>
    </row>
    <row r="317">
      <c r="A317" s="8">
        <v>46182.40483670139</v>
      </c>
      <c r="B317" s="2" t="s">
        <v>798</v>
      </c>
      <c r="C317" s="2" t="s">
        <v>799</v>
      </c>
      <c r="D317" s="2" t="s">
        <v>800</v>
      </c>
    </row>
    <row r="318">
      <c r="A318" s="8">
        <v>46182.40484055555</v>
      </c>
      <c r="B318" s="2" t="s">
        <v>798</v>
      </c>
      <c r="C318" s="2" t="s">
        <v>802</v>
      </c>
      <c r="D318" s="2" t="s">
        <v>871</v>
      </c>
    </row>
    <row r="319">
      <c r="A319" s="8">
        <v>46182.404844097226</v>
      </c>
      <c r="B319" s="2" t="s">
        <v>798</v>
      </c>
      <c r="C319" s="2" t="s">
        <v>804</v>
      </c>
      <c r="D319" s="2" t="s">
        <v>872</v>
      </c>
    </row>
    <row r="320">
      <c r="A320" s="8">
        <v>46182.404850266204</v>
      </c>
      <c r="B320" s="2" t="s">
        <v>798</v>
      </c>
      <c r="C320" s="2" t="s">
        <v>842</v>
      </c>
      <c r="D320" s="2" t="s">
        <v>873</v>
      </c>
    </row>
    <row r="321">
      <c r="A321" s="8">
        <v>46182.404854513894</v>
      </c>
      <c r="B321" s="2" t="s">
        <v>798</v>
      </c>
      <c r="C321" s="2" t="s">
        <v>846</v>
      </c>
      <c r="D321" s="2" t="s">
        <v>874</v>
      </c>
    </row>
    <row r="322">
      <c r="A322" s="8">
        <v>46182.40486039352</v>
      </c>
      <c r="B322" s="2" t="s">
        <v>798</v>
      </c>
      <c r="C322" s="2" t="s">
        <v>848</v>
      </c>
      <c r="D322" s="2" t="s">
        <v>875</v>
      </c>
    </row>
    <row r="323">
      <c r="A323" s="8">
        <v>46182.40486700232</v>
      </c>
      <c r="B323" s="2" t="s">
        <v>798</v>
      </c>
      <c r="C323" s="2" t="s">
        <v>806</v>
      </c>
      <c r="D323" s="2" t="s">
        <v>876</v>
      </c>
    </row>
    <row r="324">
      <c r="A324" s="8">
        <v>46182.40487244213</v>
      </c>
      <c r="B324" s="2" t="s">
        <v>798</v>
      </c>
      <c r="C324" s="2" t="s">
        <v>877</v>
      </c>
      <c r="D324" s="2" t="s">
        <v>878</v>
      </c>
    </row>
    <row r="325">
      <c r="A325" s="8">
        <v>46182.404875821754</v>
      </c>
      <c r="B325" s="2" t="s">
        <v>798</v>
      </c>
      <c r="C325" s="2" t="s">
        <v>808</v>
      </c>
      <c r="D325" s="2" t="s">
        <v>879</v>
      </c>
    </row>
    <row r="326">
      <c r="A326" s="8">
        <v>46182.40487923611</v>
      </c>
      <c r="B326" s="2" t="s">
        <v>798</v>
      </c>
      <c r="C326" s="2" t="s">
        <v>810</v>
      </c>
      <c r="D326" s="2" t="s">
        <v>880</v>
      </c>
    </row>
    <row r="327">
      <c r="A327" s="8">
        <v>46182.40488480324</v>
      </c>
      <c r="B327" s="2" t="s">
        <v>798</v>
      </c>
      <c r="C327" s="2" t="s">
        <v>812</v>
      </c>
      <c r="D327" s="2" t="s">
        <v>813</v>
      </c>
    </row>
    <row r="328">
      <c r="A328" s="8">
        <v>46182.40488798611</v>
      </c>
      <c r="B328" s="2" t="s">
        <v>798</v>
      </c>
      <c r="C328" s="2" t="s">
        <v>814</v>
      </c>
      <c r="D328" s="2" t="s">
        <v>881</v>
      </c>
    </row>
    <row r="329">
      <c r="A329" s="8">
        <v>46182.40489175926</v>
      </c>
      <c r="B329" s="2" t="s">
        <v>798</v>
      </c>
      <c r="C329" s="2" t="s">
        <v>816</v>
      </c>
      <c r="D329" s="2" t="s">
        <v>882</v>
      </c>
    </row>
    <row r="330">
      <c r="A330" s="8">
        <v>46182.404895011576</v>
      </c>
      <c r="B330" s="2" t="s">
        <v>798</v>
      </c>
      <c r="C330" s="2" t="s">
        <v>818</v>
      </c>
      <c r="D330" s="2" t="s">
        <v>883</v>
      </c>
    </row>
    <row r="331">
      <c r="A331" s="8">
        <v>46182.404898865745</v>
      </c>
      <c r="B331" s="2" t="s">
        <v>798</v>
      </c>
      <c r="C331" s="2" t="s">
        <v>820</v>
      </c>
      <c r="D331" s="2" t="s">
        <v>884</v>
      </c>
    </row>
    <row r="332">
      <c r="A332" s="8">
        <v>46182.4049019213</v>
      </c>
      <c r="B332" s="2" t="s">
        <v>798</v>
      </c>
      <c r="C332" s="2" t="s">
        <v>822</v>
      </c>
      <c r="D332" s="2" t="s">
        <v>885</v>
      </c>
    </row>
    <row r="333">
      <c r="A333" s="8">
        <v>46182.40490516204</v>
      </c>
      <c r="B333" s="2" t="s">
        <v>798</v>
      </c>
      <c r="C333" s="2" t="s">
        <v>824</v>
      </c>
      <c r="D333" s="2" t="s">
        <v>886</v>
      </c>
    </row>
    <row r="334">
      <c r="A334" s="8">
        <v>46182.40490820602</v>
      </c>
      <c r="B334" s="2" t="s">
        <v>798</v>
      </c>
      <c r="C334" s="2" t="s">
        <v>826</v>
      </c>
      <c r="D334" s="2" t="s">
        <v>887</v>
      </c>
    </row>
    <row r="335">
      <c r="A335" s="8">
        <v>46182.40491134259</v>
      </c>
      <c r="B335" s="2" t="s">
        <v>798</v>
      </c>
      <c r="C335" s="2" t="s">
        <v>830</v>
      </c>
      <c r="D335" s="2" t="s">
        <v>831</v>
      </c>
    </row>
    <row r="336">
      <c r="A336" s="8">
        <v>46182.4049153125</v>
      </c>
      <c r="B336" s="2" t="s">
        <v>832</v>
      </c>
      <c r="D336" s="2" t="s">
        <v>888</v>
      </c>
    </row>
    <row r="337">
      <c r="A337" s="8">
        <v>46182.446470219904</v>
      </c>
      <c r="B337" s="2" t="s">
        <v>798</v>
      </c>
      <c r="C337" s="2" t="s">
        <v>792</v>
      </c>
      <c r="D337" s="2" t="s">
        <v>867</v>
      </c>
    </row>
    <row r="338">
      <c r="A338" s="8">
        <v>46182.44647559027</v>
      </c>
      <c r="B338" s="2" t="s">
        <v>798</v>
      </c>
      <c r="C338" s="2" t="s">
        <v>794</v>
      </c>
      <c r="D338" s="2" t="s">
        <v>868</v>
      </c>
    </row>
    <row r="339">
      <c r="A339" s="8">
        <v>46182.44647873843</v>
      </c>
      <c r="B339" s="2" t="s">
        <v>798</v>
      </c>
      <c r="C339" s="2" t="s">
        <v>796</v>
      </c>
      <c r="D339" s="2" t="s">
        <v>869</v>
      </c>
    </row>
    <row r="340">
      <c r="A340" s="8">
        <v>46182.44648171296</v>
      </c>
      <c r="B340" s="2" t="s">
        <v>798</v>
      </c>
      <c r="C340" s="2" t="s">
        <v>836</v>
      </c>
      <c r="D340" s="2" t="s">
        <v>870</v>
      </c>
    </row>
    <row r="341">
      <c r="A341" s="8">
        <v>46182.44650115741</v>
      </c>
      <c r="B341" s="2" t="s">
        <v>798</v>
      </c>
      <c r="C341" s="2" t="s">
        <v>799</v>
      </c>
      <c r="D341" s="2" t="s">
        <v>800</v>
      </c>
    </row>
    <row r="342">
      <c r="A342" s="8">
        <v>46182.44651616898</v>
      </c>
      <c r="B342" s="2" t="s">
        <v>798</v>
      </c>
      <c r="C342" s="2" t="s">
        <v>802</v>
      </c>
      <c r="D342" s="2" t="s">
        <v>871</v>
      </c>
    </row>
    <row r="343">
      <c r="A343" s="8">
        <v>46182.44651866898</v>
      </c>
      <c r="B343" s="2" t="s">
        <v>798</v>
      </c>
      <c r="C343" s="2" t="s">
        <v>804</v>
      </c>
      <c r="D343" s="2" t="s">
        <v>872</v>
      </c>
    </row>
    <row r="344">
      <c r="A344" s="8">
        <v>46182.44652146991</v>
      </c>
      <c r="B344" s="2" t="s">
        <v>798</v>
      </c>
      <c r="C344" s="2" t="s">
        <v>842</v>
      </c>
      <c r="D344" s="2" t="s">
        <v>873</v>
      </c>
    </row>
    <row r="345">
      <c r="A345" s="8">
        <v>46182.44652539352</v>
      </c>
      <c r="B345" s="2" t="s">
        <v>798</v>
      </c>
      <c r="C345" s="2" t="s">
        <v>846</v>
      </c>
      <c r="D345" s="2" t="s">
        <v>874</v>
      </c>
    </row>
    <row r="346">
      <c r="A346" s="8">
        <v>46182.446536724536</v>
      </c>
      <c r="B346" s="2" t="s">
        <v>798</v>
      </c>
      <c r="C346" s="2" t="s">
        <v>848</v>
      </c>
      <c r="D346" s="2" t="s">
        <v>875</v>
      </c>
    </row>
    <row r="347">
      <c r="A347" s="8">
        <v>46182.44653945602</v>
      </c>
      <c r="B347" s="2" t="s">
        <v>798</v>
      </c>
      <c r="C347" s="2" t="s">
        <v>806</v>
      </c>
      <c r="D347" s="2" t="s">
        <v>876</v>
      </c>
    </row>
    <row r="348">
      <c r="A348" s="8">
        <v>46182.44654208333</v>
      </c>
      <c r="B348" s="2" t="s">
        <v>798</v>
      </c>
      <c r="C348" s="2" t="s">
        <v>877</v>
      </c>
      <c r="D348" s="2" t="s">
        <v>878</v>
      </c>
    </row>
    <row r="349">
      <c r="A349" s="8">
        <v>46182.44654532407</v>
      </c>
      <c r="B349" s="2" t="s">
        <v>798</v>
      </c>
      <c r="C349" s="2" t="s">
        <v>808</v>
      </c>
      <c r="D349" s="2" t="s">
        <v>879</v>
      </c>
    </row>
    <row r="350">
      <c r="A350" s="8">
        <v>46182.44654806713</v>
      </c>
      <c r="B350" s="2" t="s">
        <v>798</v>
      </c>
      <c r="C350" s="2" t="s">
        <v>810</v>
      </c>
      <c r="D350" s="2" t="s">
        <v>880</v>
      </c>
    </row>
    <row r="351">
      <c r="A351" s="8">
        <v>46182.44655050926</v>
      </c>
      <c r="B351" s="2" t="s">
        <v>798</v>
      </c>
      <c r="C351" s="2" t="s">
        <v>812</v>
      </c>
      <c r="D351" s="2" t="s">
        <v>813</v>
      </c>
    </row>
    <row r="352">
      <c r="A352" s="8">
        <v>46182.446555138886</v>
      </c>
      <c r="B352" s="2" t="s">
        <v>798</v>
      </c>
      <c r="C352" s="2" t="s">
        <v>814</v>
      </c>
      <c r="D352" s="2" t="s">
        <v>881</v>
      </c>
    </row>
    <row r="353">
      <c r="A353" s="8">
        <v>46182.446558055555</v>
      </c>
      <c r="B353" s="2" t="s">
        <v>798</v>
      </c>
      <c r="C353" s="2" t="s">
        <v>816</v>
      </c>
      <c r="D353" s="2" t="s">
        <v>882</v>
      </c>
    </row>
    <row r="354">
      <c r="A354" s="8">
        <v>46182.44656804398</v>
      </c>
      <c r="B354" s="2" t="s">
        <v>798</v>
      </c>
      <c r="C354" s="2" t="s">
        <v>818</v>
      </c>
      <c r="D354" s="2" t="s">
        <v>883</v>
      </c>
    </row>
    <row r="355">
      <c r="A355" s="8">
        <v>46182.446572789355</v>
      </c>
      <c r="B355" s="2" t="s">
        <v>798</v>
      </c>
      <c r="C355" s="2" t="s">
        <v>820</v>
      </c>
      <c r="D355" s="2" t="s">
        <v>884</v>
      </c>
    </row>
    <row r="356">
      <c r="A356" s="8">
        <v>46182.446575462964</v>
      </c>
      <c r="B356" s="2" t="s">
        <v>798</v>
      </c>
      <c r="C356" s="2" t="s">
        <v>822</v>
      </c>
      <c r="D356" s="2" t="s">
        <v>885</v>
      </c>
    </row>
    <row r="357">
      <c r="A357" s="8">
        <v>46182.446582662036</v>
      </c>
      <c r="B357" s="2" t="s">
        <v>798</v>
      </c>
      <c r="C357" s="2" t="s">
        <v>824</v>
      </c>
      <c r="D357" s="2" t="s">
        <v>886</v>
      </c>
    </row>
    <row r="358">
      <c r="A358" s="8">
        <v>46182.44658574074</v>
      </c>
      <c r="B358" s="2" t="s">
        <v>798</v>
      </c>
      <c r="C358" s="2" t="s">
        <v>826</v>
      </c>
      <c r="D358" s="2" t="s">
        <v>887</v>
      </c>
    </row>
    <row r="359">
      <c r="A359" s="8">
        <v>46182.446596712965</v>
      </c>
      <c r="B359" s="2" t="s">
        <v>798</v>
      </c>
      <c r="C359" s="2" t="s">
        <v>830</v>
      </c>
      <c r="D359" s="2" t="s">
        <v>831</v>
      </c>
    </row>
    <row r="360">
      <c r="A360" s="8">
        <v>46182.44659969908</v>
      </c>
      <c r="B360" s="2" t="s">
        <v>832</v>
      </c>
      <c r="D360" s="2" t="s">
        <v>888</v>
      </c>
    </row>
    <row r="361">
      <c r="A361" s="8">
        <v>46182.48815146991</v>
      </c>
      <c r="B361" s="2" t="s">
        <v>798</v>
      </c>
      <c r="C361" s="2" t="s">
        <v>792</v>
      </c>
      <c r="D361" s="2" t="s">
        <v>867</v>
      </c>
    </row>
    <row r="362">
      <c r="A362" s="8">
        <v>46182.48815641204</v>
      </c>
      <c r="B362" s="2" t="s">
        <v>798</v>
      </c>
      <c r="C362" s="2" t="s">
        <v>794</v>
      </c>
      <c r="D362" s="2" t="s">
        <v>868</v>
      </c>
    </row>
    <row r="363">
      <c r="A363" s="8">
        <v>46182.48816090278</v>
      </c>
      <c r="B363" s="2" t="s">
        <v>798</v>
      </c>
      <c r="C363" s="2" t="s">
        <v>796</v>
      </c>
      <c r="D363" s="2" t="s">
        <v>869</v>
      </c>
    </row>
    <row r="364">
      <c r="A364" s="8">
        <v>46182.48817866898</v>
      </c>
      <c r="B364" s="2" t="s">
        <v>798</v>
      </c>
      <c r="C364" s="2" t="s">
        <v>836</v>
      </c>
      <c r="D364" s="2" t="s">
        <v>870</v>
      </c>
    </row>
    <row r="365">
      <c r="A365" s="8">
        <v>46182.48818260417</v>
      </c>
      <c r="B365" s="2" t="s">
        <v>798</v>
      </c>
      <c r="C365" s="2" t="s">
        <v>799</v>
      </c>
      <c r="D365" s="2" t="s">
        <v>800</v>
      </c>
    </row>
    <row r="366">
      <c r="A366" s="8">
        <v>46182.48818954861</v>
      </c>
      <c r="B366" s="2" t="s">
        <v>798</v>
      </c>
      <c r="C366" s="2" t="s">
        <v>802</v>
      </c>
      <c r="D366" s="2" t="s">
        <v>871</v>
      </c>
    </row>
    <row r="367">
      <c r="A367" s="8">
        <v>46182.48819366898</v>
      </c>
      <c r="B367" s="2" t="s">
        <v>798</v>
      </c>
      <c r="C367" s="2" t="s">
        <v>804</v>
      </c>
      <c r="D367" s="2" t="s">
        <v>872</v>
      </c>
    </row>
    <row r="368">
      <c r="A368" s="8">
        <v>46182.488197175924</v>
      </c>
      <c r="B368" s="2" t="s">
        <v>798</v>
      </c>
      <c r="C368" s="2" t="s">
        <v>842</v>
      </c>
      <c r="D368" s="2" t="s">
        <v>873</v>
      </c>
    </row>
    <row r="369">
      <c r="A369" s="8">
        <v>46182.48820076389</v>
      </c>
      <c r="B369" s="2" t="s">
        <v>798</v>
      </c>
      <c r="C369" s="2" t="s">
        <v>846</v>
      </c>
      <c r="D369" s="2" t="s">
        <v>874</v>
      </c>
    </row>
    <row r="370">
      <c r="A370" s="8">
        <v>46182.48820652778</v>
      </c>
      <c r="B370" s="2" t="s">
        <v>798</v>
      </c>
      <c r="C370" s="2" t="s">
        <v>848</v>
      </c>
      <c r="D370" s="2" t="s">
        <v>875</v>
      </c>
    </row>
    <row r="371">
      <c r="A371" s="8">
        <v>46182.48821052084</v>
      </c>
      <c r="B371" s="2" t="s">
        <v>798</v>
      </c>
      <c r="C371" s="2" t="s">
        <v>806</v>
      </c>
      <c r="D371" s="2" t="s">
        <v>876</v>
      </c>
    </row>
    <row r="372">
      <c r="A372" s="8">
        <v>46182.488214895835</v>
      </c>
      <c r="B372" s="2" t="s">
        <v>798</v>
      </c>
      <c r="C372" s="2" t="s">
        <v>877</v>
      </c>
      <c r="D372" s="2" t="s">
        <v>878</v>
      </c>
    </row>
    <row r="373">
      <c r="A373" s="8">
        <v>46182.488218252314</v>
      </c>
      <c r="B373" s="2" t="s">
        <v>798</v>
      </c>
      <c r="C373" s="2" t="s">
        <v>808</v>
      </c>
      <c r="D373" s="2" t="s">
        <v>879</v>
      </c>
    </row>
    <row r="374">
      <c r="A374" s="8">
        <v>46182.488223831024</v>
      </c>
      <c r="B374" s="2" t="s">
        <v>798</v>
      </c>
      <c r="C374" s="2" t="s">
        <v>810</v>
      </c>
      <c r="D374" s="2" t="s">
        <v>880</v>
      </c>
    </row>
    <row r="375">
      <c r="A375" s="8">
        <v>46182.48822658564</v>
      </c>
      <c r="B375" s="2" t="s">
        <v>798</v>
      </c>
      <c r="C375" s="2" t="s">
        <v>812</v>
      </c>
      <c r="D375" s="2" t="s">
        <v>813</v>
      </c>
    </row>
    <row r="376">
      <c r="A376" s="8">
        <v>46182.488231875</v>
      </c>
      <c r="B376" s="2" t="s">
        <v>798</v>
      </c>
      <c r="C376" s="2" t="s">
        <v>814</v>
      </c>
      <c r="D376" s="2" t="s">
        <v>881</v>
      </c>
    </row>
    <row r="377">
      <c r="A377" s="8">
        <v>46182.488236944446</v>
      </c>
      <c r="B377" s="2" t="s">
        <v>798</v>
      </c>
      <c r="C377" s="2" t="s">
        <v>816</v>
      </c>
      <c r="D377" s="2" t="s">
        <v>882</v>
      </c>
    </row>
    <row r="378">
      <c r="A378" s="8">
        <v>46182.48824056713</v>
      </c>
      <c r="B378" s="2" t="s">
        <v>798</v>
      </c>
      <c r="C378" s="2" t="s">
        <v>818</v>
      </c>
      <c r="D378" s="2" t="s">
        <v>883</v>
      </c>
    </row>
    <row r="379">
      <c r="A379" s="8">
        <v>46182.48824428241</v>
      </c>
      <c r="B379" s="2" t="s">
        <v>798</v>
      </c>
      <c r="C379" s="2" t="s">
        <v>820</v>
      </c>
      <c r="D379" s="2" t="s">
        <v>884</v>
      </c>
    </row>
    <row r="380">
      <c r="A380" s="8">
        <v>46182.48824813658</v>
      </c>
      <c r="B380" s="2" t="s">
        <v>798</v>
      </c>
      <c r="C380" s="2" t="s">
        <v>822</v>
      </c>
      <c r="D380" s="2" t="s">
        <v>885</v>
      </c>
    </row>
    <row r="381">
      <c r="A381" s="8">
        <v>46182.488251863426</v>
      </c>
      <c r="B381" s="2" t="s">
        <v>798</v>
      </c>
      <c r="C381" s="2" t="s">
        <v>824</v>
      </c>
      <c r="D381" s="2" t="s">
        <v>886</v>
      </c>
    </row>
    <row r="382">
      <c r="A382" s="8">
        <v>46182.48825549769</v>
      </c>
      <c r="B382" s="2" t="s">
        <v>798</v>
      </c>
      <c r="C382" s="2" t="s">
        <v>826</v>
      </c>
      <c r="D382" s="2" t="s">
        <v>887</v>
      </c>
    </row>
    <row r="383">
      <c r="A383" s="8">
        <v>46182.4882588426</v>
      </c>
      <c r="B383" s="2" t="s">
        <v>798</v>
      </c>
      <c r="C383" s="2" t="s">
        <v>830</v>
      </c>
      <c r="D383" s="2" t="s">
        <v>831</v>
      </c>
    </row>
    <row r="384">
      <c r="A384" s="8">
        <v>46182.48826449074</v>
      </c>
      <c r="B384" s="2" t="s">
        <v>832</v>
      </c>
      <c r="D384" s="2" t="s">
        <v>888</v>
      </c>
    </row>
    <row r="385">
      <c r="A385" s="8">
        <v>46182.52980979167</v>
      </c>
      <c r="B385" s="2" t="s">
        <v>798</v>
      </c>
      <c r="C385" s="2" t="s">
        <v>799</v>
      </c>
      <c r="D385" s="2" t="s">
        <v>800</v>
      </c>
    </row>
    <row r="386">
      <c r="A386" s="8">
        <v>46182.52981554398</v>
      </c>
      <c r="B386" s="2" t="s">
        <v>838</v>
      </c>
      <c r="C386" s="2" t="s">
        <v>802</v>
      </c>
      <c r="D386" s="2" t="s">
        <v>839</v>
      </c>
    </row>
    <row r="387">
      <c r="A387" s="8">
        <v>46182.52982953704</v>
      </c>
      <c r="B387" s="2" t="s">
        <v>834</v>
      </c>
      <c r="C387" s="2" t="s">
        <v>842</v>
      </c>
      <c r="D387" s="2" t="s">
        <v>843</v>
      </c>
    </row>
    <row r="388">
      <c r="A388" s="8">
        <v>46182.529834016204</v>
      </c>
      <c r="B388" s="2" t="s">
        <v>834</v>
      </c>
      <c r="C388" s="2" t="s">
        <v>846</v>
      </c>
      <c r="D388" s="2" t="s">
        <v>847</v>
      </c>
    </row>
    <row r="389">
      <c r="A389" s="8">
        <v>46182.5298434375</v>
      </c>
      <c r="B389" s="2" t="s">
        <v>844</v>
      </c>
      <c r="C389" s="2" t="s">
        <v>848</v>
      </c>
      <c r="D389" s="2" t="s">
        <v>850</v>
      </c>
    </row>
    <row r="390">
      <c r="A390" s="8">
        <v>46182.52984909722</v>
      </c>
      <c r="B390" s="2" t="s">
        <v>834</v>
      </c>
      <c r="C390" s="2" t="s">
        <v>806</v>
      </c>
      <c r="D390" s="2" t="s">
        <v>861</v>
      </c>
    </row>
    <row r="391">
      <c r="A391" s="8">
        <v>46182.52985298611</v>
      </c>
      <c r="B391" s="2" t="s">
        <v>840</v>
      </c>
      <c r="C391" s="2" t="s">
        <v>810</v>
      </c>
      <c r="D391" s="2" t="s">
        <v>851</v>
      </c>
    </row>
    <row r="392">
      <c r="A392" s="8">
        <v>46182.52985873843</v>
      </c>
      <c r="B392" s="2" t="s">
        <v>798</v>
      </c>
      <c r="C392" s="2" t="s">
        <v>812</v>
      </c>
      <c r="D392" s="2" t="s">
        <v>813</v>
      </c>
    </row>
    <row r="393">
      <c r="A393" s="8">
        <v>46182.52986314815</v>
      </c>
      <c r="B393" s="2" t="s">
        <v>840</v>
      </c>
      <c r="C393" s="2" t="s">
        <v>814</v>
      </c>
      <c r="D393" s="2" t="s">
        <v>852</v>
      </c>
    </row>
    <row r="394">
      <c r="A394" s="8">
        <v>46182.529866620374</v>
      </c>
      <c r="B394" s="2" t="s">
        <v>838</v>
      </c>
      <c r="C394" s="2" t="s">
        <v>818</v>
      </c>
      <c r="D394" s="2" t="s">
        <v>853</v>
      </c>
    </row>
    <row r="395">
      <c r="A395" s="8">
        <v>46182.529870162034</v>
      </c>
      <c r="B395" s="2" t="s">
        <v>840</v>
      </c>
      <c r="C395" s="2" t="s">
        <v>820</v>
      </c>
      <c r="D395" s="2" t="s">
        <v>854</v>
      </c>
    </row>
    <row r="396">
      <c r="A396" s="8">
        <v>46182.529878437505</v>
      </c>
      <c r="B396" s="2" t="s">
        <v>844</v>
      </c>
      <c r="C396" s="2" t="s">
        <v>826</v>
      </c>
      <c r="D396" s="2" t="s">
        <v>889</v>
      </c>
    </row>
    <row r="397">
      <c r="A397" s="8">
        <v>46182.529883993055</v>
      </c>
      <c r="B397" s="2" t="s">
        <v>798</v>
      </c>
      <c r="C397" s="2" t="s">
        <v>830</v>
      </c>
      <c r="D397" s="2" t="s">
        <v>831</v>
      </c>
    </row>
    <row r="398">
      <c r="A398" s="8">
        <v>46182.52988743056</v>
      </c>
      <c r="B398" s="2" t="s">
        <v>832</v>
      </c>
      <c r="D398" s="2" t="s">
        <v>890</v>
      </c>
    </row>
    <row r="399">
      <c r="A399" s="8">
        <v>46182.57144900463</v>
      </c>
      <c r="B399" s="2" t="s">
        <v>798</v>
      </c>
      <c r="C399" s="2" t="s">
        <v>799</v>
      </c>
      <c r="D399" s="2" t="s">
        <v>800</v>
      </c>
    </row>
    <row r="400">
      <c r="A400" s="8">
        <v>46182.571452187505</v>
      </c>
      <c r="B400" s="2" t="s">
        <v>838</v>
      </c>
      <c r="C400" s="2" t="s">
        <v>802</v>
      </c>
      <c r="D400" s="2" t="s">
        <v>839</v>
      </c>
    </row>
    <row r="401">
      <c r="A401" s="8">
        <v>46182.57145689815</v>
      </c>
      <c r="B401" s="2" t="s">
        <v>834</v>
      </c>
      <c r="C401" s="2" t="s">
        <v>842</v>
      </c>
      <c r="D401" s="2" t="s">
        <v>843</v>
      </c>
    </row>
    <row r="402">
      <c r="A402" s="8">
        <v>46182.57146954861</v>
      </c>
      <c r="B402" s="2" t="s">
        <v>834</v>
      </c>
      <c r="C402" s="2" t="s">
        <v>846</v>
      </c>
      <c r="D402" s="2" t="s">
        <v>847</v>
      </c>
    </row>
    <row r="403">
      <c r="A403" s="8">
        <v>46182.57147210649</v>
      </c>
      <c r="B403" s="2" t="s">
        <v>834</v>
      </c>
      <c r="C403" s="2" t="s">
        <v>806</v>
      </c>
      <c r="D403" s="2" t="s">
        <v>861</v>
      </c>
    </row>
    <row r="404">
      <c r="A404" s="8">
        <v>46182.57147643519</v>
      </c>
      <c r="B404" s="2" t="s">
        <v>840</v>
      </c>
      <c r="C404" s="2" t="s">
        <v>810</v>
      </c>
      <c r="D404" s="2" t="s">
        <v>851</v>
      </c>
    </row>
    <row r="405">
      <c r="A405" s="8">
        <v>46182.57148454861</v>
      </c>
      <c r="B405" s="2" t="s">
        <v>798</v>
      </c>
      <c r="C405" s="2" t="s">
        <v>812</v>
      </c>
      <c r="D405" s="2" t="s">
        <v>813</v>
      </c>
    </row>
    <row r="406">
      <c r="A406" s="8">
        <v>46182.57148734954</v>
      </c>
      <c r="B406" s="2" t="s">
        <v>840</v>
      </c>
      <c r="C406" s="2" t="s">
        <v>814</v>
      </c>
      <c r="D406" s="2" t="s">
        <v>852</v>
      </c>
    </row>
    <row r="407">
      <c r="A407" s="8">
        <v>46182.571490532406</v>
      </c>
      <c r="B407" s="2" t="s">
        <v>838</v>
      </c>
      <c r="C407" s="2" t="s">
        <v>818</v>
      </c>
      <c r="D407" s="2" t="s">
        <v>853</v>
      </c>
    </row>
    <row r="408">
      <c r="A408" s="8">
        <v>46182.57149446759</v>
      </c>
      <c r="B408" s="2" t="s">
        <v>840</v>
      </c>
      <c r="C408" s="2" t="s">
        <v>820</v>
      </c>
      <c r="D408" s="2" t="s">
        <v>854</v>
      </c>
    </row>
    <row r="409">
      <c r="A409" s="8">
        <v>46182.571497337965</v>
      </c>
      <c r="B409" s="2" t="s">
        <v>798</v>
      </c>
      <c r="C409" s="2" t="s">
        <v>830</v>
      </c>
      <c r="D409" s="2" t="s">
        <v>831</v>
      </c>
    </row>
    <row r="410">
      <c r="A410" s="8">
        <v>46182.571500844904</v>
      </c>
      <c r="B410" s="2" t="s">
        <v>832</v>
      </c>
      <c r="D410" s="2" t="s">
        <v>891</v>
      </c>
    </row>
    <row r="411">
      <c r="A411" s="8">
        <v>46182.613179120366</v>
      </c>
      <c r="B411" s="2" t="s">
        <v>798</v>
      </c>
      <c r="C411" s="2" t="s">
        <v>799</v>
      </c>
      <c r="D411" s="2" t="s">
        <v>800</v>
      </c>
    </row>
    <row r="412">
      <c r="A412" s="8">
        <v>46182.613185532406</v>
      </c>
      <c r="B412" s="2" t="s">
        <v>838</v>
      </c>
      <c r="C412" s="2" t="s">
        <v>802</v>
      </c>
      <c r="D412" s="2" t="s">
        <v>839</v>
      </c>
    </row>
    <row r="413">
      <c r="A413" s="8">
        <v>46182.61320381945</v>
      </c>
      <c r="B413" s="2" t="s">
        <v>834</v>
      </c>
      <c r="C413" s="2" t="s">
        <v>842</v>
      </c>
      <c r="D413" s="2" t="s">
        <v>843</v>
      </c>
    </row>
    <row r="414">
      <c r="A414" s="8">
        <v>46182.613209166666</v>
      </c>
      <c r="B414" s="2" t="s">
        <v>834</v>
      </c>
      <c r="C414" s="2" t="s">
        <v>846</v>
      </c>
      <c r="D414" s="2" t="s">
        <v>847</v>
      </c>
    </row>
    <row r="415">
      <c r="A415" s="8">
        <v>46182.613212592594</v>
      </c>
      <c r="B415" s="2" t="s">
        <v>834</v>
      </c>
      <c r="C415" s="2" t="s">
        <v>806</v>
      </c>
      <c r="D415" s="2" t="s">
        <v>861</v>
      </c>
    </row>
    <row r="416">
      <c r="A416" s="8">
        <v>46182.61321732639</v>
      </c>
      <c r="B416" s="2" t="s">
        <v>840</v>
      </c>
      <c r="C416" s="2" t="s">
        <v>810</v>
      </c>
      <c r="D416" s="2" t="s">
        <v>851</v>
      </c>
    </row>
    <row r="417">
      <c r="A417" s="8">
        <v>46182.61322288195</v>
      </c>
      <c r="B417" s="2" t="s">
        <v>798</v>
      </c>
      <c r="C417" s="2" t="s">
        <v>812</v>
      </c>
      <c r="D417" s="2" t="s">
        <v>813</v>
      </c>
    </row>
    <row r="418">
      <c r="A418" s="8">
        <v>46182.61323206019</v>
      </c>
      <c r="B418" s="2" t="s">
        <v>840</v>
      </c>
      <c r="C418" s="2" t="s">
        <v>814</v>
      </c>
      <c r="D418" s="2" t="s">
        <v>852</v>
      </c>
    </row>
    <row r="419">
      <c r="A419" s="8">
        <v>46182.61323631945</v>
      </c>
      <c r="B419" s="2" t="s">
        <v>838</v>
      </c>
      <c r="C419" s="2" t="s">
        <v>818</v>
      </c>
      <c r="D419" s="2" t="s">
        <v>853</v>
      </c>
    </row>
    <row r="420">
      <c r="A420" s="8">
        <v>46182.61324280093</v>
      </c>
      <c r="B420" s="2" t="s">
        <v>840</v>
      </c>
      <c r="C420" s="2" t="s">
        <v>820</v>
      </c>
      <c r="D420" s="2" t="s">
        <v>854</v>
      </c>
    </row>
    <row r="421">
      <c r="A421" s="8">
        <v>46182.61324861112</v>
      </c>
      <c r="B421" s="2" t="s">
        <v>798</v>
      </c>
      <c r="C421" s="2" t="s">
        <v>830</v>
      </c>
      <c r="D421" s="2" t="s">
        <v>831</v>
      </c>
    </row>
    <row r="422">
      <c r="A422" s="8">
        <v>46182.61325300926</v>
      </c>
      <c r="B422" s="2" t="s">
        <v>832</v>
      </c>
      <c r="D422" s="2" t="s">
        <v>891</v>
      </c>
    </row>
    <row r="423">
      <c r="A423" s="8">
        <v>46182.650992916664</v>
      </c>
      <c r="B423" s="2" t="s">
        <v>892</v>
      </c>
      <c r="D423" s="2" t="s">
        <v>893</v>
      </c>
    </row>
    <row r="424">
      <c r="A424" s="8">
        <v>46182.65134614584</v>
      </c>
      <c r="B424" s="2" t="s">
        <v>894</v>
      </c>
      <c r="D424" s="2" t="s">
        <v>895</v>
      </c>
    </row>
    <row r="425">
      <c r="A425" s="8">
        <v>46182.652639293985</v>
      </c>
      <c r="B425" s="2" t="s">
        <v>844</v>
      </c>
      <c r="C425" s="2" t="s">
        <v>439</v>
      </c>
      <c r="D425" s="2" t="s">
        <v>896</v>
      </c>
    </row>
    <row r="426">
      <c r="A426" s="8">
        <v>46182.652654537036</v>
      </c>
      <c r="B426" s="2" t="s">
        <v>844</v>
      </c>
      <c r="C426" s="2" t="s">
        <v>444</v>
      </c>
      <c r="D426" s="2" t="s">
        <v>896</v>
      </c>
    </row>
    <row r="427">
      <c r="A427" s="8">
        <v>46182.652663333334</v>
      </c>
      <c r="B427" s="2" t="s">
        <v>844</v>
      </c>
      <c r="C427" s="2" t="s">
        <v>450</v>
      </c>
      <c r="D427" s="2" t="s">
        <v>897</v>
      </c>
    </row>
    <row r="428">
      <c r="A428" s="8">
        <v>46182.65267146991</v>
      </c>
      <c r="B428" s="2" t="s">
        <v>844</v>
      </c>
      <c r="C428" s="2" t="s">
        <v>456</v>
      </c>
      <c r="D428" s="2" t="s">
        <v>896</v>
      </c>
    </row>
    <row r="429">
      <c r="A429" s="8">
        <v>46182.65267913195</v>
      </c>
      <c r="B429" s="2" t="s">
        <v>840</v>
      </c>
      <c r="C429" s="2" t="s">
        <v>462</v>
      </c>
      <c r="D429" s="2" t="s">
        <v>898</v>
      </c>
    </row>
    <row r="430">
      <c r="A430" s="8">
        <v>46182.65268142361</v>
      </c>
      <c r="B430" s="2" t="s">
        <v>840</v>
      </c>
      <c r="C430" s="2" t="s">
        <v>468</v>
      </c>
      <c r="D430" s="2" t="s">
        <v>899</v>
      </c>
    </row>
    <row r="431">
      <c r="A431" s="8">
        <v>46182.65269178241</v>
      </c>
      <c r="B431" s="2" t="s">
        <v>844</v>
      </c>
      <c r="C431" s="2" t="s">
        <v>474</v>
      </c>
      <c r="D431" s="2" t="s">
        <v>900</v>
      </c>
    </row>
    <row r="432">
      <c r="A432" s="8">
        <v>46182.65269644676</v>
      </c>
      <c r="B432" s="2" t="s">
        <v>840</v>
      </c>
      <c r="C432" s="2" t="s">
        <v>480</v>
      </c>
      <c r="D432" s="2" t="s">
        <v>901</v>
      </c>
    </row>
    <row r="433">
      <c r="A433" s="8">
        <v>46182.65269847222</v>
      </c>
      <c r="B433" s="2" t="s">
        <v>840</v>
      </c>
      <c r="C433" s="2" t="s">
        <v>485</v>
      </c>
      <c r="D433" s="2" t="s">
        <v>902</v>
      </c>
    </row>
    <row r="434">
      <c r="A434" s="8">
        <v>46182.65270505787</v>
      </c>
      <c r="B434" s="2" t="s">
        <v>844</v>
      </c>
      <c r="C434" s="2" t="s">
        <v>491</v>
      </c>
      <c r="D434" s="2" t="s">
        <v>903</v>
      </c>
    </row>
    <row r="435">
      <c r="A435" s="8">
        <v>46182.6527139699</v>
      </c>
      <c r="B435" s="2" t="s">
        <v>844</v>
      </c>
      <c r="C435" s="2" t="s">
        <v>497</v>
      </c>
      <c r="D435" s="2" t="s">
        <v>904</v>
      </c>
    </row>
    <row r="436">
      <c r="A436" s="8">
        <v>46182.652718564816</v>
      </c>
      <c r="B436" s="2" t="s">
        <v>840</v>
      </c>
      <c r="C436" s="2" t="s">
        <v>503</v>
      </c>
      <c r="D436" s="2" t="s">
        <v>898</v>
      </c>
    </row>
    <row r="437">
      <c r="A437" s="8">
        <v>46182.652725</v>
      </c>
      <c r="B437" s="2" t="s">
        <v>844</v>
      </c>
      <c r="C437" s="2" t="s">
        <v>509</v>
      </c>
      <c r="D437" s="2" t="s">
        <v>905</v>
      </c>
    </row>
    <row r="438">
      <c r="A438" s="8">
        <v>46182.652733622686</v>
      </c>
      <c r="B438" s="2" t="s">
        <v>844</v>
      </c>
      <c r="C438" s="2" t="s">
        <v>514</v>
      </c>
      <c r="D438" s="2" t="s">
        <v>906</v>
      </c>
    </row>
    <row r="439">
      <c r="A439" s="8">
        <v>46182.6527421412</v>
      </c>
      <c r="B439" s="2" t="s">
        <v>844</v>
      </c>
      <c r="C439" s="2" t="s">
        <v>519</v>
      </c>
      <c r="D439" s="2" t="s">
        <v>907</v>
      </c>
    </row>
    <row r="440">
      <c r="A440" s="8">
        <v>46182.65275166667</v>
      </c>
      <c r="B440" s="2" t="s">
        <v>844</v>
      </c>
      <c r="C440" s="2" t="s">
        <v>524</v>
      </c>
      <c r="D440" s="2" t="s">
        <v>908</v>
      </c>
    </row>
    <row r="441">
      <c r="A441" s="8">
        <v>46182.65276013889</v>
      </c>
      <c r="B441" s="2" t="s">
        <v>844</v>
      </c>
      <c r="C441" s="2" t="s">
        <v>909</v>
      </c>
      <c r="D441" s="2" t="s">
        <v>910</v>
      </c>
    </row>
    <row r="442">
      <c r="A442" s="8">
        <v>46182.652769039356</v>
      </c>
      <c r="B442" s="2" t="s">
        <v>844</v>
      </c>
      <c r="C442" s="2" t="s">
        <v>529</v>
      </c>
      <c r="D442" s="2" t="s">
        <v>911</v>
      </c>
    </row>
    <row r="443">
      <c r="A443" s="8">
        <v>46182.65278256944</v>
      </c>
      <c r="B443" s="2" t="s">
        <v>844</v>
      </c>
      <c r="C443" s="2" t="s">
        <v>539</v>
      </c>
      <c r="D443" s="2" t="s">
        <v>912</v>
      </c>
    </row>
    <row r="444">
      <c r="A444" s="8">
        <v>46182.652792152774</v>
      </c>
      <c r="B444" s="2" t="s">
        <v>844</v>
      </c>
      <c r="C444" s="2" t="s">
        <v>544</v>
      </c>
      <c r="D444" s="2" t="s">
        <v>906</v>
      </c>
    </row>
    <row r="445">
      <c r="A445" s="8">
        <v>46182.652796863425</v>
      </c>
      <c r="B445" s="2" t="s">
        <v>840</v>
      </c>
      <c r="C445" s="2" t="s">
        <v>549</v>
      </c>
      <c r="D445" s="2" t="s">
        <v>913</v>
      </c>
    </row>
    <row r="446">
      <c r="A446" s="8">
        <v>46182.65279930556</v>
      </c>
      <c r="B446" s="2" t="s">
        <v>840</v>
      </c>
      <c r="C446" s="2" t="s">
        <v>554</v>
      </c>
      <c r="D446" s="2" t="s">
        <v>914</v>
      </c>
    </row>
    <row r="447">
      <c r="A447" s="8">
        <v>46182.65280578704</v>
      </c>
      <c r="B447" s="2" t="s">
        <v>844</v>
      </c>
      <c r="C447" s="2" t="s">
        <v>564</v>
      </c>
      <c r="D447" s="2" t="s">
        <v>915</v>
      </c>
    </row>
    <row r="448">
      <c r="A448" s="8">
        <v>46182.65281662037</v>
      </c>
      <c r="B448" s="2" t="s">
        <v>844</v>
      </c>
      <c r="C448" s="2" t="s">
        <v>916</v>
      </c>
      <c r="D448" s="2" t="s">
        <v>917</v>
      </c>
    </row>
    <row r="449">
      <c r="A449" s="8">
        <v>46182.65282122685</v>
      </c>
      <c r="B449" s="2" t="s">
        <v>840</v>
      </c>
      <c r="C449" s="2" t="s">
        <v>569</v>
      </c>
      <c r="D449" s="2" t="s">
        <v>918</v>
      </c>
    </row>
    <row r="450">
      <c r="A450" s="8">
        <v>46182.65282780092</v>
      </c>
      <c r="B450" s="2" t="s">
        <v>844</v>
      </c>
      <c r="C450" s="2" t="s">
        <v>574</v>
      </c>
      <c r="D450" s="2" t="s">
        <v>919</v>
      </c>
    </row>
    <row r="451">
      <c r="A451" s="8">
        <v>46182.652836678244</v>
      </c>
      <c r="B451" s="2" t="s">
        <v>844</v>
      </c>
      <c r="C451" s="2" t="s">
        <v>590</v>
      </c>
      <c r="D451" s="2" t="s">
        <v>920</v>
      </c>
    </row>
    <row r="452">
      <c r="A452" s="8">
        <v>46182.652845046294</v>
      </c>
      <c r="B452" s="2" t="s">
        <v>844</v>
      </c>
      <c r="C452" s="2" t="s">
        <v>607</v>
      </c>
      <c r="D452" s="2" t="s">
        <v>921</v>
      </c>
    </row>
    <row r="453">
      <c r="A453" s="8">
        <v>46182.65285383102</v>
      </c>
      <c r="B453" s="2" t="s">
        <v>844</v>
      </c>
      <c r="C453" s="2" t="s">
        <v>618</v>
      </c>
      <c r="D453" s="2" t="s">
        <v>896</v>
      </c>
    </row>
    <row r="454">
      <c r="A454" s="8">
        <v>46182.65286229167</v>
      </c>
      <c r="B454" s="2" t="s">
        <v>844</v>
      </c>
      <c r="C454" s="2" t="s">
        <v>623</v>
      </c>
      <c r="D454" s="2" t="s">
        <v>904</v>
      </c>
    </row>
    <row r="455">
      <c r="A455" s="8">
        <v>46182.65287145833</v>
      </c>
      <c r="B455" s="2" t="s">
        <v>844</v>
      </c>
      <c r="C455" s="2" t="s">
        <v>629</v>
      </c>
      <c r="D455" s="2" t="s">
        <v>903</v>
      </c>
    </row>
    <row r="456">
      <c r="A456" s="8">
        <v>46182.652879733796</v>
      </c>
      <c r="B456" s="2" t="s">
        <v>844</v>
      </c>
      <c r="C456" s="2" t="s">
        <v>635</v>
      </c>
      <c r="D456" s="2" t="s">
        <v>904</v>
      </c>
    </row>
    <row r="457">
      <c r="A457" s="8">
        <v>46182.65288414352</v>
      </c>
      <c r="B457" s="2" t="s">
        <v>840</v>
      </c>
      <c r="C457" s="2" t="s">
        <v>641</v>
      </c>
      <c r="D457" s="2" t="s">
        <v>898</v>
      </c>
    </row>
    <row r="458">
      <c r="A458" s="8">
        <v>46182.65289052083</v>
      </c>
      <c r="B458" s="2" t="s">
        <v>844</v>
      </c>
      <c r="C458" s="2" t="s">
        <v>647</v>
      </c>
      <c r="D458" s="2" t="s">
        <v>922</v>
      </c>
    </row>
    <row r="459">
      <c r="A459" s="8">
        <v>46182.6528990625</v>
      </c>
      <c r="B459" s="2" t="s">
        <v>844</v>
      </c>
      <c r="C459" s="2" t="s">
        <v>652</v>
      </c>
      <c r="D459" s="2" t="s">
        <v>923</v>
      </c>
    </row>
    <row r="460">
      <c r="A460" s="8">
        <v>46182.65290350694</v>
      </c>
      <c r="B460" s="2" t="s">
        <v>840</v>
      </c>
      <c r="C460" s="2" t="s">
        <v>657</v>
      </c>
      <c r="D460" s="2" t="s">
        <v>924</v>
      </c>
    </row>
    <row r="461">
      <c r="A461" s="8">
        <v>46182.652909930555</v>
      </c>
      <c r="B461" s="2" t="s">
        <v>844</v>
      </c>
      <c r="C461" s="2" t="s">
        <v>667</v>
      </c>
      <c r="D461" s="2" t="s">
        <v>903</v>
      </c>
    </row>
    <row r="462">
      <c r="A462" s="8">
        <v>46182.65292550926</v>
      </c>
      <c r="B462" s="2" t="s">
        <v>844</v>
      </c>
      <c r="C462" s="2" t="s">
        <v>672</v>
      </c>
      <c r="D462" s="2" t="s">
        <v>897</v>
      </c>
    </row>
    <row r="463">
      <c r="A463" s="8">
        <v>46182.65293435185</v>
      </c>
      <c r="B463" s="2" t="s">
        <v>844</v>
      </c>
      <c r="C463" s="2" t="s">
        <v>677</v>
      </c>
      <c r="D463" s="2" t="s">
        <v>925</v>
      </c>
    </row>
    <row r="464">
      <c r="A464" s="8">
        <v>46182.652942789355</v>
      </c>
      <c r="B464" s="2" t="s">
        <v>844</v>
      </c>
      <c r="C464" s="2" t="s">
        <v>682</v>
      </c>
      <c r="D464" s="2" t="s">
        <v>903</v>
      </c>
    </row>
    <row r="465">
      <c r="A465" s="8">
        <v>46182.652951446755</v>
      </c>
      <c r="B465" s="2" t="s">
        <v>844</v>
      </c>
      <c r="C465" s="2" t="s">
        <v>687</v>
      </c>
      <c r="D465" s="2" t="s">
        <v>903</v>
      </c>
    </row>
    <row r="466">
      <c r="A466" s="8">
        <v>46182.65295591435</v>
      </c>
      <c r="B466" s="2" t="s">
        <v>840</v>
      </c>
      <c r="C466" s="2" t="s">
        <v>692</v>
      </c>
      <c r="D466" s="2" t="s">
        <v>926</v>
      </c>
    </row>
    <row r="467">
      <c r="A467" s="8">
        <v>46182.65296327547</v>
      </c>
      <c r="B467" s="2" t="s">
        <v>844</v>
      </c>
      <c r="C467" s="2" t="s">
        <v>697</v>
      </c>
      <c r="D467" s="2" t="s">
        <v>927</v>
      </c>
    </row>
    <row r="468">
      <c r="A468" s="8">
        <v>46182.652971724536</v>
      </c>
      <c r="B468" s="2" t="s">
        <v>844</v>
      </c>
      <c r="C468" s="2" t="s">
        <v>707</v>
      </c>
      <c r="D468" s="2" t="s">
        <v>923</v>
      </c>
    </row>
    <row r="469">
      <c r="A469" s="8">
        <v>46182.652980486106</v>
      </c>
      <c r="B469" s="2" t="s">
        <v>844</v>
      </c>
      <c r="C469" s="2" t="s">
        <v>712</v>
      </c>
      <c r="D469" s="2" t="s">
        <v>917</v>
      </c>
    </row>
    <row r="470">
      <c r="A470" s="8">
        <v>46182.65298907408</v>
      </c>
      <c r="B470" s="2" t="s">
        <v>844</v>
      </c>
      <c r="C470" s="2" t="s">
        <v>717</v>
      </c>
      <c r="D470" s="2" t="s">
        <v>928</v>
      </c>
    </row>
    <row r="471">
      <c r="A471" s="8">
        <v>46182.652993703705</v>
      </c>
      <c r="B471" s="2" t="s">
        <v>840</v>
      </c>
      <c r="C471" s="2" t="s">
        <v>722</v>
      </c>
      <c r="D471" s="2" t="s">
        <v>929</v>
      </c>
    </row>
    <row r="472">
      <c r="A472" s="8">
        <v>46182.653000694445</v>
      </c>
      <c r="B472" s="2" t="s">
        <v>844</v>
      </c>
      <c r="C472" s="2" t="s">
        <v>733</v>
      </c>
      <c r="D472" s="2" t="s">
        <v>896</v>
      </c>
    </row>
    <row r="473">
      <c r="A473" s="8">
        <v>46182.65300936342</v>
      </c>
      <c r="B473" s="2" t="s">
        <v>844</v>
      </c>
      <c r="C473" s="2" t="s">
        <v>738</v>
      </c>
      <c r="D473" s="2" t="s">
        <v>896</v>
      </c>
    </row>
    <row r="474">
      <c r="A474" s="8">
        <v>46182.653018020836</v>
      </c>
      <c r="B474" s="2" t="s">
        <v>844</v>
      </c>
      <c r="C474" s="2" t="s">
        <v>744</v>
      </c>
      <c r="D474" s="2" t="s">
        <v>903</v>
      </c>
    </row>
    <row r="475">
      <c r="A475" s="8">
        <v>46182.653026608794</v>
      </c>
      <c r="B475" s="2" t="s">
        <v>844</v>
      </c>
      <c r="C475" s="2" t="s">
        <v>750</v>
      </c>
      <c r="D475" s="2" t="s">
        <v>896</v>
      </c>
    </row>
    <row r="476">
      <c r="A476" s="8">
        <v>46182.653034999996</v>
      </c>
      <c r="B476" s="2" t="s">
        <v>844</v>
      </c>
      <c r="C476" s="2" t="s">
        <v>756</v>
      </c>
      <c r="D476" s="2" t="s">
        <v>903</v>
      </c>
    </row>
    <row r="477">
      <c r="A477" s="8">
        <v>46182.653039826386</v>
      </c>
      <c r="B477" s="2" t="s">
        <v>840</v>
      </c>
      <c r="C477" s="2" t="s">
        <v>773</v>
      </c>
      <c r="D477" s="2" t="s">
        <v>930</v>
      </c>
    </row>
    <row r="478">
      <c r="A478" s="8">
        <v>46182.65304585648</v>
      </c>
      <c r="B478" s="2" t="s">
        <v>844</v>
      </c>
      <c r="C478" s="2" t="s">
        <v>778</v>
      </c>
      <c r="D478" s="2" t="s">
        <v>905</v>
      </c>
    </row>
    <row r="479">
      <c r="A479" s="8">
        <v>46182.653050416666</v>
      </c>
      <c r="B479" s="2" t="s">
        <v>840</v>
      </c>
      <c r="C479" s="2" t="s">
        <v>783</v>
      </c>
      <c r="D479" s="2" t="s">
        <v>931</v>
      </c>
    </row>
    <row r="480">
      <c r="A480" s="8">
        <v>46182.65305299769</v>
      </c>
      <c r="B480" s="2" t="s">
        <v>894</v>
      </c>
      <c r="D480" s="2" t="s">
        <v>932</v>
      </c>
    </row>
    <row r="481">
      <c r="A481" s="8">
        <v>46182.65309233796</v>
      </c>
      <c r="B481" s="2" t="s">
        <v>933</v>
      </c>
      <c r="D481" s="2" t="s">
        <v>934</v>
      </c>
    </row>
    <row r="482">
      <c r="A482" s="8">
        <v>46182.654768541666</v>
      </c>
      <c r="B482" s="2" t="s">
        <v>798</v>
      </c>
      <c r="C482" s="2" t="s">
        <v>799</v>
      </c>
      <c r="D482" s="2" t="s">
        <v>800</v>
      </c>
    </row>
    <row r="483">
      <c r="A483" s="8">
        <v>46182.65477123843</v>
      </c>
      <c r="B483" s="2" t="s">
        <v>838</v>
      </c>
      <c r="C483" s="2" t="s">
        <v>802</v>
      </c>
      <c r="D483" s="2" t="s">
        <v>839</v>
      </c>
    </row>
    <row r="484">
      <c r="A484" s="8">
        <v>46182.65477388889</v>
      </c>
      <c r="B484" s="2" t="s">
        <v>834</v>
      </c>
      <c r="C484" s="2" t="s">
        <v>842</v>
      </c>
      <c r="D484" s="2" t="s">
        <v>843</v>
      </c>
    </row>
    <row r="485">
      <c r="A485" s="8">
        <v>46182.65477607639</v>
      </c>
      <c r="B485" s="2" t="s">
        <v>834</v>
      </c>
      <c r="C485" s="2" t="s">
        <v>846</v>
      </c>
      <c r="D485" s="2" t="s">
        <v>847</v>
      </c>
    </row>
    <row r="486">
      <c r="A486" s="8">
        <v>46182.65477850694</v>
      </c>
      <c r="B486" s="2" t="s">
        <v>834</v>
      </c>
      <c r="C486" s="2" t="s">
        <v>806</v>
      </c>
      <c r="D486" s="2" t="s">
        <v>861</v>
      </c>
    </row>
    <row r="487">
      <c r="A487" s="8">
        <v>46182.654781087964</v>
      </c>
      <c r="B487" s="2" t="s">
        <v>840</v>
      </c>
      <c r="C487" s="2" t="s">
        <v>810</v>
      </c>
      <c r="D487" s="2" t="s">
        <v>851</v>
      </c>
    </row>
    <row r="488">
      <c r="A488" s="8">
        <v>46182.65478334491</v>
      </c>
      <c r="B488" s="2" t="s">
        <v>798</v>
      </c>
      <c r="C488" s="2" t="s">
        <v>812</v>
      </c>
      <c r="D488" s="2" t="s">
        <v>813</v>
      </c>
    </row>
    <row r="489">
      <c r="A489" s="8">
        <v>46182.65478564815</v>
      </c>
      <c r="B489" s="2" t="s">
        <v>840</v>
      </c>
      <c r="C489" s="2" t="s">
        <v>814</v>
      </c>
      <c r="D489" s="2" t="s">
        <v>852</v>
      </c>
    </row>
    <row r="490">
      <c r="A490" s="8">
        <v>46182.65478805556</v>
      </c>
      <c r="B490" s="2" t="s">
        <v>838</v>
      </c>
      <c r="C490" s="2" t="s">
        <v>818</v>
      </c>
      <c r="D490" s="2" t="s">
        <v>853</v>
      </c>
    </row>
    <row r="491">
      <c r="A491" s="8">
        <v>46182.65479043982</v>
      </c>
      <c r="B491" s="2" t="s">
        <v>798</v>
      </c>
      <c r="C491" s="2" t="s">
        <v>830</v>
      </c>
      <c r="D491" s="2" t="s">
        <v>831</v>
      </c>
    </row>
    <row r="492">
      <c r="A492" s="8">
        <v>46182.654792974536</v>
      </c>
      <c r="B492" s="2" t="s">
        <v>832</v>
      </c>
      <c r="D492" s="2" t="s">
        <v>935</v>
      </c>
    </row>
    <row r="493">
      <c r="A493" s="8">
        <v>46182.65485731482</v>
      </c>
      <c r="B493" s="2" t="s">
        <v>840</v>
      </c>
      <c r="C493" s="2" t="s">
        <v>462</v>
      </c>
      <c r="D493" s="2" t="s">
        <v>898</v>
      </c>
    </row>
    <row r="494">
      <c r="A494" s="8">
        <v>46182.654859918985</v>
      </c>
      <c r="B494" s="2" t="s">
        <v>840</v>
      </c>
      <c r="C494" s="2" t="s">
        <v>468</v>
      </c>
      <c r="D494" s="2" t="s">
        <v>899</v>
      </c>
    </row>
    <row r="495">
      <c r="A495" s="8">
        <v>46182.65486219907</v>
      </c>
      <c r="B495" s="2" t="s">
        <v>840</v>
      </c>
      <c r="C495" s="2" t="s">
        <v>480</v>
      </c>
      <c r="D495" s="2" t="s">
        <v>901</v>
      </c>
    </row>
    <row r="496">
      <c r="A496" s="8">
        <v>46182.6548643287</v>
      </c>
      <c r="B496" s="2" t="s">
        <v>840</v>
      </c>
      <c r="C496" s="2" t="s">
        <v>485</v>
      </c>
      <c r="D496" s="2" t="s">
        <v>902</v>
      </c>
    </row>
    <row r="497">
      <c r="A497" s="8">
        <v>46182.65486671297</v>
      </c>
      <c r="B497" s="2" t="s">
        <v>840</v>
      </c>
      <c r="C497" s="2" t="s">
        <v>503</v>
      </c>
      <c r="D497" s="2" t="s">
        <v>898</v>
      </c>
    </row>
    <row r="498">
      <c r="A498" s="8">
        <v>46182.65487594907</v>
      </c>
      <c r="B498" s="2" t="s">
        <v>840</v>
      </c>
      <c r="C498" s="2" t="s">
        <v>549</v>
      </c>
      <c r="D498" s="2" t="s">
        <v>913</v>
      </c>
    </row>
    <row r="499">
      <c r="A499" s="8">
        <v>46182.65487824074</v>
      </c>
      <c r="B499" s="2" t="s">
        <v>840</v>
      </c>
      <c r="C499" s="2" t="s">
        <v>554</v>
      </c>
      <c r="D499" s="2" t="s">
        <v>914</v>
      </c>
    </row>
    <row r="500">
      <c r="A500" s="8">
        <v>46182.65488054398</v>
      </c>
      <c r="B500" s="2" t="s">
        <v>840</v>
      </c>
      <c r="C500" s="2" t="s">
        <v>569</v>
      </c>
      <c r="D500" s="2" t="s">
        <v>918</v>
      </c>
    </row>
    <row r="501">
      <c r="A501" s="8">
        <v>46182.65488297454</v>
      </c>
      <c r="B501" s="2" t="s">
        <v>840</v>
      </c>
      <c r="C501" s="2" t="s">
        <v>641</v>
      </c>
      <c r="D501" s="2" t="s">
        <v>898</v>
      </c>
    </row>
    <row r="502">
      <c r="A502" s="8">
        <v>46182.654885208336</v>
      </c>
      <c r="B502" s="2" t="s">
        <v>840</v>
      </c>
      <c r="C502" s="2" t="s">
        <v>657</v>
      </c>
      <c r="D502" s="2" t="s">
        <v>924</v>
      </c>
    </row>
    <row r="503">
      <c r="A503" s="8">
        <v>46182.654887488425</v>
      </c>
      <c r="B503" s="2" t="s">
        <v>840</v>
      </c>
      <c r="C503" s="2" t="s">
        <v>692</v>
      </c>
      <c r="D503" s="2" t="s">
        <v>926</v>
      </c>
    </row>
    <row r="504">
      <c r="A504" s="8">
        <v>46182.65488987269</v>
      </c>
      <c r="B504" s="2" t="s">
        <v>840</v>
      </c>
      <c r="C504" s="2" t="s">
        <v>722</v>
      </c>
      <c r="D504" s="2" t="s">
        <v>929</v>
      </c>
    </row>
    <row r="505">
      <c r="A505" s="8">
        <v>46182.654893252315</v>
      </c>
      <c r="B505" s="2" t="s">
        <v>840</v>
      </c>
      <c r="C505" s="2" t="s">
        <v>773</v>
      </c>
      <c r="D505" s="2" t="s">
        <v>930</v>
      </c>
    </row>
    <row r="506">
      <c r="A506" s="8">
        <v>46182.6548955787</v>
      </c>
      <c r="B506" s="2" t="s">
        <v>840</v>
      </c>
      <c r="C506" s="2" t="s">
        <v>783</v>
      </c>
      <c r="D506" s="2" t="s">
        <v>931</v>
      </c>
    </row>
    <row r="507">
      <c r="A507" s="8">
        <v>46182.65489797454</v>
      </c>
      <c r="B507" s="2" t="s">
        <v>894</v>
      </c>
      <c r="D507" s="2" t="s">
        <v>936</v>
      </c>
    </row>
    <row r="508">
      <c r="A508" s="8">
        <v>46182.69645159722</v>
      </c>
      <c r="B508" s="2" t="s">
        <v>798</v>
      </c>
      <c r="C508" s="2" t="s">
        <v>799</v>
      </c>
      <c r="D508" s="2" t="s">
        <v>800</v>
      </c>
    </row>
    <row r="509">
      <c r="A509" s="8">
        <v>46182.696453807876</v>
      </c>
      <c r="B509" s="2" t="s">
        <v>838</v>
      </c>
      <c r="C509" s="2" t="s">
        <v>802</v>
      </c>
      <c r="D509" s="2" t="s">
        <v>839</v>
      </c>
    </row>
    <row r="510">
      <c r="A510" s="8">
        <v>46182.696456053236</v>
      </c>
      <c r="B510" s="2" t="s">
        <v>834</v>
      </c>
      <c r="C510" s="2" t="s">
        <v>842</v>
      </c>
      <c r="D510" s="2" t="s">
        <v>843</v>
      </c>
    </row>
    <row r="511">
      <c r="A511" s="8">
        <v>46182.69645923611</v>
      </c>
      <c r="B511" s="2" t="s">
        <v>834</v>
      </c>
      <c r="C511" s="2" t="s">
        <v>846</v>
      </c>
      <c r="D511" s="2" t="s">
        <v>847</v>
      </c>
    </row>
    <row r="512">
      <c r="A512" s="8">
        <v>46182.69647215278</v>
      </c>
      <c r="B512" s="2" t="s">
        <v>834</v>
      </c>
      <c r="C512" s="2" t="s">
        <v>806</v>
      </c>
      <c r="D512" s="2" t="s">
        <v>861</v>
      </c>
    </row>
    <row r="513">
      <c r="A513" s="8">
        <v>46182.69647850694</v>
      </c>
      <c r="B513" s="2" t="s">
        <v>840</v>
      </c>
      <c r="C513" s="2" t="s">
        <v>810</v>
      </c>
      <c r="D513" s="2" t="s">
        <v>851</v>
      </c>
    </row>
    <row r="514">
      <c r="A514" s="8">
        <v>46182.69648021991</v>
      </c>
      <c r="B514" s="2" t="s">
        <v>798</v>
      </c>
      <c r="C514" s="2" t="s">
        <v>812</v>
      </c>
      <c r="D514" s="2" t="s">
        <v>813</v>
      </c>
    </row>
    <row r="515">
      <c r="A515" s="8">
        <v>46182.69648193287</v>
      </c>
      <c r="B515" s="2" t="s">
        <v>840</v>
      </c>
      <c r="C515" s="2" t="s">
        <v>814</v>
      </c>
      <c r="D515" s="2" t="s">
        <v>852</v>
      </c>
    </row>
    <row r="516">
      <c r="A516" s="8">
        <v>46182.696483541666</v>
      </c>
      <c r="B516" s="2" t="s">
        <v>838</v>
      </c>
      <c r="C516" s="2" t="s">
        <v>818</v>
      </c>
      <c r="D516" s="2" t="s">
        <v>853</v>
      </c>
    </row>
    <row r="517">
      <c r="A517" s="8">
        <v>46182.696487187495</v>
      </c>
      <c r="B517" s="2" t="s">
        <v>798</v>
      </c>
      <c r="C517" s="2" t="s">
        <v>830</v>
      </c>
      <c r="D517" s="2" t="s">
        <v>831</v>
      </c>
    </row>
    <row r="518">
      <c r="A518" s="8">
        <v>46182.69648899305</v>
      </c>
      <c r="B518" s="2" t="s">
        <v>832</v>
      </c>
      <c r="D518" s="2" t="s">
        <v>935</v>
      </c>
    </row>
    <row r="519">
      <c r="A519" s="8">
        <v>46182.69655381945</v>
      </c>
      <c r="B519" s="2" t="s">
        <v>840</v>
      </c>
      <c r="C519" s="2" t="s">
        <v>549</v>
      </c>
      <c r="D519" s="2" t="s">
        <v>913</v>
      </c>
    </row>
    <row r="520">
      <c r="A520" s="8">
        <v>46182.696555428236</v>
      </c>
      <c r="B520" s="2" t="s">
        <v>840</v>
      </c>
      <c r="C520" s="2" t="s">
        <v>554</v>
      </c>
      <c r="D520" s="2" t="s">
        <v>914</v>
      </c>
    </row>
    <row r="521">
      <c r="A521" s="8">
        <v>46182.69655710648</v>
      </c>
      <c r="B521" s="2" t="s">
        <v>840</v>
      </c>
      <c r="C521" s="2" t="s">
        <v>569</v>
      </c>
      <c r="D521" s="2" t="s">
        <v>918</v>
      </c>
    </row>
    <row r="522">
      <c r="A522" s="8">
        <v>46182.69655883102</v>
      </c>
      <c r="B522" s="2" t="s">
        <v>840</v>
      </c>
      <c r="C522" s="2" t="s">
        <v>722</v>
      </c>
      <c r="D522" s="2" t="s">
        <v>929</v>
      </c>
    </row>
    <row r="523">
      <c r="A523" s="8">
        <v>46182.69656056713</v>
      </c>
      <c r="B523" s="2" t="s">
        <v>840</v>
      </c>
      <c r="C523" s="2" t="s">
        <v>773</v>
      </c>
      <c r="D523" s="2" t="s">
        <v>930</v>
      </c>
    </row>
    <row r="524">
      <c r="A524" s="8">
        <v>46182.696568495376</v>
      </c>
      <c r="B524" s="2" t="s">
        <v>840</v>
      </c>
      <c r="C524" s="2" t="s">
        <v>783</v>
      </c>
      <c r="D524" s="2" t="s">
        <v>931</v>
      </c>
    </row>
    <row r="525">
      <c r="A525" s="8">
        <v>46182.69657042824</v>
      </c>
      <c r="B525" s="2" t="s">
        <v>894</v>
      </c>
      <c r="D525" s="2" t="s">
        <v>937</v>
      </c>
    </row>
    <row r="526">
      <c r="A526" s="8">
        <v>46182.73810298611</v>
      </c>
      <c r="B526" s="2" t="s">
        <v>798</v>
      </c>
      <c r="C526" s="2" t="s">
        <v>799</v>
      </c>
      <c r="D526" s="2" t="s">
        <v>800</v>
      </c>
    </row>
    <row r="527">
      <c r="A527" s="8">
        <v>46182.73810556713</v>
      </c>
      <c r="B527" s="2" t="s">
        <v>838</v>
      </c>
      <c r="C527" s="2" t="s">
        <v>802</v>
      </c>
      <c r="D527" s="2" t="s">
        <v>839</v>
      </c>
    </row>
    <row r="528">
      <c r="A528" s="8">
        <v>46182.73810795139</v>
      </c>
      <c r="B528" s="2" t="s">
        <v>834</v>
      </c>
      <c r="C528" s="2" t="s">
        <v>842</v>
      </c>
      <c r="D528" s="2" t="s">
        <v>843</v>
      </c>
    </row>
    <row r="529">
      <c r="A529" s="8">
        <v>46182.73811056713</v>
      </c>
      <c r="B529" s="2" t="s">
        <v>834</v>
      </c>
      <c r="C529" s="2" t="s">
        <v>846</v>
      </c>
      <c r="D529" s="2" t="s">
        <v>847</v>
      </c>
    </row>
    <row r="530">
      <c r="A530" s="8">
        <v>46182.73811277778</v>
      </c>
      <c r="B530" s="2" t="s">
        <v>834</v>
      </c>
      <c r="C530" s="2" t="s">
        <v>806</v>
      </c>
      <c r="D530" s="2" t="s">
        <v>861</v>
      </c>
    </row>
    <row r="531">
      <c r="A531" s="8">
        <v>46182.73811505787</v>
      </c>
      <c r="B531" s="2" t="s">
        <v>840</v>
      </c>
      <c r="C531" s="2" t="s">
        <v>810</v>
      </c>
      <c r="D531" s="2" t="s">
        <v>851</v>
      </c>
    </row>
    <row r="532">
      <c r="A532" s="8">
        <v>46182.73811984954</v>
      </c>
      <c r="B532" s="2" t="s">
        <v>798</v>
      </c>
      <c r="C532" s="2" t="s">
        <v>812</v>
      </c>
      <c r="D532" s="2" t="s">
        <v>813</v>
      </c>
    </row>
    <row r="533">
      <c r="A533" s="8">
        <v>46182.73812228009</v>
      </c>
      <c r="B533" s="2" t="s">
        <v>840</v>
      </c>
      <c r="C533" s="2" t="s">
        <v>814</v>
      </c>
      <c r="D533" s="2" t="s">
        <v>852</v>
      </c>
    </row>
    <row r="534">
      <c r="A534" s="8">
        <v>46182.738124641204</v>
      </c>
      <c r="B534" s="2" t="s">
        <v>838</v>
      </c>
      <c r="C534" s="2" t="s">
        <v>818</v>
      </c>
      <c r="D534" s="2" t="s">
        <v>853</v>
      </c>
    </row>
    <row r="535">
      <c r="A535" s="8">
        <v>46182.738126909724</v>
      </c>
      <c r="B535" s="2" t="s">
        <v>798</v>
      </c>
      <c r="C535" s="2" t="s">
        <v>830</v>
      </c>
      <c r="D535" s="2" t="s">
        <v>831</v>
      </c>
    </row>
    <row r="536">
      <c r="A536" s="8">
        <v>46182.73813236111</v>
      </c>
      <c r="B536" s="2" t="s">
        <v>832</v>
      </c>
      <c r="D536" s="2" t="s">
        <v>935</v>
      </c>
    </row>
    <row r="537">
      <c r="A537" s="8">
        <v>46182.738199907406</v>
      </c>
      <c r="B537" s="2" t="s">
        <v>840</v>
      </c>
      <c r="C537" s="2" t="s">
        <v>549</v>
      </c>
      <c r="D537" s="2" t="s">
        <v>913</v>
      </c>
    </row>
    <row r="538">
      <c r="A538" s="8">
        <v>46182.73820196759</v>
      </c>
      <c r="B538" s="2" t="s">
        <v>840</v>
      </c>
      <c r="C538" s="2" t="s">
        <v>554</v>
      </c>
      <c r="D538" s="2" t="s">
        <v>914</v>
      </c>
    </row>
    <row r="539">
      <c r="A539" s="8">
        <v>46182.73820677084</v>
      </c>
      <c r="B539" s="2" t="s">
        <v>840</v>
      </c>
      <c r="C539" s="2" t="s">
        <v>569</v>
      </c>
      <c r="D539" s="2" t="s">
        <v>918</v>
      </c>
    </row>
    <row r="540">
      <c r="A540" s="8">
        <v>46182.73821372685</v>
      </c>
      <c r="B540" s="2" t="s">
        <v>844</v>
      </c>
      <c r="C540" s="2" t="s">
        <v>574</v>
      </c>
      <c r="D540" s="2" t="s">
        <v>927</v>
      </c>
    </row>
    <row r="541">
      <c r="A541" s="8">
        <v>46182.73822296296</v>
      </c>
      <c r="B541" s="2" t="s">
        <v>844</v>
      </c>
      <c r="C541" s="2" t="s">
        <v>938</v>
      </c>
      <c r="D541" s="2" t="s">
        <v>939</v>
      </c>
    </row>
    <row r="542">
      <c r="A542" s="8">
        <v>46182.73822738426</v>
      </c>
      <c r="B542" s="2" t="s">
        <v>840</v>
      </c>
      <c r="C542" s="2" t="s">
        <v>722</v>
      </c>
      <c r="D542" s="2" t="s">
        <v>929</v>
      </c>
    </row>
    <row r="543">
      <c r="A543" s="8">
        <v>46182.738232337964</v>
      </c>
      <c r="B543" s="2" t="s">
        <v>840</v>
      </c>
      <c r="C543" s="2" t="s">
        <v>773</v>
      </c>
      <c r="D543" s="2" t="s">
        <v>930</v>
      </c>
    </row>
    <row r="544">
      <c r="A544" s="8">
        <v>46182.73823461805</v>
      </c>
      <c r="B544" s="2" t="s">
        <v>840</v>
      </c>
      <c r="C544" s="2" t="s">
        <v>783</v>
      </c>
      <c r="D544" s="2" t="s">
        <v>931</v>
      </c>
    </row>
    <row r="545">
      <c r="A545" s="8">
        <v>46182.73823682871</v>
      </c>
      <c r="B545" s="2" t="s">
        <v>894</v>
      </c>
      <c r="D545" s="2" t="s">
        <v>940</v>
      </c>
    </row>
    <row r="546">
      <c r="A546" s="8">
        <v>46182.77976145833</v>
      </c>
      <c r="B546" s="2" t="s">
        <v>798</v>
      </c>
      <c r="C546" s="2" t="s">
        <v>799</v>
      </c>
      <c r="D546" s="2" t="s">
        <v>800</v>
      </c>
    </row>
    <row r="547">
      <c r="A547" s="8">
        <v>46182.77976506944</v>
      </c>
      <c r="B547" s="2" t="s">
        <v>838</v>
      </c>
      <c r="C547" s="2" t="s">
        <v>802</v>
      </c>
      <c r="D547" s="2" t="s">
        <v>839</v>
      </c>
    </row>
    <row r="548">
      <c r="A548" s="8">
        <v>46182.77976809027</v>
      </c>
      <c r="B548" s="2" t="s">
        <v>834</v>
      </c>
      <c r="C548" s="2" t="s">
        <v>842</v>
      </c>
      <c r="D548" s="2" t="s">
        <v>843</v>
      </c>
    </row>
    <row r="549">
      <c r="A549" s="8">
        <v>46182.779771331014</v>
      </c>
      <c r="B549" s="2" t="s">
        <v>834</v>
      </c>
      <c r="C549" s="2" t="s">
        <v>846</v>
      </c>
      <c r="D549" s="2" t="s">
        <v>847</v>
      </c>
    </row>
    <row r="550">
      <c r="A550" s="8">
        <v>46182.77978627315</v>
      </c>
      <c r="B550" s="2" t="s">
        <v>834</v>
      </c>
      <c r="C550" s="2" t="s">
        <v>806</v>
      </c>
      <c r="D550" s="2" t="s">
        <v>861</v>
      </c>
    </row>
    <row r="551">
      <c r="A551" s="8">
        <v>46182.77979204861</v>
      </c>
      <c r="B551" s="2" t="s">
        <v>840</v>
      </c>
      <c r="C551" s="2" t="s">
        <v>810</v>
      </c>
      <c r="D551" s="2" t="s">
        <v>851</v>
      </c>
    </row>
    <row r="552">
      <c r="A552" s="8">
        <v>46182.779795069444</v>
      </c>
      <c r="B552" s="2" t="s">
        <v>798</v>
      </c>
      <c r="C552" s="2" t="s">
        <v>812</v>
      </c>
      <c r="D552" s="2" t="s">
        <v>813</v>
      </c>
    </row>
    <row r="553">
      <c r="A553" s="8">
        <v>46182.7797975</v>
      </c>
      <c r="B553" s="2" t="s">
        <v>840</v>
      </c>
      <c r="C553" s="2" t="s">
        <v>814</v>
      </c>
      <c r="D553" s="2" t="s">
        <v>852</v>
      </c>
    </row>
    <row r="554">
      <c r="A554" s="8">
        <v>46182.77980063658</v>
      </c>
      <c r="B554" s="2" t="s">
        <v>838</v>
      </c>
      <c r="C554" s="2" t="s">
        <v>818</v>
      </c>
      <c r="D554" s="2" t="s">
        <v>853</v>
      </c>
    </row>
    <row r="555">
      <c r="A555" s="8">
        <v>46182.77980296296</v>
      </c>
      <c r="B555" s="2" t="s">
        <v>798</v>
      </c>
      <c r="C555" s="2" t="s">
        <v>830</v>
      </c>
      <c r="D555" s="2" t="s">
        <v>831</v>
      </c>
    </row>
    <row r="556">
      <c r="A556" s="8">
        <v>46182.77980600695</v>
      </c>
      <c r="B556" s="2" t="s">
        <v>832</v>
      </c>
      <c r="D556" s="2" t="s">
        <v>935</v>
      </c>
    </row>
    <row r="557">
      <c r="A557" s="8">
        <v>46182.779865578705</v>
      </c>
      <c r="B557" s="2" t="s">
        <v>840</v>
      </c>
      <c r="C557" s="2" t="s">
        <v>549</v>
      </c>
      <c r="D557" s="2" t="s">
        <v>913</v>
      </c>
    </row>
    <row r="558">
      <c r="A558" s="8">
        <v>46182.7798684375</v>
      </c>
      <c r="B558" s="2" t="s">
        <v>840</v>
      </c>
      <c r="C558" s="2" t="s">
        <v>554</v>
      </c>
      <c r="D558" s="2" t="s">
        <v>914</v>
      </c>
    </row>
    <row r="559">
      <c r="A559" s="8">
        <v>46182.779870983795</v>
      </c>
      <c r="B559" s="2" t="s">
        <v>840</v>
      </c>
      <c r="C559" s="2" t="s">
        <v>569</v>
      </c>
      <c r="D559" s="2" t="s">
        <v>918</v>
      </c>
    </row>
    <row r="560">
      <c r="A560" s="8">
        <v>46182.77987353009</v>
      </c>
      <c r="B560" s="2" t="s">
        <v>840</v>
      </c>
      <c r="C560" s="2" t="s">
        <v>722</v>
      </c>
      <c r="D560" s="2" t="s">
        <v>929</v>
      </c>
    </row>
    <row r="561">
      <c r="A561" s="8">
        <v>46182.77987652778</v>
      </c>
      <c r="B561" s="2" t="s">
        <v>840</v>
      </c>
      <c r="C561" s="2" t="s">
        <v>773</v>
      </c>
      <c r="D561" s="2" t="s">
        <v>930</v>
      </c>
    </row>
    <row r="562">
      <c r="A562" s="8">
        <v>46182.77987914352</v>
      </c>
      <c r="B562" s="2" t="s">
        <v>840</v>
      </c>
      <c r="C562" s="2" t="s">
        <v>783</v>
      </c>
      <c r="D562" s="2" t="s">
        <v>931</v>
      </c>
    </row>
    <row r="563">
      <c r="A563" s="8">
        <v>46182.779885428245</v>
      </c>
      <c r="B563" s="2" t="s">
        <v>894</v>
      </c>
      <c r="D563" s="2" t="s">
        <v>941</v>
      </c>
    </row>
    <row r="564">
      <c r="A564" s="8">
        <v>46182.821474745375</v>
      </c>
      <c r="B564" s="2" t="s">
        <v>798</v>
      </c>
      <c r="C564" s="2" t="s">
        <v>799</v>
      </c>
      <c r="D564" s="2" t="s">
        <v>800</v>
      </c>
    </row>
    <row r="565">
      <c r="A565" s="8">
        <v>46182.821478680555</v>
      </c>
      <c r="B565" s="2" t="s">
        <v>838</v>
      </c>
      <c r="C565" s="2" t="s">
        <v>802</v>
      </c>
      <c r="D565" s="2" t="s">
        <v>839</v>
      </c>
    </row>
    <row r="566">
      <c r="A566" s="8">
        <v>46182.82148284723</v>
      </c>
      <c r="B566" s="2" t="s">
        <v>834</v>
      </c>
      <c r="C566" s="2" t="s">
        <v>842</v>
      </c>
      <c r="D566" s="2" t="s">
        <v>843</v>
      </c>
    </row>
    <row r="567">
      <c r="A567" s="8">
        <v>46182.82148675926</v>
      </c>
      <c r="B567" s="2" t="s">
        <v>834</v>
      </c>
      <c r="C567" s="2" t="s">
        <v>846</v>
      </c>
      <c r="D567" s="2" t="s">
        <v>847</v>
      </c>
    </row>
    <row r="568">
      <c r="A568" s="8">
        <v>46182.82150039352</v>
      </c>
      <c r="B568" s="2" t="s">
        <v>834</v>
      </c>
      <c r="C568" s="2" t="s">
        <v>806</v>
      </c>
      <c r="D568" s="2" t="s">
        <v>861</v>
      </c>
    </row>
    <row r="569">
      <c r="A569" s="8">
        <v>46182.8215031713</v>
      </c>
      <c r="B569" s="2" t="s">
        <v>840</v>
      </c>
      <c r="C569" s="2" t="s">
        <v>810</v>
      </c>
      <c r="D569" s="2" t="s">
        <v>851</v>
      </c>
    </row>
    <row r="570">
      <c r="A570" s="8">
        <v>46182.82150668981</v>
      </c>
      <c r="B570" s="2" t="s">
        <v>798</v>
      </c>
      <c r="C570" s="2" t="s">
        <v>812</v>
      </c>
      <c r="D570" s="2" t="s">
        <v>813</v>
      </c>
    </row>
    <row r="571">
      <c r="A571" s="8">
        <v>46182.82150986111</v>
      </c>
      <c r="B571" s="2" t="s">
        <v>840</v>
      </c>
      <c r="C571" s="2" t="s">
        <v>814</v>
      </c>
      <c r="D571" s="2" t="s">
        <v>852</v>
      </c>
    </row>
    <row r="572">
      <c r="A572" s="8">
        <v>46182.82151270834</v>
      </c>
      <c r="B572" s="2" t="s">
        <v>838</v>
      </c>
      <c r="C572" s="2" t="s">
        <v>818</v>
      </c>
      <c r="D572" s="2" t="s">
        <v>853</v>
      </c>
    </row>
    <row r="573">
      <c r="A573" s="8">
        <v>46182.82151579861</v>
      </c>
      <c r="B573" s="2" t="s">
        <v>798</v>
      </c>
      <c r="C573" s="2" t="s">
        <v>830</v>
      </c>
      <c r="D573" s="2" t="s">
        <v>831</v>
      </c>
    </row>
    <row r="574">
      <c r="A574" s="8">
        <v>46182.82151918982</v>
      </c>
      <c r="B574" s="2" t="s">
        <v>832</v>
      </c>
      <c r="D574" s="2" t="s">
        <v>935</v>
      </c>
    </row>
    <row r="575">
      <c r="A575" s="8">
        <v>46182.82158939815</v>
      </c>
      <c r="B575" s="2" t="s">
        <v>840</v>
      </c>
      <c r="C575" s="2" t="s">
        <v>549</v>
      </c>
      <c r="D575" s="2" t="s">
        <v>913</v>
      </c>
    </row>
    <row r="576">
      <c r="A576" s="8">
        <v>46182.821593368055</v>
      </c>
      <c r="B576" s="2" t="s">
        <v>840</v>
      </c>
      <c r="C576" s="2" t="s">
        <v>554</v>
      </c>
      <c r="D576" s="2" t="s">
        <v>914</v>
      </c>
    </row>
    <row r="577">
      <c r="A577" s="8">
        <v>46182.82159784722</v>
      </c>
      <c r="B577" s="2" t="s">
        <v>840</v>
      </c>
      <c r="C577" s="2" t="s">
        <v>569</v>
      </c>
      <c r="D577" s="2" t="s">
        <v>918</v>
      </c>
    </row>
    <row r="578">
      <c r="A578" s="8">
        <v>46182.82160122685</v>
      </c>
      <c r="B578" s="2" t="s">
        <v>840</v>
      </c>
      <c r="C578" s="2" t="s">
        <v>722</v>
      </c>
      <c r="D578" s="2" t="s">
        <v>929</v>
      </c>
    </row>
    <row r="579">
      <c r="A579" s="8">
        <v>46182.821604791665</v>
      </c>
      <c r="B579" s="2" t="s">
        <v>840</v>
      </c>
      <c r="C579" s="2" t="s">
        <v>773</v>
      </c>
      <c r="D579" s="2" t="s">
        <v>930</v>
      </c>
    </row>
    <row r="580">
      <c r="A580" s="8">
        <v>46182.82160795139</v>
      </c>
      <c r="B580" s="2" t="s">
        <v>840</v>
      </c>
      <c r="C580" s="2" t="s">
        <v>783</v>
      </c>
      <c r="D580" s="2" t="s">
        <v>931</v>
      </c>
    </row>
    <row r="581">
      <c r="A581" s="8">
        <v>46182.82161180556</v>
      </c>
      <c r="B581" s="2" t="s">
        <v>894</v>
      </c>
      <c r="D581" s="2" t="s">
        <v>941</v>
      </c>
    </row>
    <row r="582">
      <c r="A582" s="8">
        <v>46182.86311420139</v>
      </c>
      <c r="B582" s="2" t="s">
        <v>798</v>
      </c>
      <c r="C582" s="2" t="s">
        <v>799</v>
      </c>
      <c r="D582" s="2" t="s">
        <v>800</v>
      </c>
    </row>
    <row r="583">
      <c r="A583" s="8">
        <v>46182.86311800926</v>
      </c>
      <c r="B583" s="2" t="s">
        <v>838</v>
      </c>
      <c r="C583" s="2" t="s">
        <v>802</v>
      </c>
      <c r="D583" s="2" t="s">
        <v>839</v>
      </c>
    </row>
    <row r="584">
      <c r="A584" s="8">
        <v>46182.863121365735</v>
      </c>
      <c r="B584" s="2" t="s">
        <v>834</v>
      </c>
      <c r="C584" s="2" t="s">
        <v>842</v>
      </c>
      <c r="D584" s="2" t="s">
        <v>843</v>
      </c>
    </row>
    <row r="585">
      <c r="A585" s="8">
        <v>46182.8631237963</v>
      </c>
      <c r="B585" s="2" t="s">
        <v>834</v>
      </c>
      <c r="C585" s="2" t="s">
        <v>846</v>
      </c>
      <c r="D585" s="2" t="s">
        <v>847</v>
      </c>
    </row>
    <row r="586">
      <c r="A586" s="8">
        <v>46182.86313798611</v>
      </c>
      <c r="B586" s="2" t="s">
        <v>834</v>
      </c>
      <c r="C586" s="2" t="s">
        <v>806</v>
      </c>
      <c r="D586" s="2" t="s">
        <v>861</v>
      </c>
    </row>
    <row r="587">
      <c r="A587" s="8">
        <v>46182.8631456713</v>
      </c>
      <c r="B587" s="2" t="s">
        <v>840</v>
      </c>
      <c r="C587" s="2" t="s">
        <v>810</v>
      </c>
      <c r="D587" s="2" t="s">
        <v>851</v>
      </c>
    </row>
    <row r="588">
      <c r="A588" s="8">
        <v>46182.86314868055</v>
      </c>
      <c r="B588" s="2" t="s">
        <v>798</v>
      </c>
      <c r="C588" s="2" t="s">
        <v>812</v>
      </c>
      <c r="D588" s="2" t="s">
        <v>813</v>
      </c>
    </row>
    <row r="589">
      <c r="A589" s="8">
        <v>46182.86315148148</v>
      </c>
      <c r="B589" s="2" t="s">
        <v>840</v>
      </c>
      <c r="C589" s="2" t="s">
        <v>814</v>
      </c>
      <c r="D589" s="2" t="s">
        <v>852</v>
      </c>
    </row>
    <row r="590">
      <c r="A590" s="8">
        <v>46182.86315402778</v>
      </c>
      <c r="B590" s="2" t="s">
        <v>838</v>
      </c>
      <c r="C590" s="2" t="s">
        <v>818</v>
      </c>
      <c r="D590" s="2" t="s">
        <v>853</v>
      </c>
    </row>
    <row r="591">
      <c r="A591" s="8">
        <v>46182.863157314816</v>
      </c>
      <c r="B591" s="2" t="s">
        <v>798</v>
      </c>
      <c r="C591" s="2" t="s">
        <v>830</v>
      </c>
      <c r="D591" s="2" t="s">
        <v>831</v>
      </c>
    </row>
    <row r="592">
      <c r="A592" s="8">
        <v>46182.86315965278</v>
      </c>
      <c r="B592" s="2" t="s">
        <v>832</v>
      </c>
      <c r="D592" s="2" t="s">
        <v>935</v>
      </c>
    </row>
    <row r="593">
      <c r="A593" s="8">
        <v>46182.863223402775</v>
      </c>
      <c r="B593" s="2" t="s">
        <v>840</v>
      </c>
      <c r="C593" s="2" t="s">
        <v>549</v>
      </c>
      <c r="D593" s="2" t="s">
        <v>913</v>
      </c>
    </row>
    <row r="594">
      <c r="A594" s="8">
        <v>46182.86322667824</v>
      </c>
      <c r="B594" s="2" t="s">
        <v>840</v>
      </c>
      <c r="C594" s="2" t="s">
        <v>554</v>
      </c>
      <c r="D594" s="2" t="s">
        <v>914</v>
      </c>
    </row>
    <row r="595">
      <c r="A595" s="8">
        <v>46182.863229062496</v>
      </c>
      <c r="B595" s="2" t="s">
        <v>840</v>
      </c>
      <c r="C595" s="2" t="s">
        <v>569</v>
      </c>
      <c r="D595" s="2" t="s">
        <v>918</v>
      </c>
    </row>
    <row r="596">
      <c r="A596" s="8">
        <v>46182.863231469906</v>
      </c>
      <c r="B596" s="2" t="s">
        <v>840</v>
      </c>
      <c r="C596" s="2" t="s">
        <v>722</v>
      </c>
      <c r="D596" s="2" t="s">
        <v>929</v>
      </c>
    </row>
    <row r="597">
      <c r="A597" s="8">
        <v>46182.8632343287</v>
      </c>
      <c r="B597" s="2" t="s">
        <v>840</v>
      </c>
      <c r="C597" s="2" t="s">
        <v>773</v>
      </c>
      <c r="D597" s="2" t="s">
        <v>930</v>
      </c>
    </row>
    <row r="598">
      <c r="A598" s="8">
        <v>46182.86323711806</v>
      </c>
      <c r="B598" s="2" t="s">
        <v>840</v>
      </c>
      <c r="C598" s="2" t="s">
        <v>783</v>
      </c>
      <c r="D598" s="2" t="s">
        <v>931</v>
      </c>
    </row>
    <row r="599">
      <c r="A599" s="8">
        <v>46182.86324025463</v>
      </c>
      <c r="B599" s="2" t="s">
        <v>894</v>
      </c>
      <c r="D599" s="2" t="s">
        <v>941</v>
      </c>
    </row>
    <row r="600">
      <c r="A600" s="8">
        <v>46182.90480701389</v>
      </c>
      <c r="B600" s="2" t="s">
        <v>798</v>
      </c>
      <c r="C600" s="2" t="s">
        <v>799</v>
      </c>
      <c r="D600" s="2" t="s">
        <v>800</v>
      </c>
    </row>
    <row r="601">
      <c r="A601" s="8">
        <v>46182.90481219908</v>
      </c>
      <c r="B601" s="2" t="s">
        <v>838</v>
      </c>
      <c r="C601" s="2" t="s">
        <v>802</v>
      </c>
      <c r="D601" s="2" t="s">
        <v>839</v>
      </c>
    </row>
    <row r="602">
      <c r="A602" s="8">
        <v>46182.90481770833</v>
      </c>
      <c r="B602" s="2" t="s">
        <v>834</v>
      </c>
      <c r="C602" s="2" t="s">
        <v>842</v>
      </c>
      <c r="D602" s="2" t="s">
        <v>843</v>
      </c>
    </row>
    <row r="603">
      <c r="A603" s="8">
        <v>46182.904834988425</v>
      </c>
      <c r="B603" s="2" t="s">
        <v>834</v>
      </c>
      <c r="C603" s="2" t="s">
        <v>846</v>
      </c>
      <c r="D603" s="2" t="s">
        <v>847</v>
      </c>
    </row>
    <row r="604">
      <c r="A604" s="8">
        <v>46182.90483888889</v>
      </c>
      <c r="B604" s="2" t="s">
        <v>834</v>
      </c>
      <c r="C604" s="2" t="s">
        <v>806</v>
      </c>
      <c r="D604" s="2" t="s">
        <v>861</v>
      </c>
    </row>
    <row r="605">
      <c r="A605" s="8">
        <v>46182.904842731485</v>
      </c>
      <c r="B605" s="2" t="s">
        <v>840</v>
      </c>
      <c r="C605" s="2" t="s">
        <v>810</v>
      </c>
      <c r="D605" s="2" t="s">
        <v>851</v>
      </c>
    </row>
    <row r="606">
      <c r="A606" s="8">
        <v>46182.90484752315</v>
      </c>
      <c r="B606" s="2" t="s">
        <v>798</v>
      </c>
      <c r="C606" s="2" t="s">
        <v>812</v>
      </c>
      <c r="D606" s="2" t="s">
        <v>813</v>
      </c>
    </row>
    <row r="607">
      <c r="A607" s="8">
        <v>46182.90485171296</v>
      </c>
      <c r="B607" s="2" t="s">
        <v>840</v>
      </c>
      <c r="C607" s="2" t="s">
        <v>814</v>
      </c>
      <c r="D607" s="2" t="s">
        <v>852</v>
      </c>
    </row>
    <row r="608">
      <c r="A608" s="8">
        <v>46182.904855810186</v>
      </c>
      <c r="B608" s="2" t="s">
        <v>838</v>
      </c>
      <c r="C608" s="2" t="s">
        <v>818</v>
      </c>
      <c r="D608" s="2" t="s">
        <v>853</v>
      </c>
    </row>
    <row r="609">
      <c r="A609" s="8">
        <v>46182.904865625</v>
      </c>
      <c r="B609" s="2" t="s">
        <v>798</v>
      </c>
      <c r="C609" s="2" t="s">
        <v>830</v>
      </c>
      <c r="D609" s="2" t="s">
        <v>831</v>
      </c>
    </row>
    <row r="610">
      <c r="A610" s="8">
        <v>46182.90487134259</v>
      </c>
      <c r="B610" s="2" t="s">
        <v>832</v>
      </c>
      <c r="D610" s="2" t="s">
        <v>935</v>
      </c>
    </row>
    <row r="611">
      <c r="A611" s="8">
        <v>46182.904950462966</v>
      </c>
      <c r="B611" s="2" t="s">
        <v>840</v>
      </c>
      <c r="C611" s="2" t="s">
        <v>549</v>
      </c>
      <c r="D611" s="2" t="s">
        <v>913</v>
      </c>
    </row>
    <row r="612">
      <c r="A612" s="8">
        <v>46182.904955798615</v>
      </c>
      <c r="B612" s="2" t="s">
        <v>840</v>
      </c>
      <c r="C612" s="2" t="s">
        <v>554</v>
      </c>
      <c r="D612" s="2" t="s">
        <v>914</v>
      </c>
    </row>
    <row r="613">
      <c r="A613" s="8">
        <v>46182.90496039352</v>
      </c>
      <c r="B613" s="2" t="s">
        <v>840</v>
      </c>
      <c r="C613" s="2" t="s">
        <v>569</v>
      </c>
      <c r="D613" s="2" t="s">
        <v>918</v>
      </c>
    </row>
    <row r="614">
      <c r="A614" s="8">
        <v>46182.904964050926</v>
      </c>
      <c r="B614" s="2" t="s">
        <v>840</v>
      </c>
      <c r="C614" s="2" t="s">
        <v>722</v>
      </c>
      <c r="D614" s="2" t="s">
        <v>929</v>
      </c>
    </row>
    <row r="615">
      <c r="A615" s="8">
        <v>46182.904967939816</v>
      </c>
      <c r="B615" s="2" t="s">
        <v>840</v>
      </c>
      <c r="C615" s="2" t="s">
        <v>773</v>
      </c>
      <c r="D615" s="2" t="s">
        <v>930</v>
      </c>
    </row>
    <row r="616">
      <c r="A616" s="8">
        <v>46182.90497201389</v>
      </c>
      <c r="B616" s="2" t="s">
        <v>840</v>
      </c>
      <c r="C616" s="2" t="s">
        <v>783</v>
      </c>
      <c r="D616" s="2" t="s">
        <v>931</v>
      </c>
    </row>
    <row r="617">
      <c r="A617" s="8">
        <v>46182.90497550926</v>
      </c>
      <c r="B617" s="2" t="s">
        <v>894</v>
      </c>
      <c r="D617" s="2" t="s">
        <v>941</v>
      </c>
    </row>
    <row r="618">
      <c r="A618" s="8">
        <v>46182.91712886574</v>
      </c>
      <c r="B618" s="2" t="s">
        <v>863</v>
      </c>
      <c r="D618" s="2" t="s">
        <v>942</v>
      </c>
    </row>
    <row r="619">
      <c r="A619" s="8">
        <v>46182.94646157407</v>
      </c>
      <c r="B619" s="2" t="s">
        <v>798</v>
      </c>
      <c r="C619" s="2" t="s">
        <v>799</v>
      </c>
      <c r="D619" s="2" t="s">
        <v>800</v>
      </c>
    </row>
    <row r="620">
      <c r="A620" s="8">
        <v>46182.946465138884</v>
      </c>
      <c r="B620" s="2" t="s">
        <v>838</v>
      </c>
      <c r="C620" s="2" t="s">
        <v>802</v>
      </c>
      <c r="D620" s="2" t="s">
        <v>839</v>
      </c>
    </row>
    <row r="621">
      <c r="A621" s="8">
        <v>46182.94646895833</v>
      </c>
      <c r="B621" s="2" t="s">
        <v>834</v>
      </c>
      <c r="C621" s="2" t="s">
        <v>842</v>
      </c>
      <c r="D621" s="2" t="s">
        <v>843</v>
      </c>
    </row>
    <row r="622">
      <c r="A622" s="8">
        <v>46182.94648064815</v>
      </c>
      <c r="B622" s="2" t="s">
        <v>834</v>
      </c>
      <c r="C622" s="2" t="s">
        <v>846</v>
      </c>
      <c r="D622" s="2" t="s">
        <v>847</v>
      </c>
    </row>
    <row r="623">
      <c r="A623" s="8">
        <v>46182.9464859838</v>
      </c>
      <c r="B623" s="2" t="s">
        <v>834</v>
      </c>
      <c r="C623" s="2" t="s">
        <v>806</v>
      </c>
      <c r="D623" s="2" t="s">
        <v>861</v>
      </c>
    </row>
    <row r="624">
      <c r="A624" s="8">
        <v>46182.94648903935</v>
      </c>
      <c r="B624" s="2" t="s">
        <v>840</v>
      </c>
      <c r="C624" s="2" t="s">
        <v>810</v>
      </c>
      <c r="D624" s="2" t="s">
        <v>851</v>
      </c>
    </row>
    <row r="625">
      <c r="A625" s="8">
        <v>46182.94649258102</v>
      </c>
      <c r="B625" s="2" t="s">
        <v>798</v>
      </c>
      <c r="C625" s="2" t="s">
        <v>812</v>
      </c>
      <c r="D625" s="2" t="s">
        <v>813</v>
      </c>
    </row>
    <row r="626">
      <c r="A626" s="8">
        <v>46182.946495474534</v>
      </c>
      <c r="B626" s="2" t="s">
        <v>840</v>
      </c>
      <c r="C626" s="2" t="s">
        <v>814</v>
      </c>
      <c r="D626" s="2" t="s">
        <v>852</v>
      </c>
    </row>
    <row r="627">
      <c r="A627" s="8">
        <v>46182.946498136575</v>
      </c>
      <c r="B627" s="2" t="s">
        <v>838</v>
      </c>
      <c r="C627" s="2" t="s">
        <v>818</v>
      </c>
      <c r="D627" s="2" t="s">
        <v>853</v>
      </c>
    </row>
    <row r="628">
      <c r="A628" s="8">
        <v>46182.94650090278</v>
      </c>
      <c r="B628" s="2" t="s">
        <v>798</v>
      </c>
      <c r="C628" s="2" t="s">
        <v>830</v>
      </c>
      <c r="D628" s="2" t="s">
        <v>831</v>
      </c>
    </row>
    <row r="629">
      <c r="A629" s="8">
        <v>46182.94650365741</v>
      </c>
      <c r="B629" s="2" t="s">
        <v>832</v>
      </c>
      <c r="D629" s="2" t="s">
        <v>935</v>
      </c>
    </row>
    <row r="630">
      <c r="A630" s="8">
        <v>46182.94656678241</v>
      </c>
      <c r="B630" s="2" t="s">
        <v>840</v>
      </c>
      <c r="C630" s="2" t="s">
        <v>549</v>
      </c>
      <c r="D630" s="2" t="s">
        <v>913</v>
      </c>
    </row>
    <row r="631">
      <c r="A631" s="8">
        <v>46182.94656946759</v>
      </c>
      <c r="B631" s="2" t="s">
        <v>840</v>
      </c>
      <c r="C631" s="2" t="s">
        <v>554</v>
      </c>
      <c r="D631" s="2" t="s">
        <v>914</v>
      </c>
    </row>
    <row r="632">
      <c r="A632" s="8">
        <v>46182.94657212963</v>
      </c>
      <c r="B632" s="2" t="s">
        <v>840</v>
      </c>
      <c r="C632" s="2" t="s">
        <v>569</v>
      </c>
      <c r="D632" s="2" t="s">
        <v>918</v>
      </c>
    </row>
    <row r="633">
      <c r="A633" s="8">
        <v>46182.9465753125</v>
      </c>
      <c r="B633" s="2" t="s">
        <v>840</v>
      </c>
      <c r="C633" s="2" t="s">
        <v>722</v>
      </c>
      <c r="D633" s="2" t="s">
        <v>929</v>
      </c>
    </row>
    <row r="634">
      <c r="A634" s="8">
        <v>46182.946577986106</v>
      </c>
      <c r="B634" s="2" t="s">
        <v>840</v>
      </c>
      <c r="C634" s="2" t="s">
        <v>773</v>
      </c>
      <c r="D634" s="2" t="s">
        <v>930</v>
      </c>
    </row>
    <row r="635">
      <c r="A635" s="8">
        <v>46182.94658700231</v>
      </c>
      <c r="B635" s="2" t="s">
        <v>840</v>
      </c>
      <c r="C635" s="2" t="s">
        <v>783</v>
      </c>
      <c r="D635" s="2" t="s">
        <v>931</v>
      </c>
    </row>
    <row r="636">
      <c r="A636" s="8">
        <v>46182.94659141204</v>
      </c>
      <c r="B636" s="2" t="s">
        <v>894</v>
      </c>
      <c r="D636" s="2" t="s">
        <v>941</v>
      </c>
    </row>
    <row r="637">
      <c r="A637" s="8">
        <v>46182.98811481481</v>
      </c>
      <c r="B637" s="2" t="s">
        <v>798</v>
      </c>
      <c r="C637" s="2" t="s">
        <v>799</v>
      </c>
      <c r="D637" s="2" t="s">
        <v>800</v>
      </c>
    </row>
    <row r="638">
      <c r="A638" s="8">
        <v>46182.988119965274</v>
      </c>
      <c r="B638" s="2" t="s">
        <v>838</v>
      </c>
      <c r="C638" s="2" t="s">
        <v>802</v>
      </c>
      <c r="D638" s="2" t="s">
        <v>839</v>
      </c>
    </row>
    <row r="639">
      <c r="A639" s="8">
        <v>46182.98812271991</v>
      </c>
      <c r="B639" s="2" t="s">
        <v>834</v>
      </c>
      <c r="C639" s="2" t="s">
        <v>842</v>
      </c>
      <c r="D639" s="2" t="s">
        <v>843</v>
      </c>
    </row>
    <row r="640">
      <c r="A640" s="8">
        <v>46182.988124791664</v>
      </c>
      <c r="B640" s="2" t="s">
        <v>834</v>
      </c>
      <c r="C640" s="2" t="s">
        <v>846</v>
      </c>
      <c r="D640" s="2" t="s">
        <v>847</v>
      </c>
    </row>
    <row r="641">
      <c r="A641" s="8">
        <v>46182.988141967595</v>
      </c>
      <c r="B641" s="2" t="s">
        <v>834</v>
      </c>
      <c r="C641" s="2" t="s">
        <v>806</v>
      </c>
      <c r="D641" s="2" t="s">
        <v>861</v>
      </c>
    </row>
    <row r="642">
      <c r="A642" s="8">
        <v>46182.9881441551</v>
      </c>
      <c r="B642" s="2" t="s">
        <v>840</v>
      </c>
      <c r="C642" s="2" t="s">
        <v>810</v>
      </c>
      <c r="D642" s="2" t="s">
        <v>851</v>
      </c>
    </row>
    <row r="643">
      <c r="A643" s="8">
        <v>46182.98814666667</v>
      </c>
      <c r="B643" s="2" t="s">
        <v>798</v>
      </c>
      <c r="C643" s="2" t="s">
        <v>812</v>
      </c>
      <c r="D643" s="2" t="s">
        <v>813</v>
      </c>
    </row>
    <row r="644">
      <c r="A644" s="8">
        <v>46182.98814917824</v>
      </c>
      <c r="B644" s="2" t="s">
        <v>840</v>
      </c>
      <c r="C644" s="2" t="s">
        <v>814</v>
      </c>
      <c r="D644" s="2" t="s">
        <v>852</v>
      </c>
    </row>
    <row r="645">
      <c r="A645" s="8">
        <v>46182.98815149306</v>
      </c>
      <c r="B645" s="2" t="s">
        <v>838</v>
      </c>
      <c r="C645" s="2" t="s">
        <v>818</v>
      </c>
      <c r="D645" s="2" t="s">
        <v>853</v>
      </c>
    </row>
    <row r="646">
      <c r="A646" s="8">
        <v>46182.98815416667</v>
      </c>
      <c r="B646" s="2" t="s">
        <v>798</v>
      </c>
      <c r="C646" s="2" t="s">
        <v>830</v>
      </c>
      <c r="D646" s="2" t="s">
        <v>831</v>
      </c>
    </row>
    <row r="647">
      <c r="A647" s="8">
        <v>46182.988157071755</v>
      </c>
      <c r="B647" s="2" t="s">
        <v>832</v>
      </c>
      <c r="D647" s="2" t="s">
        <v>935</v>
      </c>
    </row>
    <row r="648">
      <c r="A648" s="8">
        <v>46182.98821568287</v>
      </c>
      <c r="B648" s="2" t="s">
        <v>840</v>
      </c>
      <c r="C648" s="2" t="s">
        <v>549</v>
      </c>
      <c r="D648" s="2" t="s">
        <v>913</v>
      </c>
    </row>
    <row r="649">
      <c r="A649" s="8">
        <v>46182.98821789352</v>
      </c>
      <c r="B649" s="2" t="s">
        <v>840</v>
      </c>
      <c r="C649" s="2" t="s">
        <v>554</v>
      </c>
      <c r="D649" s="2" t="s">
        <v>914</v>
      </c>
    </row>
    <row r="650">
      <c r="A650" s="8">
        <v>46182.9882199537</v>
      </c>
      <c r="B650" s="2" t="s">
        <v>840</v>
      </c>
      <c r="C650" s="2" t="s">
        <v>569</v>
      </c>
      <c r="D650" s="2" t="s">
        <v>918</v>
      </c>
    </row>
    <row r="651">
      <c r="A651" s="8">
        <v>46182.988226331014</v>
      </c>
      <c r="B651" s="2" t="s">
        <v>844</v>
      </c>
      <c r="C651" s="2" t="s">
        <v>722</v>
      </c>
      <c r="D651" s="2" t="s">
        <v>922</v>
      </c>
    </row>
    <row r="652">
      <c r="A652" s="8">
        <v>46182.988230682866</v>
      </c>
      <c r="B652" s="2" t="s">
        <v>840</v>
      </c>
      <c r="C652" s="2" t="s">
        <v>773</v>
      </c>
      <c r="D652" s="2" t="s">
        <v>930</v>
      </c>
    </row>
    <row r="653">
      <c r="A653" s="8">
        <v>46182.98823267361</v>
      </c>
      <c r="B653" s="2" t="s">
        <v>840</v>
      </c>
      <c r="C653" s="2" t="s">
        <v>783</v>
      </c>
      <c r="D653" s="2" t="s">
        <v>931</v>
      </c>
    </row>
    <row r="654">
      <c r="A654" s="8">
        <v>46182.98823462963</v>
      </c>
      <c r="B654" s="2" t="s">
        <v>894</v>
      </c>
      <c r="D654" s="2" t="s">
        <v>943</v>
      </c>
    </row>
    <row r="655">
      <c r="A655" s="8">
        <v>46183.02980405092</v>
      </c>
      <c r="B655" s="2" t="s">
        <v>798</v>
      </c>
      <c r="C655" s="2" t="s">
        <v>799</v>
      </c>
      <c r="D655" s="2" t="s">
        <v>800</v>
      </c>
    </row>
    <row r="656">
      <c r="A656" s="8">
        <v>46183.029808113424</v>
      </c>
      <c r="B656" s="2" t="s">
        <v>838</v>
      </c>
      <c r="C656" s="2" t="s">
        <v>802</v>
      </c>
      <c r="D656" s="2" t="s">
        <v>839</v>
      </c>
    </row>
    <row r="657">
      <c r="A657" s="8">
        <v>46183.02981107639</v>
      </c>
      <c r="B657" s="2" t="s">
        <v>834</v>
      </c>
      <c r="C657" s="2" t="s">
        <v>842</v>
      </c>
      <c r="D657" s="2" t="s">
        <v>843</v>
      </c>
    </row>
    <row r="658">
      <c r="A658" s="8">
        <v>46183.029814375</v>
      </c>
      <c r="B658" s="2" t="s">
        <v>834</v>
      </c>
      <c r="C658" s="2" t="s">
        <v>846</v>
      </c>
      <c r="D658" s="2" t="s">
        <v>847</v>
      </c>
    </row>
    <row r="659">
      <c r="A659" s="8">
        <v>46183.02982703704</v>
      </c>
      <c r="B659" s="2" t="s">
        <v>834</v>
      </c>
      <c r="C659" s="2" t="s">
        <v>806</v>
      </c>
      <c r="D659" s="2" t="s">
        <v>861</v>
      </c>
    </row>
    <row r="660">
      <c r="A660" s="8">
        <v>46183.02983005787</v>
      </c>
      <c r="B660" s="2" t="s">
        <v>840</v>
      </c>
      <c r="C660" s="2" t="s">
        <v>810</v>
      </c>
      <c r="D660" s="2" t="s">
        <v>851</v>
      </c>
    </row>
    <row r="661">
      <c r="A661" s="8">
        <v>46183.029833113425</v>
      </c>
      <c r="B661" s="2" t="s">
        <v>798</v>
      </c>
      <c r="C661" s="2" t="s">
        <v>812</v>
      </c>
      <c r="D661" s="2" t="s">
        <v>813</v>
      </c>
    </row>
    <row r="662">
      <c r="A662" s="8">
        <v>46183.02983627315</v>
      </c>
      <c r="B662" s="2" t="s">
        <v>840</v>
      </c>
      <c r="C662" s="2" t="s">
        <v>814</v>
      </c>
      <c r="D662" s="2" t="s">
        <v>852</v>
      </c>
    </row>
    <row r="663">
      <c r="A663" s="8">
        <v>46183.02983960648</v>
      </c>
      <c r="B663" s="2" t="s">
        <v>838</v>
      </c>
      <c r="C663" s="2" t="s">
        <v>818</v>
      </c>
      <c r="D663" s="2" t="s">
        <v>853</v>
      </c>
    </row>
    <row r="664">
      <c r="A664" s="8">
        <v>46183.02984418982</v>
      </c>
      <c r="B664" s="2" t="s">
        <v>798</v>
      </c>
      <c r="C664" s="2" t="s">
        <v>830</v>
      </c>
      <c r="D664" s="2" t="s">
        <v>831</v>
      </c>
    </row>
    <row r="665">
      <c r="A665" s="8">
        <v>46183.02984737269</v>
      </c>
      <c r="B665" s="2" t="s">
        <v>832</v>
      </c>
      <c r="D665" s="2" t="s">
        <v>935</v>
      </c>
    </row>
    <row r="666">
      <c r="A666" s="8">
        <v>46183.02990815972</v>
      </c>
      <c r="B666" s="2" t="s">
        <v>840</v>
      </c>
      <c r="C666" s="2" t="s">
        <v>549</v>
      </c>
      <c r="D666" s="2" t="s">
        <v>913</v>
      </c>
    </row>
    <row r="667">
      <c r="A667" s="8">
        <v>46183.02991149305</v>
      </c>
      <c r="B667" s="2" t="s">
        <v>840</v>
      </c>
      <c r="C667" s="2" t="s">
        <v>554</v>
      </c>
      <c r="D667" s="2" t="s">
        <v>914</v>
      </c>
    </row>
    <row r="668">
      <c r="A668" s="8">
        <v>46183.02991550926</v>
      </c>
      <c r="B668" s="2" t="s">
        <v>840</v>
      </c>
      <c r="C668" s="2" t="s">
        <v>569</v>
      </c>
      <c r="D668" s="2" t="s">
        <v>918</v>
      </c>
    </row>
    <row r="669">
      <c r="A669" s="8">
        <v>46183.02991946759</v>
      </c>
      <c r="B669" s="2" t="s">
        <v>840</v>
      </c>
      <c r="C669" s="2" t="s">
        <v>773</v>
      </c>
      <c r="D669" s="2" t="s">
        <v>930</v>
      </c>
    </row>
    <row r="670">
      <c r="A670" s="8">
        <v>46183.029932997684</v>
      </c>
      <c r="B670" s="2" t="s">
        <v>840</v>
      </c>
      <c r="C670" s="2" t="s">
        <v>783</v>
      </c>
      <c r="D670" s="2" t="s">
        <v>931</v>
      </c>
    </row>
    <row r="671">
      <c r="A671" s="8">
        <v>46183.02993695602</v>
      </c>
      <c r="B671" s="2" t="s">
        <v>894</v>
      </c>
      <c r="D671" s="2" t="s">
        <v>944</v>
      </c>
    </row>
    <row r="672">
      <c r="A672" s="8">
        <v>46183.071472615746</v>
      </c>
      <c r="B672" s="2" t="s">
        <v>798</v>
      </c>
      <c r="C672" s="2" t="s">
        <v>799</v>
      </c>
      <c r="D672" s="2" t="s">
        <v>800</v>
      </c>
    </row>
    <row r="673">
      <c r="A673" s="8">
        <v>46183.07147591435</v>
      </c>
      <c r="B673" s="2" t="s">
        <v>838</v>
      </c>
      <c r="C673" s="2" t="s">
        <v>802</v>
      </c>
      <c r="D673" s="2" t="s">
        <v>839</v>
      </c>
    </row>
    <row r="674">
      <c r="A674" s="8">
        <v>46183.07149662037</v>
      </c>
      <c r="B674" s="2" t="s">
        <v>834</v>
      </c>
      <c r="C674" s="2" t="s">
        <v>842</v>
      </c>
      <c r="D674" s="2" t="s">
        <v>843</v>
      </c>
    </row>
    <row r="675">
      <c r="A675" s="8">
        <v>46183.07149944444</v>
      </c>
      <c r="B675" s="2" t="s">
        <v>834</v>
      </c>
      <c r="C675" s="2" t="s">
        <v>846</v>
      </c>
      <c r="D675" s="2" t="s">
        <v>847</v>
      </c>
    </row>
    <row r="676">
      <c r="A676" s="8">
        <v>46183.071502349536</v>
      </c>
      <c r="B676" s="2" t="s">
        <v>834</v>
      </c>
      <c r="C676" s="2" t="s">
        <v>806</v>
      </c>
      <c r="D676" s="2" t="s">
        <v>861</v>
      </c>
    </row>
    <row r="677">
      <c r="A677" s="8">
        <v>46183.07150521991</v>
      </c>
      <c r="B677" s="2" t="s">
        <v>840</v>
      </c>
      <c r="C677" s="2" t="s">
        <v>810</v>
      </c>
      <c r="D677" s="2" t="s">
        <v>851</v>
      </c>
    </row>
    <row r="678">
      <c r="A678" s="8">
        <v>46183.071507870365</v>
      </c>
      <c r="B678" s="2" t="s">
        <v>798</v>
      </c>
      <c r="C678" s="2" t="s">
        <v>812</v>
      </c>
      <c r="D678" s="2" t="s">
        <v>813</v>
      </c>
    </row>
    <row r="679">
      <c r="A679" s="8">
        <v>46183.07151259259</v>
      </c>
      <c r="B679" s="2" t="s">
        <v>840</v>
      </c>
      <c r="C679" s="2" t="s">
        <v>814</v>
      </c>
      <c r="D679" s="2" t="s">
        <v>852</v>
      </c>
    </row>
    <row r="680">
      <c r="A680" s="8">
        <v>46183.071515358795</v>
      </c>
      <c r="B680" s="2" t="s">
        <v>838</v>
      </c>
      <c r="C680" s="2" t="s">
        <v>818</v>
      </c>
      <c r="D680" s="2" t="s">
        <v>853</v>
      </c>
    </row>
    <row r="681">
      <c r="A681" s="8">
        <v>46183.07151835648</v>
      </c>
      <c r="B681" s="2" t="s">
        <v>798</v>
      </c>
      <c r="C681" s="2" t="s">
        <v>830</v>
      </c>
      <c r="D681" s="2" t="s">
        <v>831</v>
      </c>
    </row>
    <row r="682">
      <c r="A682" s="8">
        <v>46183.07152111111</v>
      </c>
      <c r="B682" s="2" t="s">
        <v>832</v>
      </c>
      <c r="D682" s="2" t="s">
        <v>935</v>
      </c>
    </row>
    <row r="683">
      <c r="A683" s="8">
        <v>46183.07158991898</v>
      </c>
      <c r="B683" s="2" t="s">
        <v>840</v>
      </c>
      <c r="C683" s="2" t="s">
        <v>549</v>
      </c>
      <c r="D683" s="2" t="s">
        <v>913</v>
      </c>
    </row>
    <row r="684">
      <c r="A684" s="8">
        <v>46183.07159310185</v>
      </c>
      <c r="B684" s="2" t="s">
        <v>840</v>
      </c>
      <c r="C684" s="2" t="s">
        <v>554</v>
      </c>
      <c r="D684" s="2" t="s">
        <v>914</v>
      </c>
    </row>
    <row r="685">
      <c r="A685" s="8">
        <v>46183.071596064816</v>
      </c>
      <c r="B685" s="2" t="s">
        <v>840</v>
      </c>
      <c r="C685" s="2" t="s">
        <v>569</v>
      </c>
      <c r="D685" s="2" t="s">
        <v>918</v>
      </c>
    </row>
    <row r="686">
      <c r="A686" s="8">
        <v>46183.07160401621</v>
      </c>
      <c r="B686" s="2" t="s">
        <v>844</v>
      </c>
      <c r="C686" s="2" t="s">
        <v>938</v>
      </c>
      <c r="D686" s="2" t="s">
        <v>945</v>
      </c>
    </row>
    <row r="687">
      <c r="A687" s="8">
        <v>46183.07160921296</v>
      </c>
      <c r="B687" s="2" t="s">
        <v>840</v>
      </c>
      <c r="C687" s="2" t="s">
        <v>773</v>
      </c>
      <c r="D687" s="2" t="s">
        <v>930</v>
      </c>
    </row>
    <row r="688">
      <c r="A688" s="8">
        <v>46183.07162825231</v>
      </c>
      <c r="B688" s="2" t="s">
        <v>840</v>
      </c>
      <c r="C688" s="2" t="s">
        <v>783</v>
      </c>
      <c r="D688" s="2" t="s">
        <v>931</v>
      </c>
    </row>
    <row r="689">
      <c r="A689" s="8">
        <v>46183.07163136574</v>
      </c>
      <c r="B689" s="2" t="s">
        <v>894</v>
      </c>
      <c r="D689" s="2" t="s">
        <v>943</v>
      </c>
    </row>
    <row r="690">
      <c r="A690" s="8">
        <v>46183.1131112963</v>
      </c>
      <c r="B690" s="2" t="s">
        <v>798</v>
      </c>
      <c r="C690" s="2" t="s">
        <v>799</v>
      </c>
      <c r="D690" s="2" t="s">
        <v>800</v>
      </c>
    </row>
    <row r="691">
      <c r="A691" s="8">
        <v>46183.11311542824</v>
      </c>
      <c r="B691" s="2" t="s">
        <v>838</v>
      </c>
      <c r="C691" s="2" t="s">
        <v>802</v>
      </c>
      <c r="D691" s="2" t="s">
        <v>839</v>
      </c>
    </row>
    <row r="692">
      <c r="A692" s="8">
        <v>46183.11312358796</v>
      </c>
      <c r="B692" s="2" t="s">
        <v>834</v>
      </c>
      <c r="C692" s="2" t="s">
        <v>842</v>
      </c>
      <c r="D692" s="2" t="s">
        <v>843</v>
      </c>
    </row>
    <row r="693">
      <c r="A693" s="8">
        <v>46183.113132453705</v>
      </c>
      <c r="B693" s="2" t="s">
        <v>834</v>
      </c>
      <c r="C693" s="2" t="s">
        <v>846</v>
      </c>
      <c r="D693" s="2" t="s">
        <v>847</v>
      </c>
    </row>
    <row r="694">
      <c r="A694" s="8">
        <v>46183.113135381944</v>
      </c>
      <c r="B694" s="2" t="s">
        <v>834</v>
      </c>
      <c r="C694" s="2" t="s">
        <v>806</v>
      </c>
      <c r="D694" s="2" t="s">
        <v>861</v>
      </c>
    </row>
    <row r="695">
      <c r="A695" s="8">
        <v>46183.11313864583</v>
      </c>
      <c r="B695" s="2" t="s">
        <v>840</v>
      </c>
      <c r="C695" s="2" t="s">
        <v>810</v>
      </c>
      <c r="D695" s="2" t="s">
        <v>851</v>
      </c>
    </row>
    <row r="696">
      <c r="A696" s="8">
        <v>46183.11314210648</v>
      </c>
      <c r="B696" s="2" t="s">
        <v>798</v>
      </c>
      <c r="C696" s="2" t="s">
        <v>812</v>
      </c>
      <c r="D696" s="2" t="s">
        <v>813</v>
      </c>
    </row>
    <row r="697">
      <c r="A697" s="8">
        <v>46183.11314534722</v>
      </c>
      <c r="B697" s="2" t="s">
        <v>840</v>
      </c>
      <c r="C697" s="2" t="s">
        <v>814</v>
      </c>
      <c r="D697" s="2" t="s">
        <v>852</v>
      </c>
    </row>
    <row r="698">
      <c r="A698" s="8">
        <v>46183.113148715274</v>
      </c>
      <c r="B698" s="2" t="s">
        <v>838</v>
      </c>
      <c r="C698" s="2" t="s">
        <v>818</v>
      </c>
      <c r="D698" s="2" t="s">
        <v>853</v>
      </c>
    </row>
    <row r="699">
      <c r="A699" s="8">
        <v>46183.113151956015</v>
      </c>
      <c r="B699" s="2" t="s">
        <v>798</v>
      </c>
      <c r="C699" s="2" t="s">
        <v>830</v>
      </c>
      <c r="D699" s="2" t="s">
        <v>831</v>
      </c>
    </row>
    <row r="700">
      <c r="A700" s="8">
        <v>46183.11315521991</v>
      </c>
      <c r="B700" s="2" t="s">
        <v>832</v>
      </c>
      <c r="D700" s="2" t="s">
        <v>935</v>
      </c>
    </row>
    <row r="701">
      <c r="A701" s="8">
        <v>46183.11321616898</v>
      </c>
      <c r="B701" s="2" t="s">
        <v>840</v>
      </c>
      <c r="C701" s="2" t="s">
        <v>549</v>
      </c>
      <c r="D701" s="2" t="s">
        <v>913</v>
      </c>
    </row>
    <row r="702">
      <c r="A702" s="8">
        <v>46183.11321928241</v>
      </c>
      <c r="B702" s="2" t="s">
        <v>840</v>
      </c>
      <c r="C702" s="2" t="s">
        <v>554</v>
      </c>
      <c r="D702" s="2" t="s">
        <v>914</v>
      </c>
    </row>
    <row r="703">
      <c r="A703" s="8">
        <v>46183.113222071755</v>
      </c>
      <c r="B703" s="2" t="s">
        <v>840</v>
      </c>
      <c r="C703" s="2" t="s">
        <v>569</v>
      </c>
      <c r="D703" s="2" t="s">
        <v>918</v>
      </c>
    </row>
    <row r="704">
      <c r="A704" s="8">
        <v>46183.11322457176</v>
      </c>
      <c r="B704" s="2" t="s">
        <v>840</v>
      </c>
      <c r="C704" s="2" t="s">
        <v>773</v>
      </c>
      <c r="D704" s="2" t="s">
        <v>930</v>
      </c>
    </row>
    <row r="705">
      <c r="A705" s="8">
        <v>46183.11322778935</v>
      </c>
      <c r="B705" s="2" t="s">
        <v>840</v>
      </c>
      <c r="C705" s="2" t="s">
        <v>783</v>
      </c>
      <c r="D705" s="2" t="s">
        <v>931</v>
      </c>
    </row>
    <row r="706">
      <c r="A706" s="8">
        <v>46183.11323296296</v>
      </c>
      <c r="B706" s="2" t="s">
        <v>894</v>
      </c>
      <c r="D706" s="2" t="s">
        <v>944</v>
      </c>
    </row>
    <row r="707">
      <c r="A707" s="8">
        <v>46183.19646085648</v>
      </c>
      <c r="B707" s="2" t="s">
        <v>798</v>
      </c>
      <c r="C707" s="2" t="s">
        <v>799</v>
      </c>
      <c r="D707" s="2" t="s">
        <v>800</v>
      </c>
    </row>
    <row r="708">
      <c r="A708" s="8">
        <v>46183.19646464121</v>
      </c>
      <c r="B708" s="2" t="s">
        <v>838</v>
      </c>
      <c r="C708" s="2" t="s">
        <v>802</v>
      </c>
      <c r="D708" s="2" t="s">
        <v>839</v>
      </c>
    </row>
    <row r="709">
      <c r="A709" s="8">
        <v>46183.19648295139</v>
      </c>
      <c r="B709" s="2" t="s">
        <v>834</v>
      </c>
      <c r="C709" s="2" t="s">
        <v>842</v>
      </c>
      <c r="D709" s="2" t="s">
        <v>843</v>
      </c>
    </row>
    <row r="710">
      <c r="A710" s="8">
        <v>46183.196488483794</v>
      </c>
      <c r="B710" s="2" t="s">
        <v>834</v>
      </c>
      <c r="C710" s="2" t="s">
        <v>846</v>
      </c>
      <c r="D710" s="2" t="s">
        <v>847</v>
      </c>
    </row>
    <row r="711">
      <c r="A711" s="8">
        <v>46183.19649103009</v>
      </c>
      <c r="B711" s="2" t="s">
        <v>834</v>
      </c>
      <c r="C711" s="2" t="s">
        <v>806</v>
      </c>
      <c r="D711" s="2" t="s">
        <v>861</v>
      </c>
    </row>
    <row r="712">
      <c r="A712" s="8">
        <v>46183.1964934375</v>
      </c>
      <c r="B712" s="2" t="s">
        <v>840</v>
      </c>
      <c r="C712" s="2" t="s">
        <v>810</v>
      </c>
      <c r="D712" s="2" t="s">
        <v>851</v>
      </c>
    </row>
    <row r="713">
      <c r="A713" s="8">
        <v>46183.19649640046</v>
      </c>
      <c r="B713" s="2" t="s">
        <v>798</v>
      </c>
      <c r="C713" s="2" t="s">
        <v>812</v>
      </c>
      <c r="D713" s="2" t="s">
        <v>813</v>
      </c>
    </row>
    <row r="714">
      <c r="A714" s="8">
        <v>46183.19649880787</v>
      </c>
      <c r="B714" s="2" t="s">
        <v>840</v>
      </c>
      <c r="C714" s="2" t="s">
        <v>814</v>
      </c>
      <c r="D714" s="2" t="s">
        <v>852</v>
      </c>
    </row>
    <row r="715">
      <c r="A715" s="8">
        <v>46183.196501122686</v>
      </c>
      <c r="B715" s="2" t="s">
        <v>838</v>
      </c>
      <c r="C715" s="2" t="s">
        <v>818</v>
      </c>
      <c r="D715" s="2" t="s">
        <v>853</v>
      </c>
    </row>
    <row r="716">
      <c r="A716" s="8">
        <v>46183.19650351852</v>
      </c>
      <c r="B716" s="2" t="s">
        <v>798</v>
      </c>
      <c r="C716" s="2" t="s">
        <v>830</v>
      </c>
      <c r="D716" s="2" t="s">
        <v>831</v>
      </c>
    </row>
    <row r="717">
      <c r="A717" s="8">
        <v>46183.1965058912</v>
      </c>
      <c r="B717" s="2" t="s">
        <v>832</v>
      </c>
      <c r="D717" s="2" t="s">
        <v>935</v>
      </c>
    </row>
    <row r="718">
      <c r="A718" s="8">
        <v>46183.19659344907</v>
      </c>
      <c r="B718" s="2" t="s">
        <v>840</v>
      </c>
      <c r="C718" s="2" t="s">
        <v>549</v>
      </c>
      <c r="D718" s="2" t="s">
        <v>946</v>
      </c>
    </row>
    <row r="719">
      <c r="A719" s="8">
        <v>46183.19659619213</v>
      </c>
      <c r="B719" s="2" t="s">
        <v>840</v>
      </c>
      <c r="C719" s="2" t="s">
        <v>554</v>
      </c>
      <c r="D719" s="2" t="s">
        <v>914</v>
      </c>
    </row>
    <row r="720">
      <c r="A720" s="8">
        <v>46183.196598622686</v>
      </c>
      <c r="B720" s="2" t="s">
        <v>840</v>
      </c>
      <c r="C720" s="2" t="s">
        <v>569</v>
      </c>
      <c r="D720" s="2" t="s">
        <v>918</v>
      </c>
    </row>
    <row r="721">
      <c r="A721" s="8">
        <v>46183.19660116898</v>
      </c>
      <c r="B721" s="2" t="s">
        <v>840</v>
      </c>
      <c r="C721" s="2" t="s">
        <v>773</v>
      </c>
      <c r="D721" s="2" t="s">
        <v>930</v>
      </c>
    </row>
    <row r="722">
      <c r="A722" s="8">
        <v>46183.19660347222</v>
      </c>
      <c r="B722" s="2" t="s">
        <v>840</v>
      </c>
      <c r="C722" s="2" t="s">
        <v>783</v>
      </c>
      <c r="D722" s="2" t="s">
        <v>931</v>
      </c>
    </row>
    <row r="723">
      <c r="A723" s="8">
        <v>46183.196605833335</v>
      </c>
      <c r="B723" s="2" t="s">
        <v>894</v>
      </c>
      <c r="D723" s="2" t="s">
        <v>944</v>
      </c>
    </row>
    <row r="724">
      <c r="A724" s="8">
        <v>46183.23811800926</v>
      </c>
      <c r="B724" s="2" t="s">
        <v>798</v>
      </c>
      <c r="C724" s="2" t="s">
        <v>799</v>
      </c>
      <c r="D724" s="2" t="s">
        <v>800</v>
      </c>
    </row>
    <row r="725">
      <c r="A725" s="8">
        <v>46183.2381219213</v>
      </c>
      <c r="B725" s="2" t="s">
        <v>838</v>
      </c>
      <c r="C725" s="2" t="s">
        <v>802</v>
      </c>
      <c r="D725" s="2" t="s">
        <v>839</v>
      </c>
    </row>
    <row r="726">
      <c r="A726" s="8">
        <v>46183.23812608796</v>
      </c>
      <c r="B726" s="2" t="s">
        <v>834</v>
      </c>
      <c r="C726" s="2" t="s">
        <v>842</v>
      </c>
      <c r="D726" s="2" t="s">
        <v>843</v>
      </c>
    </row>
    <row r="727">
      <c r="A727" s="8">
        <v>46183.23814890046</v>
      </c>
      <c r="B727" s="2" t="s">
        <v>834</v>
      </c>
      <c r="C727" s="2" t="s">
        <v>846</v>
      </c>
      <c r="D727" s="2" t="s">
        <v>847</v>
      </c>
    </row>
    <row r="728">
      <c r="A728" s="8">
        <v>46183.23815208333</v>
      </c>
      <c r="B728" s="2" t="s">
        <v>834</v>
      </c>
      <c r="C728" s="2" t="s">
        <v>806</v>
      </c>
      <c r="D728" s="2" t="s">
        <v>861</v>
      </c>
    </row>
    <row r="729">
      <c r="A729" s="8">
        <v>46183.238155266205</v>
      </c>
      <c r="B729" s="2" t="s">
        <v>840</v>
      </c>
      <c r="C729" s="2" t="s">
        <v>810</v>
      </c>
      <c r="D729" s="2" t="s">
        <v>851</v>
      </c>
    </row>
    <row r="730">
      <c r="A730" s="8">
        <v>46183.23815883102</v>
      </c>
      <c r="B730" s="2" t="s">
        <v>798</v>
      </c>
      <c r="C730" s="2" t="s">
        <v>812</v>
      </c>
      <c r="D730" s="2" t="s">
        <v>813</v>
      </c>
    </row>
    <row r="731">
      <c r="A731" s="8">
        <v>46183.23816201389</v>
      </c>
      <c r="B731" s="2" t="s">
        <v>840</v>
      </c>
      <c r="C731" s="2" t="s">
        <v>814</v>
      </c>
      <c r="D731" s="2" t="s">
        <v>852</v>
      </c>
    </row>
    <row r="732">
      <c r="A732" s="8">
        <v>46183.23816538195</v>
      </c>
      <c r="B732" s="2" t="s">
        <v>838</v>
      </c>
      <c r="C732" s="2" t="s">
        <v>818</v>
      </c>
      <c r="D732" s="2" t="s">
        <v>853</v>
      </c>
    </row>
    <row r="733">
      <c r="A733" s="8">
        <v>46183.23817258102</v>
      </c>
      <c r="B733" s="2" t="s">
        <v>798</v>
      </c>
      <c r="C733" s="2" t="s">
        <v>830</v>
      </c>
      <c r="D733" s="2" t="s">
        <v>831</v>
      </c>
    </row>
    <row r="734">
      <c r="A734" s="8">
        <v>46183.23817591435</v>
      </c>
      <c r="B734" s="2" t="s">
        <v>832</v>
      </c>
      <c r="D734" s="2" t="s">
        <v>935</v>
      </c>
    </row>
    <row r="735">
      <c r="A735" s="8">
        <v>46183.238241203704</v>
      </c>
      <c r="B735" s="2" t="s">
        <v>840</v>
      </c>
      <c r="C735" s="2" t="s">
        <v>549</v>
      </c>
      <c r="D735" s="2" t="s">
        <v>946</v>
      </c>
    </row>
    <row r="736">
      <c r="A736" s="8">
        <v>46183.238244305554</v>
      </c>
      <c r="B736" s="2" t="s">
        <v>840</v>
      </c>
      <c r="C736" s="2" t="s">
        <v>554</v>
      </c>
      <c r="D736" s="2" t="s">
        <v>914</v>
      </c>
    </row>
    <row r="737">
      <c r="A737" s="8">
        <v>46183.23824791667</v>
      </c>
      <c r="B737" s="2" t="s">
        <v>840</v>
      </c>
      <c r="C737" s="2" t="s">
        <v>569</v>
      </c>
      <c r="D737" s="2" t="s">
        <v>918</v>
      </c>
    </row>
    <row r="738">
      <c r="A738" s="8">
        <v>46183.23825329861</v>
      </c>
      <c r="B738" s="2" t="s">
        <v>840</v>
      </c>
      <c r="C738" s="2" t="s">
        <v>773</v>
      </c>
      <c r="D738" s="2" t="s">
        <v>930</v>
      </c>
    </row>
    <row r="739">
      <c r="A739" s="8">
        <v>46183.23825658565</v>
      </c>
      <c r="B739" s="2" t="s">
        <v>840</v>
      </c>
      <c r="C739" s="2" t="s">
        <v>783</v>
      </c>
      <c r="D739" s="2" t="s">
        <v>931</v>
      </c>
    </row>
    <row r="740">
      <c r="A740" s="8">
        <v>46183.23826041666</v>
      </c>
      <c r="B740" s="2" t="s">
        <v>894</v>
      </c>
      <c r="D740" s="2" t="s">
        <v>944</v>
      </c>
    </row>
    <row r="741">
      <c r="A741" s="8">
        <v>46183.279785833336</v>
      </c>
      <c r="B741" s="2" t="s">
        <v>798</v>
      </c>
      <c r="C741" s="2" t="s">
        <v>799</v>
      </c>
      <c r="D741" s="2" t="s">
        <v>800</v>
      </c>
    </row>
    <row r="742">
      <c r="A742" s="8">
        <v>46183.27979039351</v>
      </c>
      <c r="B742" s="2" t="s">
        <v>838</v>
      </c>
      <c r="C742" s="2" t="s">
        <v>802</v>
      </c>
      <c r="D742" s="2" t="s">
        <v>839</v>
      </c>
    </row>
    <row r="743">
      <c r="A743" s="8">
        <v>46183.27979744213</v>
      </c>
      <c r="B743" s="2" t="s">
        <v>834</v>
      </c>
      <c r="C743" s="2" t="s">
        <v>842</v>
      </c>
      <c r="D743" s="2" t="s">
        <v>843</v>
      </c>
    </row>
    <row r="744">
      <c r="A744" s="8">
        <v>46183.27981900463</v>
      </c>
      <c r="B744" s="2" t="s">
        <v>834</v>
      </c>
      <c r="C744" s="2" t="s">
        <v>846</v>
      </c>
      <c r="D744" s="2" t="s">
        <v>847</v>
      </c>
    </row>
    <row r="745">
      <c r="A745" s="8">
        <v>46183.279822881945</v>
      </c>
      <c r="B745" s="2" t="s">
        <v>834</v>
      </c>
      <c r="C745" s="2" t="s">
        <v>806</v>
      </c>
      <c r="D745" s="2" t="s">
        <v>861</v>
      </c>
    </row>
    <row r="746">
      <c r="A746" s="8">
        <v>46183.27982762731</v>
      </c>
      <c r="B746" s="2" t="s">
        <v>840</v>
      </c>
      <c r="C746" s="2" t="s">
        <v>810</v>
      </c>
      <c r="D746" s="2" t="s">
        <v>851</v>
      </c>
    </row>
    <row r="747">
      <c r="A747" s="8">
        <v>46183.279831458334</v>
      </c>
      <c r="B747" s="2" t="s">
        <v>798</v>
      </c>
      <c r="C747" s="2" t="s">
        <v>812</v>
      </c>
      <c r="D747" s="2" t="s">
        <v>813</v>
      </c>
    </row>
    <row r="748">
      <c r="A748" s="8">
        <v>46183.27983572916</v>
      </c>
      <c r="B748" s="2" t="s">
        <v>840</v>
      </c>
      <c r="C748" s="2" t="s">
        <v>814</v>
      </c>
      <c r="D748" s="2" t="s">
        <v>852</v>
      </c>
    </row>
    <row r="749">
      <c r="A749" s="8">
        <v>46183.27983893518</v>
      </c>
      <c r="B749" s="2" t="s">
        <v>838</v>
      </c>
      <c r="C749" s="2" t="s">
        <v>818</v>
      </c>
      <c r="D749" s="2" t="s">
        <v>853</v>
      </c>
    </row>
    <row r="750">
      <c r="A750" s="8">
        <v>46183.279843819444</v>
      </c>
      <c r="B750" s="2" t="s">
        <v>798</v>
      </c>
      <c r="C750" s="2" t="s">
        <v>830</v>
      </c>
      <c r="D750" s="2" t="s">
        <v>831</v>
      </c>
    </row>
    <row r="751">
      <c r="A751" s="8">
        <v>46183.27984819445</v>
      </c>
      <c r="B751" s="2" t="s">
        <v>832</v>
      </c>
      <c r="D751" s="2" t="s">
        <v>935</v>
      </c>
    </row>
    <row r="752">
      <c r="A752" s="8">
        <v>46183.27993978009</v>
      </c>
      <c r="B752" s="2" t="s">
        <v>840</v>
      </c>
      <c r="C752" s="2" t="s">
        <v>549</v>
      </c>
      <c r="D752" s="2" t="s">
        <v>946</v>
      </c>
    </row>
    <row r="753">
      <c r="A753" s="8">
        <v>46183.27994424768</v>
      </c>
      <c r="B753" s="2" t="s">
        <v>840</v>
      </c>
      <c r="C753" s="2" t="s">
        <v>554</v>
      </c>
      <c r="D753" s="2" t="s">
        <v>914</v>
      </c>
    </row>
    <row r="754">
      <c r="A754" s="8">
        <v>46183.279948888885</v>
      </c>
      <c r="B754" s="2" t="s">
        <v>840</v>
      </c>
      <c r="C754" s="2" t="s">
        <v>569</v>
      </c>
      <c r="D754" s="2" t="s">
        <v>918</v>
      </c>
    </row>
    <row r="755">
      <c r="A755" s="8">
        <v>46183.27995306713</v>
      </c>
      <c r="B755" s="2" t="s">
        <v>840</v>
      </c>
      <c r="C755" s="2" t="s">
        <v>773</v>
      </c>
      <c r="D755" s="2" t="s">
        <v>930</v>
      </c>
    </row>
    <row r="756">
      <c r="A756" s="8">
        <v>46183.279962789355</v>
      </c>
      <c r="B756" s="2" t="s">
        <v>840</v>
      </c>
      <c r="C756" s="2" t="s">
        <v>783</v>
      </c>
      <c r="D756" s="2" t="s">
        <v>931</v>
      </c>
    </row>
    <row r="757">
      <c r="A757" s="8">
        <v>46183.27996623843</v>
      </c>
      <c r="B757" s="2" t="s">
        <v>894</v>
      </c>
      <c r="D757" s="2" t="s">
        <v>944</v>
      </c>
    </row>
    <row r="758">
      <c r="A758" s="8">
        <v>46183.321453819444</v>
      </c>
      <c r="B758" s="2" t="s">
        <v>844</v>
      </c>
      <c r="C758" s="2" t="s">
        <v>792</v>
      </c>
      <c r="D758" s="2" t="s">
        <v>860</v>
      </c>
    </row>
    <row r="759">
      <c r="A759" s="8">
        <v>46183.321465127316</v>
      </c>
      <c r="B759" s="2" t="s">
        <v>844</v>
      </c>
      <c r="C759" s="2" t="s">
        <v>796</v>
      </c>
      <c r="D759" s="2" t="s">
        <v>860</v>
      </c>
    </row>
    <row r="760">
      <c r="A760" s="8">
        <v>46183.321486782406</v>
      </c>
      <c r="B760" s="2" t="s">
        <v>844</v>
      </c>
      <c r="C760" s="2" t="s">
        <v>836</v>
      </c>
      <c r="D760" s="2" t="s">
        <v>860</v>
      </c>
    </row>
    <row r="761">
      <c r="A761" s="8">
        <v>46183.32149173611</v>
      </c>
      <c r="B761" s="2" t="s">
        <v>798</v>
      </c>
      <c r="C761" s="2" t="s">
        <v>799</v>
      </c>
      <c r="D761" s="2" t="s">
        <v>800</v>
      </c>
    </row>
    <row r="762">
      <c r="A762" s="8">
        <v>46183.32149462963</v>
      </c>
      <c r="B762" s="2" t="s">
        <v>838</v>
      </c>
      <c r="C762" s="2" t="s">
        <v>802</v>
      </c>
      <c r="D762" s="2" t="s">
        <v>839</v>
      </c>
    </row>
    <row r="763">
      <c r="A763" s="8">
        <v>46183.321497743054</v>
      </c>
      <c r="B763" s="2" t="s">
        <v>834</v>
      </c>
      <c r="C763" s="2" t="s">
        <v>842</v>
      </c>
      <c r="D763" s="2" t="s">
        <v>843</v>
      </c>
    </row>
    <row r="764">
      <c r="A764" s="8">
        <v>46183.32150103009</v>
      </c>
      <c r="B764" s="2" t="s">
        <v>834</v>
      </c>
      <c r="C764" s="2" t="s">
        <v>846</v>
      </c>
      <c r="D764" s="2" t="s">
        <v>847</v>
      </c>
    </row>
    <row r="765">
      <c r="A765" s="8">
        <v>46183.32151260416</v>
      </c>
      <c r="B765" s="2" t="s">
        <v>844</v>
      </c>
      <c r="C765" s="2" t="s">
        <v>848</v>
      </c>
      <c r="D765" s="2" t="s">
        <v>947</v>
      </c>
    </row>
    <row r="766">
      <c r="A766" s="8">
        <v>46183.32151818287</v>
      </c>
      <c r="B766" s="2" t="s">
        <v>834</v>
      </c>
      <c r="C766" s="2" t="s">
        <v>806</v>
      </c>
      <c r="D766" s="2" t="s">
        <v>861</v>
      </c>
    </row>
    <row r="767">
      <c r="A767" s="8">
        <v>46183.321527858796</v>
      </c>
      <c r="B767" s="2" t="s">
        <v>844</v>
      </c>
      <c r="C767" s="2" t="s">
        <v>806</v>
      </c>
      <c r="D767" s="2" t="s">
        <v>845</v>
      </c>
    </row>
    <row r="768">
      <c r="A768" s="8">
        <v>46183.32153917824</v>
      </c>
      <c r="B768" s="2" t="s">
        <v>844</v>
      </c>
      <c r="C768" s="2" t="s">
        <v>808</v>
      </c>
      <c r="D768" s="2" t="s">
        <v>947</v>
      </c>
    </row>
    <row r="769">
      <c r="A769" s="8">
        <v>46183.32154496528</v>
      </c>
      <c r="B769" s="2" t="s">
        <v>798</v>
      </c>
      <c r="C769" s="2" t="s">
        <v>812</v>
      </c>
      <c r="D769" s="2" t="s">
        <v>813</v>
      </c>
    </row>
    <row r="770">
      <c r="A770" s="8">
        <v>46183.32155439815</v>
      </c>
      <c r="B770" s="2" t="s">
        <v>844</v>
      </c>
      <c r="C770" s="2" t="s">
        <v>814</v>
      </c>
      <c r="D770" s="2" t="s">
        <v>948</v>
      </c>
    </row>
    <row r="771">
      <c r="A771" s="8">
        <v>46183.32156009259</v>
      </c>
      <c r="B771" s="2" t="s">
        <v>838</v>
      </c>
      <c r="C771" s="2" t="s">
        <v>818</v>
      </c>
      <c r="D771" s="2" t="s">
        <v>853</v>
      </c>
    </row>
    <row r="772">
      <c r="A772" s="8">
        <v>46183.32156798611</v>
      </c>
      <c r="B772" s="2" t="s">
        <v>840</v>
      </c>
      <c r="C772" s="2" t="s">
        <v>820</v>
      </c>
      <c r="D772" s="2" t="s">
        <v>949</v>
      </c>
    </row>
    <row r="773">
      <c r="A773" s="8">
        <v>46183.32159369213</v>
      </c>
      <c r="B773" s="2" t="s">
        <v>844</v>
      </c>
      <c r="C773" s="2" t="s">
        <v>822</v>
      </c>
      <c r="D773" s="2" t="s">
        <v>950</v>
      </c>
    </row>
    <row r="774">
      <c r="A774" s="8">
        <v>46183.321604004625</v>
      </c>
      <c r="B774" s="2" t="s">
        <v>844</v>
      </c>
      <c r="C774" s="2" t="s">
        <v>824</v>
      </c>
      <c r="D774" s="2" t="s">
        <v>951</v>
      </c>
    </row>
    <row r="775">
      <c r="A775" s="8">
        <v>46183.32161543981</v>
      </c>
      <c r="B775" s="2" t="s">
        <v>844</v>
      </c>
      <c r="C775" s="2" t="s">
        <v>826</v>
      </c>
      <c r="D775" s="2" t="s">
        <v>952</v>
      </c>
    </row>
    <row r="776">
      <c r="A776" s="8">
        <v>46183.321621435185</v>
      </c>
      <c r="B776" s="2" t="s">
        <v>798</v>
      </c>
      <c r="C776" s="2" t="s">
        <v>830</v>
      </c>
      <c r="D776" s="2" t="s">
        <v>831</v>
      </c>
    </row>
    <row r="777">
      <c r="A777" s="8">
        <v>46183.321624930555</v>
      </c>
      <c r="B777" s="2" t="s">
        <v>832</v>
      </c>
      <c r="D777" s="2" t="s">
        <v>953</v>
      </c>
    </row>
    <row r="778">
      <c r="A778" s="8">
        <v>46183.3216990625</v>
      </c>
      <c r="B778" s="2" t="s">
        <v>844</v>
      </c>
      <c r="C778" s="2" t="s">
        <v>509</v>
      </c>
      <c r="D778" s="2" t="s">
        <v>919</v>
      </c>
    </row>
    <row r="779">
      <c r="A779" s="8">
        <v>46183.32171071759</v>
      </c>
      <c r="B779" s="2" t="s">
        <v>844</v>
      </c>
      <c r="C779" s="2" t="s">
        <v>519</v>
      </c>
      <c r="D779" s="2" t="s">
        <v>954</v>
      </c>
    </row>
    <row r="780">
      <c r="A780" s="8">
        <v>46183.321723125</v>
      </c>
      <c r="B780" s="2" t="s">
        <v>844</v>
      </c>
      <c r="C780" s="2" t="s">
        <v>909</v>
      </c>
      <c r="D780" s="2" t="s">
        <v>910</v>
      </c>
    </row>
    <row r="781">
      <c r="A781" s="8">
        <v>46183.321734756944</v>
      </c>
      <c r="B781" s="2" t="s">
        <v>844</v>
      </c>
      <c r="C781" s="2" t="s">
        <v>529</v>
      </c>
      <c r="D781" s="2" t="s">
        <v>955</v>
      </c>
    </row>
    <row r="782">
      <c r="A782" s="8">
        <v>46183.32174119213</v>
      </c>
      <c r="B782" s="2" t="s">
        <v>840</v>
      </c>
      <c r="C782" s="2" t="s">
        <v>539</v>
      </c>
      <c r="D782" s="2" t="s">
        <v>956</v>
      </c>
    </row>
    <row r="783">
      <c r="A783" s="8">
        <v>46183.3217550463</v>
      </c>
      <c r="B783" s="2" t="s">
        <v>840</v>
      </c>
      <c r="C783" s="2" t="s">
        <v>549</v>
      </c>
      <c r="D783" s="2" t="s">
        <v>957</v>
      </c>
    </row>
    <row r="784">
      <c r="A784" s="8">
        <v>46183.32175815973</v>
      </c>
      <c r="B784" s="2" t="s">
        <v>840</v>
      </c>
      <c r="C784" s="2" t="s">
        <v>564</v>
      </c>
      <c r="D784" s="2" t="s">
        <v>958</v>
      </c>
    </row>
    <row r="785">
      <c r="A785" s="8">
        <v>46183.32176277778</v>
      </c>
      <c r="B785" s="2" t="s">
        <v>840</v>
      </c>
      <c r="C785" s="2" t="s">
        <v>916</v>
      </c>
      <c r="D785" s="2" t="s">
        <v>958</v>
      </c>
    </row>
    <row r="786">
      <c r="A786" s="8">
        <v>46183.32177134259</v>
      </c>
      <c r="B786" s="2" t="s">
        <v>844</v>
      </c>
      <c r="C786" s="2" t="s">
        <v>569</v>
      </c>
      <c r="D786" s="2" t="s">
        <v>959</v>
      </c>
    </row>
    <row r="787">
      <c r="A787" s="8">
        <v>46183.32178222222</v>
      </c>
      <c r="B787" s="2" t="s">
        <v>844</v>
      </c>
      <c r="C787" s="2" t="s">
        <v>607</v>
      </c>
      <c r="D787" s="2" t="s">
        <v>921</v>
      </c>
    </row>
    <row r="788">
      <c r="A788" s="8">
        <v>46183.32178752315</v>
      </c>
      <c r="B788" s="2" t="s">
        <v>840</v>
      </c>
      <c r="C788" s="2" t="s">
        <v>773</v>
      </c>
      <c r="D788" s="2" t="s">
        <v>930</v>
      </c>
    </row>
    <row r="789">
      <c r="A789" s="8">
        <v>46183.321790381946</v>
      </c>
      <c r="B789" s="2" t="s">
        <v>840</v>
      </c>
      <c r="C789" s="2" t="s">
        <v>783</v>
      </c>
      <c r="D789" s="2" t="s">
        <v>931</v>
      </c>
    </row>
    <row r="790">
      <c r="A790" s="8">
        <v>46183.321795428245</v>
      </c>
      <c r="B790" s="2" t="s">
        <v>894</v>
      </c>
      <c r="D790" s="2" t="s">
        <v>960</v>
      </c>
    </row>
    <row r="791">
      <c r="A791" s="8">
        <v>46183.36311515047</v>
      </c>
      <c r="B791" s="2" t="s">
        <v>798</v>
      </c>
      <c r="C791" s="2" t="s">
        <v>799</v>
      </c>
      <c r="D791" s="2" t="s">
        <v>800</v>
      </c>
    </row>
    <row r="792">
      <c r="A792" s="8">
        <v>46183.36311928241</v>
      </c>
      <c r="B792" s="2" t="s">
        <v>838</v>
      </c>
      <c r="C792" s="2" t="s">
        <v>802</v>
      </c>
      <c r="D792" s="2" t="s">
        <v>839</v>
      </c>
    </row>
    <row r="793">
      <c r="A793" s="8">
        <v>46183.36312253472</v>
      </c>
      <c r="B793" s="2" t="s">
        <v>834</v>
      </c>
      <c r="C793" s="2" t="s">
        <v>842</v>
      </c>
      <c r="D793" s="2" t="s">
        <v>843</v>
      </c>
    </row>
    <row r="794">
      <c r="A794" s="8">
        <v>46183.36312489583</v>
      </c>
      <c r="B794" s="2" t="s">
        <v>834</v>
      </c>
      <c r="C794" s="2" t="s">
        <v>846</v>
      </c>
      <c r="D794" s="2" t="s">
        <v>847</v>
      </c>
    </row>
    <row r="795">
      <c r="A795" s="8">
        <v>46183.363138773144</v>
      </c>
      <c r="B795" s="2" t="s">
        <v>834</v>
      </c>
      <c r="C795" s="2" t="s">
        <v>806</v>
      </c>
      <c r="D795" s="2" t="s">
        <v>861</v>
      </c>
    </row>
    <row r="796">
      <c r="A796" s="8">
        <v>46183.36314690972</v>
      </c>
      <c r="B796" s="2" t="s">
        <v>798</v>
      </c>
      <c r="C796" s="2" t="s">
        <v>812</v>
      </c>
      <c r="D796" s="2" t="s">
        <v>813</v>
      </c>
    </row>
    <row r="797">
      <c r="A797" s="8">
        <v>46183.36314934028</v>
      </c>
      <c r="B797" s="2" t="s">
        <v>838</v>
      </c>
      <c r="C797" s="2" t="s">
        <v>818</v>
      </c>
      <c r="D797" s="2" t="s">
        <v>853</v>
      </c>
    </row>
    <row r="798">
      <c r="A798" s="8">
        <v>46183.36315493056</v>
      </c>
      <c r="B798" s="2" t="s">
        <v>840</v>
      </c>
      <c r="C798" s="2" t="s">
        <v>820</v>
      </c>
      <c r="D798" s="2" t="s">
        <v>949</v>
      </c>
    </row>
    <row r="799">
      <c r="A799" s="8">
        <v>46183.36316474537</v>
      </c>
      <c r="B799" s="2" t="s">
        <v>798</v>
      </c>
      <c r="C799" s="2" t="s">
        <v>830</v>
      </c>
      <c r="D799" s="2" t="s">
        <v>831</v>
      </c>
    </row>
    <row r="800">
      <c r="A800" s="8">
        <v>46183.3631678588</v>
      </c>
      <c r="B800" s="2" t="s">
        <v>832</v>
      </c>
      <c r="D800" s="2" t="s">
        <v>961</v>
      </c>
    </row>
    <row r="801">
      <c r="A801" s="8">
        <v>46183.36324186342</v>
      </c>
      <c r="B801" s="2" t="s">
        <v>840</v>
      </c>
      <c r="C801" s="2" t="s">
        <v>539</v>
      </c>
      <c r="D801" s="2" t="s">
        <v>956</v>
      </c>
    </row>
    <row r="802">
      <c r="A802" s="8">
        <v>46183.363244039356</v>
      </c>
      <c r="B802" s="2" t="s">
        <v>840</v>
      </c>
      <c r="C802" s="2" t="s">
        <v>549</v>
      </c>
      <c r="D802" s="2" t="s">
        <v>957</v>
      </c>
    </row>
    <row r="803">
      <c r="A803" s="8">
        <v>46183.363247581015</v>
      </c>
      <c r="B803" s="2" t="s">
        <v>840</v>
      </c>
      <c r="C803" s="2" t="s">
        <v>564</v>
      </c>
      <c r="D803" s="2" t="s">
        <v>958</v>
      </c>
    </row>
    <row r="804">
      <c r="A804" s="8">
        <v>46183.36324976852</v>
      </c>
      <c r="B804" s="2" t="s">
        <v>840</v>
      </c>
      <c r="C804" s="2" t="s">
        <v>916</v>
      </c>
      <c r="D804" s="2" t="s">
        <v>958</v>
      </c>
    </row>
    <row r="805">
      <c r="A805" s="8">
        <v>46183.36325229167</v>
      </c>
      <c r="B805" s="2" t="s">
        <v>840</v>
      </c>
      <c r="C805" s="2" t="s">
        <v>773</v>
      </c>
      <c r="D805" s="2" t="s">
        <v>930</v>
      </c>
    </row>
    <row r="806">
      <c r="A806" s="8">
        <v>46183.36325429398</v>
      </c>
      <c r="B806" s="2" t="s">
        <v>840</v>
      </c>
      <c r="C806" s="2" t="s">
        <v>783</v>
      </c>
      <c r="D806" s="2" t="s">
        <v>931</v>
      </c>
    </row>
    <row r="807">
      <c r="A807" s="8">
        <v>46183.36325675926</v>
      </c>
      <c r="B807" s="2" t="s">
        <v>894</v>
      </c>
      <c r="D807" s="2" t="s">
        <v>941</v>
      </c>
    </row>
    <row r="808">
      <c r="A808" s="8">
        <v>46183.387725162036</v>
      </c>
      <c r="B808" s="2" t="s">
        <v>962</v>
      </c>
      <c r="D808" s="2" t="s">
        <v>963</v>
      </c>
    </row>
    <row r="809">
      <c r="A809" s="8">
        <v>46183.38781320602</v>
      </c>
      <c r="B809" s="2" t="s">
        <v>844</v>
      </c>
      <c r="C809" s="2" t="s">
        <v>792</v>
      </c>
      <c r="D809" s="2" t="s">
        <v>964</v>
      </c>
    </row>
    <row r="810">
      <c r="A810" s="8">
        <v>46183.38782456018</v>
      </c>
      <c r="B810" s="2" t="s">
        <v>844</v>
      </c>
      <c r="C810" s="2" t="s">
        <v>796</v>
      </c>
      <c r="D810" s="2" t="s">
        <v>964</v>
      </c>
    </row>
    <row r="811">
      <c r="A811" s="8">
        <v>46183.38783569445</v>
      </c>
      <c r="B811" s="2" t="s">
        <v>844</v>
      </c>
      <c r="C811" s="2" t="s">
        <v>836</v>
      </c>
      <c r="D811" s="2" t="s">
        <v>964</v>
      </c>
    </row>
    <row r="812">
      <c r="A812" s="8">
        <v>46183.38784107639</v>
      </c>
      <c r="B812" s="2" t="s">
        <v>798</v>
      </c>
      <c r="C812" s="2" t="s">
        <v>799</v>
      </c>
      <c r="D812" s="2" t="s">
        <v>800</v>
      </c>
    </row>
    <row r="813">
      <c r="A813" s="8">
        <v>46183.38784438657</v>
      </c>
      <c r="B813" s="2" t="s">
        <v>838</v>
      </c>
      <c r="C813" s="2" t="s">
        <v>802</v>
      </c>
      <c r="D813" s="2" t="s">
        <v>839</v>
      </c>
    </row>
    <row r="814">
      <c r="A814" s="8">
        <v>46183.38784888889</v>
      </c>
      <c r="B814" s="2" t="s">
        <v>834</v>
      </c>
      <c r="C814" s="2" t="s">
        <v>846</v>
      </c>
      <c r="D814" s="2" t="s">
        <v>847</v>
      </c>
    </row>
    <row r="815">
      <c r="A815" s="8">
        <v>46183.38785893518</v>
      </c>
      <c r="B815" s="2" t="s">
        <v>844</v>
      </c>
      <c r="C815" s="2" t="s">
        <v>848</v>
      </c>
      <c r="D815" s="2" t="s">
        <v>845</v>
      </c>
    </row>
    <row r="816">
      <c r="A816" s="8">
        <v>46183.38786471065</v>
      </c>
      <c r="B816" s="2" t="s">
        <v>834</v>
      </c>
      <c r="C816" s="2" t="s">
        <v>806</v>
      </c>
      <c r="D816" s="2" t="s">
        <v>861</v>
      </c>
    </row>
    <row r="817">
      <c r="A817" s="8">
        <v>46183.38787446759</v>
      </c>
      <c r="B817" s="2" t="s">
        <v>844</v>
      </c>
      <c r="C817" s="2" t="s">
        <v>808</v>
      </c>
      <c r="D817" s="2" t="s">
        <v>845</v>
      </c>
    </row>
    <row r="818">
      <c r="A818" s="8">
        <v>46183.387886689816</v>
      </c>
      <c r="B818" s="2" t="s">
        <v>798</v>
      </c>
      <c r="C818" s="2" t="s">
        <v>812</v>
      </c>
      <c r="D818" s="2" t="s">
        <v>813</v>
      </c>
    </row>
    <row r="819">
      <c r="A819" s="8">
        <v>46183.38789078704</v>
      </c>
      <c r="B819" s="2" t="s">
        <v>834</v>
      </c>
      <c r="C819" s="2" t="s">
        <v>814</v>
      </c>
      <c r="D819" s="2" t="s">
        <v>965</v>
      </c>
    </row>
    <row r="820">
      <c r="A820" s="8">
        <v>46183.38790006944</v>
      </c>
      <c r="B820" s="2" t="s">
        <v>844</v>
      </c>
      <c r="C820" s="2" t="s">
        <v>814</v>
      </c>
      <c r="D820" s="2" t="s">
        <v>966</v>
      </c>
    </row>
    <row r="821">
      <c r="A821" s="8">
        <v>46183.38790564815</v>
      </c>
      <c r="B821" s="2" t="s">
        <v>838</v>
      </c>
      <c r="C821" s="2" t="s">
        <v>818</v>
      </c>
      <c r="D821" s="2" t="s">
        <v>853</v>
      </c>
    </row>
    <row r="822">
      <c r="A822" s="8">
        <v>46183.38791542824</v>
      </c>
      <c r="B822" s="2" t="s">
        <v>844</v>
      </c>
      <c r="C822" s="2" t="s">
        <v>822</v>
      </c>
      <c r="D822" s="2" t="s">
        <v>967</v>
      </c>
    </row>
    <row r="823">
      <c r="A823" s="8">
        <v>46183.38792673611</v>
      </c>
      <c r="B823" s="2" t="s">
        <v>844</v>
      </c>
      <c r="C823" s="2" t="s">
        <v>824</v>
      </c>
      <c r="D823" s="2" t="s">
        <v>968</v>
      </c>
    </row>
    <row r="824">
      <c r="A824" s="8">
        <v>46183.3879329051</v>
      </c>
      <c r="B824" s="2" t="s">
        <v>840</v>
      </c>
      <c r="C824" s="2" t="s">
        <v>826</v>
      </c>
      <c r="D824" s="2" t="s">
        <v>969</v>
      </c>
    </row>
    <row r="825">
      <c r="A825" s="8">
        <v>46183.387936087965</v>
      </c>
      <c r="B825" s="2" t="s">
        <v>798</v>
      </c>
      <c r="C825" s="2" t="s">
        <v>830</v>
      </c>
      <c r="D825" s="2" t="s">
        <v>831</v>
      </c>
    </row>
    <row r="826">
      <c r="A826" s="8">
        <v>46183.38793989584</v>
      </c>
      <c r="B826" s="2" t="s">
        <v>832</v>
      </c>
      <c r="D826" s="2" t="s">
        <v>970</v>
      </c>
    </row>
    <row r="827">
      <c r="A827" s="8">
        <v>46183.38803207176</v>
      </c>
      <c r="B827" s="2" t="s">
        <v>844</v>
      </c>
      <c r="C827" s="2" t="s">
        <v>509</v>
      </c>
      <c r="D827" s="2" t="s">
        <v>971</v>
      </c>
    </row>
    <row r="828">
      <c r="A828" s="8">
        <v>46183.38804376157</v>
      </c>
      <c r="B828" s="2" t="s">
        <v>844</v>
      </c>
      <c r="C828" s="2" t="s">
        <v>519</v>
      </c>
      <c r="D828" s="2" t="s">
        <v>972</v>
      </c>
    </row>
    <row r="829">
      <c r="A829" s="8">
        <v>46183.38805479166</v>
      </c>
      <c r="B829" s="2" t="s">
        <v>844</v>
      </c>
      <c r="C829" s="2" t="s">
        <v>909</v>
      </c>
      <c r="D829" s="2" t="s">
        <v>973</v>
      </c>
    </row>
    <row r="830">
      <c r="A830" s="8">
        <v>46183.388066203705</v>
      </c>
      <c r="B830" s="2" t="s">
        <v>844</v>
      </c>
      <c r="C830" s="2" t="s">
        <v>529</v>
      </c>
      <c r="D830" s="2" t="s">
        <v>906</v>
      </c>
    </row>
    <row r="831">
      <c r="A831" s="8">
        <v>46183.388071967594</v>
      </c>
      <c r="B831" s="2" t="s">
        <v>840</v>
      </c>
      <c r="C831" s="2" t="s">
        <v>539</v>
      </c>
      <c r="D831" s="2" t="s">
        <v>956</v>
      </c>
    </row>
    <row r="832">
      <c r="A832" s="8">
        <v>46183.38808068287</v>
      </c>
      <c r="B832" s="2" t="s">
        <v>844</v>
      </c>
      <c r="C832" s="2" t="s">
        <v>974</v>
      </c>
      <c r="D832" s="2" t="s">
        <v>910</v>
      </c>
    </row>
    <row r="833">
      <c r="A833" s="8">
        <v>46183.38809467593</v>
      </c>
      <c r="B833" s="2" t="s">
        <v>844</v>
      </c>
      <c r="C833" s="2" t="s">
        <v>549</v>
      </c>
      <c r="D833" s="2" t="s">
        <v>971</v>
      </c>
    </row>
    <row r="834">
      <c r="A834" s="8">
        <v>46183.388109629625</v>
      </c>
      <c r="B834" s="2" t="s">
        <v>844</v>
      </c>
      <c r="C834" s="2" t="s">
        <v>569</v>
      </c>
      <c r="D834" s="2" t="s">
        <v>975</v>
      </c>
    </row>
    <row r="835">
      <c r="A835" s="8">
        <v>46183.38812163194</v>
      </c>
      <c r="B835" s="2" t="s">
        <v>844</v>
      </c>
      <c r="C835" s="2" t="s">
        <v>938</v>
      </c>
      <c r="D835" s="2" t="s">
        <v>945</v>
      </c>
    </row>
    <row r="836">
      <c r="A836" s="8">
        <v>46183.388132974535</v>
      </c>
      <c r="B836" s="2" t="s">
        <v>844</v>
      </c>
      <c r="C836" s="2" t="s">
        <v>607</v>
      </c>
      <c r="D836" s="2" t="s">
        <v>911</v>
      </c>
    </row>
    <row r="837">
      <c r="A837" s="8">
        <v>46183.38813818287</v>
      </c>
      <c r="B837" s="2" t="s">
        <v>840</v>
      </c>
      <c r="C837" s="2" t="s">
        <v>773</v>
      </c>
      <c r="D837" s="2" t="s">
        <v>930</v>
      </c>
    </row>
    <row r="838">
      <c r="A838" s="8">
        <v>46183.388141296295</v>
      </c>
      <c r="B838" s="2" t="s">
        <v>840</v>
      </c>
      <c r="C838" s="2" t="s">
        <v>783</v>
      </c>
      <c r="D838" s="2" t="s">
        <v>931</v>
      </c>
    </row>
    <row r="839">
      <c r="A839" s="8">
        <v>46183.388144386576</v>
      </c>
      <c r="B839" s="2" t="s">
        <v>894</v>
      </c>
      <c r="D839" s="2" t="s">
        <v>976</v>
      </c>
    </row>
    <row r="840">
      <c r="A840" s="8">
        <v>46183.404871875</v>
      </c>
      <c r="B840" s="2" t="s">
        <v>798</v>
      </c>
      <c r="C840" s="2" t="s">
        <v>799</v>
      </c>
      <c r="D840" s="2" t="s">
        <v>800</v>
      </c>
    </row>
    <row r="841">
      <c r="A841" s="8">
        <v>46183.40487881945</v>
      </c>
      <c r="B841" s="2" t="s">
        <v>838</v>
      </c>
      <c r="C841" s="2" t="s">
        <v>802</v>
      </c>
      <c r="D841" s="2" t="s">
        <v>839</v>
      </c>
    </row>
    <row r="842">
      <c r="A842" s="8">
        <v>46183.40488378472</v>
      </c>
      <c r="B842" s="2" t="s">
        <v>834</v>
      </c>
      <c r="C842" s="2" t="s">
        <v>846</v>
      </c>
      <c r="D842" s="2" t="s">
        <v>847</v>
      </c>
    </row>
    <row r="843">
      <c r="A843" s="8">
        <v>46183.40488850695</v>
      </c>
      <c r="B843" s="2" t="s">
        <v>834</v>
      </c>
      <c r="C843" s="2" t="s">
        <v>806</v>
      </c>
      <c r="D843" s="2" t="s">
        <v>861</v>
      </c>
    </row>
    <row r="844">
      <c r="A844" s="8">
        <v>46183.4048959375</v>
      </c>
      <c r="B844" s="2" t="s">
        <v>798</v>
      </c>
      <c r="C844" s="2" t="s">
        <v>812</v>
      </c>
      <c r="D844" s="2" t="s">
        <v>813</v>
      </c>
    </row>
    <row r="845">
      <c r="A845" s="8">
        <v>46183.40490547454</v>
      </c>
      <c r="B845" s="2" t="s">
        <v>834</v>
      </c>
      <c r="C845" s="2" t="s">
        <v>814</v>
      </c>
      <c r="D845" s="2" t="s">
        <v>965</v>
      </c>
    </row>
    <row r="846">
      <c r="A846" s="8">
        <v>46183.40491582176</v>
      </c>
      <c r="B846" s="2" t="s">
        <v>838</v>
      </c>
      <c r="C846" s="2" t="s">
        <v>818</v>
      </c>
      <c r="D846" s="2" t="s">
        <v>853</v>
      </c>
    </row>
    <row r="847">
      <c r="A847" s="8">
        <v>46183.40492509259</v>
      </c>
      <c r="B847" s="2" t="s">
        <v>798</v>
      </c>
      <c r="C847" s="2" t="s">
        <v>830</v>
      </c>
      <c r="D847" s="2" t="s">
        <v>831</v>
      </c>
    </row>
    <row r="848">
      <c r="A848" s="8">
        <v>46183.404932777776</v>
      </c>
      <c r="B848" s="2" t="s">
        <v>832</v>
      </c>
      <c r="D848" s="2" t="s">
        <v>977</v>
      </c>
    </row>
    <row r="849">
      <c r="A849" s="8">
        <v>46183.40503622685</v>
      </c>
      <c r="B849" s="2" t="s">
        <v>840</v>
      </c>
      <c r="C849" s="2" t="s">
        <v>539</v>
      </c>
      <c r="D849" s="2" t="s">
        <v>956</v>
      </c>
    </row>
    <row r="850">
      <c r="A850" s="8">
        <v>46183.40505631945</v>
      </c>
      <c r="B850" s="2" t="s">
        <v>840</v>
      </c>
      <c r="C850" s="2" t="s">
        <v>773</v>
      </c>
      <c r="D850" s="2" t="s">
        <v>930</v>
      </c>
    </row>
    <row r="851">
      <c r="A851" s="8">
        <v>46183.40506040509</v>
      </c>
      <c r="B851" s="2" t="s">
        <v>840</v>
      </c>
      <c r="C851" s="2" t="s">
        <v>783</v>
      </c>
      <c r="D851" s="2" t="s">
        <v>931</v>
      </c>
    </row>
    <row r="852">
      <c r="A852" s="8">
        <v>46183.40506722222</v>
      </c>
      <c r="B852" s="2" t="s">
        <v>894</v>
      </c>
      <c r="D852" s="2" t="s">
        <v>978</v>
      </c>
    </row>
    <row r="853">
      <c r="A853" s="8">
        <v>46183.409452974534</v>
      </c>
      <c r="B853" s="2" t="s">
        <v>798</v>
      </c>
      <c r="C853" s="2" t="s">
        <v>799</v>
      </c>
      <c r="D853" s="2" t="s">
        <v>800</v>
      </c>
    </row>
    <row r="854">
      <c r="A854" s="8">
        <v>46183.40945555556</v>
      </c>
      <c r="B854" s="2" t="s">
        <v>838</v>
      </c>
      <c r="C854" s="2" t="s">
        <v>802</v>
      </c>
      <c r="D854" s="2" t="s">
        <v>839</v>
      </c>
    </row>
    <row r="855">
      <c r="A855" s="8">
        <v>46183.40946047453</v>
      </c>
      <c r="B855" s="2" t="s">
        <v>834</v>
      </c>
      <c r="C855" s="2" t="s">
        <v>846</v>
      </c>
      <c r="D855" s="2" t="s">
        <v>847</v>
      </c>
    </row>
    <row r="856">
      <c r="A856" s="8">
        <v>46183.4094758912</v>
      </c>
      <c r="B856" s="2" t="s">
        <v>834</v>
      </c>
      <c r="C856" s="2" t="s">
        <v>806</v>
      </c>
      <c r="D856" s="2" t="s">
        <v>861</v>
      </c>
    </row>
    <row r="857">
      <c r="A857" s="8">
        <v>46183.40947878472</v>
      </c>
      <c r="B857" s="2" t="s">
        <v>798</v>
      </c>
      <c r="C857" s="2" t="s">
        <v>812</v>
      </c>
      <c r="D857" s="2" t="s">
        <v>813</v>
      </c>
    </row>
    <row r="858">
      <c r="A858" s="8">
        <v>46183.409481469906</v>
      </c>
      <c r="B858" s="2" t="s">
        <v>834</v>
      </c>
      <c r="C858" s="2" t="s">
        <v>814</v>
      </c>
      <c r="D858" s="2" t="s">
        <v>965</v>
      </c>
    </row>
    <row r="859">
      <c r="A859" s="8">
        <v>46183.40948509259</v>
      </c>
      <c r="B859" s="2" t="s">
        <v>838</v>
      </c>
      <c r="C859" s="2" t="s">
        <v>818</v>
      </c>
      <c r="D859" s="2" t="s">
        <v>853</v>
      </c>
    </row>
    <row r="860">
      <c r="A860" s="8">
        <v>46183.40948976851</v>
      </c>
      <c r="B860" s="2" t="s">
        <v>798</v>
      </c>
      <c r="C860" s="2" t="s">
        <v>830</v>
      </c>
      <c r="D860" s="2" t="s">
        <v>831</v>
      </c>
    </row>
    <row r="861">
      <c r="A861" s="8">
        <v>46183.40949207176</v>
      </c>
      <c r="B861" s="2" t="s">
        <v>832</v>
      </c>
      <c r="D861" s="2" t="s">
        <v>977</v>
      </c>
    </row>
    <row r="862">
      <c r="A862" s="8">
        <v>46183.40955815972</v>
      </c>
      <c r="B862" s="2" t="s">
        <v>840</v>
      </c>
      <c r="C862" s="2" t="s">
        <v>539</v>
      </c>
      <c r="D862" s="2" t="s">
        <v>956</v>
      </c>
    </row>
    <row r="863">
      <c r="A863" s="8">
        <v>46183.409579513886</v>
      </c>
      <c r="B863" s="2" t="s">
        <v>840</v>
      </c>
      <c r="C863" s="2" t="s">
        <v>773</v>
      </c>
      <c r="D863" s="2" t="s">
        <v>930</v>
      </c>
    </row>
    <row r="864">
      <c r="A864" s="8">
        <v>46183.40971075231</v>
      </c>
      <c r="B864" s="2" t="s">
        <v>840</v>
      </c>
      <c r="C864" s="2" t="s">
        <v>783</v>
      </c>
      <c r="D864" s="2" t="s">
        <v>931</v>
      </c>
    </row>
    <row r="865">
      <c r="A865" s="8">
        <v>46183.40971324074</v>
      </c>
      <c r="B865" s="2" t="s">
        <v>894</v>
      </c>
      <c r="D865" s="2" t="s">
        <v>978</v>
      </c>
    </row>
    <row r="866">
      <c r="A866" s="8">
        <v>46183.42822935185</v>
      </c>
      <c r="B866" s="2" t="s">
        <v>979</v>
      </c>
      <c r="C866" s="2" t="s">
        <v>842</v>
      </c>
      <c r="D866" s="2" t="s">
        <v>980</v>
      </c>
    </row>
    <row r="867">
      <c r="A867" s="8">
        <v>46183.42824018518</v>
      </c>
      <c r="B867" s="2" t="s">
        <v>979</v>
      </c>
      <c r="C867" s="2" t="s">
        <v>846</v>
      </c>
      <c r="D867" s="2" t="s">
        <v>981</v>
      </c>
    </row>
    <row r="868">
      <c r="A868" s="8">
        <v>46183.428249687495</v>
      </c>
      <c r="B868" s="2" t="s">
        <v>979</v>
      </c>
      <c r="C868" s="2" t="s">
        <v>848</v>
      </c>
      <c r="D868" s="2" t="s">
        <v>980</v>
      </c>
    </row>
    <row r="869">
      <c r="A869" s="8">
        <v>46183.42826327546</v>
      </c>
      <c r="B869" s="2" t="s">
        <v>979</v>
      </c>
      <c r="C869" s="2" t="s">
        <v>806</v>
      </c>
      <c r="D869" s="2" t="s">
        <v>981</v>
      </c>
    </row>
    <row r="870">
      <c r="A870" s="8">
        <v>46183.42827282407</v>
      </c>
      <c r="B870" s="2" t="s">
        <v>979</v>
      </c>
      <c r="C870" s="2" t="s">
        <v>808</v>
      </c>
      <c r="D870" s="2" t="s">
        <v>980</v>
      </c>
    </row>
    <row r="871">
      <c r="A871" s="8">
        <v>46183.42828153935</v>
      </c>
      <c r="B871" s="2" t="s">
        <v>979</v>
      </c>
      <c r="C871" s="2" t="s">
        <v>810</v>
      </c>
      <c r="D871" s="2" t="s">
        <v>982</v>
      </c>
    </row>
    <row r="872">
      <c r="A872" s="8">
        <v>46183.428291539356</v>
      </c>
      <c r="B872" s="2" t="s">
        <v>979</v>
      </c>
      <c r="C872" s="2" t="s">
        <v>814</v>
      </c>
      <c r="D872" s="2" t="s">
        <v>981</v>
      </c>
    </row>
    <row r="873">
      <c r="A873" s="8">
        <v>46183.4283003125</v>
      </c>
      <c r="B873" s="2" t="s">
        <v>979</v>
      </c>
      <c r="C873" s="2" t="s">
        <v>822</v>
      </c>
      <c r="D873" s="2" t="s">
        <v>983</v>
      </c>
    </row>
    <row r="874">
      <c r="A874" s="8">
        <v>46183.42830871527</v>
      </c>
      <c r="B874" s="2" t="s">
        <v>979</v>
      </c>
      <c r="C874" s="2" t="s">
        <v>824</v>
      </c>
      <c r="D874" s="2" t="s">
        <v>980</v>
      </c>
    </row>
    <row r="875">
      <c r="A875" s="8">
        <v>46183.42831726852</v>
      </c>
      <c r="B875" s="2" t="s">
        <v>979</v>
      </c>
      <c r="C875" s="2" t="s">
        <v>826</v>
      </c>
      <c r="D875" s="2" t="s">
        <v>980</v>
      </c>
    </row>
    <row r="876">
      <c r="A876" s="8">
        <v>46183.428330497685</v>
      </c>
      <c r="B876" s="2" t="s">
        <v>979</v>
      </c>
      <c r="C876" s="2" t="s">
        <v>509</v>
      </c>
      <c r="D876" s="2" t="s">
        <v>984</v>
      </c>
    </row>
    <row r="877">
      <c r="A877" s="8">
        <v>46183.42834047454</v>
      </c>
      <c r="B877" s="2" t="s">
        <v>979</v>
      </c>
      <c r="C877" s="2" t="s">
        <v>519</v>
      </c>
      <c r="D877" s="2" t="s">
        <v>985</v>
      </c>
    </row>
    <row r="878">
      <c r="A878" s="8">
        <v>46183.42835001157</v>
      </c>
      <c r="B878" s="2" t="s">
        <v>979</v>
      </c>
      <c r="C878" s="2" t="s">
        <v>529</v>
      </c>
      <c r="D878" s="2" t="s">
        <v>986</v>
      </c>
    </row>
    <row r="879">
      <c r="A879" s="8">
        <v>46183.4283586574</v>
      </c>
      <c r="B879" s="2" t="s">
        <v>979</v>
      </c>
      <c r="C879" s="2" t="s">
        <v>539</v>
      </c>
      <c r="D879" s="2" t="s">
        <v>987</v>
      </c>
    </row>
    <row r="880">
      <c r="A880" s="8">
        <v>46183.428374027775</v>
      </c>
      <c r="B880" s="2" t="s">
        <v>979</v>
      </c>
      <c r="C880" s="2" t="s">
        <v>549</v>
      </c>
      <c r="D880" s="2" t="s">
        <v>988</v>
      </c>
    </row>
    <row r="881">
      <c r="A881" s="8">
        <v>46183.4283827662</v>
      </c>
      <c r="B881" s="2" t="s">
        <v>979</v>
      </c>
      <c r="C881" s="2" t="s">
        <v>569</v>
      </c>
      <c r="D881" s="2" t="s">
        <v>959</v>
      </c>
    </row>
    <row r="882">
      <c r="A882" s="8">
        <v>46183.42839568287</v>
      </c>
      <c r="B882" s="2" t="s">
        <v>979</v>
      </c>
      <c r="C882" s="2" t="s">
        <v>574</v>
      </c>
      <c r="D882" s="2" t="s">
        <v>959</v>
      </c>
    </row>
    <row r="883">
      <c r="A883" s="8">
        <v>46183.4284040162</v>
      </c>
      <c r="B883" s="2" t="s">
        <v>979</v>
      </c>
      <c r="C883" s="2" t="s">
        <v>938</v>
      </c>
      <c r="D883" s="2" t="s">
        <v>910</v>
      </c>
    </row>
    <row r="884">
      <c r="A884" s="8">
        <v>46183.42841284722</v>
      </c>
      <c r="B884" s="2" t="s">
        <v>979</v>
      </c>
      <c r="C884" s="2" t="s">
        <v>607</v>
      </c>
      <c r="D884" s="2" t="s">
        <v>921</v>
      </c>
    </row>
    <row r="885">
      <c r="A885" s="8">
        <v>46183.42841721065</v>
      </c>
      <c r="B885" s="2" t="s">
        <v>989</v>
      </c>
      <c r="D885" s="2" t="s">
        <v>990</v>
      </c>
    </row>
    <row r="886">
      <c r="A886" s="8">
        <v>46183.44645241898</v>
      </c>
      <c r="B886" s="2" t="s">
        <v>798</v>
      </c>
      <c r="C886" s="2" t="s">
        <v>799</v>
      </c>
      <c r="D886" s="2" t="s">
        <v>800</v>
      </c>
    </row>
    <row r="887">
      <c r="A887" s="8">
        <v>46183.44645621528</v>
      </c>
      <c r="B887" s="2" t="s">
        <v>838</v>
      </c>
      <c r="C887" s="2" t="s">
        <v>802</v>
      </c>
      <c r="D887" s="2" t="s">
        <v>839</v>
      </c>
    </row>
    <row r="888">
      <c r="A888" s="8">
        <v>46183.44646575231</v>
      </c>
      <c r="B888" s="2" t="s">
        <v>798</v>
      </c>
      <c r="C888" s="2" t="s">
        <v>812</v>
      </c>
      <c r="D888" s="2" t="s">
        <v>813</v>
      </c>
    </row>
    <row r="889">
      <c r="A889" s="8">
        <v>46183.44647767361</v>
      </c>
      <c r="B889" s="2" t="s">
        <v>838</v>
      </c>
      <c r="C889" s="2" t="s">
        <v>818</v>
      </c>
      <c r="D889" s="2" t="s">
        <v>853</v>
      </c>
    </row>
    <row r="890">
      <c r="A890" s="8">
        <v>46183.44648215278</v>
      </c>
      <c r="B890" s="2" t="s">
        <v>798</v>
      </c>
      <c r="C890" s="2" t="s">
        <v>830</v>
      </c>
      <c r="D890" s="2" t="s">
        <v>831</v>
      </c>
    </row>
    <row r="891">
      <c r="A891" s="8">
        <v>46183.446484687505</v>
      </c>
      <c r="B891" s="2" t="s">
        <v>832</v>
      </c>
      <c r="D891" s="2" t="s">
        <v>977</v>
      </c>
    </row>
    <row r="892">
      <c r="A892" s="8">
        <v>46183.44654917824</v>
      </c>
      <c r="B892" s="2" t="s">
        <v>991</v>
      </c>
      <c r="C892" s="2" t="s">
        <v>509</v>
      </c>
      <c r="D892" s="2" t="s">
        <v>992</v>
      </c>
    </row>
    <row r="893">
      <c r="A893" s="8">
        <v>46183.44656096065</v>
      </c>
      <c r="B893" s="2" t="s">
        <v>844</v>
      </c>
      <c r="C893" s="2" t="s">
        <v>722</v>
      </c>
      <c r="D893" s="2" t="s">
        <v>993</v>
      </c>
    </row>
    <row r="894">
      <c r="A894" s="8">
        <v>46183.446566666666</v>
      </c>
      <c r="B894" s="2" t="s">
        <v>840</v>
      </c>
      <c r="C894" s="2" t="s">
        <v>773</v>
      </c>
      <c r="D894" s="2" t="s">
        <v>930</v>
      </c>
    </row>
    <row r="895">
      <c r="A895" s="8">
        <v>46183.44657010416</v>
      </c>
      <c r="B895" s="2" t="s">
        <v>840</v>
      </c>
      <c r="C895" s="2" t="s">
        <v>783</v>
      </c>
      <c r="D895" s="2" t="s">
        <v>931</v>
      </c>
    </row>
    <row r="896">
      <c r="A896" s="8">
        <v>46183.44657270833</v>
      </c>
      <c r="B896" s="2" t="s">
        <v>894</v>
      </c>
      <c r="D896" s="2" t="s">
        <v>994</v>
      </c>
    </row>
    <row r="897">
      <c r="A897" s="8">
        <v>46183.48810835648</v>
      </c>
      <c r="B897" s="2" t="s">
        <v>798</v>
      </c>
      <c r="C897" s="2" t="s">
        <v>799</v>
      </c>
      <c r="D897" s="2" t="s">
        <v>800</v>
      </c>
    </row>
    <row r="898">
      <c r="A898" s="8">
        <v>46183.488112604166</v>
      </c>
      <c r="B898" s="2" t="s">
        <v>838</v>
      </c>
      <c r="C898" s="2" t="s">
        <v>802</v>
      </c>
      <c r="D898" s="2" t="s">
        <v>839</v>
      </c>
    </row>
    <row r="899">
      <c r="A899" s="8">
        <v>46183.488119988426</v>
      </c>
      <c r="B899" s="2" t="s">
        <v>798</v>
      </c>
      <c r="C899" s="2" t="s">
        <v>812</v>
      </c>
      <c r="D899" s="2" t="s">
        <v>813</v>
      </c>
    </row>
    <row r="900">
      <c r="A900" s="8">
        <v>46183.4881365162</v>
      </c>
      <c r="B900" s="2" t="s">
        <v>838</v>
      </c>
      <c r="C900" s="2" t="s">
        <v>818</v>
      </c>
      <c r="D900" s="2" t="s">
        <v>853</v>
      </c>
    </row>
    <row r="901">
      <c r="A901" s="8">
        <v>46183.48814103009</v>
      </c>
      <c r="B901" s="2" t="s">
        <v>798</v>
      </c>
      <c r="C901" s="2" t="s">
        <v>830</v>
      </c>
      <c r="D901" s="2" t="s">
        <v>831</v>
      </c>
    </row>
    <row r="902">
      <c r="A902" s="8">
        <v>46183.488143807874</v>
      </c>
      <c r="B902" s="2" t="s">
        <v>832</v>
      </c>
      <c r="D902" s="2" t="s">
        <v>977</v>
      </c>
    </row>
    <row r="903">
      <c r="A903" s="8">
        <v>46183.48821422453</v>
      </c>
      <c r="B903" s="2" t="s">
        <v>840</v>
      </c>
      <c r="C903" s="2" t="s">
        <v>773</v>
      </c>
      <c r="D903" s="2" t="s">
        <v>930</v>
      </c>
    </row>
    <row r="904">
      <c r="A904" s="8">
        <v>46183.48821678241</v>
      </c>
      <c r="B904" s="2" t="s">
        <v>840</v>
      </c>
      <c r="C904" s="2" t="s">
        <v>783</v>
      </c>
      <c r="D904" s="2" t="s">
        <v>931</v>
      </c>
    </row>
    <row r="905">
      <c r="A905" s="8">
        <v>46183.488219942126</v>
      </c>
      <c r="B905" s="2" t="s">
        <v>894</v>
      </c>
      <c r="D905" s="2" t="s">
        <v>995</v>
      </c>
    </row>
    <row r="906">
      <c r="A906" s="8">
        <v>46183.52977684028</v>
      </c>
      <c r="B906" s="2" t="s">
        <v>798</v>
      </c>
      <c r="C906" s="2" t="s">
        <v>799</v>
      </c>
      <c r="D906" s="2" t="s">
        <v>800</v>
      </c>
    </row>
    <row r="907">
      <c r="A907" s="8">
        <v>46183.52978067129</v>
      </c>
      <c r="B907" s="2" t="s">
        <v>838</v>
      </c>
      <c r="C907" s="2" t="s">
        <v>802</v>
      </c>
      <c r="D907" s="2" t="s">
        <v>839</v>
      </c>
    </row>
    <row r="908">
      <c r="A908" s="8">
        <v>46183.52979612269</v>
      </c>
      <c r="B908" s="2" t="s">
        <v>798</v>
      </c>
      <c r="C908" s="2" t="s">
        <v>812</v>
      </c>
      <c r="D908" s="2" t="s">
        <v>813</v>
      </c>
    </row>
    <row r="909">
      <c r="A909" s="8">
        <v>46183.52981670139</v>
      </c>
      <c r="B909" s="2" t="s">
        <v>838</v>
      </c>
      <c r="C909" s="2" t="s">
        <v>818</v>
      </c>
      <c r="D909" s="2" t="s">
        <v>853</v>
      </c>
    </row>
    <row r="910">
      <c r="A910" s="8">
        <v>46183.5298209375</v>
      </c>
      <c r="B910" s="2" t="s">
        <v>798</v>
      </c>
      <c r="C910" s="2" t="s">
        <v>830</v>
      </c>
      <c r="D910" s="2" t="s">
        <v>831</v>
      </c>
    </row>
    <row r="911">
      <c r="A911" s="8">
        <v>46183.5298244213</v>
      </c>
      <c r="B911" s="2" t="s">
        <v>832</v>
      </c>
      <c r="D911" s="2" t="s">
        <v>977</v>
      </c>
    </row>
    <row r="912">
      <c r="A912" s="8">
        <v>46183.52989873843</v>
      </c>
      <c r="B912" s="2" t="s">
        <v>840</v>
      </c>
      <c r="C912" s="2" t="s">
        <v>773</v>
      </c>
      <c r="D912" s="2" t="s">
        <v>930</v>
      </c>
    </row>
    <row r="913">
      <c r="A913" s="8">
        <v>46183.52990238426</v>
      </c>
      <c r="B913" s="2" t="s">
        <v>840</v>
      </c>
      <c r="C913" s="2" t="s">
        <v>783</v>
      </c>
      <c r="D913" s="2" t="s">
        <v>931</v>
      </c>
    </row>
    <row r="914">
      <c r="A914" s="8">
        <v>46183.5299093287</v>
      </c>
      <c r="B914" s="2" t="s">
        <v>894</v>
      </c>
      <c r="D914" s="2" t="s">
        <v>995</v>
      </c>
    </row>
    <row r="915">
      <c r="A915" s="8">
        <v>46183.57143831019</v>
      </c>
      <c r="B915" s="2" t="s">
        <v>798</v>
      </c>
      <c r="C915" s="2" t="s">
        <v>799</v>
      </c>
      <c r="D915" s="2" t="s">
        <v>800</v>
      </c>
    </row>
    <row r="916">
      <c r="A916" s="8">
        <v>46183.5714408912</v>
      </c>
      <c r="B916" s="2" t="s">
        <v>838</v>
      </c>
      <c r="C916" s="2" t="s">
        <v>802</v>
      </c>
      <c r="D916" s="2" t="s">
        <v>839</v>
      </c>
    </row>
    <row r="917">
      <c r="A917" s="8">
        <v>46183.571448622686</v>
      </c>
      <c r="B917" s="2" t="s">
        <v>844</v>
      </c>
      <c r="C917" s="2" t="s">
        <v>806</v>
      </c>
      <c r="D917" s="2" t="s">
        <v>996</v>
      </c>
    </row>
    <row r="918">
      <c r="A918" s="8">
        <v>46183.571468009264</v>
      </c>
      <c r="B918" s="2" t="s">
        <v>798</v>
      </c>
      <c r="C918" s="2" t="s">
        <v>812</v>
      </c>
      <c r="D918" s="2" t="s">
        <v>813</v>
      </c>
    </row>
    <row r="919">
      <c r="A919" s="8">
        <v>46183.57147023148</v>
      </c>
      <c r="B919" s="2" t="s">
        <v>838</v>
      </c>
      <c r="C919" s="2" t="s">
        <v>818</v>
      </c>
      <c r="D919" s="2" t="s">
        <v>853</v>
      </c>
    </row>
    <row r="920">
      <c r="A920" s="8">
        <v>46183.571472361116</v>
      </c>
      <c r="B920" s="2" t="s">
        <v>798</v>
      </c>
      <c r="C920" s="2" t="s">
        <v>830</v>
      </c>
      <c r="D920" s="2" t="s">
        <v>831</v>
      </c>
    </row>
    <row r="921">
      <c r="A921" s="8">
        <v>46183.57147408565</v>
      </c>
      <c r="B921" s="2" t="s">
        <v>832</v>
      </c>
      <c r="D921" s="2" t="s">
        <v>997</v>
      </c>
    </row>
    <row r="922">
      <c r="A922" s="8">
        <v>46183.57155608796</v>
      </c>
      <c r="B922" s="2" t="s">
        <v>840</v>
      </c>
      <c r="C922" s="2" t="s">
        <v>773</v>
      </c>
      <c r="D922" s="2" t="s">
        <v>930</v>
      </c>
    </row>
    <row r="923">
      <c r="A923" s="8">
        <v>46183.57155782408</v>
      </c>
      <c r="B923" s="2" t="s">
        <v>840</v>
      </c>
      <c r="C923" s="2" t="s">
        <v>783</v>
      </c>
      <c r="D923" s="2" t="s">
        <v>931</v>
      </c>
    </row>
    <row r="924">
      <c r="A924" s="8">
        <v>46183.57155958333</v>
      </c>
      <c r="B924" s="2" t="s">
        <v>894</v>
      </c>
      <c r="D924" s="2" t="s">
        <v>995</v>
      </c>
    </row>
    <row r="925">
      <c r="A925" s="8">
        <v>46183.61309741898</v>
      </c>
      <c r="B925" s="2" t="s">
        <v>798</v>
      </c>
      <c r="C925" s="2" t="s">
        <v>799</v>
      </c>
      <c r="D925" s="2" t="s">
        <v>800</v>
      </c>
    </row>
    <row r="926">
      <c r="A926" s="8">
        <v>46183.61310027778</v>
      </c>
      <c r="B926" s="2" t="s">
        <v>838</v>
      </c>
      <c r="C926" s="2" t="s">
        <v>802</v>
      </c>
      <c r="D926" s="2" t="s">
        <v>839</v>
      </c>
    </row>
    <row r="927">
      <c r="A927" s="8">
        <v>46183.61310724537</v>
      </c>
      <c r="B927" s="2" t="s">
        <v>844</v>
      </c>
      <c r="C927" s="2" t="s">
        <v>810</v>
      </c>
      <c r="D927" s="2" t="s">
        <v>998</v>
      </c>
    </row>
    <row r="928">
      <c r="A928" s="8">
        <v>46183.613124745374</v>
      </c>
      <c r="B928" s="2" t="s">
        <v>798</v>
      </c>
      <c r="C928" s="2" t="s">
        <v>812</v>
      </c>
      <c r="D928" s="2" t="s">
        <v>813</v>
      </c>
    </row>
    <row r="929">
      <c r="A929" s="8">
        <v>46183.61312731481</v>
      </c>
      <c r="B929" s="2" t="s">
        <v>838</v>
      </c>
      <c r="C929" s="2" t="s">
        <v>818</v>
      </c>
      <c r="D929" s="2" t="s">
        <v>853</v>
      </c>
    </row>
    <row r="930">
      <c r="A930" s="8">
        <v>46183.61312951389</v>
      </c>
      <c r="B930" s="2" t="s">
        <v>798</v>
      </c>
      <c r="C930" s="2" t="s">
        <v>830</v>
      </c>
      <c r="D930" s="2" t="s">
        <v>831</v>
      </c>
    </row>
    <row r="931">
      <c r="A931" s="8">
        <v>46183.613131516206</v>
      </c>
      <c r="B931" s="2" t="s">
        <v>832</v>
      </c>
      <c r="D931" s="2" t="s">
        <v>997</v>
      </c>
    </row>
    <row r="932">
      <c r="A932" s="8">
        <v>46183.61320019676</v>
      </c>
      <c r="B932" s="2" t="s">
        <v>840</v>
      </c>
      <c r="C932" s="2" t="s">
        <v>773</v>
      </c>
      <c r="D932" s="2" t="s">
        <v>930</v>
      </c>
    </row>
    <row r="933">
      <c r="A933" s="8">
        <v>46183.613202175926</v>
      </c>
      <c r="B933" s="2" t="s">
        <v>840</v>
      </c>
      <c r="C933" s="2" t="s">
        <v>783</v>
      </c>
      <c r="D933" s="2" t="s">
        <v>931</v>
      </c>
    </row>
    <row r="934">
      <c r="A934" s="8">
        <v>46183.61321372685</v>
      </c>
      <c r="B934" s="2" t="s">
        <v>894</v>
      </c>
      <c r="D934" s="2" t="s">
        <v>995</v>
      </c>
    </row>
    <row r="935">
      <c r="A935" s="8">
        <v>46183.61914892361</v>
      </c>
      <c r="B935" s="2" t="s">
        <v>840</v>
      </c>
      <c r="C935" s="2" t="s">
        <v>773</v>
      </c>
      <c r="D935" s="2" t="s">
        <v>930</v>
      </c>
    </row>
    <row r="936">
      <c r="A936" s="8">
        <v>46183.61915153935</v>
      </c>
      <c r="B936" s="2" t="s">
        <v>840</v>
      </c>
      <c r="C936" s="2" t="s">
        <v>783</v>
      </c>
      <c r="D936" s="2" t="s">
        <v>931</v>
      </c>
    </row>
    <row r="937">
      <c r="A937" s="8">
        <v>46183.619160358794</v>
      </c>
      <c r="B937" s="2" t="s">
        <v>894</v>
      </c>
      <c r="D937" s="2" t="s">
        <v>995</v>
      </c>
    </row>
    <row r="938">
      <c r="A938" s="8">
        <v>46183.61949321759</v>
      </c>
      <c r="B938" s="2" t="s">
        <v>840</v>
      </c>
      <c r="C938" s="2" t="s">
        <v>773</v>
      </c>
      <c r="D938" s="2" t="s">
        <v>930</v>
      </c>
    </row>
    <row r="939">
      <c r="A939" s="8">
        <v>46183.61949565972</v>
      </c>
      <c r="B939" s="2" t="s">
        <v>840</v>
      </c>
      <c r="C939" s="2" t="s">
        <v>783</v>
      </c>
      <c r="D939" s="2" t="s">
        <v>931</v>
      </c>
    </row>
    <row r="940">
      <c r="A940" s="8">
        <v>46183.619498113425</v>
      </c>
      <c r="B940" s="2" t="s">
        <v>894</v>
      </c>
      <c r="D940" s="2" t="s">
        <v>995</v>
      </c>
    </row>
    <row r="941">
      <c r="A941" s="8">
        <v>46183.61985762732</v>
      </c>
      <c r="B941" s="2" t="s">
        <v>989</v>
      </c>
      <c r="D941" s="2" t="s">
        <v>999</v>
      </c>
    </row>
    <row r="942">
      <c r="A942" s="8">
        <v>46183.629607662035</v>
      </c>
      <c r="B942" s="2" t="s">
        <v>840</v>
      </c>
      <c r="C942" s="2" t="s">
        <v>773</v>
      </c>
      <c r="D942" s="2" t="s">
        <v>930</v>
      </c>
    </row>
    <row r="943">
      <c r="A943" s="8">
        <v>46183.62961042824</v>
      </c>
      <c r="B943" s="2" t="s">
        <v>840</v>
      </c>
      <c r="C943" s="2" t="s">
        <v>783</v>
      </c>
      <c r="D943" s="2" t="s">
        <v>931</v>
      </c>
    </row>
    <row r="944">
      <c r="A944" s="8">
        <v>46183.629612696765</v>
      </c>
      <c r="B944" s="2" t="s">
        <v>894</v>
      </c>
      <c r="D944" s="2" t="s">
        <v>995</v>
      </c>
    </row>
    <row r="945">
      <c r="A945" s="8">
        <v>46183.62980726852</v>
      </c>
      <c r="B945" s="2" t="s">
        <v>989</v>
      </c>
      <c r="D945" s="2" t="s">
        <v>999</v>
      </c>
    </row>
    <row r="946">
      <c r="A946" s="8">
        <v>46183.6547715625</v>
      </c>
      <c r="B946" s="2" t="s">
        <v>798</v>
      </c>
      <c r="C946" s="2" t="s">
        <v>799</v>
      </c>
      <c r="D946" s="2" t="s">
        <v>800</v>
      </c>
    </row>
    <row r="947">
      <c r="A947" s="8">
        <v>46183.65477542824</v>
      </c>
      <c r="B947" s="2" t="s">
        <v>838</v>
      </c>
      <c r="C947" s="2" t="s">
        <v>802</v>
      </c>
      <c r="D947" s="2" t="s">
        <v>839</v>
      </c>
    </row>
    <row r="948">
      <c r="A948" s="8">
        <v>46183.65478019676</v>
      </c>
      <c r="B948" s="2" t="s">
        <v>798</v>
      </c>
      <c r="C948" s="2" t="s">
        <v>812</v>
      </c>
      <c r="D948" s="2" t="s">
        <v>813</v>
      </c>
    </row>
    <row r="949">
      <c r="A949" s="8">
        <v>46183.654798958334</v>
      </c>
      <c r="B949" s="2" t="s">
        <v>838</v>
      </c>
      <c r="C949" s="2" t="s">
        <v>818</v>
      </c>
      <c r="D949" s="2" t="s">
        <v>853</v>
      </c>
    </row>
    <row r="950">
      <c r="A950" s="8">
        <v>46183.65480347222</v>
      </c>
      <c r="B950" s="2" t="s">
        <v>798</v>
      </c>
      <c r="C950" s="2" t="s">
        <v>830</v>
      </c>
      <c r="D950" s="2" t="s">
        <v>831</v>
      </c>
    </row>
    <row r="951">
      <c r="A951" s="8">
        <v>46183.65480913194</v>
      </c>
      <c r="B951" s="2" t="s">
        <v>832</v>
      </c>
      <c r="D951" s="2" t="s">
        <v>977</v>
      </c>
    </row>
    <row r="952">
      <c r="A952" s="8">
        <v>46183.65488104167</v>
      </c>
      <c r="B952" s="2" t="s">
        <v>840</v>
      </c>
      <c r="C952" s="2" t="s">
        <v>773</v>
      </c>
      <c r="D952" s="2" t="s">
        <v>930</v>
      </c>
    </row>
    <row r="953">
      <c r="A953" s="8">
        <v>46183.65488407407</v>
      </c>
      <c r="B953" s="2" t="s">
        <v>840</v>
      </c>
      <c r="C953" s="2" t="s">
        <v>783</v>
      </c>
      <c r="D953" s="2" t="s">
        <v>931</v>
      </c>
    </row>
    <row r="954">
      <c r="A954" s="8">
        <v>46183.654889756945</v>
      </c>
      <c r="B954" s="2" t="s">
        <v>894</v>
      </c>
      <c r="D954" s="2" t="s">
        <v>995</v>
      </c>
    </row>
    <row r="955">
      <c r="A955" s="8">
        <v>46183.6964887037</v>
      </c>
      <c r="B955" s="2" t="s">
        <v>798</v>
      </c>
      <c r="C955" s="2" t="s">
        <v>799</v>
      </c>
      <c r="D955" s="2" t="s">
        <v>800</v>
      </c>
    </row>
    <row r="956">
      <c r="A956" s="8">
        <v>46183.696493553245</v>
      </c>
      <c r="B956" s="2" t="s">
        <v>838</v>
      </c>
      <c r="C956" s="2" t="s">
        <v>802</v>
      </c>
      <c r="D956" s="2" t="s">
        <v>839</v>
      </c>
    </row>
    <row r="957">
      <c r="A957" s="8">
        <v>46183.69650762732</v>
      </c>
      <c r="B957" s="2" t="s">
        <v>798</v>
      </c>
      <c r="C957" s="2" t="s">
        <v>812</v>
      </c>
      <c r="D957" s="2" t="s">
        <v>813</v>
      </c>
    </row>
    <row r="958">
      <c r="A958" s="8">
        <v>46183.696521261576</v>
      </c>
      <c r="B958" s="2" t="s">
        <v>838</v>
      </c>
      <c r="C958" s="2" t="s">
        <v>818</v>
      </c>
      <c r="D958" s="2" t="s">
        <v>853</v>
      </c>
    </row>
    <row r="959">
      <c r="A959" s="8">
        <v>46183.69652946759</v>
      </c>
      <c r="B959" s="2" t="s">
        <v>798</v>
      </c>
      <c r="C959" s="2" t="s">
        <v>830</v>
      </c>
      <c r="D959" s="2" t="s">
        <v>831</v>
      </c>
    </row>
    <row r="960">
      <c r="A960" s="8">
        <v>46183.69653403935</v>
      </c>
      <c r="B960" s="2" t="s">
        <v>832</v>
      </c>
      <c r="D960" s="2" t="s">
        <v>977</v>
      </c>
    </row>
    <row r="961">
      <c r="A961" s="8">
        <v>46183.69664767361</v>
      </c>
      <c r="B961" s="2" t="s">
        <v>840</v>
      </c>
      <c r="C961" s="2" t="s">
        <v>773</v>
      </c>
      <c r="D961" s="2" t="s">
        <v>930</v>
      </c>
    </row>
    <row r="962">
      <c r="A962" s="8">
        <v>46183.69665216435</v>
      </c>
      <c r="B962" s="2" t="s">
        <v>840</v>
      </c>
      <c r="C962" s="2" t="s">
        <v>783</v>
      </c>
      <c r="D962" s="2" t="s">
        <v>931</v>
      </c>
    </row>
    <row r="963">
      <c r="A963" s="8">
        <v>46183.696656608794</v>
      </c>
      <c r="B963" s="2" t="s">
        <v>894</v>
      </c>
      <c r="D963" s="2" t="s">
        <v>995</v>
      </c>
    </row>
    <row r="964">
      <c r="A964" s="8">
        <v>46183.738162361115</v>
      </c>
      <c r="B964" s="2" t="s">
        <v>798</v>
      </c>
      <c r="C964" s="2" t="s">
        <v>799</v>
      </c>
      <c r="D964" s="2" t="s">
        <v>800</v>
      </c>
    </row>
    <row r="965">
      <c r="A965" s="8">
        <v>46183.7381678588</v>
      </c>
      <c r="B965" s="2" t="s">
        <v>838</v>
      </c>
      <c r="C965" s="2" t="s">
        <v>802</v>
      </c>
      <c r="D965" s="2" t="s">
        <v>839</v>
      </c>
    </row>
    <row r="966">
      <c r="A966" s="8">
        <v>46183.738176886574</v>
      </c>
      <c r="B966" s="2" t="s">
        <v>798</v>
      </c>
      <c r="C966" s="2" t="s">
        <v>812</v>
      </c>
      <c r="D966" s="2" t="s">
        <v>813</v>
      </c>
    </row>
    <row r="967">
      <c r="A967" s="8">
        <v>46183.7381966088</v>
      </c>
      <c r="B967" s="2" t="s">
        <v>838</v>
      </c>
      <c r="C967" s="2" t="s">
        <v>818</v>
      </c>
      <c r="D967" s="2" t="s">
        <v>853</v>
      </c>
    </row>
    <row r="968">
      <c r="A968" s="8">
        <v>46183.738203518515</v>
      </c>
      <c r="B968" s="2" t="s">
        <v>798</v>
      </c>
      <c r="C968" s="2" t="s">
        <v>830</v>
      </c>
      <c r="D968" s="2" t="s">
        <v>831</v>
      </c>
    </row>
    <row r="969">
      <c r="A969" s="8">
        <v>46183.73820777777</v>
      </c>
      <c r="B969" s="2" t="s">
        <v>832</v>
      </c>
      <c r="D969" s="2" t="s">
        <v>977</v>
      </c>
    </row>
    <row r="970">
      <c r="A970" s="8">
        <v>46183.73830373843</v>
      </c>
      <c r="B970" s="2" t="s">
        <v>840</v>
      </c>
      <c r="C970" s="2" t="s">
        <v>773</v>
      </c>
      <c r="D970" s="2" t="s">
        <v>930</v>
      </c>
    </row>
    <row r="971">
      <c r="A971" s="8">
        <v>46183.7383102662</v>
      </c>
      <c r="B971" s="2" t="s">
        <v>840</v>
      </c>
      <c r="C971" s="2" t="s">
        <v>783</v>
      </c>
      <c r="D971" s="2" t="s">
        <v>931</v>
      </c>
    </row>
    <row r="972">
      <c r="A972" s="8">
        <v>46183.738313333335</v>
      </c>
      <c r="B972" s="2" t="s">
        <v>894</v>
      </c>
      <c r="D972" s="2" t="s">
        <v>995</v>
      </c>
    </row>
    <row r="973">
      <c r="A973" s="8">
        <v>46183.77978181713</v>
      </c>
      <c r="B973" s="2" t="s">
        <v>798</v>
      </c>
      <c r="C973" s="2" t="s">
        <v>799</v>
      </c>
      <c r="D973" s="2" t="s">
        <v>800</v>
      </c>
    </row>
    <row r="974">
      <c r="A974" s="8">
        <v>46183.77978622685</v>
      </c>
      <c r="B974" s="2" t="s">
        <v>838</v>
      </c>
      <c r="C974" s="2" t="s">
        <v>802</v>
      </c>
      <c r="D974" s="2" t="s">
        <v>839</v>
      </c>
    </row>
    <row r="975">
      <c r="A975" s="8">
        <v>46183.77979555556</v>
      </c>
      <c r="B975" s="2" t="s">
        <v>798</v>
      </c>
      <c r="C975" s="2" t="s">
        <v>812</v>
      </c>
      <c r="D975" s="2" t="s">
        <v>813</v>
      </c>
    </row>
    <row r="976">
      <c r="A976" s="8">
        <v>46183.77980936343</v>
      </c>
      <c r="B976" s="2" t="s">
        <v>838</v>
      </c>
      <c r="C976" s="2" t="s">
        <v>818</v>
      </c>
      <c r="D976" s="2" t="s">
        <v>853</v>
      </c>
    </row>
    <row r="977">
      <c r="A977" s="8">
        <v>46183.77981519676</v>
      </c>
      <c r="B977" s="2" t="s">
        <v>798</v>
      </c>
      <c r="C977" s="2" t="s">
        <v>830</v>
      </c>
      <c r="D977" s="2" t="s">
        <v>831</v>
      </c>
    </row>
    <row r="978">
      <c r="A978" s="8">
        <v>46183.77981910879</v>
      </c>
      <c r="B978" s="2" t="s">
        <v>832</v>
      </c>
      <c r="D978" s="2" t="s">
        <v>977</v>
      </c>
    </row>
    <row r="979">
      <c r="A979" s="8">
        <v>46183.779907766206</v>
      </c>
      <c r="B979" s="2" t="s">
        <v>840</v>
      </c>
      <c r="C979" s="2" t="s">
        <v>773</v>
      </c>
      <c r="D979" s="2" t="s">
        <v>930</v>
      </c>
    </row>
    <row r="980">
      <c r="A980" s="8">
        <v>46183.779911481484</v>
      </c>
      <c r="B980" s="2" t="s">
        <v>840</v>
      </c>
      <c r="C980" s="2" t="s">
        <v>783</v>
      </c>
      <c r="D980" s="2" t="s">
        <v>931</v>
      </c>
    </row>
    <row r="981">
      <c r="A981" s="8">
        <v>46183.77991699074</v>
      </c>
      <c r="B981" s="2" t="s">
        <v>894</v>
      </c>
      <c r="D981" s="2" t="s">
        <v>995</v>
      </c>
    </row>
    <row r="982">
      <c r="A982" s="8">
        <v>46183.82148108796</v>
      </c>
      <c r="B982" s="2" t="s">
        <v>798</v>
      </c>
      <c r="C982" s="2" t="s">
        <v>799</v>
      </c>
      <c r="D982" s="2" t="s">
        <v>800</v>
      </c>
    </row>
    <row r="983">
      <c r="A983" s="8">
        <v>46183.821493564814</v>
      </c>
      <c r="B983" s="2" t="s">
        <v>838</v>
      </c>
      <c r="C983" s="2" t="s">
        <v>802</v>
      </c>
      <c r="D983" s="2" t="s">
        <v>839</v>
      </c>
    </row>
    <row r="984">
      <c r="A984" s="8">
        <v>46183.82151758102</v>
      </c>
      <c r="B984" s="2" t="s">
        <v>798</v>
      </c>
      <c r="C984" s="2" t="s">
        <v>812</v>
      </c>
      <c r="D984" s="2" t="s">
        <v>813</v>
      </c>
    </row>
    <row r="985">
      <c r="A985" s="8">
        <v>46183.82152172454</v>
      </c>
      <c r="B985" s="2" t="s">
        <v>838</v>
      </c>
      <c r="C985" s="2" t="s">
        <v>818</v>
      </c>
      <c r="D985" s="2" t="s">
        <v>853</v>
      </c>
    </row>
    <row r="986">
      <c r="A986" s="8">
        <v>46183.821530671295</v>
      </c>
      <c r="B986" s="2" t="s">
        <v>798</v>
      </c>
      <c r="C986" s="2" t="s">
        <v>830</v>
      </c>
      <c r="D986" s="2" t="s">
        <v>831</v>
      </c>
    </row>
    <row r="987">
      <c r="A987" s="8">
        <v>46183.821535243056</v>
      </c>
      <c r="B987" s="2" t="s">
        <v>832</v>
      </c>
      <c r="D987" s="2" t="s">
        <v>977</v>
      </c>
    </row>
    <row r="988">
      <c r="A988" s="8">
        <v>46183.82164635417</v>
      </c>
      <c r="B988" s="2" t="s">
        <v>840</v>
      </c>
      <c r="C988" s="2" t="s">
        <v>773</v>
      </c>
      <c r="D988" s="2" t="s">
        <v>930</v>
      </c>
    </row>
    <row r="989">
      <c r="A989" s="8">
        <v>46183.82165232638</v>
      </c>
      <c r="B989" s="2" t="s">
        <v>840</v>
      </c>
      <c r="C989" s="2" t="s">
        <v>783</v>
      </c>
      <c r="D989" s="2" t="s">
        <v>931</v>
      </c>
    </row>
    <row r="990">
      <c r="A990" s="8">
        <v>46183.82165864583</v>
      </c>
      <c r="B990" s="2" t="s">
        <v>894</v>
      </c>
      <c r="D990" s="2" t="s">
        <v>995</v>
      </c>
    </row>
    <row r="991">
      <c r="A991" s="8">
        <v>46183.86313758102</v>
      </c>
      <c r="B991" s="2" t="s">
        <v>798</v>
      </c>
      <c r="C991" s="2" t="s">
        <v>799</v>
      </c>
      <c r="D991" s="2" t="s">
        <v>800</v>
      </c>
    </row>
    <row r="992">
      <c r="A992" s="8">
        <v>46183.863143449074</v>
      </c>
      <c r="B992" s="2" t="s">
        <v>838</v>
      </c>
      <c r="C992" s="2" t="s">
        <v>802</v>
      </c>
      <c r="D992" s="2" t="s">
        <v>839</v>
      </c>
    </row>
    <row r="993">
      <c r="A993" s="8">
        <v>46183.86315260417</v>
      </c>
      <c r="B993" s="2" t="s">
        <v>798</v>
      </c>
      <c r="C993" s="2" t="s">
        <v>812</v>
      </c>
      <c r="D993" s="2" t="s">
        <v>813</v>
      </c>
    </row>
    <row r="994">
      <c r="A994" s="8">
        <v>46183.8631656713</v>
      </c>
      <c r="B994" s="2" t="s">
        <v>838</v>
      </c>
      <c r="C994" s="2" t="s">
        <v>818</v>
      </c>
      <c r="D994" s="2" t="s">
        <v>853</v>
      </c>
    </row>
    <row r="995">
      <c r="A995" s="8">
        <v>46183.863174976854</v>
      </c>
      <c r="B995" s="2" t="s">
        <v>798</v>
      </c>
      <c r="C995" s="2" t="s">
        <v>830</v>
      </c>
      <c r="D995" s="2" t="s">
        <v>831</v>
      </c>
    </row>
    <row r="996">
      <c r="A996" s="8">
        <v>46183.86317736111</v>
      </c>
      <c r="B996" s="2" t="s">
        <v>832</v>
      </c>
      <c r="D996" s="2" t="s">
        <v>977</v>
      </c>
    </row>
    <row r="997">
      <c r="A997" s="8">
        <v>46183.86327555556</v>
      </c>
      <c r="B997" s="2" t="s">
        <v>840</v>
      </c>
      <c r="C997" s="2" t="s">
        <v>773</v>
      </c>
      <c r="D997" s="2" t="s">
        <v>930</v>
      </c>
    </row>
    <row r="998">
      <c r="A998" s="8">
        <v>46183.86327930556</v>
      </c>
      <c r="B998" s="2" t="s">
        <v>840</v>
      </c>
      <c r="C998" s="2" t="s">
        <v>783</v>
      </c>
      <c r="D998" s="2" t="s">
        <v>931</v>
      </c>
    </row>
    <row r="999">
      <c r="A999" s="8">
        <v>46183.86328160879</v>
      </c>
      <c r="B999" s="2" t="s">
        <v>894</v>
      </c>
      <c r="D999" s="2" t="s">
        <v>995</v>
      </c>
    </row>
    <row r="1000">
      <c r="A1000" s="8">
        <v>46183.9047921412</v>
      </c>
      <c r="B1000" s="2" t="s">
        <v>798</v>
      </c>
      <c r="C1000" s="2" t="s">
        <v>799</v>
      </c>
      <c r="D1000" s="2" t="s">
        <v>800</v>
      </c>
    </row>
    <row r="1001">
      <c r="A1001" s="8">
        <v>46183.90479556713</v>
      </c>
      <c r="B1001" s="2" t="s">
        <v>838</v>
      </c>
      <c r="C1001" s="2" t="s">
        <v>802</v>
      </c>
      <c r="D1001" s="2" t="s">
        <v>839</v>
      </c>
    </row>
    <row r="1002">
      <c r="A1002" s="8">
        <v>46183.904805625</v>
      </c>
      <c r="B1002" s="2" t="s">
        <v>798</v>
      </c>
      <c r="C1002" s="2" t="s">
        <v>812</v>
      </c>
      <c r="D1002" s="2" t="s">
        <v>813</v>
      </c>
    </row>
    <row r="1003">
      <c r="A1003" s="8">
        <v>46183.904815925926</v>
      </c>
      <c r="B1003" s="2" t="s">
        <v>838</v>
      </c>
      <c r="C1003" s="2" t="s">
        <v>818</v>
      </c>
      <c r="D1003" s="2" t="s">
        <v>853</v>
      </c>
    </row>
    <row r="1004">
      <c r="A1004" s="8">
        <v>46183.904820173615</v>
      </c>
      <c r="B1004" s="2" t="s">
        <v>798</v>
      </c>
      <c r="C1004" s="2" t="s">
        <v>830</v>
      </c>
      <c r="D1004" s="2" t="s">
        <v>831</v>
      </c>
    </row>
    <row r="1005">
      <c r="A1005" s="8">
        <v>46183.904823495366</v>
      </c>
      <c r="B1005" s="2" t="s">
        <v>832</v>
      </c>
      <c r="C1005" s="2"/>
      <c r="D1005" s="2" t="s">
        <v>977</v>
      </c>
    </row>
    <row r="1006">
      <c r="A1006" s="8">
        <v>46183.90490096065</v>
      </c>
      <c r="B1006" s="2" t="s">
        <v>840</v>
      </c>
      <c r="C1006" s="2" t="s">
        <v>773</v>
      </c>
      <c r="D1006" s="2" t="s">
        <v>930</v>
      </c>
    </row>
    <row r="1007">
      <c r="A1007" s="8">
        <v>46183.904904386574</v>
      </c>
      <c r="B1007" s="2" t="s">
        <v>840</v>
      </c>
      <c r="C1007" s="2" t="s">
        <v>783</v>
      </c>
      <c r="D1007" s="2" t="s">
        <v>931</v>
      </c>
    </row>
    <row r="1008">
      <c r="A1008" s="8">
        <v>46183.90490783565</v>
      </c>
      <c r="B1008" s="2" t="s">
        <v>894</v>
      </c>
      <c r="C1008" s="2"/>
      <c r="D1008" s="2" t="s">
        <v>995</v>
      </c>
    </row>
    <row r="1009">
      <c r="A1009" s="8">
        <v>46183.91710892361</v>
      </c>
      <c r="B1009" s="2" t="s">
        <v>863</v>
      </c>
      <c r="C1009" s="2"/>
      <c r="D1009" s="2" t="s">
        <v>1000</v>
      </c>
    </row>
    <row r="1010">
      <c r="A1010" s="8">
        <v>46183.94643697917</v>
      </c>
      <c r="B1010" s="2" t="s">
        <v>798</v>
      </c>
      <c r="C1010" s="2" t="s">
        <v>799</v>
      </c>
      <c r="D1010" s="2" t="s">
        <v>800</v>
      </c>
    </row>
    <row r="1011">
      <c r="A1011" s="8">
        <v>46183.946439861116</v>
      </c>
      <c r="B1011" s="2" t="s">
        <v>838</v>
      </c>
      <c r="C1011" s="2" t="s">
        <v>802</v>
      </c>
      <c r="D1011" s="2" t="s">
        <v>839</v>
      </c>
    </row>
    <row r="1012">
      <c r="A1012" s="8">
        <v>46183.94644778935</v>
      </c>
      <c r="B1012" s="2" t="s">
        <v>798</v>
      </c>
      <c r="C1012" s="2" t="s">
        <v>812</v>
      </c>
      <c r="D1012" s="2" t="s">
        <v>813</v>
      </c>
    </row>
    <row r="1013">
      <c r="A1013" s="8">
        <v>46183.946466354166</v>
      </c>
      <c r="B1013" s="2" t="s">
        <v>991</v>
      </c>
      <c r="C1013" s="2" t="s">
        <v>814</v>
      </c>
      <c r="D1013" s="2" t="s">
        <v>1001</v>
      </c>
    </row>
    <row r="1014">
      <c r="A1014" s="8">
        <v>46183.94646853009</v>
      </c>
      <c r="B1014" s="2" t="s">
        <v>838</v>
      </c>
      <c r="C1014" s="2" t="s">
        <v>818</v>
      </c>
      <c r="D1014" s="2" t="s">
        <v>853</v>
      </c>
    </row>
    <row r="1015">
      <c r="A1015" s="8">
        <v>46183.94647112269</v>
      </c>
      <c r="B1015" s="2" t="s">
        <v>798</v>
      </c>
      <c r="C1015" s="2" t="s">
        <v>830</v>
      </c>
      <c r="D1015" s="2" t="s">
        <v>831</v>
      </c>
    </row>
    <row r="1016">
      <c r="A1016" s="8">
        <v>46183.94647325232</v>
      </c>
      <c r="B1016" s="2" t="s">
        <v>832</v>
      </c>
      <c r="C1016" s="2"/>
      <c r="D1016" s="2" t="s">
        <v>961</v>
      </c>
    </row>
    <row r="1017">
      <c r="A1017" s="8">
        <v>46183.94653405093</v>
      </c>
      <c r="B1017" s="2" t="s">
        <v>840</v>
      </c>
      <c r="C1017" s="2" t="s">
        <v>773</v>
      </c>
      <c r="D1017" s="2" t="s">
        <v>930</v>
      </c>
    </row>
    <row r="1018">
      <c r="A1018" s="8">
        <v>46183.9465396875</v>
      </c>
      <c r="B1018" s="2" t="s">
        <v>840</v>
      </c>
      <c r="C1018" s="2" t="s">
        <v>783</v>
      </c>
      <c r="D1018" s="2" t="s">
        <v>931</v>
      </c>
    </row>
    <row r="1019">
      <c r="A1019" s="8">
        <v>46183.94654179398</v>
      </c>
      <c r="B1019" s="2" t="s">
        <v>894</v>
      </c>
      <c r="C1019" s="2"/>
      <c r="D1019" s="2" t="s">
        <v>995</v>
      </c>
    </row>
    <row r="1020">
      <c r="A1020" s="8">
        <v>46183.988103993055</v>
      </c>
      <c r="B1020" s="2" t="s">
        <v>798</v>
      </c>
      <c r="C1020" s="2" t="s">
        <v>799</v>
      </c>
      <c r="D1020" s="2" t="s">
        <v>800</v>
      </c>
    </row>
    <row r="1021">
      <c r="A1021" s="8">
        <v>46183.98810758102</v>
      </c>
      <c r="B1021" s="2" t="s">
        <v>838</v>
      </c>
      <c r="C1021" s="2" t="s">
        <v>802</v>
      </c>
      <c r="D1021" s="2" t="s">
        <v>839</v>
      </c>
    </row>
    <row r="1022">
      <c r="A1022" s="8">
        <v>46183.988114155094</v>
      </c>
      <c r="B1022" s="2" t="s">
        <v>798</v>
      </c>
      <c r="C1022" s="2" t="s">
        <v>812</v>
      </c>
      <c r="D1022" s="2" t="s">
        <v>813</v>
      </c>
    </row>
    <row r="1023">
      <c r="A1023" s="8">
        <v>46183.988128854166</v>
      </c>
      <c r="B1023" s="2" t="s">
        <v>838</v>
      </c>
      <c r="C1023" s="2" t="s">
        <v>818</v>
      </c>
      <c r="D1023" s="2" t="s">
        <v>853</v>
      </c>
    </row>
    <row r="1024">
      <c r="A1024" s="8">
        <v>46183.98813363426</v>
      </c>
      <c r="B1024" s="2" t="s">
        <v>798</v>
      </c>
      <c r="C1024" s="2" t="s">
        <v>830</v>
      </c>
      <c r="D1024" s="2" t="s">
        <v>831</v>
      </c>
    </row>
    <row r="1025">
      <c r="A1025" s="8">
        <v>46183.98813680555</v>
      </c>
      <c r="B1025" s="2" t="s">
        <v>832</v>
      </c>
      <c r="C1025" s="2"/>
      <c r="D1025" s="2" t="s">
        <v>977</v>
      </c>
    </row>
    <row r="1026">
      <c r="A1026" s="8">
        <v>46183.98821092593</v>
      </c>
      <c r="B1026" s="2" t="s">
        <v>840</v>
      </c>
      <c r="C1026" s="2" t="s">
        <v>773</v>
      </c>
      <c r="D1026" s="2" t="s">
        <v>930</v>
      </c>
    </row>
    <row r="1027">
      <c r="A1027" s="8">
        <v>46183.98821373843</v>
      </c>
      <c r="B1027" s="2" t="s">
        <v>840</v>
      </c>
      <c r="C1027" s="2" t="s">
        <v>783</v>
      </c>
      <c r="D1027" s="2" t="s">
        <v>931</v>
      </c>
    </row>
    <row r="1028">
      <c r="A1028" s="8">
        <v>46183.98821898148</v>
      </c>
      <c r="B1028" s="2" t="s">
        <v>894</v>
      </c>
      <c r="C1028" s="2"/>
      <c r="D1028" s="2" t="s">
        <v>995</v>
      </c>
    </row>
    <row r="1029">
      <c r="A1029" s="8">
        <v>46184.029779965276</v>
      </c>
      <c r="B1029" s="2" t="s">
        <v>798</v>
      </c>
      <c r="C1029" s="2" t="s">
        <v>799</v>
      </c>
      <c r="D1029" s="2" t="s">
        <v>800</v>
      </c>
    </row>
    <row r="1030">
      <c r="A1030" s="8">
        <v>46184.02978449074</v>
      </c>
      <c r="B1030" s="2" t="s">
        <v>838</v>
      </c>
      <c r="C1030" s="2" t="s">
        <v>802</v>
      </c>
      <c r="D1030" s="2" t="s">
        <v>839</v>
      </c>
    </row>
    <row r="1031">
      <c r="A1031" s="8">
        <v>46184.02979320602</v>
      </c>
      <c r="B1031" s="2" t="s">
        <v>798</v>
      </c>
      <c r="C1031" s="2" t="s">
        <v>812</v>
      </c>
      <c r="D1031" s="2" t="s">
        <v>813</v>
      </c>
    </row>
    <row r="1032">
      <c r="A1032" s="8">
        <v>46184.02980737269</v>
      </c>
      <c r="B1032" s="2" t="s">
        <v>838</v>
      </c>
      <c r="C1032" s="2" t="s">
        <v>818</v>
      </c>
      <c r="D1032" s="2" t="s">
        <v>853</v>
      </c>
    </row>
    <row r="1033">
      <c r="A1033" s="8">
        <v>46184.029812465276</v>
      </c>
      <c r="B1033" s="2" t="s">
        <v>798</v>
      </c>
      <c r="C1033" s="2" t="s">
        <v>830</v>
      </c>
      <c r="D1033" s="2" t="s">
        <v>831</v>
      </c>
    </row>
    <row r="1034">
      <c r="A1034" s="8">
        <v>46184.02982596065</v>
      </c>
      <c r="B1034" s="2" t="s">
        <v>832</v>
      </c>
      <c r="C1034" s="2"/>
      <c r="D1034" s="2" t="s">
        <v>977</v>
      </c>
    </row>
    <row r="1035">
      <c r="A1035" s="8">
        <v>46184.02989614583</v>
      </c>
      <c r="B1035" s="2" t="s">
        <v>840</v>
      </c>
      <c r="C1035" s="2" t="s">
        <v>773</v>
      </c>
      <c r="D1035" s="2" t="s">
        <v>930</v>
      </c>
    </row>
    <row r="1036">
      <c r="A1036" s="8">
        <v>46184.02990925926</v>
      </c>
      <c r="B1036" s="2" t="s">
        <v>840</v>
      </c>
      <c r="C1036" s="2" t="s">
        <v>783</v>
      </c>
      <c r="D1036" s="2" t="s">
        <v>931</v>
      </c>
    </row>
    <row r="1037">
      <c r="A1037" s="8">
        <v>46184.02991701389</v>
      </c>
      <c r="B1037" s="2" t="s">
        <v>894</v>
      </c>
      <c r="C1037" s="2"/>
      <c r="D1037" s="2" t="s">
        <v>995</v>
      </c>
    </row>
    <row r="1038">
      <c r="A1038" s="8">
        <v>46184.07146172454</v>
      </c>
      <c r="B1038" s="2" t="s">
        <v>798</v>
      </c>
      <c r="C1038" s="2" t="s">
        <v>799</v>
      </c>
      <c r="D1038" s="2" t="s">
        <v>800</v>
      </c>
    </row>
    <row r="1039">
      <c r="A1039" s="8">
        <v>46184.0714661574</v>
      </c>
      <c r="B1039" s="2" t="s">
        <v>838</v>
      </c>
      <c r="C1039" s="2" t="s">
        <v>802</v>
      </c>
      <c r="D1039" s="2" t="s">
        <v>839</v>
      </c>
    </row>
    <row r="1040">
      <c r="A1040" s="8">
        <v>46184.07147407407</v>
      </c>
      <c r="B1040" s="2" t="s">
        <v>798</v>
      </c>
      <c r="C1040" s="2" t="s">
        <v>812</v>
      </c>
      <c r="D1040" s="2" t="s">
        <v>813</v>
      </c>
    </row>
    <row r="1041">
      <c r="A1041" s="8">
        <v>46184.07148450232</v>
      </c>
      <c r="B1041" s="2" t="s">
        <v>838</v>
      </c>
      <c r="C1041" s="2" t="s">
        <v>818</v>
      </c>
      <c r="D1041" s="2" t="s">
        <v>853</v>
      </c>
    </row>
    <row r="1042">
      <c r="A1042" s="8">
        <v>46184.07149243055</v>
      </c>
      <c r="B1042" s="2" t="s">
        <v>798</v>
      </c>
      <c r="C1042" s="2" t="s">
        <v>830</v>
      </c>
      <c r="D1042" s="2" t="s">
        <v>831</v>
      </c>
    </row>
    <row r="1043">
      <c r="A1043" s="8">
        <v>46184.07149587963</v>
      </c>
      <c r="B1043" s="2" t="s">
        <v>832</v>
      </c>
      <c r="C1043" s="2"/>
      <c r="D1043" s="2" t="s">
        <v>977</v>
      </c>
    </row>
    <row r="1044">
      <c r="A1044" s="8">
        <v>46184.071565509264</v>
      </c>
      <c r="B1044" s="2" t="s">
        <v>840</v>
      </c>
      <c r="C1044" s="2" t="s">
        <v>773</v>
      </c>
      <c r="D1044" s="2" t="s">
        <v>930</v>
      </c>
    </row>
    <row r="1045">
      <c r="A1045" s="8">
        <v>46184.071569085645</v>
      </c>
      <c r="B1045" s="2" t="s">
        <v>840</v>
      </c>
      <c r="C1045" s="2" t="s">
        <v>783</v>
      </c>
      <c r="D1045" s="2" t="s">
        <v>931</v>
      </c>
    </row>
    <row r="1046">
      <c r="A1046" s="8">
        <v>46184.07157230324</v>
      </c>
      <c r="B1046" s="2" t="s">
        <v>894</v>
      </c>
      <c r="C1046" s="2"/>
      <c r="D1046" s="2" t="s">
        <v>995</v>
      </c>
    </row>
    <row r="1047">
      <c r="A1047" s="8">
        <v>46184.113098333335</v>
      </c>
      <c r="B1047" s="2" t="s">
        <v>798</v>
      </c>
      <c r="C1047" s="2" t="s">
        <v>799</v>
      </c>
      <c r="D1047" s="2" t="s">
        <v>800</v>
      </c>
    </row>
    <row r="1048">
      <c r="A1048" s="8">
        <v>46184.113101469906</v>
      </c>
      <c r="B1048" s="2" t="s">
        <v>838</v>
      </c>
      <c r="C1048" s="2" t="s">
        <v>802</v>
      </c>
      <c r="D1048" s="2" t="s">
        <v>839</v>
      </c>
    </row>
    <row r="1049">
      <c r="A1049" s="8">
        <v>46184.11310582176</v>
      </c>
      <c r="B1049" s="2" t="s">
        <v>798</v>
      </c>
      <c r="C1049" s="2" t="s">
        <v>812</v>
      </c>
      <c r="D1049" s="2" t="s">
        <v>813</v>
      </c>
    </row>
    <row r="1050">
      <c r="A1050" s="8">
        <v>46184.11310920139</v>
      </c>
      <c r="B1050" s="2" t="s">
        <v>838</v>
      </c>
      <c r="C1050" s="2" t="s">
        <v>818</v>
      </c>
      <c r="D1050" s="2" t="s">
        <v>853</v>
      </c>
    </row>
    <row r="1051">
      <c r="A1051" s="8">
        <v>46184.11312364583</v>
      </c>
      <c r="B1051" s="2" t="s">
        <v>798</v>
      </c>
      <c r="C1051" s="2" t="s">
        <v>830</v>
      </c>
      <c r="D1051" s="2" t="s">
        <v>831</v>
      </c>
    </row>
    <row r="1052">
      <c r="A1052" s="8">
        <v>46184.11312592593</v>
      </c>
      <c r="B1052" s="2" t="s">
        <v>832</v>
      </c>
      <c r="C1052" s="2"/>
      <c r="D1052" s="2" t="s">
        <v>977</v>
      </c>
    </row>
    <row r="1053">
      <c r="A1053" s="8">
        <v>46184.11318569444</v>
      </c>
      <c r="B1053" s="2" t="s">
        <v>840</v>
      </c>
      <c r="C1053" s="2" t="s">
        <v>773</v>
      </c>
      <c r="D1053" s="2" t="s">
        <v>930</v>
      </c>
    </row>
    <row r="1054">
      <c r="A1054" s="8">
        <v>46184.11318811342</v>
      </c>
      <c r="B1054" s="2" t="s">
        <v>840</v>
      </c>
      <c r="C1054" s="2" t="s">
        <v>783</v>
      </c>
      <c r="D1054" s="2" t="s">
        <v>931</v>
      </c>
    </row>
    <row r="1055">
      <c r="A1055" s="8">
        <v>46184.11319037037</v>
      </c>
      <c r="B1055" s="2" t="s">
        <v>894</v>
      </c>
      <c r="C1055" s="2"/>
      <c r="D1055" s="2" t="s">
        <v>995</v>
      </c>
    </row>
    <row r="1056">
      <c r="A1056" s="8">
        <v>46184.15478996528</v>
      </c>
      <c r="B1056" s="2" t="s">
        <v>798</v>
      </c>
      <c r="C1056" s="2" t="s">
        <v>799</v>
      </c>
      <c r="D1056" s="2" t="s">
        <v>800</v>
      </c>
    </row>
    <row r="1057">
      <c r="A1057" s="8">
        <v>46184.15479421296</v>
      </c>
      <c r="B1057" s="2" t="s">
        <v>838</v>
      </c>
      <c r="C1057" s="2" t="s">
        <v>802</v>
      </c>
      <c r="D1057" s="2" t="s">
        <v>839</v>
      </c>
    </row>
    <row r="1058">
      <c r="A1058" s="8">
        <v>46184.15480200232</v>
      </c>
      <c r="B1058" s="2" t="s">
        <v>798</v>
      </c>
      <c r="C1058" s="2" t="s">
        <v>812</v>
      </c>
      <c r="D1058" s="2" t="s">
        <v>813</v>
      </c>
    </row>
    <row r="1059">
      <c r="A1059" s="8">
        <v>46184.154814849535</v>
      </c>
      <c r="B1059" s="2" t="s">
        <v>838</v>
      </c>
      <c r="C1059" s="2" t="s">
        <v>818</v>
      </c>
      <c r="D1059" s="2" t="s">
        <v>853</v>
      </c>
    </row>
    <row r="1060">
      <c r="A1060" s="8">
        <v>46184.15481900463</v>
      </c>
      <c r="B1060" s="2" t="s">
        <v>798</v>
      </c>
      <c r="C1060" s="2" t="s">
        <v>830</v>
      </c>
      <c r="D1060" s="2" t="s">
        <v>831</v>
      </c>
    </row>
    <row r="1061">
      <c r="A1061" s="8">
        <v>46184.15482247685</v>
      </c>
      <c r="B1061" s="2" t="s">
        <v>832</v>
      </c>
      <c r="C1061" s="2"/>
      <c r="D1061" s="2" t="s">
        <v>977</v>
      </c>
    </row>
    <row r="1062">
      <c r="A1062" s="8">
        <v>46184.15489747685</v>
      </c>
      <c r="B1062" s="2" t="s">
        <v>840</v>
      </c>
      <c r="C1062" s="2" t="s">
        <v>773</v>
      </c>
      <c r="D1062" s="2" t="s">
        <v>930</v>
      </c>
    </row>
    <row r="1063">
      <c r="A1063" s="8">
        <v>46184.154901076385</v>
      </c>
      <c r="B1063" s="2" t="s">
        <v>840</v>
      </c>
      <c r="C1063" s="2" t="s">
        <v>783</v>
      </c>
      <c r="D1063" s="2" t="s">
        <v>931</v>
      </c>
    </row>
    <row r="1064">
      <c r="A1064" s="8">
        <v>46184.15490418981</v>
      </c>
      <c r="B1064" s="2" t="s">
        <v>894</v>
      </c>
      <c r="C1064" s="2"/>
      <c r="D1064" s="2" t="s">
        <v>995</v>
      </c>
    </row>
    <row r="1065">
      <c r="A1065" s="8">
        <v>46184.19644826389</v>
      </c>
      <c r="B1065" s="2" t="s">
        <v>798</v>
      </c>
      <c r="C1065" s="2" t="s">
        <v>799</v>
      </c>
      <c r="D1065" s="2" t="s">
        <v>800</v>
      </c>
    </row>
    <row r="1066">
      <c r="A1066" s="8">
        <v>46184.196455868056</v>
      </c>
      <c r="B1066" s="2" t="s">
        <v>838</v>
      </c>
      <c r="C1066" s="2" t="s">
        <v>802</v>
      </c>
      <c r="D1066" s="2" t="s">
        <v>839</v>
      </c>
    </row>
    <row r="1067">
      <c r="A1067" s="8">
        <v>46184.19646373842</v>
      </c>
      <c r="B1067" s="2" t="s">
        <v>798</v>
      </c>
      <c r="C1067" s="2" t="s">
        <v>812</v>
      </c>
      <c r="D1067" s="2" t="s">
        <v>813</v>
      </c>
    </row>
    <row r="1068">
      <c r="A1068" s="8">
        <v>46184.196477418984</v>
      </c>
      <c r="B1068" s="2" t="s">
        <v>838</v>
      </c>
      <c r="C1068" s="2" t="s">
        <v>818</v>
      </c>
      <c r="D1068" s="2" t="s">
        <v>853</v>
      </c>
    </row>
    <row r="1069">
      <c r="A1069" s="8">
        <v>46184.19648134259</v>
      </c>
      <c r="B1069" s="2" t="s">
        <v>798</v>
      </c>
      <c r="C1069" s="2" t="s">
        <v>830</v>
      </c>
      <c r="D1069" s="2" t="s">
        <v>831</v>
      </c>
    </row>
    <row r="1070">
      <c r="A1070" s="8">
        <v>46184.196484224536</v>
      </c>
      <c r="B1070" s="2" t="s">
        <v>832</v>
      </c>
      <c r="C1070" s="2"/>
      <c r="D1070" s="2" t="s">
        <v>977</v>
      </c>
    </row>
    <row r="1071">
      <c r="A1071" s="8">
        <v>46184.196557083334</v>
      </c>
      <c r="B1071" s="2" t="s">
        <v>840</v>
      </c>
      <c r="C1071" s="2" t="s">
        <v>773</v>
      </c>
      <c r="D1071" s="2" t="s">
        <v>930</v>
      </c>
    </row>
    <row r="1072">
      <c r="A1072" s="8">
        <v>46184.19656049769</v>
      </c>
      <c r="B1072" s="2" t="s">
        <v>840</v>
      </c>
      <c r="C1072" s="2" t="s">
        <v>783</v>
      </c>
      <c r="D1072" s="2" t="s">
        <v>931</v>
      </c>
    </row>
    <row r="1073">
      <c r="A1073" s="8">
        <v>46184.19656402778</v>
      </c>
      <c r="B1073" s="2" t="s">
        <v>894</v>
      </c>
      <c r="C1073" s="2"/>
      <c r="D1073" s="2" t="s">
        <v>995</v>
      </c>
    </row>
    <row r="1074">
      <c r="A1074" s="8">
        <v>46184.23811976852</v>
      </c>
      <c r="B1074" s="2" t="s">
        <v>798</v>
      </c>
      <c r="C1074" s="2" t="s">
        <v>799</v>
      </c>
      <c r="D1074" s="2" t="s">
        <v>800</v>
      </c>
    </row>
    <row r="1075">
      <c r="A1075" s="8">
        <v>46184.2381239699</v>
      </c>
      <c r="B1075" s="2" t="s">
        <v>838</v>
      </c>
      <c r="C1075" s="2" t="s">
        <v>802</v>
      </c>
      <c r="D1075" s="2" t="s">
        <v>839</v>
      </c>
    </row>
    <row r="1076">
      <c r="A1076" s="8">
        <v>46184.23813037037</v>
      </c>
      <c r="B1076" s="2" t="s">
        <v>798</v>
      </c>
      <c r="C1076" s="2" t="s">
        <v>812</v>
      </c>
      <c r="D1076" s="2" t="s">
        <v>813</v>
      </c>
    </row>
    <row r="1077">
      <c r="A1077" s="8">
        <v>46184.23814667824</v>
      </c>
      <c r="B1077" s="2" t="s">
        <v>838</v>
      </c>
      <c r="C1077" s="2" t="s">
        <v>818</v>
      </c>
      <c r="D1077" s="2" t="s">
        <v>853</v>
      </c>
    </row>
    <row r="1078">
      <c r="A1078" s="8">
        <v>46184.23815215278</v>
      </c>
      <c r="B1078" s="2" t="s">
        <v>798</v>
      </c>
      <c r="C1078" s="2" t="s">
        <v>830</v>
      </c>
      <c r="D1078" s="2" t="s">
        <v>831</v>
      </c>
    </row>
    <row r="1079">
      <c r="A1079" s="8">
        <v>46184.238155370374</v>
      </c>
      <c r="B1079" s="2" t="s">
        <v>832</v>
      </c>
      <c r="C1079" s="2"/>
      <c r="D1079" s="2" t="s">
        <v>977</v>
      </c>
    </row>
    <row r="1080">
      <c r="A1080" s="8">
        <v>46184.23823130787</v>
      </c>
      <c r="B1080" s="2" t="s">
        <v>840</v>
      </c>
      <c r="C1080" s="2" t="s">
        <v>773</v>
      </c>
      <c r="D1080" s="2" t="s">
        <v>930</v>
      </c>
    </row>
    <row r="1081">
      <c r="A1081" s="8">
        <v>46184.238235</v>
      </c>
      <c r="B1081" s="2" t="s">
        <v>840</v>
      </c>
      <c r="C1081" s="2" t="s">
        <v>783</v>
      </c>
      <c r="D1081" s="2" t="s">
        <v>931</v>
      </c>
    </row>
    <row r="1082">
      <c r="A1082" s="8">
        <v>46184.23823798611</v>
      </c>
      <c r="B1082" s="2" t="s">
        <v>894</v>
      </c>
      <c r="C1082" s="2"/>
      <c r="D1082" s="2" t="s">
        <v>995</v>
      </c>
    </row>
    <row r="1083">
      <c r="A1083" s="8">
        <v>46184.27976585648</v>
      </c>
      <c r="B1083" s="2" t="s">
        <v>798</v>
      </c>
      <c r="C1083" s="2" t="s">
        <v>799</v>
      </c>
      <c r="D1083" s="2" t="s">
        <v>800</v>
      </c>
    </row>
    <row r="1084">
      <c r="A1084" s="8">
        <v>46184.27976802083</v>
      </c>
      <c r="B1084" s="2" t="s">
        <v>838</v>
      </c>
      <c r="C1084" s="2" t="s">
        <v>802</v>
      </c>
      <c r="D1084" s="2" t="s">
        <v>839</v>
      </c>
    </row>
    <row r="1085">
      <c r="A1085" s="8">
        <v>46184.27977173611</v>
      </c>
      <c r="B1085" s="2" t="s">
        <v>798</v>
      </c>
      <c r="C1085" s="2" t="s">
        <v>812</v>
      </c>
      <c r="D1085" s="2" t="s">
        <v>813</v>
      </c>
    </row>
    <row r="1086">
      <c r="A1086" s="8">
        <v>46184.27978965278</v>
      </c>
      <c r="B1086" s="2" t="s">
        <v>838</v>
      </c>
      <c r="C1086" s="2" t="s">
        <v>818</v>
      </c>
      <c r="D1086" s="2" t="s">
        <v>853</v>
      </c>
    </row>
    <row r="1087">
      <c r="A1087" s="8">
        <v>46184.27979240741</v>
      </c>
      <c r="B1087" s="2" t="s">
        <v>798</v>
      </c>
      <c r="C1087" s="2" t="s">
        <v>830</v>
      </c>
      <c r="D1087" s="2" t="s">
        <v>831</v>
      </c>
    </row>
    <row r="1088">
      <c r="A1088" s="8">
        <v>46184.27979446759</v>
      </c>
      <c r="B1088" s="2" t="s">
        <v>832</v>
      </c>
      <c r="C1088" s="2"/>
      <c r="D1088" s="2" t="s">
        <v>977</v>
      </c>
    </row>
    <row r="1089">
      <c r="A1089" s="8">
        <v>46184.27985825231</v>
      </c>
      <c r="B1089" s="2" t="s">
        <v>840</v>
      </c>
      <c r="C1089" s="2" t="s">
        <v>773</v>
      </c>
      <c r="D1089" s="2" t="s">
        <v>930</v>
      </c>
    </row>
    <row r="1090">
      <c r="A1090" s="8">
        <v>46184.27986056713</v>
      </c>
      <c r="B1090" s="2" t="s">
        <v>840</v>
      </c>
      <c r="C1090" s="2" t="s">
        <v>783</v>
      </c>
      <c r="D1090" s="2" t="s">
        <v>931</v>
      </c>
    </row>
    <row r="1091">
      <c r="A1091" s="8">
        <v>46184.27986259259</v>
      </c>
      <c r="B1091" s="2" t="s">
        <v>894</v>
      </c>
      <c r="C1091" s="2"/>
      <c r="D1091" s="2" t="s">
        <v>995</v>
      </c>
    </row>
    <row r="1092">
      <c r="A1092" s="8">
        <v>46184.321464374996</v>
      </c>
      <c r="B1092" s="2" t="s">
        <v>798</v>
      </c>
      <c r="C1092" s="2" t="s">
        <v>799</v>
      </c>
      <c r="D1092" s="2" t="s">
        <v>800</v>
      </c>
    </row>
    <row r="1093">
      <c r="A1093" s="8">
        <v>46184.32147142361</v>
      </c>
      <c r="B1093" s="2" t="s">
        <v>838</v>
      </c>
      <c r="C1093" s="2" t="s">
        <v>802</v>
      </c>
      <c r="D1093" s="2" t="s">
        <v>839</v>
      </c>
    </row>
    <row r="1094">
      <c r="A1094" s="8">
        <v>46184.32149487268</v>
      </c>
      <c r="B1094" s="2" t="s">
        <v>798</v>
      </c>
      <c r="C1094" s="2" t="s">
        <v>812</v>
      </c>
      <c r="D1094" s="2" t="s">
        <v>813</v>
      </c>
    </row>
    <row r="1095">
      <c r="A1095" s="8">
        <v>46184.321498171295</v>
      </c>
      <c r="B1095" s="2" t="s">
        <v>838</v>
      </c>
      <c r="C1095" s="2" t="s">
        <v>818</v>
      </c>
      <c r="D1095" s="2" t="s">
        <v>853</v>
      </c>
    </row>
    <row r="1096">
      <c r="A1096" s="8">
        <v>46184.32150315972</v>
      </c>
      <c r="B1096" s="2" t="s">
        <v>798</v>
      </c>
      <c r="C1096" s="2" t="s">
        <v>830</v>
      </c>
      <c r="D1096" s="2" t="s">
        <v>831</v>
      </c>
    </row>
    <row r="1097">
      <c r="A1097" s="8">
        <v>46184.321505879634</v>
      </c>
      <c r="B1097" s="2" t="s">
        <v>832</v>
      </c>
      <c r="C1097" s="2"/>
      <c r="D1097" s="2" t="s">
        <v>977</v>
      </c>
    </row>
    <row r="1098">
      <c r="A1098" s="8">
        <v>46184.32157892361</v>
      </c>
      <c r="B1098" s="2" t="s">
        <v>840</v>
      </c>
      <c r="C1098" s="2" t="s">
        <v>773</v>
      </c>
      <c r="D1098" s="2" t="s">
        <v>930</v>
      </c>
    </row>
    <row r="1099">
      <c r="A1099" s="8">
        <v>46184.321582743054</v>
      </c>
      <c r="B1099" s="2" t="s">
        <v>840</v>
      </c>
      <c r="C1099" s="2" t="s">
        <v>783</v>
      </c>
      <c r="D1099" s="2" t="s">
        <v>931</v>
      </c>
    </row>
    <row r="1100">
      <c r="A1100" s="8">
        <v>46184.32159166667</v>
      </c>
      <c r="B1100" s="2" t="s">
        <v>894</v>
      </c>
      <c r="C1100" s="2"/>
      <c r="D1100" s="2" t="s">
        <v>995</v>
      </c>
    </row>
    <row r="1101">
      <c r="A1101" s="8">
        <v>46184.363111886574</v>
      </c>
      <c r="B1101" s="2" t="s">
        <v>798</v>
      </c>
      <c r="C1101" s="2" t="s">
        <v>799</v>
      </c>
      <c r="D1101" s="2" t="s">
        <v>800</v>
      </c>
    </row>
    <row r="1102">
      <c r="A1102" s="8">
        <v>46184.363114733795</v>
      </c>
      <c r="B1102" s="2" t="s">
        <v>838</v>
      </c>
      <c r="C1102" s="2" t="s">
        <v>802</v>
      </c>
      <c r="D1102" s="2" t="s">
        <v>839</v>
      </c>
    </row>
    <row r="1103">
      <c r="A1103" s="8">
        <v>46184.363122256946</v>
      </c>
      <c r="B1103" s="2" t="s">
        <v>798</v>
      </c>
      <c r="C1103" s="2" t="s">
        <v>812</v>
      </c>
      <c r="D1103" s="2" t="s">
        <v>813</v>
      </c>
    </row>
    <row r="1104">
      <c r="A1104" s="8">
        <v>46184.363138472225</v>
      </c>
      <c r="B1104" s="2" t="s">
        <v>838</v>
      </c>
      <c r="C1104" s="2" t="s">
        <v>818</v>
      </c>
      <c r="D1104" s="2" t="s">
        <v>853</v>
      </c>
    </row>
    <row r="1105">
      <c r="A1105" s="8">
        <v>46184.3631503125</v>
      </c>
      <c r="B1105" s="2" t="s">
        <v>798</v>
      </c>
      <c r="C1105" s="2" t="s">
        <v>830</v>
      </c>
      <c r="D1105" s="2" t="s">
        <v>831</v>
      </c>
    </row>
    <row r="1106">
      <c r="A1106" s="8">
        <v>46184.363153680555</v>
      </c>
      <c r="B1106" s="2" t="s">
        <v>832</v>
      </c>
      <c r="C1106" s="2"/>
      <c r="D1106" s="2" t="s">
        <v>977</v>
      </c>
    </row>
    <row r="1107">
      <c r="A1107" s="8">
        <v>46184.363237997684</v>
      </c>
      <c r="B1107" s="2" t="s">
        <v>840</v>
      </c>
      <c r="C1107" s="2" t="s">
        <v>773</v>
      </c>
      <c r="D1107" s="2" t="s">
        <v>930</v>
      </c>
    </row>
    <row r="1108">
      <c r="A1108" s="8">
        <v>46184.36324116898</v>
      </c>
      <c r="B1108" s="2" t="s">
        <v>840</v>
      </c>
      <c r="C1108" s="2" t="s">
        <v>783</v>
      </c>
      <c r="D1108" s="2" t="s">
        <v>931</v>
      </c>
    </row>
    <row r="1109">
      <c r="A1109" s="8">
        <v>46184.36324493056</v>
      </c>
      <c r="B1109" s="2" t="s">
        <v>894</v>
      </c>
      <c r="C1109" s="2"/>
      <c r="D1109" s="2" t="s">
        <v>995</v>
      </c>
    </row>
    <row r="1110">
      <c r="A1110" s="8">
        <v>46184.404809687505</v>
      </c>
      <c r="B1110" s="2" t="s">
        <v>798</v>
      </c>
      <c r="C1110" s="2" t="s">
        <v>799</v>
      </c>
      <c r="D1110" s="2" t="s">
        <v>800</v>
      </c>
    </row>
    <row r="1111">
      <c r="A1111" s="8">
        <v>46184.40481581019</v>
      </c>
      <c r="B1111" s="2" t="s">
        <v>838</v>
      </c>
      <c r="C1111" s="2" t="s">
        <v>802</v>
      </c>
      <c r="D1111" s="2" t="s">
        <v>839</v>
      </c>
    </row>
    <row r="1112">
      <c r="A1112" s="8">
        <v>46184.40482609953</v>
      </c>
      <c r="B1112" s="2" t="s">
        <v>798</v>
      </c>
      <c r="C1112" s="2" t="s">
        <v>812</v>
      </c>
      <c r="D1112" s="2" t="s">
        <v>813</v>
      </c>
    </row>
    <row r="1113">
      <c r="A1113" s="8">
        <v>46184.40484969907</v>
      </c>
      <c r="B1113" s="2" t="s">
        <v>838</v>
      </c>
      <c r="C1113" s="2" t="s">
        <v>818</v>
      </c>
      <c r="D1113" s="2" t="s">
        <v>853</v>
      </c>
    </row>
    <row r="1114">
      <c r="A1114" s="8">
        <v>46184.40485748842</v>
      </c>
      <c r="B1114" s="2" t="s">
        <v>798</v>
      </c>
      <c r="C1114" s="2" t="s">
        <v>830</v>
      </c>
      <c r="D1114" s="2" t="s">
        <v>831</v>
      </c>
    </row>
    <row r="1115">
      <c r="A1115" s="8">
        <v>46184.40486097222</v>
      </c>
      <c r="B1115" s="2" t="s">
        <v>832</v>
      </c>
      <c r="C1115" s="2"/>
      <c r="D1115" s="2" t="s">
        <v>977</v>
      </c>
    </row>
    <row r="1116">
      <c r="A1116" s="8">
        <v>46184.404955868056</v>
      </c>
      <c r="B1116" s="2" t="s">
        <v>840</v>
      </c>
      <c r="C1116" s="2" t="s">
        <v>773</v>
      </c>
      <c r="D1116" s="2" t="s">
        <v>930</v>
      </c>
    </row>
    <row r="1117">
      <c r="A1117" s="8">
        <v>46184.40496034722</v>
      </c>
      <c r="B1117" s="2" t="s">
        <v>840</v>
      </c>
      <c r="C1117" s="2" t="s">
        <v>783</v>
      </c>
      <c r="D1117" s="2" t="s">
        <v>931</v>
      </c>
    </row>
    <row r="1118">
      <c r="A1118" s="8">
        <v>46184.40496519676</v>
      </c>
      <c r="B1118" s="2" t="s">
        <v>894</v>
      </c>
      <c r="C1118" s="2"/>
      <c r="D1118" s="2" t="s">
        <v>995</v>
      </c>
    </row>
    <row r="1119">
      <c r="A1119" s="8">
        <v>46184.446455</v>
      </c>
      <c r="B1119" s="2" t="s">
        <v>844</v>
      </c>
      <c r="C1119" s="2" t="s">
        <v>794</v>
      </c>
      <c r="D1119" s="2" t="s">
        <v>1002</v>
      </c>
    </row>
    <row r="1120">
      <c r="A1120" s="8">
        <v>46184.44646910879</v>
      </c>
      <c r="B1120" s="2" t="s">
        <v>798</v>
      </c>
      <c r="C1120" s="2" t="s">
        <v>799</v>
      </c>
      <c r="D1120" s="2" t="s">
        <v>800</v>
      </c>
    </row>
    <row r="1121">
      <c r="A1121" s="8">
        <v>46184.44647241898</v>
      </c>
      <c r="B1121" s="2" t="s">
        <v>838</v>
      </c>
      <c r="C1121" s="2" t="s">
        <v>802</v>
      </c>
      <c r="D1121" s="2" t="s">
        <v>839</v>
      </c>
    </row>
    <row r="1122">
      <c r="A1122" s="8">
        <v>46184.44648388889</v>
      </c>
      <c r="B1122" s="2" t="s">
        <v>798</v>
      </c>
      <c r="C1122" s="2" t="s">
        <v>812</v>
      </c>
      <c r="D1122" s="2" t="s">
        <v>813</v>
      </c>
    </row>
    <row r="1123">
      <c r="A1123" s="8">
        <v>46184.44649508102</v>
      </c>
      <c r="B1123" s="2" t="s">
        <v>838</v>
      </c>
      <c r="C1123" s="2" t="s">
        <v>818</v>
      </c>
      <c r="D1123" s="2" t="s">
        <v>853</v>
      </c>
    </row>
    <row r="1124">
      <c r="A1124" s="8">
        <v>46184.446498391204</v>
      </c>
      <c r="B1124" s="2" t="s">
        <v>798</v>
      </c>
      <c r="C1124" s="2" t="s">
        <v>830</v>
      </c>
      <c r="D1124" s="2" t="s">
        <v>831</v>
      </c>
    </row>
    <row r="1125">
      <c r="A1125" s="8">
        <v>46184.44650167824</v>
      </c>
      <c r="B1125" s="2" t="s">
        <v>832</v>
      </c>
      <c r="C1125" s="2"/>
      <c r="D1125" s="2" t="s">
        <v>997</v>
      </c>
    </row>
    <row r="1126">
      <c r="A1126" s="8">
        <v>46184.446566122686</v>
      </c>
      <c r="B1126" s="2" t="s">
        <v>840</v>
      </c>
      <c r="C1126" s="2" t="s">
        <v>773</v>
      </c>
      <c r="D1126" s="2" t="s">
        <v>930</v>
      </c>
    </row>
    <row r="1127">
      <c r="A1127" s="8">
        <v>46184.44656935185</v>
      </c>
      <c r="B1127" s="2" t="s">
        <v>840</v>
      </c>
      <c r="C1127" s="2" t="s">
        <v>783</v>
      </c>
      <c r="D1127" s="2" t="s">
        <v>931</v>
      </c>
    </row>
    <row r="1128">
      <c r="A1128" s="8">
        <v>46184.446572835644</v>
      </c>
      <c r="B1128" s="2" t="s">
        <v>894</v>
      </c>
      <c r="C1128" s="2"/>
      <c r="D1128" s="2" t="s">
        <v>995</v>
      </c>
    </row>
    <row r="1129">
      <c r="A1129" s="8">
        <v>46184.488112719904</v>
      </c>
      <c r="B1129" s="2" t="s">
        <v>844</v>
      </c>
      <c r="C1129" s="2" t="s">
        <v>794</v>
      </c>
      <c r="D1129" s="2" t="s">
        <v>850</v>
      </c>
    </row>
    <row r="1130">
      <c r="A1130" s="8">
        <v>46184.48811844907</v>
      </c>
      <c r="B1130" s="2" t="s">
        <v>798</v>
      </c>
      <c r="C1130" s="2" t="s">
        <v>799</v>
      </c>
      <c r="D1130" s="2" t="s">
        <v>800</v>
      </c>
    </row>
    <row r="1131">
      <c r="A1131" s="8">
        <v>46184.488121863425</v>
      </c>
      <c r="B1131" s="2" t="s">
        <v>838</v>
      </c>
      <c r="C1131" s="2" t="s">
        <v>802</v>
      </c>
      <c r="D1131" s="2" t="s">
        <v>839</v>
      </c>
    </row>
    <row r="1132">
      <c r="A1132" s="8">
        <v>46184.488139918976</v>
      </c>
      <c r="B1132" s="2" t="s">
        <v>798</v>
      </c>
      <c r="C1132" s="2" t="s">
        <v>812</v>
      </c>
      <c r="D1132" s="2" t="s">
        <v>813</v>
      </c>
    </row>
    <row r="1133">
      <c r="A1133" s="8">
        <v>46184.48814262731</v>
      </c>
      <c r="B1133" s="2" t="s">
        <v>838</v>
      </c>
      <c r="C1133" s="2" t="s">
        <v>818</v>
      </c>
      <c r="D1133" s="2" t="s">
        <v>853</v>
      </c>
    </row>
    <row r="1134">
      <c r="A1134" s="8">
        <v>46184.48814806713</v>
      </c>
      <c r="B1134" s="2" t="s">
        <v>798</v>
      </c>
      <c r="C1134" s="2" t="s">
        <v>830</v>
      </c>
      <c r="D1134" s="2" t="s">
        <v>831</v>
      </c>
    </row>
    <row r="1135">
      <c r="A1135" s="8">
        <v>46184.488150474535</v>
      </c>
      <c r="B1135" s="2" t="s">
        <v>832</v>
      </c>
      <c r="C1135" s="2"/>
      <c r="D1135" s="2" t="s">
        <v>997</v>
      </c>
    </row>
    <row r="1136">
      <c r="A1136" s="8">
        <v>46184.4882224537</v>
      </c>
      <c r="B1136" s="2" t="s">
        <v>844</v>
      </c>
      <c r="C1136" s="2" t="s">
        <v>750</v>
      </c>
      <c r="D1136" s="2" t="s">
        <v>1003</v>
      </c>
    </row>
    <row r="1137">
      <c r="A1137" s="8">
        <v>46184.4882272338</v>
      </c>
      <c r="B1137" s="2" t="s">
        <v>840</v>
      </c>
      <c r="C1137" s="2" t="s">
        <v>773</v>
      </c>
      <c r="D1137" s="2" t="s">
        <v>930</v>
      </c>
    </row>
    <row r="1138">
      <c r="A1138" s="8">
        <v>46184.488229780094</v>
      </c>
      <c r="B1138" s="2" t="s">
        <v>840</v>
      </c>
      <c r="C1138" s="2" t="s">
        <v>783</v>
      </c>
      <c r="D1138" s="2" t="s">
        <v>931</v>
      </c>
    </row>
    <row r="1139">
      <c r="A1139" s="8">
        <v>46184.488237233796</v>
      </c>
      <c r="B1139" s="2" t="s">
        <v>894</v>
      </c>
      <c r="C1139" s="2"/>
      <c r="D1139" s="2" t="s">
        <v>1004</v>
      </c>
    </row>
    <row r="1140">
      <c r="A1140" s="8">
        <v>46184.52980134259</v>
      </c>
      <c r="B1140" s="2" t="s">
        <v>798</v>
      </c>
      <c r="C1140" s="2" t="s">
        <v>799</v>
      </c>
      <c r="D1140" s="2" t="s">
        <v>800</v>
      </c>
    </row>
    <row r="1141">
      <c r="A1141" s="8">
        <v>46184.529804247686</v>
      </c>
      <c r="B1141" s="2" t="s">
        <v>838</v>
      </c>
      <c r="C1141" s="2" t="s">
        <v>802</v>
      </c>
      <c r="D1141" s="2" t="s">
        <v>839</v>
      </c>
    </row>
    <row r="1142">
      <c r="A1142" s="8">
        <v>46184.529828645835</v>
      </c>
      <c r="B1142" s="2" t="s">
        <v>798</v>
      </c>
      <c r="C1142" s="2" t="s">
        <v>812</v>
      </c>
      <c r="D1142" s="2" t="s">
        <v>813</v>
      </c>
    </row>
    <row r="1143">
      <c r="A1143" s="8">
        <v>46184.52983782407</v>
      </c>
      <c r="B1143" s="2" t="s">
        <v>838</v>
      </c>
      <c r="C1143" s="2" t="s">
        <v>818</v>
      </c>
      <c r="D1143" s="2" t="s">
        <v>853</v>
      </c>
    </row>
    <row r="1144">
      <c r="A1144" s="8">
        <v>46184.529841678246</v>
      </c>
      <c r="B1144" s="2" t="s">
        <v>798</v>
      </c>
      <c r="C1144" s="2" t="s">
        <v>830</v>
      </c>
      <c r="D1144" s="2" t="s">
        <v>831</v>
      </c>
    </row>
    <row r="1145">
      <c r="A1145" s="8">
        <v>46184.529843854165</v>
      </c>
      <c r="B1145" s="2" t="s">
        <v>832</v>
      </c>
      <c r="C1145" s="2"/>
      <c r="D1145" s="2" t="s">
        <v>977</v>
      </c>
    </row>
    <row r="1146">
      <c r="A1146" s="8">
        <v>46184.52993056713</v>
      </c>
      <c r="B1146" s="2" t="s">
        <v>844</v>
      </c>
      <c r="C1146" s="2" t="s">
        <v>750</v>
      </c>
      <c r="D1146" s="2" t="s">
        <v>1005</v>
      </c>
    </row>
    <row r="1147">
      <c r="A1147" s="8">
        <v>46184.52993619213</v>
      </c>
      <c r="B1147" s="2" t="s">
        <v>840</v>
      </c>
      <c r="C1147" s="2" t="s">
        <v>773</v>
      </c>
      <c r="D1147" s="2" t="s">
        <v>930</v>
      </c>
    </row>
    <row r="1148">
      <c r="A1148" s="8">
        <v>46184.52993884259</v>
      </c>
      <c r="B1148" s="2" t="s">
        <v>840</v>
      </c>
      <c r="C1148" s="2" t="s">
        <v>783</v>
      </c>
      <c r="D1148" s="2" t="s">
        <v>931</v>
      </c>
    </row>
    <row r="1149">
      <c r="A1149" s="8">
        <v>46184.52994113426</v>
      </c>
      <c r="B1149" s="2" t="s">
        <v>894</v>
      </c>
      <c r="C1149" s="2"/>
      <c r="D1149" s="2" t="s">
        <v>1004</v>
      </c>
    </row>
    <row r="1150">
      <c r="A1150" s="8">
        <v>46184.571442546294</v>
      </c>
      <c r="B1150" s="2" t="s">
        <v>798</v>
      </c>
      <c r="C1150" s="2" t="s">
        <v>799</v>
      </c>
      <c r="D1150" s="2" t="s">
        <v>800</v>
      </c>
    </row>
    <row r="1151">
      <c r="A1151" s="8">
        <v>46184.57144659723</v>
      </c>
      <c r="B1151" s="2" t="s">
        <v>838</v>
      </c>
      <c r="C1151" s="2" t="s">
        <v>802</v>
      </c>
      <c r="D1151" s="2" t="s">
        <v>839</v>
      </c>
    </row>
    <row r="1152">
      <c r="A1152" s="8">
        <v>46184.57145484954</v>
      </c>
      <c r="B1152" s="2" t="s">
        <v>798</v>
      </c>
      <c r="C1152" s="2" t="s">
        <v>812</v>
      </c>
      <c r="D1152" s="2" t="s">
        <v>813</v>
      </c>
    </row>
    <row r="1153">
      <c r="A1153" s="8">
        <v>46184.57146737268</v>
      </c>
      <c r="B1153" s="2" t="s">
        <v>838</v>
      </c>
      <c r="C1153" s="2" t="s">
        <v>818</v>
      </c>
      <c r="D1153" s="2" t="s">
        <v>853</v>
      </c>
    </row>
    <row r="1154">
      <c r="A1154" s="8">
        <v>46184.571472696756</v>
      </c>
      <c r="B1154" s="2" t="s">
        <v>798</v>
      </c>
      <c r="C1154" s="2" t="s">
        <v>830</v>
      </c>
      <c r="D1154" s="2" t="s">
        <v>831</v>
      </c>
    </row>
    <row r="1155">
      <c r="A1155" s="8">
        <v>46184.57147565972</v>
      </c>
      <c r="B1155" s="2" t="s">
        <v>832</v>
      </c>
      <c r="C1155" s="2"/>
      <c r="D1155" s="2" t="s">
        <v>977</v>
      </c>
    </row>
    <row r="1156">
      <c r="A1156" s="8">
        <v>46184.57155315972</v>
      </c>
      <c r="B1156" s="2" t="s">
        <v>840</v>
      </c>
      <c r="C1156" s="2" t="s">
        <v>773</v>
      </c>
      <c r="D1156" s="2" t="s">
        <v>930</v>
      </c>
    </row>
    <row r="1157">
      <c r="A1157" s="8">
        <v>46184.57155688657</v>
      </c>
      <c r="B1157" s="2" t="s">
        <v>840</v>
      </c>
      <c r="C1157" s="2" t="s">
        <v>783</v>
      </c>
      <c r="D1157" s="2" t="s">
        <v>931</v>
      </c>
    </row>
    <row r="1158">
      <c r="A1158" s="8">
        <v>46184.57156003472</v>
      </c>
      <c r="B1158" s="2" t="s">
        <v>894</v>
      </c>
      <c r="C1158" s="2"/>
      <c r="D1158" s="2" t="s">
        <v>995</v>
      </c>
    </row>
    <row r="1159">
      <c r="A1159" s="8">
        <v>46184.61311605324</v>
      </c>
      <c r="B1159" s="2" t="s">
        <v>798</v>
      </c>
      <c r="C1159" s="2" t="s">
        <v>799</v>
      </c>
      <c r="D1159" s="2" t="s">
        <v>800</v>
      </c>
    </row>
    <row r="1160">
      <c r="A1160" s="8">
        <v>46184.613118761576</v>
      </c>
      <c r="B1160" s="2" t="s">
        <v>838</v>
      </c>
      <c r="C1160" s="2" t="s">
        <v>802</v>
      </c>
      <c r="D1160" s="2" t="s">
        <v>839</v>
      </c>
    </row>
    <row r="1161">
      <c r="A1161" s="8">
        <v>46184.61312417824</v>
      </c>
      <c r="B1161" s="2" t="s">
        <v>798</v>
      </c>
      <c r="C1161" s="2" t="s">
        <v>812</v>
      </c>
      <c r="D1161" s="2" t="s">
        <v>813</v>
      </c>
    </row>
    <row r="1162">
      <c r="A1162" s="8">
        <v>46184.613137175926</v>
      </c>
      <c r="B1162" s="2" t="s">
        <v>838</v>
      </c>
      <c r="C1162" s="2" t="s">
        <v>818</v>
      </c>
      <c r="D1162" s="2" t="s">
        <v>853</v>
      </c>
    </row>
    <row r="1163">
      <c r="A1163" s="8">
        <v>46184.61314149306</v>
      </c>
      <c r="B1163" s="2" t="s">
        <v>798</v>
      </c>
      <c r="C1163" s="2" t="s">
        <v>830</v>
      </c>
      <c r="D1163" s="2" t="s">
        <v>831</v>
      </c>
    </row>
    <row r="1164">
      <c r="A1164" s="8">
        <v>46184.61314347222</v>
      </c>
      <c r="B1164" s="2" t="s">
        <v>832</v>
      </c>
      <c r="C1164" s="2"/>
      <c r="D1164" s="2" t="s">
        <v>977</v>
      </c>
    </row>
    <row r="1165">
      <c r="A1165" s="8">
        <v>46184.613208194445</v>
      </c>
      <c r="B1165" s="2" t="s">
        <v>840</v>
      </c>
      <c r="C1165" s="2" t="s">
        <v>773</v>
      </c>
      <c r="D1165" s="2" t="s">
        <v>930</v>
      </c>
    </row>
    <row r="1166">
      <c r="A1166" s="8">
        <v>46184.61321074074</v>
      </c>
      <c r="B1166" s="2" t="s">
        <v>840</v>
      </c>
      <c r="C1166" s="2" t="s">
        <v>783</v>
      </c>
      <c r="D1166" s="2" t="s">
        <v>931</v>
      </c>
    </row>
    <row r="1167">
      <c r="A1167" s="8">
        <v>46184.61321292824</v>
      </c>
      <c r="B1167" s="2" t="s">
        <v>894</v>
      </c>
      <c r="C1167" s="2"/>
      <c r="D1167" s="2" t="s">
        <v>995</v>
      </c>
    </row>
    <row r="1168">
      <c r="A1168" s="8">
        <v>46184.654815625</v>
      </c>
      <c r="B1168" s="2" t="s">
        <v>798</v>
      </c>
      <c r="C1168" s="2" t="s">
        <v>799</v>
      </c>
      <c r="D1168" s="2" t="s">
        <v>800</v>
      </c>
    </row>
    <row r="1169">
      <c r="A1169" s="8">
        <v>46184.65481931713</v>
      </c>
      <c r="B1169" s="2" t="s">
        <v>838</v>
      </c>
      <c r="C1169" s="2" t="s">
        <v>802</v>
      </c>
      <c r="D1169" s="2" t="s">
        <v>839</v>
      </c>
    </row>
    <row r="1170">
      <c r="A1170" s="8">
        <v>46184.65483508102</v>
      </c>
      <c r="B1170" s="2" t="s">
        <v>798</v>
      </c>
      <c r="C1170" s="2" t="s">
        <v>812</v>
      </c>
      <c r="D1170" s="2" t="s">
        <v>813</v>
      </c>
    </row>
    <row r="1171">
      <c r="A1171" s="8">
        <v>46184.65483837963</v>
      </c>
      <c r="B1171" s="2" t="s">
        <v>838</v>
      </c>
      <c r="C1171" s="2" t="s">
        <v>818</v>
      </c>
      <c r="D1171" s="2" t="s">
        <v>853</v>
      </c>
    </row>
    <row r="1172">
      <c r="A1172" s="8">
        <v>46184.65484594907</v>
      </c>
      <c r="B1172" s="2" t="s">
        <v>798</v>
      </c>
      <c r="C1172" s="2" t="s">
        <v>830</v>
      </c>
      <c r="D1172" s="2" t="s">
        <v>831</v>
      </c>
    </row>
    <row r="1173">
      <c r="A1173" s="8">
        <v>46184.654849432874</v>
      </c>
      <c r="B1173" s="2" t="s">
        <v>832</v>
      </c>
      <c r="C1173" s="2"/>
      <c r="D1173" s="2" t="s">
        <v>977</v>
      </c>
    </row>
    <row r="1174">
      <c r="A1174" s="8">
        <v>46184.65494767361</v>
      </c>
      <c r="B1174" s="2" t="s">
        <v>840</v>
      </c>
      <c r="C1174" s="2" t="s">
        <v>773</v>
      </c>
      <c r="D1174" s="2" t="s">
        <v>930</v>
      </c>
    </row>
    <row r="1175">
      <c r="A1175" s="8">
        <v>46184.654953854166</v>
      </c>
      <c r="B1175" s="2" t="s">
        <v>840</v>
      </c>
      <c r="C1175" s="2" t="s">
        <v>783</v>
      </c>
      <c r="D1175" s="2" t="s">
        <v>931</v>
      </c>
    </row>
    <row r="1176">
      <c r="A1176" s="8">
        <v>46184.65495829861</v>
      </c>
      <c r="B1176" s="2" t="s">
        <v>894</v>
      </c>
      <c r="C1176" s="2"/>
      <c r="D1176" s="2" t="s">
        <v>995</v>
      </c>
    </row>
    <row r="1177">
      <c r="A1177" s="8">
        <v>46184.69645072917</v>
      </c>
      <c r="B1177" s="2" t="s">
        <v>798</v>
      </c>
      <c r="C1177" s="2" t="s">
        <v>799</v>
      </c>
      <c r="D1177" s="2" t="s">
        <v>800</v>
      </c>
    </row>
    <row r="1178">
      <c r="A1178" s="8">
        <v>46184.696454942125</v>
      </c>
      <c r="B1178" s="2" t="s">
        <v>838</v>
      </c>
      <c r="C1178" s="2" t="s">
        <v>802</v>
      </c>
      <c r="D1178" s="2" t="s">
        <v>839</v>
      </c>
    </row>
    <row r="1179">
      <c r="A1179" s="8">
        <v>46184.69646229167</v>
      </c>
      <c r="B1179" s="2" t="s">
        <v>798</v>
      </c>
      <c r="C1179" s="2" t="s">
        <v>812</v>
      </c>
      <c r="D1179" s="2" t="s">
        <v>813</v>
      </c>
    </row>
    <row r="1180">
      <c r="A1180" s="8">
        <v>46184.69647362268</v>
      </c>
      <c r="B1180" s="2" t="s">
        <v>838</v>
      </c>
      <c r="C1180" s="2" t="s">
        <v>818</v>
      </c>
      <c r="D1180" s="2" t="s">
        <v>853</v>
      </c>
    </row>
    <row r="1181">
      <c r="A1181" s="8">
        <v>46184.69648125</v>
      </c>
      <c r="B1181" s="2" t="s">
        <v>798</v>
      </c>
      <c r="C1181" s="2" t="s">
        <v>830</v>
      </c>
      <c r="D1181" s="2" t="s">
        <v>831</v>
      </c>
    </row>
    <row r="1182">
      <c r="A1182" s="8">
        <v>46184.69648508102</v>
      </c>
      <c r="B1182" s="2" t="s">
        <v>832</v>
      </c>
      <c r="C1182" s="2"/>
      <c r="D1182" s="2" t="s">
        <v>977</v>
      </c>
    </row>
    <row r="1183">
      <c r="A1183" s="8">
        <v>46184.69657741898</v>
      </c>
      <c r="B1183" s="2" t="s">
        <v>840</v>
      </c>
      <c r="C1183" s="2" t="s">
        <v>773</v>
      </c>
      <c r="D1183" s="2" t="s">
        <v>930</v>
      </c>
    </row>
    <row r="1184">
      <c r="A1184" s="8">
        <v>46184.69658163194</v>
      </c>
      <c r="B1184" s="2" t="s">
        <v>840</v>
      </c>
      <c r="C1184" s="2" t="s">
        <v>783</v>
      </c>
      <c r="D1184" s="2" t="s">
        <v>931</v>
      </c>
    </row>
    <row r="1185">
      <c r="A1185" s="8">
        <v>46184.696587071754</v>
      </c>
      <c r="B1185" s="2" t="s">
        <v>894</v>
      </c>
      <c r="C1185" s="2"/>
      <c r="D1185" s="2" t="s">
        <v>995</v>
      </c>
    </row>
    <row r="1186">
      <c r="A1186" s="8">
        <v>46184.73810462963</v>
      </c>
      <c r="B1186" s="2" t="s">
        <v>798</v>
      </c>
      <c r="C1186" s="2" t="s">
        <v>799</v>
      </c>
      <c r="D1186" s="2" t="s">
        <v>800</v>
      </c>
    </row>
    <row r="1187">
      <c r="A1187" s="8">
        <v>46184.73810828704</v>
      </c>
      <c r="B1187" s="2" t="s">
        <v>838</v>
      </c>
      <c r="C1187" s="2" t="s">
        <v>802</v>
      </c>
      <c r="D1187" s="2" t="s">
        <v>839</v>
      </c>
    </row>
    <row r="1188">
      <c r="A1188" s="8">
        <v>46184.738115914355</v>
      </c>
      <c r="B1188" s="2" t="s">
        <v>798</v>
      </c>
      <c r="C1188" s="2" t="s">
        <v>812</v>
      </c>
      <c r="D1188" s="2" t="s">
        <v>813</v>
      </c>
    </row>
    <row r="1189">
      <c r="A1189" s="8">
        <v>46184.73812797454</v>
      </c>
      <c r="B1189" s="2" t="s">
        <v>838</v>
      </c>
      <c r="C1189" s="2" t="s">
        <v>818</v>
      </c>
      <c r="D1189" s="2" t="s">
        <v>853</v>
      </c>
    </row>
    <row r="1190">
      <c r="A1190" s="8">
        <v>46184.73813370371</v>
      </c>
      <c r="B1190" s="2" t="s">
        <v>798</v>
      </c>
      <c r="C1190" s="2" t="s">
        <v>830</v>
      </c>
      <c r="D1190" s="2" t="s">
        <v>831</v>
      </c>
    </row>
    <row r="1191">
      <c r="A1191" s="8">
        <v>46184.73813712963</v>
      </c>
      <c r="B1191" s="2" t="s">
        <v>832</v>
      </c>
      <c r="C1191" s="2"/>
      <c r="D1191" s="2" t="s">
        <v>977</v>
      </c>
    </row>
    <row r="1192">
      <c r="A1192" s="8">
        <v>46184.73820961805</v>
      </c>
      <c r="B1192" s="2" t="s">
        <v>840</v>
      </c>
      <c r="C1192" s="2" t="s">
        <v>773</v>
      </c>
      <c r="D1192" s="2" t="s">
        <v>930</v>
      </c>
    </row>
    <row r="1193">
      <c r="A1193" s="8">
        <v>46184.73821293982</v>
      </c>
      <c r="B1193" s="2" t="s">
        <v>840</v>
      </c>
      <c r="C1193" s="2" t="s">
        <v>783</v>
      </c>
      <c r="D1193" s="2" t="s">
        <v>931</v>
      </c>
    </row>
    <row r="1194">
      <c r="A1194" s="8">
        <v>46184.73821600694</v>
      </c>
      <c r="B1194" s="2" t="s">
        <v>894</v>
      </c>
      <c r="C1194" s="2"/>
      <c r="D1194" s="2" t="s">
        <v>995</v>
      </c>
    </row>
    <row r="1195">
      <c r="A1195" s="8">
        <v>46184.77977086806</v>
      </c>
      <c r="B1195" s="2" t="s">
        <v>798</v>
      </c>
      <c r="C1195" s="2" t="s">
        <v>799</v>
      </c>
      <c r="D1195" s="2" t="s">
        <v>800</v>
      </c>
    </row>
    <row r="1196">
      <c r="A1196" s="8">
        <v>46184.77977474537</v>
      </c>
      <c r="B1196" s="2" t="s">
        <v>838</v>
      </c>
      <c r="C1196" s="2" t="s">
        <v>802</v>
      </c>
      <c r="D1196" s="2" t="s">
        <v>839</v>
      </c>
    </row>
    <row r="1197">
      <c r="A1197" s="8">
        <v>46184.77978008102</v>
      </c>
      <c r="B1197" s="2" t="s">
        <v>798</v>
      </c>
      <c r="C1197" s="2" t="s">
        <v>812</v>
      </c>
      <c r="D1197" s="2" t="s">
        <v>813</v>
      </c>
    </row>
    <row r="1198">
      <c r="A1198" s="8">
        <v>46184.7797990625</v>
      </c>
      <c r="B1198" s="2" t="s">
        <v>838</v>
      </c>
      <c r="C1198" s="2" t="s">
        <v>818</v>
      </c>
      <c r="D1198" s="2" t="s">
        <v>853</v>
      </c>
    </row>
    <row r="1199">
      <c r="A1199" s="8">
        <v>46184.77980318287</v>
      </c>
      <c r="B1199" s="2" t="s">
        <v>798</v>
      </c>
      <c r="C1199" s="2" t="s">
        <v>830</v>
      </c>
      <c r="D1199" s="2" t="s">
        <v>831</v>
      </c>
    </row>
    <row r="1200">
      <c r="A1200" s="8">
        <v>46184.779806770835</v>
      </c>
      <c r="B1200" s="2" t="s">
        <v>832</v>
      </c>
      <c r="C1200" s="2"/>
      <c r="D1200" s="2" t="s">
        <v>977</v>
      </c>
    </row>
    <row r="1201">
      <c r="A1201" s="8">
        <v>46184.77987046297</v>
      </c>
      <c r="B1201" s="2" t="s">
        <v>840</v>
      </c>
      <c r="C1201" s="2" t="s">
        <v>773</v>
      </c>
      <c r="D1201" s="2" t="s">
        <v>930</v>
      </c>
    </row>
    <row r="1202">
      <c r="A1202" s="8">
        <v>46184.779873472224</v>
      </c>
      <c r="B1202" s="2" t="s">
        <v>840</v>
      </c>
      <c r="C1202" s="2" t="s">
        <v>783</v>
      </c>
      <c r="D1202" s="2" t="s">
        <v>931</v>
      </c>
    </row>
    <row r="1203">
      <c r="A1203" s="8">
        <v>46184.779876898145</v>
      </c>
      <c r="B1203" s="2" t="s">
        <v>894</v>
      </c>
      <c r="C1203" s="2"/>
      <c r="D1203" s="2" t="s">
        <v>995</v>
      </c>
    </row>
    <row r="1204">
      <c r="A1204" s="8">
        <v>46184.82145606482</v>
      </c>
      <c r="B1204" s="2" t="s">
        <v>798</v>
      </c>
      <c r="C1204" s="2" t="s">
        <v>799</v>
      </c>
      <c r="D1204" s="2" t="s">
        <v>800</v>
      </c>
    </row>
    <row r="1205">
      <c r="A1205" s="8">
        <v>46184.821459756946</v>
      </c>
      <c r="B1205" s="2" t="s">
        <v>838</v>
      </c>
      <c r="C1205" s="2" t="s">
        <v>802</v>
      </c>
      <c r="D1205" s="2" t="s">
        <v>839</v>
      </c>
    </row>
    <row r="1206">
      <c r="A1206" s="8">
        <v>46184.821465914356</v>
      </c>
      <c r="B1206" s="2" t="s">
        <v>798</v>
      </c>
      <c r="C1206" s="2" t="s">
        <v>812</v>
      </c>
      <c r="D1206" s="2" t="s">
        <v>813</v>
      </c>
    </row>
    <row r="1207">
      <c r="A1207" s="8">
        <v>46184.821480694445</v>
      </c>
      <c r="B1207" s="2" t="s">
        <v>838</v>
      </c>
      <c r="C1207" s="2" t="s">
        <v>818</v>
      </c>
      <c r="D1207" s="2" t="s">
        <v>853</v>
      </c>
    </row>
    <row r="1208">
      <c r="A1208" s="8">
        <v>46184.82148521991</v>
      </c>
      <c r="B1208" s="2" t="s">
        <v>798</v>
      </c>
      <c r="C1208" s="2" t="s">
        <v>830</v>
      </c>
      <c r="D1208" s="2" t="s">
        <v>831</v>
      </c>
    </row>
    <row r="1209">
      <c r="A1209" s="8">
        <v>46184.82148918981</v>
      </c>
      <c r="B1209" s="2" t="s">
        <v>832</v>
      </c>
      <c r="C1209" s="2"/>
      <c r="D1209" s="2" t="s">
        <v>977</v>
      </c>
    </row>
    <row r="1210">
      <c r="A1210" s="8">
        <v>46184.821565254635</v>
      </c>
      <c r="B1210" s="2" t="s">
        <v>840</v>
      </c>
      <c r="C1210" s="2" t="s">
        <v>773</v>
      </c>
      <c r="D1210" s="2" t="s">
        <v>930</v>
      </c>
    </row>
    <row r="1211">
      <c r="A1211" s="8">
        <v>46184.82156885417</v>
      </c>
      <c r="B1211" s="2" t="s">
        <v>840</v>
      </c>
      <c r="C1211" s="2" t="s">
        <v>783</v>
      </c>
      <c r="D1211" s="2" t="s">
        <v>931</v>
      </c>
    </row>
    <row r="1212">
      <c r="A1212" s="8">
        <v>46184.821572430556</v>
      </c>
      <c r="B1212" s="2" t="s">
        <v>894</v>
      </c>
      <c r="C1212" s="2"/>
      <c r="D1212" s="2" t="s">
        <v>995</v>
      </c>
    </row>
    <row r="1213">
      <c r="A1213" s="8">
        <v>46184.86310452546</v>
      </c>
      <c r="B1213" s="2" t="s">
        <v>798</v>
      </c>
      <c r="C1213" s="2" t="s">
        <v>799</v>
      </c>
      <c r="D1213" s="2" t="s">
        <v>800</v>
      </c>
    </row>
    <row r="1214">
      <c r="A1214" s="8">
        <v>46184.86310872685</v>
      </c>
      <c r="B1214" s="2" t="s">
        <v>838</v>
      </c>
      <c r="C1214" s="2" t="s">
        <v>802</v>
      </c>
      <c r="D1214" s="2" t="s">
        <v>839</v>
      </c>
    </row>
    <row r="1215">
      <c r="A1215" s="8">
        <v>46184.863115127315</v>
      </c>
      <c r="B1215" s="2" t="s">
        <v>798</v>
      </c>
      <c r="C1215" s="2" t="s">
        <v>812</v>
      </c>
      <c r="D1215" s="2" t="s">
        <v>813</v>
      </c>
    </row>
    <row r="1216">
      <c r="A1216" s="8">
        <v>46184.86312923611</v>
      </c>
      <c r="B1216" s="2" t="s">
        <v>838</v>
      </c>
      <c r="C1216" s="2" t="s">
        <v>818</v>
      </c>
      <c r="D1216" s="2" t="s">
        <v>853</v>
      </c>
    </row>
    <row r="1217">
      <c r="A1217" s="8">
        <v>46184.863137465276</v>
      </c>
      <c r="B1217" s="2" t="s">
        <v>991</v>
      </c>
      <c r="C1217" s="2" t="s">
        <v>820</v>
      </c>
      <c r="D1217" s="2" t="s">
        <v>1006</v>
      </c>
    </row>
    <row r="1218">
      <c r="A1218" s="8">
        <v>46184.86314478009</v>
      </c>
      <c r="B1218" s="2" t="s">
        <v>798</v>
      </c>
      <c r="C1218" s="2" t="s">
        <v>830</v>
      </c>
      <c r="D1218" s="2" t="s">
        <v>831</v>
      </c>
    </row>
    <row r="1219">
      <c r="A1219" s="8">
        <v>46184.86314792824</v>
      </c>
      <c r="B1219" s="2" t="s">
        <v>832</v>
      </c>
      <c r="C1219" s="2"/>
      <c r="D1219" s="2" t="s">
        <v>961</v>
      </c>
    </row>
    <row r="1220">
      <c r="A1220" s="8">
        <v>46184.86322269676</v>
      </c>
      <c r="B1220" s="2" t="s">
        <v>844</v>
      </c>
      <c r="C1220" s="2" t="s">
        <v>554</v>
      </c>
      <c r="D1220" s="2" t="s">
        <v>1007</v>
      </c>
    </row>
    <row r="1221">
      <c r="A1221" s="8">
        <v>46184.86323038195</v>
      </c>
      <c r="B1221" s="2" t="s">
        <v>840</v>
      </c>
      <c r="C1221" s="2" t="s">
        <v>773</v>
      </c>
      <c r="D1221" s="2" t="s">
        <v>930</v>
      </c>
    </row>
    <row r="1222">
      <c r="A1222" s="8">
        <v>46184.86323454861</v>
      </c>
      <c r="B1222" s="2" t="s">
        <v>840</v>
      </c>
      <c r="C1222" s="2" t="s">
        <v>783</v>
      </c>
      <c r="D1222" s="2" t="s">
        <v>931</v>
      </c>
    </row>
    <row r="1223">
      <c r="A1223" s="8">
        <v>46184.863238935184</v>
      </c>
      <c r="B1223" s="2" t="s">
        <v>894</v>
      </c>
      <c r="C1223" s="2"/>
      <c r="D1223" s="2" t="s">
        <v>1004</v>
      </c>
    </row>
    <row r="1224">
      <c r="A1224" s="8">
        <v>46184.90478702546</v>
      </c>
      <c r="B1224" s="2" t="s">
        <v>798</v>
      </c>
      <c r="C1224" s="2" t="s">
        <v>799</v>
      </c>
      <c r="D1224" s="2" t="s">
        <v>800</v>
      </c>
    </row>
    <row r="1225">
      <c r="A1225" s="8">
        <v>46184.904791168985</v>
      </c>
      <c r="B1225" s="2" t="s">
        <v>838</v>
      </c>
      <c r="C1225" s="2" t="s">
        <v>802</v>
      </c>
      <c r="D1225" s="2" t="s">
        <v>839</v>
      </c>
    </row>
    <row r="1226">
      <c r="A1226" s="8">
        <v>46184.90481644676</v>
      </c>
      <c r="B1226" s="2" t="s">
        <v>798</v>
      </c>
      <c r="C1226" s="2" t="s">
        <v>812</v>
      </c>
      <c r="D1226" s="2" t="s">
        <v>813</v>
      </c>
    </row>
    <row r="1227">
      <c r="A1227" s="8">
        <v>46184.90482109954</v>
      </c>
      <c r="B1227" s="2" t="s">
        <v>838</v>
      </c>
      <c r="C1227" s="2" t="s">
        <v>818</v>
      </c>
      <c r="D1227" s="2" t="s">
        <v>853</v>
      </c>
    </row>
    <row r="1228">
      <c r="A1228" s="8">
        <v>46184.90482811343</v>
      </c>
      <c r="B1228" s="2" t="s">
        <v>798</v>
      </c>
      <c r="C1228" s="2" t="s">
        <v>830</v>
      </c>
      <c r="D1228" s="2" t="s">
        <v>831</v>
      </c>
    </row>
    <row r="1229">
      <c r="A1229" s="8">
        <v>46184.90483167824</v>
      </c>
      <c r="B1229" s="2" t="s">
        <v>832</v>
      </c>
      <c r="C1229" s="2"/>
      <c r="D1229" s="2" t="s">
        <v>977</v>
      </c>
    </row>
    <row r="1230">
      <c r="A1230" s="8">
        <v>46184.904922222224</v>
      </c>
      <c r="B1230" s="2" t="s">
        <v>844</v>
      </c>
      <c r="C1230" s="2" t="s">
        <v>554</v>
      </c>
      <c r="D1230" s="2" t="s">
        <v>927</v>
      </c>
    </row>
    <row r="1231">
      <c r="A1231" s="8">
        <v>46184.90492988426</v>
      </c>
      <c r="B1231" s="2" t="s">
        <v>840</v>
      </c>
      <c r="C1231" s="2" t="s">
        <v>773</v>
      </c>
      <c r="D1231" s="2" t="s">
        <v>930</v>
      </c>
    </row>
    <row r="1232">
      <c r="A1232" s="8">
        <v>46184.904933356476</v>
      </c>
      <c r="B1232" s="2" t="s">
        <v>840</v>
      </c>
      <c r="C1232" s="2" t="s">
        <v>783</v>
      </c>
      <c r="D1232" s="2" t="s">
        <v>931</v>
      </c>
    </row>
    <row r="1233">
      <c r="A1233" s="8">
        <v>46184.90493694444</v>
      </c>
      <c r="B1233" s="2" t="s">
        <v>894</v>
      </c>
      <c r="C1233" s="2"/>
      <c r="D1233" s="2" t="s">
        <v>1004</v>
      </c>
    </row>
    <row r="1234">
      <c r="A1234" s="8">
        <v>46184.91708297454</v>
      </c>
      <c r="B1234" s="2" t="s">
        <v>863</v>
      </c>
      <c r="C1234" s="2"/>
      <c r="D1234" s="2" t="s">
        <v>1000</v>
      </c>
    </row>
    <row r="1235">
      <c r="A1235" s="8">
        <v>46184.94643517361</v>
      </c>
      <c r="B1235" s="2" t="s">
        <v>798</v>
      </c>
      <c r="C1235" s="2" t="s">
        <v>799</v>
      </c>
      <c r="D1235" s="2" t="s">
        <v>800</v>
      </c>
    </row>
    <row r="1236">
      <c r="A1236" s="8">
        <v>46184.94643793981</v>
      </c>
      <c r="B1236" s="2" t="s">
        <v>838</v>
      </c>
      <c r="C1236" s="2" t="s">
        <v>802</v>
      </c>
      <c r="D1236" s="2" t="s">
        <v>839</v>
      </c>
    </row>
    <row r="1237">
      <c r="A1237" s="8">
        <v>46184.946444305555</v>
      </c>
      <c r="B1237" s="2" t="s">
        <v>798</v>
      </c>
      <c r="C1237" s="2" t="s">
        <v>812</v>
      </c>
      <c r="D1237" s="2" t="s">
        <v>813</v>
      </c>
    </row>
    <row r="1238">
      <c r="A1238" s="8">
        <v>46184.94645628472</v>
      </c>
      <c r="B1238" s="2" t="s">
        <v>838</v>
      </c>
      <c r="C1238" s="2" t="s">
        <v>818</v>
      </c>
      <c r="D1238" s="2" t="s">
        <v>853</v>
      </c>
    </row>
    <row r="1239">
      <c r="A1239" s="8">
        <v>46184.9464596412</v>
      </c>
      <c r="B1239" s="2" t="s">
        <v>798</v>
      </c>
      <c r="C1239" s="2" t="s">
        <v>830</v>
      </c>
      <c r="D1239" s="2" t="s">
        <v>831</v>
      </c>
    </row>
    <row r="1240">
      <c r="A1240" s="8">
        <v>46184.94646186342</v>
      </c>
      <c r="B1240" s="2" t="s">
        <v>832</v>
      </c>
      <c r="C1240" s="2"/>
      <c r="D1240" s="2" t="s">
        <v>977</v>
      </c>
    </row>
    <row r="1241">
      <c r="A1241" s="8">
        <v>46184.94652336805</v>
      </c>
      <c r="B1241" s="2" t="s">
        <v>840</v>
      </c>
      <c r="C1241" s="2" t="s">
        <v>773</v>
      </c>
      <c r="D1241" s="2" t="s">
        <v>930</v>
      </c>
    </row>
    <row r="1242">
      <c r="A1242" s="8">
        <v>46184.94652556713</v>
      </c>
      <c r="B1242" s="2" t="s">
        <v>840</v>
      </c>
      <c r="C1242" s="2" t="s">
        <v>783</v>
      </c>
      <c r="D1242" s="2" t="s">
        <v>931</v>
      </c>
    </row>
    <row r="1243">
      <c r="A1243" s="8">
        <v>46184.9465277662</v>
      </c>
      <c r="B1243" s="2" t="s">
        <v>894</v>
      </c>
      <c r="C1243" s="2"/>
      <c r="D1243" s="2" t="s">
        <v>995</v>
      </c>
    </row>
    <row r="1244">
      <c r="A1244" s="8">
        <v>46184.98809416666</v>
      </c>
      <c r="B1244" s="2" t="s">
        <v>798</v>
      </c>
      <c r="C1244" s="2" t="s">
        <v>799</v>
      </c>
      <c r="D1244" s="2" t="s">
        <v>800</v>
      </c>
    </row>
    <row r="1245">
      <c r="A1245" s="8">
        <v>46184.98809759259</v>
      </c>
      <c r="B1245" s="2" t="s">
        <v>838</v>
      </c>
      <c r="C1245" s="2" t="s">
        <v>802</v>
      </c>
      <c r="D1245" s="2" t="s">
        <v>839</v>
      </c>
    </row>
    <row r="1246">
      <c r="A1246" s="8">
        <v>46184.9881021412</v>
      </c>
      <c r="B1246" s="2" t="s">
        <v>798</v>
      </c>
      <c r="C1246" s="2" t="s">
        <v>812</v>
      </c>
      <c r="D1246" s="2" t="s">
        <v>813</v>
      </c>
    </row>
    <row r="1247">
      <c r="A1247" s="8">
        <v>46184.98811854167</v>
      </c>
      <c r="B1247" s="2" t="s">
        <v>838</v>
      </c>
      <c r="C1247" s="2" t="s">
        <v>818</v>
      </c>
      <c r="D1247" s="2" t="s">
        <v>853</v>
      </c>
    </row>
    <row r="1248">
      <c r="A1248" s="8">
        <v>46184.98812127315</v>
      </c>
      <c r="B1248" s="2" t="s">
        <v>798</v>
      </c>
      <c r="C1248" s="2" t="s">
        <v>830</v>
      </c>
      <c r="D1248" s="2" t="s">
        <v>831</v>
      </c>
    </row>
    <row r="1249">
      <c r="A1249" s="8">
        <v>46184.98812326389</v>
      </c>
      <c r="B1249" s="2" t="s">
        <v>832</v>
      </c>
      <c r="C1249" s="2"/>
      <c r="D1249" s="2" t="s">
        <v>977</v>
      </c>
    </row>
    <row r="1250">
      <c r="A1250" s="8">
        <v>46184.98818078704</v>
      </c>
      <c r="B1250" s="2" t="s">
        <v>840</v>
      </c>
      <c r="C1250" s="2" t="s">
        <v>773</v>
      </c>
      <c r="D1250" s="2" t="s">
        <v>930</v>
      </c>
    </row>
    <row r="1251">
      <c r="A1251" s="8">
        <v>46184.9881828588</v>
      </c>
      <c r="B1251" s="2" t="s">
        <v>840</v>
      </c>
      <c r="C1251" s="2" t="s">
        <v>783</v>
      </c>
      <c r="D1251" s="2" t="s">
        <v>931</v>
      </c>
    </row>
    <row r="1252">
      <c r="A1252" s="8">
        <v>46184.9881846875</v>
      </c>
      <c r="B1252" s="2" t="s">
        <v>894</v>
      </c>
      <c r="C1252" s="2"/>
      <c r="D1252" s="2" t="s">
        <v>995</v>
      </c>
    </row>
    <row r="1253">
      <c r="A1253" s="8">
        <v>46185.029779178236</v>
      </c>
      <c r="B1253" s="2" t="s">
        <v>798</v>
      </c>
      <c r="C1253" s="2" t="s">
        <v>799</v>
      </c>
      <c r="D1253" s="2" t="s">
        <v>800</v>
      </c>
    </row>
    <row r="1254">
      <c r="A1254" s="8">
        <v>46185.02978266204</v>
      </c>
      <c r="B1254" s="2" t="s">
        <v>838</v>
      </c>
      <c r="C1254" s="2" t="s">
        <v>802</v>
      </c>
      <c r="D1254" s="2" t="s">
        <v>839</v>
      </c>
    </row>
    <row r="1255">
      <c r="A1255" s="8">
        <v>46185.029787928244</v>
      </c>
      <c r="B1255" s="2" t="s">
        <v>798</v>
      </c>
      <c r="C1255" s="2" t="s">
        <v>812</v>
      </c>
      <c r="D1255" s="2" t="s">
        <v>813</v>
      </c>
    </row>
    <row r="1256">
      <c r="A1256" s="8">
        <v>46185.02980263889</v>
      </c>
      <c r="B1256" s="2" t="s">
        <v>838</v>
      </c>
      <c r="C1256" s="2" t="s">
        <v>818</v>
      </c>
      <c r="D1256" s="2" t="s">
        <v>853</v>
      </c>
    </row>
    <row r="1257">
      <c r="A1257" s="8">
        <v>46185.029812002314</v>
      </c>
      <c r="B1257" s="2" t="s">
        <v>798</v>
      </c>
      <c r="C1257" s="2" t="s">
        <v>830</v>
      </c>
      <c r="D1257" s="2" t="s">
        <v>831</v>
      </c>
    </row>
    <row r="1258">
      <c r="A1258" s="8">
        <v>46185.0298146875</v>
      </c>
      <c r="B1258" s="2" t="s">
        <v>832</v>
      </c>
      <c r="C1258" s="2"/>
      <c r="D1258" s="2" t="s">
        <v>977</v>
      </c>
    </row>
    <row r="1259">
      <c r="A1259" s="8">
        <v>46185.02988336806</v>
      </c>
      <c r="B1259" s="2" t="s">
        <v>840</v>
      </c>
      <c r="C1259" s="2" t="s">
        <v>773</v>
      </c>
      <c r="D1259" s="2" t="s">
        <v>930</v>
      </c>
    </row>
    <row r="1260">
      <c r="A1260" s="8">
        <v>46185.02988729167</v>
      </c>
      <c r="B1260" s="2" t="s">
        <v>840</v>
      </c>
      <c r="C1260" s="2" t="s">
        <v>783</v>
      </c>
      <c r="D1260" s="2" t="s">
        <v>931</v>
      </c>
    </row>
    <row r="1261">
      <c r="A1261" s="8">
        <v>46185.0298896875</v>
      </c>
      <c r="B1261" s="2" t="s">
        <v>894</v>
      </c>
      <c r="C1261" s="2"/>
      <c r="D1261" s="2" t="s">
        <v>995</v>
      </c>
    </row>
    <row r="1262">
      <c r="A1262" s="8">
        <v>46185.07146006945</v>
      </c>
      <c r="B1262" s="2" t="s">
        <v>798</v>
      </c>
      <c r="C1262" s="2" t="s">
        <v>799</v>
      </c>
      <c r="D1262" s="2" t="s">
        <v>800</v>
      </c>
    </row>
    <row r="1263">
      <c r="A1263" s="8">
        <v>46185.071463761575</v>
      </c>
      <c r="B1263" s="2" t="s">
        <v>838</v>
      </c>
      <c r="C1263" s="2" t="s">
        <v>802</v>
      </c>
      <c r="D1263" s="2" t="s">
        <v>839</v>
      </c>
    </row>
    <row r="1264">
      <c r="A1264" s="8">
        <v>46185.07147340278</v>
      </c>
      <c r="B1264" s="2" t="s">
        <v>798</v>
      </c>
      <c r="C1264" s="2" t="s">
        <v>812</v>
      </c>
      <c r="D1264" s="2" t="s">
        <v>813</v>
      </c>
    </row>
    <row r="1265">
      <c r="A1265" s="8">
        <v>46185.071484224536</v>
      </c>
      <c r="B1265" s="2" t="s">
        <v>838</v>
      </c>
      <c r="C1265" s="2" t="s">
        <v>818</v>
      </c>
      <c r="D1265" s="2" t="s">
        <v>853</v>
      </c>
    </row>
    <row r="1266">
      <c r="A1266" s="8">
        <v>46185.0714887037</v>
      </c>
      <c r="B1266" s="2" t="s">
        <v>798</v>
      </c>
      <c r="C1266" s="2" t="s">
        <v>830</v>
      </c>
      <c r="D1266" s="2" t="s">
        <v>831</v>
      </c>
    </row>
    <row r="1267">
      <c r="A1267" s="8">
        <v>46185.07149324074</v>
      </c>
      <c r="B1267" s="2" t="s">
        <v>832</v>
      </c>
      <c r="C1267" s="2"/>
      <c r="D1267" s="2" t="s">
        <v>977</v>
      </c>
    </row>
    <row r="1268">
      <c r="A1268" s="8">
        <v>46185.07157020833</v>
      </c>
      <c r="B1268" s="2" t="s">
        <v>840</v>
      </c>
      <c r="C1268" s="2" t="s">
        <v>773</v>
      </c>
      <c r="D1268" s="2" t="s">
        <v>930</v>
      </c>
    </row>
    <row r="1269">
      <c r="A1269" s="8">
        <v>46185.071574166665</v>
      </c>
      <c r="B1269" s="2" t="s">
        <v>840</v>
      </c>
      <c r="C1269" s="2" t="s">
        <v>783</v>
      </c>
      <c r="D1269" s="2" t="s">
        <v>931</v>
      </c>
    </row>
    <row r="1270">
      <c r="A1270" s="8">
        <v>46185.07157796297</v>
      </c>
      <c r="B1270" s="2" t="s">
        <v>894</v>
      </c>
      <c r="C1270" s="2"/>
      <c r="D1270" s="2" t="s">
        <v>995</v>
      </c>
    </row>
    <row r="1271">
      <c r="A1271" s="8">
        <v>46185.11311280093</v>
      </c>
      <c r="B1271" s="2" t="s">
        <v>798</v>
      </c>
      <c r="C1271" s="2" t="s">
        <v>799</v>
      </c>
      <c r="D1271" s="2" t="s">
        <v>800</v>
      </c>
    </row>
    <row r="1272">
      <c r="A1272" s="8">
        <v>46185.1131165625</v>
      </c>
      <c r="B1272" s="2" t="s">
        <v>838</v>
      </c>
      <c r="C1272" s="2" t="s">
        <v>802</v>
      </c>
      <c r="D1272" s="2" t="s">
        <v>839</v>
      </c>
    </row>
    <row r="1273">
      <c r="A1273" s="8">
        <v>46185.113122106486</v>
      </c>
      <c r="B1273" s="2" t="s">
        <v>798</v>
      </c>
      <c r="C1273" s="2" t="s">
        <v>812</v>
      </c>
      <c r="D1273" s="2" t="s">
        <v>813</v>
      </c>
    </row>
    <row r="1274">
      <c r="A1274" s="8">
        <v>46185.11313424769</v>
      </c>
      <c r="B1274" s="2" t="s">
        <v>838</v>
      </c>
      <c r="C1274" s="2" t="s">
        <v>818</v>
      </c>
      <c r="D1274" s="2" t="s">
        <v>853</v>
      </c>
    </row>
    <row r="1275">
      <c r="A1275" s="8">
        <v>46185.11313886574</v>
      </c>
      <c r="B1275" s="2" t="s">
        <v>798</v>
      </c>
      <c r="C1275" s="2" t="s">
        <v>830</v>
      </c>
      <c r="D1275" s="2" t="s">
        <v>831</v>
      </c>
    </row>
    <row r="1276">
      <c r="A1276" s="8">
        <v>46185.11314233796</v>
      </c>
      <c r="B1276" s="2" t="s">
        <v>832</v>
      </c>
      <c r="C1276" s="2"/>
      <c r="D1276" s="2" t="s">
        <v>977</v>
      </c>
    </row>
    <row r="1277">
      <c r="A1277" s="8">
        <v>46185.11321231481</v>
      </c>
      <c r="B1277" s="2" t="s">
        <v>840</v>
      </c>
      <c r="C1277" s="2" t="s">
        <v>773</v>
      </c>
      <c r="D1277" s="2" t="s">
        <v>930</v>
      </c>
    </row>
    <row r="1278">
      <c r="A1278" s="8">
        <v>46185.113215613426</v>
      </c>
      <c r="B1278" s="2" t="s">
        <v>840</v>
      </c>
      <c r="C1278" s="2" t="s">
        <v>783</v>
      </c>
      <c r="D1278" s="2" t="s">
        <v>931</v>
      </c>
    </row>
    <row r="1279">
      <c r="A1279" s="8">
        <v>46185.113219085644</v>
      </c>
      <c r="B1279" s="2" t="s">
        <v>894</v>
      </c>
      <c r="C1279" s="2"/>
      <c r="D1279" s="2" t="s">
        <v>995</v>
      </c>
    </row>
    <row r="1280">
      <c r="A1280" s="8">
        <v>46185.15477054398</v>
      </c>
      <c r="B1280" s="2" t="s">
        <v>798</v>
      </c>
      <c r="C1280" s="2" t="s">
        <v>799</v>
      </c>
      <c r="D1280" s="2" t="s">
        <v>800</v>
      </c>
    </row>
    <row r="1281">
      <c r="A1281" s="8">
        <v>46185.154772939815</v>
      </c>
      <c r="B1281" s="2" t="s">
        <v>838</v>
      </c>
      <c r="C1281" s="2" t="s">
        <v>802</v>
      </c>
      <c r="D1281" s="2" t="s">
        <v>839</v>
      </c>
    </row>
    <row r="1282">
      <c r="A1282" s="8">
        <v>46185.154775752315</v>
      </c>
      <c r="B1282" s="2" t="s">
        <v>798</v>
      </c>
      <c r="C1282" s="2" t="s">
        <v>812</v>
      </c>
      <c r="D1282" s="2" t="s">
        <v>813</v>
      </c>
    </row>
    <row r="1283">
      <c r="A1283" s="8">
        <v>46185.154778055556</v>
      </c>
      <c r="B1283" s="2" t="s">
        <v>838</v>
      </c>
      <c r="C1283" s="2" t="s">
        <v>818</v>
      </c>
      <c r="D1283" s="2" t="s">
        <v>853</v>
      </c>
    </row>
    <row r="1284">
      <c r="A1284" s="8">
        <v>46185.1547921875</v>
      </c>
      <c r="B1284" s="2" t="s">
        <v>798</v>
      </c>
      <c r="C1284" s="2" t="s">
        <v>830</v>
      </c>
      <c r="D1284" s="2" t="s">
        <v>831</v>
      </c>
    </row>
    <row r="1285">
      <c r="A1285" s="8">
        <v>46185.15479425926</v>
      </c>
      <c r="B1285" s="2" t="s">
        <v>832</v>
      </c>
      <c r="C1285" s="2"/>
      <c r="D1285" s="2" t="s">
        <v>977</v>
      </c>
    </row>
    <row r="1286">
      <c r="A1286" s="8">
        <v>46185.15485525463</v>
      </c>
      <c r="B1286" s="2" t="s">
        <v>844</v>
      </c>
      <c r="C1286" s="2" t="s">
        <v>524</v>
      </c>
      <c r="D1286" s="2" t="s">
        <v>971</v>
      </c>
    </row>
    <row r="1287">
      <c r="A1287" s="8">
        <v>46185.15486056713</v>
      </c>
      <c r="B1287" s="2" t="s">
        <v>840</v>
      </c>
      <c r="C1287" s="2" t="s">
        <v>773</v>
      </c>
      <c r="D1287" s="2" t="s">
        <v>930</v>
      </c>
    </row>
    <row r="1288">
      <c r="A1288" s="8">
        <v>46185.15486248843</v>
      </c>
      <c r="B1288" s="2" t="s">
        <v>840</v>
      </c>
      <c r="C1288" s="2" t="s">
        <v>783</v>
      </c>
      <c r="D1288" s="2" t="s">
        <v>931</v>
      </c>
    </row>
    <row r="1289">
      <c r="A1289" s="8">
        <v>46185.15486451389</v>
      </c>
      <c r="B1289" s="2" t="s">
        <v>894</v>
      </c>
      <c r="C1289" s="2"/>
      <c r="D1289" s="2" t="s">
        <v>1004</v>
      </c>
    </row>
    <row r="1290">
      <c r="A1290" s="8">
        <v>46185.196440266205</v>
      </c>
      <c r="B1290" s="2" t="s">
        <v>798</v>
      </c>
      <c r="C1290" s="2" t="s">
        <v>799</v>
      </c>
      <c r="D1290" s="2" t="s">
        <v>800</v>
      </c>
    </row>
    <row r="1291">
      <c r="A1291" s="8">
        <v>46185.19644315972</v>
      </c>
      <c r="B1291" s="2" t="s">
        <v>838</v>
      </c>
      <c r="C1291" s="2" t="s">
        <v>802</v>
      </c>
      <c r="D1291" s="2" t="s">
        <v>839</v>
      </c>
    </row>
    <row r="1292">
      <c r="A1292" s="8">
        <v>46185.19644774306</v>
      </c>
      <c r="B1292" s="2" t="s">
        <v>798</v>
      </c>
      <c r="C1292" s="2" t="s">
        <v>812</v>
      </c>
      <c r="D1292" s="2" t="s">
        <v>813</v>
      </c>
    </row>
    <row r="1293">
      <c r="A1293" s="8">
        <v>46185.196465879635</v>
      </c>
      <c r="B1293" s="2" t="s">
        <v>838</v>
      </c>
      <c r="C1293" s="2" t="s">
        <v>818</v>
      </c>
      <c r="D1293" s="2" t="s">
        <v>853</v>
      </c>
    </row>
    <row r="1294">
      <c r="A1294" s="8">
        <v>46185.19646957176</v>
      </c>
      <c r="B1294" s="2" t="s">
        <v>798</v>
      </c>
      <c r="C1294" s="2" t="s">
        <v>830</v>
      </c>
      <c r="D1294" s="2" t="s">
        <v>831</v>
      </c>
    </row>
    <row r="1295">
      <c r="A1295" s="8">
        <v>46185.196471944444</v>
      </c>
      <c r="B1295" s="2" t="s">
        <v>832</v>
      </c>
      <c r="C1295" s="2"/>
      <c r="D1295" s="2" t="s">
        <v>977</v>
      </c>
    </row>
    <row r="1296">
      <c r="A1296" s="8">
        <v>46185.19653732639</v>
      </c>
      <c r="B1296" s="2" t="s">
        <v>844</v>
      </c>
      <c r="C1296" s="2" t="s">
        <v>524</v>
      </c>
      <c r="D1296" s="2" t="s">
        <v>919</v>
      </c>
    </row>
    <row r="1297">
      <c r="A1297" s="8">
        <v>46185.19654722222</v>
      </c>
      <c r="B1297" s="2" t="s">
        <v>840</v>
      </c>
      <c r="C1297" s="2" t="s">
        <v>773</v>
      </c>
      <c r="D1297" s="2" t="s">
        <v>930</v>
      </c>
    </row>
    <row r="1298">
      <c r="A1298" s="8">
        <v>46185.196549444445</v>
      </c>
      <c r="B1298" s="2" t="s">
        <v>840</v>
      </c>
      <c r="C1298" s="2" t="s">
        <v>783</v>
      </c>
      <c r="D1298" s="2" t="s">
        <v>931</v>
      </c>
    </row>
    <row r="1299">
      <c r="A1299" s="8">
        <v>46185.196551863424</v>
      </c>
      <c r="B1299" s="2" t="s">
        <v>894</v>
      </c>
      <c r="C1299" s="2"/>
      <c r="D1299" s="2" t="s">
        <v>1004</v>
      </c>
    </row>
    <row r="1300">
      <c r="A1300" s="8">
        <v>46185.238116423614</v>
      </c>
      <c r="B1300" s="2" t="s">
        <v>798</v>
      </c>
      <c r="C1300" s="2" t="s">
        <v>799</v>
      </c>
      <c r="D1300" s="2" t="s">
        <v>800</v>
      </c>
    </row>
    <row r="1301">
      <c r="A1301" s="8">
        <v>46185.23812052084</v>
      </c>
      <c r="B1301" s="2" t="s">
        <v>838</v>
      </c>
      <c r="C1301" s="2" t="s">
        <v>802</v>
      </c>
      <c r="D1301" s="2" t="s">
        <v>839</v>
      </c>
    </row>
    <row r="1302">
      <c r="A1302" s="8">
        <v>46185.23812821759</v>
      </c>
      <c r="B1302" s="2" t="s">
        <v>798</v>
      </c>
      <c r="C1302" s="2" t="s">
        <v>812</v>
      </c>
      <c r="D1302" s="2" t="s">
        <v>813</v>
      </c>
    </row>
    <row r="1303">
      <c r="A1303" s="8">
        <v>46185.23813840278</v>
      </c>
      <c r="B1303" s="2" t="s">
        <v>838</v>
      </c>
      <c r="C1303" s="2" t="s">
        <v>818</v>
      </c>
      <c r="D1303" s="2" t="s">
        <v>853</v>
      </c>
    </row>
    <row r="1304">
      <c r="A1304" s="8">
        <v>46185.23814311343</v>
      </c>
      <c r="B1304" s="2" t="s">
        <v>798</v>
      </c>
      <c r="C1304" s="2" t="s">
        <v>830</v>
      </c>
      <c r="D1304" s="2" t="s">
        <v>831</v>
      </c>
    </row>
    <row r="1305">
      <c r="A1305" s="8">
        <v>46185.23814545139</v>
      </c>
      <c r="B1305" s="2" t="s">
        <v>832</v>
      </c>
      <c r="C1305" s="2"/>
      <c r="D1305" s="2" t="s">
        <v>977</v>
      </c>
    </row>
    <row r="1306">
      <c r="A1306" s="8">
        <v>46185.23823033565</v>
      </c>
      <c r="B1306" s="2" t="s">
        <v>840</v>
      </c>
      <c r="C1306" s="2" t="s">
        <v>773</v>
      </c>
      <c r="D1306" s="2" t="s">
        <v>930</v>
      </c>
    </row>
    <row r="1307">
      <c r="A1307" s="8">
        <v>46185.238233553246</v>
      </c>
      <c r="B1307" s="2" t="s">
        <v>840</v>
      </c>
      <c r="C1307" s="2" t="s">
        <v>783</v>
      </c>
      <c r="D1307" s="2" t="s">
        <v>931</v>
      </c>
    </row>
    <row r="1308">
      <c r="A1308" s="8">
        <v>46185.238236226854</v>
      </c>
      <c r="B1308" s="2" t="s">
        <v>894</v>
      </c>
      <c r="C1308" s="2"/>
      <c r="D1308" s="2" t="s">
        <v>995</v>
      </c>
    </row>
    <row r="1309">
      <c r="A1309" s="8">
        <v>46185.27976751157</v>
      </c>
      <c r="B1309" s="2" t="s">
        <v>798</v>
      </c>
      <c r="C1309" s="2" t="s">
        <v>799</v>
      </c>
      <c r="D1309" s="2" t="s">
        <v>800</v>
      </c>
    </row>
    <row r="1310">
      <c r="A1310" s="8">
        <v>46185.27976993055</v>
      </c>
      <c r="B1310" s="2" t="s">
        <v>838</v>
      </c>
      <c r="C1310" s="2" t="s">
        <v>802</v>
      </c>
      <c r="D1310" s="2" t="s">
        <v>839</v>
      </c>
    </row>
    <row r="1311">
      <c r="A1311" s="8">
        <v>46185.2797790162</v>
      </c>
      <c r="B1311" s="2" t="s">
        <v>798</v>
      </c>
      <c r="C1311" s="2" t="s">
        <v>812</v>
      </c>
      <c r="D1311" s="2" t="s">
        <v>813</v>
      </c>
    </row>
    <row r="1312">
      <c r="A1312" s="8">
        <v>46185.27978858796</v>
      </c>
      <c r="B1312" s="2" t="s">
        <v>838</v>
      </c>
      <c r="C1312" s="2" t="s">
        <v>818</v>
      </c>
      <c r="D1312" s="2" t="s">
        <v>853</v>
      </c>
    </row>
    <row r="1313">
      <c r="A1313" s="8">
        <v>46185.27980113426</v>
      </c>
      <c r="B1313" s="2" t="s">
        <v>798</v>
      </c>
      <c r="C1313" s="2" t="s">
        <v>830</v>
      </c>
      <c r="D1313" s="2" t="s">
        <v>831</v>
      </c>
    </row>
    <row r="1314">
      <c r="A1314" s="8">
        <v>46185.27980282408</v>
      </c>
      <c r="B1314" s="2" t="s">
        <v>832</v>
      </c>
      <c r="C1314" s="2"/>
      <c r="D1314" s="2" t="s">
        <v>977</v>
      </c>
    </row>
    <row r="1315">
      <c r="A1315" s="8">
        <v>46185.27987061343</v>
      </c>
      <c r="B1315" s="2" t="s">
        <v>840</v>
      </c>
      <c r="C1315" s="2" t="s">
        <v>773</v>
      </c>
      <c r="D1315" s="2" t="s">
        <v>930</v>
      </c>
    </row>
    <row r="1316">
      <c r="A1316" s="8">
        <v>46185.27987251157</v>
      </c>
      <c r="B1316" s="2" t="s">
        <v>840</v>
      </c>
      <c r="C1316" s="2" t="s">
        <v>783</v>
      </c>
      <c r="D1316" s="2" t="s">
        <v>931</v>
      </c>
    </row>
    <row r="1317">
      <c r="A1317" s="8">
        <v>46185.27987515046</v>
      </c>
      <c r="B1317" s="2" t="s">
        <v>894</v>
      </c>
      <c r="C1317" s="2"/>
      <c r="D1317" s="2" t="s">
        <v>995</v>
      </c>
    </row>
    <row r="1318">
      <c r="A1318" s="8">
        <v>46185.32148395834</v>
      </c>
      <c r="B1318" s="2" t="s">
        <v>798</v>
      </c>
      <c r="C1318" s="2" t="s">
        <v>799</v>
      </c>
      <c r="D1318" s="2" t="s">
        <v>800</v>
      </c>
    </row>
    <row r="1319">
      <c r="A1319" s="8">
        <v>46185.32148868055</v>
      </c>
      <c r="B1319" s="2" t="s">
        <v>838</v>
      </c>
      <c r="C1319" s="2" t="s">
        <v>802</v>
      </c>
      <c r="D1319" s="2" t="s">
        <v>839</v>
      </c>
    </row>
    <row r="1320">
      <c r="A1320" s="8">
        <v>46185.32149954861</v>
      </c>
      <c r="B1320" s="2" t="s">
        <v>798</v>
      </c>
      <c r="C1320" s="2" t="s">
        <v>812</v>
      </c>
      <c r="D1320" s="2" t="s">
        <v>813</v>
      </c>
    </row>
    <row r="1321">
      <c r="A1321" s="8">
        <v>46185.32150693287</v>
      </c>
      <c r="B1321" s="2" t="s">
        <v>838</v>
      </c>
      <c r="C1321" s="2" t="s">
        <v>818</v>
      </c>
      <c r="D1321" s="2" t="s">
        <v>853</v>
      </c>
    </row>
    <row r="1322">
      <c r="A1322" s="8">
        <v>46185.3215141088</v>
      </c>
      <c r="B1322" s="2" t="s">
        <v>798</v>
      </c>
      <c r="C1322" s="2" t="s">
        <v>830</v>
      </c>
      <c r="D1322" s="2" t="s">
        <v>831</v>
      </c>
    </row>
    <row r="1323">
      <c r="A1323" s="8">
        <v>46185.32151983796</v>
      </c>
      <c r="B1323" s="2" t="s">
        <v>832</v>
      </c>
      <c r="C1323" s="2"/>
      <c r="D1323" s="2" t="s">
        <v>977</v>
      </c>
    </row>
    <row r="1324">
      <c r="A1324" s="8">
        <v>46185.32162793982</v>
      </c>
      <c r="B1324" s="2" t="s">
        <v>844</v>
      </c>
      <c r="C1324" s="2" t="s">
        <v>519</v>
      </c>
      <c r="D1324" s="2" t="s">
        <v>1008</v>
      </c>
    </row>
    <row r="1325">
      <c r="A1325" s="8">
        <v>46185.321646006945</v>
      </c>
      <c r="B1325" s="2" t="s">
        <v>840</v>
      </c>
      <c r="C1325" s="2" t="s">
        <v>773</v>
      </c>
      <c r="D1325" s="2" t="s">
        <v>930</v>
      </c>
    </row>
    <row r="1326">
      <c r="A1326" s="8">
        <v>46185.321649618054</v>
      </c>
      <c r="B1326" s="2" t="s">
        <v>840</v>
      </c>
      <c r="C1326" s="2" t="s">
        <v>783</v>
      </c>
      <c r="D1326" s="2" t="s">
        <v>931</v>
      </c>
    </row>
    <row r="1327">
      <c r="A1327" s="8">
        <v>46185.32165298611</v>
      </c>
      <c r="B1327" s="2" t="s">
        <v>894</v>
      </c>
      <c r="C1327" s="2"/>
      <c r="D1327" s="2" t="s">
        <v>1004</v>
      </c>
    </row>
    <row r="1328">
      <c r="A1328" s="8">
        <v>46185.36315559028</v>
      </c>
      <c r="B1328" s="2" t="s">
        <v>798</v>
      </c>
      <c r="C1328" s="2" t="s">
        <v>799</v>
      </c>
      <c r="D1328" s="2" t="s">
        <v>800</v>
      </c>
    </row>
    <row r="1329">
      <c r="A1329" s="8">
        <v>46185.3631603588</v>
      </c>
      <c r="B1329" s="2" t="s">
        <v>838</v>
      </c>
      <c r="C1329" s="2" t="s">
        <v>802</v>
      </c>
      <c r="D1329" s="2" t="s">
        <v>839</v>
      </c>
    </row>
    <row r="1330">
      <c r="A1330" s="8">
        <v>46185.363169398144</v>
      </c>
      <c r="B1330" s="2" t="s">
        <v>798</v>
      </c>
      <c r="C1330" s="2" t="s">
        <v>812</v>
      </c>
      <c r="D1330" s="2" t="s">
        <v>813</v>
      </c>
    </row>
    <row r="1331">
      <c r="A1331" s="8">
        <v>46185.363180914355</v>
      </c>
      <c r="B1331" s="2" t="s">
        <v>838</v>
      </c>
      <c r="C1331" s="2" t="s">
        <v>818</v>
      </c>
      <c r="D1331" s="2" t="s">
        <v>853</v>
      </c>
    </row>
    <row r="1332">
      <c r="A1332" s="8">
        <v>46185.36320302083</v>
      </c>
      <c r="B1332" s="2" t="s">
        <v>798</v>
      </c>
      <c r="C1332" s="2" t="s">
        <v>830</v>
      </c>
      <c r="D1332" s="2" t="s">
        <v>831</v>
      </c>
    </row>
    <row r="1333">
      <c r="A1333" s="8">
        <v>46185.36320640046</v>
      </c>
      <c r="B1333" s="2" t="s">
        <v>832</v>
      </c>
      <c r="C1333" s="2"/>
      <c r="D1333" s="2" t="s">
        <v>977</v>
      </c>
    </row>
    <row r="1334">
      <c r="A1334" s="8">
        <v>46185.36331078704</v>
      </c>
      <c r="B1334" s="2" t="s">
        <v>840</v>
      </c>
      <c r="C1334" s="2" t="s">
        <v>773</v>
      </c>
      <c r="D1334" s="2" t="s">
        <v>930</v>
      </c>
    </row>
    <row r="1335">
      <c r="A1335" s="8">
        <v>46185.363316504634</v>
      </c>
      <c r="B1335" s="2" t="s">
        <v>840</v>
      </c>
      <c r="C1335" s="2" t="s">
        <v>783</v>
      </c>
      <c r="D1335" s="2" t="s">
        <v>931</v>
      </c>
    </row>
    <row r="1336">
      <c r="A1336" s="8">
        <v>46185.36333094907</v>
      </c>
      <c r="B1336" s="2" t="s">
        <v>894</v>
      </c>
      <c r="C1336" s="2"/>
      <c r="D1336" s="2" t="s">
        <v>995</v>
      </c>
    </row>
    <row r="1337">
      <c r="A1337" s="8">
        <v>46185.40483064815</v>
      </c>
      <c r="B1337" s="2" t="s">
        <v>798</v>
      </c>
      <c r="C1337" s="2" t="s">
        <v>799</v>
      </c>
      <c r="D1337" s="2" t="s">
        <v>800</v>
      </c>
    </row>
    <row r="1338">
      <c r="A1338" s="8">
        <v>46185.404835127316</v>
      </c>
      <c r="B1338" s="2" t="s">
        <v>838</v>
      </c>
      <c r="C1338" s="2" t="s">
        <v>802</v>
      </c>
      <c r="D1338" s="2" t="s">
        <v>839</v>
      </c>
    </row>
    <row r="1339">
      <c r="A1339" s="8">
        <v>46185.404846840276</v>
      </c>
      <c r="B1339" s="2" t="s">
        <v>798</v>
      </c>
      <c r="C1339" s="2" t="s">
        <v>812</v>
      </c>
      <c r="D1339" s="2" t="s">
        <v>813</v>
      </c>
    </row>
    <row r="1340">
      <c r="A1340" s="8">
        <v>46185.40485824074</v>
      </c>
      <c r="B1340" s="2" t="s">
        <v>838</v>
      </c>
      <c r="C1340" s="2" t="s">
        <v>818</v>
      </c>
      <c r="D1340" s="2" t="s">
        <v>853</v>
      </c>
    </row>
    <row r="1341">
      <c r="A1341" s="8">
        <v>46185.4048690625</v>
      </c>
      <c r="B1341" s="2" t="s">
        <v>798</v>
      </c>
      <c r="C1341" s="2" t="s">
        <v>830</v>
      </c>
      <c r="D1341" s="2" t="s">
        <v>831</v>
      </c>
    </row>
    <row r="1342">
      <c r="A1342" s="8">
        <v>46185.404873611114</v>
      </c>
      <c r="B1342" s="2" t="s">
        <v>832</v>
      </c>
      <c r="C1342" s="2"/>
      <c r="D1342" s="2" t="s">
        <v>977</v>
      </c>
    </row>
    <row r="1343">
      <c r="A1343" s="8">
        <v>46185.40501108796</v>
      </c>
      <c r="B1343" s="2" t="s">
        <v>840</v>
      </c>
      <c r="C1343" s="2" t="s">
        <v>773</v>
      </c>
      <c r="D1343" s="2" t="s">
        <v>930</v>
      </c>
    </row>
    <row r="1344">
      <c r="A1344" s="8">
        <v>46185.40501475694</v>
      </c>
      <c r="B1344" s="2" t="s">
        <v>840</v>
      </c>
      <c r="C1344" s="2" t="s">
        <v>783</v>
      </c>
      <c r="D1344" s="2" t="s">
        <v>931</v>
      </c>
    </row>
    <row r="1345">
      <c r="A1345" s="8">
        <v>46185.40502143519</v>
      </c>
      <c r="B1345" s="2" t="s">
        <v>894</v>
      </c>
      <c r="C1345" s="2"/>
      <c r="D1345" s="2" t="s">
        <v>995</v>
      </c>
    </row>
    <row r="1346">
      <c r="A1346" s="8">
        <v>46185.44646016204</v>
      </c>
      <c r="B1346" s="2" t="s">
        <v>798</v>
      </c>
      <c r="C1346" s="2" t="s">
        <v>799</v>
      </c>
      <c r="D1346" s="2" t="s">
        <v>800</v>
      </c>
    </row>
    <row r="1347">
      <c r="A1347" s="8">
        <v>46185.446464293986</v>
      </c>
      <c r="B1347" s="2" t="s">
        <v>838</v>
      </c>
      <c r="C1347" s="2" t="s">
        <v>802</v>
      </c>
      <c r="D1347" s="2" t="s">
        <v>839</v>
      </c>
    </row>
    <row r="1348">
      <c r="A1348" s="8">
        <v>46185.446473923614</v>
      </c>
      <c r="B1348" s="2" t="s">
        <v>798</v>
      </c>
      <c r="C1348" s="2" t="s">
        <v>812</v>
      </c>
      <c r="D1348" s="2" t="s">
        <v>813</v>
      </c>
    </row>
    <row r="1349">
      <c r="A1349" s="8">
        <v>46185.44648351852</v>
      </c>
      <c r="B1349" s="2" t="s">
        <v>838</v>
      </c>
      <c r="C1349" s="2" t="s">
        <v>818</v>
      </c>
      <c r="D1349" s="2" t="s">
        <v>853</v>
      </c>
    </row>
    <row r="1350">
      <c r="A1350" s="8">
        <v>46185.44649033565</v>
      </c>
      <c r="B1350" s="2" t="s">
        <v>798</v>
      </c>
      <c r="C1350" s="2" t="s">
        <v>830</v>
      </c>
      <c r="D1350" s="2" t="s">
        <v>831</v>
      </c>
    </row>
    <row r="1351">
      <c r="A1351" s="8">
        <v>46185.446493703705</v>
      </c>
      <c r="B1351" s="2" t="s">
        <v>832</v>
      </c>
      <c r="C1351" s="2"/>
      <c r="D1351" s="2" t="s">
        <v>977</v>
      </c>
    </row>
    <row r="1352">
      <c r="A1352" s="8">
        <v>46185.44658849537</v>
      </c>
      <c r="B1352" s="2" t="s">
        <v>840</v>
      </c>
      <c r="C1352" s="2" t="s">
        <v>773</v>
      </c>
      <c r="D1352" s="2" t="s">
        <v>930</v>
      </c>
    </row>
    <row r="1353">
      <c r="A1353" s="8">
        <v>46185.44659194445</v>
      </c>
      <c r="B1353" s="2" t="s">
        <v>840</v>
      </c>
      <c r="C1353" s="2" t="s">
        <v>783</v>
      </c>
      <c r="D1353" s="2" t="s">
        <v>931</v>
      </c>
    </row>
    <row r="1354">
      <c r="A1354" s="8">
        <v>46185.44659579861</v>
      </c>
      <c r="B1354" s="2" t="s">
        <v>894</v>
      </c>
      <c r="C1354" s="2"/>
      <c r="D1354" s="2" t="s">
        <v>995</v>
      </c>
    </row>
    <row r="1355">
      <c r="A1355" s="8">
        <v>46185.48816466435</v>
      </c>
      <c r="B1355" s="2" t="s">
        <v>798</v>
      </c>
      <c r="C1355" s="2" t="s">
        <v>799</v>
      </c>
      <c r="D1355" s="2" t="s">
        <v>800</v>
      </c>
    </row>
    <row r="1356">
      <c r="A1356" s="8">
        <v>46185.48817458333</v>
      </c>
      <c r="B1356" s="2" t="s">
        <v>838</v>
      </c>
      <c r="C1356" s="2" t="s">
        <v>802</v>
      </c>
      <c r="D1356" s="2" t="s">
        <v>839</v>
      </c>
    </row>
    <row r="1357">
      <c r="A1357" s="8">
        <v>46185.488218425926</v>
      </c>
      <c r="B1357" s="2" t="s">
        <v>798</v>
      </c>
      <c r="C1357" s="2" t="s">
        <v>812</v>
      </c>
      <c r="D1357" s="2" t="s">
        <v>813</v>
      </c>
    </row>
    <row r="1358">
      <c r="A1358" s="8">
        <v>46185.48822414352</v>
      </c>
      <c r="B1358" s="2" t="s">
        <v>838</v>
      </c>
      <c r="C1358" s="2" t="s">
        <v>818</v>
      </c>
      <c r="D1358" s="2" t="s">
        <v>853</v>
      </c>
    </row>
    <row r="1359">
      <c r="A1359" s="8">
        <v>46185.488239502316</v>
      </c>
      <c r="B1359" s="2" t="s">
        <v>798</v>
      </c>
      <c r="C1359" s="2" t="s">
        <v>830</v>
      </c>
      <c r="D1359" s="2" t="s">
        <v>831</v>
      </c>
    </row>
    <row r="1360">
      <c r="A1360" s="8">
        <v>46185.488247245376</v>
      </c>
      <c r="B1360" s="2" t="s">
        <v>832</v>
      </c>
      <c r="C1360" s="2"/>
      <c r="D1360" s="2" t="s">
        <v>977</v>
      </c>
    </row>
    <row r="1361">
      <c r="A1361" s="8">
        <v>46185.4883735301</v>
      </c>
      <c r="B1361" s="2" t="s">
        <v>840</v>
      </c>
      <c r="C1361" s="2" t="s">
        <v>773</v>
      </c>
      <c r="D1361" s="2" t="s">
        <v>930</v>
      </c>
    </row>
    <row r="1362">
      <c r="A1362" s="8">
        <v>46185.48837795139</v>
      </c>
      <c r="B1362" s="2" t="s">
        <v>840</v>
      </c>
      <c r="C1362" s="2" t="s">
        <v>783</v>
      </c>
      <c r="D1362" s="2" t="s">
        <v>931</v>
      </c>
    </row>
    <row r="1363">
      <c r="A1363" s="8">
        <v>46185.48838216435</v>
      </c>
      <c r="B1363" s="2" t="s">
        <v>894</v>
      </c>
      <c r="C1363" s="2"/>
      <c r="D1363" s="2" t="s">
        <v>995</v>
      </c>
    </row>
    <row r="1364">
      <c r="A1364" s="8">
        <v>46185.529796076386</v>
      </c>
      <c r="B1364" s="2" t="s">
        <v>798</v>
      </c>
      <c r="C1364" s="2" t="s">
        <v>799</v>
      </c>
      <c r="D1364" s="2" t="s">
        <v>800</v>
      </c>
    </row>
    <row r="1365">
      <c r="A1365" s="8">
        <v>46185.52979990741</v>
      </c>
      <c r="B1365" s="2" t="s">
        <v>838</v>
      </c>
      <c r="C1365" s="2" t="s">
        <v>802</v>
      </c>
      <c r="D1365" s="2" t="s">
        <v>839</v>
      </c>
    </row>
    <row r="1366">
      <c r="A1366" s="8">
        <v>46185.52980792824</v>
      </c>
      <c r="B1366" s="2" t="s">
        <v>798</v>
      </c>
      <c r="C1366" s="2" t="s">
        <v>812</v>
      </c>
      <c r="D1366" s="2" t="s">
        <v>813</v>
      </c>
    </row>
    <row r="1367">
      <c r="A1367" s="8">
        <v>46185.529823530094</v>
      </c>
      <c r="B1367" s="2" t="s">
        <v>838</v>
      </c>
      <c r="C1367" s="2" t="s">
        <v>818</v>
      </c>
      <c r="D1367" s="2" t="s">
        <v>853</v>
      </c>
    </row>
    <row r="1368">
      <c r="A1368" s="8">
        <v>46185.5298281713</v>
      </c>
      <c r="B1368" s="2" t="s">
        <v>798</v>
      </c>
      <c r="C1368" s="2" t="s">
        <v>830</v>
      </c>
      <c r="D1368" s="2" t="s">
        <v>831</v>
      </c>
    </row>
    <row r="1369">
      <c r="A1369" s="8">
        <v>46185.529831527776</v>
      </c>
      <c r="B1369" s="2" t="s">
        <v>832</v>
      </c>
      <c r="C1369" s="2"/>
      <c r="D1369" s="2" t="s">
        <v>977</v>
      </c>
    </row>
    <row r="1370">
      <c r="A1370" s="8">
        <v>46185.52991975694</v>
      </c>
      <c r="B1370" s="2" t="s">
        <v>840</v>
      </c>
      <c r="C1370" s="2" t="s">
        <v>773</v>
      </c>
      <c r="D1370" s="2" t="s">
        <v>930</v>
      </c>
    </row>
    <row r="1371">
      <c r="A1371" s="8">
        <v>46185.52994599537</v>
      </c>
      <c r="B1371" s="2" t="s">
        <v>840</v>
      </c>
      <c r="C1371" s="2" t="s">
        <v>783</v>
      </c>
      <c r="D1371" s="2" t="s">
        <v>931</v>
      </c>
    </row>
    <row r="1372">
      <c r="A1372" s="8">
        <v>46185.529949386575</v>
      </c>
      <c r="B1372" s="2" t="s">
        <v>894</v>
      </c>
      <c r="C1372" s="2"/>
      <c r="D1372" s="2" t="s">
        <v>995</v>
      </c>
    </row>
    <row r="1373">
      <c r="A1373" s="8">
        <v>46185.57143571759</v>
      </c>
      <c r="B1373" s="2" t="s">
        <v>798</v>
      </c>
      <c r="C1373" s="2" t="s">
        <v>799</v>
      </c>
      <c r="D1373" s="2" t="s">
        <v>800</v>
      </c>
    </row>
    <row r="1374">
      <c r="A1374" s="8">
        <v>46185.57146371528</v>
      </c>
      <c r="B1374" s="2" t="s">
        <v>838</v>
      </c>
      <c r="C1374" s="2" t="s">
        <v>802</v>
      </c>
      <c r="D1374" s="2" t="s">
        <v>839</v>
      </c>
    </row>
    <row r="1375">
      <c r="A1375" s="8">
        <v>46185.57146850694</v>
      </c>
      <c r="B1375" s="2" t="s">
        <v>798</v>
      </c>
      <c r="C1375" s="2" t="s">
        <v>812</v>
      </c>
      <c r="D1375" s="2" t="s">
        <v>813</v>
      </c>
    </row>
    <row r="1376">
      <c r="A1376" s="8">
        <v>46185.57147115741</v>
      </c>
      <c r="B1376" s="2" t="s">
        <v>838</v>
      </c>
      <c r="C1376" s="2" t="s">
        <v>818</v>
      </c>
      <c r="D1376" s="2" t="s">
        <v>853</v>
      </c>
    </row>
    <row r="1377">
      <c r="A1377" s="8">
        <v>46185.57147487269</v>
      </c>
      <c r="B1377" s="2" t="s">
        <v>798</v>
      </c>
      <c r="C1377" s="2" t="s">
        <v>830</v>
      </c>
      <c r="D1377" s="2" t="s">
        <v>831</v>
      </c>
    </row>
    <row r="1378">
      <c r="A1378" s="8">
        <v>46185.571483796295</v>
      </c>
      <c r="B1378" s="2" t="s">
        <v>832</v>
      </c>
      <c r="C1378" s="2"/>
      <c r="D1378" s="2" t="s">
        <v>977</v>
      </c>
    </row>
    <row r="1379">
      <c r="A1379" s="8">
        <v>46185.571551875</v>
      </c>
      <c r="B1379" s="2" t="s">
        <v>840</v>
      </c>
      <c r="C1379" s="2" t="s">
        <v>773</v>
      </c>
      <c r="D1379" s="2" t="s">
        <v>930</v>
      </c>
    </row>
    <row r="1380">
      <c r="A1380" s="8">
        <v>46185.57155439815</v>
      </c>
      <c r="B1380" s="2" t="s">
        <v>840</v>
      </c>
      <c r="C1380" s="2" t="s">
        <v>783</v>
      </c>
      <c r="D1380" s="2" t="s">
        <v>931</v>
      </c>
    </row>
    <row r="1381">
      <c r="A1381" s="8">
        <v>46185.57155685185</v>
      </c>
      <c r="B1381" s="2" t="s">
        <v>894</v>
      </c>
      <c r="C1381" s="2"/>
      <c r="D1381" s="2" t="s">
        <v>995</v>
      </c>
    </row>
    <row r="1382">
      <c r="A1382" s="8">
        <v>46185.61310815973</v>
      </c>
      <c r="B1382" s="2" t="s">
        <v>798</v>
      </c>
      <c r="C1382" s="2" t="s">
        <v>799</v>
      </c>
      <c r="D1382" s="2" t="s">
        <v>800</v>
      </c>
    </row>
    <row r="1383">
      <c r="A1383" s="8">
        <v>46185.61311614583</v>
      </c>
      <c r="B1383" s="2" t="s">
        <v>838</v>
      </c>
      <c r="C1383" s="2" t="s">
        <v>802</v>
      </c>
      <c r="D1383" s="2" t="s">
        <v>839</v>
      </c>
    </row>
    <row r="1384">
      <c r="A1384" s="8">
        <v>46185.61312480324</v>
      </c>
      <c r="B1384" s="2" t="s">
        <v>798</v>
      </c>
      <c r="C1384" s="2" t="s">
        <v>812</v>
      </c>
      <c r="D1384" s="2" t="s">
        <v>813</v>
      </c>
    </row>
    <row r="1385">
      <c r="A1385" s="8">
        <v>46185.613136608794</v>
      </c>
      <c r="B1385" s="2" t="s">
        <v>838</v>
      </c>
      <c r="C1385" s="2" t="s">
        <v>818</v>
      </c>
      <c r="D1385" s="2" t="s">
        <v>853</v>
      </c>
    </row>
    <row r="1386">
      <c r="A1386" s="8">
        <v>46185.61314094908</v>
      </c>
      <c r="B1386" s="2" t="s">
        <v>798</v>
      </c>
      <c r="C1386" s="2" t="s">
        <v>830</v>
      </c>
      <c r="D1386" s="2" t="s">
        <v>831</v>
      </c>
    </row>
    <row r="1387">
      <c r="A1387" s="8">
        <v>46185.61314423611</v>
      </c>
      <c r="B1387" s="2" t="s">
        <v>832</v>
      </c>
      <c r="C1387" s="2"/>
      <c r="D1387" s="2" t="s">
        <v>977</v>
      </c>
    </row>
    <row r="1388">
      <c r="A1388" s="8">
        <v>46185.61321524305</v>
      </c>
      <c r="B1388" s="2" t="s">
        <v>840</v>
      </c>
      <c r="C1388" s="2" t="s">
        <v>773</v>
      </c>
      <c r="D1388" s="2" t="s">
        <v>930</v>
      </c>
    </row>
    <row r="1389">
      <c r="A1389" s="8">
        <v>46185.61321887732</v>
      </c>
      <c r="B1389" s="2" t="s">
        <v>840</v>
      </c>
      <c r="C1389" s="2" t="s">
        <v>783</v>
      </c>
      <c r="D1389" s="2" t="s">
        <v>931</v>
      </c>
    </row>
    <row r="1390">
      <c r="A1390" s="8">
        <v>46185.613223078704</v>
      </c>
      <c r="B1390" s="2" t="s">
        <v>894</v>
      </c>
      <c r="C1390" s="2"/>
      <c r="D1390" s="2" t="s">
        <v>995</v>
      </c>
    </row>
    <row r="1391">
      <c r="A1391" s="8">
        <v>46185.65476292824</v>
      </c>
      <c r="B1391" s="2" t="s">
        <v>798</v>
      </c>
      <c r="C1391" s="2" t="s">
        <v>799</v>
      </c>
      <c r="D1391" s="2" t="s">
        <v>800</v>
      </c>
    </row>
    <row r="1392">
      <c r="A1392" s="8">
        <v>46185.6547647338</v>
      </c>
      <c r="B1392" s="2" t="s">
        <v>838</v>
      </c>
      <c r="C1392" s="2" t="s">
        <v>802</v>
      </c>
      <c r="D1392" s="2" t="s">
        <v>839</v>
      </c>
    </row>
    <row r="1393">
      <c r="A1393" s="8">
        <v>46185.65476708333</v>
      </c>
      <c r="B1393" s="2" t="s">
        <v>798</v>
      </c>
      <c r="C1393" s="2" t="s">
        <v>812</v>
      </c>
      <c r="D1393" s="2" t="s">
        <v>813</v>
      </c>
    </row>
    <row r="1394">
      <c r="A1394" s="8">
        <v>46185.65476884259</v>
      </c>
      <c r="B1394" s="2" t="s">
        <v>838</v>
      </c>
      <c r="C1394" s="2" t="s">
        <v>818</v>
      </c>
      <c r="D1394" s="2" t="s">
        <v>853</v>
      </c>
    </row>
    <row r="1395">
      <c r="A1395" s="8">
        <v>46185.65477094907</v>
      </c>
      <c r="B1395" s="2" t="s">
        <v>798</v>
      </c>
      <c r="C1395" s="2" t="s">
        <v>830</v>
      </c>
      <c r="D1395" s="2" t="s">
        <v>831</v>
      </c>
    </row>
    <row r="1396">
      <c r="A1396" s="8">
        <v>46185.654782812504</v>
      </c>
      <c r="B1396" s="2" t="s">
        <v>832</v>
      </c>
      <c r="C1396" s="2"/>
      <c r="D1396" s="2" t="s">
        <v>977</v>
      </c>
    </row>
    <row r="1397">
      <c r="A1397" s="8">
        <v>46185.6548452662</v>
      </c>
      <c r="B1397" s="2" t="s">
        <v>840</v>
      </c>
      <c r="C1397" s="2" t="s">
        <v>773</v>
      </c>
      <c r="D1397" s="2" t="s">
        <v>930</v>
      </c>
    </row>
    <row r="1398">
      <c r="A1398" s="8">
        <v>46185.654847314814</v>
      </c>
      <c r="B1398" s="2" t="s">
        <v>840</v>
      </c>
      <c r="C1398" s="2" t="s">
        <v>783</v>
      </c>
      <c r="D1398" s="2" t="s">
        <v>931</v>
      </c>
    </row>
    <row r="1399">
      <c r="A1399" s="8">
        <v>46185.65484894676</v>
      </c>
      <c r="B1399" s="2" t="s">
        <v>894</v>
      </c>
      <c r="C1399" s="2"/>
      <c r="D1399" s="2" t="s">
        <v>995</v>
      </c>
    </row>
    <row r="1400">
      <c r="A1400" s="8">
        <v>46185.69644341435</v>
      </c>
      <c r="B1400" s="2" t="s">
        <v>798</v>
      </c>
      <c r="C1400" s="2" t="s">
        <v>799</v>
      </c>
      <c r="D1400" s="2" t="s">
        <v>800</v>
      </c>
    </row>
    <row r="1401">
      <c r="A1401" s="8">
        <v>46185.69644875</v>
      </c>
      <c r="B1401" s="2" t="s">
        <v>838</v>
      </c>
      <c r="C1401" s="2" t="s">
        <v>802</v>
      </c>
      <c r="D1401" s="2" t="s">
        <v>839</v>
      </c>
    </row>
    <row r="1402">
      <c r="A1402" s="8">
        <v>46185.69645451389</v>
      </c>
      <c r="B1402" s="2" t="s">
        <v>798</v>
      </c>
      <c r="C1402" s="2" t="s">
        <v>812</v>
      </c>
      <c r="D1402" s="2" t="s">
        <v>813</v>
      </c>
    </row>
    <row r="1403">
      <c r="A1403" s="8">
        <v>46185.69646716435</v>
      </c>
      <c r="B1403" s="2" t="s">
        <v>838</v>
      </c>
      <c r="C1403" s="2" t="s">
        <v>818</v>
      </c>
      <c r="D1403" s="2" t="s">
        <v>853</v>
      </c>
    </row>
    <row r="1404">
      <c r="A1404" s="8">
        <v>46185.69647079861</v>
      </c>
      <c r="B1404" s="2" t="s">
        <v>798</v>
      </c>
      <c r="C1404" s="2" t="s">
        <v>830</v>
      </c>
      <c r="D1404" s="2" t="s">
        <v>831</v>
      </c>
    </row>
    <row r="1405">
      <c r="A1405" s="8">
        <v>46185.696473715274</v>
      </c>
      <c r="B1405" s="2" t="s">
        <v>832</v>
      </c>
      <c r="C1405" s="2"/>
      <c r="D1405" s="2" t="s">
        <v>977</v>
      </c>
    </row>
    <row r="1406">
      <c r="A1406" s="8">
        <v>46185.696542060185</v>
      </c>
      <c r="B1406" s="2" t="s">
        <v>840</v>
      </c>
      <c r="C1406" s="2" t="s">
        <v>773</v>
      </c>
      <c r="D1406" s="2" t="s">
        <v>930</v>
      </c>
    </row>
    <row r="1407">
      <c r="A1407" s="8">
        <v>46185.69654533565</v>
      </c>
      <c r="B1407" s="2" t="s">
        <v>840</v>
      </c>
      <c r="C1407" s="2" t="s">
        <v>783</v>
      </c>
      <c r="D1407" s="2" t="s">
        <v>931</v>
      </c>
    </row>
    <row r="1408">
      <c r="A1408" s="8">
        <v>46185.6965494676</v>
      </c>
      <c r="B1408" s="2" t="s">
        <v>894</v>
      </c>
      <c r="C1408" s="2"/>
      <c r="D1408" s="2" t="s">
        <v>995</v>
      </c>
    </row>
    <row r="1409">
      <c r="A1409" s="8">
        <v>46185.738103310185</v>
      </c>
      <c r="B1409" s="2" t="s">
        <v>798</v>
      </c>
      <c r="C1409" s="2" t="s">
        <v>799</v>
      </c>
      <c r="D1409" s="2" t="s">
        <v>800</v>
      </c>
    </row>
    <row r="1410">
      <c r="A1410" s="8">
        <v>46185.73810564815</v>
      </c>
      <c r="B1410" s="2" t="s">
        <v>838</v>
      </c>
      <c r="C1410" s="2" t="s">
        <v>802</v>
      </c>
      <c r="D1410" s="2" t="s">
        <v>839</v>
      </c>
    </row>
    <row r="1411">
      <c r="A1411" s="8">
        <v>46185.738112604166</v>
      </c>
      <c r="B1411" s="2" t="s">
        <v>798</v>
      </c>
      <c r="C1411" s="2" t="s">
        <v>812</v>
      </c>
      <c r="D1411" s="2" t="s">
        <v>813</v>
      </c>
    </row>
    <row r="1412">
      <c r="A1412" s="8">
        <v>46185.73812480324</v>
      </c>
      <c r="B1412" s="2" t="s">
        <v>838</v>
      </c>
      <c r="C1412" s="2" t="s">
        <v>818</v>
      </c>
      <c r="D1412" s="2" t="s">
        <v>853</v>
      </c>
    </row>
    <row r="1413">
      <c r="A1413" s="8">
        <v>46185.73812934028</v>
      </c>
      <c r="B1413" s="2" t="s">
        <v>798</v>
      </c>
      <c r="C1413" s="2" t="s">
        <v>830</v>
      </c>
      <c r="D1413" s="2" t="s">
        <v>831</v>
      </c>
    </row>
    <row r="1414">
      <c r="A1414" s="8">
        <v>46185.73813182871</v>
      </c>
      <c r="B1414" s="2" t="s">
        <v>832</v>
      </c>
      <c r="C1414" s="2"/>
      <c r="D1414" s="2" t="s">
        <v>977</v>
      </c>
    </row>
    <row r="1415">
      <c r="A1415" s="8">
        <v>46185.73820003472</v>
      </c>
      <c r="B1415" s="2" t="s">
        <v>840</v>
      </c>
      <c r="C1415" s="2" t="s">
        <v>773</v>
      </c>
      <c r="D1415" s="2" t="s">
        <v>930</v>
      </c>
    </row>
    <row r="1416">
      <c r="A1416" s="8">
        <v>46185.73820225694</v>
      </c>
      <c r="B1416" s="2" t="s">
        <v>840</v>
      </c>
      <c r="C1416" s="2" t="s">
        <v>783</v>
      </c>
      <c r="D1416" s="2" t="s">
        <v>931</v>
      </c>
    </row>
    <row r="1417">
      <c r="A1417" s="8">
        <v>46185.73820408565</v>
      </c>
      <c r="B1417" s="2" t="s">
        <v>894</v>
      </c>
      <c r="C1417" s="2"/>
      <c r="D1417" s="2" t="s">
        <v>995</v>
      </c>
    </row>
    <row r="1418">
      <c r="A1418" s="8">
        <v>46185.77977542824</v>
      </c>
      <c r="B1418" s="2" t="s">
        <v>798</v>
      </c>
      <c r="C1418" s="2" t="s">
        <v>799</v>
      </c>
      <c r="D1418" s="2" t="s">
        <v>800</v>
      </c>
    </row>
    <row r="1419">
      <c r="A1419" s="8">
        <v>46185.77977893519</v>
      </c>
      <c r="B1419" s="2" t="s">
        <v>838</v>
      </c>
      <c r="C1419" s="2" t="s">
        <v>802</v>
      </c>
      <c r="D1419" s="2" t="s">
        <v>839</v>
      </c>
    </row>
    <row r="1420">
      <c r="A1420" s="8">
        <v>46185.779799710646</v>
      </c>
      <c r="B1420" s="2" t="s">
        <v>798</v>
      </c>
      <c r="C1420" s="2" t="s">
        <v>812</v>
      </c>
      <c r="D1420" s="2" t="s">
        <v>813</v>
      </c>
    </row>
    <row r="1421">
      <c r="A1421" s="8">
        <v>46185.77980260417</v>
      </c>
      <c r="B1421" s="2" t="s">
        <v>838</v>
      </c>
      <c r="C1421" s="2" t="s">
        <v>818</v>
      </c>
      <c r="D1421" s="2" t="s">
        <v>853</v>
      </c>
    </row>
    <row r="1422">
      <c r="A1422" s="8">
        <v>46185.77980719907</v>
      </c>
      <c r="B1422" s="2" t="s">
        <v>798</v>
      </c>
      <c r="C1422" s="2" t="s">
        <v>830</v>
      </c>
      <c r="D1422" s="2" t="s">
        <v>831</v>
      </c>
    </row>
    <row r="1423">
      <c r="A1423" s="8">
        <v>46185.779829074076</v>
      </c>
      <c r="B1423" s="2" t="s">
        <v>832</v>
      </c>
      <c r="C1423" s="2"/>
      <c r="D1423" s="2" t="s">
        <v>977</v>
      </c>
    </row>
    <row r="1424">
      <c r="A1424" s="8">
        <v>46185.77990702546</v>
      </c>
      <c r="B1424" s="2" t="s">
        <v>840</v>
      </c>
      <c r="C1424" s="2" t="s">
        <v>773</v>
      </c>
      <c r="D1424" s="2" t="s">
        <v>930</v>
      </c>
    </row>
    <row r="1425">
      <c r="A1425" s="8">
        <v>46185.7799117824</v>
      </c>
      <c r="B1425" s="2" t="s">
        <v>840</v>
      </c>
      <c r="C1425" s="2" t="s">
        <v>783</v>
      </c>
      <c r="D1425" s="2" t="s">
        <v>931</v>
      </c>
    </row>
    <row r="1426">
      <c r="A1426" s="8">
        <v>46185.77992398148</v>
      </c>
      <c r="B1426" s="2" t="s">
        <v>894</v>
      </c>
      <c r="C1426" s="2"/>
      <c r="D1426" s="2" t="s">
        <v>995</v>
      </c>
    </row>
    <row r="1427">
      <c r="A1427" s="8">
        <v>46185.821431018514</v>
      </c>
      <c r="B1427" s="2" t="s">
        <v>798</v>
      </c>
      <c r="C1427" s="2" t="s">
        <v>799</v>
      </c>
      <c r="D1427" s="2" t="s">
        <v>800</v>
      </c>
    </row>
    <row r="1428">
      <c r="A1428" s="8">
        <v>46185.821434247686</v>
      </c>
      <c r="B1428" s="2" t="s">
        <v>838</v>
      </c>
      <c r="C1428" s="2" t="s">
        <v>802</v>
      </c>
      <c r="D1428" s="2" t="s">
        <v>839</v>
      </c>
    </row>
    <row r="1429">
      <c r="A1429" s="8">
        <v>46185.821438217594</v>
      </c>
      <c r="B1429" s="2" t="s">
        <v>798</v>
      </c>
      <c r="C1429" s="2" t="s">
        <v>812</v>
      </c>
      <c r="D1429" s="2" t="s">
        <v>813</v>
      </c>
    </row>
    <row r="1430">
      <c r="A1430" s="8">
        <v>46185.82144075232</v>
      </c>
      <c r="B1430" s="2" t="s">
        <v>838</v>
      </c>
      <c r="C1430" s="2" t="s">
        <v>818</v>
      </c>
      <c r="D1430" s="2" t="s">
        <v>853</v>
      </c>
    </row>
    <row r="1431">
      <c r="A1431" s="8">
        <v>46185.82145587963</v>
      </c>
      <c r="B1431" s="2" t="s">
        <v>798</v>
      </c>
      <c r="C1431" s="2" t="s">
        <v>830</v>
      </c>
      <c r="D1431" s="2" t="s">
        <v>831</v>
      </c>
    </row>
    <row r="1432">
      <c r="A1432" s="8">
        <v>46185.82145811342</v>
      </c>
      <c r="B1432" s="2" t="s">
        <v>832</v>
      </c>
      <c r="C1432" s="2"/>
      <c r="D1432" s="2" t="s">
        <v>977</v>
      </c>
    </row>
    <row r="1433">
      <c r="A1433" s="8">
        <v>46185.82151835648</v>
      </c>
      <c r="B1433" s="2" t="s">
        <v>840</v>
      </c>
      <c r="C1433" s="2" t="s">
        <v>773</v>
      </c>
      <c r="D1433" s="2" t="s">
        <v>930</v>
      </c>
    </row>
    <row r="1434">
      <c r="A1434" s="8">
        <v>46185.821521087964</v>
      </c>
      <c r="B1434" s="2" t="s">
        <v>840</v>
      </c>
      <c r="C1434" s="2" t="s">
        <v>783</v>
      </c>
      <c r="D1434" s="2" t="s">
        <v>931</v>
      </c>
    </row>
    <row r="1435">
      <c r="A1435" s="8">
        <v>46185.82152324074</v>
      </c>
      <c r="B1435" s="2" t="s">
        <v>894</v>
      </c>
      <c r="C1435" s="2"/>
      <c r="D1435" s="2" t="s">
        <v>995</v>
      </c>
    </row>
    <row r="1436">
      <c r="A1436" s="8">
        <v>46185.86313532408</v>
      </c>
      <c r="B1436" s="2" t="s">
        <v>798</v>
      </c>
      <c r="C1436" s="2" t="s">
        <v>799</v>
      </c>
      <c r="D1436" s="2" t="s">
        <v>800</v>
      </c>
    </row>
    <row r="1437">
      <c r="A1437" s="8">
        <v>46185.863140312504</v>
      </c>
      <c r="B1437" s="2" t="s">
        <v>838</v>
      </c>
      <c r="C1437" s="2" t="s">
        <v>802</v>
      </c>
      <c r="D1437" s="2" t="s">
        <v>839</v>
      </c>
    </row>
    <row r="1438">
      <c r="A1438" s="8">
        <v>46185.863151446756</v>
      </c>
      <c r="B1438" s="2" t="s">
        <v>798</v>
      </c>
      <c r="C1438" s="2" t="s">
        <v>812</v>
      </c>
      <c r="D1438" s="2" t="s">
        <v>813</v>
      </c>
    </row>
    <row r="1439">
      <c r="A1439" s="8">
        <v>46185.86316136574</v>
      </c>
      <c r="B1439" s="2" t="s">
        <v>838</v>
      </c>
      <c r="C1439" s="2" t="s">
        <v>818</v>
      </c>
      <c r="D1439" s="2" t="s">
        <v>853</v>
      </c>
    </row>
    <row r="1440">
      <c r="A1440" s="8">
        <v>46185.86316975694</v>
      </c>
      <c r="B1440" s="2" t="s">
        <v>798</v>
      </c>
      <c r="C1440" s="2" t="s">
        <v>830</v>
      </c>
      <c r="D1440" s="2" t="s">
        <v>831</v>
      </c>
    </row>
    <row r="1441">
      <c r="A1441" s="8">
        <v>46185.86317525463</v>
      </c>
      <c r="B1441" s="2" t="s">
        <v>832</v>
      </c>
      <c r="C1441" s="2"/>
      <c r="D1441" s="2" t="s">
        <v>977</v>
      </c>
    </row>
    <row r="1442">
      <c r="A1442" s="8">
        <v>46185.86326803241</v>
      </c>
      <c r="B1442" s="2" t="s">
        <v>840</v>
      </c>
      <c r="C1442" s="2" t="s">
        <v>773</v>
      </c>
      <c r="D1442" s="2" t="s">
        <v>930</v>
      </c>
    </row>
    <row r="1443">
      <c r="A1443" s="8">
        <v>46185.863272546296</v>
      </c>
      <c r="B1443" s="2" t="s">
        <v>840</v>
      </c>
      <c r="C1443" s="2" t="s">
        <v>783</v>
      </c>
      <c r="D1443" s="2" t="s">
        <v>931</v>
      </c>
    </row>
    <row r="1444">
      <c r="A1444" s="8">
        <v>46185.86328081018</v>
      </c>
      <c r="B1444" s="2" t="s">
        <v>894</v>
      </c>
      <c r="C1444" s="2"/>
      <c r="D1444" s="2" t="s">
        <v>995</v>
      </c>
    </row>
    <row r="1445">
      <c r="A1445" s="8">
        <v>46185.90479512731</v>
      </c>
      <c r="B1445" s="2" t="s">
        <v>798</v>
      </c>
      <c r="C1445" s="2" t="s">
        <v>799</v>
      </c>
      <c r="D1445" s="2" t="s">
        <v>800</v>
      </c>
    </row>
    <row r="1446">
      <c r="A1446" s="8">
        <v>46185.9047978125</v>
      </c>
      <c r="B1446" s="2" t="s">
        <v>838</v>
      </c>
      <c r="C1446" s="2" t="s">
        <v>802</v>
      </c>
      <c r="D1446" s="2" t="s">
        <v>839</v>
      </c>
    </row>
    <row r="1447">
      <c r="A1447" s="8">
        <v>46185.90482365741</v>
      </c>
      <c r="B1447" s="2" t="s">
        <v>798</v>
      </c>
      <c r="C1447" s="2" t="s">
        <v>812</v>
      </c>
      <c r="D1447" s="2" t="s">
        <v>813</v>
      </c>
    </row>
    <row r="1448">
      <c r="A1448" s="8">
        <v>46185.90482765046</v>
      </c>
      <c r="B1448" s="2" t="s">
        <v>838</v>
      </c>
      <c r="C1448" s="2" t="s">
        <v>818</v>
      </c>
      <c r="D1448" s="2" t="s">
        <v>853</v>
      </c>
    </row>
    <row r="1449">
      <c r="A1449" s="8">
        <v>46185.90483210648</v>
      </c>
      <c r="B1449" s="2" t="s">
        <v>798</v>
      </c>
      <c r="C1449" s="2" t="s">
        <v>830</v>
      </c>
      <c r="D1449" s="2" t="s">
        <v>831</v>
      </c>
    </row>
    <row r="1450">
      <c r="A1450" s="8">
        <v>46185.90483484954</v>
      </c>
      <c r="B1450" s="2" t="s">
        <v>832</v>
      </c>
      <c r="C1450" s="2"/>
      <c r="D1450" s="2" t="s">
        <v>977</v>
      </c>
    </row>
    <row r="1451">
      <c r="A1451" s="8">
        <v>46185.90492053241</v>
      </c>
      <c r="B1451" s="2" t="s">
        <v>840</v>
      </c>
      <c r="C1451" s="2" t="s">
        <v>773</v>
      </c>
      <c r="D1451" s="2" t="s">
        <v>930</v>
      </c>
    </row>
    <row r="1452">
      <c r="A1452" s="8">
        <v>46185.904925243056</v>
      </c>
      <c r="B1452" s="2" t="s">
        <v>840</v>
      </c>
      <c r="C1452" s="2" t="s">
        <v>783</v>
      </c>
      <c r="D1452" s="2" t="s">
        <v>931</v>
      </c>
    </row>
    <row r="1453">
      <c r="A1453" s="8">
        <v>46185.904928715274</v>
      </c>
      <c r="B1453" s="2" t="s">
        <v>894</v>
      </c>
      <c r="C1453" s="2"/>
      <c r="D1453" s="2" t="s">
        <v>995</v>
      </c>
    </row>
    <row r="1454">
      <c r="A1454" s="8">
        <v>46185.917143819446</v>
      </c>
      <c r="B1454" s="2" t="s">
        <v>863</v>
      </c>
      <c r="C1454" s="2"/>
      <c r="D1454" s="2" t="s">
        <v>1000</v>
      </c>
    </row>
    <row r="1455">
      <c r="A1455" s="8">
        <v>46185.9464720949</v>
      </c>
      <c r="B1455" s="2" t="s">
        <v>798</v>
      </c>
      <c r="C1455" s="2" t="s">
        <v>799</v>
      </c>
      <c r="D1455" s="2" t="s">
        <v>800</v>
      </c>
    </row>
    <row r="1456">
      <c r="A1456" s="8">
        <v>46185.946475613426</v>
      </c>
      <c r="B1456" s="2" t="s">
        <v>838</v>
      </c>
      <c r="C1456" s="2" t="s">
        <v>802</v>
      </c>
      <c r="D1456" s="2" t="s">
        <v>839</v>
      </c>
    </row>
    <row r="1457">
      <c r="A1457" s="8">
        <v>46185.946484305554</v>
      </c>
      <c r="B1457" s="2" t="s">
        <v>798</v>
      </c>
      <c r="C1457" s="2" t="s">
        <v>812</v>
      </c>
      <c r="D1457" s="2" t="s">
        <v>813</v>
      </c>
    </row>
    <row r="1458">
      <c r="A1458" s="8">
        <v>46185.94649248842</v>
      </c>
      <c r="B1458" s="2" t="s">
        <v>838</v>
      </c>
      <c r="C1458" s="2" t="s">
        <v>818</v>
      </c>
      <c r="D1458" s="2" t="s">
        <v>853</v>
      </c>
    </row>
    <row r="1459">
      <c r="A1459" s="8">
        <v>46185.94649938657</v>
      </c>
      <c r="B1459" s="2" t="s">
        <v>798</v>
      </c>
      <c r="C1459" s="2" t="s">
        <v>830</v>
      </c>
      <c r="D1459" s="2" t="s">
        <v>831</v>
      </c>
    </row>
    <row r="1460">
      <c r="A1460" s="8">
        <v>46185.94650276621</v>
      </c>
      <c r="B1460" s="2" t="s">
        <v>832</v>
      </c>
      <c r="C1460" s="2"/>
      <c r="D1460" s="2" t="s">
        <v>977</v>
      </c>
    </row>
    <row r="1461">
      <c r="A1461" s="8">
        <v>46185.94659237268</v>
      </c>
      <c r="B1461" s="2" t="s">
        <v>840</v>
      </c>
      <c r="C1461" s="2" t="s">
        <v>773</v>
      </c>
      <c r="D1461" s="2" t="s">
        <v>930</v>
      </c>
    </row>
    <row r="1462">
      <c r="A1462" s="8">
        <v>46185.946595636575</v>
      </c>
      <c r="B1462" s="2" t="s">
        <v>840</v>
      </c>
      <c r="C1462" s="2" t="s">
        <v>783</v>
      </c>
      <c r="D1462" s="2" t="s">
        <v>931</v>
      </c>
    </row>
    <row r="1463">
      <c r="A1463" s="8">
        <v>46185.946597685186</v>
      </c>
      <c r="B1463" s="2" t="s">
        <v>894</v>
      </c>
      <c r="C1463" s="2"/>
      <c r="D1463" s="2" t="s">
        <v>995</v>
      </c>
    </row>
    <row r="1464">
      <c r="A1464" s="8">
        <v>46185.98810563657</v>
      </c>
      <c r="B1464" s="2" t="s">
        <v>798</v>
      </c>
      <c r="C1464" s="2" t="s">
        <v>799</v>
      </c>
      <c r="D1464" s="2" t="s">
        <v>800</v>
      </c>
    </row>
    <row r="1465">
      <c r="A1465" s="8">
        <v>46185.988109259255</v>
      </c>
      <c r="B1465" s="2" t="s">
        <v>838</v>
      </c>
      <c r="C1465" s="2" t="s">
        <v>802</v>
      </c>
      <c r="D1465" s="2" t="s">
        <v>839</v>
      </c>
    </row>
    <row r="1466">
      <c r="A1466" s="8">
        <v>46185.988115775464</v>
      </c>
      <c r="B1466" s="2" t="s">
        <v>798</v>
      </c>
      <c r="C1466" s="2" t="s">
        <v>812</v>
      </c>
      <c r="D1466" s="2" t="s">
        <v>813</v>
      </c>
    </row>
    <row r="1467">
      <c r="A1467" s="8">
        <v>46185.98813175926</v>
      </c>
      <c r="B1467" s="2" t="s">
        <v>838</v>
      </c>
      <c r="C1467" s="2" t="s">
        <v>818</v>
      </c>
      <c r="D1467" s="2" t="s">
        <v>853</v>
      </c>
    </row>
    <row r="1468">
      <c r="A1468" s="8">
        <v>46185.98813625</v>
      </c>
      <c r="B1468" s="2" t="s">
        <v>798</v>
      </c>
      <c r="C1468" s="2" t="s">
        <v>830</v>
      </c>
      <c r="D1468" s="2" t="s">
        <v>831</v>
      </c>
    </row>
    <row r="1469">
      <c r="A1469" s="8">
        <v>46185.988139444446</v>
      </c>
      <c r="B1469" s="2" t="s">
        <v>832</v>
      </c>
      <c r="C1469" s="2"/>
      <c r="D1469" s="2" t="s">
        <v>977</v>
      </c>
    </row>
    <row r="1470">
      <c r="A1470" s="8">
        <v>46185.988203981484</v>
      </c>
      <c r="B1470" s="2" t="s">
        <v>840</v>
      </c>
      <c r="C1470" s="2" t="s">
        <v>773</v>
      </c>
      <c r="D1470" s="2" t="s">
        <v>930</v>
      </c>
    </row>
    <row r="1471">
      <c r="A1471" s="8">
        <v>46185.988207083334</v>
      </c>
      <c r="B1471" s="2" t="s">
        <v>840</v>
      </c>
      <c r="C1471" s="2" t="s">
        <v>783</v>
      </c>
      <c r="D1471" s="2" t="s">
        <v>931</v>
      </c>
    </row>
    <row r="1472">
      <c r="A1472" s="8">
        <v>46185.98821083333</v>
      </c>
      <c r="B1472" s="2" t="s">
        <v>894</v>
      </c>
      <c r="C1472" s="2"/>
      <c r="D1472" s="2" t="s">
        <v>995</v>
      </c>
    </row>
    <row r="1473">
      <c r="A1473" s="8">
        <v>46186.029789224536</v>
      </c>
      <c r="B1473" s="2" t="s">
        <v>798</v>
      </c>
      <c r="C1473" s="2" t="s">
        <v>799</v>
      </c>
      <c r="D1473" s="2" t="s">
        <v>800</v>
      </c>
    </row>
    <row r="1474">
      <c r="A1474" s="8">
        <v>46186.02979378472</v>
      </c>
      <c r="B1474" s="2" t="s">
        <v>838</v>
      </c>
      <c r="C1474" s="2" t="s">
        <v>802</v>
      </c>
      <c r="D1474" s="2" t="s">
        <v>839</v>
      </c>
    </row>
    <row r="1475">
      <c r="A1475" s="8">
        <v>46186.02980655093</v>
      </c>
      <c r="B1475" s="2" t="s">
        <v>798</v>
      </c>
      <c r="C1475" s="2" t="s">
        <v>812</v>
      </c>
      <c r="D1475" s="2" t="s">
        <v>813</v>
      </c>
    </row>
    <row r="1476">
      <c r="A1476" s="8">
        <v>46186.029813553236</v>
      </c>
      <c r="B1476" s="2" t="s">
        <v>838</v>
      </c>
      <c r="C1476" s="2" t="s">
        <v>818</v>
      </c>
      <c r="D1476" s="2" t="s">
        <v>853</v>
      </c>
    </row>
    <row r="1477">
      <c r="A1477" s="8">
        <v>46186.029821724536</v>
      </c>
      <c r="B1477" s="2" t="s">
        <v>798</v>
      </c>
      <c r="C1477" s="2" t="s">
        <v>830</v>
      </c>
      <c r="D1477" s="2" t="s">
        <v>831</v>
      </c>
    </row>
    <row r="1478">
      <c r="A1478" s="8">
        <v>46186.029825185185</v>
      </c>
      <c r="B1478" s="2" t="s">
        <v>832</v>
      </c>
      <c r="C1478" s="2"/>
      <c r="D1478" s="2" t="s">
        <v>977</v>
      </c>
    </row>
    <row r="1479">
      <c r="A1479" s="8">
        <v>46186.02990969908</v>
      </c>
      <c r="B1479" s="2" t="s">
        <v>840</v>
      </c>
      <c r="C1479" s="2" t="s">
        <v>773</v>
      </c>
      <c r="D1479" s="2" t="s">
        <v>930</v>
      </c>
    </row>
    <row r="1480">
      <c r="A1480" s="8">
        <v>46186.02991195602</v>
      </c>
      <c r="B1480" s="2" t="s">
        <v>840</v>
      </c>
      <c r="C1480" s="2" t="s">
        <v>783</v>
      </c>
      <c r="D1480" s="2" t="s">
        <v>931</v>
      </c>
    </row>
    <row r="1481">
      <c r="A1481" s="8">
        <v>46186.02991549768</v>
      </c>
      <c r="B1481" s="2" t="s">
        <v>894</v>
      </c>
      <c r="C1481" s="2"/>
      <c r="D1481" s="2" t="s">
        <v>995</v>
      </c>
    </row>
    <row r="1482">
      <c r="A1482" s="8">
        <v>46186.07148775463</v>
      </c>
      <c r="B1482" s="2" t="s">
        <v>798</v>
      </c>
      <c r="C1482" s="2" t="s">
        <v>799</v>
      </c>
      <c r="D1482" s="2" t="s">
        <v>800</v>
      </c>
    </row>
    <row r="1483">
      <c r="A1483" s="8">
        <v>46186.07149361111</v>
      </c>
      <c r="B1483" s="2" t="s">
        <v>838</v>
      </c>
      <c r="C1483" s="2" t="s">
        <v>802</v>
      </c>
      <c r="D1483" s="2" t="s">
        <v>839</v>
      </c>
    </row>
    <row r="1484">
      <c r="A1484" s="8">
        <v>46186.07150667824</v>
      </c>
      <c r="B1484" s="2" t="s">
        <v>798</v>
      </c>
      <c r="C1484" s="2" t="s">
        <v>812</v>
      </c>
      <c r="D1484" s="2" t="s">
        <v>813</v>
      </c>
    </row>
    <row r="1485">
      <c r="A1485" s="8">
        <v>46186.07151184027</v>
      </c>
      <c r="B1485" s="2" t="s">
        <v>838</v>
      </c>
      <c r="C1485" s="2" t="s">
        <v>818</v>
      </c>
      <c r="D1485" s="2" t="s">
        <v>853</v>
      </c>
    </row>
    <row r="1486">
      <c r="A1486" s="8">
        <v>46186.0715237963</v>
      </c>
      <c r="B1486" s="2" t="s">
        <v>798</v>
      </c>
      <c r="C1486" s="2" t="s">
        <v>830</v>
      </c>
      <c r="D1486" s="2" t="s">
        <v>831</v>
      </c>
    </row>
    <row r="1487">
      <c r="A1487" s="8">
        <v>46186.0715294213</v>
      </c>
      <c r="B1487" s="2" t="s">
        <v>832</v>
      </c>
      <c r="C1487" s="2"/>
      <c r="D1487" s="2" t="s">
        <v>977</v>
      </c>
    </row>
    <row r="1488">
      <c r="A1488" s="8">
        <v>46186.07163203704</v>
      </c>
      <c r="B1488" s="2" t="s">
        <v>840</v>
      </c>
      <c r="C1488" s="2" t="s">
        <v>773</v>
      </c>
      <c r="D1488" s="2" t="s">
        <v>930</v>
      </c>
    </row>
    <row r="1489">
      <c r="A1489" s="8">
        <v>46186.07163515047</v>
      </c>
      <c r="B1489" s="2" t="s">
        <v>840</v>
      </c>
      <c r="C1489" s="2" t="s">
        <v>783</v>
      </c>
      <c r="D1489" s="2" t="s">
        <v>931</v>
      </c>
    </row>
    <row r="1490">
      <c r="A1490" s="8">
        <v>46186.071638379624</v>
      </c>
      <c r="B1490" s="2" t="s">
        <v>894</v>
      </c>
      <c r="C1490" s="2"/>
      <c r="D1490" s="2" t="s">
        <v>995</v>
      </c>
    </row>
    <row r="1491">
      <c r="A1491" s="8">
        <v>46186.11309804398</v>
      </c>
      <c r="B1491" s="2" t="s">
        <v>798</v>
      </c>
      <c r="C1491" s="2" t="s">
        <v>799</v>
      </c>
      <c r="D1491" s="2" t="s">
        <v>800</v>
      </c>
    </row>
    <row r="1492">
      <c r="A1492" s="8">
        <v>46186.11310086805</v>
      </c>
      <c r="B1492" s="2" t="s">
        <v>838</v>
      </c>
      <c r="C1492" s="2" t="s">
        <v>802</v>
      </c>
      <c r="D1492" s="2" t="s">
        <v>839</v>
      </c>
    </row>
    <row r="1493">
      <c r="A1493" s="8">
        <v>46186.11310769676</v>
      </c>
      <c r="B1493" s="2" t="s">
        <v>798</v>
      </c>
      <c r="C1493" s="2" t="s">
        <v>812</v>
      </c>
      <c r="D1493" s="2" t="s">
        <v>813</v>
      </c>
    </row>
    <row r="1494">
      <c r="A1494" s="8">
        <v>46186.113119340276</v>
      </c>
      <c r="B1494" s="2" t="s">
        <v>838</v>
      </c>
      <c r="C1494" s="2" t="s">
        <v>818</v>
      </c>
      <c r="D1494" s="2" t="s">
        <v>853</v>
      </c>
    </row>
    <row r="1495">
      <c r="A1495" s="8">
        <v>46186.11312364583</v>
      </c>
      <c r="B1495" s="2" t="s">
        <v>798</v>
      </c>
      <c r="C1495" s="2" t="s">
        <v>830</v>
      </c>
      <c r="D1495" s="2" t="s">
        <v>831</v>
      </c>
    </row>
    <row r="1496">
      <c r="A1496" s="8">
        <v>46186.113125856486</v>
      </c>
      <c r="B1496" s="2" t="s">
        <v>832</v>
      </c>
      <c r="C1496" s="2"/>
      <c r="D1496" s="2" t="s">
        <v>977</v>
      </c>
    </row>
    <row r="1497">
      <c r="A1497" s="8">
        <v>46186.11319056713</v>
      </c>
      <c r="B1497" s="2" t="s">
        <v>840</v>
      </c>
      <c r="C1497" s="2" t="s">
        <v>773</v>
      </c>
      <c r="D1497" s="2" t="s">
        <v>930</v>
      </c>
    </row>
    <row r="1498">
      <c r="A1498" s="8">
        <v>46186.113192951394</v>
      </c>
      <c r="B1498" s="2" t="s">
        <v>840</v>
      </c>
      <c r="C1498" s="2" t="s">
        <v>783</v>
      </c>
      <c r="D1498" s="2" t="s">
        <v>931</v>
      </c>
    </row>
    <row r="1499">
      <c r="A1499" s="8">
        <v>46186.113195162034</v>
      </c>
      <c r="B1499" s="2" t="s">
        <v>894</v>
      </c>
      <c r="C1499" s="2"/>
      <c r="D1499" s="2" t="s">
        <v>995</v>
      </c>
    </row>
    <row r="1500">
      <c r="A1500" s="8">
        <v>46186.154767858796</v>
      </c>
      <c r="B1500" s="2" t="s">
        <v>798</v>
      </c>
      <c r="C1500" s="2" t="s">
        <v>799</v>
      </c>
      <c r="D1500" s="2" t="s">
        <v>800</v>
      </c>
    </row>
    <row r="1501">
      <c r="A1501" s="8">
        <v>46186.15477168981</v>
      </c>
      <c r="B1501" s="2" t="s">
        <v>838</v>
      </c>
      <c r="C1501" s="2" t="s">
        <v>802</v>
      </c>
      <c r="D1501" s="2" t="s">
        <v>839</v>
      </c>
    </row>
    <row r="1502">
      <c r="A1502" s="8">
        <v>46186.15477836806</v>
      </c>
      <c r="B1502" s="2" t="s">
        <v>798</v>
      </c>
      <c r="C1502" s="2" t="s">
        <v>812</v>
      </c>
      <c r="D1502" s="2" t="s">
        <v>813</v>
      </c>
    </row>
    <row r="1503">
      <c r="A1503" s="8">
        <v>46186.15479140046</v>
      </c>
      <c r="B1503" s="2" t="s">
        <v>838</v>
      </c>
      <c r="C1503" s="2" t="s">
        <v>818</v>
      </c>
      <c r="D1503" s="2" t="s">
        <v>853</v>
      </c>
    </row>
    <row r="1504">
      <c r="A1504" s="8">
        <v>46186.15479508102</v>
      </c>
      <c r="B1504" s="2" t="s">
        <v>798</v>
      </c>
      <c r="C1504" s="2" t="s">
        <v>830</v>
      </c>
      <c r="D1504" s="2" t="s">
        <v>831</v>
      </c>
    </row>
    <row r="1505">
      <c r="A1505" s="8">
        <v>46186.154797615745</v>
      </c>
      <c r="B1505" s="2" t="s">
        <v>832</v>
      </c>
      <c r="C1505" s="2"/>
      <c r="D1505" s="2" t="s">
        <v>977</v>
      </c>
    </row>
    <row r="1506">
      <c r="A1506" s="8">
        <v>46186.15486576389</v>
      </c>
      <c r="B1506" s="2" t="s">
        <v>840</v>
      </c>
      <c r="C1506" s="2" t="s">
        <v>773</v>
      </c>
      <c r="D1506" s="2" t="s">
        <v>930</v>
      </c>
    </row>
    <row r="1507">
      <c r="A1507" s="8">
        <v>46186.15486872685</v>
      </c>
      <c r="B1507" s="2" t="s">
        <v>840</v>
      </c>
      <c r="C1507" s="2" t="s">
        <v>783</v>
      </c>
      <c r="D1507" s="2" t="s">
        <v>931</v>
      </c>
    </row>
    <row r="1508">
      <c r="A1508" s="8">
        <v>46186.15487136574</v>
      </c>
      <c r="B1508" s="2" t="s">
        <v>894</v>
      </c>
      <c r="C1508" s="2"/>
      <c r="D1508" s="2" t="s">
        <v>995</v>
      </c>
    </row>
    <row r="1509">
      <c r="A1509" s="8">
        <v>46186.19644378472</v>
      </c>
      <c r="B1509" s="2" t="s">
        <v>798</v>
      </c>
      <c r="C1509" s="2" t="s">
        <v>799</v>
      </c>
      <c r="D1509" s="2" t="s">
        <v>800</v>
      </c>
    </row>
    <row r="1510">
      <c r="A1510" s="8">
        <v>46186.1964484375</v>
      </c>
      <c r="B1510" s="2" t="s">
        <v>838</v>
      </c>
      <c r="C1510" s="2" t="s">
        <v>802</v>
      </c>
      <c r="D1510" s="2" t="s">
        <v>839</v>
      </c>
    </row>
    <row r="1511">
      <c r="A1511" s="8">
        <v>46186.196454432866</v>
      </c>
      <c r="B1511" s="2" t="s">
        <v>798</v>
      </c>
      <c r="C1511" s="2" t="s">
        <v>812</v>
      </c>
      <c r="D1511" s="2" t="s">
        <v>813</v>
      </c>
    </row>
    <row r="1512">
      <c r="A1512" s="8">
        <v>46186.196468229165</v>
      </c>
      <c r="B1512" s="2" t="s">
        <v>838</v>
      </c>
      <c r="C1512" s="2" t="s">
        <v>818</v>
      </c>
      <c r="D1512" s="2" t="s">
        <v>853</v>
      </c>
    </row>
    <row r="1513">
      <c r="A1513" s="8">
        <v>46186.19647577546</v>
      </c>
      <c r="B1513" s="2" t="s">
        <v>798</v>
      </c>
      <c r="C1513" s="2" t="s">
        <v>830</v>
      </c>
      <c r="D1513" s="2" t="s">
        <v>831</v>
      </c>
    </row>
    <row r="1514">
      <c r="A1514" s="8">
        <v>46186.19647902778</v>
      </c>
      <c r="B1514" s="2" t="s">
        <v>832</v>
      </c>
      <c r="C1514" s="2"/>
      <c r="D1514" s="2" t="s">
        <v>977</v>
      </c>
    </row>
    <row r="1515">
      <c r="A1515" s="8">
        <v>46186.196566342594</v>
      </c>
      <c r="B1515" s="2" t="s">
        <v>840</v>
      </c>
      <c r="C1515" s="2" t="s">
        <v>773</v>
      </c>
      <c r="D1515" s="2" t="s">
        <v>930</v>
      </c>
    </row>
    <row r="1516">
      <c r="A1516" s="8">
        <v>46186.19656984953</v>
      </c>
      <c r="B1516" s="2" t="s">
        <v>840</v>
      </c>
      <c r="C1516" s="2" t="s">
        <v>783</v>
      </c>
      <c r="D1516" s="2" t="s">
        <v>931</v>
      </c>
    </row>
    <row r="1517">
      <c r="A1517" s="8">
        <v>46186.19657320602</v>
      </c>
      <c r="B1517" s="2" t="s">
        <v>894</v>
      </c>
      <c r="C1517" s="2"/>
      <c r="D1517" s="2" t="s">
        <v>995</v>
      </c>
    </row>
    <row r="1518">
      <c r="A1518" s="8">
        <v>46186.23810644676</v>
      </c>
      <c r="B1518" s="2" t="s">
        <v>798</v>
      </c>
      <c r="C1518" s="2" t="s">
        <v>799</v>
      </c>
      <c r="D1518" s="2" t="s">
        <v>800</v>
      </c>
    </row>
    <row r="1519">
      <c r="A1519" s="8">
        <v>46186.23811002314</v>
      </c>
      <c r="B1519" s="2" t="s">
        <v>838</v>
      </c>
      <c r="C1519" s="2" t="s">
        <v>802</v>
      </c>
      <c r="D1519" s="2" t="s">
        <v>839</v>
      </c>
    </row>
    <row r="1520">
      <c r="A1520" s="8">
        <v>46186.23811586805</v>
      </c>
      <c r="B1520" s="2" t="s">
        <v>798</v>
      </c>
      <c r="C1520" s="2" t="s">
        <v>812</v>
      </c>
      <c r="D1520" s="2" t="s">
        <v>813</v>
      </c>
    </row>
    <row r="1521">
      <c r="A1521" s="8">
        <v>46186.23813157408</v>
      </c>
      <c r="B1521" s="2" t="s">
        <v>838</v>
      </c>
      <c r="C1521" s="2" t="s">
        <v>818</v>
      </c>
      <c r="D1521" s="2" t="s">
        <v>853</v>
      </c>
    </row>
    <row r="1522">
      <c r="A1522" s="8">
        <v>46186.238136608794</v>
      </c>
      <c r="B1522" s="2" t="s">
        <v>798</v>
      </c>
      <c r="C1522" s="2" t="s">
        <v>830</v>
      </c>
      <c r="D1522" s="2" t="s">
        <v>831</v>
      </c>
    </row>
    <row r="1523">
      <c r="A1523" s="8">
        <v>46186.23814</v>
      </c>
      <c r="B1523" s="2" t="s">
        <v>832</v>
      </c>
      <c r="C1523" s="2"/>
      <c r="D1523" s="2" t="s">
        <v>977</v>
      </c>
    </row>
    <row r="1524">
      <c r="A1524" s="8">
        <v>46186.238208229166</v>
      </c>
      <c r="B1524" s="2" t="s">
        <v>840</v>
      </c>
      <c r="C1524" s="2" t="s">
        <v>773</v>
      </c>
      <c r="D1524" s="2" t="s">
        <v>930</v>
      </c>
    </row>
    <row r="1525">
      <c r="A1525" s="8">
        <v>46186.23821142361</v>
      </c>
      <c r="B1525" s="2" t="s">
        <v>840</v>
      </c>
      <c r="C1525" s="2" t="s">
        <v>783</v>
      </c>
      <c r="D1525" s="2" t="s">
        <v>931</v>
      </c>
    </row>
    <row r="1526">
      <c r="A1526" s="8">
        <v>46186.23821467593</v>
      </c>
      <c r="B1526" s="2" t="s">
        <v>894</v>
      </c>
      <c r="C1526" s="2"/>
      <c r="D1526" s="2" t="s">
        <v>995</v>
      </c>
    </row>
    <row r="1527">
      <c r="A1527" s="8">
        <v>46186.27976556713</v>
      </c>
      <c r="B1527" s="2" t="s">
        <v>798</v>
      </c>
      <c r="C1527" s="2" t="s">
        <v>799</v>
      </c>
      <c r="D1527" s="2" t="s">
        <v>800</v>
      </c>
    </row>
    <row r="1528">
      <c r="A1528" s="8">
        <v>46186.27976875</v>
      </c>
      <c r="B1528" s="2" t="s">
        <v>838</v>
      </c>
      <c r="C1528" s="2" t="s">
        <v>802</v>
      </c>
      <c r="D1528" s="2" t="s">
        <v>839</v>
      </c>
    </row>
    <row r="1529">
      <c r="A1529" s="8">
        <v>46186.279773773145</v>
      </c>
      <c r="B1529" s="2" t="s">
        <v>798</v>
      </c>
      <c r="C1529" s="2" t="s">
        <v>812</v>
      </c>
      <c r="D1529" s="2" t="s">
        <v>813</v>
      </c>
    </row>
    <row r="1530">
      <c r="A1530" s="8">
        <v>46186.27978739583</v>
      </c>
      <c r="B1530" s="2" t="s">
        <v>838</v>
      </c>
      <c r="C1530" s="2" t="s">
        <v>818</v>
      </c>
      <c r="D1530" s="2" t="s">
        <v>853</v>
      </c>
    </row>
    <row r="1531">
      <c r="A1531" s="8">
        <v>46186.27979027778</v>
      </c>
      <c r="B1531" s="2" t="s">
        <v>798</v>
      </c>
      <c r="C1531" s="2" t="s">
        <v>830</v>
      </c>
      <c r="D1531" s="2" t="s">
        <v>831</v>
      </c>
    </row>
    <row r="1532">
      <c r="A1532" s="8">
        <v>46186.279792511574</v>
      </c>
      <c r="B1532" s="2" t="s">
        <v>832</v>
      </c>
      <c r="C1532" s="2"/>
      <c r="D1532" s="2" t="s">
        <v>977</v>
      </c>
    </row>
    <row r="1533">
      <c r="A1533" s="8">
        <v>46186.279853078704</v>
      </c>
      <c r="B1533" s="2" t="s">
        <v>840</v>
      </c>
      <c r="C1533" s="2" t="s">
        <v>773</v>
      </c>
      <c r="D1533" s="2" t="s">
        <v>930</v>
      </c>
    </row>
    <row r="1534">
      <c r="A1534" s="8">
        <v>46186.27985572917</v>
      </c>
      <c r="B1534" s="2" t="s">
        <v>840</v>
      </c>
      <c r="C1534" s="2" t="s">
        <v>783</v>
      </c>
      <c r="D1534" s="2" t="s">
        <v>931</v>
      </c>
    </row>
    <row r="1535">
      <c r="A1535" s="8">
        <v>46186.27985802083</v>
      </c>
      <c r="B1535" s="2" t="s">
        <v>894</v>
      </c>
      <c r="C1535" s="2"/>
      <c r="D1535" s="2" t="s">
        <v>995</v>
      </c>
    </row>
    <row r="1536">
      <c r="A1536" s="8">
        <v>46186.32143684028</v>
      </c>
      <c r="B1536" s="2" t="s">
        <v>798</v>
      </c>
      <c r="C1536" s="2" t="s">
        <v>799</v>
      </c>
      <c r="D1536" s="2" t="s">
        <v>800</v>
      </c>
    </row>
    <row r="1537">
      <c r="A1537" s="8">
        <v>46186.32144002315</v>
      </c>
      <c r="B1537" s="2" t="s">
        <v>838</v>
      </c>
      <c r="C1537" s="2" t="s">
        <v>802</v>
      </c>
      <c r="D1537" s="2" t="s">
        <v>839</v>
      </c>
    </row>
    <row r="1538">
      <c r="A1538" s="8">
        <v>46186.32144568287</v>
      </c>
      <c r="B1538" s="2" t="s">
        <v>798</v>
      </c>
      <c r="C1538" s="2" t="s">
        <v>812</v>
      </c>
      <c r="D1538" s="2" t="s">
        <v>813</v>
      </c>
    </row>
    <row r="1539">
      <c r="A1539" s="8">
        <v>46186.32145699074</v>
      </c>
      <c r="B1539" s="2" t="s">
        <v>838</v>
      </c>
      <c r="C1539" s="2" t="s">
        <v>818</v>
      </c>
      <c r="D1539" s="2" t="s">
        <v>853</v>
      </c>
    </row>
    <row r="1540">
      <c r="A1540" s="8">
        <v>46186.32146319444</v>
      </c>
      <c r="B1540" s="2" t="s">
        <v>798</v>
      </c>
      <c r="C1540" s="2" t="s">
        <v>830</v>
      </c>
      <c r="D1540" s="2" t="s">
        <v>831</v>
      </c>
    </row>
    <row r="1541">
      <c r="A1541" s="8">
        <v>46186.321465636574</v>
      </c>
      <c r="B1541" s="2" t="s">
        <v>832</v>
      </c>
      <c r="C1541" s="2"/>
      <c r="D1541" s="2" t="s">
        <v>977</v>
      </c>
    </row>
    <row r="1542">
      <c r="A1542" s="8">
        <v>46186.32155040509</v>
      </c>
      <c r="B1542" s="2" t="s">
        <v>840</v>
      </c>
      <c r="C1542" s="2" t="s">
        <v>773</v>
      </c>
      <c r="D1542" s="2" t="s">
        <v>930</v>
      </c>
    </row>
    <row r="1543">
      <c r="A1543" s="8">
        <v>46186.321553437505</v>
      </c>
      <c r="B1543" s="2" t="s">
        <v>840</v>
      </c>
      <c r="C1543" s="2" t="s">
        <v>783</v>
      </c>
      <c r="D1543" s="2" t="s">
        <v>931</v>
      </c>
    </row>
    <row r="1544">
      <c r="A1544" s="8">
        <v>46186.321556574076</v>
      </c>
      <c r="B1544" s="2" t="s">
        <v>894</v>
      </c>
      <c r="C1544" s="2"/>
      <c r="D1544" s="2" t="s">
        <v>995</v>
      </c>
    </row>
    <row r="1545">
      <c r="A1545" s="8">
        <v>46186.363116967594</v>
      </c>
      <c r="B1545" s="2" t="s">
        <v>798</v>
      </c>
      <c r="C1545" s="2" t="s">
        <v>799</v>
      </c>
      <c r="D1545" s="2" t="s">
        <v>800</v>
      </c>
    </row>
    <row r="1546">
      <c r="A1546" s="8">
        <v>46186.36311994213</v>
      </c>
      <c r="B1546" s="2" t="s">
        <v>838</v>
      </c>
      <c r="C1546" s="2" t="s">
        <v>802</v>
      </c>
      <c r="D1546" s="2" t="s">
        <v>839</v>
      </c>
    </row>
    <row r="1547">
      <c r="A1547" s="8">
        <v>46186.36312550926</v>
      </c>
      <c r="B1547" s="2" t="s">
        <v>798</v>
      </c>
      <c r="C1547" s="2" t="s">
        <v>812</v>
      </c>
      <c r="D1547" s="2" t="s">
        <v>813</v>
      </c>
    </row>
    <row r="1548">
      <c r="A1548" s="8">
        <v>46186.363139340276</v>
      </c>
      <c r="B1548" s="2" t="s">
        <v>838</v>
      </c>
      <c r="C1548" s="2" t="s">
        <v>818</v>
      </c>
      <c r="D1548" s="2" t="s">
        <v>853</v>
      </c>
    </row>
    <row r="1549">
      <c r="A1549" s="8">
        <v>46186.36314560185</v>
      </c>
      <c r="B1549" s="2" t="s">
        <v>798</v>
      </c>
      <c r="C1549" s="2" t="s">
        <v>830</v>
      </c>
      <c r="D1549" s="2" t="s">
        <v>831</v>
      </c>
    </row>
    <row r="1550">
      <c r="A1550" s="8">
        <v>46186.36314803241</v>
      </c>
      <c r="B1550" s="2" t="s">
        <v>832</v>
      </c>
      <c r="C1550" s="2"/>
      <c r="D1550" s="2" t="s">
        <v>977</v>
      </c>
    </row>
    <row r="1551">
      <c r="A1551" s="8">
        <v>46186.36322053241</v>
      </c>
      <c r="B1551" s="2" t="s">
        <v>840</v>
      </c>
      <c r="C1551" s="2" t="s">
        <v>773</v>
      </c>
      <c r="D1551" s="2" t="s">
        <v>930</v>
      </c>
    </row>
    <row r="1552">
      <c r="A1552" s="8">
        <v>46186.3632240625</v>
      </c>
      <c r="B1552" s="2" t="s">
        <v>840</v>
      </c>
      <c r="C1552" s="2" t="s">
        <v>783</v>
      </c>
      <c r="D1552" s="2" t="s">
        <v>931</v>
      </c>
    </row>
    <row r="1553">
      <c r="A1553" s="8">
        <v>46186.36322706018</v>
      </c>
      <c r="B1553" s="2" t="s">
        <v>894</v>
      </c>
      <c r="C1553" s="2"/>
      <c r="D1553" s="2" t="s">
        <v>995</v>
      </c>
    </row>
    <row r="1554">
      <c r="A1554" s="8">
        <v>46186.40477194445</v>
      </c>
      <c r="B1554" s="2" t="s">
        <v>798</v>
      </c>
      <c r="C1554" s="2" t="s">
        <v>799</v>
      </c>
      <c r="D1554" s="2" t="s">
        <v>800</v>
      </c>
    </row>
    <row r="1555">
      <c r="A1555" s="8">
        <v>46186.40477471065</v>
      </c>
      <c r="B1555" s="2" t="s">
        <v>838</v>
      </c>
      <c r="C1555" s="2" t="s">
        <v>802</v>
      </c>
      <c r="D1555" s="2" t="s">
        <v>839</v>
      </c>
    </row>
    <row r="1556">
      <c r="A1556" s="8">
        <v>46186.404797118055</v>
      </c>
      <c r="B1556" s="2" t="s">
        <v>798</v>
      </c>
      <c r="C1556" s="2" t="s">
        <v>812</v>
      </c>
      <c r="D1556" s="2" t="s">
        <v>813</v>
      </c>
    </row>
    <row r="1557">
      <c r="A1557" s="8">
        <v>46186.40479943287</v>
      </c>
      <c r="B1557" s="2" t="s">
        <v>838</v>
      </c>
      <c r="C1557" s="2" t="s">
        <v>818</v>
      </c>
      <c r="D1557" s="2" t="s">
        <v>853</v>
      </c>
    </row>
    <row r="1558">
      <c r="A1558" s="8">
        <v>46186.40480427083</v>
      </c>
      <c r="B1558" s="2" t="s">
        <v>798</v>
      </c>
      <c r="C1558" s="2" t="s">
        <v>830</v>
      </c>
      <c r="D1558" s="2" t="s">
        <v>831</v>
      </c>
    </row>
    <row r="1559">
      <c r="A1559" s="8">
        <v>46186.40481424768</v>
      </c>
      <c r="B1559" s="2" t="s">
        <v>832</v>
      </c>
      <c r="C1559" s="2"/>
      <c r="D1559" s="2" t="s">
        <v>977</v>
      </c>
    </row>
    <row r="1560">
      <c r="A1560" s="8">
        <v>46186.40489046296</v>
      </c>
      <c r="B1560" s="2" t="s">
        <v>840</v>
      </c>
      <c r="C1560" s="2" t="s">
        <v>773</v>
      </c>
      <c r="D1560" s="2" t="s">
        <v>930</v>
      </c>
    </row>
    <row r="1561">
      <c r="A1561" s="8">
        <v>46186.4048930787</v>
      </c>
      <c r="B1561" s="2" t="s">
        <v>840</v>
      </c>
      <c r="C1561" s="2" t="s">
        <v>783</v>
      </c>
      <c r="D1561" s="2" t="s">
        <v>1009</v>
      </c>
    </row>
    <row r="1562">
      <c r="A1562" s="8">
        <v>46186.404895370375</v>
      </c>
      <c r="B1562" s="2" t="s">
        <v>894</v>
      </c>
      <c r="C1562" s="2"/>
      <c r="D1562" s="2" t="s">
        <v>995</v>
      </c>
    </row>
    <row r="1563">
      <c r="A1563" s="8">
        <v>46186.44643283565</v>
      </c>
      <c r="B1563" s="2" t="s">
        <v>798</v>
      </c>
      <c r="C1563" s="2" t="s">
        <v>799</v>
      </c>
      <c r="D1563" s="2" t="s">
        <v>800</v>
      </c>
    </row>
    <row r="1564">
      <c r="A1564" s="8">
        <v>46186.44643873842</v>
      </c>
      <c r="B1564" s="2" t="s">
        <v>838</v>
      </c>
      <c r="C1564" s="2" t="s">
        <v>802</v>
      </c>
      <c r="D1564" s="2" t="s">
        <v>839</v>
      </c>
    </row>
    <row r="1565">
      <c r="A1565" s="8">
        <v>46186.44644309027</v>
      </c>
      <c r="B1565" s="2" t="s">
        <v>798</v>
      </c>
      <c r="C1565" s="2" t="s">
        <v>812</v>
      </c>
      <c r="D1565" s="2" t="s">
        <v>813</v>
      </c>
    </row>
    <row r="1566">
      <c r="A1566" s="8">
        <v>46186.446454108795</v>
      </c>
      <c r="B1566" s="2" t="s">
        <v>838</v>
      </c>
      <c r="C1566" s="2" t="s">
        <v>818</v>
      </c>
      <c r="D1566" s="2" t="s">
        <v>853</v>
      </c>
    </row>
    <row r="1567">
      <c r="A1567" s="8">
        <v>46186.446457673606</v>
      </c>
      <c r="B1567" s="2" t="s">
        <v>798</v>
      </c>
      <c r="C1567" s="2" t="s">
        <v>830</v>
      </c>
      <c r="D1567" s="2" t="s">
        <v>831</v>
      </c>
    </row>
    <row r="1568">
      <c r="A1568" s="8">
        <v>46186.44646019676</v>
      </c>
      <c r="B1568" s="2" t="s">
        <v>832</v>
      </c>
      <c r="C1568" s="2"/>
      <c r="D1568" s="2" t="s">
        <v>977</v>
      </c>
    </row>
    <row r="1569">
      <c r="A1569" s="8">
        <v>46186.44652136574</v>
      </c>
      <c r="B1569" s="2" t="s">
        <v>840</v>
      </c>
      <c r="C1569" s="2" t="s">
        <v>773</v>
      </c>
      <c r="D1569" s="2" t="s">
        <v>930</v>
      </c>
    </row>
    <row r="1570">
      <c r="A1570" s="8">
        <v>46186.44652430556</v>
      </c>
      <c r="B1570" s="2" t="s">
        <v>840</v>
      </c>
      <c r="C1570" s="2" t="s">
        <v>783</v>
      </c>
      <c r="D1570" s="2" t="s">
        <v>1009</v>
      </c>
    </row>
    <row r="1571">
      <c r="A1571" s="8">
        <v>46186.44652686342</v>
      </c>
      <c r="B1571" s="2" t="s">
        <v>894</v>
      </c>
      <c r="C1571" s="2"/>
      <c r="D1571" s="2" t="s">
        <v>995</v>
      </c>
    </row>
    <row r="1572">
      <c r="A1572" s="8">
        <v>46186.4881736574</v>
      </c>
      <c r="B1572" s="2" t="s">
        <v>798</v>
      </c>
      <c r="C1572" s="2" t="s">
        <v>799</v>
      </c>
      <c r="D1572" s="2" t="s">
        <v>800</v>
      </c>
    </row>
    <row r="1573">
      <c r="A1573" s="8">
        <v>46186.48817956018</v>
      </c>
      <c r="B1573" s="2" t="s">
        <v>838</v>
      </c>
      <c r="C1573" s="2" t="s">
        <v>802</v>
      </c>
      <c r="D1573" s="2" t="s">
        <v>839</v>
      </c>
    </row>
    <row r="1574">
      <c r="A1574" s="8">
        <v>46186.48820037037</v>
      </c>
      <c r="B1574" s="2" t="s">
        <v>798</v>
      </c>
      <c r="C1574" s="2" t="s">
        <v>812</v>
      </c>
      <c r="D1574" s="2" t="s">
        <v>813</v>
      </c>
    </row>
    <row r="1575">
      <c r="A1575" s="8">
        <v>46186.48820665509</v>
      </c>
      <c r="B1575" s="2" t="s">
        <v>838</v>
      </c>
      <c r="C1575" s="2" t="s">
        <v>818</v>
      </c>
      <c r="D1575" s="2" t="s">
        <v>853</v>
      </c>
    </row>
    <row r="1576">
      <c r="A1576" s="8">
        <v>46186.48821667824</v>
      </c>
      <c r="B1576" s="2" t="s">
        <v>798</v>
      </c>
      <c r="C1576" s="2" t="s">
        <v>830</v>
      </c>
      <c r="D1576" s="2" t="s">
        <v>831</v>
      </c>
    </row>
    <row r="1577">
      <c r="A1577" s="8">
        <v>46186.488221458334</v>
      </c>
      <c r="B1577" s="2" t="s">
        <v>832</v>
      </c>
      <c r="C1577" s="2"/>
      <c r="D1577" s="2" t="s">
        <v>977</v>
      </c>
    </row>
    <row r="1578">
      <c r="A1578" s="8">
        <v>46186.488338807874</v>
      </c>
      <c r="B1578" s="2" t="s">
        <v>840</v>
      </c>
      <c r="C1578" s="2" t="s">
        <v>773</v>
      </c>
      <c r="D1578" s="2" t="s">
        <v>930</v>
      </c>
    </row>
    <row r="1579">
      <c r="A1579" s="8">
        <v>46186.48835184028</v>
      </c>
      <c r="B1579" s="2" t="s">
        <v>840</v>
      </c>
      <c r="C1579" s="2" t="s">
        <v>783</v>
      </c>
      <c r="D1579" s="2" t="s">
        <v>1009</v>
      </c>
    </row>
    <row r="1580">
      <c r="A1580" s="8">
        <v>46186.48835799769</v>
      </c>
      <c r="B1580" s="2" t="s">
        <v>894</v>
      </c>
      <c r="C1580" s="2"/>
      <c r="D1580" s="2" t="s">
        <v>995</v>
      </c>
    </row>
    <row r="1581">
      <c r="A1581" s="8">
        <v>46186.52981685185</v>
      </c>
      <c r="B1581" s="2" t="s">
        <v>798</v>
      </c>
      <c r="C1581" s="2" t="s">
        <v>799</v>
      </c>
      <c r="D1581" s="2" t="s">
        <v>800</v>
      </c>
    </row>
    <row r="1582">
      <c r="A1582" s="8">
        <v>46186.52982609953</v>
      </c>
      <c r="B1582" s="2" t="s">
        <v>838</v>
      </c>
      <c r="C1582" s="2" t="s">
        <v>802</v>
      </c>
      <c r="D1582" s="2" t="s">
        <v>839</v>
      </c>
    </row>
    <row r="1583">
      <c r="A1583" s="8">
        <v>46186.52984582176</v>
      </c>
      <c r="B1583" s="2" t="s">
        <v>798</v>
      </c>
      <c r="C1583" s="2" t="s">
        <v>812</v>
      </c>
      <c r="D1583" s="2" t="s">
        <v>813</v>
      </c>
    </row>
    <row r="1584">
      <c r="A1584" s="8">
        <v>46186.52985197917</v>
      </c>
      <c r="B1584" s="2" t="s">
        <v>838</v>
      </c>
      <c r="C1584" s="2" t="s">
        <v>818</v>
      </c>
      <c r="D1584" s="2" t="s">
        <v>853</v>
      </c>
    </row>
    <row r="1585">
      <c r="A1585" s="8">
        <v>46186.52986688657</v>
      </c>
      <c r="B1585" s="2" t="s">
        <v>798</v>
      </c>
      <c r="C1585" s="2" t="s">
        <v>830</v>
      </c>
      <c r="D1585" s="2" t="s">
        <v>831</v>
      </c>
    </row>
    <row r="1586">
      <c r="A1586" s="8">
        <v>46186.529877430556</v>
      </c>
      <c r="B1586" s="2" t="s">
        <v>832</v>
      </c>
      <c r="C1586" s="2"/>
      <c r="D1586" s="2" t="s">
        <v>977</v>
      </c>
    </row>
    <row r="1587">
      <c r="A1587" s="8">
        <v>46186.529957962965</v>
      </c>
      <c r="B1587" s="2" t="s">
        <v>840</v>
      </c>
      <c r="C1587" s="2" t="s">
        <v>773</v>
      </c>
      <c r="D1587" s="2" t="s">
        <v>930</v>
      </c>
    </row>
    <row r="1588">
      <c r="A1588" s="8">
        <v>46186.52996180556</v>
      </c>
      <c r="B1588" s="2" t="s">
        <v>840</v>
      </c>
      <c r="C1588" s="2" t="s">
        <v>783</v>
      </c>
      <c r="D1588" s="2" t="s">
        <v>1009</v>
      </c>
    </row>
    <row r="1589">
      <c r="A1589" s="8">
        <v>46186.53002322916</v>
      </c>
      <c r="B1589" s="2" t="s">
        <v>894</v>
      </c>
      <c r="C1589" s="2"/>
      <c r="D1589" s="2" t="s">
        <v>995</v>
      </c>
    </row>
    <row r="1590">
      <c r="A1590" s="8">
        <v>46186.571436087965</v>
      </c>
      <c r="B1590" s="2" t="s">
        <v>798</v>
      </c>
      <c r="C1590" s="2" t="s">
        <v>799</v>
      </c>
      <c r="D1590" s="2" t="s">
        <v>800</v>
      </c>
    </row>
    <row r="1591">
      <c r="A1591" s="8">
        <v>46186.57143920139</v>
      </c>
      <c r="B1591" s="2" t="s">
        <v>838</v>
      </c>
      <c r="C1591" s="2" t="s">
        <v>802</v>
      </c>
      <c r="D1591" s="2" t="s">
        <v>839</v>
      </c>
    </row>
    <row r="1592">
      <c r="A1592" s="8">
        <v>46186.57144299769</v>
      </c>
      <c r="B1592" s="2" t="s">
        <v>798</v>
      </c>
      <c r="C1592" s="2" t="s">
        <v>812</v>
      </c>
      <c r="D1592" s="2" t="s">
        <v>813</v>
      </c>
    </row>
    <row r="1593">
      <c r="A1593" s="8">
        <v>46186.571445381946</v>
      </c>
      <c r="B1593" s="2" t="s">
        <v>838</v>
      </c>
      <c r="C1593" s="2" t="s">
        <v>818</v>
      </c>
      <c r="D1593" s="2" t="s">
        <v>853</v>
      </c>
    </row>
    <row r="1594">
      <c r="A1594" s="8">
        <v>46186.57144895833</v>
      </c>
      <c r="B1594" s="2" t="s">
        <v>798</v>
      </c>
      <c r="C1594" s="2" t="s">
        <v>830</v>
      </c>
      <c r="D1594" s="2" t="s">
        <v>831</v>
      </c>
    </row>
    <row r="1595">
      <c r="A1595" s="8">
        <v>46186.57146101852</v>
      </c>
      <c r="B1595" s="2" t="s">
        <v>832</v>
      </c>
      <c r="C1595" s="2"/>
      <c r="D1595" s="2" t="s">
        <v>977</v>
      </c>
    </row>
    <row r="1596">
      <c r="A1596" s="8">
        <v>46186.57153458333</v>
      </c>
      <c r="B1596" s="2" t="s">
        <v>840</v>
      </c>
      <c r="C1596" s="2" t="s">
        <v>773</v>
      </c>
      <c r="D1596" s="2" t="s">
        <v>930</v>
      </c>
    </row>
    <row r="1597">
      <c r="A1597" s="8">
        <v>46186.57153792824</v>
      </c>
      <c r="B1597" s="2" t="s">
        <v>840</v>
      </c>
      <c r="C1597" s="2" t="s">
        <v>783</v>
      </c>
      <c r="D1597" s="2" t="s">
        <v>1009</v>
      </c>
    </row>
    <row r="1598">
      <c r="A1598" s="8">
        <v>46186.5715418287</v>
      </c>
      <c r="B1598" s="2" t="s">
        <v>894</v>
      </c>
      <c r="C1598" s="2"/>
      <c r="D1598" s="2" t="s">
        <v>995</v>
      </c>
    </row>
    <row r="1599">
      <c r="A1599" s="8">
        <v>46186.61310703703</v>
      </c>
      <c r="B1599" s="2" t="s">
        <v>798</v>
      </c>
      <c r="C1599" s="2" t="s">
        <v>799</v>
      </c>
      <c r="D1599" s="2" t="s">
        <v>800</v>
      </c>
    </row>
    <row r="1600">
      <c r="A1600" s="8">
        <v>46186.613145462965</v>
      </c>
      <c r="B1600" s="2" t="s">
        <v>838</v>
      </c>
      <c r="C1600" s="2" t="s">
        <v>802</v>
      </c>
      <c r="D1600" s="2" t="s">
        <v>839</v>
      </c>
    </row>
    <row r="1601">
      <c r="A1601" s="8">
        <v>46186.61315010417</v>
      </c>
      <c r="B1601" s="2" t="s">
        <v>798</v>
      </c>
      <c r="C1601" s="2" t="s">
        <v>812</v>
      </c>
      <c r="D1601" s="2" t="s">
        <v>813</v>
      </c>
    </row>
    <row r="1602">
      <c r="A1602" s="8">
        <v>46186.61315369213</v>
      </c>
      <c r="B1602" s="2" t="s">
        <v>838</v>
      </c>
      <c r="C1602" s="2" t="s">
        <v>818</v>
      </c>
      <c r="D1602" s="2" t="s">
        <v>853</v>
      </c>
    </row>
    <row r="1603">
      <c r="A1603" s="8">
        <v>46186.61315712963</v>
      </c>
      <c r="B1603" s="2" t="s">
        <v>798</v>
      </c>
      <c r="C1603" s="2" t="s">
        <v>830</v>
      </c>
      <c r="D1603" s="2" t="s">
        <v>831</v>
      </c>
    </row>
    <row r="1604">
      <c r="A1604" s="8">
        <v>46186.61316577546</v>
      </c>
      <c r="B1604" s="2" t="s">
        <v>832</v>
      </c>
      <c r="C1604" s="2"/>
      <c r="D1604" s="2" t="s">
        <v>977</v>
      </c>
    </row>
    <row r="1605">
      <c r="A1605" s="8">
        <v>46186.613241666666</v>
      </c>
      <c r="B1605" s="2" t="s">
        <v>840</v>
      </c>
      <c r="C1605" s="2" t="s">
        <v>773</v>
      </c>
      <c r="D1605" s="2" t="s">
        <v>930</v>
      </c>
    </row>
    <row r="1606">
      <c r="A1606" s="8">
        <v>46186.613245092594</v>
      </c>
      <c r="B1606" s="2" t="s">
        <v>840</v>
      </c>
      <c r="C1606" s="2" t="s">
        <v>783</v>
      </c>
      <c r="D1606" s="2" t="s">
        <v>1009</v>
      </c>
    </row>
    <row r="1607">
      <c r="A1607" s="8">
        <v>46186.61325011574</v>
      </c>
      <c r="B1607" s="2" t="s">
        <v>894</v>
      </c>
      <c r="C1607" s="2"/>
      <c r="D1607" s="2" t="s">
        <v>995</v>
      </c>
    </row>
    <row r="1608">
      <c r="A1608" s="8">
        <v>46186.65477490741</v>
      </c>
      <c r="B1608" s="2" t="s">
        <v>798</v>
      </c>
      <c r="C1608" s="2" t="s">
        <v>799</v>
      </c>
      <c r="D1608" s="2" t="s">
        <v>800</v>
      </c>
    </row>
    <row r="1609">
      <c r="A1609" s="8">
        <v>46186.65478416666</v>
      </c>
      <c r="B1609" s="2" t="s">
        <v>838</v>
      </c>
      <c r="C1609" s="2" t="s">
        <v>802</v>
      </c>
      <c r="D1609" s="2" t="s">
        <v>839</v>
      </c>
    </row>
    <row r="1610">
      <c r="A1610" s="8">
        <v>46186.65479033565</v>
      </c>
      <c r="B1610" s="2" t="s">
        <v>798</v>
      </c>
      <c r="C1610" s="2" t="s">
        <v>812</v>
      </c>
      <c r="D1610" s="2" t="s">
        <v>813</v>
      </c>
    </row>
    <row r="1611">
      <c r="A1611" s="8">
        <v>46186.654794699076</v>
      </c>
      <c r="B1611" s="2" t="s">
        <v>838</v>
      </c>
      <c r="C1611" s="2" t="s">
        <v>818</v>
      </c>
      <c r="D1611" s="2" t="s">
        <v>853</v>
      </c>
    </row>
    <row r="1612">
      <c r="A1612" s="8">
        <v>46186.654806307866</v>
      </c>
      <c r="B1612" s="2" t="s">
        <v>798</v>
      </c>
      <c r="C1612" s="2" t="s">
        <v>830</v>
      </c>
      <c r="D1612" s="2" t="s">
        <v>831</v>
      </c>
    </row>
    <row r="1613">
      <c r="A1613" s="8">
        <v>46186.6548165625</v>
      </c>
      <c r="B1613" s="2" t="s">
        <v>832</v>
      </c>
      <c r="C1613" s="2"/>
      <c r="D1613" s="2" t="s">
        <v>977</v>
      </c>
    </row>
    <row r="1614">
      <c r="A1614" s="8">
        <v>46186.65487642361</v>
      </c>
      <c r="B1614" s="2" t="s">
        <v>991</v>
      </c>
      <c r="C1614" s="2" t="s">
        <v>534</v>
      </c>
      <c r="D1614" s="2" t="s">
        <v>1010</v>
      </c>
    </row>
    <row r="1615">
      <c r="A1615" s="8">
        <v>46186.65488100694</v>
      </c>
      <c r="B1615" s="2" t="s">
        <v>840</v>
      </c>
      <c r="C1615" s="2" t="s">
        <v>768</v>
      </c>
      <c r="D1615" s="2" t="s">
        <v>1011</v>
      </c>
    </row>
    <row r="1616">
      <c r="A1616" s="8">
        <v>46186.654884247684</v>
      </c>
      <c r="B1616" s="2" t="s">
        <v>840</v>
      </c>
      <c r="C1616" s="2" t="s">
        <v>773</v>
      </c>
      <c r="D1616" s="2" t="s">
        <v>930</v>
      </c>
    </row>
    <row r="1617">
      <c r="A1617" s="8">
        <v>46186.65489637732</v>
      </c>
      <c r="B1617" s="2" t="s">
        <v>840</v>
      </c>
      <c r="C1617" s="2" t="s">
        <v>783</v>
      </c>
      <c r="D1617" s="2" t="s">
        <v>1009</v>
      </c>
    </row>
    <row r="1618">
      <c r="A1618" s="8">
        <v>46186.65489960648</v>
      </c>
      <c r="B1618" s="2" t="s">
        <v>894</v>
      </c>
      <c r="C1618" s="2"/>
      <c r="D1618" s="2" t="s">
        <v>1012</v>
      </c>
    </row>
    <row r="1619">
      <c r="A1619" s="8">
        <v>46186.6964390625</v>
      </c>
      <c r="B1619" s="2" t="s">
        <v>798</v>
      </c>
      <c r="C1619" s="2" t="s">
        <v>799</v>
      </c>
      <c r="D1619" s="2" t="s">
        <v>800</v>
      </c>
    </row>
    <row r="1620">
      <c r="A1620" s="8">
        <v>46186.69644225694</v>
      </c>
      <c r="B1620" s="2" t="s">
        <v>838</v>
      </c>
      <c r="C1620" s="2" t="s">
        <v>802</v>
      </c>
      <c r="D1620" s="2" t="s">
        <v>839</v>
      </c>
    </row>
    <row r="1621">
      <c r="A1621" s="8">
        <v>46186.696449236115</v>
      </c>
      <c r="B1621" s="2" t="s">
        <v>798</v>
      </c>
      <c r="C1621" s="2" t="s">
        <v>812</v>
      </c>
      <c r="D1621" s="2" t="s">
        <v>813</v>
      </c>
    </row>
    <row r="1622">
      <c r="A1622" s="8">
        <v>46186.696466180554</v>
      </c>
      <c r="B1622" s="2" t="s">
        <v>838</v>
      </c>
      <c r="C1622" s="2" t="s">
        <v>818</v>
      </c>
      <c r="D1622" s="2" t="s">
        <v>853</v>
      </c>
    </row>
    <row r="1623">
      <c r="A1623" s="8">
        <v>46186.696471296294</v>
      </c>
      <c r="B1623" s="2" t="s">
        <v>798</v>
      </c>
      <c r="C1623" s="2" t="s">
        <v>830</v>
      </c>
      <c r="D1623" s="2" t="s">
        <v>831</v>
      </c>
    </row>
    <row r="1624">
      <c r="A1624" s="8">
        <v>46186.696473923614</v>
      </c>
      <c r="B1624" s="2" t="s">
        <v>832</v>
      </c>
      <c r="C1624" s="2"/>
      <c r="D1624" s="2" t="s">
        <v>977</v>
      </c>
    </row>
    <row r="1625">
      <c r="A1625" s="8">
        <v>46186.6965358912</v>
      </c>
      <c r="B1625" s="2" t="s">
        <v>991</v>
      </c>
      <c r="C1625" s="2" t="s">
        <v>534</v>
      </c>
      <c r="D1625" s="2" t="s">
        <v>1010</v>
      </c>
    </row>
    <row r="1626">
      <c r="A1626" s="8">
        <v>46186.69653940972</v>
      </c>
      <c r="B1626" s="2" t="s">
        <v>840</v>
      </c>
      <c r="C1626" s="2" t="s">
        <v>768</v>
      </c>
      <c r="D1626" s="2" t="s">
        <v>1011</v>
      </c>
    </row>
    <row r="1627">
      <c r="A1627" s="8">
        <v>46186.69654215278</v>
      </c>
      <c r="B1627" s="2" t="s">
        <v>840</v>
      </c>
      <c r="C1627" s="2" t="s">
        <v>773</v>
      </c>
      <c r="D1627" s="2" t="s">
        <v>930</v>
      </c>
    </row>
    <row r="1628">
      <c r="A1628" s="8">
        <v>46186.69654476852</v>
      </c>
      <c r="B1628" s="2" t="s">
        <v>840</v>
      </c>
      <c r="C1628" s="2" t="s">
        <v>783</v>
      </c>
      <c r="D1628" s="2" t="s">
        <v>1009</v>
      </c>
    </row>
    <row r="1629">
      <c r="A1629" s="8">
        <v>46186.69655277778</v>
      </c>
      <c r="B1629" s="2" t="s">
        <v>894</v>
      </c>
      <c r="C1629" s="2"/>
      <c r="D1629" s="2" t="s">
        <v>1012</v>
      </c>
    </row>
    <row r="1630">
      <c r="A1630" s="8">
        <v>46186.738130300924</v>
      </c>
      <c r="B1630" s="2" t="s">
        <v>798</v>
      </c>
      <c r="C1630" s="2" t="s">
        <v>799</v>
      </c>
      <c r="D1630" s="2" t="s">
        <v>800</v>
      </c>
    </row>
    <row r="1631">
      <c r="A1631" s="8">
        <v>46186.73813481482</v>
      </c>
      <c r="B1631" s="2" t="s">
        <v>838</v>
      </c>
      <c r="C1631" s="2" t="s">
        <v>802</v>
      </c>
      <c r="D1631" s="2" t="s">
        <v>839</v>
      </c>
    </row>
    <row r="1632">
      <c r="A1632" s="8">
        <v>46186.7381443287</v>
      </c>
      <c r="B1632" s="2" t="s">
        <v>798</v>
      </c>
      <c r="C1632" s="2" t="s">
        <v>812</v>
      </c>
      <c r="D1632" s="2" t="s">
        <v>813</v>
      </c>
    </row>
    <row r="1633">
      <c r="A1633" s="8">
        <v>46186.73815601852</v>
      </c>
      <c r="B1633" s="2" t="s">
        <v>838</v>
      </c>
      <c r="C1633" s="2" t="s">
        <v>818</v>
      </c>
      <c r="D1633" s="2" t="s">
        <v>853</v>
      </c>
    </row>
    <row r="1634">
      <c r="A1634" s="8">
        <v>46186.73816180555</v>
      </c>
      <c r="B1634" s="2" t="s">
        <v>798</v>
      </c>
      <c r="C1634" s="2" t="s">
        <v>830</v>
      </c>
      <c r="D1634" s="2" t="s">
        <v>831</v>
      </c>
    </row>
    <row r="1635">
      <c r="A1635" s="8">
        <v>46186.738165208335</v>
      </c>
      <c r="B1635" s="2" t="s">
        <v>832</v>
      </c>
      <c r="C1635" s="2"/>
      <c r="D1635" s="2" t="s">
        <v>977</v>
      </c>
    </row>
    <row r="1636">
      <c r="A1636" s="8">
        <v>46186.73824445602</v>
      </c>
      <c r="B1636" s="2" t="s">
        <v>991</v>
      </c>
      <c r="C1636" s="2" t="s">
        <v>534</v>
      </c>
      <c r="D1636" s="2" t="s">
        <v>1010</v>
      </c>
    </row>
    <row r="1637">
      <c r="A1637" s="8">
        <v>46186.738251215276</v>
      </c>
      <c r="B1637" s="2" t="s">
        <v>840</v>
      </c>
      <c r="C1637" s="2" t="s">
        <v>768</v>
      </c>
      <c r="D1637" s="2" t="s">
        <v>1011</v>
      </c>
    </row>
    <row r="1638">
      <c r="A1638" s="8">
        <v>46186.7382546875</v>
      </c>
      <c r="B1638" s="2" t="s">
        <v>840</v>
      </c>
      <c r="C1638" s="2" t="s">
        <v>773</v>
      </c>
      <c r="D1638" s="2" t="s">
        <v>930</v>
      </c>
    </row>
    <row r="1639">
      <c r="A1639" s="8">
        <v>46186.73825840278</v>
      </c>
      <c r="B1639" s="2" t="s">
        <v>840</v>
      </c>
      <c r="C1639" s="2" t="s">
        <v>783</v>
      </c>
      <c r="D1639" s="2" t="s">
        <v>1009</v>
      </c>
    </row>
    <row r="1640">
      <c r="A1640" s="8">
        <v>46186.73826194444</v>
      </c>
      <c r="B1640" s="2" t="s">
        <v>894</v>
      </c>
      <c r="C1640" s="2"/>
      <c r="D1640" s="2" t="s">
        <v>1012</v>
      </c>
    </row>
    <row r="1641">
      <c r="A1641" s="8">
        <v>46186.77977334491</v>
      </c>
      <c r="B1641" s="2" t="s">
        <v>798</v>
      </c>
      <c r="C1641" s="2" t="s">
        <v>799</v>
      </c>
      <c r="D1641" s="2" t="s">
        <v>800</v>
      </c>
    </row>
    <row r="1642">
      <c r="A1642" s="8">
        <v>46186.77977876157</v>
      </c>
      <c r="B1642" s="2" t="s">
        <v>838</v>
      </c>
      <c r="C1642" s="2" t="s">
        <v>802</v>
      </c>
      <c r="D1642" s="2" t="s">
        <v>839</v>
      </c>
    </row>
    <row r="1643">
      <c r="A1643" s="8">
        <v>46186.77978762731</v>
      </c>
      <c r="B1643" s="2" t="s">
        <v>798</v>
      </c>
      <c r="C1643" s="2" t="s">
        <v>812</v>
      </c>
      <c r="D1643" s="2" t="s">
        <v>813</v>
      </c>
    </row>
    <row r="1644">
      <c r="A1644" s="8">
        <v>46186.779798194446</v>
      </c>
      <c r="B1644" s="2" t="s">
        <v>838</v>
      </c>
      <c r="C1644" s="2" t="s">
        <v>818</v>
      </c>
      <c r="D1644" s="2" t="s">
        <v>853</v>
      </c>
    </row>
    <row r="1645">
      <c r="A1645" s="8">
        <v>46186.779806562496</v>
      </c>
      <c r="B1645" s="2" t="s">
        <v>798</v>
      </c>
      <c r="C1645" s="2" t="s">
        <v>830</v>
      </c>
      <c r="D1645" s="2" t="s">
        <v>831</v>
      </c>
    </row>
    <row r="1646">
      <c r="A1646" s="8">
        <v>46186.779811932865</v>
      </c>
      <c r="B1646" s="2" t="s">
        <v>832</v>
      </c>
      <c r="C1646" s="2"/>
      <c r="D1646" s="2" t="s">
        <v>977</v>
      </c>
    </row>
    <row r="1647">
      <c r="A1647" s="8">
        <v>46186.779902106486</v>
      </c>
      <c r="B1647" s="2" t="s">
        <v>844</v>
      </c>
      <c r="C1647" s="2" t="s">
        <v>524</v>
      </c>
      <c r="D1647" s="2" t="s">
        <v>927</v>
      </c>
    </row>
    <row r="1648">
      <c r="A1648" s="8">
        <v>46186.77991196759</v>
      </c>
      <c r="B1648" s="2" t="s">
        <v>991</v>
      </c>
      <c r="C1648" s="2" t="s">
        <v>534</v>
      </c>
      <c r="D1648" s="2" t="s">
        <v>1010</v>
      </c>
    </row>
    <row r="1649">
      <c r="A1649" s="8">
        <v>46186.77992671296</v>
      </c>
      <c r="B1649" s="2" t="s">
        <v>844</v>
      </c>
      <c r="C1649" s="2" t="s">
        <v>629</v>
      </c>
      <c r="D1649" s="2" t="s">
        <v>1013</v>
      </c>
    </row>
    <row r="1650">
      <c r="A1650" s="8">
        <v>46186.779941064815</v>
      </c>
      <c r="B1650" s="2" t="s">
        <v>844</v>
      </c>
      <c r="C1650" s="2" t="s">
        <v>702</v>
      </c>
      <c r="D1650" s="2" t="s">
        <v>1014</v>
      </c>
    </row>
    <row r="1651">
      <c r="A1651" s="8">
        <v>46186.779946828705</v>
      </c>
      <c r="B1651" s="2" t="s">
        <v>840</v>
      </c>
      <c r="C1651" s="2" t="s">
        <v>768</v>
      </c>
      <c r="D1651" s="2" t="s">
        <v>1011</v>
      </c>
    </row>
    <row r="1652">
      <c r="A1652" s="8">
        <v>46186.77995055556</v>
      </c>
      <c r="B1652" s="2" t="s">
        <v>840</v>
      </c>
      <c r="C1652" s="2" t="s">
        <v>773</v>
      </c>
      <c r="D1652" s="2" t="s">
        <v>930</v>
      </c>
    </row>
    <row r="1653">
      <c r="A1653" s="8">
        <v>46186.779953668985</v>
      </c>
      <c r="B1653" s="2" t="s">
        <v>840</v>
      </c>
      <c r="C1653" s="2" t="s">
        <v>783</v>
      </c>
      <c r="D1653" s="2" t="s">
        <v>1009</v>
      </c>
    </row>
    <row r="1654">
      <c r="A1654" s="8">
        <v>46186.77995773148</v>
      </c>
      <c r="B1654" s="2" t="s">
        <v>894</v>
      </c>
      <c r="C1654" s="2"/>
      <c r="D1654" s="2" t="s">
        <v>1015</v>
      </c>
    </row>
    <row r="1655">
      <c r="A1655" s="8">
        <v>46186.82143049769</v>
      </c>
      <c r="B1655" s="2" t="s">
        <v>798</v>
      </c>
      <c r="C1655" s="2" t="s">
        <v>799</v>
      </c>
      <c r="D1655" s="2" t="s">
        <v>800</v>
      </c>
    </row>
    <row r="1656">
      <c r="A1656" s="8">
        <v>46186.821432893514</v>
      </c>
      <c r="B1656" s="2" t="s">
        <v>838</v>
      </c>
      <c r="C1656" s="2" t="s">
        <v>802</v>
      </c>
      <c r="D1656" s="2" t="s">
        <v>839</v>
      </c>
    </row>
    <row r="1657">
      <c r="A1657" s="8">
        <v>46186.82143685185</v>
      </c>
      <c r="B1657" s="2" t="s">
        <v>798</v>
      </c>
      <c r="C1657" s="2" t="s">
        <v>812</v>
      </c>
      <c r="D1657" s="2" t="s">
        <v>813</v>
      </c>
    </row>
    <row r="1658">
      <c r="A1658" s="8">
        <v>46186.82145063658</v>
      </c>
      <c r="B1658" s="2" t="s">
        <v>838</v>
      </c>
      <c r="C1658" s="2" t="s">
        <v>818</v>
      </c>
      <c r="D1658" s="2" t="s">
        <v>853</v>
      </c>
    </row>
    <row r="1659">
      <c r="A1659" s="8">
        <v>46186.8214534838</v>
      </c>
      <c r="B1659" s="2" t="s">
        <v>798</v>
      </c>
      <c r="C1659" s="2" t="s">
        <v>830</v>
      </c>
      <c r="D1659" s="2" t="s">
        <v>831</v>
      </c>
    </row>
    <row r="1660">
      <c r="A1660" s="8">
        <v>46186.82145549769</v>
      </c>
      <c r="B1660" s="2" t="s">
        <v>832</v>
      </c>
      <c r="C1660" s="2"/>
      <c r="D1660" s="2" t="s">
        <v>977</v>
      </c>
    </row>
    <row r="1661">
      <c r="A1661" s="8">
        <v>46186.82152053241</v>
      </c>
      <c r="B1661" s="2" t="s">
        <v>991</v>
      </c>
      <c r="C1661" s="2" t="s">
        <v>534</v>
      </c>
      <c r="D1661" s="2" t="s">
        <v>1010</v>
      </c>
    </row>
    <row r="1662">
      <c r="A1662" s="8">
        <v>46186.82152386574</v>
      </c>
      <c r="B1662" s="2" t="s">
        <v>840</v>
      </c>
      <c r="C1662" s="2" t="s">
        <v>768</v>
      </c>
      <c r="D1662" s="2" t="s">
        <v>1011</v>
      </c>
    </row>
    <row r="1663">
      <c r="A1663" s="8">
        <v>46186.821525844905</v>
      </c>
      <c r="B1663" s="2" t="s">
        <v>840</v>
      </c>
      <c r="C1663" s="2" t="s">
        <v>773</v>
      </c>
      <c r="D1663" s="2" t="s">
        <v>930</v>
      </c>
    </row>
    <row r="1664">
      <c r="A1664" s="8">
        <v>46186.821527962966</v>
      </c>
      <c r="B1664" s="2" t="s">
        <v>840</v>
      </c>
      <c r="C1664" s="2" t="s">
        <v>783</v>
      </c>
      <c r="D1664" s="2" t="s">
        <v>1009</v>
      </c>
    </row>
    <row r="1665">
      <c r="A1665" s="8">
        <v>46186.82152996528</v>
      </c>
      <c r="B1665" s="2" t="s">
        <v>894</v>
      </c>
      <c r="C1665" s="2"/>
      <c r="D1665" s="2" t="s">
        <v>1012</v>
      </c>
    </row>
    <row r="1666">
      <c r="A1666" s="8">
        <v>46186.86311391204</v>
      </c>
      <c r="B1666" s="2" t="s">
        <v>798</v>
      </c>
      <c r="C1666" s="2" t="s">
        <v>799</v>
      </c>
      <c r="D1666" s="2" t="s">
        <v>800</v>
      </c>
    </row>
    <row r="1667">
      <c r="A1667" s="8">
        <v>46186.86311875</v>
      </c>
      <c r="B1667" s="2" t="s">
        <v>838</v>
      </c>
      <c r="C1667" s="2" t="s">
        <v>802</v>
      </c>
      <c r="D1667" s="2" t="s">
        <v>839</v>
      </c>
    </row>
    <row r="1668">
      <c r="A1668" s="8">
        <v>46186.86313017361</v>
      </c>
      <c r="B1668" s="2" t="s">
        <v>798</v>
      </c>
      <c r="C1668" s="2" t="s">
        <v>812</v>
      </c>
      <c r="D1668" s="2" t="s">
        <v>813</v>
      </c>
    </row>
    <row r="1669">
      <c r="A1669" s="8">
        <v>46186.86313518518</v>
      </c>
      <c r="B1669" s="2" t="s">
        <v>838</v>
      </c>
      <c r="C1669" s="2" t="s">
        <v>818</v>
      </c>
      <c r="D1669" s="2" t="s">
        <v>853</v>
      </c>
    </row>
    <row r="1670">
      <c r="A1670" s="8">
        <v>46186.86314284722</v>
      </c>
      <c r="B1670" s="2" t="s">
        <v>798</v>
      </c>
      <c r="C1670" s="2" t="s">
        <v>830</v>
      </c>
      <c r="D1670" s="2" t="s">
        <v>831</v>
      </c>
    </row>
    <row r="1671">
      <c r="A1671" s="8">
        <v>46186.86314648148</v>
      </c>
      <c r="B1671" s="2" t="s">
        <v>832</v>
      </c>
      <c r="C1671" s="2"/>
      <c r="D1671" s="2" t="s">
        <v>977</v>
      </c>
    </row>
    <row r="1672">
      <c r="A1672" s="8">
        <v>46186.86321494213</v>
      </c>
      <c r="B1672" s="2" t="s">
        <v>991</v>
      </c>
      <c r="C1672" s="2" t="s">
        <v>519</v>
      </c>
      <c r="D1672" s="2" t="s">
        <v>1016</v>
      </c>
    </row>
    <row r="1673">
      <c r="A1673" s="8">
        <v>46186.86322118055</v>
      </c>
      <c r="B1673" s="2" t="s">
        <v>991</v>
      </c>
      <c r="C1673" s="2" t="s">
        <v>534</v>
      </c>
      <c r="D1673" s="2" t="s">
        <v>1010</v>
      </c>
    </row>
    <row r="1674">
      <c r="A1674" s="8">
        <v>46186.86323086805</v>
      </c>
      <c r="B1674" s="2" t="s">
        <v>840</v>
      </c>
      <c r="C1674" s="2" t="s">
        <v>768</v>
      </c>
      <c r="D1674" s="2" t="s">
        <v>1011</v>
      </c>
    </row>
    <row r="1675">
      <c r="A1675" s="8">
        <v>46186.8632344213</v>
      </c>
      <c r="B1675" s="2" t="s">
        <v>840</v>
      </c>
      <c r="C1675" s="2" t="s">
        <v>773</v>
      </c>
      <c r="D1675" s="2" t="s">
        <v>930</v>
      </c>
    </row>
    <row r="1676">
      <c r="A1676" s="8">
        <v>46186.86323768519</v>
      </c>
      <c r="B1676" s="2" t="s">
        <v>840</v>
      </c>
      <c r="C1676" s="2" t="s">
        <v>783</v>
      </c>
      <c r="D1676" s="2" t="s">
        <v>1009</v>
      </c>
    </row>
    <row r="1677">
      <c r="A1677" s="8">
        <v>46186.8632403125</v>
      </c>
      <c r="B1677" s="2" t="s">
        <v>894</v>
      </c>
      <c r="C1677" s="2"/>
      <c r="D1677" s="2" t="s">
        <v>1017</v>
      </c>
    </row>
    <row r="1678">
      <c r="A1678" s="8">
        <v>46186.90475721065</v>
      </c>
      <c r="B1678" s="2" t="s">
        <v>798</v>
      </c>
      <c r="C1678" s="2" t="s">
        <v>799</v>
      </c>
      <c r="D1678" s="2" t="s">
        <v>800</v>
      </c>
    </row>
    <row r="1679">
      <c r="A1679" s="8">
        <v>46186.90476016204</v>
      </c>
      <c r="B1679" s="2" t="s">
        <v>838</v>
      </c>
      <c r="C1679" s="2" t="s">
        <v>802</v>
      </c>
      <c r="D1679" s="2" t="s">
        <v>839</v>
      </c>
    </row>
    <row r="1680">
      <c r="A1680" s="8">
        <v>46186.904765810184</v>
      </c>
      <c r="B1680" s="2" t="s">
        <v>798</v>
      </c>
      <c r="C1680" s="2" t="s">
        <v>812</v>
      </c>
      <c r="D1680" s="2" t="s">
        <v>813</v>
      </c>
    </row>
    <row r="1681">
      <c r="A1681" s="8">
        <v>46186.90478217593</v>
      </c>
      <c r="B1681" s="2" t="s">
        <v>838</v>
      </c>
      <c r="C1681" s="2" t="s">
        <v>818</v>
      </c>
      <c r="D1681" s="2" t="s">
        <v>853</v>
      </c>
    </row>
    <row r="1682">
      <c r="A1682" s="8">
        <v>46186.90478577546</v>
      </c>
      <c r="B1682" s="2" t="s">
        <v>798</v>
      </c>
      <c r="C1682" s="2" t="s">
        <v>830</v>
      </c>
      <c r="D1682" s="2" t="s">
        <v>831</v>
      </c>
    </row>
    <row r="1683">
      <c r="A1683" s="8">
        <v>46186.90479064814</v>
      </c>
      <c r="B1683" s="2" t="s">
        <v>832</v>
      </c>
      <c r="C1683" s="2"/>
      <c r="D1683" s="2" t="s">
        <v>977</v>
      </c>
    </row>
    <row r="1684">
      <c r="A1684" s="8">
        <v>46186.90484822917</v>
      </c>
      <c r="B1684" s="2" t="s">
        <v>991</v>
      </c>
      <c r="C1684" s="2" t="s">
        <v>519</v>
      </c>
      <c r="D1684" s="2" t="s">
        <v>1016</v>
      </c>
    </row>
    <row r="1685">
      <c r="A1685" s="8">
        <v>46186.90485186342</v>
      </c>
      <c r="B1685" s="2" t="s">
        <v>991</v>
      </c>
      <c r="C1685" s="2" t="s">
        <v>534</v>
      </c>
      <c r="D1685" s="2" t="s">
        <v>1010</v>
      </c>
    </row>
    <row r="1686">
      <c r="A1686" s="8">
        <v>46186.904856608795</v>
      </c>
      <c r="B1686" s="2" t="s">
        <v>840</v>
      </c>
      <c r="C1686" s="2" t="s">
        <v>768</v>
      </c>
      <c r="D1686" s="2" t="s">
        <v>1011</v>
      </c>
    </row>
    <row r="1687">
      <c r="A1687" s="8">
        <v>46186.90486065972</v>
      </c>
      <c r="B1687" s="2" t="s">
        <v>840</v>
      </c>
      <c r="C1687" s="2" t="s">
        <v>773</v>
      </c>
      <c r="D1687" s="2" t="s">
        <v>930</v>
      </c>
    </row>
    <row r="1688">
      <c r="A1688" s="8">
        <v>46186.904863125004</v>
      </c>
      <c r="B1688" s="2" t="s">
        <v>840</v>
      </c>
      <c r="C1688" s="2" t="s">
        <v>783</v>
      </c>
      <c r="D1688" s="2" t="s">
        <v>1009</v>
      </c>
    </row>
    <row r="1689">
      <c r="A1689" s="8">
        <v>46186.90486616898</v>
      </c>
      <c r="B1689" s="2" t="s">
        <v>894</v>
      </c>
      <c r="C1689" s="2"/>
      <c r="D1689" s="2" t="s">
        <v>1017</v>
      </c>
    </row>
    <row r="1690">
      <c r="A1690" s="8">
        <v>46186.917103784726</v>
      </c>
      <c r="B1690" s="2" t="s">
        <v>863</v>
      </c>
      <c r="C1690" s="2"/>
      <c r="D1690" s="2" t="s">
        <v>1018</v>
      </c>
    </row>
    <row r="1691">
      <c r="A1691" s="8">
        <v>46186.94643988426</v>
      </c>
      <c r="B1691" s="2" t="s">
        <v>798</v>
      </c>
      <c r="C1691" s="2" t="s">
        <v>799</v>
      </c>
      <c r="D1691" s="2" t="s">
        <v>800</v>
      </c>
    </row>
    <row r="1692">
      <c r="A1692" s="8">
        <v>46186.94644373843</v>
      </c>
      <c r="B1692" s="2" t="s">
        <v>838</v>
      </c>
      <c r="C1692" s="2" t="s">
        <v>802</v>
      </c>
      <c r="D1692" s="2" t="s">
        <v>839</v>
      </c>
    </row>
    <row r="1693">
      <c r="A1693" s="8">
        <v>46186.94644969907</v>
      </c>
      <c r="B1693" s="2" t="s">
        <v>798</v>
      </c>
      <c r="C1693" s="2" t="s">
        <v>812</v>
      </c>
      <c r="D1693" s="2" t="s">
        <v>813</v>
      </c>
    </row>
    <row r="1694">
      <c r="A1694" s="8">
        <v>46186.946457997685</v>
      </c>
      <c r="B1694" s="2" t="s">
        <v>838</v>
      </c>
      <c r="C1694" s="2" t="s">
        <v>818</v>
      </c>
      <c r="D1694" s="2" t="s">
        <v>853</v>
      </c>
    </row>
    <row r="1695">
      <c r="A1695" s="8">
        <v>46186.946462418986</v>
      </c>
      <c r="B1695" s="2" t="s">
        <v>798</v>
      </c>
      <c r="C1695" s="2" t="s">
        <v>830</v>
      </c>
      <c r="D1695" s="2" t="s">
        <v>831</v>
      </c>
    </row>
    <row r="1696">
      <c r="A1696" s="8">
        <v>46186.94646914351</v>
      </c>
      <c r="B1696" s="2" t="s">
        <v>832</v>
      </c>
      <c r="C1696" s="2"/>
      <c r="D1696" s="2" t="s">
        <v>977</v>
      </c>
    </row>
    <row r="1697">
      <c r="A1697" s="8">
        <v>46186.946531388894</v>
      </c>
      <c r="B1697" s="2" t="s">
        <v>991</v>
      </c>
      <c r="C1697" s="2" t="s">
        <v>519</v>
      </c>
      <c r="D1697" s="2" t="s">
        <v>1016</v>
      </c>
    </row>
    <row r="1698">
      <c r="A1698" s="8">
        <v>46186.946534849536</v>
      </c>
      <c r="B1698" s="2" t="s">
        <v>991</v>
      </c>
      <c r="C1698" s="2" t="s">
        <v>534</v>
      </c>
      <c r="D1698" s="2" t="s">
        <v>1010</v>
      </c>
    </row>
    <row r="1699">
      <c r="A1699" s="8">
        <v>46186.94653958333</v>
      </c>
      <c r="B1699" s="2" t="s">
        <v>840</v>
      </c>
      <c r="C1699" s="2" t="s">
        <v>768</v>
      </c>
      <c r="D1699" s="2" t="s">
        <v>1011</v>
      </c>
    </row>
    <row r="1700">
      <c r="A1700" s="8">
        <v>46186.94654715278</v>
      </c>
      <c r="B1700" s="2" t="s">
        <v>840</v>
      </c>
      <c r="C1700" s="2" t="s">
        <v>773</v>
      </c>
      <c r="D1700" s="2" t="s">
        <v>930</v>
      </c>
    </row>
    <row r="1701">
      <c r="A1701" s="8">
        <v>46186.94654978009</v>
      </c>
      <c r="B1701" s="2" t="s">
        <v>840</v>
      </c>
      <c r="C1701" s="2" t="s">
        <v>783</v>
      </c>
      <c r="D1701" s="2" t="s">
        <v>1009</v>
      </c>
    </row>
    <row r="1702">
      <c r="A1702" s="8">
        <v>46186.94655259259</v>
      </c>
      <c r="B1702" s="2" t="s">
        <v>894</v>
      </c>
      <c r="C1702" s="2"/>
      <c r="D1702" s="2" t="s">
        <v>1017</v>
      </c>
    </row>
    <row r="1703">
      <c r="A1703" s="8">
        <v>46186.98809758102</v>
      </c>
      <c r="B1703" s="2" t="s">
        <v>798</v>
      </c>
      <c r="C1703" s="2" t="s">
        <v>799</v>
      </c>
      <c r="D1703" s="2" t="s">
        <v>800</v>
      </c>
    </row>
    <row r="1704">
      <c r="A1704" s="8">
        <v>46186.98810153935</v>
      </c>
      <c r="B1704" s="2" t="s">
        <v>838</v>
      </c>
      <c r="C1704" s="2" t="s">
        <v>802</v>
      </c>
      <c r="D1704" s="2" t="s">
        <v>839</v>
      </c>
    </row>
    <row r="1705">
      <c r="A1705" s="8">
        <v>46186.98810565972</v>
      </c>
      <c r="B1705" s="2" t="s">
        <v>798</v>
      </c>
      <c r="C1705" s="2" t="s">
        <v>812</v>
      </c>
      <c r="D1705" s="2" t="s">
        <v>813</v>
      </c>
    </row>
    <row r="1706">
      <c r="A1706" s="8">
        <v>46186.98812260416</v>
      </c>
      <c r="B1706" s="2" t="s">
        <v>838</v>
      </c>
      <c r="C1706" s="2" t="s">
        <v>818</v>
      </c>
      <c r="D1706" s="2" t="s">
        <v>853</v>
      </c>
    </row>
    <row r="1707">
      <c r="A1707" s="8">
        <v>46186.98813518518</v>
      </c>
      <c r="B1707" s="2" t="s">
        <v>798</v>
      </c>
      <c r="C1707" s="2" t="s">
        <v>830</v>
      </c>
      <c r="D1707" s="2" t="s">
        <v>831</v>
      </c>
    </row>
    <row r="1708">
      <c r="A1708" s="8">
        <v>46186.98813834491</v>
      </c>
      <c r="B1708" s="2" t="s">
        <v>832</v>
      </c>
      <c r="C1708" s="2"/>
      <c r="D1708" s="2" t="s">
        <v>977</v>
      </c>
    </row>
    <row r="1709">
      <c r="A1709" s="8">
        <v>46186.98819939815</v>
      </c>
      <c r="B1709" s="2" t="s">
        <v>991</v>
      </c>
      <c r="C1709" s="2" t="s">
        <v>519</v>
      </c>
      <c r="D1709" s="2" t="s">
        <v>1016</v>
      </c>
    </row>
    <row r="1710">
      <c r="A1710" s="8">
        <v>46186.988213819444</v>
      </c>
      <c r="B1710" s="2" t="s">
        <v>991</v>
      </c>
      <c r="C1710" s="2" t="s">
        <v>534</v>
      </c>
      <c r="D1710" s="2" t="s">
        <v>1010</v>
      </c>
    </row>
    <row r="1711">
      <c r="A1711" s="8">
        <v>46186.98821787037</v>
      </c>
      <c r="B1711" s="2" t="s">
        <v>840</v>
      </c>
      <c r="C1711" s="2" t="s">
        <v>768</v>
      </c>
      <c r="D1711" s="2" t="s">
        <v>1011</v>
      </c>
    </row>
    <row r="1712">
      <c r="A1712" s="8">
        <v>46186.98822100695</v>
      </c>
      <c r="B1712" s="2" t="s">
        <v>840</v>
      </c>
      <c r="C1712" s="2" t="s">
        <v>773</v>
      </c>
      <c r="D1712" s="2" t="s">
        <v>930</v>
      </c>
    </row>
    <row r="1713">
      <c r="A1713" s="8">
        <v>46186.9882243287</v>
      </c>
      <c r="B1713" s="2" t="s">
        <v>840</v>
      </c>
      <c r="C1713" s="2" t="s">
        <v>783</v>
      </c>
      <c r="D1713" s="2" t="s">
        <v>1009</v>
      </c>
    </row>
    <row r="1714">
      <c r="A1714" s="8">
        <v>46186.98822758102</v>
      </c>
      <c r="B1714" s="2" t="s">
        <v>894</v>
      </c>
      <c r="C1714" s="2"/>
      <c r="D1714" s="2" t="s">
        <v>1017</v>
      </c>
    </row>
    <row r="1715">
      <c r="A1715" s="8">
        <v>46187.02976689815</v>
      </c>
      <c r="B1715" s="2" t="s">
        <v>798</v>
      </c>
      <c r="C1715" s="2" t="s">
        <v>799</v>
      </c>
      <c r="D1715" s="2" t="s">
        <v>800</v>
      </c>
    </row>
    <row r="1716">
      <c r="A1716" s="8">
        <v>46187.02976989583</v>
      </c>
      <c r="B1716" s="2" t="s">
        <v>838</v>
      </c>
      <c r="C1716" s="2" t="s">
        <v>802</v>
      </c>
      <c r="D1716" s="2" t="s">
        <v>839</v>
      </c>
    </row>
    <row r="1717">
      <c r="A1717" s="8">
        <v>46187.02977620371</v>
      </c>
      <c r="B1717" s="2" t="s">
        <v>798</v>
      </c>
      <c r="C1717" s="2" t="s">
        <v>812</v>
      </c>
      <c r="D1717" s="2" t="s">
        <v>813</v>
      </c>
    </row>
    <row r="1718">
      <c r="A1718" s="8">
        <v>46187.0297908912</v>
      </c>
      <c r="B1718" s="2" t="s">
        <v>838</v>
      </c>
      <c r="C1718" s="2" t="s">
        <v>818</v>
      </c>
      <c r="D1718" s="2" t="s">
        <v>853</v>
      </c>
    </row>
    <row r="1719">
      <c r="A1719" s="8">
        <v>46187.029794918984</v>
      </c>
      <c r="B1719" s="2" t="s">
        <v>798</v>
      </c>
      <c r="C1719" s="2" t="s">
        <v>830</v>
      </c>
      <c r="D1719" s="2" t="s">
        <v>831</v>
      </c>
    </row>
    <row r="1720">
      <c r="A1720" s="8">
        <v>46187.02979741898</v>
      </c>
      <c r="B1720" s="2" t="s">
        <v>832</v>
      </c>
      <c r="C1720" s="2"/>
      <c r="D1720" s="2" t="s">
        <v>977</v>
      </c>
    </row>
    <row r="1721">
      <c r="A1721" s="8">
        <v>46187.02986043981</v>
      </c>
      <c r="B1721" s="2" t="s">
        <v>991</v>
      </c>
      <c r="C1721" s="2" t="s">
        <v>519</v>
      </c>
      <c r="D1721" s="2" t="s">
        <v>1016</v>
      </c>
    </row>
    <row r="1722">
      <c r="A1722" s="8">
        <v>46187.02986461806</v>
      </c>
      <c r="B1722" s="2" t="s">
        <v>991</v>
      </c>
      <c r="C1722" s="2" t="s">
        <v>534</v>
      </c>
      <c r="D1722" s="2" t="s">
        <v>1010</v>
      </c>
    </row>
    <row r="1723">
      <c r="A1723" s="8">
        <v>46187.02986949074</v>
      </c>
      <c r="B1723" s="2" t="s">
        <v>840</v>
      </c>
      <c r="C1723" s="2" t="s">
        <v>768</v>
      </c>
      <c r="D1723" s="2" t="s">
        <v>1011</v>
      </c>
    </row>
    <row r="1724">
      <c r="A1724" s="8">
        <v>46187.029872037034</v>
      </c>
      <c r="B1724" s="2" t="s">
        <v>840</v>
      </c>
      <c r="C1724" s="2" t="s">
        <v>773</v>
      </c>
      <c r="D1724" s="2" t="s">
        <v>930</v>
      </c>
    </row>
    <row r="1725">
      <c r="A1725" s="8">
        <v>46187.029874687505</v>
      </c>
      <c r="B1725" s="2" t="s">
        <v>840</v>
      </c>
      <c r="C1725" s="2" t="s">
        <v>783</v>
      </c>
      <c r="D1725" s="2" t="s">
        <v>1009</v>
      </c>
    </row>
    <row r="1726">
      <c r="A1726" s="8">
        <v>46187.029877256944</v>
      </c>
      <c r="B1726" s="2" t="s">
        <v>894</v>
      </c>
      <c r="C1726" s="2"/>
      <c r="D1726" s="2" t="s">
        <v>1017</v>
      </c>
    </row>
    <row r="1727">
      <c r="A1727" s="8">
        <v>46187.07144663195</v>
      </c>
      <c r="B1727" s="2" t="s">
        <v>798</v>
      </c>
      <c r="C1727" s="2" t="s">
        <v>799</v>
      </c>
      <c r="D1727" s="2" t="s">
        <v>800</v>
      </c>
    </row>
    <row r="1728">
      <c r="A1728" s="8">
        <v>46187.07145048611</v>
      </c>
      <c r="B1728" s="2" t="s">
        <v>838</v>
      </c>
      <c r="C1728" s="2" t="s">
        <v>802</v>
      </c>
      <c r="D1728" s="2" t="s">
        <v>839</v>
      </c>
    </row>
    <row r="1729">
      <c r="A1729" s="8">
        <v>46187.07146099537</v>
      </c>
      <c r="B1729" s="2" t="s">
        <v>798</v>
      </c>
      <c r="C1729" s="2" t="s">
        <v>812</v>
      </c>
      <c r="D1729" s="2" t="s">
        <v>813</v>
      </c>
    </row>
    <row r="1730">
      <c r="A1730" s="8">
        <v>46187.07146949074</v>
      </c>
      <c r="B1730" s="2" t="s">
        <v>838</v>
      </c>
      <c r="C1730" s="2" t="s">
        <v>818</v>
      </c>
      <c r="D1730" s="2" t="s">
        <v>853</v>
      </c>
    </row>
    <row r="1731">
      <c r="A1731" s="8">
        <v>46187.071473414355</v>
      </c>
      <c r="B1731" s="2" t="s">
        <v>798</v>
      </c>
      <c r="C1731" s="2" t="s">
        <v>830</v>
      </c>
      <c r="D1731" s="2" t="s">
        <v>831</v>
      </c>
    </row>
    <row r="1732">
      <c r="A1732" s="8">
        <v>46187.07148571759</v>
      </c>
      <c r="B1732" s="2" t="s">
        <v>832</v>
      </c>
      <c r="C1732" s="2"/>
      <c r="D1732" s="2" t="s">
        <v>977</v>
      </c>
    </row>
    <row r="1733">
      <c r="A1733" s="8">
        <v>46187.071555891205</v>
      </c>
      <c r="B1733" s="2" t="s">
        <v>991</v>
      </c>
      <c r="C1733" s="2" t="s">
        <v>519</v>
      </c>
      <c r="D1733" s="2" t="s">
        <v>1016</v>
      </c>
    </row>
    <row r="1734">
      <c r="A1734" s="8">
        <v>46187.07156114583</v>
      </c>
      <c r="B1734" s="2" t="s">
        <v>991</v>
      </c>
      <c r="C1734" s="2" t="s">
        <v>534</v>
      </c>
      <c r="D1734" s="2" t="s">
        <v>1010</v>
      </c>
    </row>
    <row r="1735">
      <c r="A1735" s="8">
        <v>46187.07156630787</v>
      </c>
      <c r="B1735" s="2" t="s">
        <v>840</v>
      </c>
      <c r="C1735" s="2" t="s">
        <v>768</v>
      </c>
      <c r="D1735" s="2" t="s">
        <v>1011</v>
      </c>
    </row>
    <row r="1736">
      <c r="A1736" s="8">
        <v>46187.07157010416</v>
      </c>
      <c r="B1736" s="2" t="s">
        <v>840</v>
      </c>
      <c r="C1736" s="2" t="s">
        <v>773</v>
      </c>
      <c r="D1736" s="2" t="s">
        <v>930</v>
      </c>
    </row>
    <row r="1737">
      <c r="A1737" s="8">
        <v>46187.07157344907</v>
      </c>
      <c r="B1737" s="2" t="s">
        <v>840</v>
      </c>
      <c r="C1737" s="2" t="s">
        <v>783</v>
      </c>
      <c r="D1737" s="2" t="s">
        <v>1009</v>
      </c>
    </row>
    <row r="1738">
      <c r="A1738" s="8">
        <v>46187.07157646991</v>
      </c>
      <c r="B1738" s="2" t="s">
        <v>894</v>
      </c>
      <c r="C1738" s="2"/>
      <c r="D1738" s="2" t="s">
        <v>1017</v>
      </c>
    </row>
    <row r="1739">
      <c r="A1739" s="8">
        <v>46187.11310018519</v>
      </c>
      <c r="B1739" s="2" t="s">
        <v>798</v>
      </c>
      <c r="C1739" s="2" t="s">
        <v>799</v>
      </c>
      <c r="D1739" s="2" t="s">
        <v>800</v>
      </c>
    </row>
    <row r="1740">
      <c r="A1740" s="8">
        <v>46187.11310207176</v>
      </c>
      <c r="B1740" s="2" t="s">
        <v>838</v>
      </c>
      <c r="C1740" s="2" t="s">
        <v>802</v>
      </c>
      <c r="D1740" s="2" t="s">
        <v>839</v>
      </c>
    </row>
    <row r="1741">
      <c r="A1741" s="8">
        <v>46187.11310502315</v>
      </c>
      <c r="B1741" s="2" t="s">
        <v>798</v>
      </c>
      <c r="C1741" s="2" t="s">
        <v>812</v>
      </c>
      <c r="D1741" s="2" t="s">
        <v>813</v>
      </c>
    </row>
    <row r="1742">
      <c r="A1742" s="8">
        <v>46187.11312069444</v>
      </c>
      <c r="B1742" s="2" t="s">
        <v>838</v>
      </c>
      <c r="C1742" s="2" t="s">
        <v>818</v>
      </c>
      <c r="D1742" s="2" t="s">
        <v>853</v>
      </c>
    </row>
    <row r="1743">
      <c r="A1743" s="8">
        <v>46187.11312628472</v>
      </c>
      <c r="B1743" s="2" t="s">
        <v>798</v>
      </c>
      <c r="C1743" s="2" t="s">
        <v>830</v>
      </c>
      <c r="D1743" s="2" t="s">
        <v>831</v>
      </c>
    </row>
    <row r="1744">
      <c r="A1744" s="8">
        <v>46187.113128020836</v>
      </c>
      <c r="B1744" s="2" t="s">
        <v>832</v>
      </c>
      <c r="C1744" s="2"/>
      <c r="D1744" s="2" t="s">
        <v>977</v>
      </c>
    </row>
    <row r="1745">
      <c r="A1745" s="8">
        <v>46187.11318233796</v>
      </c>
      <c r="B1745" s="2" t="s">
        <v>991</v>
      </c>
      <c r="C1745" s="2" t="s">
        <v>519</v>
      </c>
      <c r="D1745" s="2" t="s">
        <v>1016</v>
      </c>
    </row>
    <row r="1746">
      <c r="A1746" s="8">
        <v>46187.11318439815</v>
      </c>
      <c r="B1746" s="2" t="s">
        <v>991</v>
      </c>
      <c r="C1746" s="2" t="s">
        <v>534</v>
      </c>
      <c r="D1746" s="2" t="s">
        <v>1010</v>
      </c>
    </row>
    <row r="1747">
      <c r="A1747" s="8">
        <v>46187.11319017361</v>
      </c>
      <c r="B1747" s="2" t="s">
        <v>840</v>
      </c>
      <c r="C1747" s="2" t="s">
        <v>768</v>
      </c>
      <c r="D1747" s="2" t="s">
        <v>1011</v>
      </c>
    </row>
    <row r="1748">
      <c r="A1748" s="8">
        <v>46187.11319172454</v>
      </c>
      <c r="B1748" s="2" t="s">
        <v>840</v>
      </c>
      <c r="C1748" s="2" t="s">
        <v>773</v>
      </c>
      <c r="D1748" s="2" t="s">
        <v>930</v>
      </c>
    </row>
    <row r="1749">
      <c r="A1749" s="8">
        <v>46187.11319320602</v>
      </c>
      <c r="B1749" s="2" t="s">
        <v>840</v>
      </c>
      <c r="C1749" s="2" t="s">
        <v>783</v>
      </c>
      <c r="D1749" s="2" t="s">
        <v>1009</v>
      </c>
    </row>
    <row r="1750">
      <c r="A1750" s="8">
        <v>46187.11319497685</v>
      </c>
      <c r="B1750" s="2" t="s">
        <v>894</v>
      </c>
      <c r="C1750" s="2"/>
      <c r="D1750" s="2" t="s">
        <v>1017</v>
      </c>
    </row>
    <row r="1751">
      <c r="A1751" s="8">
        <v>46187.15476508102</v>
      </c>
      <c r="B1751" s="2" t="s">
        <v>798</v>
      </c>
      <c r="C1751" s="2" t="s">
        <v>799</v>
      </c>
      <c r="D1751" s="2" t="s">
        <v>800</v>
      </c>
    </row>
    <row r="1752">
      <c r="A1752" s="8">
        <v>46187.154768506945</v>
      </c>
      <c r="B1752" s="2" t="s">
        <v>838</v>
      </c>
      <c r="C1752" s="2" t="s">
        <v>802</v>
      </c>
      <c r="D1752" s="2" t="s">
        <v>839</v>
      </c>
    </row>
    <row r="1753">
      <c r="A1753" s="8">
        <v>46187.15477458334</v>
      </c>
      <c r="B1753" s="2" t="s">
        <v>798</v>
      </c>
      <c r="C1753" s="2" t="s">
        <v>812</v>
      </c>
      <c r="D1753" s="2" t="s">
        <v>813</v>
      </c>
    </row>
    <row r="1754">
      <c r="A1754" s="8">
        <v>46187.154786053245</v>
      </c>
      <c r="B1754" s="2" t="s">
        <v>838</v>
      </c>
      <c r="C1754" s="2" t="s">
        <v>818</v>
      </c>
      <c r="D1754" s="2" t="s">
        <v>853</v>
      </c>
    </row>
    <row r="1755">
      <c r="A1755" s="8">
        <v>46187.15479104167</v>
      </c>
      <c r="B1755" s="2" t="s">
        <v>798</v>
      </c>
      <c r="C1755" s="2" t="s">
        <v>830</v>
      </c>
      <c r="D1755" s="2" t="s">
        <v>831</v>
      </c>
    </row>
    <row r="1756">
      <c r="A1756" s="8">
        <v>46187.15479690972</v>
      </c>
      <c r="B1756" s="2" t="s">
        <v>832</v>
      </c>
      <c r="C1756" s="2"/>
      <c r="D1756" s="2" t="s">
        <v>977</v>
      </c>
    </row>
    <row r="1757">
      <c r="A1757" s="8">
        <v>46187.15486112269</v>
      </c>
      <c r="B1757" s="2" t="s">
        <v>991</v>
      </c>
      <c r="C1757" s="2" t="s">
        <v>519</v>
      </c>
      <c r="D1757" s="2" t="s">
        <v>1016</v>
      </c>
    </row>
    <row r="1758">
      <c r="A1758" s="8">
        <v>46187.154864317126</v>
      </c>
      <c r="B1758" s="2" t="s">
        <v>991</v>
      </c>
      <c r="C1758" s="2" t="s">
        <v>534</v>
      </c>
      <c r="D1758" s="2" t="s">
        <v>1010</v>
      </c>
    </row>
    <row r="1759">
      <c r="A1759" s="8">
        <v>46187.15486888889</v>
      </c>
      <c r="B1759" s="2" t="s">
        <v>840</v>
      </c>
      <c r="C1759" s="2" t="s">
        <v>768</v>
      </c>
      <c r="D1759" s="2" t="s">
        <v>1011</v>
      </c>
    </row>
    <row r="1760">
      <c r="A1760" s="8">
        <v>46187.154871886574</v>
      </c>
      <c r="B1760" s="2" t="s">
        <v>840</v>
      </c>
      <c r="C1760" s="2" t="s">
        <v>773</v>
      </c>
      <c r="D1760" s="2" t="s">
        <v>930</v>
      </c>
    </row>
    <row r="1761">
      <c r="A1761" s="8">
        <v>46187.154874722226</v>
      </c>
      <c r="B1761" s="2" t="s">
        <v>840</v>
      </c>
      <c r="C1761" s="2" t="s">
        <v>783</v>
      </c>
      <c r="D1761" s="2" t="s">
        <v>1009</v>
      </c>
    </row>
    <row r="1762">
      <c r="A1762" s="8">
        <v>46187.15487722222</v>
      </c>
      <c r="B1762" s="2" t="s">
        <v>894</v>
      </c>
      <c r="C1762" s="2"/>
      <c r="D1762" s="2" t="s">
        <v>1017</v>
      </c>
    </row>
    <row r="1763">
      <c r="A1763" s="8">
        <v>46187.19643660879</v>
      </c>
      <c r="B1763" s="2" t="s">
        <v>798</v>
      </c>
      <c r="C1763" s="2" t="s">
        <v>799</v>
      </c>
      <c r="D1763" s="2" t="s">
        <v>800</v>
      </c>
    </row>
    <row r="1764">
      <c r="A1764" s="8">
        <v>46187.19643988426</v>
      </c>
      <c r="B1764" s="2" t="s">
        <v>838</v>
      </c>
      <c r="C1764" s="2" t="s">
        <v>802</v>
      </c>
      <c r="D1764" s="2" t="s">
        <v>839</v>
      </c>
    </row>
    <row r="1765">
      <c r="A1765" s="8">
        <v>46187.19644827546</v>
      </c>
      <c r="B1765" s="2" t="s">
        <v>844</v>
      </c>
      <c r="C1765" s="2" t="s">
        <v>846</v>
      </c>
      <c r="D1765" s="2" t="s">
        <v>996</v>
      </c>
    </row>
    <row r="1766">
      <c r="A1766" s="8">
        <v>46187.19646278935</v>
      </c>
      <c r="B1766" s="2" t="s">
        <v>798</v>
      </c>
      <c r="C1766" s="2" t="s">
        <v>812</v>
      </c>
      <c r="D1766" s="2" t="s">
        <v>813</v>
      </c>
    </row>
    <row r="1767">
      <c r="A1767" s="8">
        <v>46187.19646535879</v>
      </c>
      <c r="B1767" s="2" t="s">
        <v>838</v>
      </c>
      <c r="C1767" s="2" t="s">
        <v>818</v>
      </c>
      <c r="D1767" s="2" t="s">
        <v>853</v>
      </c>
    </row>
    <row r="1768">
      <c r="A1768" s="8">
        <v>46187.19646961805</v>
      </c>
      <c r="B1768" s="2" t="s">
        <v>798</v>
      </c>
      <c r="C1768" s="2" t="s">
        <v>830</v>
      </c>
      <c r="D1768" s="2" t="s">
        <v>831</v>
      </c>
    </row>
    <row r="1769">
      <c r="A1769" s="8">
        <v>46187.19647546296</v>
      </c>
      <c r="B1769" s="2" t="s">
        <v>832</v>
      </c>
      <c r="C1769" s="2"/>
      <c r="D1769" s="2" t="s">
        <v>997</v>
      </c>
    </row>
    <row r="1770">
      <c r="A1770" s="8">
        <v>46187.196552928246</v>
      </c>
      <c r="B1770" s="2" t="s">
        <v>991</v>
      </c>
      <c r="C1770" s="2" t="s">
        <v>519</v>
      </c>
      <c r="D1770" s="2" t="s">
        <v>1016</v>
      </c>
    </row>
    <row r="1771">
      <c r="A1771" s="8">
        <v>46187.196556724535</v>
      </c>
      <c r="B1771" s="2" t="s">
        <v>991</v>
      </c>
      <c r="C1771" s="2" t="s">
        <v>534</v>
      </c>
      <c r="D1771" s="2" t="s">
        <v>1010</v>
      </c>
    </row>
    <row r="1772">
      <c r="A1772" s="8">
        <v>46187.19656354167</v>
      </c>
      <c r="B1772" s="2" t="s">
        <v>840</v>
      </c>
      <c r="C1772" s="2" t="s">
        <v>768</v>
      </c>
      <c r="D1772" s="2" t="s">
        <v>1011</v>
      </c>
    </row>
    <row r="1773">
      <c r="A1773" s="8">
        <v>46187.19656701389</v>
      </c>
      <c r="B1773" s="2" t="s">
        <v>840</v>
      </c>
      <c r="C1773" s="2" t="s">
        <v>773</v>
      </c>
      <c r="D1773" s="2" t="s">
        <v>930</v>
      </c>
    </row>
    <row r="1774">
      <c r="A1774" s="8">
        <v>46187.19657277778</v>
      </c>
      <c r="B1774" s="2" t="s">
        <v>840</v>
      </c>
      <c r="C1774" s="2" t="s">
        <v>783</v>
      </c>
      <c r="D1774" s="2" t="s">
        <v>1009</v>
      </c>
    </row>
    <row r="1775">
      <c r="A1775" s="8">
        <v>46187.1965763426</v>
      </c>
      <c r="B1775" s="2" t="s">
        <v>894</v>
      </c>
      <c r="C1775" s="2"/>
      <c r="D1775" s="2" t="s">
        <v>1017</v>
      </c>
    </row>
    <row r="1776">
      <c r="A1776" s="8">
        <v>46187.23810695602</v>
      </c>
      <c r="B1776" s="2" t="s">
        <v>844</v>
      </c>
      <c r="C1776" s="2" t="s">
        <v>792</v>
      </c>
      <c r="D1776" s="2" t="s">
        <v>1019</v>
      </c>
    </row>
    <row r="1777">
      <c r="A1777" s="8">
        <v>46187.23811556713</v>
      </c>
      <c r="B1777" s="2" t="s">
        <v>844</v>
      </c>
      <c r="C1777" s="2" t="s">
        <v>836</v>
      </c>
      <c r="D1777" s="2" t="s">
        <v>1019</v>
      </c>
    </row>
    <row r="1778">
      <c r="A1778" s="8">
        <v>46187.2381302662</v>
      </c>
      <c r="B1778" s="2" t="s">
        <v>798</v>
      </c>
      <c r="C1778" s="2" t="s">
        <v>799</v>
      </c>
      <c r="D1778" s="2" t="s">
        <v>800</v>
      </c>
    </row>
    <row r="1779">
      <c r="A1779" s="8">
        <v>46187.23813246528</v>
      </c>
      <c r="B1779" s="2" t="s">
        <v>838</v>
      </c>
      <c r="C1779" s="2" t="s">
        <v>802</v>
      </c>
      <c r="D1779" s="2" t="s">
        <v>839</v>
      </c>
    </row>
    <row r="1780">
      <c r="A1780" s="8">
        <v>46187.23813556713</v>
      </c>
      <c r="B1780" s="2" t="s">
        <v>798</v>
      </c>
      <c r="C1780" s="2" t="s">
        <v>812</v>
      </c>
      <c r="D1780" s="2" t="s">
        <v>813</v>
      </c>
    </row>
    <row r="1781">
      <c r="A1781" s="8">
        <v>46187.23814165509</v>
      </c>
      <c r="B1781" s="2" t="s">
        <v>838</v>
      </c>
      <c r="C1781" s="2" t="s">
        <v>818</v>
      </c>
      <c r="D1781" s="2" t="s">
        <v>853</v>
      </c>
    </row>
    <row r="1782">
      <c r="A1782" s="8">
        <v>46187.23814458333</v>
      </c>
      <c r="B1782" s="2" t="s">
        <v>798</v>
      </c>
      <c r="C1782" s="2" t="s">
        <v>830</v>
      </c>
      <c r="D1782" s="2" t="s">
        <v>831</v>
      </c>
    </row>
    <row r="1783">
      <c r="A1783" s="8">
        <v>46187.23814664352</v>
      </c>
      <c r="B1783" s="2" t="s">
        <v>832</v>
      </c>
      <c r="C1783" s="2"/>
      <c r="D1783" s="2" t="s">
        <v>1020</v>
      </c>
    </row>
    <row r="1784">
      <c r="A1784" s="8">
        <v>46187.23820357639</v>
      </c>
      <c r="B1784" s="2" t="s">
        <v>991</v>
      </c>
      <c r="C1784" s="2" t="s">
        <v>519</v>
      </c>
      <c r="D1784" s="2" t="s">
        <v>1016</v>
      </c>
    </row>
    <row r="1785">
      <c r="A1785" s="8">
        <v>46187.23820597222</v>
      </c>
      <c r="B1785" s="2" t="s">
        <v>991</v>
      </c>
      <c r="C1785" s="2" t="s">
        <v>534</v>
      </c>
      <c r="D1785" s="2" t="s">
        <v>1010</v>
      </c>
    </row>
    <row r="1786">
      <c r="A1786" s="8">
        <v>46187.23820975695</v>
      </c>
      <c r="B1786" s="2" t="s">
        <v>840</v>
      </c>
      <c r="C1786" s="2" t="s">
        <v>768</v>
      </c>
      <c r="D1786" s="2" t="s">
        <v>1011</v>
      </c>
    </row>
    <row r="1787">
      <c r="A1787" s="8">
        <v>46187.238211435186</v>
      </c>
      <c r="B1787" s="2" t="s">
        <v>840</v>
      </c>
      <c r="C1787" s="2" t="s">
        <v>773</v>
      </c>
      <c r="D1787" s="2" t="s">
        <v>930</v>
      </c>
    </row>
    <row r="1788">
      <c r="A1788" s="8">
        <v>46187.23821328704</v>
      </c>
      <c r="B1788" s="2" t="s">
        <v>840</v>
      </c>
      <c r="C1788" s="2" t="s">
        <v>783</v>
      </c>
      <c r="D1788" s="2" t="s">
        <v>1009</v>
      </c>
    </row>
    <row r="1789">
      <c r="A1789" s="8">
        <v>46187.23821523148</v>
      </c>
      <c r="B1789" s="2" t="s">
        <v>894</v>
      </c>
      <c r="C1789" s="2"/>
      <c r="D1789" s="2" t="s">
        <v>1017</v>
      </c>
    </row>
    <row r="1790">
      <c r="A1790" s="8">
        <v>46187.27976659722</v>
      </c>
      <c r="B1790" s="2" t="s">
        <v>798</v>
      </c>
      <c r="C1790" s="2" t="s">
        <v>799</v>
      </c>
      <c r="D1790" s="2" t="s">
        <v>800</v>
      </c>
    </row>
    <row r="1791">
      <c r="A1791" s="8">
        <v>46187.27976917824</v>
      </c>
      <c r="B1791" s="2" t="s">
        <v>838</v>
      </c>
      <c r="C1791" s="2" t="s">
        <v>802</v>
      </c>
      <c r="D1791" s="2" t="s">
        <v>839</v>
      </c>
    </row>
    <row r="1792">
      <c r="A1792" s="8">
        <v>46187.27977341435</v>
      </c>
      <c r="B1792" s="2" t="s">
        <v>798</v>
      </c>
      <c r="C1792" s="2" t="s">
        <v>812</v>
      </c>
      <c r="D1792" s="2" t="s">
        <v>813</v>
      </c>
    </row>
    <row r="1793">
      <c r="A1793" s="8">
        <v>46187.2797884375</v>
      </c>
      <c r="B1793" s="2" t="s">
        <v>838</v>
      </c>
      <c r="C1793" s="2" t="s">
        <v>818</v>
      </c>
      <c r="D1793" s="2" t="s">
        <v>853</v>
      </c>
    </row>
    <row r="1794">
      <c r="A1794" s="8">
        <v>46187.27979207176</v>
      </c>
      <c r="B1794" s="2" t="s">
        <v>798</v>
      </c>
      <c r="C1794" s="2" t="s">
        <v>830</v>
      </c>
      <c r="D1794" s="2" t="s">
        <v>831</v>
      </c>
    </row>
    <row r="1795">
      <c r="A1795" s="8">
        <v>46187.27979424769</v>
      </c>
      <c r="B1795" s="2" t="s">
        <v>832</v>
      </c>
      <c r="C1795" s="2"/>
      <c r="D1795" s="2" t="s">
        <v>977</v>
      </c>
    </row>
    <row r="1796">
      <c r="A1796" s="8">
        <v>46187.27985523148</v>
      </c>
      <c r="B1796" s="2" t="s">
        <v>991</v>
      </c>
      <c r="C1796" s="2" t="s">
        <v>519</v>
      </c>
      <c r="D1796" s="2" t="s">
        <v>1016</v>
      </c>
    </row>
    <row r="1797">
      <c r="A1797" s="8">
        <v>46187.27985868056</v>
      </c>
      <c r="B1797" s="2" t="s">
        <v>991</v>
      </c>
      <c r="C1797" s="2" t="s">
        <v>534</v>
      </c>
      <c r="D1797" s="2" t="s">
        <v>1010</v>
      </c>
    </row>
    <row r="1798">
      <c r="A1798" s="8">
        <v>46187.27986329861</v>
      </c>
      <c r="B1798" s="2" t="s">
        <v>840</v>
      </c>
      <c r="C1798" s="2" t="s">
        <v>768</v>
      </c>
      <c r="D1798" s="2" t="s">
        <v>1011</v>
      </c>
    </row>
    <row r="1799">
      <c r="A1799" s="8">
        <v>46187.27986559027</v>
      </c>
      <c r="B1799" s="2" t="s">
        <v>840</v>
      </c>
      <c r="C1799" s="2" t="s">
        <v>773</v>
      </c>
      <c r="D1799" s="2" t="s">
        <v>930</v>
      </c>
    </row>
    <row r="1800">
      <c r="A1800" s="8">
        <v>46187.27986778935</v>
      </c>
      <c r="B1800" s="2" t="s">
        <v>840</v>
      </c>
      <c r="C1800" s="2" t="s">
        <v>783</v>
      </c>
      <c r="D1800" s="2" t="s">
        <v>1009</v>
      </c>
    </row>
    <row r="1801">
      <c r="A1801" s="8">
        <v>46187.27987</v>
      </c>
      <c r="B1801" s="2" t="s">
        <v>894</v>
      </c>
      <c r="C1801" s="2"/>
      <c r="D1801" s="2" t="s">
        <v>1017</v>
      </c>
    </row>
    <row r="1802">
      <c r="A1802" s="8">
        <v>46187.32147159722</v>
      </c>
      <c r="B1802" s="2" t="s">
        <v>798</v>
      </c>
      <c r="C1802" s="2" t="s">
        <v>799</v>
      </c>
      <c r="D1802" s="2" t="s">
        <v>800</v>
      </c>
    </row>
    <row r="1803">
      <c r="A1803" s="8">
        <v>46187.321474236116</v>
      </c>
      <c r="B1803" s="2" t="s">
        <v>838</v>
      </c>
      <c r="C1803" s="2" t="s">
        <v>802</v>
      </c>
      <c r="D1803" s="2" t="s">
        <v>839</v>
      </c>
    </row>
    <row r="1804">
      <c r="A1804" s="8">
        <v>46187.321478391204</v>
      </c>
      <c r="B1804" s="2" t="s">
        <v>798</v>
      </c>
      <c r="C1804" s="2" t="s">
        <v>812</v>
      </c>
      <c r="D1804" s="2" t="s">
        <v>813</v>
      </c>
    </row>
    <row r="1805">
      <c r="A1805" s="8">
        <v>46187.321493599535</v>
      </c>
      <c r="B1805" s="2" t="s">
        <v>838</v>
      </c>
      <c r="C1805" s="2" t="s">
        <v>818</v>
      </c>
      <c r="D1805" s="2" t="s">
        <v>853</v>
      </c>
    </row>
    <row r="1806">
      <c r="A1806" s="8">
        <v>46187.32149811342</v>
      </c>
      <c r="B1806" s="2" t="s">
        <v>798</v>
      </c>
      <c r="C1806" s="2" t="s">
        <v>830</v>
      </c>
      <c r="D1806" s="2" t="s">
        <v>831</v>
      </c>
    </row>
    <row r="1807">
      <c r="A1807" s="8">
        <v>46187.32150045139</v>
      </c>
      <c r="B1807" s="2" t="s">
        <v>832</v>
      </c>
      <c r="C1807" s="2"/>
      <c r="D1807" s="2" t="s">
        <v>977</v>
      </c>
    </row>
    <row r="1808">
      <c r="A1808" s="8">
        <v>46187.32156747685</v>
      </c>
      <c r="B1808" s="2" t="s">
        <v>991</v>
      </c>
      <c r="C1808" s="2" t="s">
        <v>519</v>
      </c>
      <c r="D1808" s="2" t="s">
        <v>1016</v>
      </c>
    </row>
    <row r="1809">
      <c r="A1809" s="8">
        <v>46187.321571458335</v>
      </c>
      <c r="B1809" s="2" t="s">
        <v>991</v>
      </c>
      <c r="C1809" s="2" t="s">
        <v>534</v>
      </c>
      <c r="D1809" s="2" t="s">
        <v>1010</v>
      </c>
    </row>
    <row r="1810">
      <c r="A1810" s="8">
        <v>46187.32157789352</v>
      </c>
      <c r="B1810" s="2" t="s">
        <v>840</v>
      </c>
      <c r="C1810" s="2" t="s">
        <v>768</v>
      </c>
      <c r="D1810" s="2" t="s">
        <v>1011</v>
      </c>
    </row>
    <row r="1811">
      <c r="A1811" s="8">
        <v>46187.321580081014</v>
      </c>
      <c r="B1811" s="2" t="s">
        <v>840</v>
      </c>
      <c r="C1811" s="2" t="s">
        <v>773</v>
      </c>
      <c r="D1811" s="2" t="s">
        <v>930</v>
      </c>
    </row>
    <row r="1812">
      <c r="A1812" s="8">
        <v>46187.321582743054</v>
      </c>
      <c r="B1812" s="2" t="s">
        <v>840</v>
      </c>
      <c r="C1812" s="2" t="s">
        <v>783</v>
      </c>
      <c r="D1812" s="2" t="s">
        <v>1009</v>
      </c>
    </row>
    <row r="1813">
      <c r="A1813" s="8">
        <v>46187.32158537037</v>
      </c>
      <c r="B1813" s="2" t="s">
        <v>894</v>
      </c>
      <c r="C1813" s="2"/>
      <c r="D1813" s="2" t="s">
        <v>1017</v>
      </c>
    </row>
    <row r="1814">
      <c r="A1814" s="8">
        <v>46187.363119699075</v>
      </c>
      <c r="B1814" s="2" t="s">
        <v>798</v>
      </c>
      <c r="C1814" s="2" t="s">
        <v>799</v>
      </c>
      <c r="D1814" s="2" t="s">
        <v>800</v>
      </c>
    </row>
    <row r="1815">
      <c r="A1815" s="8">
        <v>46187.363123703704</v>
      </c>
      <c r="B1815" s="2" t="s">
        <v>838</v>
      </c>
      <c r="C1815" s="2" t="s">
        <v>802</v>
      </c>
      <c r="D1815" s="2" t="s">
        <v>839</v>
      </c>
    </row>
    <row r="1816">
      <c r="A1816" s="8">
        <v>46187.36313006944</v>
      </c>
      <c r="B1816" s="2" t="s">
        <v>798</v>
      </c>
      <c r="C1816" s="2" t="s">
        <v>812</v>
      </c>
      <c r="D1816" s="2" t="s">
        <v>813</v>
      </c>
    </row>
    <row r="1817">
      <c r="A1817" s="8">
        <v>46187.36314298611</v>
      </c>
      <c r="B1817" s="2" t="s">
        <v>838</v>
      </c>
      <c r="C1817" s="2" t="s">
        <v>818</v>
      </c>
      <c r="D1817" s="2" t="s">
        <v>853</v>
      </c>
    </row>
    <row r="1818">
      <c r="A1818" s="8">
        <v>46187.36314778935</v>
      </c>
      <c r="B1818" s="2" t="s">
        <v>798</v>
      </c>
      <c r="C1818" s="2" t="s">
        <v>830</v>
      </c>
      <c r="D1818" s="2" t="s">
        <v>831</v>
      </c>
    </row>
    <row r="1819">
      <c r="A1819" s="8">
        <v>46187.3631512037</v>
      </c>
      <c r="B1819" s="2" t="s">
        <v>832</v>
      </c>
      <c r="C1819" s="2"/>
      <c r="D1819" s="2" t="s">
        <v>977</v>
      </c>
    </row>
    <row r="1820">
      <c r="A1820" s="8">
        <v>46187.36322384259</v>
      </c>
      <c r="B1820" s="2" t="s">
        <v>991</v>
      </c>
      <c r="C1820" s="2" t="s">
        <v>519</v>
      </c>
      <c r="D1820" s="2" t="s">
        <v>1016</v>
      </c>
    </row>
    <row r="1821">
      <c r="A1821" s="8">
        <v>46187.36322871528</v>
      </c>
      <c r="B1821" s="2" t="s">
        <v>991</v>
      </c>
      <c r="C1821" s="2" t="s">
        <v>534</v>
      </c>
      <c r="D1821" s="2" t="s">
        <v>1010</v>
      </c>
    </row>
    <row r="1822">
      <c r="A1822" s="8">
        <v>46187.363237743055</v>
      </c>
      <c r="B1822" s="2" t="s">
        <v>840</v>
      </c>
      <c r="C1822" s="2" t="s">
        <v>768</v>
      </c>
      <c r="D1822" s="2" t="s">
        <v>1011</v>
      </c>
    </row>
    <row r="1823">
      <c r="A1823" s="8">
        <v>46187.36324032408</v>
      </c>
      <c r="B1823" s="2" t="s">
        <v>840</v>
      </c>
      <c r="C1823" s="2" t="s">
        <v>773</v>
      </c>
      <c r="D1823" s="2" t="s">
        <v>930</v>
      </c>
    </row>
    <row r="1824">
      <c r="A1824" s="8">
        <v>46187.36324466435</v>
      </c>
      <c r="B1824" s="2" t="s">
        <v>840</v>
      </c>
      <c r="C1824" s="2" t="s">
        <v>783</v>
      </c>
      <c r="D1824" s="2" t="s">
        <v>1009</v>
      </c>
    </row>
    <row r="1825">
      <c r="A1825" s="8">
        <v>46187.36324811343</v>
      </c>
      <c r="B1825" s="2" t="s">
        <v>894</v>
      </c>
      <c r="C1825" s="2"/>
      <c r="D1825" s="2" t="s">
        <v>1017</v>
      </c>
    </row>
    <row r="1826">
      <c r="A1826" s="8">
        <v>46187.40476613426</v>
      </c>
      <c r="B1826" s="2" t="s">
        <v>798</v>
      </c>
      <c r="C1826" s="2" t="s">
        <v>799</v>
      </c>
      <c r="D1826" s="2" t="s">
        <v>800</v>
      </c>
    </row>
    <row r="1827">
      <c r="A1827" s="8">
        <v>46187.40476863426</v>
      </c>
      <c r="B1827" s="2" t="s">
        <v>838</v>
      </c>
      <c r="C1827" s="2" t="s">
        <v>802</v>
      </c>
      <c r="D1827" s="2" t="s">
        <v>839</v>
      </c>
    </row>
    <row r="1828">
      <c r="A1828" s="8">
        <v>46187.404773946764</v>
      </c>
      <c r="B1828" s="2" t="s">
        <v>798</v>
      </c>
      <c r="C1828" s="2" t="s">
        <v>812</v>
      </c>
      <c r="D1828" s="2" t="s">
        <v>813</v>
      </c>
    </row>
    <row r="1829">
      <c r="A1829" s="8">
        <v>46187.40479023148</v>
      </c>
      <c r="B1829" s="2" t="s">
        <v>838</v>
      </c>
      <c r="C1829" s="2" t="s">
        <v>818</v>
      </c>
      <c r="D1829" s="2" t="s">
        <v>853</v>
      </c>
    </row>
    <row r="1830">
      <c r="A1830" s="8">
        <v>46187.40479775463</v>
      </c>
      <c r="B1830" s="2" t="s">
        <v>798</v>
      </c>
      <c r="C1830" s="2" t="s">
        <v>830</v>
      </c>
      <c r="D1830" s="2" t="s">
        <v>831</v>
      </c>
    </row>
    <row r="1831">
      <c r="A1831" s="8">
        <v>46187.40480646991</v>
      </c>
      <c r="B1831" s="2" t="s">
        <v>832</v>
      </c>
      <c r="C1831" s="2"/>
      <c r="D1831" s="2" t="s">
        <v>977</v>
      </c>
    </row>
    <row r="1832">
      <c r="A1832" s="8">
        <v>46187.40487586806</v>
      </c>
      <c r="B1832" s="2" t="s">
        <v>991</v>
      </c>
      <c r="C1832" s="2" t="s">
        <v>519</v>
      </c>
      <c r="D1832" s="2" t="s">
        <v>1016</v>
      </c>
    </row>
    <row r="1833">
      <c r="A1833" s="8">
        <v>46187.40487853009</v>
      </c>
      <c r="B1833" s="2" t="s">
        <v>991</v>
      </c>
      <c r="C1833" s="2" t="s">
        <v>534</v>
      </c>
      <c r="D1833" s="2" t="s">
        <v>1010</v>
      </c>
    </row>
    <row r="1834">
      <c r="A1834" s="8">
        <v>46187.4048828588</v>
      </c>
      <c r="B1834" s="2" t="s">
        <v>840</v>
      </c>
      <c r="C1834" s="2" t="s">
        <v>768</v>
      </c>
      <c r="D1834" s="2" t="s">
        <v>1011</v>
      </c>
    </row>
    <row r="1835">
      <c r="A1835" s="8">
        <v>46187.40488487268</v>
      </c>
      <c r="B1835" s="2" t="s">
        <v>840</v>
      </c>
      <c r="C1835" s="2" t="s">
        <v>773</v>
      </c>
      <c r="D1835" s="2" t="s">
        <v>930</v>
      </c>
    </row>
    <row r="1836">
      <c r="A1836" s="8">
        <v>46187.40488662037</v>
      </c>
      <c r="B1836" s="2" t="s">
        <v>840</v>
      </c>
      <c r="C1836" s="2" t="s">
        <v>783</v>
      </c>
      <c r="D1836" s="2" t="s">
        <v>1009</v>
      </c>
    </row>
    <row r="1837">
      <c r="A1837" s="8">
        <v>46187.40489125</v>
      </c>
      <c r="B1837" s="2" t="s">
        <v>894</v>
      </c>
      <c r="C1837" s="2"/>
      <c r="D1837" s="2" t="s">
        <v>1017</v>
      </c>
    </row>
    <row r="1838">
      <c r="A1838" s="8">
        <v>46187.44642765046</v>
      </c>
      <c r="B1838" s="2" t="s">
        <v>798</v>
      </c>
      <c r="C1838" s="2" t="s">
        <v>799</v>
      </c>
      <c r="D1838" s="2" t="s">
        <v>800</v>
      </c>
    </row>
    <row r="1839">
      <c r="A1839" s="8">
        <v>46187.44643048611</v>
      </c>
      <c r="B1839" s="2" t="s">
        <v>838</v>
      </c>
      <c r="C1839" s="2" t="s">
        <v>802</v>
      </c>
      <c r="D1839" s="2" t="s">
        <v>839</v>
      </c>
    </row>
    <row r="1840">
      <c r="A1840" s="8">
        <v>46187.44643466435</v>
      </c>
      <c r="B1840" s="2" t="s">
        <v>798</v>
      </c>
      <c r="C1840" s="2" t="s">
        <v>812</v>
      </c>
      <c r="D1840" s="2" t="s">
        <v>813</v>
      </c>
    </row>
    <row r="1841">
      <c r="A1841" s="8">
        <v>46187.44645498843</v>
      </c>
      <c r="B1841" s="2" t="s">
        <v>991</v>
      </c>
      <c r="C1841" s="2" t="s">
        <v>814</v>
      </c>
      <c r="D1841" s="2" t="s">
        <v>1006</v>
      </c>
    </row>
    <row r="1842">
      <c r="A1842" s="8">
        <v>46187.44645979167</v>
      </c>
      <c r="B1842" s="2" t="s">
        <v>838</v>
      </c>
      <c r="C1842" s="2" t="s">
        <v>818</v>
      </c>
      <c r="D1842" s="2" t="s">
        <v>853</v>
      </c>
    </row>
    <row r="1843">
      <c r="A1843" s="8">
        <v>46187.44647663194</v>
      </c>
      <c r="B1843" s="2" t="s">
        <v>991</v>
      </c>
      <c r="C1843" s="2" t="s">
        <v>824</v>
      </c>
      <c r="D1843" s="2" t="s">
        <v>1021</v>
      </c>
    </row>
    <row r="1844">
      <c r="A1844" s="8">
        <v>46187.44648236111</v>
      </c>
      <c r="B1844" s="2" t="s">
        <v>798</v>
      </c>
      <c r="C1844" s="2" t="s">
        <v>830</v>
      </c>
      <c r="D1844" s="2" t="s">
        <v>831</v>
      </c>
    </row>
    <row r="1845">
      <c r="A1845" s="8">
        <v>46187.44648453704</v>
      </c>
      <c r="B1845" s="2" t="s">
        <v>832</v>
      </c>
      <c r="C1845" s="2"/>
      <c r="D1845" s="2" t="s">
        <v>935</v>
      </c>
    </row>
    <row r="1846">
      <c r="A1846" s="8">
        <v>46187.446542708334</v>
      </c>
      <c r="B1846" s="2" t="s">
        <v>991</v>
      </c>
      <c r="C1846" s="2" t="s">
        <v>519</v>
      </c>
      <c r="D1846" s="2" t="s">
        <v>1016</v>
      </c>
    </row>
    <row r="1847">
      <c r="A1847" s="8">
        <v>46187.446544942126</v>
      </c>
      <c r="B1847" s="2" t="s">
        <v>991</v>
      </c>
      <c r="C1847" s="2" t="s">
        <v>534</v>
      </c>
      <c r="D1847" s="2" t="s">
        <v>1010</v>
      </c>
    </row>
    <row r="1848">
      <c r="A1848" s="8">
        <v>46187.44654738426</v>
      </c>
      <c r="B1848" s="2" t="s">
        <v>840</v>
      </c>
      <c r="C1848" s="2" t="s">
        <v>768</v>
      </c>
      <c r="D1848" s="2" t="s">
        <v>1011</v>
      </c>
    </row>
    <row r="1849">
      <c r="A1849" s="8">
        <v>46187.44654951389</v>
      </c>
      <c r="B1849" s="2" t="s">
        <v>840</v>
      </c>
      <c r="C1849" s="2" t="s">
        <v>773</v>
      </c>
      <c r="D1849" s="2" t="s">
        <v>930</v>
      </c>
    </row>
    <row r="1850">
      <c r="A1850" s="8">
        <v>46187.4465528125</v>
      </c>
      <c r="B1850" s="2" t="s">
        <v>840</v>
      </c>
      <c r="C1850" s="2" t="s">
        <v>783</v>
      </c>
      <c r="D1850" s="2" t="s">
        <v>1009</v>
      </c>
    </row>
    <row r="1851">
      <c r="A1851" s="8">
        <v>46187.446554988426</v>
      </c>
      <c r="B1851" s="2" t="s">
        <v>894</v>
      </c>
      <c r="C1851" s="2"/>
      <c r="D1851" s="2" t="s">
        <v>1017</v>
      </c>
    </row>
    <row r="1852">
      <c r="A1852" s="8">
        <v>46187.4881213426</v>
      </c>
      <c r="B1852" s="2" t="s">
        <v>798</v>
      </c>
      <c r="C1852" s="2" t="s">
        <v>799</v>
      </c>
      <c r="D1852" s="2" t="s">
        <v>800</v>
      </c>
    </row>
    <row r="1853">
      <c r="A1853" s="8">
        <v>46187.488124247684</v>
      </c>
      <c r="B1853" s="2" t="s">
        <v>838</v>
      </c>
      <c r="C1853" s="2" t="s">
        <v>802</v>
      </c>
      <c r="D1853" s="2" t="s">
        <v>839</v>
      </c>
    </row>
    <row r="1854">
      <c r="A1854" s="8">
        <v>46187.488132847226</v>
      </c>
      <c r="B1854" s="2" t="s">
        <v>798</v>
      </c>
      <c r="C1854" s="2" t="s">
        <v>812</v>
      </c>
      <c r="D1854" s="2" t="s">
        <v>813</v>
      </c>
    </row>
    <row r="1855">
      <c r="A1855" s="8">
        <v>46187.48814693287</v>
      </c>
      <c r="B1855" s="2" t="s">
        <v>838</v>
      </c>
      <c r="C1855" s="2" t="s">
        <v>818</v>
      </c>
      <c r="D1855" s="2" t="s">
        <v>853</v>
      </c>
    </row>
    <row r="1856">
      <c r="A1856" s="8">
        <v>46187.488154756946</v>
      </c>
      <c r="B1856" s="2" t="s">
        <v>798</v>
      </c>
      <c r="C1856" s="2" t="s">
        <v>830</v>
      </c>
      <c r="D1856" s="2" t="s">
        <v>831</v>
      </c>
    </row>
    <row r="1857">
      <c r="A1857" s="8">
        <v>46187.48815730324</v>
      </c>
      <c r="B1857" s="2" t="s">
        <v>832</v>
      </c>
      <c r="C1857" s="2"/>
      <c r="D1857" s="2" t="s">
        <v>977</v>
      </c>
    </row>
    <row r="1858">
      <c r="A1858" s="8">
        <v>46187.48825351852</v>
      </c>
      <c r="B1858" s="2" t="s">
        <v>991</v>
      </c>
      <c r="C1858" s="2" t="s">
        <v>519</v>
      </c>
      <c r="D1858" s="2" t="s">
        <v>1016</v>
      </c>
    </row>
    <row r="1859">
      <c r="A1859" s="8">
        <v>46187.48825733796</v>
      </c>
      <c r="B1859" s="2" t="s">
        <v>991</v>
      </c>
      <c r="C1859" s="2" t="s">
        <v>534</v>
      </c>
      <c r="D1859" s="2" t="s">
        <v>1010</v>
      </c>
    </row>
    <row r="1860">
      <c r="A1860" s="8">
        <v>46187.488263101855</v>
      </c>
      <c r="B1860" s="2" t="s">
        <v>840</v>
      </c>
      <c r="C1860" s="2" t="s">
        <v>768</v>
      </c>
      <c r="D1860" s="2" t="s">
        <v>1011</v>
      </c>
    </row>
    <row r="1861">
      <c r="A1861" s="8">
        <v>46187.48826586806</v>
      </c>
      <c r="B1861" s="2" t="s">
        <v>840</v>
      </c>
      <c r="C1861" s="2" t="s">
        <v>773</v>
      </c>
      <c r="D1861" s="2" t="s">
        <v>930</v>
      </c>
    </row>
    <row r="1862">
      <c r="A1862" s="8">
        <v>46187.48827141203</v>
      </c>
      <c r="B1862" s="2" t="s">
        <v>840</v>
      </c>
      <c r="C1862" s="2" t="s">
        <v>783</v>
      </c>
      <c r="D1862" s="2" t="s">
        <v>1009</v>
      </c>
    </row>
    <row r="1863">
      <c r="A1863" s="8">
        <v>46187.48827512731</v>
      </c>
      <c r="B1863" s="2" t="s">
        <v>894</v>
      </c>
      <c r="C1863" s="2"/>
      <c r="D1863" s="2" t="s">
        <v>1017</v>
      </c>
    </row>
    <row r="1864">
      <c r="A1864" s="8">
        <v>46187.52976618055</v>
      </c>
      <c r="B1864" s="2" t="s">
        <v>798</v>
      </c>
      <c r="C1864" s="2" t="s">
        <v>799</v>
      </c>
      <c r="D1864" s="2" t="s">
        <v>800</v>
      </c>
    </row>
    <row r="1865">
      <c r="A1865" s="8">
        <v>46187.52977184027</v>
      </c>
      <c r="B1865" s="2" t="s">
        <v>838</v>
      </c>
      <c r="C1865" s="2" t="s">
        <v>802</v>
      </c>
      <c r="D1865" s="2" t="s">
        <v>839</v>
      </c>
    </row>
    <row r="1866">
      <c r="A1866" s="8">
        <v>46187.52979263889</v>
      </c>
      <c r="B1866" s="2" t="s">
        <v>798</v>
      </c>
      <c r="C1866" s="2" t="s">
        <v>812</v>
      </c>
      <c r="D1866" s="2" t="s">
        <v>813</v>
      </c>
    </row>
    <row r="1867">
      <c r="A1867" s="8">
        <v>46187.529795636576</v>
      </c>
      <c r="B1867" s="2" t="s">
        <v>838</v>
      </c>
      <c r="C1867" s="2" t="s">
        <v>818</v>
      </c>
      <c r="D1867" s="2" t="s">
        <v>853</v>
      </c>
    </row>
    <row r="1868">
      <c r="A1868" s="8">
        <v>46187.52980005787</v>
      </c>
      <c r="B1868" s="2" t="s">
        <v>798</v>
      </c>
      <c r="C1868" s="2" t="s">
        <v>830</v>
      </c>
      <c r="D1868" s="2" t="s">
        <v>831</v>
      </c>
    </row>
    <row r="1869">
      <c r="A1869" s="8">
        <v>46187.52980521991</v>
      </c>
      <c r="B1869" s="2" t="s">
        <v>832</v>
      </c>
      <c r="C1869" s="2"/>
      <c r="D1869" s="2" t="s">
        <v>977</v>
      </c>
    </row>
    <row r="1870">
      <c r="A1870" s="8">
        <v>46187.5298705787</v>
      </c>
      <c r="B1870" s="2" t="s">
        <v>991</v>
      </c>
      <c r="C1870" s="2" t="s">
        <v>519</v>
      </c>
      <c r="D1870" s="2" t="s">
        <v>1016</v>
      </c>
    </row>
    <row r="1871">
      <c r="A1871" s="8">
        <v>46187.52987466435</v>
      </c>
      <c r="B1871" s="2" t="s">
        <v>991</v>
      </c>
      <c r="C1871" s="2" t="s">
        <v>534</v>
      </c>
      <c r="D1871" s="2" t="s">
        <v>1010</v>
      </c>
    </row>
    <row r="1872">
      <c r="A1872" s="8">
        <v>46187.52988313657</v>
      </c>
      <c r="B1872" s="2" t="s">
        <v>840</v>
      </c>
      <c r="C1872" s="2" t="s">
        <v>768</v>
      </c>
      <c r="D1872" s="2" t="s">
        <v>1011</v>
      </c>
    </row>
    <row r="1873">
      <c r="A1873" s="8">
        <v>46187.52988637731</v>
      </c>
      <c r="B1873" s="2" t="s">
        <v>840</v>
      </c>
      <c r="C1873" s="2" t="s">
        <v>773</v>
      </c>
      <c r="D1873" s="2" t="s">
        <v>930</v>
      </c>
    </row>
    <row r="1874">
      <c r="A1874" s="8">
        <v>46187.529889537036</v>
      </c>
      <c r="B1874" s="2" t="s">
        <v>840</v>
      </c>
      <c r="C1874" s="2" t="s">
        <v>783</v>
      </c>
      <c r="D1874" s="2" t="s">
        <v>1009</v>
      </c>
    </row>
    <row r="1875">
      <c r="A1875" s="8">
        <v>46187.52989233796</v>
      </c>
      <c r="B1875" s="2" t="s">
        <v>894</v>
      </c>
      <c r="C1875" s="2"/>
      <c r="D1875" s="2" t="s">
        <v>1017</v>
      </c>
    </row>
    <row r="1876">
      <c r="A1876" s="8">
        <v>46187.57145120371</v>
      </c>
      <c r="B1876" s="2" t="s">
        <v>798</v>
      </c>
      <c r="C1876" s="2" t="s">
        <v>799</v>
      </c>
      <c r="D1876" s="2" t="s">
        <v>800</v>
      </c>
    </row>
    <row r="1877">
      <c r="A1877" s="8">
        <v>46187.57145497685</v>
      </c>
      <c r="B1877" s="2" t="s">
        <v>838</v>
      </c>
      <c r="C1877" s="2" t="s">
        <v>802</v>
      </c>
      <c r="D1877" s="2" t="s">
        <v>839</v>
      </c>
    </row>
    <row r="1878">
      <c r="A1878" s="8">
        <v>46187.57146005787</v>
      </c>
      <c r="B1878" s="2" t="s">
        <v>798</v>
      </c>
      <c r="C1878" s="2" t="s">
        <v>812</v>
      </c>
      <c r="D1878" s="2" t="s">
        <v>813</v>
      </c>
    </row>
    <row r="1879">
      <c r="A1879" s="8">
        <v>46187.571462858796</v>
      </c>
      <c r="B1879" s="2" t="s">
        <v>838</v>
      </c>
      <c r="C1879" s="2" t="s">
        <v>818</v>
      </c>
      <c r="D1879" s="2" t="s">
        <v>853</v>
      </c>
    </row>
    <row r="1880">
      <c r="A1880" s="8">
        <v>46187.57147329861</v>
      </c>
      <c r="B1880" s="2" t="s">
        <v>798</v>
      </c>
      <c r="C1880" s="2" t="s">
        <v>830</v>
      </c>
      <c r="D1880" s="2" t="s">
        <v>831</v>
      </c>
    </row>
    <row r="1881">
      <c r="A1881" s="8">
        <v>46187.57147630787</v>
      </c>
      <c r="B1881" s="2" t="s">
        <v>832</v>
      </c>
      <c r="C1881" s="2"/>
      <c r="D1881" s="2" t="s">
        <v>977</v>
      </c>
    </row>
    <row r="1882">
      <c r="A1882" s="8">
        <v>46187.57154049768</v>
      </c>
      <c r="B1882" s="2" t="s">
        <v>991</v>
      </c>
      <c r="C1882" s="2" t="s">
        <v>519</v>
      </c>
      <c r="D1882" s="2" t="s">
        <v>1016</v>
      </c>
    </row>
    <row r="1883">
      <c r="A1883" s="8">
        <v>46187.57154737269</v>
      </c>
      <c r="B1883" s="2" t="s">
        <v>991</v>
      </c>
      <c r="C1883" s="2" t="s">
        <v>534</v>
      </c>
      <c r="D1883" s="2" t="s">
        <v>1010</v>
      </c>
    </row>
    <row r="1884">
      <c r="A1884" s="8">
        <v>46187.57155061343</v>
      </c>
      <c r="B1884" s="2" t="s">
        <v>840</v>
      </c>
      <c r="C1884" s="2" t="s">
        <v>768</v>
      </c>
      <c r="D1884" s="2" t="s">
        <v>1011</v>
      </c>
    </row>
    <row r="1885">
      <c r="A1885" s="8">
        <v>46187.57155541667</v>
      </c>
      <c r="B1885" s="2" t="s">
        <v>840</v>
      </c>
      <c r="C1885" s="2" t="s">
        <v>773</v>
      </c>
      <c r="D1885" s="2" t="s">
        <v>930</v>
      </c>
    </row>
    <row r="1886">
      <c r="A1886" s="8">
        <v>46187.57156137731</v>
      </c>
      <c r="B1886" s="2" t="s">
        <v>840</v>
      </c>
      <c r="C1886" s="2" t="s">
        <v>783</v>
      </c>
      <c r="D1886" s="2" t="s">
        <v>1009</v>
      </c>
    </row>
    <row r="1887">
      <c r="A1887" s="8">
        <v>46187.57156465278</v>
      </c>
      <c r="B1887" s="2" t="s">
        <v>894</v>
      </c>
      <c r="C1887" s="2"/>
      <c r="D1887" s="2" t="s">
        <v>1017</v>
      </c>
    </row>
    <row r="1888">
      <c r="A1888" s="8">
        <v>46187.61309637732</v>
      </c>
      <c r="B1888" s="2" t="s">
        <v>798</v>
      </c>
      <c r="C1888" s="2" t="s">
        <v>799</v>
      </c>
      <c r="D1888" s="2" t="s">
        <v>800</v>
      </c>
    </row>
    <row r="1889">
      <c r="A1889" s="8">
        <v>46187.61310055555</v>
      </c>
      <c r="B1889" s="2" t="s">
        <v>838</v>
      </c>
      <c r="C1889" s="2" t="s">
        <v>802</v>
      </c>
      <c r="D1889" s="2" t="s">
        <v>839</v>
      </c>
    </row>
    <row r="1890">
      <c r="A1890" s="8">
        <v>46187.613118912035</v>
      </c>
      <c r="B1890" s="2" t="s">
        <v>798</v>
      </c>
      <c r="C1890" s="2" t="s">
        <v>812</v>
      </c>
      <c r="D1890" s="2" t="s">
        <v>813</v>
      </c>
    </row>
    <row r="1891">
      <c r="A1891" s="8">
        <v>46187.61312126157</v>
      </c>
      <c r="B1891" s="2" t="s">
        <v>838</v>
      </c>
      <c r="C1891" s="2" t="s">
        <v>818</v>
      </c>
      <c r="D1891" s="2" t="s">
        <v>853</v>
      </c>
    </row>
    <row r="1892">
      <c r="A1892" s="8">
        <v>46187.61312527778</v>
      </c>
      <c r="B1892" s="2" t="s">
        <v>798</v>
      </c>
      <c r="C1892" s="2" t="s">
        <v>830</v>
      </c>
      <c r="D1892" s="2" t="s">
        <v>831</v>
      </c>
    </row>
    <row r="1893">
      <c r="A1893" s="8">
        <v>46187.613128032404</v>
      </c>
      <c r="B1893" s="2" t="s">
        <v>832</v>
      </c>
      <c r="C1893" s="2"/>
      <c r="D1893" s="2" t="s">
        <v>977</v>
      </c>
    </row>
    <row r="1894">
      <c r="A1894" s="8">
        <v>46187.61318875</v>
      </c>
      <c r="B1894" s="2" t="s">
        <v>991</v>
      </c>
      <c r="C1894" s="2" t="s">
        <v>519</v>
      </c>
      <c r="D1894" s="2" t="s">
        <v>1016</v>
      </c>
    </row>
    <row r="1895">
      <c r="A1895" s="8">
        <v>46187.613193240744</v>
      </c>
      <c r="B1895" s="2" t="s">
        <v>991</v>
      </c>
      <c r="C1895" s="2" t="s">
        <v>534</v>
      </c>
      <c r="D1895" s="2" t="s">
        <v>1010</v>
      </c>
    </row>
    <row r="1896">
      <c r="A1896" s="8">
        <v>46187.61319836805</v>
      </c>
      <c r="B1896" s="2" t="s">
        <v>840</v>
      </c>
      <c r="C1896" s="2" t="s">
        <v>768</v>
      </c>
      <c r="D1896" s="2" t="s">
        <v>1011</v>
      </c>
    </row>
    <row r="1897">
      <c r="A1897" s="8">
        <v>46187.61320122685</v>
      </c>
      <c r="B1897" s="2" t="s">
        <v>840</v>
      </c>
      <c r="C1897" s="2" t="s">
        <v>773</v>
      </c>
      <c r="D1897" s="2" t="s">
        <v>930</v>
      </c>
    </row>
    <row r="1898">
      <c r="A1898" s="8">
        <v>46187.61320371528</v>
      </c>
      <c r="B1898" s="2" t="s">
        <v>840</v>
      </c>
      <c r="C1898" s="2" t="s">
        <v>783</v>
      </c>
      <c r="D1898" s="2" t="s">
        <v>1009</v>
      </c>
    </row>
    <row r="1899">
      <c r="A1899" s="8">
        <v>46187.61320655093</v>
      </c>
      <c r="B1899" s="2" t="s">
        <v>894</v>
      </c>
      <c r="C1899" s="2"/>
      <c r="D1899" s="2" t="s">
        <v>1017</v>
      </c>
    </row>
    <row r="1900">
      <c r="A1900" s="8">
        <v>46187.654783125</v>
      </c>
      <c r="B1900" s="2" t="s">
        <v>798</v>
      </c>
      <c r="C1900" s="2" t="s">
        <v>799</v>
      </c>
      <c r="D1900" s="2" t="s">
        <v>800</v>
      </c>
    </row>
    <row r="1901">
      <c r="A1901" s="8">
        <v>46187.65478806713</v>
      </c>
      <c r="B1901" s="2" t="s">
        <v>838</v>
      </c>
      <c r="C1901" s="2" t="s">
        <v>802</v>
      </c>
      <c r="D1901" s="2" t="s">
        <v>839</v>
      </c>
    </row>
    <row r="1902">
      <c r="A1902" s="8">
        <v>46187.65480172454</v>
      </c>
      <c r="B1902" s="2" t="s">
        <v>798</v>
      </c>
      <c r="C1902" s="2" t="s">
        <v>812</v>
      </c>
      <c r="D1902" s="2" t="s">
        <v>813</v>
      </c>
    </row>
    <row r="1903">
      <c r="A1903" s="8">
        <v>46187.65480744213</v>
      </c>
      <c r="B1903" s="2" t="s">
        <v>838</v>
      </c>
      <c r="C1903" s="2" t="s">
        <v>818</v>
      </c>
      <c r="D1903" s="2" t="s">
        <v>853</v>
      </c>
    </row>
    <row r="1904">
      <c r="A1904" s="8">
        <v>46187.654814444446</v>
      </c>
      <c r="B1904" s="2" t="s">
        <v>798</v>
      </c>
      <c r="C1904" s="2" t="s">
        <v>830</v>
      </c>
      <c r="D1904" s="2" t="s">
        <v>831</v>
      </c>
    </row>
    <row r="1905">
      <c r="A1905" s="8">
        <v>46187.65481896991</v>
      </c>
      <c r="B1905" s="2" t="s">
        <v>832</v>
      </c>
      <c r="C1905" s="2"/>
      <c r="D1905" s="2" t="s">
        <v>977</v>
      </c>
    </row>
    <row r="1906">
      <c r="A1906" s="8">
        <v>46187.65490822917</v>
      </c>
      <c r="B1906" s="2" t="s">
        <v>991</v>
      </c>
      <c r="C1906" s="2" t="s">
        <v>519</v>
      </c>
      <c r="D1906" s="2" t="s">
        <v>1016</v>
      </c>
    </row>
    <row r="1907">
      <c r="A1907" s="8">
        <v>46187.65491424769</v>
      </c>
      <c r="B1907" s="2" t="s">
        <v>991</v>
      </c>
      <c r="C1907" s="2" t="s">
        <v>534</v>
      </c>
      <c r="D1907" s="2" t="s">
        <v>1010</v>
      </c>
    </row>
    <row r="1908">
      <c r="A1908" s="8">
        <v>46187.654926041665</v>
      </c>
      <c r="B1908" s="2" t="s">
        <v>840</v>
      </c>
      <c r="C1908" s="2" t="s">
        <v>768</v>
      </c>
      <c r="D1908" s="2" t="s">
        <v>1011</v>
      </c>
    </row>
    <row r="1909">
      <c r="A1909" s="8">
        <v>46187.65493701389</v>
      </c>
      <c r="B1909" s="2" t="s">
        <v>840</v>
      </c>
      <c r="C1909" s="2" t="s">
        <v>773</v>
      </c>
      <c r="D1909" s="2" t="s">
        <v>930</v>
      </c>
    </row>
    <row r="1910">
      <c r="A1910" s="8">
        <v>46187.654939988424</v>
      </c>
      <c r="B1910" s="2" t="s">
        <v>840</v>
      </c>
      <c r="C1910" s="2" t="s">
        <v>783</v>
      </c>
      <c r="D1910" s="2" t="s">
        <v>1009</v>
      </c>
    </row>
    <row r="1911">
      <c r="A1911" s="8">
        <v>46187.65494444444</v>
      </c>
      <c r="B1911" s="2" t="s">
        <v>894</v>
      </c>
      <c r="C1911" s="2"/>
      <c r="D1911" s="2" t="s">
        <v>1017</v>
      </c>
    </row>
    <row r="1912">
      <c r="A1912" s="8">
        <v>46187.69642792824</v>
      </c>
      <c r="B1912" s="2" t="s">
        <v>798</v>
      </c>
      <c r="C1912" s="2" t="s">
        <v>799</v>
      </c>
      <c r="D1912" s="2" t="s">
        <v>800</v>
      </c>
    </row>
    <row r="1913">
      <c r="A1913" s="8">
        <v>46187.69643054398</v>
      </c>
      <c r="B1913" s="2" t="s">
        <v>838</v>
      </c>
      <c r="C1913" s="2" t="s">
        <v>802</v>
      </c>
      <c r="D1913" s="2" t="s">
        <v>839</v>
      </c>
    </row>
    <row r="1914">
      <c r="A1914" s="8">
        <v>46187.696435011574</v>
      </c>
      <c r="B1914" s="2" t="s">
        <v>798</v>
      </c>
      <c r="C1914" s="2" t="s">
        <v>812</v>
      </c>
      <c r="D1914" s="2" t="s">
        <v>813</v>
      </c>
    </row>
    <row r="1915">
      <c r="A1915" s="8">
        <v>46187.696437708335</v>
      </c>
      <c r="B1915" s="2" t="s">
        <v>838</v>
      </c>
      <c r="C1915" s="2" t="s">
        <v>818</v>
      </c>
      <c r="D1915" s="2" t="s">
        <v>853</v>
      </c>
    </row>
    <row r="1916">
      <c r="A1916" s="8">
        <v>46187.696455625</v>
      </c>
      <c r="B1916" s="2" t="s">
        <v>798</v>
      </c>
      <c r="C1916" s="2" t="s">
        <v>830</v>
      </c>
      <c r="D1916" s="2" t="s">
        <v>831</v>
      </c>
    </row>
    <row r="1917">
      <c r="A1917" s="8">
        <v>46187.696458067134</v>
      </c>
      <c r="B1917" s="2" t="s">
        <v>832</v>
      </c>
      <c r="C1917" s="2"/>
      <c r="D1917" s="2" t="s">
        <v>977</v>
      </c>
    </row>
    <row r="1918">
      <c r="A1918" s="8">
        <v>46187.69651825231</v>
      </c>
      <c r="B1918" s="2" t="s">
        <v>991</v>
      </c>
      <c r="C1918" s="2" t="s">
        <v>519</v>
      </c>
      <c r="D1918" s="2" t="s">
        <v>1016</v>
      </c>
    </row>
    <row r="1919">
      <c r="A1919" s="8">
        <v>46187.6965292824</v>
      </c>
      <c r="B1919" s="2" t="s">
        <v>991</v>
      </c>
      <c r="C1919" s="2" t="s">
        <v>534</v>
      </c>
      <c r="D1919" s="2" t="s">
        <v>1010</v>
      </c>
    </row>
    <row r="1920">
      <c r="A1920" s="8">
        <v>46187.69654488426</v>
      </c>
      <c r="B1920" s="2" t="s">
        <v>840</v>
      </c>
      <c r="C1920" s="2" t="s">
        <v>768</v>
      </c>
      <c r="D1920" s="2" t="s">
        <v>1011</v>
      </c>
    </row>
    <row r="1921">
      <c r="A1921" s="8">
        <v>46187.6965471875</v>
      </c>
      <c r="B1921" s="2" t="s">
        <v>840</v>
      </c>
      <c r="C1921" s="2" t="s">
        <v>773</v>
      </c>
      <c r="D1921" s="2" t="s">
        <v>930</v>
      </c>
    </row>
    <row r="1922">
      <c r="A1922" s="8">
        <v>46187.69654984954</v>
      </c>
      <c r="B1922" s="2" t="s">
        <v>840</v>
      </c>
      <c r="C1922" s="2" t="s">
        <v>783</v>
      </c>
      <c r="D1922" s="2" t="s">
        <v>1009</v>
      </c>
    </row>
    <row r="1923">
      <c r="A1923" s="8">
        <v>46187.696552395835</v>
      </c>
      <c r="B1923" s="2" t="s">
        <v>894</v>
      </c>
      <c r="C1923" s="2"/>
      <c r="D1923" s="2" t="s">
        <v>1017</v>
      </c>
    </row>
    <row r="1924">
      <c r="A1924" s="8">
        <v>46187.73812951389</v>
      </c>
      <c r="B1924" s="2" t="s">
        <v>798</v>
      </c>
      <c r="C1924" s="2" t="s">
        <v>799</v>
      </c>
      <c r="D1924" s="2" t="s">
        <v>800</v>
      </c>
    </row>
    <row r="1925">
      <c r="A1925" s="8">
        <v>46187.73813362268</v>
      </c>
      <c r="B1925" s="2" t="s">
        <v>838</v>
      </c>
      <c r="C1925" s="2" t="s">
        <v>802</v>
      </c>
      <c r="D1925" s="2" t="s">
        <v>839</v>
      </c>
    </row>
    <row r="1926">
      <c r="A1926" s="8">
        <v>46187.73815670139</v>
      </c>
      <c r="B1926" s="2" t="s">
        <v>798</v>
      </c>
      <c r="C1926" s="2" t="s">
        <v>812</v>
      </c>
      <c r="D1926" s="2" t="s">
        <v>813</v>
      </c>
    </row>
    <row r="1927">
      <c r="A1927" s="8">
        <v>46187.738158692126</v>
      </c>
      <c r="B1927" s="2" t="s">
        <v>838</v>
      </c>
      <c r="C1927" s="2" t="s">
        <v>818</v>
      </c>
      <c r="D1927" s="2" t="s">
        <v>853</v>
      </c>
    </row>
    <row r="1928">
      <c r="A1928" s="8">
        <v>46187.73816317129</v>
      </c>
      <c r="B1928" s="2" t="s">
        <v>798</v>
      </c>
      <c r="C1928" s="2" t="s">
        <v>830</v>
      </c>
      <c r="D1928" s="2" t="s">
        <v>831</v>
      </c>
    </row>
    <row r="1929">
      <c r="A1929" s="8">
        <v>46187.7381659838</v>
      </c>
      <c r="B1929" s="2" t="s">
        <v>832</v>
      </c>
      <c r="C1929" s="2"/>
      <c r="D1929" s="2" t="s">
        <v>977</v>
      </c>
    </row>
    <row r="1930">
      <c r="A1930" s="8">
        <v>46187.73824034722</v>
      </c>
      <c r="B1930" s="2" t="s">
        <v>991</v>
      </c>
      <c r="C1930" s="2" t="s">
        <v>519</v>
      </c>
      <c r="D1930" s="2" t="s">
        <v>1016</v>
      </c>
    </row>
    <row r="1931">
      <c r="A1931" s="8">
        <v>46187.73824502315</v>
      </c>
      <c r="B1931" s="2" t="s">
        <v>991</v>
      </c>
      <c r="C1931" s="2" t="s">
        <v>534</v>
      </c>
      <c r="D1931" s="2" t="s">
        <v>1010</v>
      </c>
    </row>
    <row r="1932">
      <c r="A1932" s="8">
        <v>46187.738252337964</v>
      </c>
      <c r="B1932" s="2" t="s">
        <v>840</v>
      </c>
      <c r="C1932" s="2" t="s">
        <v>768</v>
      </c>
      <c r="D1932" s="2" t="s">
        <v>1011</v>
      </c>
    </row>
    <row r="1933">
      <c r="A1933" s="8">
        <v>46187.738255833334</v>
      </c>
      <c r="B1933" s="2" t="s">
        <v>840</v>
      </c>
      <c r="C1933" s="2" t="s">
        <v>773</v>
      </c>
      <c r="D1933" s="2" t="s">
        <v>930</v>
      </c>
    </row>
    <row r="1934">
      <c r="A1934" s="8">
        <v>46187.73825908564</v>
      </c>
      <c r="B1934" s="2" t="s">
        <v>840</v>
      </c>
      <c r="C1934" s="2" t="s">
        <v>783</v>
      </c>
      <c r="D1934" s="2" t="s">
        <v>1009</v>
      </c>
    </row>
    <row r="1935">
      <c r="A1935" s="8">
        <v>46187.73826229166</v>
      </c>
      <c r="B1935" s="2" t="s">
        <v>894</v>
      </c>
      <c r="C1935" s="2"/>
      <c r="D1935" s="2" t="s">
        <v>1017</v>
      </c>
    </row>
    <row r="1936">
      <c r="A1936" s="8">
        <v>46187.77978993056</v>
      </c>
      <c r="B1936" s="2" t="s">
        <v>798</v>
      </c>
      <c r="C1936" s="2" t="s">
        <v>799</v>
      </c>
      <c r="D1936" s="2" t="s">
        <v>800</v>
      </c>
    </row>
    <row r="1937">
      <c r="A1937" s="8">
        <v>46187.779794120375</v>
      </c>
      <c r="B1937" s="2" t="s">
        <v>838</v>
      </c>
      <c r="C1937" s="2" t="s">
        <v>802</v>
      </c>
      <c r="D1937" s="2" t="s">
        <v>839</v>
      </c>
    </row>
    <row r="1938">
      <c r="A1938" s="8">
        <v>46187.77980711806</v>
      </c>
      <c r="B1938" s="2" t="s">
        <v>798</v>
      </c>
      <c r="C1938" s="2" t="s">
        <v>812</v>
      </c>
      <c r="D1938" s="2" t="s">
        <v>813</v>
      </c>
    </row>
    <row r="1939">
      <c r="A1939" s="8">
        <v>46187.77981461806</v>
      </c>
      <c r="B1939" s="2" t="s">
        <v>838</v>
      </c>
      <c r="C1939" s="2" t="s">
        <v>818</v>
      </c>
      <c r="D1939" s="2" t="s">
        <v>853</v>
      </c>
    </row>
    <row r="1940">
      <c r="A1940" s="8">
        <v>46187.779821516204</v>
      </c>
      <c r="B1940" s="2" t="s">
        <v>798</v>
      </c>
      <c r="C1940" s="2" t="s">
        <v>830</v>
      </c>
      <c r="D1940" s="2" t="s">
        <v>831</v>
      </c>
    </row>
    <row r="1941">
      <c r="A1941" s="8">
        <v>46187.77982519676</v>
      </c>
      <c r="B1941" s="2" t="s">
        <v>832</v>
      </c>
      <c r="C1941" s="2"/>
      <c r="D1941" s="2" t="s">
        <v>977</v>
      </c>
    </row>
    <row r="1942">
      <c r="A1942" s="8">
        <v>46187.779909791665</v>
      </c>
      <c r="B1942" s="2" t="s">
        <v>991</v>
      </c>
      <c r="C1942" s="2" t="s">
        <v>519</v>
      </c>
      <c r="D1942" s="2" t="s">
        <v>1016</v>
      </c>
    </row>
    <row r="1943">
      <c r="A1943" s="8">
        <v>46187.77991976852</v>
      </c>
      <c r="B1943" s="2" t="s">
        <v>991</v>
      </c>
      <c r="C1943" s="2" t="s">
        <v>534</v>
      </c>
      <c r="D1943" s="2" t="s">
        <v>1010</v>
      </c>
    </row>
    <row r="1944">
      <c r="A1944" s="8">
        <v>46187.77992854167</v>
      </c>
      <c r="B1944" s="2" t="s">
        <v>840</v>
      </c>
      <c r="C1944" s="2" t="s">
        <v>768</v>
      </c>
      <c r="D1944" s="2" t="s">
        <v>1011</v>
      </c>
    </row>
    <row r="1945">
      <c r="A1945" s="8">
        <v>46187.77993253472</v>
      </c>
      <c r="B1945" s="2" t="s">
        <v>840</v>
      </c>
      <c r="C1945" s="2" t="s">
        <v>773</v>
      </c>
      <c r="D1945" s="2" t="s">
        <v>930</v>
      </c>
    </row>
    <row r="1946">
      <c r="A1946" s="8">
        <v>46187.77993766204</v>
      </c>
      <c r="B1946" s="2" t="s">
        <v>840</v>
      </c>
      <c r="C1946" s="2" t="s">
        <v>783</v>
      </c>
      <c r="D1946" s="2" t="s">
        <v>1009</v>
      </c>
    </row>
    <row r="1947">
      <c r="A1947" s="8">
        <v>46187.77994170139</v>
      </c>
      <c r="B1947" s="2" t="s">
        <v>894</v>
      </c>
      <c r="C1947" s="2"/>
      <c r="D1947" s="2" t="s">
        <v>1017</v>
      </c>
    </row>
    <row r="1948">
      <c r="A1948" s="8">
        <v>46187.82148520833</v>
      </c>
      <c r="B1948" s="2" t="s">
        <v>798</v>
      </c>
      <c r="C1948" s="2" t="s">
        <v>799</v>
      </c>
      <c r="D1948" s="2" t="s">
        <v>800</v>
      </c>
    </row>
    <row r="1949">
      <c r="A1949" s="8">
        <v>46187.8214943287</v>
      </c>
      <c r="B1949" s="2" t="s">
        <v>838</v>
      </c>
      <c r="C1949" s="2" t="s">
        <v>802</v>
      </c>
      <c r="D1949" s="2" t="s">
        <v>839</v>
      </c>
    </row>
    <row r="1950">
      <c r="A1950" s="8">
        <v>46187.82151469907</v>
      </c>
      <c r="B1950" s="2" t="s">
        <v>798</v>
      </c>
      <c r="C1950" s="2" t="s">
        <v>812</v>
      </c>
      <c r="D1950" s="2" t="s">
        <v>813</v>
      </c>
    </row>
    <row r="1951">
      <c r="A1951" s="8">
        <v>46187.82152940972</v>
      </c>
      <c r="B1951" s="2" t="s">
        <v>838</v>
      </c>
      <c r="C1951" s="2" t="s">
        <v>818</v>
      </c>
      <c r="D1951" s="2" t="s">
        <v>853</v>
      </c>
    </row>
    <row r="1952">
      <c r="A1952" s="8">
        <v>46187.821533449074</v>
      </c>
      <c r="B1952" s="2" t="s">
        <v>798</v>
      </c>
      <c r="C1952" s="2" t="s">
        <v>830</v>
      </c>
      <c r="D1952" s="2" t="s">
        <v>831</v>
      </c>
    </row>
    <row r="1953">
      <c r="A1953" s="8">
        <v>46187.82153594907</v>
      </c>
      <c r="B1953" s="2" t="s">
        <v>832</v>
      </c>
      <c r="C1953" s="2"/>
      <c r="D1953" s="2" t="s">
        <v>977</v>
      </c>
    </row>
    <row r="1954">
      <c r="A1954" s="8">
        <v>46187.82161304398</v>
      </c>
      <c r="B1954" s="2" t="s">
        <v>991</v>
      </c>
      <c r="C1954" s="2" t="s">
        <v>519</v>
      </c>
      <c r="D1954" s="2" t="s">
        <v>1016</v>
      </c>
    </row>
    <row r="1955">
      <c r="A1955" s="8">
        <v>46187.82161951389</v>
      </c>
      <c r="B1955" s="2" t="s">
        <v>991</v>
      </c>
      <c r="C1955" s="2" t="s">
        <v>534</v>
      </c>
      <c r="D1955" s="2" t="s">
        <v>1010</v>
      </c>
    </row>
    <row r="1956">
      <c r="A1956" s="8">
        <v>46187.82162608796</v>
      </c>
      <c r="B1956" s="2" t="s">
        <v>840</v>
      </c>
      <c r="C1956" s="2" t="s">
        <v>768</v>
      </c>
      <c r="D1956" s="2" t="s">
        <v>1011</v>
      </c>
    </row>
    <row r="1957">
      <c r="A1957" s="8">
        <v>46187.8216286574</v>
      </c>
      <c r="B1957" s="2" t="s">
        <v>840</v>
      </c>
      <c r="C1957" s="2" t="s">
        <v>773</v>
      </c>
      <c r="D1957" s="2" t="s">
        <v>930</v>
      </c>
    </row>
    <row r="1958">
      <c r="A1958" s="8">
        <v>46187.82163091435</v>
      </c>
      <c r="B1958" s="2" t="s">
        <v>840</v>
      </c>
      <c r="C1958" s="2" t="s">
        <v>783</v>
      </c>
      <c r="D1958" s="2" t="s">
        <v>1009</v>
      </c>
    </row>
    <row r="1959">
      <c r="A1959" s="8">
        <v>46187.82163298611</v>
      </c>
      <c r="B1959" s="2" t="s">
        <v>894</v>
      </c>
      <c r="C1959" s="2"/>
      <c r="D1959" s="2" t="s">
        <v>1017</v>
      </c>
    </row>
    <row r="1960">
      <c r="A1960" s="8">
        <v>46187.86312206018</v>
      </c>
      <c r="B1960" s="2" t="s">
        <v>798</v>
      </c>
      <c r="C1960" s="2" t="s">
        <v>799</v>
      </c>
      <c r="D1960" s="2" t="s">
        <v>800</v>
      </c>
    </row>
    <row r="1961">
      <c r="A1961" s="8">
        <v>46187.86313650463</v>
      </c>
      <c r="B1961" s="2" t="s">
        <v>838</v>
      </c>
      <c r="C1961" s="2" t="s">
        <v>802</v>
      </c>
      <c r="D1961" s="2" t="s">
        <v>839</v>
      </c>
    </row>
    <row r="1962">
      <c r="A1962" s="8">
        <v>46187.86315081018</v>
      </c>
      <c r="B1962" s="2" t="s">
        <v>798</v>
      </c>
      <c r="C1962" s="2" t="s">
        <v>812</v>
      </c>
      <c r="D1962" s="2" t="s">
        <v>813</v>
      </c>
    </row>
    <row r="1963">
      <c r="A1963" s="8">
        <v>46187.86315427083</v>
      </c>
      <c r="B1963" s="2" t="s">
        <v>838</v>
      </c>
      <c r="C1963" s="2" t="s">
        <v>818</v>
      </c>
      <c r="D1963" s="2" t="s">
        <v>853</v>
      </c>
    </row>
    <row r="1964">
      <c r="A1964" s="8">
        <v>46187.86315789352</v>
      </c>
      <c r="B1964" s="2" t="s">
        <v>798</v>
      </c>
      <c r="C1964" s="2" t="s">
        <v>830</v>
      </c>
      <c r="D1964" s="2" t="s">
        <v>831</v>
      </c>
    </row>
    <row r="1965">
      <c r="A1965" s="8">
        <v>46187.86316101852</v>
      </c>
      <c r="B1965" s="2" t="s">
        <v>832</v>
      </c>
      <c r="C1965" s="2"/>
      <c r="D1965" s="2" t="s">
        <v>977</v>
      </c>
    </row>
    <row r="1966">
      <c r="A1966" s="8">
        <v>46187.86322534722</v>
      </c>
      <c r="B1966" s="2" t="s">
        <v>991</v>
      </c>
      <c r="C1966" s="2" t="s">
        <v>519</v>
      </c>
      <c r="D1966" s="2" t="s">
        <v>1016</v>
      </c>
    </row>
    <row r="1967">
      <c r="A1967" s="8">
        <v>46187.86322885417</v>
      </c>
      <c r="B1967" s="2" t="s">
        <v>991</v>
      </c>
      <c r="C1967" s="2" t="s">
        <v>534</v>
      </c>
      <c r="D1967" s="2" t="s">
        <v>1010</v>
      </c>
    </row>
    <row r="1968">
      <c r="A1968" s="8">
        <v>46187.863232881944</v>
      </c>
      <c r="B1968" s="2" t="s">
        <v>840</v>
      </c>
      <c r="C1968" s="2" t="s">
        <v>768</v>
      </c>
      <c r="D1968" s="2" t="s">
        <v>1011</v>
      </c>
    </row>
    <row r="1969">
      <c r="A1969" s="8">
        <v>46187.863236273144</v>
      </c>
      <c r="B1969" s="2" t="s">
        <v>840</v>
      </c>
      <c r="C1969" s="2" t="s">
        <v>773</v>
      </c>
      <c r="D1969" s="2" t="s">
        <v>930</v>
      </c>
    </row>
    <row r="1970">
      <c r="A1970" s="8">
        <v>46187.863240046296</v>
      </c>
      <c r="B1970" s="2" t="s">
        <v>840</v>
      </c>
      <c r="C1970" s="2" t="s">
        <v>783</v>
      </c>
      <c r="D1970" s="2" t="s">
        <v>1009</v>
      </c>
    </row>
    <row r="1971">
      <c r="A1971" s="8">
        <v>46187.86324341435</v>
      </c>
      <c r="B1971" s="2" t="s">
        <v>894</v>
      </c>
      <c r="C1971" s="2"/>
      <c r="D1971" s="2" t="s">
        <v>1017</v>
      </c>
    </row>
    <row r="1972">
      <c r="A1972" s="8">
        <v>46187.90477650463</v>
      </c>
      <c r="B1972" s="2" t="s">
        <v>798</v>
      </c>
      <c r="C1972" s="2" t="s">
        <v>799</v>
      </c>
      <c r="D1972" s="2" t="s">
        <v>800</v>
      </c>
    </row>
    <row r="1973">
      <c r="A1973" s="8">
        <v>46187.90478134259</v>
      </c>
      <c r="B1973" s="2" t="s">
        <v>838</v>
      </c>
      <c r="C1973" s="2" t="s">
        <v>802</v>
      </c>
      <c r="D1973" s="2" t="s">
        <v>839</v>
      </c>
    </row>
    <row r="1974">
      <c r="A1974" s="8">
        <v>46187.904793009264</v>
      </c>
      <c r="B1974" s="2" t="s">
        <v>798</v>
      </c>
      <c r="C1974" s="2" t="s">
        <v>812</v>
      </c>
      <c r="D1974" s="2" t="s">
        <v>813</v>
      </c>
    </row>
    <row r="1975">
      <c r="A1975" s="8">
        <v>46187.90479969907</v>
      </c>
      <c r="B1975" s="2" t="s">
        <v>838</v>
      </c>
      <c r="C1975" s="2" t="s">
        <v>818</v>
      </c>
      <c r="D1975" s="2" t="s">
        <v>853</v>
      </c>
    </row>
    <row r="1976">
      <c r="A1976" s="8">
        <v>46187.90480633102</v>
      </c>
      <c r="B1976" s="2" t="s">
        <v>798</v>
      </c>
      <c r="C1976" s="2" t="s">
        <v>830</v>
      </c>
      <c r="D1976" s="2" t="s">
        <v>831</v>
      </c>
    </row>
    <row r="1977">
      <c r="A1977" s="8">
        <v>46187.9048090625</v>
      </c>
      <c r="B1977" s="2" t="s">
        <v>832</v>
      </c>
      <c r="C1977" s="2"/>
      <c r="D1977" s="2" t="s">
        <v>977</v>
      </c>
    </row>
    <row r="1978">
      <c r="A1978" s="8">
        <v>46187.904889247686</v>
      </c>
      <c r="B1978" s="2" t="s">
        <v>991</v>
      </c>
      <c r="C1978" s="2" t="s">
        <v>519</v>
      </c>
      <c r="D1978" s="2" t="s">
        <v>1016</v>
      </c>
    </row>
    <row r="1979">
      <c r="A1979" s="8">
        <v>46187.90489622686</v>
      </c>
      <c r="B1979" s="2" t="s">
        <v>991</v>
      </c>
      <c r="C1979" s="2" t="s">
        <v>534</v>
      </c>
      <c r="D1979" s="2" t="s">
        <v>1010</v>
      </c>
    </row>
    <row r="1980">
      <c r="A1980" s="8">
        <v>46187.904908032404</v>
      </c>
      <c r="B1980" s="2" t="s">
        <v>840</v>
      </c>
      <c r="C1980" s="2" t="s">
        <v>768</v>
      </c>
      <c r="D1980" s="2" t="s">
        <v>1011</v>
      </c>
    </row>
    <row r="1981">
      <c r="A1981" s="8">
        <v>46187.90491091435</v>
      </c>
      <c r="B1981" s="2" t="s">
        <v>840</v>
      </c>
      <c r="C1981" s="2" t="s">
        <v>773</v>
      </c>
      <c r="D1981" s="2" t="s">
        <v>930</v>
      </c>
    </row>
    <row r="1982">
      <c r="A1982" s="8">
        <v>46187.904913935185</v>
      </c>
      <c r="B1982" s="2" t="s">
        <v>840</v>
      </c>
      <c r="C1982" s="2" t="s">
        <v>783</v>
      </c>
      <c r="D1982" s="2" t="s">
        <v>1009</v>
      </c>
    </row>
    <row r="1983">
      <c r="A1983" s="8">
        <v>46187.90491644676</v>
      </c>
      <c r="B1983" s="2" t="s">
        <v>894</v>
      </c>
      <c r="C1983" s="2"/>
      <c r="D1983" s="2" t="s">
        <v>1017</v>
      </c>
    </row>
    <row r="1984">
      <c r="A1984" s="8">
        <v>46187.91714980324</v>
      </c>
      <c r="B1984" s="2" t="s">
        <v>863</v>
      </c>
      <c r="C1984" s="2"/>
      <c r="D1984" s="2" t="s">
        <v>1018</v>
      </c>
    </row>
    <row r="1985">
      <c r="A1985" s="8">
        <v>46187.94643130787</v>
      </c>
      <c r="B1985" s="2" t="s">
        <v>798</v>
      </c>
      <c r="C1985" s="2" t="s">
        <v>799</v>
      </c>
      <c r="D1985" s="2" t="s">
        <v>800</v>
      </c>
    </row>
    <row r="1986">
      <c r="A1986" s="8">
        <v>46187.94646148148</v>
      </c>
      <c r="B1986" s="2" t="s">
        <v>838</v>
      </c>
      <c r="C1986" s="2" t="s">
        <v>802</v>
      </c>
      <c r="D1986" s="2" t="s">
        <v>839</v>
      </c>
    </row>
    <row r="1987">
      <c r="A1987" s="8">
        <v>46187.946464837965</v>
      </c>
      <c r="B1987" s="2" t="s">
        <v>798</v>
      </c>
      <c r="C1987" s="2" t="s">
        <v>812</v>
      </c>
      <c r="D1987" s="2" t="s">
        <v>813</v>
      </c>
    </row>
    <row r="1988">
      <c r="A1988" s="8">
        <v>46187.94646791667</v>
      </c>
      <c r="B1988" s="2" t="s">
        <v>838</v>
      </c>
      <c r="C1988" s="2" t="s">
        <v>818</v>
      </c>
      <c r="D1988" s="2" t="s">
        <v>853</v>
      </c>
    </row>
    <row r="1989">
      <c r="A1989" s="8">
        <v>46187.94648145833</v>
      </c>
      <c r="B1989" s="2" t="s">
        <v>798</v>
      </c>
      <c r="C1989" s="2" t="s">
        <v>830</v>
      </c>
      <c r="D1989" s="2" t="s">
        <v>831</v>
      </c>
    </row>
    <row r="1990">
      <c r="A1990" s="8">
        <v>46187.94648486111</v>
      </c>
      <c r="B1990" s="2" t="s">
        <v>832</v>
      </c>
      <c r="C1990" s="2"/>
      <c r="D1990" s="2" t="s">
        <v>977</v>
      </c>
    </row>
    <row r="1991">
      <c r="A1991" s="8">
        <v>46187.94656414352</v>
      </c>
      <c r="B1991" s="2" t="s">
        <v>991</v>
      </c>
      <c r="C1991" s="2" t="s">
        <v>519</v>
      </c>
      <c r="D1991" s="2" t="s">
        <v>1016</v>
      </c>
    </row>
    <row r="1992">
      <c r="A1992" s="8">
        <v>46187.94656938658</v>
      </c>
      <c r="B1992" s="2" t="s">
        <v>991</v>
      </c>
      <c r="C1992" s="2" t="s">
        <v>534</v>
      </c>
      <c r="D1992" s="2" t="s">
        <v>1010</v>
      </c>
    </row>
    <row r="1993">
      <c r="A1993" s="8">
        <v>46187.946571875</v>
      </c>
      <c r="B1993" s="2" t="s">
        <v>840</v>
      </c>
      <c r="C1993" s="2" t="s">
        <v>768</v>
      </c>
      <c r="D1993" s="2" t="s">
        <v>1011</v>
      </c>
    </row>
    <row r="1994">
      <c r="A1994" s="8">
        <v>46187.94657381944</v>
      </c>
      <c r="B1994" s="2" t="s">
        <v>840</v>
      </c>
      <c r="C1994" s="2" t="s">
        <v>773</v>
      </c>
      <c r="D1994" s="2" t="s">
        <v>930</v>
      </c>
    </row>
    <row r="1995">
      <c r="A1995" s="8">
        <v>46187.946575891205</v>
      </c>
      <c r="B1995" s="2" t="s">
        <v>840</v>
      </c>
      <c r="C1995" s="2" t="s">
        <v>783</v>
      </c>
      <c r="D1995" s="2" t="s">
        <v>1009</v>
      </c>
    </row>
    <row r="1996">
      <c r="A1996" s="8">
        <v>46187.94658079861</v>
      </c>
      <c r="B1996" s="2" t="s">
        <v>894</v>
      </c>
      <c r="C1996" s="2"/>
      <c r="D1996" s="2" t="s">
        <v>1017</v>
      </c>
    </row>
    <row r="1997">
      <c r="A1997" s="8">
        <v>46187.988110335646</v>
      </c>
      <c r="B1997" s="2" t="s">
        <v>798</v>
      </c>
      <c r="C1997" s="2" t="s">
        <v>799</v>
      </c>
      <c r="D1997" s="2" t="s">
        <v>800</v>
      </c>
    </row>
    <row r="1998">
      <c r="A1998" s="8">
        <v>46187.98811341435</v>
      </c>
      <c r="B1998" s="2" t="s">
        <v>838</v>
      </c>
      <c r="C1998" s="2" t="s">
        <v>802</v>
      </c>
      <c r="D1998" s="2" t="s">
        <v>839</v>
      </c>
    </row>
    <row r="1999">
      <c r="A1999" s="8">
        <v>46187.98811898148</v>
      </c>
      <c r="B1999" s="2" t="s">
        <v>798</v>
      </c>
      <c r="C1999" s="2" t="s">
        <v>812</v>
      </c>
      <c r="D1999" s="2" t="s">
        <v>813</v>
      </c>
    </row>
    <row r="2000">
      <c r="A2000" s="8">
        <v>46187.988134687504</v>
      </c>
      <c r="B2000" s="2" t="s">
        <v>838</v>
      </c>
      <c r="C2000" s="2" t="s">
        <v>818</v>
      </c>
      <c r="D2000" s="2" t="s">
        <v>853</v>
      </c>
    </row>
    <row r="2001">
      <c r="A2001" s="8">
        <v>46187.988138472225</v>
      </c>
      <c r="B2001" s="2" t="s">
        <v>798</v>
      </c>
      <c r="C2001" s="2" t="s">
        <v>830</v>
      </c>
      <c r="D2001" s="2" t="s">
        <v>831</v>
      </c>
    </row>
    <row r="2002">
      <c r="A2002" s="8">
        <v>46187.988144918985</v>
      </c>
      <c r="B2002" s="2" t="s">
        <v>832</v>
      </c>
      <c r="C2002" s="2"/>
      <c r="D2002" s="2" t="s">
        <v>977</v>
      </c>
    </row>
    <row r="2003">
      <c r="A2003" s="8">
        <v>46187.9882177199</v>
      </c>
      <c r="B2003" s="2" t="s">
        <v>991</v>
      </c>
      <c r="C2003" s="2" t="s">
        <v>519</v>
      </c>
      <c r="D2003" s="2" t="s">
        <v>1016</v>
      </c>
    </row>
    <row r="2004">
      <c r="A2004" s="8">
        <v>46187.98822021991</v>
      </c>
      <c r="B2004" s="2" t="s">
        <v>991</v>
      </c>
      <c r="C2004" s="2" t="s">
        <v>534</v>
      </c>
      <c r="D2004" s="2" t="s">
        <v>1010</v>
      </c>
    </row>
    <row r="2005">
      <c r="A2005" s="8">
        <v>46187.98822462963</v>
      </c>
      <c r="B2005" s="2" t="s">
        <v>840</v>
      </c>
      <c r="C2005" s="2" t="s">
        <v>768</v>
      </c>
      <c r="D2005" s="2" t="s">
        <v>1011</v>
      </c>
    </row>
    <row r="2006">
      <c r="A2006" s="8">
        <v>46187.98822716435</v>
      </c>
      <c r="B2006" s="2" t="s">
        <v>840</v>
      </c>
      <c r="C2006" s="2" t="s">
        <v>773</v>
      </c>
      <c r="D2006" s="2" t="s">
        <v>930</v>
      </c>
    </row>
    <row r="2007">
      <c r="A2007" s="8">
        <v>46187.98822893518</v>
      </c>
      <c r="B2007" s="2" t="s">
        <v>840</v>
      </c>
      <c r="C2007" s="2" t="s">
        <v>783</v>
      </c>
      <c r="D2007" s="2" t="s">
        <v>1009</v>
      </c>
    </row>
    <row r="2008">
      <c r="A2008" s="8">
        <v>46187.98823099537</v>
      </c>
      <c r="B2008" s="2" t="s">
        <v>894</v>
      </c>
      <c r="C2008" s="2"/>
      <c r="D2008" s="2" t="s">
        <v>1017</v>
      </c>
    </row>
    <row r="2009">
      <c r="A2009" s="8">
        <v>46188.02978518519</v>
      </c>
      <c r="B2009" s="2" t="s">
        <v>838</v>
      </c>
      <c r="C2009" s="2" t="s">
        <v>792</v>
      </c>
      <c r="D2009" s="2" t="s">
        <v>1022</v>
      </c>
    </row>
    <row r="2010">
      <c r="A2010" s="8">
        <v>46188.02978880787</v>
      </c>
      <c r="B2010" s="2" t="s">
        <v>798</v>
      </c>
      <c r="C2010" s="2" t="s">
        <v>799</v>
      </c>
      <c r="D2010" s="2" t="s">
        <v>800</v>
      </c>
    </row>
    <row r="2011">
      <c r="A2011" s="8">
        <v>46188.02979215278</v>
      </c>
      <c r="B2011" s="2" t="s">
        <v>838</v>
      </c>
      <c r="C2011" s="2" t="s">
        <v>802</v>
      </c>
      <c r="D2011" s="2" t="s">
        <v>839</v>
      </c>
    </row>
    <row r="2012">
      <c r="A2012" s="8">
        <v>46188.029808287036</v>
      </c>
      <c r="B2012" s="2" t="s">
        <v>844</v>
      </c>
      <c r="C2012" s="2" t="s">
        <v>848</v>
      </c>
      <c r="D2012" s="2" t="s">
        <v>1023</v>
      </c>
    </row>
    <row r="2013">
      <c r="A2013" s="8">
        <v>46188.02981545139</v>
      </c>
      <c r="B2013" s="2" t="s">
        <v>798</v>
      </c>
      <c r="C2013" s="2" t="s">
        <v>812</v>
      </c>
      <c r="D2013" s="2" t="s">
        <v>813</v>
      </c>
    </row>
    <row r="2014">
      <c r="A2014" s="8">
        <v>46188.0298305787</v>
      </c>
      <c r="B2014" s="2" t="s">
        <v>838</v>
      </c>
      <c r="C2014" s="2" t="s">
        <v>818</v>
      </c>
      <c r="D2014" s="2" t="s">
        <v>1024</v>
      </c>
    </row>
    <row r="2015">
      <c r="A2015" s="8">
        <v>46188.02983965278</v>
      </c>
      <c r="B2015" s="2" t="s">
        <v>844</v>
      </c>
      <c r="C2015" s="2" t="s">
        <v>824</v>
      </c>
      <c r="D2015" s="2" t="s">
        <v>1025</v>
      </c>
    </row>
    <row r="2016">
      <c r="A2016" s="8">
        <v>46188.029846550926</v>
      </c>
      <c r="B2016" s="2" t="s">
        <v>798</v>
      </c>
      <c r="C2016" s="2" t="s">
        <v>830</v>
      </c>
      <c r="D2016" s="2" t="s">
        <v>831</v>
      </c>
    </row>
    <row r="2017">
      <c r="A2017" s="8">
        <v>46188.02985018519</v>
      </c>
      <c r="B2017" s="2" t="s">
        <v>832</v>
      </c>
      <c r="C2017" s="2"/>
      <c r="D2017" s="2" t="s">
        <v>1020</v>
      </c>
    </row>
    <row r="2018">
      <c r="A2018" s="8">
        <v>46188.029936747684</v>
      </c>
      <c r="B2018" s="2" t="s">
        <v>844</v>
      </c>
      <c r="C2018" s="2" t="s">
        <v>509</v>
      </c>
      <c r="D2018" s="2" t="s">
        <v>1026</v>
      </c>
    </row>
    <row r="2019">
      <c r="A2019" s="8">
        <v>46188.0299437037</v>
      </c>
      <c r="B2019" s="2" t="s">
        <v>991</v>
      </c>
      <c r="C2019" s="2" t="s">
        <v>519</v>
      </c>
      <c r="D2019" s="2" t="s">
        <v>1016</v>
      </c>
    </row>
    <row r="2020">
      <c r="A2020" s="8">
        <v>46188.029948379626</v>
      </c>
      <c r="B2020" s="2" t="s">
        <v>991</v>
      </c>
      <c r="C2020" s="2" t="s">
        <v>534</v>
      </c>
      <c r="D2020" s="2" t="s">
        <v>1010</v>
      </c>
    </row>
    <row r="2021">
      <c r="A2021" s="8">
        <v>46188.02995542824</v>
      </c>
      <c r="B2021" s="2" t="s">
        <v>840</v>
      </c>
      <c r="C2021" s="2" t="s">
        <v>768</v>
      </c>
      <c r="D2021" s="2" t="s">
        <v>1027</v>
      </c>
    </row>
    <row r="2022">
      <c r="A2022" s="8">
        <v>46188.02995980324</v>
      </c>
      <c r="B2022" s="2" t="s">
        <v>840</v>
      </c>
      <c r="C2022" s="2" t="s">
        <v>773</v>
      </c>
      <c r="D2022" s="2" t="s">
        <v>930</v>
      </c>
    </row>
    <row r="2023">
      <c r="A2023" s="8">
        <v>46188.0299633449</v>
      </c>
      <c r="B2023" s="2" t="s">
        <v>840</v>
      </c>
      <c r="C2023" s="2" t="s">
        <v>783</v>
      </c>
      <c r="D2023" s="2" t="s">
        <v>1009</v>
      </c>
    </row>
    <row r="2024">
      <c r="A2024" s="8">
        <v>46188.029966574075</v>
      </c>
      <c r="B2024" s="2" t="s">
        <v>894</v>
      </c>
      <c r="C2024" s="2"/>
      <c r="D2024" s="2" t="s">
        <v>1028</v>
      </c>
    </row>
    <row r="2025">
      <c r="A2025" s="8">
        <v>46188.071446875</v>
      </c>
      <c r="B2025" s="2" t="s">
        <v>838</v>
      </c>
      <c r="C2025" s="2" t="s">
        <v>792</v>
      </c>
      <c r="D2025" s="2" t="s">
        <v>1022</v>
      </c>
    </row>
    <row r="2026">
      <c r="A2026" s="8">
        <v>46188.0714515162</v>
      </c>
      <c r="B2026" s="2" t="s">
        <v>798</v>
      </c>
      <c r="C2026" s="2" t="s">
        <v>799</v>
      </c>
      <c r="D2026" s="2" t="s">
        <v>800</v>
      </c>
    </row>
    <row r="2027">
      <c r="A2027" s="8">
        <v>46188.07145783565</v>
      </c>
      <c r="B2027" s="2" t="s">
        <v>838</v>
      </c>
      <c r="C2027" s="2" t="s">
        <v>802</v>
      </c>
      <c r="D2027" s="2" t="s">
        <v>839</v>
      </c>
    </row>
    <row r="2028">
      <c r="A2028" s="8">
        <v>46188.0714915625</v>
      </c>
      <c r="B2028" s="2" t="s">
        <v>798</v>
      </c>
      <c r="C2028" s="2" t="s">
        <v>812</v>
      </c>
      <c r="D2028" s="2" t="s">
        <v>813</v>
      </c>
    </row>
    <row r="2029">
      <c r="A2029" s="8">
        <v>46188.07149949074</v>
      </c>
      <c r="B2029" s="2" t="s">
        <v>838</v>
      </c>
      <c r="C2029" s="2" t="s">
        <v>818</v>
      </c>
      <c r="D2029" s="2" t="s">
        <v>1024</v>
      </c>
    </row>
    <row r="2030">
      <c r="A2030" s="8">
        <v>46188.07150380787</v>
      </c>
      <c r="B2030" s="2" t="s">
        <v>798</v>
      </c>
      <c r="C2030" s="2" t="s">
        <v>830</v>
      </c>
      <c r="D2030" s="2" t="s">
        <v>831</v>
      </c>
    </row>
    <row r="2031">
      <c r="A2031" s="8">
        <v>46188.07152678241</v>
      </c>
      <c r="B2031" s="2" t="s">
        <v>832</v>
      </c>
      <c r="C2031" s="2"/>
      <c r="D2031" s="2" t="s">
        <v>977</v>
      </c>
    </row>
    <row r="2032">
      <c r="A2032" s="8">
        <v>46188.07159753473</v>
      </c>
      <c r="B2032" s="2" t="s">
        <v>991</v>
      </c>
      <c r="C2032" s="2" t="s">
        <v>519</v>
      </c>
      <c r="D2032" s="2" t="s">
        <v>1016</v>
      </c>
    </row>
    <row r="2033">
      <c r="A2033" s="8">
        <v>46188.07160148148</v>
      </c>
      <c r="B2033" s="2" t="s">
        <v>991</v>
      </c>
      <c r="C2033" s="2" t="s">
        <v>534</v>
      </c>
      <c r="D2033" s="2" t="s">
        <v>1010</v>
      </c>
    </row>
    <row r="2034">
      <c r="A2034" s="8">
        <v>46188.07160981481</v>
      </c>
      <c r="B2034" s="2" t="s">
        <v>844</v>
      </c>
      <c r="C2034" s="2" t="s">
        <v>549</v>
      </c>
      <c r="D2034" s="2" t="s">
        <v>1029</v>
      </c>
    </row>
    <row r="2035">
      <c r="A2035" s="8">
        <v>46188.071616875</v>
      </c>
      <c r="B2035" s="2" t="s">
        <v>840</v>
      </c>
      <c r="C2035" s="2" t="s">
        <v>768</v>
      </c>
      <c r="D2035" s="2" t="s">
        <v>1027</v>
      </c>
    </row>
    <row r="2036">
      <c r="A2036" s="8">
        <v>46188.07162001157</v>
      </c>
      <c r="B2036" s="2" t="s">
        <v>840</v>
      </c>
      <c r="C2036" s="2" t="s">
        <v>773</v>
      </c>
      <c r="D2036" s="2" t="s">
        <v>930</v>
      </c>
    </row>
    <row r="2037">
      <c r="A2037" s="8">
        <v>46188.07162315972</v>
      </c>
      <c r="B2037" s="2" t="s">
        <v>840</v>
      </c>
      <c r="C2037" s="2" t="s">
        <v>783</v>
      </c>
      <c r="D2037" s="2" t="s">
        <v>1009</v>
      </c>
    </row>
    <row r="2038">
      <c r="A2038" s="8">
        <v>46188.07163549769</v>
      </c>
      <c r="B2038" s="2" t="s">
        <v>894</v>
      </c>
      <c r="C2038" s="2"/>
      <c r="D2038" s="2" t="s">
        <v>1028</v>
      </c>
    </row>
    <row r="2039">
      <c r="A2039" s="8">
        <v>46188.11312212963</v>
      </c>
      <c r="B2039" s="2" t="s">
        <v>838</v>
      </c>
      <c r="C2039" s="2" t="s">
        <v>792</v>
      </c>
      <c r="D2039" s="2" t="s">
        <v>1022</v>
      </c>
    </row>
    <row r="2040">
      <c r="A2040" s="8">
        <v>46188.113136678236</v>
      </c>
      <c r="B2040" s="2" t="s">
        <v>798</v>
      </c>
      <c r="C2040" s="2" t="s">
        <v>799</v>
      </c>
      <c r="D2040" s="2" t="s">
        <v>800</v>
      </c>
    </row>
    <row r="2041">
      <c r="A2041" s="8">
        <v>46188.11314112268</v>
      </c>
      <c r="B2041" s="2" t="s">
        <v>838</v>
      </c>
      <c r="C2041" s="2" t="s">
        <v>802</v>
      </c>
      <c r="D2041" s="2" t="s">
        <v>839</v>
      </c>
    </row>
    <row r="2042">
      <c r="A2042" s="8">
        <v>46188.113157291664</v>
      </c>
      <c r="B2042" s="2" t="s">
        <v>798</v>
      </c>
      <c r="C2042" s="2" t="s">
        <v>812</v>
      </c>
      <c r="D2042" s="2" t="s">
        <v>813</v>
      </c>
    </row>
    <row r="2043">
      <c r="A2043" s="8">
        <v>46188.113164525465</v>
      </c>
      <c r="B2043" s="2" t="s">
        <v>838</v>
      </c>
      <c r="C2043" s="2" t="s">
        <v>818</v>
      </c>
      <c r="D2043" s="2" t="s">
        <v>1024</v>
      </c>
    </row>
    <row r="2044">
      <c r="A2044" s="8">
        <v>46188.113170150464</v>
      </c>
      <c r="B2044" s="2" t="s">
        <v>798</v>
      </c>
      <c r="C2044" s="2" t="s">
        <v>830</v>
      </c>
      <c r="D2044" s="2" t="s">
        <v>831</v>
      </c>
    </row>
    <row r="2045">
      <c r="A2045" s="8">
        <v>46188.11317505787</v>
      </c>
      <c r="B2045" s="2" t="s">
        <v>832</v>
      </c>
      <c r="C2045" s="2"/>
      <c r="D2045" s="2" t="s">
        <v>977</v>
      </c>
    </row>
    <row r="2046">
      <c r="A2046" s="8">
        <v>46188.11325728009</v>
      </c>
      <c r="B2046" s="2" t="s">
        <v>991</v>
      </c>
      <c r="C2046" s="2" t="s">
        <v>519</v>
      </c>
      <c r="D2046" s="2" t="s">
        <v>1016</v>
      </c>
    </row>
    <row r="2047">
      <c r="A2047" s="8">
        <v>46188.1132640625</v>
      </c>
      <c r="B2047" s="2" t="s">
        <v>991</v>
      </c>
      <c r="C2047" s="2" t="s">
        <v>534</v>
      </c>
      <c r="D2047" s="2" t="s">
        <v>1010</v>
      </c>
    </row>
    <row r="2048">
      <c r="A2048" s="8">
        <v>46188.113280543985</v>
      </c>
      <c r="B2048" s="2" t="s">
        <v>844</v>
      </c>
      <c r="C2048" s="2" t="s">
        <v>607</v>
      </c>
      <c r="D2048" s="2" t="s">
        <v>1030</v>
      </c>
    </row>
    <row r="2049">
      <c r="A2049" s="8">
        <v>46188.11328628472</v>
      </c>
      <c r="B2049" s="2" t="s">
        <v>840</v>
      </c>
      <c r="C2049" s="2" t="s">
        <v>768</v>
      </c>
      <c r="D2049" s="2" t="s">
        <v>1027</v>
      </c>
    </row>
    <row r="2050">
      <c r="A2050" s="8">
        <v>46188.11329055556</v>
      </c>
      <c r="B2050" s="2" t="s">
        <v>840</v>
      </c>
      <c r="C2050" s="2" t="s">
        <v>773</v>
      </c>
      <c r="D2050" s="2" t="s">
        <v>930</v>
      </c>
    </row>
    <row r="2051">
      <c r="A2051" s="8">
        <v>46188.113293946764</v>
      </c>
      <c r="B2051" s="2" t="s">
        <v>840</v>
      </c>
      <c r="C2051" s="2" t="s">
        <v>783</v>
      </c>
      <c r="D2051" s="2" t="s">
        <v>1009</v>
      </c>
    </row>
    <row r="2052">
      <c r="A2052" s="8">
        <v>46188.11329686343</v>
      </c>
      <c r="B2052" s="2" t="s">
        <v>894</v>
      </c>
      <c r="C2052" s="2"/>
      <c r="D2052" s="2" t="s">
        <v>1028</v>
      </c>
    </row>
    <row r="2053">
      <c r="A2053" s="8">
        <v>46188.15476762732</v>
      </c>
      <c r="B2053" s="2" t="s">
        <v>838</v>
      </c>
      <c r="C2053" s="2" t="s">
        <v>792</v>
      </c>
      <c r="D2053" s="2" t="s">
        <v>1022</v>
      </c>
    </row>
    <row r="2054">
      <c r="A2054" s="8">
        <v>46188.15477086806</v>
      </c>
      <c r="B2054" s="2" t="s">
        <v>798</v>
      </c>
      <c r="C2054" s="2" t="s">
        <v>799</v>
      </c>
      <c r="D2054" s="2" t="s">
        <v>800</v>
      </c>
    </row>
    <row r="2055">
      <c r="A2055" s="8">
        <v>46188.15479064814</v>
      </c>
      <c r="B2055" s="2" t="s">
        <v>838</v>
      </c>
      <c r="C2055" s="2" t="s">
        <v>802</v>
      </c>
      <c r="D2055" s="2" t="s">
        <v>839</v>
      </c>
    </row>
    <row r="2056">
      <c r="A2056" s="8">
        <v>46188.154804895836</v>
      </c>
      <c r="B2056" s="2" t="s">
        <v>798</v>
      </c>
      <c r="C2056" s="2" t="s">
        <v>812</v>
      </c>
      <c r="D2056" s="2" t="s">
        <v>813</v>
      </c>
    </row>
    <row r="2057">
      <c r="A2057" s="8">
        <v>46188.154806875</v>
      </c>
      <c r="B2057" s="2" t="s">
        <v>838</v>
      </c>
      <c r="C2057" s="2" t="s">
        <v>818</v>
      </c>
      <c r="D2057" s="2" t="s">
        <v>1024</v>
      </c>
    </row>
    <row r="2058">
      <c r="A2058" s="8">
        <v>46188.15481049768</v>
      </c>
      <c r="B2058" s="2" t="s">
        <v>798</v>
      </c>
      <c r="C2058" s="2" t="s">
        <v>830</v>
      </c>
      <c r="D2058" s="2" t="s">
        <v>831</v>
      </c>
    </row>
    <row r="2059">
      <c r="A2059" s="8">
        <v>46188.1548127662</v>
      </c>
      <c r="B2059" s="2" t="s">
        <v>832</v>
      </c>
      <c r="C2059" s="2"/>
      <c r="D2059" s="2" t="s">
        <v>977</v>
      </c>
    </row>
    <row r="2060">
      <c r="A2060" s="8">
        <v>46188.154869791666</v>
      </c>
      <c r="B2060" s="2" t="s">
        <v>991</v>
      </c>
      <c r="C2060" s="2" t="s">
        <v>519</v>
      </c>
      <c r="D2060" s="2" t="s">
        <v>1016</v>
      </c>
    </row>
    <row r="2061">
      <c r="A2061" s="8">
        <v>46188.154873472224</v>
      </c>
      <c r="B2061" s="2" t="s">
        <v>991</v>
      </c>
      <c r="C2061" s="2" t="s">
        <v>534</v>
      </c>
      <c r="D2061" s="2" t="s">
        <v>1010</v>
      </c>
    </row>
    <row r="2062">
      <c r="A2062" s="8">
        <v>46188.15487784722</v>
      </c>
      <c r="B2062" s="2" t="s">
        <v>840</v>
      </c>
      <c r="C2062" s="2" t="s">
        <v>768</v>
      </c>
      <c r="D2062" s="2" t="s">
        <v>1027</v>
      </c>
    </row>
    <row r="2063">
      <c r="A2063" s="8">
        <v>46188.15488136574</v>
      </c>
      <c r="B2063" s="2" t="s">
        <v>840</v>
      </c>
      <c r="C2063" s="2" t="s">
        <v>773</v>
      </c>
      <c r="D2063" s="2" t="s">
        <v>930</v>
      </c>
    </row>
    <row r="2064">
      <c r="A2064" s="8">
        <v>46188.15488537037</v>
      </c>
      <c r="B2064" s="2" t="s">
        <v>840</v>
      </c>
      <c r="C2064" s="2" t="s">
        <v>783</v>
      </c>
      <c r="D2064" s="2" t="s">
        <v>1009</v>
      </c>
    </row>
    <row r="2065">
      <c r="A2065" s="8">
        <v>46188.15488802083</v>
      </c>
      <c r="B2065" s="2" t="s">
        <v>894</v>
      </c>
      <c r="C2065" s="2"/>
      <c r="D2065" s="2" t="s">
        <v>1017</v>
      </c>
    </row>
    <row r="2066">
      <c r="A2066" s="8">
        <v>46188.19644719907</v>
      </c>
      <c r="B2066" s="2" t="s">
        <v>838</v>
      </c>
      <c r="C2066" s="2" t="s">
        <v>792</v>
      </c>
      <c r="D2066" s="2" t="s">
        <v>1022</v>
      </c>
    </row>
    <row r="2067">
      <c r="A2067" s="8">
        <v>46188.19645105324</v>
      </c>
      <c r="B2067" s="2" t="s">
        <v>798</v>
      </c>
      <c r="C2067" s="2" t="s">
        <v>799</v>
      </c>
      <c r="D2067" s="2" t="s">
        <v>800</v>
      </c>
    </row>
    <row r="2068">
      <c r="A2068" s="8">
        <v>46188.19645554398</v>
      </c>
      <c r="B2068" s="2" t="s">
        <v>838</v>
      </c>
      <c r="C2068" s="2" t="s">
        <v>802</v>
      </c>
      <c r="D2068" s="2" t="s">
        <v>839</v>
      </c>
    </row>
    <row r="2069">
      <c r="A2069" s="8">
        <v>46188.196473310185</v>
      </c>
      <c r="B2069" s="2" t="s">
        <v>798</v>
      </c>
      <c r="C2069" s="2" t="s">
        <v>812</v>
      </c>
      <c r="D2069" s="2" t="s">
        <v>813</v>
      </c>
    </row>
    <row r="2070">
      <c r="A2070" s="8">
        <v>46188.19647552083</v>
      </c>
      <c r="B2070" s="2" t="s">
        <v>838</v>
      </c>
      <c r="C2070" s="2" t="s">
        <v>818</v>
      </c>
      <c r="D2070" s="2" t="s">
        <v>1024</v>
      </c>
    </row>
    <row r="2071">
      <c r="A2071" s="8">
        <v>46188.19647900463</v>
      </c>
      <c r="B2071" s="2" t="s">
        <v>798</v>
      </c>
      <c r="C2071" s="2" t="s">
        <v>830</v>
      </c>
      <c r="D2071" s="2" t="s">
        <v>831</v>
      </c>
    </row>
    <row r="2072">
      <c r="A2072" s="8">
        <v>46188.196481273146</v>
      </c>
      <c r="B2072" s="2" t="s">
        <v>832</v>
      </c>
      <c r="C2072" s="2"/>
      <c r="D2072" s="2" t="s">
        <v>977</v>
      </c>
    </row>
    <row r="2073">
      <c r="A2073" s="8">
        <v>46188.19655300926</v>
      </c>
      <c r="B2073" s="2" t="s">
        <v>991</v>
      </c>
      <c r="C2073" s="2" t="s">
        <v>519</v>
      </c>
      <c r="D2073" s="2" t="s">
        <v>1016</v>
      </c>
    </row>
    <row r="2074">
      <c r="A2074" s="8">
        <v>46188.19655584491</v>
      </c>
      <c r="B2074" s="2" t="s">
        <v>991</v>
      </c>
      <c r="C2074" s="2" t="s">
        <v>534</v>
      </c>
      <c r="D2074" s="2" t="s">
        <v>1010</v>
      </c>
    </row>
    <row r="2075">
      <c r="A2075" s="8">
        <v>46188.19656207176</v>
      </c>
      <c r="B2075" s="2" t="s">
        <v>840</v>
      </c>
      <c r="C2075" s="2" t="s">
        <v>768</v>
      </c>
      <c r="D2075" s="2" t="s">
        <v>1027</v>
      </c>
    </row>
    <row r="2076">
      <c r="A2076" s="8">
        <v>46188.19656428241</v>
      </c>
      <c r="B2076" s="2" t="s">
        <v>840</v>
      </c>
      <c r="C2076" s="2" t="s">
        <v>773</v>
      </c>
      <c r="D2076" s="2" t="s">
        <v>930</v>
      </c>
    </row>
    <row r="2077">
      <c r="A2077" s="8">
        <v>46188.196566666666</v>
      </c>
      <c r="B2077" s="2" t="s">
        <v>840</v>
      </c>
      <c r="C2077" s="2" t="s">
        <v>783</v>
      </c>
      <c r="D2077" s="2" t="s">
        <v>1009</v>
      </c>
    </row>
    <row r="2078">
      <c r="A2078" s="8">
        <v>46188.19656877315</v>
      </c>
      <c r="B2078" s="2" t="s">
        <v>894</v>
      </c>
      <c r="C2078" s="2"/>
      <c r="D2078" s="2" t="s">
        <v>1017</v>
      </c>
    </row>
    <row r="2079">
      <c r="A2079" s="8">
        <v>46188.238093645836</v>
      </c>
      <c r="B2079" s="2" t="s">
        <v>838</v>
      </c>
      <c r="C2079" s="2" t="s">
        <v>792</v>
      </c>
      <c r="D2079" s="2" t="s">
        <v>1022</v>
      </c>
    </row>
    <row r="2080">
      <c r="A2080" s="8">
        <v>46188.23810171297</v>
      </c>
      <c r="B2080" s="2" t="s">
        <v>798</v>
      </c>
      <c r="C2080" s="2" t="s">
        <v>799</v>
      </c>
      <c r="D2080" s="2" t="s">
        <v>800</v>
      </c>
    </row>
    <row r="2081">
      <c r="A2081" s="8">
        <v>46188.23810445602</v>
      </c>
      <c r="B2081" s="2" t="s">
        <v>838</v>
      </c>
      <c r="C2081" s="2" t="s">
        <v>802</v>
      </c>
      <c r="D2081" s="2" t="s">
        <v>839</v>
      </c>
    </row>
    <row r="2082">
      <c r="A2082" s="8">
        <v>46188.23811126157</v>
      </c>
      <c r="B2082" s="2" t="s">
        <v>798</v>
      </c>
      <c r="C2082" s="2" t="s">
        <v>812</v>
      </c>
      <c r="D2082" s="2" t="s">
        <v>813</v>
      </c>
    </row>
    <row r="2083">
      <c r="A2083" s="8">
        <v>46188.238123449075</v>
      </c>
      <c r="B2083" s="2" t="s">
        <v>838</v>
      </c>
      <c r="C2083" s="2" t="s">
        <v>818</v>
      </c>
      <c r="D2083" s="2" t="s">
        <v>1024</v>
      </c>
    </row>
    <row r="2084">
      <c r="A2084" s="8">
        <v>46188.238125902775</v>
      </c>
      <c r="B2084" s="2" t="s">
        <v>798</v>
      </c>
      <c r="C2084" s="2" t="s">
        <v>830</v>
      </c>
      <c r="D2084" s="2" t="s">
        <v>831</v>
      </c>
    </row>
    <row r="2085">
      <c r="A2085" s="8">
        <v>46188.23812807871</v>
      </c>
      <c r="B2085" s="2" t="s">
        <v>832</v>
      </c>
      <c r="C2085" s="2"/>
      <c r="D2085" s="2" t="s">
        <v>977</v>
      </c>
    </row>
    <row r="2086">
      <c r="A2086" s="8">
        <v>46188.23818399306</v>
      </c>
      <c r="B2086" s="2" t="s">
        <v>991</v>
      </c>
      <c r="C2086" s="2" t="s">
        <v>519</v>
      </c>
      <c r="D2086" s="2" t="s">
        <v>1016</v>
      </c>
    </row>
    <row r="2087">
      <c r="A2087" s="8">
        <v>46188.23819263889</v>
      </c>
      <c r="B2087" s="2" t="s">
        <v>991</v>
      </c>
      <c r="C2087" s="2" t="s">
        <v>534</v>
      </c>
      <c r="D2087" s="2" t="s">
        <v>1010</v>
      </c>
    </row>
    <row r="2088">
      <c r="A2088" s="8">
        <v>46188.23819674768</v>
      </c>
      <c r="B2088" s="2" t="s">
        <v>840</v>
      </c>
      <c r="C2088" s="2" t="s">
        <v>768</v>
      </c>
      <c r="D2088" s="2" t="s">
        <v>1027</v>
      </c>
    </row>
    <row r="2089">
      <c r="A2089" s="8">
        <v>46188.23819859954</v>
      </c>
      <c r="B2089" s="2" t="s">
        <v>840</v>
      </c>
      <c r="C2089" s="2" t="s">
        <v>773</v>
      </c>
      <c r="D2089" s="2" t="s">
        <v>930</v>
      </c>
    </row>
    <row r="2090">
      <c r="A2090" s="8">
        <v>46188.23820060185</v>
      </c>
      <c r="B2090" s="2" t="s">
        <v>840</v>
      </c>
      <c r="C2090" s="2" t="s">
        <v>783</v>
      </c>
      <c r="D2090" s="2" t="s">
        <v>1009</v>
      </c>
    </row>
    <row r="2091">
      <c r="A2091" s="8">
        <v>46188.23820241899</v>
      </c>
      <c r="B2091" s="2" t="s">
        <v>894</v>
      </c>
      <c r="C2091" s="2"/>
      <c r="D2091" s="2" t="s">
        <v>1017</v>
      </c>
    </row>
    <row r="2092">
      <c r="A2092" s="8">
        <v>46188.27988851852</v>
      </c>
      <c r="B2092" s="2" t="s">
        <v>838</v>
      </c>
      <c r="C2092" s="2" t="s">
        <v>792</v>
      </c>
      <c r="D2092" s="2" t="s">
        <v>1022</v>
      </c>
    </row>
    <row r="2093">
      <c r="A2093" s="8">
        <v>46188.27989438658</v>
      </c>
      <c r="B2093" s="2" t="s">
        <v>798</v>
      </c>
      <c r="C2093" s="2" t="s">
        <v>799</v>
      </c>
      <c r="D2093" s="2" t="s">
        <v>800</v>
      </c>
    </row>
    <row r="2094">
      <c r="A2094" s="8">
        <v>46188.279904317125</v>
      </c>
      <c r="B2094" s="2" t="s">
        <v>838</v>
      </c>
      <c r="C2094" s="2" t="s">
        <v>802</v>
      </c>
      <c r="D2094" s="2" t="s">
        <v>839</v>
      </c>
    </row>
    <row r="2095">
      <c r="A2095" s="8">
        <v>46188.27993377315</v>
      </c>
      <c r="B2095" s="2" t="s">
        <v>798</v>
      </c>
      <c r="C2095" s="2" t="s">
        <v>812</v>
      </c>
      <c r="D2095" s="2" t="s">
        <v>813</v>
      </c>
    </row>
    <row r="2096">
      <c r="A2096" s="8">
        <v>46188.279938576394</v>
      </c>
      <c r="B2096" s="2" t="s">
        <v>838</v>
      </c>
      <c r="C2096" s="2" t="s">
        <v>818</v>
      </c>
      <c r="D2096" s="2" t="s">
        <v>1024</v>
      </c>
    </row>
    <row r="2097">
      <c r="A2097" s="8">
        <v>46188.27994650463</v>
      </c>
      <c r="B2097" s="2" t="s">
        <v>798</v>
      </c>
      <c r="C2097" s="2" t="s">
        <v>830</v>
      </c>
      <c r="D2097" s="2" t="s">
        <v>831</v>
      </c>
    </row>
    <row r="2098">
      <c r="A2098" s="8">
        <v>46188.27995401621</v>
      </c>
      <c r="B2098" s="2" t="s">
        <v>832</v>
      </c>
      <c r="C2098" s="2"/>
      <c r="D2098" s="2" t="s">
        <v>977</v>
      </c>
    </row>
    <row r="2099">
      <c r="A2099" s="8">
        <v>46188.28007315972</v>
      </c>
      <c r="B2099" s="2" t="s">
        <v>991</v>
      </c>
      <c r="C2099" s="2" t="s">
        <v>519</v>
      </c>
      <c r="D2099" s="2" t="s">
        <v>1016</v>
      </c>
    </row>
    <row r="2100">
      <c r="A2100" s="8">
        <v>46188.2801380787</v>
      </c>
      <c r="B2100" s="2" t="s">
        <v>991</v>
      </c>
      <c r="C2100" s="2" t="s">
        <v>534</v>
      </c>
      <c r="D2100" s="2" t="s">
        <v>1010</v>
      </c>
    </row>
    <row r="2101">
      <c r="A2101" s="8">
        <v>46188.28015508102</v>
      </c>
      <c r="B2101" s="2" t="s">
        <v>840</v>
      </c>
      <c r="C2101" s="2" t="s">
        <v>768</v>
      </c>
      <c r="D2101" s="2" t="s">
        <v>1027</v>
      </c>
    </row>
    <row r="2102">
      <c r="A2102" s="8">
        <v>46188.28016210649</v>
      </c>
      <c r="B2102" s="2" t="s">
        <v>840</v>
      </c>
      <c r="C2102" s="2" t="s">
        <v>773</v>
      </c>
      <c r="D2102" s="2" t="s">
        <v>930</v>
      </c>
    </row>
    <row r="2103">
      <c r="A2103" s="8">
        <v>46188.28016543981</v>
      </c>
      <c r="B2103" s="2" t="s">
        <v>840</v>
      </c>
      <c r="C2103" s="2" t="s">
        <v>783</v>
      </c>
      <c r="D2103" s="2" t="s">
        <v>1009</v>
      </c>
    </row>
    <row r="2104">
      <c r="A2104" s="8">
        <v>46188.280169826394</v>
      </c>
      <c r="B2104" s="2" t="s">
        <v>894</v>
      </c>
      <c r="C2104" s="2"/>
      <c r="D2104" s="2" t="s">
        <v>1017</v>
      </c>
    </row>
    <row r="2105">
      <c r="A2105" s="8">
        <v>46188.321505381944</v>
      </c>
      <c r="B2105" s="2" t="s">
        <v>838</v>
      </c>
      <c r="C2105" s="2" t="s">
        <v>792</v>
      </c>
      <c r="D2105" s="2" t="s">
        <v>1022</v>
      </c>
    </row>
    <row r="2106">
      <c r="A2106" s="8">
        <v>46188.32152438657</v>
      </c>
      <c r="B2106" s="2" t="s">
        <v>798</v>
      </c>
      <c r="C2106" s="2" t="s">
        <v>799</v>
      </c>
      <c r="D2106" s="2" t="s">
        <v>800</v>
      </c>
    </row>
    <row r="2107">
      <c r="A2107" s="8">
        <v>46188.321539791665</v>
      </c>
      <c r="B2107" s="2" t="s">
        <v>838</v>
      </c>
      <c r="C2107" s="2" t="s">
        <v>802</v>
      </c>
      <c r="D2107" s="2" t="s">
        <v>839</v>
      </c>
    </row>
    <row r="2108">
      <c r="A2108" s="8">
        <v>46188.32155140046</v>
      </c>
      <c r="B2108" s="2" t="s">
        <v>798</v>
      </c>
      <c r="C2108" s="2" t="s">
        <v>812</v>
      </c>
      <c r="D2108" s="2" t="s">
        <v>813</v>
      </c>
    </row>
    <row r="2109">
      <c r="A2109" s="8">
        <v>46188.32157591435</v>
      </c>
      <c r="B2109" s="2" t="s">
        <v>838</v>
      </c>
      <c r="C2109" s="2" t="s">
        <v>818</v>
      </c>
      <c r="D2109" s="2" t="s">
        <v>1024</v>
      </c>
    </row>
    <row r="2110">
      <c r="A2110" s="8">
        <v>46188.32158844908</v>
      </c>
      <c r="B2110" s="2" t="s">
        <v>798</v>
      </c>
      <c r="C2110" s="2" t="s">
        <v>830</v>
      </c>
      <c r="D2110" s="2" t="s">
        <v>831</v>
      </c>
    </row>
    <row r="2111">
      <c r="A2111" s="8">
        <v>46188.32160440972</v>
      </c>
      <c r="B2111" s="2" t="s">
        <v>832</v>
      </c>
      <c r="C2111" s="2"/>
      <c r="D2111" s="2" t="s">
        <v>977</v>
      </c>
    </row>
    <row r="2112">
      <c r="A2112" s="8">
        <v>46188.32173060185</v>
      </c>
      <c r="B2112" s="2" t="s">
        <v>844</v>
      </c>
      <c r="C2112" s="2" t="s">
        <v>503</v>
      </c>
      <c r="D2112" s="2" t="s">
        <v>1031</v>
      </c>
    </row>
    <row r="2113">
      <c r="A2113" s="8">
        <v>46188.32175840277</v>
      </c>
      <c r="B2113" s="2" t="s">
        <v>991</v>
      </c>
      <c r="C2113" s="2" t="s">
        <v>519</v>
      </c>
      <c r="D2113" s="2" t="s">
        <v>1016</v>
      </c>
    </row>
    <row r="2114">
      <c r="A2114" s="8">
        <v>46188.321770104165</v>
      </c>
      <c r="B2114" s="2" t="s">
        <v>991</v>
      </c>
      <c r="C2114" s="2" t="s">
        <v>534</v>
      </c>
      <c r="D2114" s="2" t="s">
        <v>1010</v>
      </c>
    </row>
    <row r="2115">
      <c r="A2115" s="8">
        <v>46188.321777627316</v>
      </c>
      <c r="B2115" s="2" t="s">
        <v>840</v>
      </c>
      <c r="C2115" s="2" t="s">
        <v>768</v>
      </c>
      <c r="D2115" s="2" t="s">
        <v>1027</v>
      </c>
    </row>
    <row r="2116">
      <c r="A2116" s="8">
        <v>46188.32178524305</v>
      </c>
      <c r="B2116" s="2" t="s">
        <v>840</v>
      </c>
      <c r="C2116" s="2" t="s">
        <v>773</v>
      </c>
      <c r="D2116" s="2" t="s">
        <v>930</v>
      </c>
    </row>
    <row r="2117">
      <c r="A2117" s="8">
        <v>46188.32179673611</v>
      </c>
      <c r="B2117" s="2" t="s">
        <v>840</v>
      </c>
      <c r="C2117" s="2" t="s">
        <v>783</v>
      </c>
      <c r="D2117" s="2" t="s">
        <v>1009</v>
      </c>
    </row>
    <row r="2118">
      <c r="A2118" s="8">
        <v>46188.32180755787</v>
      </c>
      <c r="B2118" s="2" t="s">
        <v>894</v>
      </c>
      <c r="C2118" s="2"/>
      <c r="D2118" s="2" t="s">
        <v>1028</v>
      </c>
    </row>
    <row r="2119">
      <c r="A2119" s="8">
        <v>46188.36315409723</v>
      </c>
      <c r="B2119" s="2" t="s">
        <v>838</v>
      </c>
      <c r="C2119" s="2" t="s">
        <v>792</v>
      </c>
      <c r="D2119" s="2" t="s">
        <v>1022</v>
      </c>
    </row>
    <row r="2120">
      <c r="A2120" s="8">
        <v>46188.36315872685</v>
      </c>
      <c r="B2120" s="2" t="s">
        <v>798</v>
      </c>
      <c r="C2120" s="2" t="s">
        <v>799</v>
      </c>
      <c r="D2120" s="2" t="s">
        <v>800</v>
      </c>
    </row>
    <row r="2121">
      <c r="A2121" s="8">
        <v>46188.36316127315</v>
      </c>
      <c r="B2121" s="2" t="s">
        <v>838</v>
      </c>
      <c r="C2121" s="2" t="s">
        <v>802</v>
      </c>
      <c r="D2121" s="2" t="s">
        <v>839</v>
      </c>
    </row>
    <row r="2122">
      <c r="A2122" s="8">
        <v>46188.363173935184</v>
      </c>
      <c r="B2122" s="2" t="s">
        <v>991</v>
      </c>
      <c r="C2122" s="2" t="s">
        <v>810</v>
      </c>
      <c r="D2122" s="2" t="s">
        <v>1032</v>
      </c>
    </row>
    <row r="2123">
      <c r="A2123" s="8">
        <v>46188.36318030093</v>
      </c>
      <c r="B2123" s="2" t="s">
        <v>798</v>
      </c>
      <c r="C2123" s="2" t="s">
        <v>812</v>
      </c>
      <c r="D2123" s="2" t="s">
        <v>813</v>
      </c>
    </row>
    <row r="2124">
      <c r="A2124" s="8">
        <v>46188.363187615745</v>
      </c>
      <c r="B2124" s="2" t="s">
        <v>838</v>
      </c>
      <c r="C2124" s="2" t="s">
        <v>818</v>
      </c>
      <c r="D2124" s="2" t="s">
        <v>1024</v>
      </c>
    </row>
    <row r="2125">
      <c r="A2125" s="8">
        <v>46188.36319238426</v>
      </c>
      <c r="B2125" s="2" t="s">
        <v>798</v>
      </c>
      <c r="C2125" s="2" t="s">
        <v>830</v>
      </c>
      <c r="D2125" s="2" t="s">
        <v>831</v>
      </c>
    </row>
    <row r="2126">
      <c r="A2126" s="8">
        <v>46188.36319440972</v>
      </c>
      <c r="B2126" s="2" t="s">
        <v>832</v>
      </c>
      <c r="C2126" s="2"/>
      <c r="D2126" s="2" t="s">
        <v>961</v>
      </c>
    </row>
    <row r="2127">
      <c r="A2127" s="8">
        <v>46188.36331049768</v>
      </c>
      <c r="B2127" s="2" t="s">
        <v>844</v>
      </c>
      <c r="C2127" s="2" t="s">
        <v>503</v>
      </c>
      <c r="D2127" s="2" t="s">
        <v>1033</v>
      </c>
    </row>
    <row r="2128">
      <c r="A2128" s="8">
        <v>46188.36331956019</v>
      </c>
      <c r="B2128" s="2" t="s">
        <v>991</v>
      </c>
      <c r="C2128" s="2" t="s">
        <v>519</v>
      </c>
      <c r="D2128" s="2" t="s">
        <v>1016</v>
      </c>
    </row>
    <row r="2129">
      <c r="A2129" s="8">
        <v>46188.36332671296</v>
      </c>
      <c r="B2129" s="2" t="s">
        <v>991</v>
      </c>
      <c r="C2129" s="2" t="s">
        <v>534</v>
      </c>
      <c r="D2129" s="2" t="s">
        <v>1010</v>
      </c>
    </row>
    <row r="2130">
      <c r="A2130" s="8">
        <v>46188.36334303241</v>
      </c>
      <c r="B2130" s="2" t="s">
        <v>840</v>
      </c>
      <c r="C2130" s="2" t="s">
        <v>768</v>
      </c>
      <c r="D2130" s="2" t="s">
        <v>1027</v>
      </c>
    </row>
    <row r="2131">
      <c r="A2131" s="8">
        <v>46188.363348125</v>
      </c>
      <c r="B2131" s="2" t="s">
        <v>840</v>
      </c>
      <c r="C2131" s="2" t="s">
        <v>773</v>
      </c>
      <c r="D2131" s="2" t="s">
        <v>930</v>
      </c>
    </row>
    <row r="2132">
      <c r="A2132" s="8">
        <v>46188.363350844906</v>
      </c>
      <c r="B2132" s="2" t="s">
        <v>840</v>
      </c>
      <c r="C2132" s="2" t="s">
        <v>783</v>
      </c>
      <c r="D2132" s="2" t="s">
        <v>1009</v>
      </c>
    </row>
    <row r="2133">
      <c r="A2133" s="8">
        <v>46188.363353252316</v>
      </c>
      <c r="B2133" s="2" t="s">
        <v>894</v>
      </c>
      <c r="C2133" s="2"/>
      <c r="D2133" s="2" t="s">
        <v>1028</v>
      </c>
    </row>
    <row r="2134">
      <c r="A2134" s="8">
        <v>46188.40481627315</v>
      </c>
      <c r="B2134" s="2" t="s">
        <v>838</v>
      </c>
      <c r="C2134" s="2" t="s">
        <v>792</v>
      </c>
      <c r="D2134" s="2" t="s">
        <v>1022</v>
      </c>
    </row>
    <row r="2135">
      <c r="A2135" s="8">
        <v>46188.40482012731</v>
      </c>
      <c r="B2135" s="2" t="s">
        <v>798</v>
      </c>
      <c r="C2135" s="2" t="s">
        <v>799</v>
      </c>
      <c r="D2135" s="2" t="s">
        <v>800</v>
      </c>
    </row>
    <row r="2136">
      <c r="A2136" s="8">
        <v>46188.40482430556</v>
      </c>
      <c r="B2136" s="2" t="s">
        <v>838</v>
      </c>
      <c r="C2136" s="2" t="s">
        <v>802</v>
      </c>
      <c r="D2136" s="2" t="s">
        <v>839</v>
      </c>
    </row>
    <row r="2137">
      <c r="A2137" s="8">
        <v>46188.404855347224</v>
      </c>
      <c r="B2137" s="2" t="s">
        <v>844</v>
      </c>
      <c r="C2137" s="2" t="s">
        <v>848</v>
      </c>
      <c r="D2137" s="2" t="s">
        <v>1025</v>
      </c>
    </row>
    <row r="2138">
      <c r="A2138" s="8">
        <v>46188.40486418981</v>
      </c>
      <c r="B2138" s="2" t="s">
        <v>798</v>
      </c>
      <c r="C2138" s="2" t="s">
        <v>812</v>
      </c>
      <c r="D2138" s="2" t="s">
        <v>813</v>
      </c>
    </row>
    <row r="2139">
      <c r="A2139" s="8">
        <v>46188.404868240745</v>
      </c>
      <c r="B2139" s="2" t="s">
        <v>838</v>
      </c>
      <c r="C2139" s="2" t="s">
        <v>818</v>
      </c>
      <c r="D2139" s="2" t="s">
        <v>1024</v>
      </c>
    </row>
    <row r="2140">
      <c r="A2140" s="8">
        <v>46188.40487246528</v>
      </c>
      <c r="B2140" s="2" t="s">
        <v>798</v>
      </c>
      <c r="C2140" s="2" t="s">
        <v>830</v>
      </c>
      <c r="D2140" s="2" t="s">
        <v>831</v>
      </c>
    </row>
    <row r="2141">
      <c r="A2141" s="8">
        <v>46188.404878761576</v>
      </c>
      <c r="B2141" s="2" t="s">
        <v>832</v>
      </c>
      <c r="C2141" s="2"/>
      <c r="D2141" s="2" t="s">
        <v>997</v>
      </c>
    </row>
    <row r="2142">
      <c r="A2142" s="8">
        <v>46188.40495458333</v>
      </c>
      <c r="B2142" s="2" t="s">
        <v>991</v>
      </c>
      <c r="C2142" s="2" t="s">
        <v>519</v>
      </c>
      <c r="D2142" s="2" t="s">
        <v>1016</v>
      </c>
    </row>
    <row r="2143">
      <c r="A2143" s="8">
        <v>46188.404959259264</v>
      </c>
      <c r="B2143" s="2" t="s">
        <v>991</v>
      </c>
      <c r="C2143" s="2" t="s">
        <v>534</v>
      </c>
      <c r="D2143" s="2" t="s">
        <v>1010</v>
      </c>
    </row>
    <row r="2144">
      <c r="A2144" s="8">
        <v>46188.404964305555</v>
      </c>
      <c r="B2144" s="2" t="s">
        <v>840</v>
      </c>
      <c r="C2144" s="2" t="s">
        <v>768</v>
      </c>
      <c r="D2144" s="2" t="s">
        <v>1027</v>
      </c>
    </row>
    <row r="2145">
      <c r="A2145" s="8">
        <v>46188.40496756944</v>
      </c>
      <c r="B2145" s="2" t="s">
        <v>840</v>
      </c>
      <c r="C2145" s="2" t="s">
        <v>773</v>
      </c>
      <c r="D2145" s="2" t="s">
        <v>930</v>
      </c>
    </row>
    <row r="2146">
      <c r="A2146" s="8">
        <v>46188.404971701384</v>
      </c>
      <c r="B2146" s="2" t="s">
        <v>840</v>
      </c>
      <c r="C2146" s="2" t="s">
        <v>783</v>
      </c>
      <c r="D2146" s="2" t="s">
        <v>1009</v>
      </c>
    </row>
    <row r="2147">
      <c r="A2147" s="8">
        <v>46188.404974641206</v>
      </c>
      <c r="B2147" s="2" t="s">
        <v>894</v>
      </c>
      <c r="C2147" s="2"/>
      <c r="D2147" s="2" t="s">
        <v>1017</v>
      </c>
    </row>
    <row r="2148">
      <c r="A2148" s="8">
        <v>46188.4464609375</v>
      </c>
      <c r="B2148" s="2" t="s">
        <v>838</v>
      </c>
      <c r="C2148" s="2" t="s">
        <v>792</v>
      </c>
      <c r="D2148" s="2" t="s">
        <v>1022</v>
      </c>
    </row>
    <row r="2149">
      <c r="A2149" s="8">
        <v>46188.4464768287</v>
      </c>
      <c r="B2149" s="2" t="s">
        <v>798</v>
      </c>
      <c r="C2149" s="2" t="s">
        <v>799</v>
      </c>
      <c r="D2149" s="2" t="s">
        <v>800</v>
      </c>
    </row>
    <row r="2150">
      <c r="A2150" s="8">
        <v>46188.44648225694</v>
      </c>
      <c r="B2150" s="2" t="s">
        <v>838</v>
      </c>
      <c r="C2150" s="2" t="s">
        <v>802</v>
      </c>
      <c r="D2150" s="2" t="s">
        <v>839</v>
      </c>
    </row>
    <row r="2151">
      <c r="A2151" s="8">
        <v>46188.446496585646</v>
      </c>
      <c r="B2151" s="2" t="s">
        <v>798</v>
      </c>
      <c r="C2151" s="2" t="s">
        <v>812</v>
      </c>
      <c r="D2151" s="2" t="s">
        <v>813</v>
      </c>
    </row>
    <row r="2152">
      <c r="A2152" s="8">
        <v>46188.44649993056</v>
      </c>
      <c r="B2152" s="2" t="s">
        <v>838</v>
      </c>
      <c r="C2152" s="2" t="s">
        <v>818</v>
      </c>
      <c r="D2152" s="2" t="s">
        <v>1024</v>
      </c>
    </row>
    <row r="2153">
      <c r="A2153" s="8">
        <v>46188.446504884254</v>
      </c>
      <c r="B2153" s="2" t="s">
        <v>798</v>
      </c>
      <c r="C2153" s="2" t="s">
        <v>830</v>
      </c>
      <c r="D2153" s="2" t="s">
        <v>831</v>
      </c>
    </row>
    <row r="2154">
      <c r="A2154" s="8">
        <v>46188.44650832176</v>
      </c>
      <c r="B2154" s="2" t="s">
        <v>832</v>
      </c>
      <c r="C2154" s="2"/>
      <c r="D2154" s="2" t="s">
        <v>977</v>
      </c>
    </row>
    <row r="2155">
      <c r="A2155" s="8">
        <v>46188.44658591435</v>
      </c>
      <c r="B2155" s="2" t="s">
        <v>991</v>
      </c>
      <c r="C2155" s="2" t="s">
        <v>519</v>
      </c>
      <c r="D2155" s="2" t="s">
        <v>1016</v>
      </c>
    </row>
    <row r="2156">
      <c r="A2156" s="8">
        <v>46188.4465928125</v>
      </c>
      <c r="B2156" s="2" t="s">
        <v>991</v>
      </c>
      <c r="C2156" s="2" t="s">
        <v>534</v>
      </c>
      <c r="D2156" s="2" t="s">
        <v>1010</v>
      </c>
    </row>
    <row r="2157">
      <c r="A2157" s="8">
        <v>46188.4465997338</v>
      </c>
      <c r="B2157" s="2" t="s">
        <v>840</v>
      </c>
      <c r="C2157" s="2" t="s">
        <v>768</v>
      </c>
      <c r="D2157" s="2" t="s">
        <v>1027</v>
      </c>
    </row>
    <row r="2158">
      <c r="A2158" s="8">
        <v>46188.44660925926</v>
      </c>
      <c r="B2158" s="2" t="s">
        <v>840</v>
      </c>
      <c r="C2158" s="2" t="s">
        <v>773</v>
      </c>
      <c r="D2158" s="2" t="s">
        <v>930</v>
      </c>
    </row>
    <row r="2159">
      <c r="A2159" s="8">
        <v>46188.44661244213</v>
      </c>
      <c r="B2159" s="2" t="s">
        <v>840</v>
      </c>
      <c r="C2159" s="2" t="s">
        <v>783</v>
      </c>
      <c r="D2159" s="2" t="s">
        <v>1009</v>
      </c>
    </row>
    <row r="2160">
      <c r="A2160" s="8">
        <v>46188.44661596065</v>
      </c>
      <c r="B2160" s="2" t="s">
        <v>894</v>
      </c>
      <c r="C2160" s="2"/>
      <c r="D2160" s="2" t="s">
        <v>1017</v>
      </c>
    </row>
    <row r="2161">
      <c r="A2161" s="8">
        <v>46188.48810805556</v>
      </c>
      <c r="B2161" s="2" t="s">
        <v>838</v>
      </c>
      <c r="C2161" s="2" t="s">
        <v>792</v>
      </c>
      <c r="D2161" s="2" t="s">
        <v>1022</v>
      </c>
    </row>
    <row r="2162">
      <c r="A2162" s="8">
        <v>46188.48811348379</v>
      </c>
      <c r="B2162" s="2" t="s">
        <v>798</v>
      </c>
      <c r="C2162" s="2" t="s">
        <v>799</v>
      </c>
      <c r="D2162" s="2" t="s">
        <v>800</v>
      </c>
    </row>
    <row r="2163">
      <c r="A2163" s="8">
        <v>46188.488115949076</v>
      </c>
      <c r="B2163" s="2" t="s">
        <v>838</v>
      </c>
      <c r="C2163" s="2" t="s">
        <v>802</v>
      </c>
      <c r="D2163" s="2" t="s">
        <v>839</v>
      </c>
    </row>
    <row r="2164">
      <c r="A2164" s="8">
        <v>46188.488136238426</v>
      </c>
      <c r="B2164" s="2" t="s">
        <v>798</v>
      </c>
      <c r="C2164" s="2" t="s">
        <v>812</v>
      </c>
      <c r="D2164" s="2" t="s">
        <v>813</v>
      </c>
    </row>
    <row r="2165">
      <c r="A2165" s="8">
        <v>46188.48813899305</v>
      </c>
      <c r="B2165" s="2" t="s">
        <v>838</v>
      </c>
      <c r="C2165" s="2" t="s">
        <v>818</v>
      </c>
      <c r="D2165" s="2" t="s">
        <v>1024</v>
      </c>
    </row>
    <row r="2166">
      <c r="A2166" s="8">
        <v>46188.488141574075</v>
      </c>
      <c r="B2166" s="2" t="s">
        <v>798</v>
      </c>
      <c r="C2166" s="2" t="s">
        <v>830</v>
      </c>
      <c r="D2166" s="2" t="s">
        <v>831</v>
      </c>
    </row>
    <row r="2167">
      <c r="A2167" s="8">
        <v>46188.4881459375</v>
      </c>
      <c r="B2167" s="2" t="s">
        <v>832</v>
      </c>
      <c r="C2167" s="2"/>
      <c r="D2167" s="2" t="s">
        <v>977</v>
      </c>
    </row>
    <row r="2168">
      <c r="A2168" s="8">
        <v>46188.48820666666</v>
      </c>
      <c r="B2168" s="2" t="s">
        <v>991</v>
      </c>
      <c r="C2168" s="2" t="s">
        <v>519</v>
      </c>
      <c r="D2168" s="2" t="s">
        <v>1016</v>
      </c>
    </row>
    <row r="2169">
      <c r="A2169" s="8">
        <v>46188.48820910879</v>
      </c>
      <c r="B2169" s="2" t="s">
        <v>991</v>
      </c>
      <c r="C2169" s="2" t="s">
        <v>534</v>
      </c>
      <c r="D2169" s="2" t="s">
        <v>1010</v>
      </c>
    </row>
    <row r="2170">
      <c r="A2170" s="8">
        <v>46188.48821221065</v>
      </c>
      <c r="B2170" s="2" t="s">
        <v>840</v>
      </c>
      <c r="C2170" s="2" t="s">
        <v>768</v>
      </c>
      <c r="D2170" s="2" t="s">
        <v>1027</v>
      </c>
    </row>
    <row r="2171">
      <c r="A2171" s="8">
        <v>46188.488214375</v>
      </c>
      <c r="B2171" s="2" t="s">
        <v>840</v>
      </c>
      <c r="C2171" s="2" t="s">
        <v>773</v>
      </c>
      <c r="D2171" s="2" t="s">
        <v>930</v>
      </c>
    </row>
    <row r="2172">
      <c r="A2172" s="8">
        <v>46188.4882165625</v>
      </c>
      <c r="B2172" s="2" t="s">
        <v>840</v>
      </c>
      <c r="C2172" s="2" t="s">
        <v>783</v>
      </c>
      <c r="D2172" s="2" t="s">
        <v>1009</v>
      </c>
    </row>
    <row r="2173">
      <c r="A2173" s="8">
        <v>46188.48821858796</v>
      </c>
      <c r="B2173" s="2" t="s">
        <v>894</v>
      </c>
      <c r="C2173" s="2"/>
      <c r="D2173" s="2" t="s">
        <v>1017</v>
      </c>
    </row>
    <row r="2174">
      <c r="A2174" s="8">
        <v>46188.529772256945</v>
      </c>
      <c r="B2174" s="2" t="s">
        <v>838</v>
      </c>
      <c r="C2174" s="2" t="s">
        <v>792</v>
      </c>
      <c r="D2174" s="2" t="s">
        <v>1022</v>
      </c>
    </row>
    <row r="2175">
      <c r="A2175" s="8">
        <v>46188.529776400464</v>
      </c>
      <c r="B2175" s="2" t="s">
        <v>798</v>
      </c>
      <c r="C2175" s="2" t="s">
        <v>799</v>
      </c>
      <c r="D2175" s="2" t="s">
        <v>800</v>
      </c>
    </row>
    <row r="2176">
      <c r="A2176" s="8">
        <v>46188.52977961805</v>
      </c>
      <c r="B2176" s="2" t="s">
        <v>838</v>
      </c>
      <c r="C2176" s="2" t="s">
        <v>802</v>
      </c>
      <c r="D2176" s="2" t="s">
        <v>839</v>
      </c>
    </row>
    <row r="2177">
      <c r="A2177" s="8">
        <v>46188.52979488426</v>
      </c>
      <c r="B2177" s="2" t="s">
        <v>798</v>
      </c>
      <c r="C2177" s="2" t="s">
        <v>812</v>
      </c>
      <c r="D2177" s="2" t="s">
        <v>813</v>
      </c>
    </row>
    <row r="2178">
      <c r="A2178" s="8">
        <v>46188.52979918981</v>
      </c>
      <c r="B2178" s="2" t="s">
        <v>838</v>
      </c>
      <c r="C2178" s="2" t="s">
        <v>818</v>
      </c>
      <c r="D2178" s="2" t="s">
        <v>1024</v>
      </c>
    </row>
    <row r="2179">
      <c r="A2179" s="8">
        <v>46188.529803275465</v>
      </c>
      <c r="B2179" s="2" t="s">
        <v>798</v>
      </c>
      <c r="C2179" s="2" t="s">
        <v>830</v>
      </c>
      <c r="D2179" s="2" t="s">
        <v>831</v>
      </c>
    </row>
    <row r="2180">
      <c r="A2180" s="8">
        <v>46188.529806342594</v>
      </c>
      <c r="B2180" s="2" t="s">
        <v>832</v>
      </c>
      <c r="C2180" s="2"/>
      <c r="D2180" s="2" t="s">
        <v>977</v>
      </c>
    </row>
    <row r="2181">
      <c r="A2181" s="8">
        <v>46188.52987453704</v>
      </c>
      <c r="B2181" s="2" t="s">
        <v>991</v>
      </c>
      <c r="C2181" s="2" t="s">
        <v>519</v>
      </c>
      <c r="D2181" s="2" t="s">
        <v>1016</v>
      </c>
    </row>
    <row r="2182">
      <c r="A2182" s="8">
        <v>46188.52987798611</v>
      </c>
      <c r="B2182" s="2" t="s">
        <v>991</v>
      </c>
      <c r="C2182" s="2" t="s">
        <v>534</v>
      </c>
      <c r="D2182" s="2" t="s">
        <v>1010</v>
      </c>
    </row>
    <row r="2183">
      <c r="A2183" s="8">
        <v>46188.529883125</v>
      </c>
      <c r="B2183" s="2" t="s">
        <v>840</v>
      </c>
      <c r="C2183" s="2" t="s">
        <v>768</v>
      </c>
      <c r="D2183" s="2" t="s">
        <v>1027</v>
      </c>
    </row>
    <row r="2184">
      <c r="A2184" s="8">
        <v>46188.529885752316</v>
      </c>
      <c r="B2184" s="2" t="s">
        <v>840</v>
      </c>
      <c r="C2184" s="2" t="s">
        <v>773</v>
      </c>
      <c r="D2184" s="2" t="s">
        <v>930</v>
      </c>
    </row>
    <row r="2185">
      <c r="A2185" s="8">
        <v>46188.52988855324</v>
      </c>
      <c r="B2185" s="2" t="s">
        <v>840</v>
      </c>
      <c r="C2185" s="2" t="s">
        <v>783</v>
      </c>
      <c r="D2185" s="2" t="s">
        <v>1009</v>
      </c>
    </row>
    <row r="2186">
      <c r="A2186" s="8">
        <v>46188.52990603009</v>
      </c>
      <c r="B2186" s="2" t="s">
        <v>894</v>
      </c>
      <c r="C2186" s="2"/>
      <c r="D2186" s="2" t="s">
        <v>1017</v>
      </c>
    </row>
    <row r="2187">
      <c r="A2187" s="8">
        <v>46188.57154167824</v>
      </c>
      <c r="B2187" s="2" t="s">
        <v>838</v>
      </c>
      <c r="C2187" s="2" t="s">
        <v>792</v>
      </c>
      <c r="D2187" s="2" t="s">
        <v>1022</v>
      </c>
    </row>
    <row r="2188">
      <c r="A2188" s="8">
        <v>46188.57154684028</v>
      </c>
      <c r="B2188" s="2" t="s">
        <v>798</v>
      </c>
      <c r="C2188" s="2" t="s">
        <v>799</v>
      </c>
      <c r="D2188" s="2" t="s">
        <v>800</v>
      </c>
    </row>
    <row r="2189">
      <c r="A2189" s="8">
        <v>46188.57155127315</v>
      </c>
      <c r="B2189" s="2" t="s">
        <v>838</v>
      </c>
      <c r="C2189" s="2" t="s">
        <v>802</v>
      </c>
      <c r="D2189" s="2" t="s">
        <v>839</v>
      </c>
    </row>
    <row r="2190">
      <c r="A2190" s="8">
        <v>46188.57156858796</v>
      </c>
      <c r="B2190" s="2" t="s">
        <v>798</v>
      </c>
      <c r="C2190" s="2" t="s">
        <v>812</v>
      </c>
      <c r="D2190" s="2" t="s">
        <v>813</v>
      </c>
    </row>
    <row r="2191">
      <c r="A2191" s="8">
        <v>46188.57157804398</v>
      </c>
      <c r="B2191" s="2" t="s">
        <v>838</v>
      </c>
      <c r="C2191" s="2" t="s">
        <v>818</v>
      </c>
      <c r="D2191" s="2" t="s">
        <v>1024</v>
      </c>
    </row>
    <row r="2192">
      <c r="A2192" s="8">
        <v>46188.57158555556</v>
      </c>
      <c r="B2192" s="2" t="s">
        <v>798</v>
      </c>
      <c r="C2192" s="2" t="s">
        <v>830</v>
      </c>
      <c r="D2192" s="2" t="s">
        <v>831</v>
      </c>
    </row>
    <row r="2193">
      <c r="A2193" s="8">
        <v>46188.57159259259</v>
      </c>
      <c r="B2193" s="2" t="s">
        <v>832</v>
      </c>
      <c r="C2193" s="2"/>
      <c r="D2193" s="2" t="s">
        <v>977</v>
      </c>
    </row>
    <row r="2194">
      <c r="A2194" s="8">
        <v>46188.5716981713</v>
      </c>
      <c r="B2194" s="2" t="s">
        <v>991</v>
      </c>
      <c r="C2194" s="2" t="s">
        <v>519</v>
      </c>
      <c r="D2194" s="2" t="s">
        <v>1016</v>
      </c>
    </row>
    <row r="2195">
      <c r="A2195" s="8">
        <v>46188.57170417824</v>
      </c>
      <c r="B2195" s="2" t="s">
        <v>991</v>
      </c>
      <c r="C2195" s="2" t="s">
        <v>534</v>
      </c>
      <c r="D2195" s="2" t="s">
        <v>1010</v>
      </c>
    </row>
    <row r="2196">
      <c r="A2196" s="8">
        <v>46188.57171232639</v>
      </c>
      <c r="B2196" s="2" t="s">
        <v>840</v>
      </c>
      <c r="C2196" s="2" t="s">
        <v>768</v>
      </c>
      <c r="D2196" s="2" t="s">
        <v>1027</v>
      </c>
    </row>
    <row r="2197">
      <c r="A2197" s="8">
        <v>46188.57171914352</v>
      </c>
      <c r="B2197" s="2" t="s">
        <v>840</v>
      </c>
      <c r="C2197" s="2" t="s">
        <v>773</v>
      </c>
      <c r="D2197" s="2" t="s">
        <v>930</v>
      </c>
    </row>
    <row r="2198">
      <c r="A2198" s="8">
        <v>46188.57172260417</v>
      </c>
      <c r="B2198" s="2" t="s">
        <v>840</v>
      </c>
      <c r="C2198" s="2" t="s">
        <v>783</v>
      </c>
      <c r="D2198" s="2" t="s">
        <v>1009</v>
      </c>
    </row>
    <row r="2199">
      <c r="A2199" s="8">
        <v>46188.57173056713</v>
      </c>
      <c r="B2199" s="2" t="s">
        <v>894</v>
      </c>
      <c r="C2199" s="2"/>
      <c r="D2199" s="2" t="s">
        <v>1017</v>
      </c>
    </row>
    <row r="2200">
      <c r="A2200" s="8">
        <v>46188.61311158565</v>
      </c>
      <c r="B2200" s="2" t="s">
        <v>838</v>
      </c>
      <c r="C2200" s="2" t="s">
        <v>792</v>
      </c>
      <c r="D2200" s="2" t="s">
        <v>1022</v>
      </c>
    </row>
    <row r="2201">
      <c r="A2201" s="8">
        <v>46188.61312138889</v>
      </c>
      <c r="B2201" s="2" t="s">
        <v>844</v>
      </c>
      <c r="C2201" s="2" t="s">
        <v>796</v>
      </c>
      <c r="D2201" s="2" t="s">
        <v>860</v>
      </c>
    </row>
    <row r="2202">
      <c r="A2202" s="8">
        <v>46188.61312728009</v>
      </c>
      <c r="B2202" s="2" t="s">
        <v>798</v>
      </c>
      <c r="C2202" s="2" t="s">
        <v>799</v>
      </c>
      <c r="D2202" s="2" t="s">
        <v>800</v>
      </c>
    </row>
    <row r="2203">
      <c r="A2203" s="8">
        <v>46188.61313063657</v>
      </c>
      <c r="B2203" s="2" t="s">
        <v>838</v>
      </c>
      <c r="C2203" s="2" t="s">
        <v>802</v>
      </c>
      <c r="D2203" s="2" t="s">
        <v>839</v>
      </c>
    </row>
    <row r="2204">
      <c r="A2204" s="8">
        <v>46188.61313790509</v>
      </c>
      <c r="B2204" s="2" t="s">
        <v>798</v>
      </c>
      <c r="C2204" s="2" t="s">
        <v>812</v>
      </c>
      <c r="D2204" s="2" t="s">
        <v>813</v>
      </c>
    </row>
    <row r="2205">
      <c r="A2205" s="8">
        <v>46188.613142685186</v>
      </c>
      <c r="B2205" s="2" t="s">
        <v>838</v>
      </c>
      <c r="C2205" s="2" t="s">
        <v>818</v>
      </c>
      <c r="D2205" s="2" t="s">
        <v>1024</v>
      </c>
    </row>
    <row r="2206">
      <c r="A2206" s="8">
        <v>46188.613147615746</v>
      </c>
      <c r="B2206" s="2" t="s">
        <v>798</v>
      </c>
      <c r="C2206" s="2" t="s">
        <v>830</v>
      </c>
      <c r="D2206" s="2" t="s">
        <v>831</v>
      </c>
    </row>
    <row r="2207">
      <c r="A2207" s="8">
        <v>46188.61316800926</v>
      </c>
      <c r="B2207" s="2" t="s">
        <v>832</v>
      </c>
      <c r="C2207" s="2"/>
      <c r="D2207" s="2" t="s">
        <v>997</v>
      </c>
    </row>
    <row r="2208">
      <c r="A2208" s="8">
        <v>46188.61324553241</v>
      </c>
      <c r="B2208" s="2" t="s">
        <v>991</v>
      </c>
      <c r="C2208" s="2" t="s">
        <v>519</v>
      </c>
      <c r="D2208" s="2" t="s">
        <v>1016</v>
      </c>
    </row>
    <row r="2209">
      <c r="A2209" s="8">
        <v>46188.613250173614</v>
      </c>
      <c r="B2209" s="2" t="s">
        <v>991</v>
      </c>
      <c r="C2209" s="2" t="s">
        <v>534</v>
      </c>
      <c r="D2209" s="2" t="s">
        <v>1010</v>
      </c>
    </row>
    <row r="2210">
      <c r="A2210" s="8">
        <v>46188.61325667824</v>
      </c>
      <c r="B2210" s="2" t="s">
        <v>840</v>
      </c>
      <c r="C2210" s="2" t="s">
        <v>768</v>
      </c>
      <c r="D2210" s="2" t="s">
        <v>1027</v>
      </c>
    </row>
    <row r="2211">
      <c r="A2211" s="8">
        <v>46188.613260150465</v>
      </c>
      <c r="B2211" s="2" t="s">
        <v>840</v>
      </c>
      <c r="C2211" s="2" t="s">
        <v>773</v>
      </c>
      <c r="D2211" s="2" t="s">
        <v>930</v>
      </c>
    </row>
    <row r="2212">
      <c r="A2212" s="8">
        <v>46188.61326405093</v>
      </c>
      <c r="B2212" s="2" t="s">
        <v>840</v>
      </c>
      <c r="C2212" s="2" t="s">
        <v>783</v>
      </c>
      <c r="D2212" s="2" t="s">
        <v>1009</v>
      </c>
    </row>
    <row r="2213">
      <c r="A2213" s="8">
        <v>46188.61326699074</v>
      </c>
      <c r="B2213" s="2" t="s">
        <v>894</v>
      </c>
      <c r="C2213" s="2"/>
      <c r="D2213" s="2" t="s">
        <v>1017</v>
      </c>
    </row>
    <row r="2214">
      <c r="A2214" s="8">
        <v>46188.654768125</v>
      </c>
      <c r="B2214" s="2" t="s">
        <v>838</v>
      </c>
      <c r="C2214" s="2" t="s">
        <v>792</v>
      </c>
      <c r="D2214" s="2" t="s">
        <v>1022</v>
      </c>
    </row>
    <row r="2215">
      <c r="A2215" s="8">
        <v>46188.65477121528</v>
      </c>
      <c r="B2215" s="2" t="s">
        <v>798</v>
      </c>
      <c r="C2215" s="2" t="s">
        <v>799</v>
      </c>
      <c r="D2215" s="2" t="s">
        <v>800</v>
      </c>
    </row>
    <row r="2216">
      <c r="A2216" s="8">
        <v>46188.65477918982</v>
      </c>
      <c r="B2216" s="2" t="s">
        <v>838</v>
      </c>
      <c r="C2216" s="2" t="s">
        <v>802</v>
      </c>
      <c r="D2216" s="2" t="s">
        <v>839</v>
      </c>
    </row>
    <row r="2217">
      <c r="A2217" s="8">
        <v>46188.65479587963</v>
      </c>
      <c r="B2217" s="2" t="s">
        <v>798</v>
      </c>
      <c r="C2217" s="2" t="s">
        <v>812</v>
      </c>
      <c r="D2217" s="2" t="s">
        <v>813</v>
      </c>
    </row>
    <row r="2218">
      <c r="A2218" s="8">
        <v>46188.65479907407</v>
      </c>
      <c r="B2218" s="2" t="s">
        <v>838</v>
      </c>
      <c r="C2218" s="2" t="s">
        <v>818</v>
      </c>
      <c r="D2218" s="2" t="s">
        <v>1024</v>
      </c>
    </row>
    <row r="2219">
      <c r="A2219" s="8">
        <v>46188.6548071875</v>
      </c>
      <c r="B2219" s="2" t="s">
        <v>798</v>
      </c>
      <c r="C2219" s="2" t="s">
        <v>830</v>
      </c>
      <c r="D2219" s="2" t="s">
        <v>831</v>
      </c>
    </row>
    <row r="2220">
      <c r="A2220" s="8">
        <v>46188.65480967592</v>
      </c>
      <c r="B2220" s="2" t="s">
        <v>832</v>
      </c>
      <c r="C2220" s="2"/>
      <c r="D2220" s="2" t="s">
        <v>977</v>
      </c>
    </row>
    <row r="2221">
      <c r="A2221" s="8">
        <v>46188.65487305555</v>
      </c>
      <c r="B2221" s="2" t="s">
        <v>991</v>
      </c>
      <c r="C2221" s="2" t="s">
        <v>519</v>
      </c>
      <c r="D2221" s="2" t="s">
        <v>1016</v>
      </c>
    </row>
    <row r="2222">
      <c r="A2222" s="8">
        <v>46188.654876782406</v>
      </c>
      <c r="B2222" s="2" t="s">
        <v>991</v>
      </c>
      <c r="C2222" s="2" t="s">
        <v>534</v>
      </c>
      <c r="D2222" s="2" t="s">
        <v>1010</v>
      </c>
    </row>
    <row r="2223">
      <c r="A2223" s="8">
        <v>46188.65488354166</v>
      </c>
      <c r="B2223" s="2" t="s">
        <v>840</v>
      </c>
      <c r="C2223" s="2" t="s">
        <v>768</v>
      </c>
      <c r="D2223" s="2" t="s">
        <v>1027</v>
      </c>
    </row>
    <row r="2224">
      <c r="A2224" s="8">
        <v>46188.654885729164</v>
      </c>
      <c r="B2224" s="2" t="s">
        <v>840</v>
      </c>
      <c r="C2224" s="2" t="s">
        <v>773</v>
      </c>
      <c r="D2224" s="2" t="s">
        <v>930</v>
      </c>
    </row>
    <row r="2225">
      <c r="A2225" s="8">
        <v>46188.65488819445</v>
      </c>
      <c r="B2225" s="2" t="s">
        <v>840</v>
      </c>
      <c r="C2225" s="2" t="s">
        <v>783</v>
      </c>
      <c r="D2225" s="2" t="s">
        <v>1009</v>
      </c>
    </row>
    <row r="2226">
      <c r="A2226" s="8">
        <v>46188.65489481481</v>
      </c>
      <c r="B2226" s="2" t="s">
        <v>894</v>
      </c>
      <c r="C2226" s="2"/>
      <c r="D2226" s="2" t="s">
        <v>1017</v>
      </c>
    </row>
    <row r="2227">
      <c r="A2227" s="8">
        <v>46188.69647776621</v>
      </c>
      <c r="B2227" s="2" t="s">
        <v>838</v>
      </c>
      <c r="C2227" s="2" t="s">
        <v>792</v>
      </c>
      <c r="D2227" s="2" t="s">
        <v>1022</v>
      </c>
    </row>
    <row r="2228">
      <c r="A2228" s="8">
        <v>46188.696482141204</v>
      </c>
      <c r="B2228" s="2" t="s">
        <v>798</v>
      </c>
      <c r="C2228" s="2" t="s">
        <v>799</v>
      </c>
      <c r="D2228" s="2" t="s">
        <v>800</v>
      </c>
    </row>
    <row r="2229">
      <c r="A2229" s="8">
        <v>46188.6964858912</v>
      </c>
      <c r="B2229" s="2" t="s">
        <v>838</v>
      </c>
      <c r="C2229" s="2" t="s">
        <v>802</v>
      </c>
      <c r="D2229" s="2" t="s">
        <v>839</v>
      </c>
    </row>
    <row r="2230">
      <c r="A2230" s="8">
        <v>46188.6965087037</v>
      </c>
      <c r="B2230" s="2" t="s">
        <v>798</v>
      </c>
      <c r="C2230" s="2" t="s">
        <v>812</v>
      </c>
      <c r="D2230" s="2" t="s">
        <v>813</v>
      </c>
    </row>
    <row r="2231">
      <c r="A2231" s="8">
        <v>46188.69651422453</v>
      </c>
      <c r="B2231" s="2" t="s">
        <v>838</v>
      </c>
      <c r="C2231" s="2" t="s">
        <v>818</v>
      </c>
      <c r="D2231" s="2" t="s">
        <v>1024</v>
      </c>
    </row>
    <row r="2232">
      <c r="A2232" s="8">
        <v>46188.6965237963</v>
      </c>
      <c r="B2232" s="2" t="s">
        <v>798</v>
      </c>
      <c r="C2232" s="2" t="s">
        <v>830</v>
      </c>
      <c r="D2232" s="2" t="s">
        <v>831</v>
      </c>
    </row>
    <row r="2233">
      <c r="A2233" s="8">
        <v>46188.69652915509</v>
      </c>
      <c r="B2233" s="2" t="s">
        <v>832</v>
      </c>
      <c r="C2233" s="2"/>
      <c r="D2233" s="2" t="s">
        <v>977</v>
      </c>
    </row>
    <row r="2234">
      <c r="A2234" s="8">
        <v>46188.69664040509</v>
      </c>
      <c r="B2234" s="2" t="s">
        <v>991</v>
      </c>
      <c r="C2234" s="2" t="s">
        <v>519</v>
      </c>
      <c r="D2234" s="2" t="s">
        <v>1016</v>
      </c>
    </row>
    <row r="2235">
      <c r="A2235" s="8">
        <v>46188.696656203705</v>
      </c>
      <c r="B2235" s="2" t="s">
        <v>991</v>
      </c>
      <c r="C2235" s="2" t="s">
        <v>534</v>
      </c>
      <c r="D2235" s="2" t="s">
        <v>1010</v>
      </c>
    </row>
    <row r="2236">
      <c r="A2236" s="8">
        <v>46188.696667384254</v>
      </c>
      <c r="B2236" s="2" t="s">
        <v>840</v>
      </c>
      <c r="C2236" s="2" t="s">
        <v>768</v>
      </c>
      <c r="D2236" s="2" t="s">
        <v>1027</v>
      </c>
    </row>
    <row r="2237">
      <c r="A2237" s="8">
        <v>46188.69667118056</v>
      </c>
      <c r="B2237" s="2" t="s">
        <v>840</v>
      </c>
      <c r="C2237" s="2" t="s">
        <v>773</v>
      </c>
      <c r="D2237" s="2" t="s">
        <v>930</v>
      </c>
    </row>
    <row r="2238">
      <c r="A2238" s="8">
        <v>46188.69667456018</v>
      </c>
      <c r="B2238" s="2" t="s">
        <v>840</v>
      </c>
      <c r="C2238" s="2" t="s">
        <v>783</v>
      </c>
      <c r="D2238" s="2" t="s">
        <v>1009</v>
      </c>
    </row>
    <row r="2239">
      <c r="A2239" s="8">
        <v>46188.6966790625</v>
      </c>
      <c r="B2239" s="2" t="s">
        <v>894</v>
      </c>
      <c r="C2239" s="2"/>
      <c r="D2239" s="2" t="s">
        <v>1017</v>
      </c>
    </row>
    <row r="2240">
      <c r="A2240" s="8">
        <v>46188.73811663194</v>
      </c>
      <c r="B2240" s="2" t="s">
        <v>838</v>
      </c>
      <c r="C2240" s="2" t="s">
        <v>792</v>
      </c>
      <c r="D2240" s="2" t="s">
        <v>1022</v>
      </c>
    </row>
    <row r="2241">
      <c r="A2241" s="8">
        <v>46188.73812515046</v>
      </c>
      <c r="B2241" s="2" t="s">
        <v>798</v>
      </c>
      <c r="C2241" s="2" t="s">
        <v>799</v>
      </c>
      <c r="D2241" s="2" t="s">
        <v>800</v>
      </c>
    </row>
    <row r="2242">
      <c r="A2242" s="8">
        <v>46188.73813981481</v>
      </c>
      <c r="B2242" s="2" t="s">
        <v>838</v>
      </c>
      <c r="C2242" s="2" t="s">
        <v>802</v>
      </c>
      <c r="D2242" s="2" t="s">
        <v>839</v>
      </c>
    </row>
    <row r="2243">
      <c r="A2243" s="8">
        <v>46188.73815503472</v>
      </c>
      <c r="B2243" s="2" t="s">
        <v>798</v>
      </c>
      <c r="C2243" s="2" t="s">
        <v>812</v>
      </c>
      <c r="D2243" s="2" t="s">
        <v>813</v>
      </c>
    </row>
    <row r="2244">
      <c r="A2244" s="8">
        <v>46188.73815828704</v>
      </c>
      <c r="B2244" s="2" t="s">
        <v>838</v>
      </c>
      <c r="C2244" s="2" t="s">
        <v>818</v>
      </c>
      <c r="D2244" s="2" t="s">
        <v>1024</v>
      </c>
    </row>
    <row r="2245">
      <c r="A2245" s="8">
        <v>46188.73816152778</v>
      </c>
      <c r="B2245" s="2" t="s">
        <v>798</v>
      </c>
      <c r="C2245" s="2" t="s">
        <v>830</v>
      </c>
      <c r="D2245" s="2" t="s">
        <v>831</v>
      </c>
    </row>
    <row r="2246">
      <c r="A2246" s="8">
        <v>46188.73816405093</v>
      </c>
      <c r="B2246" s="2" t="s">
        <v>832</v>
      </c>
      <c r="C2246" s="2"/>
      <c r="D2246" s="2" t="s">
        <v>977</v>
      </c>
    </row>
    <row r="2247">
      <c r="A2247" s="8">
        <v>46188.738267430555</v>
      </c>
      <c r="B2247" s="2" t="s">
        <v>991</v>
      </c>
      <c r="C2247" s="2" t="s">
        <v>519</v>
      </c>
      <c r="D2247" s="2" t="s">
        <v>1016</v>
      </c>
    </row>
    <row r="2248">
      <c r="A2248" s="8">
        <v>46188.73827368056</v>
      </c>
      <c r="B2248" s="2" t="s">
        <v>991</v>
      </c>
      <c r="C2248" s="2" t="s">
        <v>534</v>
      </c>
      <c r="D2248" s="2" t="s">
        <v>1010</v>
      </c>
    </row>
    <row r="2249">
      <c r="A2249" s="8">
        <v>46188.7382815625</v>
      </c>
      <c r="B2249" s="2" t="s">
        <v>840</v>
      </c>
      <c r="C2249" s="2" t="s">
        <v>768</v>
      </c>
      <c r="D2249" s="2" t="s">
        <v>1027</v>
      </c>
    </row>
    <row r="2250">
      <c r="A2250" s="8">
        <v>46188.738287037035</v>
      </c>
      <c r="B2250" s="2" t="s">
        <v>840</v>
      </c>
      <c r="C2250" s="2" t="s">
        <v>773</v>
      </c>
      <c r="D2250" s="2" t="s">
        <v>930</v>
      </c>
    </row>
    <row r="2251">
      <c r="A2251" s="8">
        <v>46188.738290532405</v>
      </c>
      <c r="B2251" s="2" t="s">
        <v>840</v>
      </c>
      <c r="C2251" s="2" t="s">
        <v>783</v>
      </c>
      <c r="D2251" s="2" t="s">
        <v>1009</v>
      </c>
    </row>
    <row r="2252">
      <c r="A2252" s="8">
        <v>46188.73829753472</v>
      </c>
      <c r="B2252" s="2" t="s">
        <v>894</v>
      </c>
      <c r="C2252" s="2"/>
      <c r="D2252" s="2" t="s">
        <v>1017</v>
      </c>
    </row>
    <row r="2253">
      <c r="A2253" s="8">
        <v>46188.74450813657</v>
      </c>
      <c r="B2253" s="2" t="s">
        <v>989</v>
      </c>
      <c r="C2253" s="2"/>
      <c r="D2253" s="2" t="s">
        <v>1034</v>
      </c>
    </row>
    <row r="2254">
      <c r="A2254" s="8">
        <v>46188.77977412037</v>
      </c>
      <c r="B2254" s="2" t="s">
        <v>838</v>
      </c>
      <c r="C2254" s="2" t="s">
        <v>792</v>
      </c>
      <c r="D2254" s="2" t="s">
        <v>1022</v>
      </c>
    </row>
    <row r="2255">
      <c r="A2255" s="8">
        <v>46188.77977800926</v>
      </c>
      <c r="B2255" s="2" t="s">
        <v>798</v>
      </c>
      <c r="C2255" s="2" t="s">
        <v>799</v>
      </c>
      <c r="D2255" s="2" t="s">
        <v>800</v>
      </c>
    </row>
    <row r="2256">
      <c r="A2256" s="8">
        <v>46188.77978136574</v>
      </c>
      <c r="B2256" s="2" t="s">
        <v>838</v>
      </c>
      <c r="C2256" s="2" t="s">
        <v>802</v>
      </c>
      <c r="D2256" s="2" t="s">
        <v>839</v>
      </c>
    </row>
    <row r="2257">
      <c r="A2257" s="8">
        <v>46188.77980042824</v>
      </c>
      <c r="B2257" s="2" t="s">
        <v>798</v>
      </c>
      <c r="C2257" s="2" t="s">
        <v>812</v>
      </c>
      <c r="D2257" s="2" t="s">
        <v>813</v>
      </c>
    </row>
    <row r="2258">
      <c r="A2258" s="8">
        <v>46188.779804247686</v>
      </c>
      <c r="B2258" s="2" t="s">
        <v>838</v>
      </c>
      <c r="C2258" s="2" t="s">
        <v>818</v>
      </c>
      <c r="D2258" s="2" t="s">
        <v>1024</v>
      </c>
    </row>
    <row r="2259">
      <c r="A2259" s="8">
        <v>46188.77980851852</v>
      </c>
      <c r="B2259" s="2" t="s">
        <v>798</v>
      </c>
      <c r="C2259" s="2" t="s">
        <v>830</v>
      </c>
      <c r="D2259" s="2" t="s">
        <v>831</v>
      </c>
    </row>
    <row r="2260">
      <c r="A2260" s="8">
        <v>46188.77981231481</v>
      </c>
      <c r="B2260" s="2" t="s">
        <v>832</v>
      </c>
      <c r="C2260" s="2"/>
      <c r="D2260" s="2" t="s">
        <v>977</v>
      </c>
    </row>
    <row r="2261">
      <c r="A2261" s="8">
        <v>46188.77987884259</v>
      </c>
      <c r="B2261" s="2" t="s">
        <v>991</v>
      </c>
      <c r="C2261" s="2" t="s">
        <v>519</v>
      </c>
      <c r="D2261" s="2" t="s">
        <v>1016</v>
      </c>
    </row>
    <row r="2262">
      <c r="A2262" s="8">
        <v>46188.77988321759</v>
      </c>
      <c r="B2262" s="2" t="s">
        <v>991</v>
      </c>
      <c r="C2262" s="2" t="s">
        <v>534</v>
      </c>
      <c r="D2262" s="2" t="s">
        <v>1010</v>
      </c>
    </row>
    <row r="2263">
      <c r="A2263" s="8">
        <v>46188.77989247685</v>
      </c>
      <c r="B2263" s="2" t="s">
        <v>840</v>
      </c>
      <c r="C2263" s="2" t="s">
        <v>768</v>
      </c>
      <c r="D2263" s="2" t="s">
        <v>1027</v>
      </c>
    </row>
    <row r="2264">
      <c r="A2264" s="8">
        <v>46188.77990059028</v>
      </c>
      <c r="B2264" s="2" t="s">
        <v>840</v>
      </c>
      <c r="C2264" s="2" t="s">
        <v>773</v>
      </c>
      <c r="D2264" s="2" t="s">
        <v>930</v>
      </c>
    </row>
    <row r="2265">
      <c r="A2265" s="8">
        <v>46188.77990350695</v>
      </c>
      <c r="B2265" s="2" t="s">
        <v>840</v>
      </c>
      <c r="C2265" s="2" t="s">
        <v>783</v>
      </c>
      <c r="D2265" s="2" t="s">
        <v>1009</v>
      </c>
    </row>
    <row r="2266">
      <c r="A2266" s="8">
        <v>46188.77990620371</v>
      </c>
      <c r="B2266" s="2" t="s">
        <v>894</v>
      </c>
      <c r="C2266" s="2"/>
      <c r="D2266" s="2" t="s">
        <v>1017</v>
      </c>
    </row>
    <row r="2267">
      <c r="A2267" s="8">
        <v>46188.821447650465</v>
      </c>
      <c r="B2267" s="2" t="s">
        <v>838</v>
      </c>
      <c r="C2267" s="2" t="s">
        <v>792</v>
      </c>
      <c r="D2267" s="2" t="s">
        <v>1022</v>
      </c>
    </row>
    <row r="2268">
      <c r="A2268" s="8">
        <v>46188.821455983794</v>
      </c>
      <c r="B2268" s="2" t="s">
        <v>798</v>
      </c>
      <c r="C2268" s="2" t="s">
        <v>799</v>
      </c>
      <c r="D2268" s="2" t="s">
        <v>800</v>
      </c>
    </row>
    <row r="2269">
      <c r="A2269" s="8">
        <v>46188.821459328705</v>
      </c>
      <c r="B2269" s="2" t="s">
        <v>838</v>
      </c>
      <c r="C2269" s="2" t="s">
        <v>802</v>
      </c>
      <c r="D2269" s="2" t="s">
        <v>839</v>
      </c>
    </row>
    <row r="2270">
      <c r="A2270" s="8">
        <v>46188.821483900465</v>
      </c>
      <c r="B2270" s="2" t="s">
        <v>798</v>
      </c>
      <c r="C2270" s="2" t="s">
        <v>812</v>
      </c>
      <c r="D2270" s="2" t="s">
        <v>813</v>
      </c>
    </row>
    <row r="2271">
      <c r="A2271" s="8">
        <v>46188.821487037036</v>
      </c>
      <c r="B2271" s="2" t="s">
        <v>838</v>
      </c>
      <c r="C2271" s="2" t="s">
        <v>818</v>
      </c>
      <c r="D2271" s="2" t="s">
        <v>1024</v>
      </c>
    </row>
    <row r="2272">
      <c r="A2272" s="8">
        <v>46188.821490428236</v>
      </c>
      <c r="B2272" s="2" t="s">
        <v>798</v>
      </c>
      <c r="C2272" s="2" t="s">
        <v>830</v>
      </c>
      <c r="D2272" s="2" t="s">
        <v>831</v>
      </c>
    </row>
    <row r="2273">
      <c r="A2273" s="8">
        <v>46188.82149315972</v>
      </c>
      <c r="B2273" s="2" t="s">
        <v>832</v>
      </c>
      <c r="C2273" s="2"/>
      <c r="D2273" s="2" t="s">
        <v>977</v>
      </c>
    </row>
    <row r="2274">
      <c r="A2274" s="8">
        <v>46188.821554027774</v>
      </c>
      <c r="B2274" s="2" t="s">
        <v>991</v>
      </c>
      <c r="C2274" s="2" t="s">
        <v>519</v>
      </c>
      <c r="D2274" s="2" t="s">
        <v>1016</v>
      </c>
    </row>
    <row r="2275">
      <c r="A2275" s="8">
        <v>46188.82155717592</v>
      </c>
      <c r="B2275" s="2" t="s">
        <v>991</v>
      </c>
      <c r="C2275" s="2" t="s">
        <v>534</v>
      </c>
      <c r="D2275" s="2" t="s">
        <v>1010</v>
      </c>
    </row>
    <row r="2276">
      <c r="A2276" s="8">
        <v>46188.82156084491</v>
      </c>
      <c r="B2276" s="2" t="s">
        <v>840</v>
      </c>
      <c r="C2276" s="2" t="s">
        <v>768</v>
      </c>
      <c r="D2276" s="2" t="s">
        <v>1027</v>
      </c>
    </row>
    <row r="2277">
      <c r="A2277" s="8">
        <v>46188.82156369213</v>
      </c>
      <c r="B2277" s="2" t="s">
        <v>840</v>
      </c>
      <c r="C2277" s="2" t="s">
        <v>773</v>
      </c>
      <c r="D2277" s="2" t="s">
        <v>930</v>
      </c>
    </row>
    <row r="2278">
      <c r="A2278" s="8">
        <v>46188.82156765046</v>
      </c>
      <c r="B2278" s="2" t="s">
        <v>840</v>
      </c>
      <c r="C2278" s="2" t="s">
        <v>783</v>
      </c>
      <c r="D2278" s="2" t="s">
        <v>1009</v>
      </c>
    </row>
    <row r="2279">
      <c r="A2279" s="8">
        <v>46188.82157060185</v>
      </c>
      <c r="B2279" s="2" t="s">
        <v>894</v>
      </c>
      <c r="C2279" s="2"/>
      <c r="D2279" s="2" t="s">
        <v>1017</v>
      </c>
    </row>
    <row r="2280">
      <c r="A2280" s="8">
        <v>46188.86312150463</v>
      </c>
      <c r="B2280" s="2" t="s">
        <v>838</v>
      </c>
      <c r="C2280" s="2" t="s">
        <v>792</v>
      </c>
      <c r="D2280" s="2" t="s">
        <v>1022</v>
      </c>
    </row>
    <row r="2281">
      <c r="A2281" s="8">
        <v>46188.86312519676</v>
      </c>
      <c r="B2281" s="2" t="s">
        <v>798</v>
      </c>
      <c r="C2281" s="2" t="s">
        <v>799</v>
      </c>
      <c r="D2281" s="2" t="s">
        <v>800</v>
      </c>
    </row>
    <row r="2282">
      <c r="A2282" s="8">
        <v>46188.863128067125</v>
      </c>
      <c r="B2282" s="2" t="s">
        <v>838</v>
      </c>
      <c r="C2282" s="2" t="s">
        <v>802</v>
      </c>
      <c r="D2282" s="2" t="s">
        <v>839</v>
      </c>
    </row>
    <row r="2283">
      <c r="A2283" s="8">
        <v>46188.863144965275</v>
      </c>
      <c r="B2283" s="2" t="s">
        <v>798</v>
      </c>
      <c r="C2283" s="2" t="s">
        <v>812</v>
      </c>
      <c r="D2283" s="2" t="s">
        <v>813</v>
      </c>
    </row>
    <row r="2284">
      <c r="A2284" s="8">
        <v>46188.86314722222</v>
      </c>
      <c r="B2284" s="2" t="s">
        <v>838</v>
      </c>
      <c r="C2284" s="2" t="s">
        <v>818</v>
      </c>
      <c r="D2284" s="2" t="s">
        <v>1024</v>
      </c>
    </row>
    <row r="2285">
      <c r="A2285" s="8">
        <v>46188.863150289355</v>
      </c>
      <c r="B2285" s="2" t="s">
        <v>798</v>
      </c>
      <c r="C2285" s="2" t="s">
        <v>830</v>
      </c>
      <c r="D2285" s="2" t="s">
        <v>831</v>
      </c>
    </row>
    <row r="2286">
      <c r="A2286" s="8">
        <v>46188.863154606486</v>
      </c>
      <c r="B2286" s="2" t="s">
        <v>832</v>
      </c>
      <c r="C2286" s="2"/>
      <c r="D2286" s="2" t="s">
        <v>977</v>
      </c>
    </row>
    <row r="2287">
      <c r="A2287" s="8">
        <v>46188.86321302083</v>
      </c>
      <c r="B2287" s="2" t="s">
        <v>991</v>
      </c>
      <c r="C2287" s="2" t="s">
        <v>519</v>
      </c>
      <c r="D2287" s="2" t="s">
        <v>1016</v>
      </c>
    </row>
    <row r="2288">
      <c r="A2288" s="8">
        <v>46188.86321678241</v>
      </c>
      <c r="B2288" s="2" t="s">
        <v>991</v>
      </c>
      <c r="C2288" s="2" t="s">
        <v>534</v>
      </c>
      <c r="D2288" s="2" t="s">
        <v>1010</v>
      </c>
    </row>
    <row r="2289">
      <c r="A2289" s="8">
        <v>46188.863222175925</v>
      </c>
      <c r="B2289" s="2" t="s">
        <v>840</v>
      </c>
      <c r="C2289" s="2" t="s">
        <v>768</v>
      </c>
      <c r="D2289" s="2" t="s">
        <v>1027</v>
      </c>
    </row>
    <row r="2290">
      <c r="A2290" s="8">
        <v>46188.86322475695</v>
      </c>
      <c r="B2290" s="2" t="s">
        <v>840</v>
      </c>
      <c r="C2290" s="2" t="s">
        <v>773</v>
      </c>
      <c r="D2290" s="2" t="s">
        <v>930</v>
      </c>
    </row>
    <row r="2291">
      <c r="A2291" s="8">
        <v>46188.86322743056</v>
      </c>
      <c r="B2291" s="2" t="s">
        <v>840</v>
      </c>
      <c r="C2291" s="2" t="s">
        <v>783</v>
      </c>
      <c r="D2291" s="2" t="s">
        <v>1009</v>
      </c>
    </row>
    <row r="2292">
      <c r="A2292" s="8">
        <v>46188.86322969907</v>
      </c>
      <c r="B2292" s="2" t="s">
        <v>894</v>
      </c>
      <c r="C2292" s="2"/>
      <c r="D2292" s="2" t="s">
        <v>1017</v>
      </c>
    </row>
    <row r="2293">
      <c r="A2293" s="8">
        <v>46188.90480836805</v>
      </c>
      <c r="B2293" s="2" t="s">
        <v>838</v>
      </c>
      <c r="C2293" s="2" t="s">
        <v>792</v>
      </c>
      <c r="D2293" s="2" t="s">
        <v>1022</v>
      </c>
    </row>
    <row r="2294">
      <c r="A2294" s="8">
        <v>46188.90481315972</v>
      </c>
      <c r="B2294" s="2" t="s">
        <v>798</v>
      </c>
      <c r="C2294" s="2" t="s">
        <v>799</v>
      </c>
      <c r="D2294" s="2" t="s">
        <v>800</v>
      </c>
    </row>
    <row r="2295">
      <c r="A2295" s="8">
        <v>46188.904819675925</v>
      </c>
      <c r="B2295" s="2" t="s">
        <v>838</v>
      </c>
      <c r="C2295" s="2" t="s">
        <v>802</v>
      </c>
      <c r="D2295" s="2" t="s">
        <v>839</v>
      </c>
    </row>
    <row r="2296">
      <c r="A2296" s="8">
        <v>46188.904832430555</v>
      </c>
      <c r="B2296" s="2" t="s">
        <v>798</v>
      </c>
      <c r="C2296" s="2" t="s">
        <v>812</v>
      </c>
      <c r="D2296" s="2" t="s">
        <v>813</v>
      </c>
    </row>
    <row r="2297">
      <c r="A2297" s="8">
        <v>46188.9048359838</v>
      </c>
      <c r="B2297" s="2" t="s">
        <v>838</v>
      </c>
      <c r="C2297" s="2" t="s">
        <v>818</v>
      </c>
      <c r="D2297" s="2" t="s">
        <v>1024</v>
      </c>
    </row>
    <row r="2298">
      <c r="A2298" s="8">
        <v>46188.904840138886</v>
      </c>
      <c r="B2298" s="2" t="s">
        <v>798</v>
      </c>
      <c r="C2298" s="2" t="s">
        <v>830</v>
      </c>
      <c r="D2298" s="2" t="s">
        <v>831</v>
      </c>
    </row>
    <row r="2299">
      <c r="A2299" s="8">
        <v>46188.90484299768</v>
      </c>
      <c r="B2299" s="2" t="s">
        <v>832</v>
      </c>
      <c r="C2299" s="2"/>
      <c r="D2299" s="2" t="s">
        <v>977</v>
      </c>
    </row>
    <row r="2300">
      <c r="A2300" s="8">
        <v>46188.904920127316</v>
      </c>
      <c r="B2300" s="2" t="s">
        <v>991</v>
      </c>
      <c r="C2300" s="2" t="s">
        <v>519</v>
      </c>
      <c r="D2300" s="2" t="s">
        <v>1016</v>
      </c>
    </row>
    <row r="2301">
      <c r="A2301" s="8">
        <v>46188.904924965274</v>
      </c>
      <c r="B2301" s="2" t="s">
        <v>991</v>
      </c>
      <c r="C2301" s="2" t="s">
        <v>534</v>
      </c>
      <c r="D2301" s="2" t="s">
        <v>1010</v>
      </c>
    </row>
    <row r="2302">
      <c r="A2302" s="8">
        <v>46188.90493234954</v>
      </c>
      <c r="B2302" s="2" t="s">
        <v>840</v>
      </c>
      <c r="C2302" s="2" t="s">
        <v>768</v>
      </c>
      <c r="D2302" s="2" t="s">
        <v>1027</v>
      </c>
    </row>
    <row r="2303">
      <c r="A2303" s="8">
        <v>46188.90493534722</v>
      </c>
      <c r="B2303" s="2" t="s">
        <v>840</v>
      </c>
      <c r="C2303" s="2" t="s">
        <v>773</v>
      </c>
      <c r="D2303" s="2" t="s">
        <v>930</v>
      </c>
    </row>
    <row r="2304">
      <c r="A2304" s="8">
        <v>46188.90493880787</v>
      </c>
      <c r="B2304" s="2" t="s">
        <v>840</v>
      </c>
      <c r="C2304" s="2" t="s">
        <v>783</v>
      </c>
      <c r="D2304" s="2" t="s">
        <v>1009</v>
      </c>
    </row>
    <row r="2305">
      <c r="A2305" s="8">
        <v>46188.90494313657</v>
      </c>
      <c r="B2305" s="2" t="s">
        <v>894</v>
      </c>
      <c r="C2305" s="2"/>
      <c r="D2305" s="2" t="s">
        <v>1017</v>
      </c>
    </row>
    <row r="2306">
      <c r="A2306" s="8">
        <v>46188.91709815973</v>
      </c>
      <c r="B2306" s="2" t="s">
        <v>863</v>
      </c>
      <c r="C2306" s="2"/>
      <c r="D2306" s="2" t="s">
        <v>1035</v>
      </c>
    </row>
    <row r="2307">
      <c r="A2307" s="8">
        <v>46188.94645762732</v>
      </c>
      <c r="B2307" s="2" t="s">
        <v>838</v>
      </c>
      <c r="C2307" s="2" t="s">
        <v>792</v>
      </c>
      <c r="D2307" s="2" t="s">
        <v>1022</v>
      </c>
    </row>
    <row r="2308">
      <c r="A2308" s="8">
        <v>46188.946460625</v>
      </c>
      <c r="B2308" s="2" t="s">
        <v>798</v>
      </c>
      <c r="C2308" s="2" t="s">
        <v>799</v>
      </c>
      <c r="D2308" s="2" t="s">
        <v>800</v>
      </c>
    </row>
    <row r="2309">
      <c r="A2309" s="8">
        <v>46188.946463761575</v>
      </c>
      <c r="B2309" s="2" t="s">
        <v>838</v>
      </c>
      <c r="C2309" s="2" t="s">
        <v>802</v>
      </c>
      <c r="D2309" s="2" t="s">
        <v>839</v>
      </c>
    </row>
    <row r="2310">
      <c r="A2310" s="8">
        <v>46188.94648151621</v>
      </c>
      <c r="B2310" s="2" t="s">
        <v>798</v>
      </c>
      <c r="C2310" s="2" t="s">
        <v>812</v>
      </c>
      <c r="D2310" s="2" t="s">
        <v>813</v>
      </c>
    </row>
    <row r="2311">
      <c r="A2311" s="8">
        <v>46188.94648427083</v>
      </c>
      <c r="B2311" s="2" t="s">
        <v>838</v>
      </c>
      <c r="C2311" s="2" t="s">
        <v>818</v>
      </c>
      <c r="D2311" s="2" t="s">
        <v>1024</v>
      </c>
    </row>
    <row r="2312">
      <c r="A2312" s="8">
        <v>46188.94649180556</v>
      </c>
      <c r="B2312" s="2" t="s">
        <v>798</v>
      </c>
      <c r="C2312" s="2" t="s">
        <v>830</v>
      </c>
      <c r="D2312" s="2" t="s">
        <v>831</v>
      </c>
    </row>
    <row r="2313">
      <c r="A2313" s="8">
        <v>46188.94649422454</v>
      </c>
      <c r="B2313" s="2" t="s">
        <v>832</v>
      </c>
      <c r="C2313" s="2"/>
      <c r="D2313" s="2" t="s">
        <v>977</v>
      </c>
    </row>
    <row r="2314">
      <c r="A2314" s="8">
        <v>46188.946565578706</v>
      </c>
      <c r="B2314" s="2" t="s">
        <v>991</v>
      </c>
      <c r="C2314" s="2" t="s">
        <v>519</v>
      </c>
      <c r="D2314" s="2" t="s">
        <v>1016</v>
      </c>
    </row>
    <row r="2315">
      <c r="A2315" s="8">
        <v>46188.946569328706</v>
      </c>
      <c r="B2315" s="2" t="s">
        <v>991</v>
      </c>
      <c r="C2315" s="2" t="s">
        <v>534</v>
      </c>
      <c r="D2315" s="2" t="s">
        <v>1010</v>
      </c>
    </row>
    <row r="2316">
      <c r="A2316" s="8">
        <v>46188.94657627315</v>
      </c>
      <c r="B2316" s="2" t="s">
        <v>840</v>
      </c>
      <c r="C2316" s="2" t="s">
        <v>768</v>
      </c>
      <c r="D2316" s="2" t="s">
        <v>1027</v>
      </c>
    </row>
    <row r="2317">
      <c r="A2317" s="8">
        <v>46188.94658259259</v>
      </c>
      <c r="B2317" s="2" t="s">
        <v>840</v>
      </c>
      <c r="C2317" s="2" t="s">
        <v>773</v>
      </c>
      <c r="D2317" s="2" t="s">
        <v>930</v>
      </c>
    </row>
    <row r="2318">
      <c r="A2318" s="8">
        <v>46188.94658513889</v>
      </c>
      <c r="B2318" s="2" t="s">
        <v>840</v>
      </c>
      <c r="C2318" s="2" t="s">
        <v>783</v>
      </c>
      <c r="D2318" s="2" t="s">
        <v>1009</v>
      </c>
    </row>
    <row r="2319">
      <c r="A2319" s="8">
        <v>46188.94658752315</v>
      </c>
      <c r="B2319" s="2" t="s">
        <v>894</v>
      </c>
      <c r="C2319" s="2"/>
      <c r="D2319" s="2" t="s">
        <v>1017</v>
      </c>
    </row>
    <row r="2320">
      <c r="A2320" s="8">
        <v>46188.98811902778</v>
      </c>
      <c r="B2320" s="2" t="s">
        <v>838</v>
      </c>
      <c r="C2320" s="2" t="s">
        <v>792</v>
      </c>
      <c r="D2320" s="2" t="s">
        <v>1022</v>
      </c>
    </row>
    <row r="2321">
      <c r="A2321" s="8">
        <v>46188.988122696755</v>
      </c>
      <c r="B2321" s="2" t="s">
        <v>798</v>
      </c>
      <c r="C2321" s="2" t="s">
        <v>799</v>
      </c>
      <c r="D2321" s="2" t="s">
        <v>800</v>
      </c>
    </row>
    <row r="2322">
      <c r="A2322" s="8">
        <v>46188.988126516204</v>
      </c>
      <c r="B2322" s="2" t="s">
        <v>838</v>
      </c>
      <c r="C2322" s="2" t="s">
        <v>802</v>
      </c>
      <c r="D2322" s="2" t="s">
        <v>839</v>
      </c>
    </row>
    <row r="2323">
      <c r="A2323" s="8">
        <v>46188.9881447338</v>
      </c>
      <c r="B2323" s="2" t="s">
        <v>798</v>
      </c>
      <c r="C2323" s="2" t="s">
        <v>812</v>
      </c>
      <c r="D2323" s="2" t="s">
        <v>813</v>
      </c>
    </row>
    <row r="2324">
      <c r="A2324" s="8">
        <v>46188.9881484838</v>
      </c>
      <c r="B2324" s="2" t="s">
        <v>838</v>
      </c>
      <c r="C2324" s="2" t="s">
        <v>818</v>
      </c>
      <c r="D2324" s="2" t="s">
        <v>1024</v>
      </c>
    </row>
    <row r="2325">
      <c r="A2325" s="8">
        <v>46188.9881538426</v>
      </c>
      <c r="B2325" s="2" t="s">
        <v>798</v>
      </c>
      <c r="C2325" s="2" t="s">
        <v>830</v>
      </c>
      <c r="D2325" s="2" t="s">
        <v>831</v>
      </c>
    </row>
    <row r="2326">
      <c r="A2326" s="8">
        <v>46188.98815775463</v>
      </c>
      <c r="B2326" s="2" t="s">
        <v>832</v>
      </c>
      <c r="C2326" s="2"/>
      <c r="D2326" s="2" t="s">
        <v>977</v>
      </c>
    </row>
    <row r="2327">
      <c r="A2327" s="8">
        <v>46188.98823466436</v>
      </c>
      <c r="B2327" s="2" t="s">
        <v>991</v>
      </c>
      <c r="C2327" s="2" t="s">
        <v>519</v>
      </c>
      <c r="D2327" s="2" t="s">
        <v>1016</v>
      </c>
    </row>
    <row r="2328">
      <c r="A2328" s="8">
        <v>46188.98823966435</v>
      </c>
      <c r="B2328" s="2" t="s">
        <v>991</v>
      </c>
      <c r="C2328" s="2" t="s">
        <v>534</v>
      </c>
      <c r="D2328" s="2" t="s">
        <v>1010</v>
      </c>
    </row>
    <row r="2329">
      <c r="A2329" s="8">
        <v>46188.988256041666</v>
      </c>
      <c r="B2329" s="2" t="s">
        <v>840</v>
      </c>
      <c r="C2329" s="2" t="s">
        <v>768</v>
      </c>
      <c r="D2329" s="2" t="s">
        <v>1027</v>
      </c>
    </row>
    <row r="2330">
      <c r="A2330" s="8">
        <v>46188.98825943287</v>
      </c>
      <c r="B2330" s="2" t="s">
        <v>840</v>
      </c>
      <c r="C2330" s="2" t="s">
        <v>773</v>
      </c>
      <c r="D2330" s="2" t="s">
        <v>930</v>
      </c>
    </row>
    <row r="2331">
      <c r="A2331" s="8">
        <v>46188.988263541665</v>
      </c>
      <c r="B2331" s="2" t="s">
        <v>840</v>
      </c>
      <c r="C2331" s="2" t="s">
        <v>783</v>
      </c>
      <c r="D2331" s="2" t="s">
        <v>1009</v>
      </c>
    </row>
    <row r="2332">
      <c r="A2332" s="8">
        <v>46188.98826673611</v>
      </c>
      <c r="B2332" s="2" t="s">
        <v>894</v>
      </c>
      <c r="C2332" s="2"/>
      <c r="D2332" s="2" t="s">
        <v>1017</v>
      </c>
    </row>
    <row r="2333">
      <c r="A2333" s="8">
        <v>46189.02979311343</v>
      </c>
      <c r="B2333" s="2" t="s">
        <v>838</v>
      </c>
      <c r="C2333" s="2" t="s">
        <v>792</v>
      </c>
      <c r="D2333" s="2" t="s">
        <v>1022</v>
      </c>
    </row>
    <row r="2334">
      <c r="A2334" s="8">
        <v>46189.02979775463</v>
      </c>
      <c r="B2334" s="2" t="s">
        <v>798</v>
      </c>
      <c r="C2334" s="2" t="s">
        <v>799</v>
      </c>
      <c r="D2334" s="2" t="s">
        <v>800</v>
      </c>
    </row>
    <row r="2335">
      <c r="A2335" s="8">
        <v>46189.02980207176</v>
      </c>
      <c r="B2335" s="2" t="s">
        <v>838</v>
      </c>
      <c r="C2335" s="2" t="s">
        <v>802</v>
      </c>
      <c r="D2335" s="2" t="s">
        <v>839</v>
      </c>
    </row>
    <row r="2336">
      <c r="A2336" s="8">
        <v>46189.02982633102</v>
      </c>
      <c r="B2336" s="2" t="s">
        <v>798</v>
      </c>
      <c r="C2336" s="2" t="s">
        <v>812</v>
      </c>
      <c r="D2336" s="2" t="s">
        <v>813</v>
      </c>
    </row>
    <row r="2337">
      <c r="A2337" s="8">
        <v>46189.02982989584</v>
      </c>
      <c r="B2337" s="2" t="s">
        <v>838</v>
      </c>
      <c r="C2337" s="2" t="s">
        <v>818</v>
      </c>
      <c r="D2337" s="2" t="s">
        <v>1024</v>
      </c>
    </row>
    <row r="2338">
      <c r="A2338" s="8">
        <v>46189.02983557871</v>
      </c>
      <c r="B2338" s="2" t="s">
        <v>798</v>
      </c>
      <c r="C2338" s="2" t="s">
        <v>830</v>
      </c>
      <c r="D2338" s="2" t="s">
        <v>831</v>
      </c>
    </row>
    <row r="2339">
      <c r="A2339" s="8">
        <v>46189.02984513889</v>
      </c>
      <c r="B2339" s="2" t="s">
        <v>832</v>
      </c>
      <c r="C2339" s="2"/>
      <c r="D2339" s="2" t="s">
        <v>977</v>
      </c>
    </row>
    <row r="2340">
      <c r="A2340" s="8">
        <v>46189.029929490745</v>
      </c>
      <c r="B2340" s="2" t="s">
        <v>991</v>
      </c>
      <c r="C2340" s="2" t="s">
        <v>519</v>
      </c>
      <c r="D2340" s="2" t="s">
        <v>1016</v>
      </c>
    </row>
    <row r="2341">
      <c r="A2341" s="8">
        <v>46189.02993431713</v>
      </c>
      <c r="B2341" s="2" t="s">
        <v>991</v>
      </c>
      <c r="C2341" s="2" t="s">
        <v>534</v>
      </c>
      <c r="D2341" s="2" t="s">
        <v>1010</v>
      </c>
    </row>
    <row r="2342">
      <c r="A2342" s="8">
        <v>46189.02994306713</v>
      </c>
      <c r="B2342" s="2" t="s">
        <v>840</v>
      </c>
      <c r="C2342" s="2" t="s">
        <v>768</v>
      </c>
      <c r="D2342" s="2" t="s">
        <v>1027</v>
      </c>
    </row>
    <row r="2343">
      <c r="A2343" s="8">
        <v>46189.02994825231</v>
      </c>
      <c r="B2343" s="2" t="s">
        <v>840</v>
      </c>
      <c r="C2343" s="2" t="s">
        <v>773</v>
      </c>
      <c r="D2343" s="2" t="s">
        <v>930</v>
      </c>
    </row>
    <row r="2344">
      <c r="A2344" s="8">
        <v>46189.0299519213</v>
      </c>
      <c r="B2344" s="2" t="s">
        <v>840</v>
      </c>
      <c r="C2344" s="2" t="s">
        <v>783</v>
      </c>
      <c r="D2344" s="2" t="s">
        <v>1009</v>
      </c>
    </row>
    <row r="2345">
      <c r="A2345" s="8">
        <v>46189.02995585648</v>
      </c>
      <c r="B2345" s="2" t="s">
        <v>894</v>
      </c>
      <c r="C2345" s="2"/>
      <c r="D2345" s="2" t="s">
        <v>1017</v>
      </c>
    </row>
    <row r="2346">
      <c r="A2346" s="8">
        <v>46189.07145206019</v>
      </c>
      <c r="B2346" s="2" t="s">
        <v>838</v>
      </c>
      <c r="C2346" s="2" t="s">
        <v>792</v>
      </c>
      <c r="D2346" s="2" t="s">
        <v>1022</v>
      </c>
    </row>
    <row r="2347">
      <c r="A2347" s="8">
        <v>46189.07145751157</v>
      </c>
      <c r="B2347" s="2" t="s">
        <v>798</v>
      </c>
      <c r="C2347" s="2" t="s">
        <v>799</v>
      </c>
      <c r="D2347" s="2" t="s">
        <v>800</v>
      </c>
    </row>
    <row r="2348">
      <c r="A2348" s="8">
        <v>46189.07146269676</v>
      </c>
      <c r="B2348" s="2" t="s">
        <v>838</v>
      </c>
      <c r="C2348" s="2" t="s">
        <v>802</v>
      </c>
      <c r="D2348" s="2" t="s">
        <v>839</v>
      </c>
    </row>
    <row r="2349">
      <c r="A2349" s="8">
        <v>46189.071481481486</v>
      </c>
      <c r="B2349" s="2" t="s">
        <v>798</v>
      </c>
      <c r="C2349" s="2" t="s">
        <v>812</v>
      </c>
      <c r="D2349" s="2" t="s">
        <v>813</v>
      </c>
    </row>
    <row r="2350">
      <c r="A2350" s="8">
        <v>46189.07148530093</v>
      </c>
      <c r="B2350" s="2" t="s">
        <v>838</v>
      </c>
      <c r="C2350" s="2" t="s">
        <v>818</v>
      </c>
      <c r="D2350" s="2" t="s">
        <v>1024</v>
      </c>
    </row>
    <row r="2351">
      <c r="A2351" s="8">
        <v>46189.071489803246</v>
      </c>
      <c r="B2351" s="2" t="s">
        <v>798</v>
      </c>
      <c r="C2351" s="2" t="s">
        <v>830</v>
      </c>
      <c r="D2351" s="2" t="s">
        <v>831</v>
      </c>
    </row>
    <row r="2352">
      <c r="A2352" s="8">
        <v>46189.0714934375</v>
      </c>
      <c r="B2352" s="2" t="s">
        <v>832</v>
      </c>
      <c r="C2352" s="2"/>
      <c r="D2352" s="2" t="s">
        <v>977</v>
      </c>
    </row>
    <row r="2353">
      <c r="A2353" s="8">
        <v>46189.071575891205</v>
      </c>
      <c r="B2353" s="2" t="s">
        <v>991</v>
      </c>
      <c r="C2353" s="2" t="s">
        <v>519</v>
      </c>
      <c r="D2353" s="2" t="s">
        <v>1016</v>
      </c>
    </row>
    <row r="2354">
      <c r="A2354" s="8">
        <v>46189.07159295139</v>
      </c>
      <c r="B2354" s="2" t="s">
        <v>991</v>
      </c>
      <c r="C2354" s="2" t="s">
        <v>534</v>
      </c>
      <c r="D2354" s="2" t="s">
        <v>1010</v>
      </c>
    </row>
    <row r="2355">
      <c r="A2355" s="8">
        <v>46189.07161732639</v>
      </c>
      <c r="B2355" s="2" t="s">
        <v>840</v>
      </c>
      <c r="C2355" s="2" t="s">
        <v>768</v>
      </c>
      <c r="D2355" s="2" t="s">
        <v>1027</v>
      </c>
    </row>
    <row r="2356">
      <c r="A2356" s="8">
        <v>46189.07162081018</v>
      </c>
      <c r="B2356" s="2" t="s">
        <v>840</v>
      </c>
      <c r="C2356" s="2" t="s">
        <v>773</v>
      </c>
      <c r="D2356" s="2" t="s">
        <v>930</v>
      </c>
    </row>
    <row r="2357">
      <c r="A2357" s="8">
        <v>46189.07162452546</v>
      </c>
      <c r="B2357" s="2" t="s">
        <v>840</v>
      </c>
      <c r="C2357" s="2" t="s">
        <v>783</v>
      </c>
      <c r="D2357" s="2" t="s">
        <v>1009</v>
      </c>
    </row>
    <row r="2358">
      <c r="A2358" s="8">
        <v>46189.07163818287</v>
      </c>
      <c r="B2358" s="2" t="s">
        <v>894</v>
      </c>
      <c r="C2358" s="2"/>
      <c r="D2358" s="2" t="s">
        <v>1017</v>
      </c>
    </row>
    <row r="2359">
      <c r="A2359" s="8">
        <v>46189.113127847224</v>
      </c>
      <c r="B2359" s="2" t="s">
        <v>838</v>
      </c>
      <c r="C2359" s="2" t="s">
        <v>792</v>
      </c>
      <c r="D2359" s="2" t="s">
        <v>1022</v>
      </c>
    </row>
    <row r="2360">
      <c r="A2360" s="8">
        <v>46189.113141145834</v>
      </c>
      <c r="B2360" s="2" t="s">
        <v>798</v>
      </c>
      <c r="C2360" s="2" t="s">
        <v>799</v>
      </c>
      <c r="D2360" s="2" t="s">
        <v>800</v>
      </c>
    </row>
    <row r="2361">
      <c r="A2361" s="8">
        <v>46189.113165636576</v>
      </c>
      <c r="B2361" s="2" t="s">
        <v>838</v>
      </c>
      <c r="C2361" s="2" t="s">
        <v>802</v>
      </c>
      <c r="D2361" s="2" t="s">
        <v>839</v>
      </c>
    </row>
    <row r="2362">
      <c r="A2362" s="8">
        <v>46189.11316862269</v>
      </c>
      <c r="B2362" s="2" t="s">
        <v>798</v>
      </c>
      <c r="C2362" s="2" t="s">
        <v>812</v>
      </c>
      <c r="D2362" s="2" t="s">
        <v>813</v>
      </c>
    </row>
    <row r="2363">
      <c r="A2363" s="8">
        <v>46189.11317045139</v>
      </c>
      <c r="B2363" s="2" t="s">
        <v>838</v>
      </c>
      <c r="C2363" s="2" t="s">
        <v>818</v>
      </c>
      <c r="D2363" s="2" t="s">
        <v>1024</v>
      </c>
    </row>
    <row r="2364">
      <c r="A2364" s="8">
        <v>46189.11317275463</v>
      </c>
      <c r="B2364" s="2" t="s">
        <v>798</v>
      </c>
      <c r="C2364" s="2" t="s">
        <v>830</v>
      </c>
      <c r="D2364" s="2" t="s">
        <v>831</v>
      </c>
    </row>
    <row r="2365">
      <c r="A2365" s="8">
        <v>46189.11317439815</v>
      </c>
      <c r="B2365" s="2" t="s">
        <v>832</v>
      </c>
      <c r="C2365" s="2"/>
      <c r="D2365" s="2" t="s">
        <v>977</v>
      </c>
    </row>
    <row r="2366">
      <c r="A2366" s="8">
        <v>46189.11324384259</v>
      </c>
      <c r="B2366" s="2" t="s">
        <v>991</v>
      </c>
      <c r="C2366" s="2" t="s">
        <v>519</v>
      </c>
      <c r="D2366" s="2" t="s">
        <v>1016</v>
      </c>
    </row>
    <row r="2367">
      <c r="A2367" s="8">
        <v>46189.11325181713</v>
      </c>
      <c r="B2367" s="2" t="s">
        <v>991</v>
      </c>
      <c r="C2367" s="2" t="s">
        <v>534</v>
      </c>
      <c r="D2367" s="2" t="s">
        <v>1010</v>
      </c>
    </row>
    <row r="2368">
      <c r="A2368" s="8">
        <v>46189.11326506945</v>
      </c>
      <c r="B2368" s="2" t="s">
        <v>840</v>
      </c>
      <c r="C2368" s="2" t="s">
        <v>768</v>
      </c>
      <c r="D2368" s="2" t="s">
        <v>1027</v>
      </c>
    </row>
    <row r="2369">
      <c r="A2369" s="8">
        <v>46189.11327065973</v>
      </c>
      <c r="B2369" s="2" t="s">
        <v>840</v>
      </c>
      <c r="C2369" s="2" t="s">
        <v>773</v>
      </c>
      <c r="D2369" s="2" t="s">
        <v>930</v>
      </c>
    </row>
    <row r="2370">
      <c r="A2370" s="8">
        <v>46189.113274143514</v>
      </c>
      <c r="B2370" s="2" t="s">
        <v>840</v>
      </c>
      <c r="C2370" s="2" t="s">
        <v>783</v>
      </c>
      <c r="D2370" s="2" t="s">
        <v>1009</v>
      </c>
    </row>
    <row r="2371">
      <c r="A2371" s="8">
        <v>46189.11327777778</v>
      </c>
      <c r="B2371" s="2" t="s">
        <v>894</v>
      </c>
      <c r="C2371" s="2"/>
      <c r="D2371" s="2" t="s">
        <v>1017</v>
      </c>
    </row>
    <row r="2372">
      <c r="A2372" s="8">
        <v>46189.15482280093</v>
      </c>
      <c r="B2372" s="2" t="s">
        <v>838</v>
      </c>
      <c r="C2372" s="2" t="s">
        <v>792</v>
      </c>
      <c r="D2372" s="2" t="s">
        <v>1022</v>
      </c>
    </row>
    <row r="2373">
      <c r="A2373" s="8">
        <v>46189.154826365746</v>
      </c>
      <c r="B2373" s="2" t="s">
        <v>798</v>
      </c>
      <c r="C2373" s="2" t="s">
        <v>799</v>
      </c>
      <c r="D2373" s="2" t="s">
        <v>800</v>
      </c>
    </row>
    <row r="2374">
      <c r="A2374" s="8">
        <v>46189.154830694446</v>
      </c>
      <c r="B2374" s="2" t="s">
        <v>838</v>
      </c>
      <c r="C2374" s="2" t="s">
        <v>802</v>
      </c>
      <c r="D2374" s="2" t="s">
        <v>839</v>
      </c>
    </row>
    <row r="2375">
      <c r="A2375" s="8">
        <v>46189.15484967592</v>
      </c>
      <c r="B2375" s="2" t="s">
        <v>798</v>
      </c>
      <c r="C2375" s="2" t="s">
        <v>812</v>
      </c>
      <c r="D2375" s="2" t="s">
        <v>813</v>
      </c>
    </row>
    <row r="2376">
      <c r="A2376" s="8">
        <v>46189.15485288194</v>
      </c>
      <c r="B2376" s="2" t="s">
        <v>838</v>
      </c>
      <c r="C2376" s="2" t="s">
        <v>818</v>
      </c>
      <c r="D2376" s="2" t="s">
        <v>1024</v>
      </c>
    </row>
    <row r="2377">
      <c r="A2377" s="8">
        <v>46189.15485825231</v>
      </c>
      <c r="B2377" s="2" t="s">
        <v>798</v>
      </c>
      <c r="C2377" s="2" t="s">
        <v>830</v>
      </c>
      <c r="D2377" s="2" t="s">
        <v>831</v>
      </c>
    </row>
    <row r="2378">
      <c r="A2378" s="8">
        <v>46189.15486219907</v>
      </c>
      <c r="B2378" s="2" t="s">
        <v>832</v>
      </c>
      <c r="C2378" s="2"/>
      <c r="D2378" s="2" t="s">
        <v>977</v>
      </c>
    </row>
    <row r="2379">
      <c r="A2379" s="8">
        <v>46189.154952893514</v>
      </c>
      <c r="B2379" s="2" t="s">
        <v>991</v>
      </c>
      <c r="C2379" s="2" t="s">
        <v>519</v>
      </c>
      <c r="D2379" s="2" t="s">
        <v>1016</v>
      </c>
    </row>
    <row r="2380">
      <c r="A2380" s="8">
        <v>46189.15496208333</v>
      </c>
      <c r="B2380" s="2" t="s">
        <v>991</v>
      </c>
      <c r="C2380" s="2" t="s">
        <v>534</v>
      </c>
      <c r="D2380" s="2" t="s">
        <v>1010</v>
      </c>
    </row>
    <row r="2381">
      <c r="A2381" s="8">
        <v>46189.15497041667</v>
      </c>
      <c r="B2381" s="2" t="s">
        <v>840</v>
      </c>
      <c r="C2381" s="2" t="s">
        <v>768</v>
      </c>
      <c r="D2381" s="2" t="s">
        <v>1027</v>
      </c>
    </row>
    <row r="2382">
      <c r="A2382" s="8">
        <v>46189.15497394676</v>
      </c>
      <c r="B2382" s="2" t="s">
        <v>840</v>
      </c>
      <c r="C2382" s="2" t="s">
        <v>773</v>
      </c>
      <c r="D2382" s="2" t="s">
        <v>930</v>
      </c>
    </row>
    <row r="2383">
      <c r="A2383" s="8">
        <v>46189.154977199076</v>
      </c>
      <c r="B2383" s="2" t="s">
        <v>840</v>
      </c>
      <c r="C2383" s="2" t="s">
        <v>783</v>
      </c>
      <c r="D2383" s="2" t="s">
        <v>1009</v>
      </c>
    </row>
    <row r="2384">
      <c r="A2384" s="8">
        <v>46189.154980520834</v>
      </c>
      <c r="B2384" s="2" t="s">
        <v>894</v>
      </c>
      <c r="C2384" s="2"/>
      <c r="D2384" s="2" t="s">
        <v>1017</v>
      </c>
    </row>
    <row r="2385">
      <c r="A2385" s="8">
        <v>46189.19643924768</v>
      </c>
      <c r="B2385" s="2" t="s">
        <v>838</v>
      </c>
      <c r="C2385" s="2" t="s">
        <v>792</v>
      </c>
      <c r="D2385" s="2" t="s">
        <v>1022</v>
      </c>
    </row>
    <row r="2386">
      <c r="A2386" s="8">
        <v>46189.19644267361</v>
      </c>
      <c r="B2386" s="2" t="s">
        <v>798</v>
      </c>
      <c r="C2386" s="2" t="s">
        <v>799</v>
      </c>
      <c r="D2386" s="2" t="s">
        <v>800</v>
      </c>
    </row>
    <row r="2387">
      <c r="A2387" s="8">
        <v>46189.19644753472</v>
      </c>
      <c r="B2387" s="2" t="s">
        <v>838</v>
      </c>
      <c r="C2387" s="2" t="s">
        <v>802</v>
      </c>
      <c r="D2387" s="2" t="s">
        <v>839</v>
      </c>
    </row>
    <row r="2388">
      <c r="A2388" s="8">
        <v>46189.19646440972</v>
      </c>
      <c r="B2388" s="2" t="s">
        <v>798</v>
      </c>
      <c r="C2388" s="2" t="s">
        <v>812</v>
      </c>
      <c r="D2388" s="2" t="s">
        <v>813</v>
      </c>
    </row>
    <row r="2389">
      <c r="A2389" s="8">
        <v>46189.19646799768</v>
      </c>
      <c r="B2389" s="2" t="s">
        <v>838</v>
      </c>
      <c r="C2389" s="2" t="s">
        <v>818</v>
      </c>
      <c r="D2389" s="2" t="s">
        <v>1024</v>
      </c>
    </row>
    <row r="2390">
      <c r="A2390" s="8">
        <v>46189.196473020835</v>
      </c>
      <c r="B2390" s="2" t="s">
        <v>798</v>
      </c>
      <c r="C2390" s="2" t="s">
        <v>830</v>
      </c>
      <c r="D2390" s="2" t="s">
        <v>831</v>
      </c>
    </row>
    <row r="2391">
      <c r="A2391" s="8">
        <v>46189.19647625</v>
      </c>
      <c r="B2391" s="2" t="s">
        <v>832</v>
      </c>
      <c r="C2391" s="2"/>
      <c r="D2391" s="2" t="s">
        <v>977</v>
      </c>
    </row>
    <row r="2392">
      <c r="A2392" s="8">
        <v>46189.19654263889</v>
      </c>
      <c r="B2392" s="2" t="s">
        <v>991</v>
      </c>
      <c r="C2392" s="2" t="s">
        <v>519</v>
      </c>
      <c r="D2392" s="2" t="s">
        <v>1016</v>
      </c>
    </row>
    <row r="2393">
      <c r="A2393" s="8">
        <v>46189.19654667824</v>
      </c>
      <c r="B2393" s="2" t="s">
        <v>991</v>
      </c>
      <c r="C2393" s="2" t="s">
        <v>534</v>
      </c>
      <c r="D2393" s="2" t="s">
        <v>1010</v>
      </c>
    </row>
    <row r="2394">
      <c r="A2394" s="8">
        <v>46189.1965603125</v>
      </c>
      <c r="B2394" s="2" t="s">
        <v>840</v>
      </c>
      <c r="C2394" s="2" t="s">
        <v>768</v>
      </c>
      <c r="D2394" s="2" t="s">
        <v>1027</v>
      </c>
    </row>
    <row r="2395">
      <c r="A2395" s="8">
        <v>46189.19656377315</v>
      </c>
      <c r="B2395" s="2" t="s">
        <v>840</v>
      </c>
      <c r="C2395" s="2" t="s">
        <v>773</v>
      </c>
      <c r="D2395" s="2" t="s">
        <v>930</v>
      </c>
    </row>
    <row r="2396">
      <c r="A2396" s="8">
        <v>46189.19656693287</v>
      </c>
      <c r="B2396" s="2" t="s">
        <v>840</v>
      </c>
      <c r="C2396" s="2" t="s">
        <v>783</v>
      </c>
      <c r="D2396" s="2" t="s">
        <v>1009</v>
      </c>
    </row>
    <row r="2397">
      <c r="A2397" s="8">
        <v>46189.19657015047</v>
      </c>
      <c r="B2397" s="2" t="s">
        <v>894</v>
      </c>
      <c r="C2397" s="2"/>
      <c r="D2397" s="2" t="s">
        <v>1017</v>
      </c>
    </row>
    <row r="2398">
      <c r="A2398" s="8">
        <v>46189.23819962963</v>
      </c>
      <c r="B2398" s="2" t="s">
        <v>838</v>
      </c>
      <c r="C2398" s="2" t="s">
        <v>792</v>
      </c>
      <c r="D2398" s="2" t="s">
        <v>1022</v>
      </c>
    </row>
    <row r="2399">
      <c r="A2399" s="8">
        <v>46189.23820604167</v>
      </c>
      <c r="B2399" s="2" t="s">
        <v>798</v>
      </c>
      <c r="C2399" s="2" t="s">
        <v>799</v>
      </c>
      <c r="D2399" s="2" t="s">
        <v>800</v>
      </c>
    </row>
    <row r="2400">
      <c r="A2400" s="8">
        <v>46189.23821791667</v>
      </c>
      <c r="B2400" s="2" t="s">
        <v>838</v>
      </c>
      <c r="C2400" s="2" t="s">
        <v>802</v>
      </c>
      <c r="D2400" s="2" t="s">
        <v>839</v>
      </c>
    </row>
    <row r="2401">
      <c r="A2401" s="8">
        <v>46189.238230601855</v>
      </c>
      <c r="B2401" s="2" t="s">
        <v>798</v>
      </c>
      <c r="C2401" s="2" t="s">
        <v>812</v>
      </c>
      <c r="D2401" s="2" t="s">
        <v>813</v>
      </c>
    </row>
    <row r="2402">
      <c r="A2402" s="8">
        <v>46189.23823486111</v>
      </c>
      <c r="B2402" s="2" t="s">
        <v>838</v>
      </c>
      <c r="C2402" s="2" t="s">
        <v>818</v>
      </c>
      <c r="D2402" s="2" t="s">
        <v>1024</v>
      </c>
    </row>
    <row r="2403">
      <c r="A2403" s="8">
        <v>46189.23824375</v>
      </c>
      <c r="B2403" s="2" t="s">
        <v>798</v>
      </c>
      <c r="C2403" s="2" t="s">
        <v>830</v>
      </c>
      <c r="D2403" s="2" t="s">
        <v>831</v>
      </c>
    </row>
    <row r="2404">
      <c r="A2404" s="8">
        <v>46189.23824803241</v>
      </c>
      <c r="B2404" s="2" t="s">
        <v>832</v>
      </c>
      <c r="C2404" s="2"/>
      <c r="D2404" s="2" t="s">
        <v>977</v>
      </c>
    </row>
    <row r="2405">
      <c r="A2405" s="8">
        <v>46189.23836383102</v>
      </c>
      <c r="B2405" s="2" t="s">
        <v>991</v>
      </c>
      <c r="C2405" s="2" t="s">
        <v>519</v>
      </c>
      <c r="D2405" s="2" t="s">
        <v>1016</v>
      </c>
    </row>
    <row r="2406">
      <c r="A2406" s="8">
        <v>46189.23839881945</v>
      </c>
      <c r="B2406" s="2" t="s">
        <v>991</v>
      </c>
      <c r="C2406" s="2" t="s">
        <v>534</v>
      </c>
      <c r="D2406" s="2" t="s">
        <v>1010</v>
      </c>
    </row>
    <row r="2407">
      <c r="A2407" s="8">
        <v>46189.238409108795</v>
      </c>
      <c r="B2407" s="2" t="s">
        <v>840</v>
      </c>
      <c r="C2407" s="2" t="s">
        <v>768</v>
      </c>
      <c r="D2407" s="2" t="s">
        <v>1027</v>
      </c>
    </row>
    <row r="2408">
      <c r="A2408" s="8">
        <v>46189.2384155787</v>
      </c>
      <c r="B2408" s="2" t="s">
        <v>840</v>
      </c>
      <c r="C2408" s="2" t="s">
        <v>773</v>
      </c>
      <c r="D2408" s="2" t="s">
        <v>930</v>
      </c>
    </row>
    <row r="2409">
      <c r="A2409" s="8">
        <v>46189.23842288194</v>
      </c>
      <c r="B2409" s="2" t="s">
        <v>840</v>
      </c>
      <c r="C2409" s="2" t="s">
        <v>783</v>
      </c>
      <c r="D2409" s="2" t="s">
        <v>1009</v>
      </c>
    </row>
    <row r="2410">
      <c r="A2410" s="8">
        <v>46189.23843358796</v>
      </c>
      <c r="B2410" s="2" t="s">
        <v>894</v>
      </c>
      <c r="C2410" s="2"/>
      <c r="D2410" s="2" t="s">
        <v>1017</v>
      </c>
    </row>
    <row r="2411">
      <c r="A2411" s="8">
        <v>46189.27976103009</v>
      </c>
      <c r="B2411" s="2" t="s">
        <v>838</v>
      </c>
      <c r="C2411" s="2" t="s">
        <v>792</v>
      </c>
      <c r="D2411" s="2" t="s">
        <v>1022</v>
      </c>
    </row>
    <row r="2412">
      <c r="A2412" s="8">
        <v>46189.279763935185</v>
      </c>
      <c r="B2412" s="2" t="s">
        <v>991</v>
      </c>
      <c r="C2412" s="2" t="s">
        <v>796</v>
      </c>
      <c r="D2412" s="2" t="s">
        <v>1036</v>
      </c>
    </row>
    <row r="2413">
      <c r="A2413" s="8">
        <v>46189.27976631944</v>
      </c>
      <c r="B2413" s="2" t="s">
        <v>798</v>
      </c>
      <c r="C2413" s="2" t="s">
        <v>799</v>
      </c>
      <c r="D2413" s="2" t="s">
        <v>800</v>
      </c>
    </row>
    <row r="2414">
      <c r="A2414" s="8">
        <v>46189.27978892361</v>
      </c>
      <c r="B2414" s="2" t="s">
        <v>838</v>
      </c>
      <c r="C2414" s="2" t="s">
        <v>802</v>
      </c>
      <c r="D2414" s="2" t="s">
        <v>839</v>
      </c>
    </row>
    <row r="2415">
      <c r="A2415" s="8">
        <v>46189.27979153935</v>
      </c>
      <c r="B2415" s="2" t="s">
        <v>798</v>
      </c>
      <c r="C2415" s="2" t="s">
        <v>812</v>
      </c>
      <c r="D2415" s="2" t="s">
        <v>813</v>
      </c>
    </row>
    <row r="2416">
      <c r="A2416" s="8">
        <v>46189.27979359953</v>
      </c>
      <c r="B2416" s="2" t="s">
        <v>838</v>
      </c>
      <c r="C2416" s="2" t="s">
        <v>818</v>
      </c>
      <c r="D2416" s="2" t="s">
        <v>1024</v>
      </c>
    </row>
    <row r="2417">
      <c r="A2417" s="8">
        <v>46189.279796296294</v>
      </c>
      <c r="B2417" s="2" t="s">
        <v>798</v>
      </c>
      <c r="C2417" s="2" t="s">
        <v>830</v>
      </c>
      <c r="D2417" s="2" t="s">
        <v>831</v>
      </c>
    </row>
    <row r="2418">
      <c r="A2418" s="8">
        <v>46189.279798495365</v>
      </c>
      <c r="B2418" s="2" t="s">
        <v>832</v>
      </c>
      <c r="C2418" s="2"/>
      <c r="D2418" s="2" t="s">
        <v>961</v>
      </c>
    </row>
    <row r="2419">
      <c r="A2419" s="8">
        <v>46189.279859699076</v>
      </c>
      <c r="B2419" s="2" t="s">
        <v>991</v>
      </c>
      <c r="C2419" s="2" t="s">
        <v>519</v>
      </c>
      <c r="D2419" s="2" t="s">
        <v>1016</v>
      </c>
    </row>
    <row r="2420">
      <c r="A2420" s="8">
        <v>46189.27986195602</v>
      </c>
      <c r="B2420" s="2" t="s">
        <v>991</v>
      </c>
      <c r="C2420" s="2" t="s">
        <v>534</v>
      </c>
      <c r="D2420" s="2" t="s">
        <v>1010</v>
      </c>
    </row>
    <row r="2421">
      <c r="A2421" s="8">
        <v>46189.27986490741</v>
      </c>
      <c r="B2421" s="2" t="s">
        <v>840</v>
      </c>
      <c r="C2421" s="2" t="s">
        <v>768</v>
      </c>
      <c r="D2421" s="2" t="s">
        <v>1027</v>
      </c>
    </row>
    <row r="2422">
      <c r="A2422" s="8">
        <v>46189.279866944446</v>
      </c>
      <c r="B2422" s="2" t="s">
        <v>840</v>
      </c>
      <c r="C2422" s="2" t="s">
        <v>773</v>
      </c>
      <c r="D2422" s="2" t="s">
        <v>930</v>
      </c>
    </row>
    <row r="2423">
      <c r="A2423" s="8">
        <v>46189.279869074075</v>
      </c>
      <c r="B2423" s="2" t="s">
        <v>840</v>
      </c>
      <c r="C2423" s="2" t="s">
        <v>783</v>
      </c>
      <c r="D2423" s="2" t="s">
        <v>1009</v>
      </c>
    </row>
    <row r="2424">
      <c r="A2424" s="8">
        <v>46189.279871192135</v>
      </c>
      <c r="B2424" s="2" t="s">
        <v>894</v>
      </c>
      <c r="C2424" s="2"/>
      <c r="D2424" s="2" t="s">
        <v>1017</v>
      </c>
    </row>
    <row r="2425">
      <c r="A2425" s="8">
        <v>46189.32143430556</v>
      </c>
      <c r="B2425" s="2" t="s">
        <v>838</v>
      </c>
      <c r="C2425" s="2" t="s">
        <v>792</v>
      </c>
      <c r="D2425" s="2" t="s">
        <v>1022</v>
      </c>
    </row>
    <row r="2426">
      <c r="A2426" s="8">
        <v>46189.32143813657</v>
      </c>
      <c r="B2426" s="2" t="s">
        <v>991</v>
      </c>
      <c r="C2426" s="2" t="s">
        <v>796</v>
      </c>
      <c r="D2426" s="2" t="s">
        <v>1036</v>
      </c>
    </row>
    <row r="2427">
      <c r="A2427" s="8">
        <v>46189.321444155095</v>
      </c>
      <c r="B2427" s="2" t="s">
        <v>798</v>
      </c>
      <c r="C2427" s="2" t="s">
        <v>799</v>
      </c>
      <c r="D2427" s="2" t="s">
        <v>800</v>
      </c>
    </row>
    <row r="2428">
      <c r="A2428" s="8">
        <v>46189.32145862268</v>
      </c>
      <c r="B2428" s="2" t="s">
        <v>838</v>
      </c>
      <c r="C2428" s="2" t="s">
        <v>802</v>
      </c>
      <c r="D2428" s="2" t="s">
        <v>839</v>
      </c>
    </row>
    <row r="2429">
      <c r="A2429" s="8">
        <v>46189.321471863426</v>
      </c>
      <c r="B2429" s="2" t="s">
        <v>798</v>
      </c>
      <c r="C2429" s="2" t="s">
        <v>812</v>
      </c>
      <c r="D2429" s="2" t="s">
        <v>813</v>
      </c>
    </row>
    <row r="2430">
      <c r="A2430" s="8">
        <v>46189.32147524305</v>
      </c>
      <c r="B2430" s="2" t="s">
        <v>838</v>
      </c>
      <c r="C2430" s="2" t="s">
        <v>818</v>
      </c>
      <c r="D2430" s="2" t="s">
        <v>1024</v>
      </c>
    </row>
    <row r="2431">
      <c r="A2431" s="8">
        <v>46189.3214794213</v>
      </c>
      <c r="B2431" s="2" t="s">
        <v>798</v>
      </c>
      <c r="C2431" s="2" t="s">
        <v>830</v>
      </c>
      <c r="D2431" s="2" t="s">
        <v>831</v>
      </c>
    </row>
    <row r="2432">
      <c r="A2432" s="8">
        <v>46189.32148244213</v>
      </c>
      <c r="B2432" s="2" t="s">
        <v>832</v>
      </c>
      <c r="C2432" s="2"/>
      <c r="D2432" s="2" t="s">
        <v>961</v>
      </c>
    </row>
    <row r="2433">
      <c r="A2433" s="8">
        <v>46189.321570416665</v>
      </c>
      <c r="B2433" s="2" t="s">
        <v>991</v>
      </c>
      <c r="C2433" s="2" t="s">
        <v>519</v>
      </c>
      <c r="D2433" s="2" t="s">
        <v>1016</v>
      </c>
    </row>
    <row r="2434">
      <c r="A2434" s="8">
        <v>46189.32157418982</v>
      </c>
      <c r="B2434" s="2" t="s">
        <v>991</v>
      </c>
      <c r="C2434" s="2" t="s">
        <v>534</v>
      </c>
      <c r="D2434" s="2" t="s">
        <v>1010</v>
      </c>
    </row>
    <row r="2435">
      <c r="A2435" s="8">
        <v>46189.32157809028</v>
      </c>
      <c r="B2435" s="2" t="s">
        <v>840</v>
      </c>
      <c r="C2435" s="2" t="s">
        <v>768</v>
      </c>
      <c r="D2435" s="2" t="s">
        <v>1027</v>
      </c>
    </row>
    <row r="2436">
      <c r="A2436" s="8">
        <v>46189.321582557866</v>
      </c>
      <c r="B2436" s="2" t="s">
        <v>840</v>
      </c>
      <c r="C2436" s="2" t="s">
        <v>773</v>
      </c>
      <c r="D2436" s="2" t="s">
        <v>930</v>
      </c>
    </row>
    <row r="2437">
      <c r="A2437" s="8">
        <v>46189.321585949074</v>
      </c>
      <c r="B2437" s="2" t="s">
        <v>840</v>
      </c>
      <c r="C2437" s="2" t="s">
        <v>783</v>
      </c>
      <c r="D2437" s="2" t="s">
        <v>1009</v>
      </c>
    </row>
    <row r="2438">
      <c r="A2438" s="8">
        <v>46189.32159216436</v>
      </c>
      <c r="B2438" s="2" t="s">
        <v>894</v>
      </c>
      <c r="C2438" s="2"/>
      <c r="D2438" s="2" t="s">
        <v>1017</v>
      </c>
    </row>
    <row r="2439">
      <c r="A2439" s="8">
        <v>46189.34744564815</v>
      </c>
      <c r="B2439" s="2" t="s">
        <v>991</v>
      </c>
      <c r="C2439" s="2" t="s">
        <v>519</v>
      </c>
      <c r="D2439" s="2" t="s">
        <v>1016</v>
      </c>
    </row>
    <row r="2440">
      <c r="A2440" s="8">
        <v>46189.3474502662</v>
      </c>
      <c r="B2440" s="2" t="s">
        <v>991</v>
      </c>
      <c r="C2440" s="2" t="s">
        <v>534</v>
      </c>
      <c r="D2440" s="2" t="s">
        <v>1010</v>
      </c>
    </row>
    <row r="2441">
      <c r="A2441" s="8">
        <v>46189.34745586806</v>
      </c>
      <c r="B2441" s="2" t="s">
        <v>840</v>
      </c>
      <c r="C2441" s="2" t="s">
        <v>768</v>
      </c>
      <c r="D2441" s="2" t="s">
        <v>1027</v>
      </c>
    </row>
    <row r="2442">
      <c r="A2442" s="8">
        <v>46189.34747116898</v>
      </c>
      <c r="B2442" s="2" t="s">
        <v>840</v>
      </c>
      <c r="C2442" s="2" t="s">
        <v>773</v>
      </c>
      <c r="D2442" s="2" t="s">
        <v>930</v>
      </c>
    </row>
    <row r="2443">
      <c r="A2443" s="8">
        <v>46189.347478125</v>
      </c>
      <c r="B2443" s="2" t="s">
        <v>840</v>
      </c>
      <c r="C2443" s="2" t="s">
        <v>783</v>
      </c>
      <c r="D2443" s="2" t="s">
        <v>1009</v>
      </c>
    </row>
    <row r="2444">
      <c r="A2444" s="8">
        <v>46189.3474810301</v>
      </c>
      <c r="B2444" s="2" t="s">
        <v>894</v>
      </c>
      <c r="C2444" s="2"/>
      <c r="D2444" s="2" t="s">
        <v>1017</v>
      </c>
    </row>
    <row r="2445">
      <c r="A2445" s="8">
        <v>46189.34774064815</v>
      </c>
      <c r="B2445" s="2" t="s">
        <v>979</v>
      </c>
      <c r="C2445" s="2" t="s">
        <v>796</v>
      </c>
      <c r="D2445" s="2" t="s">
        <v>1037</v>
      </c>
    </row>
    <row r="2446">
      <c r="A2446" s="8">
        <v>46189.34775741898</v>
      </c>
      <c r="B2446" s="2" t="s">
        <v>979</v>
      </c>
      <c r="C2446" s="2" t="s">
        <v>519</v>
      </c>
      <c r="D2446" s="2" t="s">
        <v>959</v>
      </c>
    </row>
    <row r="2447">
      <c r="A2447" s="8">
        <v>46189.34776748843</v>
      </c>
      <c r="B2447" s="2" t="s">
        <v>979</v>
      </c>
      <c r="C2447" s="2" t="s">
        <v>534</v>
      </c>
      <c r="D2447" s="2" t="s">
        <v>921</v>
      </c>
    </row>
    <row r="2448">
      <c r="A2448" s="8">
        <v>46189.347775682865</v>
      </c>
      <c r="B2448" s="2" t="s">
        <v>989</v>
      </c>
      <c r="C2448" s="2"/>
      <c r="D2448" s="2" t="s">
        <v>1038</v>
      </c>
    </row>
    <row r="2449">
      <c r="A2449" s="8">
        <v>46189.34805922453</v>
      </c>
      <c r="B2449" s="2" t="s">
        <v>989</v>
      </c>
      <c r="C2449" s="2"/>
      <c r="D2449" s="2" t="s">
        <v>1039</v>
      </c>
    </row>
    <row r="2450">
      <c r="A2450" s="8">
        <v>46189.363165462964</v>
      </c>
      <c r="B2450" s="2" t="s">
        <v>838</v>
      </c>
      <c r="C2450" s="2" t="s">
        <v>792</v>
      </c>
      <c r="D2450" s="2" t="s">
        <v>1022</v>
      </c>
    </row>
    <row r="2451">
      <c r="A2451" s="8">
        <v>46189.36317045139</v>
      </c>
      <c r="B2451" s="2" t="s">
        <v>798</v>
      </c>
      <c r="C2451" s="2" t="s">
        <v>799</v>
      </c>
      <c r="D2451" s="2" t="s">
        <v>800</v>
      </c>
    </row>
    <row r="2452">
      <c r="A2452" s="8">
        <v>46189.363177164356</v>
      </c>
      <c r="B2452" s="2" t="s">
        <v>838</v>
      </c>
      <c r="C2452" s="2" t="s">
        <v>802</v>
      </c>
      <c r="D2452" s="2" t="s">
        <v>839</v>
      </c>
    </row>
    <row r="2453">
      <c r="A2453" s="8">
        <v>46189.363201493055</v>
      </c>
      <c r="B2453" s="2" t="s">
        <v>798</v>
      </c>
      <c r="C2453" s="2" t="s">
        <v>812</v>
      </c>
      <c r="D2453" s="2" t="s">
        <v>813</v>
      </c>
    </row>
    <row r="2454">
      <c r="A2454" s="8">
        <v>46189.363208483795</v>
      </c>
      <c r="B2454" s="2" t="s">
        <v>838</v>
      </c>
      <c r="C2454" s="2" t="s">
        <v>818</v>
      </c>
      <c r="D2454" s="2" t="s">
        <v>1024</v>
      </c>
    </row>
    <row r="2455">
      <c r="A2455" s="8">
        <v>46189.36321306713</v>
      </c>
      <c r="B2455" s="2" t="s">
        <v>798</v>
      </c>
      <c r="C2455" s="2" t="s">
        <v>830</v>
      </c>
      <c r="D2455" s="2" t="s">
        <v>831</v>
      </c>
    </row>
    <row r="2456">
      <c r="A2456" s="8">
        <v>46189.36322484954</v>
      </c>
      <c r="B2456" s="2" t="s">
        <v>832</v>
      </c>
      <c r="C2456" s="2"/>
      <c r="D2456" s="2" t="s">
        <v>977</v>
      </c>
    </row>
    <row r="2457">
      <c r="A2457" s="8">
        <v>46189.36331144676</v>
      </c>
      <c r="B2457" s="2" t="s">
        <v>840</v>
      </c>
      <c r="C2457" s="2" t="s">
        <v>768</v>
      </c>
      <c r="D2457" s="2" t="s">
        <v>1027</v>
      </c>
    </row>
    <row r="2458">
      <c r="A2458" s="8">
        <v>46189.36331482639</v>
      </c>
      <c r="B2458" s="2" t="s">
        <v>840</v>
      </c>
      <c r="C2458" s="2" t="s">
        <v>773</v>
      </c>
      <c r="D2458" s="2" t="s">
        <v>930</v>
      </c>
    </row>
    <row r="2459">
      <c r="A2459" s="8">
        <v>46189.36331832176</v>
      </c>
      <c r="B2459" s="2" t="s">
        <v>840</v>
      </c>
      <c r="C2459" s="2" t="s">
        <v>783</v>
      </c>
      <c r="D2459" s="2" t="s">
        <v>1009</v>
      </c>
    </row>
    <row r="2460">
      <c r="A2460" s="8">
        <v>46189.36332409723</v>
      </c>
      <c r="B2460" s="2" t="s">
        <v>894</v>
      </c>
      <c r="C2460" s="2"/>
      <c r="D2460" s="2" t="s">
        <v>1040</v>
      </c>
    </row>
    <row r="2461">
      <c r="A2461" s="8">
        <v>46189.4058228125</v>
      </c>
      <c r="B2461" s="2" t="s">
        <v>844</v>
      </c>
      <c r="C2461" s="2" t="s">
        <v>794</v>
      </c>
      <c r="D2461" s="2" t="s">
        <v>948</v>
      </c>
    </row>
    <row r="2462">
      <c r="A2462" s="8">
        <v>46189.40635358796</v>
      </c>
      <c r="B2462" s="2" t="s">
        <v>798</v>
      </c>
      <c r="C2462" s="2" t="s">
        <v>799</v>
      </c>
      <c r="D2462" s="2" t="s">
        <v>800</v>
      </c>
    </row>
    <row r="2463">
      <c r="A2463" s="8">
        <v>46189.406427118054</v>
      </c>
      <c r="B2463" s="2" t="s">
        <v>991</v>
      </c>
      <c r="C2463" s="2" t="s">
        <v>848</v>
      </c>
      <c r="D2463" s="2" t="s">
        <v>1041</v>
      </c>
    </row>
    <row r="2464">
      <c r="A2464" s="8">
        <v>46189.40661199074</v>
      </c>
      <c r="B2464" s="2" t="s">
        <v>798</v>
      </c>
      <c r="C2464" s="2" t="s">
        <v>812</v>
      </c>
      <c r="D2464" s="2" t="s">
        <v>813</v>
      </c>
    </row>
    <row r="2465">
      <c r="A2465" s="8">
        <v>46189.4068046875</v>
      </c>
      <c r="B2465" s="2" t="s">
        <v>840</v>
      </c>
      <c r="C2465" s="2" t="s">
        <v>818</v>
      </c>
      <c r="D2465" s="2" t="s">
        <v>1042</v>
      </c>
    </row>
    <row r="2466">
      <c r="A2466" s="8">
        <v>46189.40686556713</v>
      </c>
      <c r="B2466" s="2" t="s">
        <v>991</v>
      </c>
      <c r="C2466" s="2" t="s">
        <v>822</v>
      </c>
      <c r="D2466" s="2" t="s">
        <v>1043</v>
      </c>
    </row>
    <row r="2467">
      <c r="A2467" s="8">
        <v>46189.406974756945</v>
      </c>
      <c r="B2467" s="2" t="s">
        <v>991</v>
      </c>
      <c r="C2467" s="2" t="s">
        <v>824</v>
      </c>
      <c r="D2467" s="2" t="s">
        <v>1041</v>
      </c>
    </row>
    <row r="2468">
      <c r="A2468" s="8">
        <v>46189.40761818287</v>
      </c>
      <c r="B2468" s="2" t="s">
        <v>991</v>
      </c>
      <c r="C2468" s="2" t="s">
        <v>826</v>
      </c>
      <c r="D2468" s="2" t="s">
        <v>1044</v>
      </c>
    </row>
    <row r="2469">
      <c r="A2469" s="8">
        <v>46189.40869989584</v>
      </c>
      <c r="B2469" s="2" t="s">
        <v>832</v>
      </c>
      <c r="C2469" s="2"/>
      <c r="D2469" s="2" t="s">
        <v>1045</v>
      </c>
    </row>
    <row r="2470">
      <c r="A2470" s="8">
        <v>46189.410047337966</v>
      </c>
      <c r="B2470" s="2" t="s">
        <v>991</v>
      </c>
      <c r="C2470" s="2" t="s">
        <v>509</v>
      </c>
      <c r="D2470" s="2" t="s">
        <v>1046</v>
      </c>
    </row>
    <row r="2471">
      <c r="A2471" s="8">
        <v>46189.41023116898</v>
      </c>
      <c r="B2471" s="2" t="s">
        <v>991</v>
      </c>
      <c r="C2471" s="2" t="s">
        <v>529</v>
      </c>
      <c r="D2471" s="2" t="s">
        <v>1047</v>
      </c>
    </row>
    <row r="2472">
      <c r="A2472" s="8">
        <v>46189.41036517361</v>
      </c>
      <c r="B2472" s="2" t="s">
        <v>991</v>
      </c>
      <c r="C2472" s="2" t="s">
        <v>549</v>
      </c>
      <c r="D2472" s="2" t="s">
        <v>1016</v>
      </c>
    </row>
    <row r="2473">
      <c r="A2473" s="8">
        <v>46189.411477754635</v>
      </c>
      <c r="B2473" s="2" t="s">
        <v>840</v>
      </c>
      <c r="C2473" s="2" t="s">
        <v>768</v>
      </c>
      <c r="D2473" s="2" t="s">
        <v>1027</v>
      </c>
    </row>
    <row r="2474">
      <c r="A2474" s="8">
        <v>46189.411477754635</v>
      </c>
      <c r="B2474" s="2" t="s">
        <v>840</v>
      </c>
      <c r="C2474" s="2" t="s">
        <v>768</v>
      </c>
      <c r="D2474" s="2" t="s">
        <v>1027</v>
      </c>
    </row>
    <row r="2475">
      <c r="A2475" s="8">
        <v>46189.41200748843</v>
      </c>
      <c r="B2475" s="2" t="s">
        <v>840</v>
      </c>
      <c r="C2475" s="2" t="s">
        <v>773</v>
      </c>
      <c r="D2475" s="2" t="s">
        <v>930</v>
      </c>
    </row>
    <row r="2476">
      <c r="A2476" s="8">
        <v>46189.412561261575</v>
      </c>
      <c r="B2476" s="2" t="s">
        <v>840</v>
      </c>
      <c r="C2476" s="2" t="s">
        <v>783</v>
      </c>
      <c r="D2476" s="2" t="s">
        <v>1009</v>
      </c>
    </row>
    <row r="2477">
      <c r="A2477" s="8">
        <v>46189.41283725694</v>
      </c>
      <c r="B2477" s="2" t="s">
        <v>894</v>
      </c>
      <c r="C2477" s="2"/>
      <c r="D2477" s="2" t="s">
        <v>1048</v>
      </c>
    </row>
    <row r="2478">
      <c r="A2478" s="8">
        <v>46189.41556547454</v>
      </c>
      <c r="B2478" s="2" t="s">
        <v>991</v>
      </c>
      <c r="C2478" s="2" t="s">
        <v>509</v>
      </c>
      <c r="D2478" s="2" t="s">
        <v>1046</v>
      </c>
    </row>
    <row r="2479">
      <c r="A2479" s="8">
        <v>46189.415569502315</v>
      </c>
      <c r="B2479" s="2" t="s">
        <v>991</v>
      </c>
      <c r="C2479" s="2" t="s">
        <v>529</v>
      </c>
      <c r="D2479" s="2" t="s">
        <v>1047</v>
      </c>
    </row>
    <row r="2480">
      <c r="A2480" s="8">
        <v>46189.415573819446</v>
      </c>
      <c r="B2480" s="2" t="s">
        <v>991</v>
      </c>
      <c r="C2480" s="2" t="s">
        <v>549</v>
      </c>
      <c r="D2480" s="2" t="s">
        <v>1016</v>
      </c>
    </row>
    <row r="2481">
      <c r="A2481" s="8">
        <v>46189.4155778125</v>
      </c>
      <c r="B2481" s="2" t="s">
        <v>840</v>
      </c>
      <c r="C2481" s="2" t="s">
        <v>768</v>
      </c>
      <c r="D2481" s="2" t="s">
        <v>1027</v>
      </c>
    </row>
    <row r="2482">
      <c r="A2482" s="8">
        <v>46189.41558090277</v>
      </c>
      <c r="B2482" s="2" t="s">
        <v>840</v>
      </c>
      <c r="C2482" s="2" t="s">
        <v>773</v>
      </c>
      <c r="D2482" s="2" t="s">
        <v>930</v>
      </c>
    </row>
    <row r="2483">
      <c r="A2483" s="8">
        <v>46189.415584745366</v>
      </c>
      <c r="B2483" s="2" t="s">
        <v>840</v>
      </c>
      <c r="C2483" s="2" t="s">
        <v>783</v>
      </c>
      <c r="D2483" s="2" t="s">
        <v>1009</v>
      </c>
    </row>
    <row r="2484">
      <c r="A2484" s="8">
        <v>46189.41558753472</v>
      </c>
      <c r="B2484" s="2" t="s">
        <v>894</v>
      </c>
      <c r="C2484" s="2"/>
      <c r="D2484" s="2" t="s">
        <v>1048</v>
      </c>
    </row>
    <row r="2485">
      <c r="A2485" s="8">
        <v>46189.416021261575</v>
      </c>
      <c r="B2485" s="2" t="s">
        <v>979</v>
      </c>
      <c r="C2485" s="2" t="s">
        <v>848</v>
      </c>
      <c r="D2485" s="2" t="s">
        <v>981</v>
      </c>
    </row>
    <row r="2486">
      <c r="A2486" s="8">
        <v>46189.41603234954</v>
      </c>
      <c r="B2486" s="2" t="s">
        <v>979</v>
      </c>
      <c r="C2486" s="2" t="s">
        <v>822</v>
      </c>
      <c r="D2486" s="2" t="s">
        <v>1049</v>
      </c>
    </row>
    <row r="2487">
      <c r="A2487" s="8">
        <v>46189.41604200231</v>
      </c>
      <c r="B2487" s="2" t="s">
        <v>979</v>
      </c>
      <c r="C2487" s="2" t="s">
        <v>824</v>
      </c>
      <c r="D2487" s="2" t="s">
        <v>981</v>
      </c>
    </row>
    <row r="2488">
      <c r="A2488" s="8">
        <v>46189.41606880787</v>
      </c>
      <c r="B2488" s="2" t="s">
        <v>979</v>
      </c>
      <c r="C2488" s="2" t="s">
        <v>826</v>
      </c>
      <c r="D2488" s="2" t="s">
        <v>1050</v>
      </c>
    </row>
    <row r="2489">
      <c r="A2489" s="8">
        <v>46189.41608159722</v>
      </c>
      <c r="B2489" s="2" t="s">
        <v>979</v>
      </c>
      <c r="C2489" s="2" t="s">
        <v>509</v>
      </c>
      <c r="D2489" s="2" t="s">
        <v>988</v>
      </c>
    </row>
    <row r="2490">
      <c r="A2490" s="8">
        <v>46189.416091736115</v>
      </c>
      <c r="B2490" s="2" t="s">
        <v>979</v>
      </c>
      <c r="C2490" s="2" t="s">
        <v>529</v>
      </c>
      <c r="D2490" s="2" t="s">
        <v>1051</v>
      </c>
    </row>
    <row r="2491">
      <c r="A2491" s="8">
        <v>46189.416102013885</v>
      </c>
      <c r="B2491" s="2" t="s">
        <v>979</v>
      </c>
      <c r="C2491" s="2" t="s">
        <v>549</v>
      </c>
      <c r="D2491" s="2" t="s">
        <v>959</v>
      </c>
    </row>
    <row r="2492">
      <c r="A2492" s="8">
        <v>46189.41610878472</v>
      </c>
      <c r="B2492" s="2" t="s">
        <v>989</v>
      </c>
      <c r="C2492" s="2"/>
      <c r="D2492" s="2" t="s">
        <v>1052</v>
      </c>
    </row>
    <row r="2493">
      <c r="A2493" s="8">
        <v>46189.44644907408</v>
      </c>
      <c r="B2493" s="2" t="s">
        <v>798</v>
      </c>
      <c r="C2493" s="2" t="s">
        <v>799</v>
      </c>
      <c r="D2493" s="2" t="s">
        <v>800</v>
      </c>
    </row>
    <row r="2494">
      <c r="A2494" s="8">
        <v>46189.44645418982</v>
      </c>
      <c r="B2494" s="2" t="s">
        <v>798</v>
      </c>
      <c r="C2494" s="2" t="s">
        <v>812</v>
      </c>
      <c r="D2494" s="2" t="s">
        <v>813</v>
      </c>
    </row>
    <row r="2495">
      <c r="A2495" s="8">
        <v>46189.44646280093</v>
      </c>
      <c r="B2495" s="2" t="s">
        <v>840</v>
      </c>
      <c r="C2495" s="2" t="s">
        <v>818</v>
      </c>
      <c r="D2495" s="2" t="s">
        <v>1042</v>
      </c>
    </row>
    <row r="2496">
      <c r="A2496" s="8">
        <v>46189.44647717592</v>
      </c>
      <c r="B2496" s="2" t="s">
        <v>832</v>
      </c>
      <c r="C2496" s="2"/>
      <c r="D2496" s="2" t="s">
        <v>1053</v>
      </c>
    </row>
    <row r="2497">
      <c r="A2497" s="8">
        <v>46189.44654390046</v>
      </c>
      <c r="B2497" s="2" t="s">
        <v>840</v>
      </c>
      <c r="C2497" s="2" t="s">
        <v>768</v>
      </c>
      <c r="D2497" s="2" t="s">
        <v>1027</v>
      </c>
    </row>
    <row r="2498">
      <c r="A2498" s="8">
        <v>46189.44655046296</v>
      </c>
      <c r="B2498" s="2" t="s">
        <v>840</v>
      </c>
      <c r="C2498" s="2" t="s">
        <v>773</v>
      </c>
      <c r="D2498" s="2" t="s">
        <v>930</v>
      </c>
    </row>
    <row r="2499">
      <c r="A2499" s="8">
        <v>46189.446553194444</v>
      </c>
      <c r="B2499" s="2" t="s">
        <v>840</v>
      </c>
      <c r="C2499" s="2" t="s">
        <v>783</v>
      </c>
      <c r="D2499" s="2" t="s">
        <v>1009</v>
      </c>
    </row>
    <row r="2500">
      <c r="A2500" s="8">
        <v>46189.446556111114</v>
      </c>
      <c r="B2500" s="2" t="s">
        <v>894</v>
      </c>
      <c r="C2500" s="2"/>
      <c r="D2500" s="2" t="s">
        <v>1040</v>
      </c>
    </row>
    <row r="2501">
      <c r="A2501" s="8">
        <v>46189.48810430555</v>
      </c>
      <c r="B2501" s="2" t="s">
        <v>798</v>
      </c>
      <c r="C2501" s="2" t="s">
        <v>799</v>
      </c>
      <c r="D2501" s="2" t="s">
        <v>800</v>
      </c>
    </row>
    <row r="2502">
      <c r="A2502" s="8">
        <v>46189.48810923611</v>
      </c>
      <c r="B2502" s="2" t="s">
        <v>798</v>
      </c>
      <c r="C2502" s="2" t="s">
        <v>812</v>
      </c>
      <c r="D2502" s="2" t="s">
        <v>813</v>
      </c>
    </row>
    <row r="2503">
      <c r="A2503" s="8">
        <v>46189.488129247686</v>
      </c>
      <c r="B2503" s="2" t="s">
        <v>840</v>
      </c>
      <c r="C2503" s="2" t="s">
        <v>818</v>
      </c>
      <c r="D2503" s="2" t="s">
        <v>1042</v>
      </c>
    </row>
    <row r="2504">
      <c r="A2504" s="8">
        <v>46189.488133402774</v>
      </c>
      <c r="B2504" s="2" t="s">
        <v>832</v>
      </c>
      <c r="C2504" s="2"/>
      <c r="D2504" s="2" t="s">
        <v>1053</v>
      </c>
    </row>
    <row r="2505">
      <c r="A2505" s="8">
        <v>46189.488195150465</v>
      </c>
      <c r="B2505" s="2" t="s">
        <v>840</v>
      </c>
      <c r="C2505" s="2" t="s">
        <v>768</v>
      </c>
      <c r="D2505" s="2" t="s">
        <v>1027</v>
      </c>
    </row>
    <row r="2506">
      <c r="A2506" s="8">
        <v>46189.48819797454</v>
      </c>
      <c r="B2506" s="2" t="s">
        <v>840</v>
      </c>
      <c r="C2506" s="2" t="s">
        <v>773</v>
      </c>
      <c r="D2506" s="2" t="s">
        <v>930</v>
      </c>
    </row>
    <row r="2507">
      <c r="A2507" s="8">
        <v>46189.48820043981</v>
      </c>
      <c r="B2507" s="2" t="s">
        <v>840</v>
      </c>
      <c r="C2507" s="2" t="s">
        <v>783</v>
      </c>
      <c r="D2507" s="2" t="s">
        <v>1009</v>
      </c>
    </row>
    <row r="2508">
      <c r="A2508" s="8">
        <v>46189.48820310185</v>
      </c>
      <c r="B2508" s="2" t="s">
        <v>894</v>
      </c>
      <c r="C2508" s="2"/>
      <c r="D2508" s="2" t="s">
        <v>1040</v>
      </c>
    </row>
    <row r="2509">
      <c r="A2509" s="8">
        <v>46189.529780717596</v>
      </c>
      <c r="B2509" s="2" t="s">
        <v>798</v>
      </c>
      <c r="C2509" s="2" t="s">
        <v>799</v>
      </c>
      <c r="D2509" s="2" t="s">
        <v>800</v>
      </c>
    </row>
    <row r="2510">
      <c r="A2510" s="8">
        <v>46189.52978945602</v>
      </c>
      <c r="B2510" s="2" t="s">
        <v>798</v>
      </c>
      <c r="C2510" s="2" t="s">
        <v>812</v>
      </c>
      <c r="D2510" s="2" t="s">
        <v>813</v>
      </c>
    </row>
    <row r="2511">
      <c r="A2511" s="8">
        <v>46189.52980550926</v>
      </c>
      <c r="B2511" s="2" t="s">
        <v>840</v>
      </c>
      <c r="C2511" s="2" t="s">
        <v>818</v>
      </c>
      <c r="D2511" s="2" t="s">
        <v>1042</v>
      </c>
    </row>
    <row r="2512">
      <c r="A2512" s="8">
        <v>46189.52981364583</v>
      </c>
      <c r="B2512" s="2" t="s">
        <v>832</v>
      </c>
      <c r="C2512" s="2"/>
      <c r="D2512" s="2" t="s">
        <v>1053</v>
      </c>
    </row>
    <row r="2513">
      <c r="A2513" s="8">
        <v>46189.52988915509</v>
      </c>
      <c r="B2513" s="2" t="s">
        <v>840</v>
      </c>
      <c r="C2513" s="2" t="s">
        <v>768</v>
      </c>
      <c r="D2513" s="2" t="s">
        <v>1027</v>
      </c>
    </row>
    <row r="2514">
      <c r="A2514" s="8">
        <v>46189.52989318287</v>
      </c>
      <c r="B2514" s="2" t="s">
        <v>840</v>
      </c>
      <c r="C2514" s="2" t="s">
        <v>773</v>
      </c>
      <c r="D2514" s="2" t="s">
        <v>930</v>
      </c>
    </row>
    <row r="2515">
      <c r="A2515" s="8">
        <v>46189.52989747685</v>
      </c>
      <c r="B2515" s="2" t="s">
        <v>840</v>
      </c>
      <c r="C2515" s="2" t="s">
        <v>783</v>
      </c>
      <c r="D2515" s="2" t="s">
        <v>1009</v>
      </c>
    </row>
    <row r="2516">
      <c r="A2516" s="8">
        <v>46189.529902106486</v>
      </c>
      <c r="B2516" s="2" t="s">
        <v>894</v>
      </c>
      <c r="C2516" s="2"/>
      <c r="D2516" s="2" t="s">
        <v>1040</v>
      </c>
    </row>
    <row r="2517">
      <c r="A2517" s="8">
        <v>46189.57144640046</v>
      </c>
      <c r="B2517" s="2" t="s">
        <v>798</v>
      </c>
      <c r="C2517" s="2" t="s">
        <v>799</v>
      </c>
      <c r="D2517" s="2" t="s">
        <v>800</v>
      </c>
    </row>
    <row r="2518">
      <c r="A2518" s="8">
        <v>46189.57145092593</v>
      </c>
      <c r="B2518" s="2" t="s">
        <v>798</v>
      </c>
      <c r="C2518" s="2" t="s">
        <v>812</v>
      </c>
      <c r="D2518" s="2" t="s">
        <v>813</v>
      </c>
    </row>
    <row r="2519">
      <c r="A2519" s="8">
        <v>46189.57145398148</v>
      </c>
      <c r="B2519" s="2" t="s">
        <v>840</v>
      </c>
      <c r="C2519" s="2" t="s">
        <v>818</v>
      </c>
      <c r="D2519" s="2" t="s">
        <v>1042</v>
      </c>
    </row>
    <row r="2520">
      <c r="A2520" s="8">
        <v>46189.57145724537</v>
      </c>
      <c r="B2520" s="2" t="s">
        <v>832</v>
      </c>
      <c r="C2520" s="2"/>
      <c r="D2520" s="2" t="s">
        <v>1053</v>
      </c>
    </row>
    <row r="2521">
      <c r="A2521" s="8">
        <v>46189.57153100694</v>
      </c>
      <c r="B2521" s="2" t="s">
        <v>840</v>
      </c>
      <c r="C2521" s="2" t="s">
        <v>768</v>
      </c>
      <c r="D2521" s="2" t="s">
        <v>1027</v>
      </c>
    </row>
    <row r="2522">
      <c r="A2522" s="8">
        <v>46189.571533379625</v>
      </c>
      <c r="B2522" s="2" t="s">
        <v>840</v>
      </c>
      <c r="C2522" s="2" t="s">
        <v>773</v>
      </c>
      <c r="D2522" s="2" t="s">
        <v>930</v>
      </c>
    </row>
    <row r="2523">
      <c r="A2523" s="8">
        <v>46189.57154804398</v>
      </c>
      <c r="B2523" s="2" t="s">
        <v>840</v>
      </c>
      <c r="C2523" s="2" t="s">
        <v>783</v>
      </c>
      <c r="D2523" s="2" t="s">
        <v>1009</v>
      </c>
    </row>
    <row r="2524">
      <c r="A2524" s="8">
        <v>46189.571550416666</v>
      </c>
      <c r="B2524" s="2" t="s">
        <v>894</v>
      </c>
      <c r="C2524" s="2"/>
      <c r="D2524" s="2" t="s">
        <v>1040</v>
      </c>
    </row>
    <row r="2525">
      <c r="A2525" s="8">
        <v>46189.61310028935</v>
      </c>
      <c r="B2525" s="2" t="s">
        <v>798</v>
      </c>
      <c r="C2525" s="2" t="s">
        <v>799</v>
      </c>
      <c r="D2525" s="2" t="s">
        <v>800</v>
      </c>
    </row>
    <row r="2526">
      <c r="A2526" s="8">
        <v>46189.613103958334</v>
      </c>
      <c r="B2526" s="2" t="s">
        <v>798</v>
      </c>
      <c r="C2526" s="2" t="s">
        <v>812</v>
      </c>
      <c r="D2526" s="2" t="s">
        <v>813</v>
      </c>
    </row>
    <row r="2527">
      <c r="A2527" s="8">
        <v>46189.61311027777</v>
      </c>
      <c r="B2527" s="2" t="s">
        <v>840</v>
      </c>
      <c r="C2527" s="2" t="s">
        <v>818</v>
      </c>
      <c r="D2527" s="2" t="s">
        <v>1042</v>
      </c>
    </row>
    <row r="2528">
      <c r="A2528" s="8">
        <v>46189.61313932871</v>
      </c>
      <c r="B2528" s="2" t="s">
        <v>832</v>
      </c>
      <c r="C2528" s="2"/>
      <c r="D2528" s="2" t="s">
        <v>1053</v>
      </c>
    </row>
    <row r="2529">
      <c r="A2529" s="8">
        <v>46189.613198125</v>
      </c>
      <c r="B2529" s="2" t="s">
        <v>840</v>
      </c>
      <c r="C2529" s="2" t="s">
        <v>768</v>
      </c>
      <c r="D2529" s="2" t="s">
        <v>1027</v>
      </c>
    </row>
    <row r="2530">
      <c r="A2530" s="8">
        <v>46189.61320259259</v>
      </c>
      <c r="B2530" s="2" t="s">
        <v>840</v>
      </c>
      <c r="C2530" s="2" t="s">
        <v>773</v>
      </c>
      <c r="D2530" s="2" t="s">
        <v>930</v>
      </c>
    </row>
    <row r="2531">
      <c r="A2531" s="8">
        <v>46189.61320489583</v>
      </c>
      <c r="B2531" s="2" t="s">
        <v>840</v>
      </c>
      <c r="C2531" s="2" t="s">
        <v>783</v>
      </c>
      <c r="D2531" s="2" t="s">
        <v>1009</v>
      </c>
    </row>
    <row r="2532">
      <c r="A2532" s="8">
        <v>46189.613207118055</v>
      </c>
      <c r="B2532" s="2" t="s">
        <v>894</v>
      </c>
      <c r="C2532" s="2"/>
      <c r="D2532" s="2" t="s">
        <v>1040</v>
      </c>
    </row>
    <row r="2533">
      <c r="A2533" s="8">
        <v>46189.654775682866</v>
      </c>
      <c r="B2533" s="2" t="s">
        <v>798</v>
      </c>
      <c r="C2533" s="2" t="s">
        <v>799</v>
      </c>
      <c r="D2533" s="2" t="s">
        <v>800</v>
      </c>
    </row>
    <row r="2534">
      <c r="A2534" s="8">
        <v>46189.65484722222</v>
      </c>
      <c r="B2534" s="2" t="s">
        <v>991</v>
      </c>
      <c r="C2534" s="2" t="s">
        <v>806</v>
      </c>
      <c r="D2534" s="2" t="s">
        <v>1006</v>
      </c>
    </row>
    <row r="2535">
      <c r="A2535" s="8">
        <v>46189.65485211805</v>
      </c>
      <c r="B2535" s="2" t="s">
        <v>798</v>
      </c>
      <c r="C2535" s="2" t="s">
        <v>812</v>
      </c>
      <c r="D2535" s="2" t="s">
        <v>813</v>
      </c>
    </row>
    <row r="2536">
      <c r="A2536" s="8">
        <v>46189.6548552662</v>
      </c>
      <c r="B2536" s="2" t="s">
        <v>840</v>
      </c>
      <c r="C2536" s="2" t="s">
        <v>818</v>
      </c>
      <c r="D2536" s="2" t="s">
        <v>1042</v>
      </c>
    </row>
    <row r="2537">
      <c r="A2537" s="8">
        <v>46189.654861076386</v>
      </c>
      <c r="B2537" s="2" t="s">
        <v>832</v>
      </c>
      <c r="C2537" s="2"/>
      <c r="D2537" s="2" t="s">
        <v>1054</v>
      </c>
    </row>
    <row r="2538">
      <c r="A2538" s="8">
        <v>46189.654931157405</v>
      </c>
      <c r="B2538" s="2" t="s">
        <v>840</v>
      </c>
      <c r="C2538" s="2" t="s">
        <v>768</v>
      </c>
      <c r="D2538" s="2" t="s">
        <v>1027</v>
      </c>
    </row>
    <row r="2539">
      <c r="A2539" s="8">
        <v>46189.654934074075</v>
      </c>
      <c r="B2539" s="2" t="s">
        <v>840</v>
      </c>
      <c r="C2539" s="2" t="s">
        <v>773</v>
      </c>
      <c r="D2539" s="2" t="s">
        <v>930</v>
      </c>
    </row>
    <row r="2540">
      <c r="A2540" s="8">
        <v>46189.65493696759</v>
      </c>
      <c r="B2540" s="2" t="s">
        <v>840</v>
      </c>
      <c r="C2540" s="2" t="s">
        <v>783</v>
      </c>
      <c r="D2540" s="2" t="s">
        <v>1009</v>
      </c>
    </row>
    <row r="2541">
      <c r="A2541" s="8">
        <v>46189.65494324074</v>
      </c>
      <c r="B2541" s="2" t="s">
        <v>894</v>
      </c>
      <c r="C2541" s="2"/>
      <c r="D2541" s="2" t="s">
        <v>1040</v>
      </c>
    </row>
    <row r="2542">
      <c r="A2542" s="8">
        <v>46189.696467905094</v>
      </c>
      <c r="B2542" s="2" t="s">
        <v>798</v>
      </c>
      <c r="C2542" s="2" t="s">
        <v>799</v>
      </c>
      <c r="D2542" s="2" t="s">
        <v>800</v>
      </c>
    </row>
    <row r="2543">
      <c r="A2543" s="8">
        <v>46189.69651401621</v>
      </c>
      <c r="B2543" s="2" t="s">
        <v>798</v>
      </c>
      <c r="C2543" s="2" t="s">
        <v>812</v>
      </c>
      <c r="D2543" s="2" t="s">
        <v>813</v>
      </c>
    </row>
    <row r="2544">
      <c r="A2544" s="8">
        <v>46189.6965190162</v>
      </c>
      <c r="B2544" s="2" t="s">
        <v>840</v>
      </c>
      <c r="C2544" s="2" t="s">
        <v>818</v>
      </c>
      <c r="D2544" s="2" t="s">
        <v>1042</v>
      </c>
    </row>
    <row r="2545">
      <c r="A2545" s="8">
        <v>46189.696534375005</v>
      </c>
      <c r="B2545" s="2" t="s">
        <v>832</v>
      </c>
      <c r="C2545" s="2"/>
      <c r="D2545" s="2" t="s">
        <v>1053</v>
      </c>
    </row>
    <row r="2546">
      <c r="A2546" s="8">
        <v>46189.69661922454</v>
      </c>
      <c r="B2546" s="2" t="s">
        <v>840</v>
      </c>
      <c r="C2546" s="2" t="s">
        <v>768</v>
      </c>
      <c r="D2546" s="2" t="s">
        <v>1027</v>
      </c>
    </row>
    <row r="2547">
      <c r="A2547" s="8">
        <v>46189.696625</v>
      </c>
      <c r="B2547" s="2" t="s">
        <v>840</v>
      </c>
      <c r="C2547" s="2" t="s">
        <v>773</v>
      </c>
      <c r="D2547" s="2" t="s">
        <v>930</v>
      </c>
    </row>
    <row r="2548">
      <c r="A2548" s="8">
        <v>46189.696629976854</v>
      </c>
      <c r="B2548" s="2" t="s">
        <v>840</v>
      </c>
      <c r="C2548" s="2" t="s">
        <v>783</v>
      </c>
      <c r="D2548" s="2" t="s">
        <v>1009</v>
      </c>
    </row>
    <row r="2549">
      <c r="A2549" s="8">
        <v>46189.696634733795</v>
      </c>
      <c r="B2549" s="2" t="s">
        <v>894</v>
      </c>
      <c r="C2549" s="2"/>
      <c r="D2549" s="2" t="s">
        <v>1040</v>
      </c>
    </row>
    <row r="2550">
      <c r="A2550" s="8">
        <v>46189.73811341435</v>
      </c>
      <c r="B2550" s="2" t="s">
        <v>798</v>
      </c>
      <c r="C2550" s="2" t="s">
        <v>799</v>
      </c>
      <c r="D2550" s="2" t="s">
        <v>800</v>
      </c>
    </row>
    <row r="2551">
      <c r="A2551" s="8">
        <v>46189.738117974535</v>
      </c>
      <c r="B2551" s="2" t="s">
        <v>798</v>
      </c>
      <c r="C2551" s="2" t="s">
        <v>812</v>
      </c>
      <c r="D2551" s="2" t="s">
        <v>813</v>
      </c>
    </row>
    <row r="2552">
      <c r="A2552" s="8">
        <v>46189.73812304398</v>
      </c>
      <c r="B2552" s="2" t="s">
        <v>840</v>
      </c>
      <c r="C2552" s="2" t="s">
        <v>818</v>
      </c>
      <c r="D2552" s="2" t="s">
        <v>1042</v>
      </c>
    </row>
    <row r="2553">
      <c r="A2553" s="8">
        <v>46189.73812722223</v>
      </c>
      <c r="B2553" s="2" t="s">
        <v>832</v>
      </c>
      <c r="C2553" s="2"/>
      <c r="D2553" s="2" t="s">
        <v>1053</v>
      </c>
    </row>
    <row r="2554">
      <c r="A2554" s="8">
        <v>46189.73819934028</v>
      </c>
      <c r="B2554" s="2" t="s">
        <v>840</v>
      </c>
      <c r="C2554" s="2" t="s">
        <v>768</v>
      </c>
      <c r="D2554" s="2" t="s">
        <v>1027</v>
      </c>
    </row>
    <row r="2555">
      <c r="A2555" s="8">
        <v>46189.73820269676</v>
      </c>
      <c r="B2555" s="2" t="s">
        <v>840</v>
      </c>
      <c r="C2555" s="2" t="s">
        <v>773</v>
      </c>
      <c r="D2555" s="2" t="s">
        <v>930</v>
      </c>
    </row>
    <row r="2556">
      <c r="A2556" s="8">
        <v>46189.73820626157</v>
      </c>
      <c r="B2556" s="2" t="s">
        <v>840</v>
      </c>
      <c r="C2556" s="2" t="s">
        <v>783</v>
      </c>
      <c r="D2556" s="2" t="s">
        <v>1009</v>
      </c>
    </row>
    <row r="2557">
      <c r="A2557" s="8">
        <v>46189.73820978009</v>
      </c>
      <c r="B2557" s="2" t="s">
        <v>894</v>
      </c>
      <c r="C2557" s="2"/>
      <c r="D2557" s="2" t="s">
        <v>1040</v>
      </c>
    </row>
    <row r="2558">
      <c r="A2558" s="8">
        <v>46189.779782997684</v>
      </c>
      <c r="B2558" s="2" t="s">
        <v>798</v>
      </c>
      <c r="C2558" s="2" t="s">
        <v>799</v>
      </c>
      <c r="D2558" s="2" t="s">
        <v>800</v>
      </c>
    </row>
    <row r="2559">
      <c r="A2559" s="8">
        <v>46189.77978865741</v>
      </c>
      <c r="B2559" s="2" t="s">
        <v>798</v>
      </c>
      <c r="C2559" s="2" t="s">
        <v>812</v>
      </c>
      <c r="D2559" s="2" t="s">
        <v>813</v>
      </c>
    </row>
    <row r="2560">
      <c r="A2560" s="8">
        <v>46189.77980318287</v>
      </c>
      <c r="B2560" s="2" t="s">
        <v>840</v>
      </c>
      <c r="C2560" s="2" t="s">
        <v>818</v>
      </c>
      <c r="D2560" s="2" t="s">
        <v>1042</v>
      </c>
    </row>
    <row r="2561">
      <c r="A2561" s="8">
        <v>46189.77980824074</v>
      </c>
      <c r="B2561" s="2" t="s">
        <v>832</v>
      </c>
      <c r="C2561" s="2"/>
      <c r="D2561" s="2" t="s">
        <v>1053</v>
      </c>
    </row>
    <row r="2562">
      <c r="A2562" s="8">
        <v>46189.77987171296</v>
      </c>
      <c r="B2562" s="2" t="s">
        <v>840</v>
      </c>
      <c r="C2562" s="2" t="s">
        <v>768</v>
      </c>
      <c r="D2562" s="2" t="s">
        <v>1027</v>
      </c>
    </row>
    <row r="2563">
      <c r="A2563" s="8">
        <v>46189.77987452546</v>
      </c>
      <c r="B2563" s="2" t="s">
        <v>840</v>
      </c>
      <c r="C2563" s="2" t="s">
        <v>773</v>
      </c>
      <c r="D2563" s="2" t="s">
        <v>930</v>
      </c>
    </row>
    <row r="2564">
      <c r="A2564" s="8">
        <v>46189.77988077546</v>
      </c>
      <c r="B2564" s="2" t="s">
        <v>840</v>
      </c>
      <c r="C2564" s="2" t="s">
        <v>783</v>
      </c>
      <c r="D2564" s="2" t="s">
        <v>1009</v>
      </c>
    </row>
    <row r="2565">
      <c r="A2565" s="8">
        <v>46189.77988365741</v>
      </c>
      <c r="B2565" s="2" t="s">
        <v>894</v>
      </c>
      <c r="C2565" s="2"/>
      <c r="D2565" s="2" t="s">
        <v>1040</v>
      </c>
    </row>
    <row r="2566">
      <c r="A2566" s="8">
        <v>46189.82145037037</v>
      </c>
      <c r="B2566" s="2" t="s">
        <v>798</v>
      </c>
      <c r="C2566" s="2" t="s">
        <v>799</v>
      </c>
      <c r="D2566" s="2" t="s">
        <v>800</v>
      </c>
    </row>
    <row r="2567">
      <c r="A2567" s="8">
        <v>46189.82145638889</v>
      </c>
      <c r="B2567" s="2" t="s">
        <v>798</v>
      </c>
      <c r="C2567" s="2" t="s">
        <v>812</v>
      </c>
      <c r="D2567" s="2" t="s">
        <v>813</v>
      </c>
    </row>
    <row r="2568">
      <c r="A2568" s="8">
        <v>46189.82147553241</v>
      </c>
      <c r="B2568" s="2" t="s">
        <v>840</v>
      </c>
      <c r="C2568" s="2" t="s">
        <v>818</v>
      </c>
      <c r="D2568" s="2" t="s">
        <v>1042</v>
      </c>
    </row>
    <row r="2569">
      <c r="A2569" s="8">
        <v>46189.82148077546</v>
      </c>
      <c r="B2569" s="2" t="s">
        <v>832</v>
      </c>
      <c r="C2569" s="2"/>
      <c r="D2569" s="2" t="s">
        <v>1053</v>
      </c>
    </row>
    <row r="2570">
      <c r="A2570" s="8">
        <v>46189.82154960648</v>
      </c>
      <c r="B2570" s="2" t="s">
        <v>840</v>
      </c>
      <c r="C2570" s="2" t="s">
        <v>768</v>
      </c>
      <c r="D2570" s="2" t="s">
        <v>1027</v>
      </c>
    </row>
    <row r="2571">
      <c r="A2571" s="8">
        <v>46189.82155303241</v>
      </c>
      <c r="B2571" s="2" t="s">
        <v>840</v>
      </c>
      <c r="C2571" s="2" t="s">
        <v>773</v>
      </c>
      <c r="D2571" s="2" t="s">
        <v>930</v>
      </c>
    </row>
    <row r="2572">
      <c r="A2572" s="8">
        <v>46189.821560219905</v>
      </c>
      <c r="B2572" s="2" t="s">
        <v>840</v>
      </c>
      <c r="C2572" s="2" t="s">
        <v>783</v>
      </c>
      <c r="D2572" s="2" t="s">
        <v>1009</v>
      </c>
    </row>
    <row r="2573">
      <c r="A2573" s="8">
        <v>46189.821563310186</v>
      </c>
      <c r="B2573" s="2" t="s">
        <v>894</v>
      </c>
      <c r="C2573" s="2"/>
      <c r="D2573" s="2" t="s">
        <v>1040</v>
      </c>
    </row>
    <row r="2574">
      <c r="A2574" s="8">
        <v>46189.863120752314</v>
      </c>
      <c r="B2574" s="2" t="s">
        <v>798</v>
      </c>
      <c r="C2574" s="2" t="s">
        <v>799</v>
      </c>
      <c r="D2574" s="2" t="s">
        <v>800</v>
      </c>
    </row>
    <row r="2575">
      <c r="A2575" s="8">
        <v>46189.86312866898</v>
      </c>
      <c r="B2575" s="2" t="s">
        <v>798</v>
      </c>
      <c r="C2575" s="2" t="s">
        <v>812</v>
      </c>
      <c r="D2575" s="2" t="s">
        <v>813</v>
      </c>
    </row>
    <row r="2576">
      <c r="A2576" s="8">
        <v>46189.863144386574</v>
      </c>
      <c r="B2576" s="2" t="s">
        <v>840</v>
      </c>
      <c r="C2576" s="2" t="s">
        <v>818</v>
      </c>
      <c r="D2576" s="2" t="s">
        <v>1042</v>
      </c>
    </row>
    <row r="2577">
      <c r="A2577" s="8">
        <v>46189.8631512963</v>
      </c>
      <c r="B2577" s="2" t="s">
        <v>832</v>
      </c>
      <c r="C2577" s="2"/>
      <c r="D2577" s="2" t="s">
        <v>1053</v>
      </c>
    </row>
    <row r="2578">
      <c r="A2578" s="8">
        <v>46189.86323700231</v>
      </c>
      <c r="B2578" s="2" t="s">
        <v>991</v>
      </c>
      <c r="C2578" s="2" t="s">
        <v>607</v>
      </c>
      <c r="D2578" s="2" t="s">
        <v>1055</v>
      </c>
    </row>
    <row r="2579">
      <c r="A2579" s="8">
        <v>46189.86324009259</v>
      </c>
      <c r="B2579" s="2" t="s">
        <v>840</v>
      </c>
      <c r="C2579" s="2" t="s">
        <v>768</v>
      </c>
      <c r="D2579" s="2" t="s">
        <v>1027</v>
      </c>
    </row>
    <row r="2580">
      <c r="A2580" s="8">
        <v>46189.863243287036</v>
      </c>
      <c r="B2580" s="2" t="s">
        <v>840</v>
      </c>
      <c r="C2580" s="2" t="s">
        <v>773</v>
      </c>
      <c r="D2580" s="2" t="s">
        <v>930</v>
      </c>
    </row>
    <row r="2581">
      <c r="A2581" s="8">
        <v>46189.86324706019</v>
      </c>
      <c r="B2581" s="2" t="s">
        <v>840</v>
      </c>
      <c r="C2581" s="2" t="s">
        <v>783</v>
      </c>
      <c r="D2581" s="2" t="s">
        <v>1009</v>
      </c>
    </row>
    <row r="2582">
      <c r="A2582" s="8">
        <v>46189.86325028935</v>
      </c>
      <c r="B2582" s="2" t="s">
        <v>894</v>
      </c>
      <c r="C2582" s="2"/>
      <c r="D2582" s="2" t="s">
        <v>1012</v>
      </c>
    </row>
    <row r="2583">
      <c r="A2583" s="8">
        <v>46189.90477327546</v>
      </c>
      <c r="B2583" s="2" t="s">
        <v>798</v>
      </c>
      <c r="C2583" s="2" t="s">
        <v>799</v>
      </c>
      <c r="D2583" s="2" t="s">
        <v>800</v>
      </c>
    </row>
    <row r="2584">
      <c r="A2584" s="8">
        <v>46189.904777013886</v>
      </c>
      <c r="B2584" s="2" t="s">
        <v>798</v>
      </c>
      <c r="C2584" s="2" t="s">
        <v>812</v>
      </c>
      <c r="D2584" s="2" t="s">
        <v>813</v>
      </c>
    </row>
    <row r="2585">
      <c r="A2585" s="8">
        <v>46189.904779675926</v>
      </c>
      <c r="B2585" s="2" t="s">
        <v>840</v>
      </c>
      <c r="C2585" s="2" t="s">
        <v>818</v>
      </c>
      <c r="D2585" s="2" t="s">
        <v>1042</v>
      </c>
    </row>
    <row r="2586">
      <c r="A2586" s="8">
        <v>46189.904796689814</v>
      </c>
      <c r="B2586" s="2" t="s">
        <v>832</v>
      </c>
      <c r="C2586" s="2"/>
      <c r="D2586" s="2" t="s">
        <v>1053</v>
      </c>
    </row>
    <row r="2587">
      <c r="A2587" s="8">
        <v>46189.90485478009</v>
      </c>
      <c r="B2587" s="2" t="s">
        <v>991</v>
      </c>
      <c r="C2587" s="2" t="s">
        <v>607</v>
      </c>
      <c r="D2587" s="2" t="s">
        <v>1055</v>
      </c>
    </row>
    <row r="2588">
      <c r="A2588" s="8">
        <v>46189.904857118054</v>
      </c>
      <c r="B2588" s="2" t="s">
        <v>840</v>
      </c>
      <c r="C2588" s="2" t="s">
        <v>768</v>
      </c>
      <c r="D2588" s="2" t="s">
        <v>1027</v>
      </c>
    </row>
    <row r="2589">
      <c r="A2589" s="8">
        <v>46189.904859780094</v>
      </c>
      <c r="B2589" s="2" t="s">
        <v>840</v>
      </c>
      <c r="C2589" s="2" t="s">
        <v>773</v>
      </c>
      <c r="D2589" s="2" t="s">
        <v>930</v>
      </c>
    </row>
    <row r="2590">
      <c r="A2590" s="8">
        <v>46189.90486898148</v>
      </c>
      <c r="B2590" s="2" t="s">
        <v>840</v>
      </c>
      <c r="C2590" s="2" t="s">
        <v>783</v>
      </c>
      <c r="D2590" s="2" t="s">
        <v>1009</v>
      </c>
    </row>
    <row r="2591">
      <c r="A2591" s="8">
        <v>46189.90487193287</v>
      </c>
      <c r="B2591" s="2" t="s">
        <v>894</v>
      </c>
      <c r="C2591" s="2"/>
      <c r="D2591" s="2" t="s">
        <v>1012</v>
      </c>
    </row>
    <row r="2592">
      <c r="A2592" s="8">
        <v>46189.91711605324</v>
      </c>
      <c r="B2592" s="2" t="s">
        <v>863</v>
      </c>
      <c r="C2592" s="2"/>
      <c r="D2592" s="2" t="s">
        <v>1056</v>
      </c>
    </row>
    <row r="2593">
      <c r="A2593" s="8">
        <v>46189.94645074074</v>
      </c>
      <c r="B2593" s="2" t="s">
        <v>798</v>
      </c>
      <c r="C2593" s="2" t="s">
        <v>799</v>
      </c>
      <c r="D2593" s="2" t="s">
        <v>800</v>
      </c>
    </row>
    <row r="2594">
      <c r="A2594" s="8">
        <v>46189.94645511574</v>
      </c>
      <c r="B2594" s="2" t="s">
        <v>798</v>
      </c>
      <c r="C2594" s="2" t="s">
        <v>812</v>
      </c>
      <c r="D2594" s="2" t="s">
        <v>813</v>
      </c>
    </row>
    <row r="2595">
      <c r="A2595" s="8">
        <v>46189.94645866899</v>
      </c>
      <c r="B2595" s="2" t="s">
        <v>840</v>
      </c>
      <c r="C2595" s="2" t="s">
        <v>818</v>
      </c>
      <c r="D2595" s="2" t="s">
        <v>1042</v>
      </c>
    </row>
    <row r="2596">
      <c r="A2596" s="8">
        <v>46189.94647704861</v>
      </c>
      <c r="B2596" s="2" t="s">
        <v>832</v>
      </c>
      <c r="C2596" s="2"/>
      <c r="D2596" s="2" t="s">
        <v>1053</v>
      </c>
    </row>
    <row r="2597">
      <c r="A2597" s="8">
        <v>46189.9465466088</v>
      </c>
      <c r="B2597" s="2" t="s">
        <v>991</v>
      </c>
      <c r="C2597" s="2" t="s">
        <v>607</v>
      </c>
      <c r="D2597" s="2" t="s">
        <v>1055</v>
      </c>
    </row>
    <row r="2598">
      <c r="A2598" s="8">
        <v>46189.94654917824</v>
      </c>
      <c r="B2598" s="2" t="s">
        <v>840</v>
      </c>
      <c r="C2598" s="2" t="s">
        <v>768</v>
      </c>
      <c r="D2598" s="2" t="s">
        <v>1027</v>
      </c>
    </row>
    <row r="2599">
      <c r="A2599" s="8">
        <v>46189.94655175926</v>
      </c>
      <c r="B2599" s="2" t="s">
        <v>840</v>
      </c>
      <c r="C2599" s="2" t="s">
        <v>773</v>
      </c>
      <c r="D2599" s="2" t="s">
        <v>930</v>
      </c>
    </row>
    <row r="2600">
      <c r="A2600" s="8">
        <v>46189.94655603009</v>
      </c>
      <c r="B2600" s="2" t="s">
        <v>840</v>
      </c>
      <c r="C2600" s="2" t="s">
        <v>783</v>
      </c>
      <c r="D2600" s="2" t="s">
        <v>1009</v>
      </c>
    </row>
    <row r="2601">
      <c r="A2601" s="8">
        <v>46189.946559131946</v>
      </c>
      <c r="B2601" s="2" t="s">
        <v>894</v>
      </c>
      <c r="C2601" s="2"/>
      <c r="D2601" s="2" t="s">
        <v>1012</v>
      </c>
    </row>
    <row r="2602">
      <c r="A2602" s="8">
        <v>46189.988108935184</v>
      </c>
      <c r="B2602" s="2" t="s">
        <v>991</v>
      </c>
      <c r="C2602" s="2" t="s">
        <v>796</v>
      </c>
      <c r="D2602" s="2" t="s">
        <v>1006</v>
      </c>
    </row>
    <row r="2603">
      <c r="A2603" s="8">
        <v>46189.988111909726</v>
      </c>
      <c r="B2603" s="2" t="s">
        <v>798</v>
      </c>
      <c r="C2603" s="2" t="s">
        <v>799</v>
      </c>
      <c r="D2603" s="2" t="s">
        <v>800</v>
      </c>
    </row>
    <row r="2604">
      <c r="A2604" s="8">
        <v>46189.988115092594</v>
      </c>
      <c r="B2604" s="2" t="s">
        <v>798</v>
      </c>
      <c r="C2604" s="2" t="s">
        <v>812</v>
      </c>
      <c r="D2604" s="2" t="s">
        <v>813</v>
      </c>
    </row>
    <row r="2605">
      <c r="A2605" s="8">
        <v>46189.98811805555</v>
      </c>
      <c r="B2605" s="2" t="s">
        <v>840</v>
      </c>
      <c r="C2605" s="2" t="s">
        <v>818</v>
      </c>
      <c r="D2605" s="2" t="s">
        <v>1042</v>
      </c>
    </row>
    <row r="2606">
      <c r="A2606" s="8">
        <v>46189.98813121528</v>
      </c>
      <c r="B2606" s="2" t="s">
        <v>832</v>
      </c>
      <c r="C2606" s="2"/>
      <c r="D2606" s="2" t="s">
        <v>1054</v>
      </c>
    </row>
    <row r="2607">
      <c r="A2607" s="8">
        <v>46189.98819503472</v>
      </c>
      <c r="B2607" s="2" t="s">
        <v>991</v>
      </c>
      <c r="C2607" s="2" t="s">
        <v>607</v>
      </c>
      <c r="D2607" s="2" t="s">
        <v>1055</v>
      </c>
    </row>
    <row r="2608">
      <c r="A2608" s="8">
        <v>46189.98819866898</v>
      </c>
      <c r="B2608" s="2" t="s">
        <v>840</v>
      </c>
      <c r="C2608" s="2" t="s">
        <v>768</v>
      </c>
      <c r="D2608" s="2" t="s">
        <v>1027</v>
      </c>
    </row>
    <row r="2609">
      <c r="A2609" s="8">
        <v>46189.98820170139</v>
      </c>
      <c r="B2609" s="2" t="s">
        <v>840</v>
      </c>
      <c r="C2609" s="2" t="s">
        <v>773</v>
      </c>
      <c r="D2609" s="2" t="s">
        <v>930</v>
      </c>
    </row>
    <row r="2610">
      <c r="A2610" s="8">
        <v>46189.98820447917</v>
      </c>
      <c r="B2610" s="2" t="s">
        <v>840</v>
      </c>
      <c r="C2610" s="2" t="s">
        <v>783</v>
      </c>
      <c r="D2610" s="2" t="s">
        <v>1009</v>
      </c>
    </row>
    <row r="2611">
      <c r="A2611" s="8">
        <v>46189.98820824074</v>
      </c>
      <c r="B2611" s="2" t="s">
        <v>894</v>
      </c>
      <c r="C2611" s="2"/>
      <c r="D2611" s="2" t="s">
        <v>1012</v>
      </c>
    </row>
    <row r="2612">
      <c r="A2612" s="8">
        <v>46190.0298008449</v>
      </c>
      <c r="B2612" s="2" t="s">
        <v>798</v>
      </c>
      <c r="C2612" s="2" t="s">
        <v>799</v>
      </c>
      <c r="D2612" s="2" t="s">
        <v>800</v>
      </c>
    </row>
    <row r="2613">
      <c r="A2613" s="8">
        <v>46190.02981797454</v>
      </c>
      <c r="B2613" s="2" t="s">
        <v>798</v>
      </c>
      <c r="C2613" s="2" t="s">
        <v>812</v>
      </c>
      <c r="D2613" s="2" t="s">
        <v>813</v>
      </c>
    </row>
    <row r="2614">
      <c r="A2614" s="8">
        <v>46190.02982747685</v>
      </c>
      <c r="B2614" s="2" t="s">
        <v>840</v>
      </c>
      <c r="C2614" s="2" t="s">
        <v>818</v>
      </c>
      <c r="D2614" s="2" t="s">
        <v>1042</v>
      </c>
    </row>
    <row r="2615">
      <c r="A2615" s="8">
        <v>46190.029835810186</v>
      </c>
      <c r="B2615" s="2" t="s">
        <v>832</v>
      </c>
      <c r="C2615" s="2"/>
      <c r="D2615" s="2" t="s">
        <v>1053</v>
      </c>
    </row>
    <row r="2616">
      <c r="A2616" s="8">
        <v>46190.02993174769</v>
      </c>
      <c r="B2616" s="2" t="s">
        <v>991</v>
      </c>
      <c r="C2616" s="2" t="s">
        <v>607</v>
      </c>
      <c r="D2616" s="2" t="s">
        <v>1055</v>
      </c>
    </row>
    <row r="2617">
      <c r="A2617" s="8">
        <v>46190.02993559028</v>
      </c>
      <c r="B2617" s="2" t="s">
        <v>840</v>
      </c>
      <c r="C2617" s="2" t="s">
        <v>768</v>
      </c>
      <c r="D2617" s="2" t="s">
        <v>1027</v>
      </c>
    </row>
    <row r="2618">
      <c r="A2618" s="8">
        <v>46190.029939513886</v>
      </c>
      <c r="B2618" s="2" t="s">
        <v>840</v>
      </c>
      <c r="C2618" s="2" t="s">
        <v>773</v>
      </c>
      <c r="D2618" s="2" t="s">
        <v>930</v>
      </c>
    </row>
    <row r="2619">
      <c r="A2619" s="8">
        <v>46190.029943472226</v>
      </c>
      <c r="B2619" s="2" t="s">
        <v>840</v>
      </c>
      <c r="C2619" s="2" t="s">
        <v>783</v>
      </c>
      <c r="D2619" s="2" t="s">
        <v>1009</v>
      </c>
    </row>
    <row r="2620">
      <c r="A2620" s="8">
        <v>46190.02994795139</v>
      </c>
      <c r="B2620" s="2" t="s">
        <v>894</v>
      </c>
      <c r="C2620" s="2"/>
      <c r="D2620" s="2" t="s">
        <v>1012</v>
      </c>
    </row>
    <row r="2621">
      <c r="A2621" s="8">
        <v>46190.07143597222</v>
      </c>
      <c r="B2621" s="2" t="s">
        <v>798</v>
      </c>
      <c r="C2621" s="2" t="s">
        <v>799</v>
      </c>
      <c r="D2621" s="2" t="s">
        <v>800</v>
      </c>
    </row>
    <row r="2622">
      <c r="A2622" s="8">
        <v>46190.07143984953</v>
      </c>
      <c r="B2622" s="2" t="s">
        <v>798</v>
      </c>
      <c r="C2622" s="2" t="s">
        <v>812</v>
      </c>
      <c r="D2622" s="2" t="s">
        <v>813</v>
      </c>
    </row>
    <row r="2623">
      <c r="A2623" s="8">
        <v>46190.0714421875</v>
      </c>
      <c r="B2623" s="2" t="s">
        <v>840</v>
      </c>
      <c r="C2623" s="2" t="s">
        <v>818</v>
      </c>
      <c r="D2623" s="2" t="s">
        <v>1042</v>
      </c>
    </row>
    <row r="2624">
      <c r="A2624" s="8">
        <v>46190.07146016204</v>
      </c>
      <c r="B2624" s="2" t="s">
        <v>832</v>
      </c>
      <c r="C2624" s="2"/>
      <c r="D2624" s="2" t="s">
        <v>1053</v>
      </c>
    </row>
    <row r="2625">
      <c r="A2625" s="8">
        <v>46190.07152670139</v>
      </c>
      <c r="B2625" s="2" t="s">
        <v>991</v>
      </c>
      <c r="C2625" s="2" t="s">
        <v>607</v>
      </c>
      <c r="D2625" s="2" t="s">
        <v>1055</v>
      </c>
    </row>
    <row r="2626">
      <c r="A2626" s="8">
        <v>46190.071529305555</v>
      </c>
      <c r="B2626" s="2" t="s">
        <v>840</v>
      </c>
      <c r="C2626" s="2" t="s">
        <v>768</v>
      </c>
      <c r="D2626" s="2" t="s">
        <v>1027</v>
      </c>
    </row>
    <row r="2627">
      <c r="A2627" s="8">
        <v>46190.07153332176</v>
      </c>
      <c r="B2627" s="2" t="s">
        <v>840</v>
      </c>
      <c r="C2627" s="2" t="s">
        <v>773</v>
      </c>
      <c r="D2627" s="2" t="s">
        <v>930</v>
      </c>
    </row>
    <row r="2628">
      <c r="A2628" s="8">
        <v>46190.07153730324</v>
      </c>
      <c r="B2628" s="2" t="s">
        <v>840</v>
      </c>
      <c r="C2628" s="2" t="s">
        <v>783</v>
      </c>
      <c r="D2628" s="2" t="s">
        <v>1009</v>
      </c>
    </row>
    <row r="2629">
      <c r="A2629" s="8">
        <v>46190.07154039352</v>
      </c>
      <c r="B2629" s="2" t="s">
        <v>894</v>
      </c>
      <c r="C2629" s="2"/>
      <c r="D2629" s="2" t="s">
        <v>1012</v>
      </c>
    </row>
    <row r="2630">
      <c r="A2630" s="8">
        <v>46190.113105717595</v>
      </c>
      <c r="B2630" s="2" t="s">
        <v>798</v>
      </c>
      <c r="C2630" s="2" t="s">
        <v>799</v>
      </c>
      <c r="D2630" s="2" t="s">
        <v>800</v>
      </c>
    </row>
    <row r="2631">
      <c r="A2631" s="8">
        <v>46190.113108749996</v>
      </c>
      <c r="B2631" s="2" t="s">
        <v>798</v>
      </c>
      <c r="C2631" s="2" t="s">
        <v>812</v>
      </c>
      <c r="D2631" s="2" t="s">
        <v>813</v>
      </c>
    </row>
    <row r="2632">
      <c r="A2632" s="8">
        <v>46190.11311821759</v>
      </c>
      <c r="B2632" s="2" t="s">
        <v>844</v>
      </c>
      <c r="C2632" s="2" t="s">
        <v>818</v>
      </c>
      <c r="D2632" s="2" t="s">
        <v>950</v>
      </c>
    </row>
    <row r="2633">
      <c r="A2633" s="8">
        <v>46190.11314341435</v>
      </c>
      <c r="B2633" s="2" t="s">
        <v>832</v>
      </c>
      <c r="C2633" s="2"/>
      <c r="D2633" s="2" t="s">
        <v>1057</v>
      </c>
    </row>
    <row r="2634">
      <c r="A2634" s="8">
        <v>46190.1132181713</v>
      </c>
      <c r="B2634" s="2" t="s">
        <v>991</v>
      </c>
      <c r="C2634" s="2" t="s">
        <v>607</v>
      </c>
      <c r="D2634" s="2" t="s">
        <v>1055</v>
      </c>
    </row>
    <row r="2635">
      <c r="A2635" s="8">
        <v>46190.11322510417</v>
      </c>
      <c r="B2635" s="2" t="s">
        <v>840</v>
      </c>
      <c r="C2635" s="2" t="s">
        <v>768</v>
      </c>
      <c r="D2635" s="2" t="s">
        <v>1027</v>
      </c>
    </row>
    <row r="2636">
      <c r="A2636" s="8">
        <v>46190.11323569444</v>
      </c>
      <c r="B2636" s="2" t="s">
        <v>840</v>
      </c>
      <c r="C2636" s="2" t="s">
        <v>773</v>
      </c>
      <c r="D2636" s="2" t="s">
        <v>930</v>
      </c>
    </row>
    <row r="2637">
      <c r="A2637" s="8">
        <v>46190.113237488426</v>
      </c>
      <c r="B2637" s="2" t="s">
        <v>840</v>
      </c>
      <c r="C2637" s="2" t="s">
        <v>783</v>
      </c>
      <c r="D2637" s="2" t="s">
        <v>1009</v>
      </c>
    </row>
    <row r="2638">
      <c r="A2638" s="8">
        <v>46190.11323989583</v>
      </c>
      <c r="B2638" s="2" t="s">
        <v>894</v>
      </c>
      <c r="C2638" s="2"/>
      <c r="D2638" s="2" t="s">
        <v>1012</v>
      </c>
    </row>
    <row r="2639">
      <c r="A2639" s="8">
        <v>46190.15476508102</v>
      </c>
      <c r="B2639" s="2" t="s">
        <v>798</v>
      </c>
      <c r="C2639" s="2" t="s">
        <v>799</v>
      </c>
      <c r="D2639" s="2" t="s">
        <v>800</v>
      </c>
    </row>
    <row r="2640">
      <c r="A2640" s="8">
        <v>46190.15476980324</v>
      </c>
      <c r="B2640" s="2" t="s">
        <v>798</v>
      </c>
      <c r="C2640" s="2" t="s">
        <v>812</v>
      </c>
      <c r="D2640" s="2" t="s">
        <v>813</v>
      </c>
    </row>
    <row r="2641">
      <c r="A2641" s="8">
        <v>46190.154776689815</v>
      </c>
      <c r="B2641" s="2" t="s">
        <v>844</v>
      </c>
      <c r="C2641" s="2" t="s">
        <v>818</v>
      </c>
      <c r="D2641" s="2" t="s">
        <v>967</v>
      </c>
    </row>
    <row r="2642">
      <c r="A2642" s="8">
        <v>46190.15479179398</v>
      </c>
      <c r="B2642" s="2" t="s">
        <v>832</v>
      </c>
      <c r="C2642" s="2"/>
      <c r="D2642" s="2" t="s">
        <v>1057</v>
      </c>
    </row>
    <row r="2643">
      <c r="A2643" s="8">
        <v>46190.15485391204</v>
      </c>
      <c r="B2643" s="2" t="s">
        <v>991</v>
      </c>
      <c r="C2643" s="2" t="s">
        <v>607</v>
      </c>
      <c r="D2643" s="2" t="s">
        <v>1055</v>
      </c>
    </row>
    <row r="2644">
      <c r="A2644" s="8">
        <v>46190.15485677084</v>
      </c>
      <c r="B2644" s="2" t="s">
        <v>840</v>
      </c>
      <c r="C2644" s="2" t="s">
        <v>768</v>
      </c>
      <c r="D2644" s="2" t="s">
        <v>1027</v>
      </c>
    </row>
    <row r="2645">
      <c r="A2645" s="8">
        <v>46190.154859305556</v>
      </c>
      <c r="B2645" s="2" t="s">
        <v>840</v>
      </c>
      <c r="C2645" s="2" t="s">
        <v>773</v>
      </c>
      <c r="D2645" s="2" t="s">
        <v>930</v>
      </c>
    </row>
    <row r="2646">
      <c r="A2646" s="8">
        <v>46190.154861828705</v>
      </c>
      <c r="B2646" s="2" t="s">
        <v>840</v>
      </c>
      <c r="C2646" s="2" t="s">
        <v>783</v>
      </c>
      <c r="D2646" s="2" t="s">
        <v>1009</v>
      </c>
    </row>
    <row r="2647">
      <c r="A2647" s="8">
        <v>46190.15486408565</v>
      </c>
      <c r="B2647" s="2" t="s">
        <v>894</v>
      </c>
      <c r="C2647" s="2"/>
      <c r="D2647" s="2" t="s">
        <v>1012</v>
      </c>
    </row>
    <row r="2648">
      <c r="A2648" s="8">
        <v>46190.196441238426</v>
      </c>
      <c r="B2648" s="2" t="s">
        <v>798</v>
      </c>
      <c r="C2648" s="2" t="s">
        <v>799</v>
      </c>
      <c r="D2648" s="2" t="s">
        <v>800</v>
      </c>
    </row>
    <row r="2649">
      <c r="A2649" s="8">
        <v>46190.19644680555</v>
      </c>
      <c r="B2649" s="2" t="s">
        <v>798</v>
      </c>
      <c r="C2649" s="2" t="s">
        <v>812</v>
      </c>
      <c r="D2649" s="2" t="s">
        <v>813</v>
      </c>
    </row>
    <row r="2650">
      <c r="A2650" s="8">
        <v>46190.19646550926</v>
      </c>
      <c r="B2650" s="2" t="s">
        <v>832</v>
      </c>
      <c r="C2650" s="2"/>
      <c r="D2650" s="2" t="s">
        <v>1058</v>
      </c>
    </row>
    <row r="2651">
      <c r="A2651" s="8">
        <v>46190.196527418986</v>
      </c>
      <c r="B2651" s="2" t="s">
        <v>991</v>
      </c>
      <c r="C2651" s="2" t="s">
        <v>607</v>
      </c>
      <c r="D2651" s="2" t="s">
        <v>1055</v>
      </c>
    </row>
    <row r="2652">
      <c r="A2652" s="8">
        <v>46190.19653065973</v>
      </c>
      <c r="B2652" s="2" t="s">
        <v>840</v>
      </c>
      <c r="C2652" s="2" t="s">
        <v>768</v>
      </c>
      <c r="D2652" s="2" t="s">
        <v>1027</v>
      </c>
    </row>
    <row r="2653">
      <c r="A2653" s="8">
        <v>46190.19653347222</v>
      </c>
      <c r="B2653" s="2" t="s">
        <v>840</v>
      </c>
      <c r="C2653" s="2" t="s">
        <v>773</v>
      </c>
      <c r="D2653" s="2" t="s">
        <v>930</v>
      </c>
    </row>
    <row r="2654">
      <c r="A2654" s="8">
        <v>46190.19653634259</v>
      </c>
      <c r="B2654" s="2" t="s">
        <v>840</v>
      </c>
      <c r="C2654" s="2" t="s">
        <v>783</v>
      </c>
      <c r="D2654" s="2" t="s">
        <v>1009</v>
      </c>
    </row>
    <row r="2655">
      <c r="A2655" s="8">
        <v>46190.19653927084</v>
      </c>
      <c r="B2655" s="2" t="s">
        <v>894</v>
      </c>
      <c r="C2655" s="2"/>
      <c r="D2655" s="2" t="s">
        <v>1012</v>
      </c>
    </row>
    <row r="2656">
      <c r="A2656" s="8">
        <v>46190.23831644676</v>
      </c>
      <c r="B2656" s="2" t="s">
        <v>798</v>
      </c>
      <c r="C2656" s="2" t="s">
        <v>799</v>
      </c>
      <c r="D2656" s="2" t="s">
        <v>800</v>
      </c>
    </row>
    <row r="2657">
      <c r="A2657" s="8">
        <v>46190.238330532404</v>
      </c>
      <c r="B2657" s="2" t="s">
        <v>798</v>
      </c>
      <c r="C2657" s="2" t="s">
        <v>812</v>
      </c>
      <c r="D2657" s="2" t="s">
        <v>813</v>
      </c>
    </row>
    <row r="2658">
      <c r="A2658" s="8">
        <v>46190.23835284723</v>
      </c>
      <c r="B2658" s="2" t="s">
        <v>832</v>
      </c>
      <c r="C2658" s="2"/>
      <c r="D2658" s="2" t="s">
        <v>1058</v>
      </c>
    </row>
    <row r="2659">
      <c r="A2659" s="8">
        <v>46190.23851697917</v>
      </c>
      <c r="B2659" s="2" t="s">
        <v>991</v>
      </c>
      <c r="C2659" s="2" t="s">
        <v>534</v>
      </c>
      <c r="D2659" s="2" t="s">
        <v>1047</v>
      </c>
    </row>
    <row r="2660">
      <c r="A2660" s="8">
        <v>46190.23866666667</v>
      </c>
      <c r="B2660" s="2" t="s">
        <v>991</v>
      </c>
      <c r="C2660" s="2" t="s">
        <v>607</v>
      </c>
      <c r="D2660" s="2" t="s">
        <v>1055</v>
      </c>
    </row>
    <row r="2661">
      <c r="A2661" s="8">
        <v>46190.23868190972</v>
      </c>
      <c r="B2661" s="2" t="s">
        <v>840</v>
      </c>
      <c r="C2661" s="2" t="s">
        <v>768</v>
      </c>
      <c r="D2661" s="2" t="s">
        <v>1027</v>
      </c>
    </row>
    <row r="2662">
      <c r="A2662" s="8">
        <v>46190.23869402778</v>
      </c>
      <c r="B2662" s="2" t="s">
        <v>840</v>
      </c>
      <c r="C2662" s="2" t="s">
        <v>773</v>
      </c>
      <c r="D2662" s="2" t="s">
        <v>930</v>
      </c>
    </row>
    <row r="2663">
      <c r="A2663" s="8">
        <v>46190.23872121528</v>
      </c>
      <c r="B2663" s="2" t="s">
        <v>840</v>
      </c>
      <c r="C2663" s="2" t="s">
        <v>783</v>
      </c>
      <c r="D2663" s="2" t="s">
        <v>1009</v>
      </c>
    </row>
    <row r="2664">
      <c r="A2664" s="8">
        <v>46190.23873563657</v>
      </c>
      <c r="B2664" s="2" t="s">
        <v>894</v>
      </c>
      <c r="C2664" s="2"/>
      <c r="D2664" s="2" t="s">
        <v>1017</v>
      </c>
    </row>
    <row r="2665">
      <c r="A2665" s="8">
        <v>46190.27978592593</v>
      </c>
      <c r="B2665" s="2" t="s">
        <v>798</v>
      </c>
      <c r="C2665" s="2" t="s">
        <v>799</v>
      </c>
      <c r="D2665" s="2" t="s">
        <v>800</v>
      </c>
    </row>
    <row r="2666">
      <c r="A2666" s="8">
        <v>46190.27979222222</v>
      </c>
      <c r="B2666" s="2" t="s">
        <v>798</v>
      </c>
      <c r="C2666" s="2" t="s">
        <v>812</v>
      </c>
      <c r="D2666" s="2" t="s">
        <v>813</v>
      </c>
    </row>
    <row r="2667">
      <c r="A2667" s="8">
        <v>46190.279801805555</v>
      </c>
      <c r="B2667" s="2" t="s">
        <v>832</v>
      </c>
      <c r="C2667" s="2"/>
      <c r="D2667" s="2" t="s">
        <v>1058</v>
      </c>
    </row>
    <row r="2668">
      <c r="A2668" s="8">
        <v>46190.27989967592</v>
      </c>
      <c r="B2668" s="2" t="s">
        <v>991</v>
      </c>
      <c r="C2668" s="2" t="s">
        <v>607</v>
      </c>
      <c r="D2668" s="2" t="s">
        <v>1055</v>
      </c>
    </row>
    <row r="2669">
      <c r="A2669" s="8">
        <v>46190.27990658565</v>
      </c>
      <c r="B2669" s="2" t="s">
        <v>840</v>
      </c>
      <c r="C2669" s="2" t="s">
        <v>768</v>
      </c>
      <c r="D2669" s="2" t="s">
        <v>1027</v>
      </c>
    </row>
    <row r="2670">
      <c r="A2670" s="8">
        <v>46190.27990890046</v>
      </c>
      <c r="B2670" s="2" t="s">
        <v>840</v>
      </c>
      <c r="C2670" s="2" t="s">
        <v>773</v>
      </c>
      <c r="D2670" s="2" t="s">
        <v>930</v>
      </c>
    </row>
    <row r="2671">
      <c r="A2671" s="8">
        <v>46190.279915011575</v>
      </c>
      <c r="B2671" s="2" t="s">
        <v>840</v>
      </c>
      <c r="C2671" s="2" t="s">
        <v>783</v>
      </c>
      <c r="D2671" s="2" t="s">
        <v>1009</v>
      </c>
    </row>
    <row r="2672">
      <c r="A2672" s="8">
        <v>46190.2799187037</v>
      </c>
      <c r="B2672" s="2" t="s">
        <v>894</v>
      </c>
      <c r="C2672" s="2"/>
      <c r="D2672" s="2" t="s">
        <v>1012</v>
      </c>
    </row>
    <row r="2673">
      <c r="A2673" s="8">
        <v>46190.32144833333</v>
      </c>
      <c r="B2673" s="2" t="s">
        <v>798</v>
      </c>
      <c r="C2673" s="2" t="s">
        <v>799</v>
      </c>
      <c r="D2673" s="2" t="s">
        <v>800</v>
      </c>
    </row>
    <row r="2674">
      <c r="A2674" s="8">
        <v>46190.32146150463</v>
      </c>
      <c r="B2674" s="2" t="s">
        <v>844</v>
      </c>
      <c r="C2674" s="2" t="s">
        <v>810</v>
      </c>
      <c r="D2674" s="2" t="s">
        <v>1059</v>
      </c>
    </row>
    <row r="2675">
      <c r="A2675" s="8">
        <v>46190.32147815972</v>
      </c>
      <c r="B2675" s="2" t="s">
        <v>798</v>
      </c>
      <c r="C2675" s="2" t="s">
        <v>812</v>
      </c>
      <c r="D2675" s="2" t="s">
        <v>813</v>
      </c>
    </row>
    <row r="2676">
      <c r="A2676" s="8">
        <v>46190.32148304398</v>
      </c>
      <c r="B2676" s="2" t="s">
        <v>832</v>
      </c>
      <c r="C2676" s="2"/>
      <c r="D2676" s="2" t="s">
        <v>1057</v>
      </c>
    </row>
    <row r="2677">
      <c r="A2677" s="8">
        <v>46190.321557407406</v>
      </c>
      <c r="B2677" s="2" t="s">
        <v>844</v>
      </c>
      <c r="C2677" s="2" t="s">
        <v>509</v>
      </c>
      <c r="D2677" s="2" t="s">
        <v>1026</v>
      </c>
    </row>
    <row r="2678">
      <c r="A2678" s="8">
        <v>46190.32156956018</v>
      </c>
      <c r="B2678" s="2" t="s">
        <v>844</v>
      </c>
      <c r="C2678" s="2" t="s">
        <v>519</v>
      </c>
      <c r="D2678" s="2" t="s">
        <v>1060</v>
      </c>
    </row>
    <row r="2679">
      <c r="A2679" s="8">
        <v>46190.32157864583</v>
      </c>
      <c r="B2679" s="2" t="s">
        <v>844</v>
      </c>
      <c r="C2679" s="2" t="s">
        <v>524</v>
      </c>
      <c r="D2679" s="2" t="s">
        <v>972</v>
      </c>
    </row>
    <row r="2680">
      <c r="A2680" s="8">
        <v>46190.32158998842</v>
      </c>
      <c r="B2680" s="2" t="s">
        <v>844</v>
      </c>
      <c r="C2680" s="2" t="s">
        <v>529</v>
      </c>
      <c r="D2680" s="2" t="s">
        <v>1061</v>
      </c>
    </row>
    <row r="2681">
      <c r="A2681" s="8">
        <v>46190.32160501157</v>
      </c>
      <c r="B2681" s="2" t="s">
        <v>844</v>
      </c>
      <c r="C2681" s="2" t="s">
        <v>534</v>
      </c>
      <c r="D2681" s="2" t="s">
        <v>1062</v>
      </c>
    </row>
    <row r="2682">
      <c r="A2682" s="8">
        <v>46190.32161471064</v>
      </c>
      <c r="B2682" s="2" t="s">
        <v>844</v>
      </c>
      <c r="C2682" s="2" t="s">
        <v>539</v>
      </c>
      <c r="D2682" s="2" t="s">
        <v>1063</v>
      </c>
    </row>
    <row r="2683">
      <c r="A2683" s="8">
        <v>46190.32162415509</v>
      </c>
      <c r="B2683" s="2" t="s">
        <v>844</v>
      </c>
      <c r="C2683" s="2" t="s">
        <v>549</v>
      </c>
      <c r="D2683" s="2" t="s">
        <v>1029</v>
      </c>
    </row>
    <row r="2684">
      <c r="A2684" s="8">
        <v>46190.321632129635</v>
      </c>
      <c r="B2684" s="2" t="s">
        <v>844</v>
      </c>
      <c r="C2684" s="2" t="s">
        <v>554</v>
      </c>
      <c r="D2684" s="2" t="s">
        <v>939</v>
      </c>
    </row>
    <row r="2685">
      <c r="A2685" s="8">
        <v>46190.3216425</v>
      </c>
      <c r="B2685" s="2" t="s">
        <v>844</v>
      </c>
      <c r="C2685" s="2" t="s">
        <v>569</v>
      </c>
      <c r="D2685" s="2" t="s">
        <v>1008</v>
      </c>
    </row>
    <row r="2686">
      <c r="A2686" s="8">
        <v>46190.32165157408</v>
      </c>
      <c r="B2686" s="2" t="s">
        <v>844</v>
      </c>
      <c r="C2686" s="2" t="s">
        <v>574</v>
      </c>
      <c r="D2686" s="2" t="s">
        <v>1060</v>
      </c>
    </row>
    <row r="2687">
      <c r="A2687" s="8">
        <v>46190.32165637732</v>
      </c>
      <c r="B2687" s="2" t="s">
        <v>991</v>
      </c>
      <c r="C2687" s="2" t="s">
        <v>607</v>
      </c>
      <c r="D2687" s="2" t="s">
        <v>1055</v>
      </c>
    </row>
    <row r="2688">
      <c r="A2688" s="8">
        <v>46190.32165866898</v>
      </c>
      <c r="B2688" s="2" t="s">
        <v>840</v>
      </c>
      <c r="C2688" s="2" t="s">
        <v>768</v>
      </c>
      <c r="D2688" s="2" t="s">
        <v>1027</v>
      </c>
    </row>
    <row r="2689">
      <c r="A2689" s="8">
        <v>46190.32166170139</v>
      </c>
      <c r="B2689" s="2" t="s">
        <v>840</v>
      </c>
      <c r="C2689" s="2" t="s">
        <v>773</v>
      </c>
      <c r="D2689" s="2" t="s">
        <v>930</v>
      </c>
    </row>
    <row r="2690">
      <c r="A2690" s="8">
        <v>46190.32166394676</v>
      </c>
      <c r="B2690" s="2" t="s">
        <v>840</v>
      </c>
      <c r="C2690" s="2" t="s">
        <v>783</v>
      </c>
      <c r="D2690" s="2" t="s">
        <v>1009</v>
      </c>
    </row>
    <row r="2691">
      <c r="A2691" s="8">
        <v>46190.321667303244</v>
      </c>
      <c r="B2691" s="2" t="s">
        <v>894</v>
      </c>
      <c r="C2691" s="2"/>
      <c r="D2691" s="2" t="s">
        <v>1064</v>
      </c>
    </row>
    <row r="2692">
      <c r="A2692" s="8">
        <v>46190.363103958334</v>
      </c>
      <c r="B2692" s="2" t="s">
        <v>798</v>
      </c>
      <c r="C2692" s="2" t="s">
        <v>799</v>
      </c>
      <c r="D2692" s="2" t="s">
        <v>800</v>
      </c>
    </row>
    <row r="2693">
      <c r="A2693" s="8">
        <v>46190.36310853009</v>
      </c>
      <c r="B2693" s="2" t="s">
        <v>798</v>
      </c>
      <c r="C2693" s="2" t="s">
        <v>812</v>
      </c>
      <c r="D2693" s="2" t="s">
        <v>813</v>
      </c>
    </row>
    <row r="2694">
      <c r="A2694" s="8">
        <v>46190.36311305556</v>
      </c>
      <c r="B2694" s="2" t="s">
        <v>832</v>
      </c>
      <c r="C2694" s="2"/>
      <c r="D2694" s="2" t="s">
        <v>1058</v>
      </c>
    </row>
    <row r="2695">
      <c r="A2695" s="8">
        <v>46190.36318939815</v>
      </c>
      <c r="B2695" s="2" t="s">
        <v>991</v>
      </c>
      <c r="C2695" s="2" t="s">
        <v>607</v>
      </c>
      <c r="D2695" s="2" t="s">
        <v>1055</v>
      </c>
    </row>
    <row r="2696">
      <c r="A2696" s="8">
        <v>46190.36319181713</v>
      </c>
      <c r="B2696" s="2" t="s">
        <v>840</v>
      </c>
      <c r="C2696" s="2" t="s">
        <v>768</v>
      </c>
      <c r="D2696" s="2" t="s">
        <v>1027</v>
      </c>
    </row>
    <row r="2697">
      <c r="A2697" s="8">
        <v>46190.3631940162</v>
      </c>
      <c r="B2697" s="2" t="s">
        <v>840</v>
      </c>
      <c r="C2697" s="2" t="s">
        <v>773</v>
      </c>
      <c r="D2697" s="2" t="s">
        <v>930</v>
      </c>
    </row>
    <row r="2698">
      <c r="A2698" s="8">
        <v>46190.36320289352</v>
      </c>
      <c r="B2698" s="2" t="s">
        <v>840</v>
      </c>
      <c r="C2698" s="2" t="s">
        <v>783</v>
      </c>
      <c r="D2698" s="2" t="s">
        <v>1009</v>
      </c>
    </row>
    <row r="2699">
      <c r="A2699" s="8">
        <v>46190.363205057874</v>
      </c>
      <c r="B2699" s="2" t="s">
        <v>894</v>
      </c>
      <c r="C2699" s="2"/>
      <c r="D2699" s="2" t="s">
        <v>1012</v>
      </c>
    </row>
    <row r="2700">
      <c r="A2700" s="8">
        <v>46190.404770995374</v>
      </c>
      <c r="B2700" s="2" t="s">
        <v>798</v>
      </c>
      <c r="C2700" s="2" t="s">
        <v>799</v>
      </c>
      <c r="D2700" s="2" t="s">
        <v>800</v>
      </c>
    </row>
    <row r="2701">
      <c r="A2701" s="8">
        <v>46190.40477854166</v>
      </c>
      <c r="B2701" s="2" t="s">
        <v>798</v>
      </c>
      <c r="C2701" s="2" t="s">
        <v>812</v>
      </c>
      <c r="D2701" s="2" t="s">
        <v>813</v>
      </c>
    </row>
    <row r="2702">
      <c r="A2702" s="8">
        <v>46190.40478435185</v>
      </c>
      <c r="B2702" s="2" t="s">
        <v>832</v>
      </c>
      <c r="C2702" s="2"/>
      <c r="D2702" s="2" t="s">
        <v>1058</v>
      </c>
    </row>
    <row r="2703">
      <c r="A2703" s="8">
        <v>46190.40487810185</v>
      </c>
      <c r="B2703" s="2" t="s">
        <v>991</v>
      </c>
      <c r="C2703" s="2" t="s">
        <v>607</v>
      </c>
      <c r="D2703" s="2" t="s">
        <v>1055</v>
      </c>
    </row>
    <row r="2704">
      <c r="A2704" s="8">
        <v>46190.404881504626</v>
      </c>
      <c r="B2704" s="2" t="s">
        <v>840</v>
      </c>
      <c r="C2704" s="2" t="s">
        <v>768</v>
      </c>
      <c r="D2704" s="2" t="s">
        <v>1027</v>
      </c>
    </row>
    <row r="2705">
      <c r="A2705" s="8">
        <v>46190.404884143514</v>
      </c>
      <c r="B2705" s="2" t="s">
        <v>840</v>
      </c>
      <c r="C2705" s="2" t="s">
        <v>773</v>
      </c>
      <c r="D2705" s="2" t="s">
        <v>930</v>
      </c>
    </row>
    <row r="2706">
      <c r="A2706" s="8">
        <v>46190.40488744213</v>
      </c>
      <c r="B2706" s="2" t="s">
        <v>840</v>
      </c>
      <c r="C2706" s="2" t="s">
        <v>783</v>
      </c>
      <c r="D2706" s="2" t="s">
        <v>1009</v>
      </c>
    </row>
    <row r="2707">
      <c r="A2707" s="8">
        <v>46190.404890578706</v>
      </c>
      <c r="B2707" s="2" t="s">
        <v>894</v>
      </c>
      <c r="C2707" s="2"/>
      <c r="D2707" s="2" t="s">
        <v>1012</v>
      </c>
    </row>
    <row r="2708">
      <c r="A2708" s="8">
        <v>46190.446485</v>
      </c>
      <c r="B2708" s="2" t="s">
        <v>798</v>
      </c>
      <c r="C2708" s="2" t="s">
        <v>799</v>
      </c>
      <c r="D2708" s="2" t="s">
        <v>800</v>
      </c>
    </row>
    <row r="2709">
      <c r="A2709" s="8">
        <v>46190.44649834491</v>
      </c>
      <c r="B2709" s="2" t="s">
        <v>798</v>
      </c>
      <c r="C2709" s="2" t="s">
        <v>812</v>
      </c>
      <c r="D2709" s="2" t="s">
        <v>813</v>
      </c>
    </row>
    <row r="2710">
      <c r="A2710" s="8">
        <v>46190.44651439815</v>
      </c>
      <c r="B2710" s="2" t="s">
        <v>832</v>
      </c>
      <c r="C2710" s="2"/>
      <c r="D2710" s="2" t="s">
        <v>1058</v>
      </c>
    </row>
    <row r="2711">
      <c r="A2711" s="8">
        <v>46190.44664678241</v>
      </c>
      <c r="B2711" s="2" t="s">
        <v>991</v>
      </c>
      <c r="C2711" s="2" t="s">
        <v>607</v>
      </c>
      <c r="D2711" s="2" t="s">
        <v>1055</v>
      </c>
    </row>
    <row r="2712">
      <c r="A2712" s="8">
        <v>46190.44665409722</v>
      </c>
      <c r="B2712" s="2" t="s">
        <v>840</v>
      </c>
      <c r="C2712" s="2" t="s">
        <v>768</v>
      </c>
      <c r="D2712" s="2" t="s">
        <v>1027</v>
      </c>
    </row>
    <row r="2713">
      <c r="A2713" s="8">
        <v>46190.446657824075</v>
      </c>
      <c r="B2713" s="2" t="s">
        <v>840</v>
      </c>
      <c r="C2713" s="2" t="s">
        <v>773</v>
      </c>
      <c r="D2713" s="2" t="s">
        <v>930</v>
      </c>
    </row>
    <row r="2714">
      <c r="A2714" s="8">
        <v>46190.44666151621</v>
      </c>
      <c r="B2714" s="2" t="s">
        <v>840</v>
      </c>
      <c r="C2714" s="2" t="s">
        <v>783</v>
      </c>
      <c r="D2714" s="2" t="s">
        <v>1009</v>
      </c>
    </row>
    <row r="2715">
      <c r="A2715" s="8">
        <v>46190.446671770835</v>
      </c>
      <c r="B2715" s="2" t="s">
        <v>894</v>
      </c>
      <c r="C2715" s="2"/>
      <c r="D2715" s="2" t="s">
        <v>1012</v>
      </c>
    </row>
    <row r="2716">
      <c r="A2716" s="8">
        <v>46190.488107997684</v>
      </c>
      <c r="B2716" s="2" t="s">
        <v>798</v>
      </c>
      <c r="C2716" s="2" t="s">
        <v>799</v>
      </c>
      <c r="D2716" s="2" t="s">
        <v>800</v>
      </c>
    </row>
    <row r="2717">
      <c r="A2717" s="8">
        <v>46190.48811288194</v>
      </c>
      <c r="B2717" s="2" t="s">
        <v>798</v>
      </c>
      <c r="C2717" s="2" t="s">
        <v>812</v>
      </c>
      <c r="D2717" s="2" t="s">
        <v>813</v>
      </c>
    </row>
    <row r="2718">
      <c r="A2718" s="8">
        <v>46190.48811863426</v>
      </c>
      <c r="B2718" s="2" t="s">
        <v>832</v>
      </c>
      <c r="C2718" s="2"/>
      <c r="D2718" s="2" t="s">
        <v>1058</v>
      </c>
    </row>
    <row r="2719">
      <c r="A2719" s="8">
        <v>46190.48821302083</v>
      </c>
      <c r="B2719" s="2" t="s">
        <v>991</v>
      </c>
      <c r="C2719" s="2" t="s">
        <v>607</v>
      </c>
      <c r="D2719" s="2" t="s">
        <v>1055</v>
      </c>
    </row>
    <row r="2720">
      <c r="A2720" s="8">
        <v>46190.48821509259</v>
      </c>
      <c r="B2720" s="2" t="s">
        <v>840</v>
      </c>
      <c r="C2720" s="2" t="s">
        <v>768</v>
      </c>
      <c r="D2720" s="2" t="s">
        <v>1027</v>
      </c>
    </row>
    <row r="2721">
      <c r="A2721" s="8">
        <v>46190.48822921296</v>
      </c>
      <c r="B2721" s="2" t="s">
        <v>840</v>
      </c>
      <c r="C2721" s="2" t="s">
        <v>773</v>
      </c>
      <c r="D2721" s="2" t="s">
        <v>930</v>
      </c>
    </row>
    <row r="2722">
      <c r="A2722" s="8">
        <v>46190.48823215278</v>
      </c>
      <c r="B2722" s="2" t="s">
        <v>840</v>
      </c>
      <c r="C2722" s="2" t="s">
        <v>783</v>
      </c>
      <c r="D2722" s="2" t="s">
        <v>1009</v>
      </c>
    </row>
    <row r="2723">
      <c r="A2723" s="8">
        <v>46190.4882344213</v>
      </c>
      <c r="B2723" s="2" t="s">
        <v>894</v>
      </c>
      <c r="C2723" s="2"/>
      <c r="D2723" s="2" t="s">
        <v>1012</v>
      </c>
    </row>
    <row r="2724">
      <c r="A2724" s="8">
        <v>46190.529775312505</v>
      </c>
      <c r="B2724" s="2" t="s">
        <v>798</v>
      </c>
      <c r="C2724" s="2" t="s">
        <v>799</v>
      </c>
      <c r="D2724" s="2" t="s">
        <v>800</v>
      </c>
    </row>
    <row r="2725">
      <c r="A2725" s="8">
        <v>46190.529787314816</v>
      </c>
      <c r="B2725" s="2" t="s">
        <v>798</v>
      </c>
      <c r="C2725" s="2" t="s">
        <v>812</v>
      </c>
      <c r="D2725" s="2" t="s">
        <v>813</v>
      </c>
    </row>
    <row r="2726">
      <c r="A2726" s="8">
        <v>46190.52979324074</v>
      </c>
      <c r="B2726" s="2" t="s">
        <v>832</v>
      </c>
      <c r="C2726" s="2"/>
      <c r="D2726" s="2" t="s">
        <v>1058</v>
      </c>
    </row>
    <row r="2727">
      <c r="A2727" s="8">
        <v>46190.529889513884</v>
      </c>
      <c r="B2727" s="2" t="s">
        <v>991</v>
      </c>
      <c r="C2727" s="2" t="s">
        <v>607</v>
      </c>
      <c r="D2727" s="2" t="s">
        <v>1055</v>
      </c>
    </row>
    <row r="2728">
      <c r="A2728" s="8">
        <v>46190.52989398148</v>
      </c>
      <c r="B2728" s="2" t="s">
        <v>840</v>
      </c>
      <c r="C2728" s="2" t="s">
        <v>768</v>
      </c>
      <c r="D2728" s="2" t="s">
        <v>1027</v>
      </c>
    </row>
    <row r="2729">
      <c r="A2729" s="8">
        <v>46190.52989708333</v>
      </c>
      <c r="B2729" s="2" t="s">
        <v>840</v>
      </c>
      <c r="C2729" s="2" t="s">
        <v>773</v>
      </c>
      <c r="D2729" s="2" t="s">
        <v>930</v>
      </c>
    </row>
    <row r="2730">
      <c r="A2730" s="8">
        <v>46190.52989980324</v>
      </c>
      <c r="B2730" s="2" t="s">
        <v>840</v>
      </c>
      <c r="C2730" s="2" t="s">
        <v>783</v>
      </c>
      <c r="D2730" s="2" t="s">
        <v>1009</v>
      </c>
    </row>
    <row r="2731">
      <c r="A2731" s="8">
        <v>46190.52990327546</v>
      </c>
      <c r="B2731" s="2" t="s">
        <v>894</v>
      </c>
      <c r="C2731" s="2"/>
      <c r="D2731" s="2" t="s">
        <v>1012</v>
      </c>
    </row>
    <row r="2732">
      <c r="A2732" s="8">
        <v>46190.57145371528</v>
      </c>
      <c r="B2732" s="2" t="s">
        <v>798</v>
      </c>
      <c r="C2732" s="2" t="s">
        <v>799</v>
      </c>
      <c r="D2732" s="2" t="s">
        <v>800</v>
      </c>
    </row>
    <row r="2733">
      <c r="A2733" s="8">
        <v>46190.571458356484</v>
      </c>
      <c r="B2733" s="2" t="s">
        <v>798</v>
      </c>
      <c r="C2733" s="2" t="s">
        <v>812</v>
      </c>
      <c r="D2733" s="2" t="s">
        <v>813</v>
      </c>
    </row>
    <row r="2734">
      <c r="A2734" s="8">
        <v>46190.5714633912</v>
      </c>
      <c r="B2734" s="2" t="s">
        <v>832</v>
      </c>
      <c r="C2734" s="2"/>
      <c r="D2734" s="2" t="s">
        <v>1058</v>
      </c>
    </row>
    <row r="2735">
      <c r="A2735" s="8">
        <v>46190.571560833334</v>
      </c>
      <c r="B2735" s="2" t="s">
        <v>991</v>
      </c>
      <c r="C2735" s="2" t="s">
        <v>519</v>
      </c>
      <c r="D2735" s="2" t="s">
        <v>1065</v>
      </c>
    </row>
    <row r="2736">
      <c r="A2736" s="8">
        <v>46190.5715675463</v>
      </c>
      <c r="B2736" s="2" t="s">
        <v>991</v>
      </c>
      <c r="C2736" s="2" t="s">
        <v>607</v>
      </c>
      <c r="D2736" s="2" t="s">
        <v>1055</v>
      </c>
    </row>
    <row r="2737">
      <c r="A2737" s="8">
        <v>46190.57157226852</v>
      </c>
      <c r="B2737" s="2" t="s">
        <v>840</v>
      </c>
      <c r="C2737" s="2" t="s">
        <v>768</v>
      </c>
      <c r="D2737" s="2" t="s">
        <v>1027</v>
      </c>
    </row>
    <row r="2738">
      <c r="A2738" s="8">
        <v>46190.571575821756</v>
      </c>
      <c r="B2738" s="2" t="s">
        <v>840</v>
      </c>
      <c r="C2738" s="2" t="s">
        <v>773</v>
      </c>
      <c r="D2738" s="2" t="s">
        <v>930</v>
      </c>
    </row>
    <row r="2739">
      <c r="A2739" s="8">
        <v>46190.57158662037</v>
      </c>
      <c r="B2739" s="2" t="s">
        <v>840</v>
      </c>
      <c r="C2739" s="2" t="s">
        <v>783</v>
      </c>
      <c r="D2739" s="2" t="s">
        <v>1009</v>
      </c>
    </row>
    <row r="2740">
      <c r="A2740" s="8">
        <v>46190.57159061343</v>
      </c>
      <c r="B2740" s="2" t="s">
        <v>894</v>
      </c>
      <c r="C2740" s="2"/>
      <c r="D2740" s="2" t="s">
        <v>1017</v>
      </c>
    </row>
    <row r="2741">
      <c r="A2741" s="8">
        <v>46190.613112673615</v>
      </c>
      <c r="B2741" s="2" t="s">
        <v>798</v>
      </c>
      <c r="C2741" s="2" t="s">
        <v>799</v>
      </c>
      <c r="D2741" s="2" t="s">
        <v>800</v>
      </c>
    </row>
    <row r="2742">
      <c r="A2742" s="8">
        <v>46190.613118333335</v>
      </c>
      <c r="B2742" s="2" t="s">
        <v>798</v>
      </c>
      <c r="C2742" s="2" t="s">
        <v>812</v>
      </c>
      <c r="D2742" s="2" t="s">
        <v>813</v>
      </c>
    </row>
    <row r="2743">
      <c r="A2743" s="8">
        <v>46190.613124166666</v>
      </c>
      <c r="B2743" s="2" t="s">
        <v>832</v>
      </c>
      <c r="C2743" s="2"/>
      <c r="D2743" s="2" t="s">
        <v>1058</v>
      </c>
    </row>
    <row r="2744">
      <c r="A2744" s="8">
        <v>46190.613208229166</v>
      </c>
      <c r="B2744" s="2" t="s">
        <v>991</v>
      </c>
      <c r="C2744" s="2" t="s">
        <v>509</v>
      </c>
      <c r="D2744" s="2" t="s">
        <v>1065</v>
      </c>
    </row>
    <row r="2745">
      <c r="A2745" s="8">
        <v>46190.61321181713</v>
      </c>
      <c r="B2745" s="2" t="s">
        <v>991</v>
      </c>
      <c r="C2745" s="2" t="s">
        <v>519</v>
      </c>
      <c r="D2745" s="2" t="s">
        <v>1065</v>
      </c>
    </row>
    <row r="2746">
      <c r="A2746" s="8">
        <v>46190.61321885417</v>
      </c>
      <c r="B2746" s="2" t="s">
        <v>991</v>
      </c>
      <c r="C2746" s="2" t="s">
        <v>607</v>
      </c>
      <c r="D2746" s="2" t="s">
        <v>1055</v>
      </c>
    </row>
    <row r="2747">
      <c r="A2747" s="8">
        <v>46190.61322641204</v>
      </c>
      <c r="B2747" s="2" t="s">
        <v>844</v>
      </c>
      <c r="C2747" s="2" t="s">
        <v>677</v>
      </c>
      <c r="D2747" s="2" t="s">
        <v>1066</v>
      </c>
    </row>
    <row r="2748">
      <c r="A2748" s="8">
        <v>46190.61323184028</v>
      </c>
      <c r="B2748" s="2" t="s">
        <v>840</v>
      </c>
      <c r="C2748" s="2" t="s">
        <v>768</v>
      </c>
      <c r="D2748" s="2" t="s">
        <v>1027</v>
      </c>
    </row>
    <row r="2749">
      <c r="A2749" s="8">
        <v>46190.61323503472</v>
      </c>
      <c r="B2749" s="2" t="s">
        <v>840</v>
      </c>
      <c r="C2749" s="2" t="s">
        <v>773</v>
      </c>
      <c r="D2749" s="2" t="s">
        <v>930</v>
      </c>
    </row>
    <row r="2750">
      <c r="A2750" s="8">
        <v>46190.613238125</v>
      </c>
      <c r="B2750" s="2" t="s">
        <v>840</v>
      </c>
      <c r="C2750" s="2" t="s">
        <v>783</v>
      </c>
      <c r="D2750" s="2" t="s">
        <v>1009</v>
      </c>
    </row>
    <row r="2751">
      <c r="A2751" s="8">
        <v>46190.61324135416</v>
      </c>
      <c r="B2751" s="2" t="s">
        <v>894</v>
      </c>
      <c r="C2751" s="2"/>
      <c r="D2751" s="2" t="s">
        <v>1067</v>
      </c>
    </row>
    <row r="2752">
      <c r="A2752" s="8">
        <v>46190.65478484954</v>
      </c>
      <c r="B2752" s="2" t="s">
        <v>798</v>
      </c>
      <c r="C2752" s="2" t="s">
        <v>799</v>
      </c>
      <c r="D2752" s="2" t="s">
        <v>800</v>
      </c>
    </row>
    <row r="2753">
      <c r="A2753" s="8">
        <v>46190.65479141204</v>
      </c>
      <c r="B2753" s="2" t="s">
        <v>798</v>
      </c>
      <c r="C2753" s="2" t="s">
        <v>812</v>
      </c>
      <c r="D2753" s="2" t="s">
        <v>813</v>
      </c>
    </row>
    <row r="2754">
      <c r="A2754" s="8">
        <v>46190.65479980324</v>
      </c>
      <c r="B2754" s="2" t="s">
        <v>844</v>
      </c>
      <c r="C2754" s="2" t="s">
        <v>818</v>
      </c>
      <c r="D2754" s="2" t="s">
        <v>1068</v>
      </c>
    </row>
    <row r="2755">
      <c r="A2755" s="8">
        <v>46190.654815393515</v>
      </c>
      <c r="B2755" s="2" t="s">
        <v>832</v>
      </c>
      <c r="C2755" s="2"/>
      <c r="D2755" s="2" t="s">
        <v>1057</v>
      </c>
    </row>
    <row r="2756">
      <c r="A2756" s="8">
        <v>46190.65488233796</v>
      </c>
      <c r="B2756" s="2" t="s">
        <v>991</v>
      </c>
      <c r="C2756" s="2" t="s">
        <v>519</v>
      </c>
      <c r="D2756" s="2" t="s">
        <v>1065</v>
      </c>
    </row>
    <row r="2757">
      <c r="A2757" s="8">
        <v>46190.654888599536</v>
      </c>
      <c r="B2757" s="2" t="s">
        <v>991</v>
      </c>
      <c r="C2757" s="2" t="s">
        <v>607</v>
      </c>
      <c r="D2757" s="2" t="s">
        <v>1055</v>
      </c>
    </row>
    <row r="2758">
      <c r="A2758" s="8">
        <v>46190.65489568287</v>
      </c>
      <c r="B2758" s="2" t="s">
        <v>844</v>
      </c>
      <c r="C2758" s="2" t="s">
        <v>677</v>
      </c>
      <c r="D2758" s="2" t="s">
        <v>1069</v>
      </c>
    </row>
    <row r="2759">
      <c r="A2759" s="8">
        <v>46190.654904525465</v>
      </c>
      <c r="B2759" s="2" t="s">
        <v>1070</v>
      </c>
      <c r="C2759" s="2" t="s">
        <v>768</v>
      </c>
      <c r="D2759" s="2" t="s">
        <v>1071</v>
      </c>
    </row>
    <row r="2760">
      <c r="A2760" s="8">
        <v>46190.654913715276</v>
      </c>
      <c r="B2760" s="2" t="s">
        <v>1072</v>
      </c>
      <c r="C2760" s="2" t="s">
        <v>773</v>
      </c>
      <c r="D2760" s="2" t="s">
        <v>1073</v>
      </c>
    </row>
    <row r="2761">
      <c r="A2761" s="8">
        <v>46190.65492320602</v>
      </c>
      <c r="B2761" s="2" t="s">
        <v>1070</v>
      </c>
      <c r="C2761" s="2" t="s">
        <v>783</v>
      </c>
      <c r="D2761" s="2" t="s">
        <v>1074</v>
      </c>
    </row>
    <row r="2762">
      <c r="A2762" s="8">
        <v>46190.654928194446</v>
      </c>
      <c r="B2762" s="2" t="s">
        <v>894</v>
      </c>
      <c r="C2762" s="2"/>
      <c r="D2762" s="2" t="s">
        <v>1075</v>
      </c>
    </row>
    <row r="2763">
      <c r="A2763" s="8">
        <v>46190.65493395833</v>
      </c>
      <c r="B2763" s="2" t="s">
        <v>1076</v>
      </c>
      <c r="C2763" s="2"/>
      <c r="D2763" s="2" t="s">
        <v>1077</v>
      </c>
    </row>
    <row r="2764">
      <c r="A2764" s="8">
        <v>46190.696437060185</v>
      </c>
      <c r="B2764" s="2" t="s">
        <v>798</v>
      </c>
      <c r="C2764" s="2" t="s">
        <v>799</v>
      </c>
      <c r="D2764" s="2" t="s">
        <v>800</v>
      </c>
    </row>
    <row r="2765">
      <c r="A2765" s="8">
        <v>46190.696440960644</v>
      </c>
      <c r="B2765" s="2" t="s">
        <v>798</v>
      </c>
      <c r="C2765" s="2" t="s">
        <v>812</v>
      </c>
      <c r="D2765" s="2" t="s">
        <v>813</v>
      </c>
    </row>
    <row r="2766">
      <c r="A2766" s="8">
        <v>46190.69644572916</v>
      </c>
      <c r="B2766" s="2" t="s">
        <v>832</v>
      </c>
      <c r="C2766" s="2"/>
      <c r="D2766" s="2" t="s">
        <v>1058</v>
      </c>
    </row>
    <row r="2767">
      <c r="A2767" s="8">
        <v>46190.69650665509</v>
      </c>
      <c r="B2767" s="2" t="s">
        <v>991</v>
      </c>
      <c r="C2767" s="2" t="s">
        <v>519</v>
      </c>
      <c r="D2767" s="2" t="s">
        <v>1065</v>
      </c>
    </row>
    <row r="2768">
      <c r="A2768" s="8">
        <v>46190.6965128588</v>
      </c>
      <c r="B2768" s="2" t="s">
        <v>991</v>
      </c>
      <c r="C2768" s="2" t="s">
        <v>607</v>
      </c>
      <c r="D2768" s="2" t="s">
        <v>1055</v>
      </c>
    </row>
    <row r="2769">
      <c r="A2769" s="8">
        <v>46190.69651571759</v>
      </c>
      <c r="B2769" s="2" t="s">
        <v>894</v>
      </c>
      <c r="C2769" s="2"/>
      <c r="D2769" s="2" t="s">
        <v>1078</v>
      </c>
    </row>
    <row r="2770">
      <c r="A2770" s="8">
        <v>46190.73810383102</v>
      </c>
      <c r="B2770" s="2" t="s">
        <v>798</v>
      </c>
      <c r="C2770" s="2" t="s">
        <v>799</v>
      </c>
      <c r="D2770" s="2" t="s">
        <v>800</v>
      </c>
    </row>
    <row r="2771">
      <c r="A2771" s="8">
        <v>46190.73811019676</v>
      </c>
      <c r="B2771" s="2" t="s">
        <v>798</v>
      </c>
      <c r="C2771" s="2" t="s">
        <v>812</v>
      </c>
      <c r="D2771" s="2" t="s">
        <v>813</v>
      </c>
    </row>
    <row r="2772">
      <c r="A2772" s="8">
        <v>46190.738119490736</v>
      </c>
      <c r="B2772" s="2" t="s">
        <v>844</v>
      </c>
      <c r="C2772" s="2" t="s">
        <v>818</v>
      </c>
      <c r="D2772" s="2" t="s">
        <v>1079</v>
      </c>
    </row>
    <row r="2773">
      <c r="A2773" s="8">
        <v>46190.73813978009</v>
      </c>
      <c r="B2773" s="2" t="s">
        <v>832</v>
      </c>
      <c r="C2773" s="2"/>
      <c r="D2773" s="2" t="s">
        <v>1057</v>
      </c>
    </row>
    <row r="2774">
      <c r="A2774" s="8">
        <v>46190.738211840275</v>
      </c>
      <c r="B2774" s="2" t="s">
        <v>991</v>
      </c>
      <c r="C2774" s="2" t="s">
        <v>519</v>
      </c>
      <c r="D2774" s="2" t="s">
        <v>1065</v>
      </c>
    </row>
    <row r="2775">
      <c r="A2775" s="8">
        <v>46190.73822357639</v>
      </c>
      <c r="B2775" s="2" t="s">
        <v>991</v>
      </c>
      <c r="C2775" s="2" t="s">
        <v>607</v>
      </c>
      <c r="D2775" s="2" t="s">
        <v>1055</v>
      </c>
    </row>
    <row r="2776">
      <c r="A2776" s="8">
        <v>46190.738227071764</v>
      </c>
      <c r="B2776" s="2" t="s">
        <v>894</v>
      </c>
      <c r="C2776" s="2"/>
      <c r="D2776" s="2" t="s">
        <v>1078</v>
      </c>
    </row>
    <row r="2777">
      <c r="A2777" s="8">
        <v>46190.76421283565</v>
      </c>
      <c r="B2777" s="2" t="s">
        <v>1080</v>
      </c>
      <c r="C2777" s="2"/>
      <c r="D2777" s="2" t="s">
        <v>1081</v>
      </c>
    </row>
    <row r="2778">
      <c r="A2778" s="8">
        <v>46190.77977707176</v>
      </c>
      <c r="B2778" s="2" t="s">
        <v>798</v>
      </c>
      <c r="C2778" s="2" t="s">
        <v>799</v>
      </c>
      <c r="D2778" s="2" t="s">
        <v>800</v>
      </c>
    </row>
    <row r="2779">
      <c r="A2779" s="8">
        <v>46190.77978243056</v>
      </c>
      <c r="B2779" s="2" t="s">
        <v>798</v>
      </c>
      <c r="C2779" s="2" t="s">
        <v>812</v>
      </c>
      <c r="D2779" s="2" t="s">
        <v>813</v>
      </c>
    </row>
    <row r="2780">
      <c r="A2780" s="8">
        <v>46190.77980694444</v>
      </c>
      <c r="B2780" s="2" t="s">
        <v>832</v>
      </c>
      <c r="C2780" s="2"/>
      <c r="D2780" s="2" t="s">
        <v>1058</v>
      </c>
    </row>
    <row r="2781">
      <c r="A2781" s="8">
        <v>46190.77987640046</v>
      </c>
      <c r="B2781" s="2" t="s">
        <v>991</v>
      </c>
      <c r="C2781" s="2" t="s">
        <v>519</v>
      </c>
      <c r="D2781" s="2" t="s">
        <v>1065</v>
      </c>
    </row>
    <row r="2782">
      <c r="A2782" s="8">
        <v>46190.77988523148</v>
      </c>
      <c r="B2782" s="2" t="s">
        <v>991</v>
      </c>
      <c r="C2782" s="2" t="s">
        <v>607</v>
      </c>
      <c r="D2782" s="2" t="s">
        <v>1055</v>
      </c>
    </row>
    <row r="2783">
      <c r="A2783" s="8">
        <v>46190.77988756944</v>
      </c>
      <c r="B2783" s="2" t="s">
        <v>894</v>
      </c>
      <c r="C2783" s="2"/>
      <c r="D2783" s="2" t="s">
        <v>1078</v>
      </c>
    </row>
    <row r="2784">
      <c r="A2784" s="8">
        <v>46190.8214380787</v>
      </c>
      <c r="B2784" s="2" t="s">
        <v>798</v>
      </c>
      <c r="C2784" s="2" t="s">
        <v>799</v>
      </c>
      <c r="D2784" s="2" t="s">
        <v>800</v>
      </c>
    </row>
    <row r="2785">
      <c r="A2785" s="8">
        <v>46190.821443356486</v>
      </c>
      <c r="B2785" s="2" t="s">
        <v>798</v>
      </c>
      <c r="C2785" s="2" t="s">
        <v>812</v>
      </c>
      <c r="D2785" s="2" t="s">
        <v>813</v>
      </c>
    </row>
    <row r="2786">
      <c r="A2786" s="8">
        <v>46190.8214496875</v>
      </c>
      <c r="B2786" s="2" t="s">
        <v>832</v>
      </c>
      <c r="C2786" s="2"/>
      <c r="D2786" s="2" t="s">
        <v>1058</v>
      </c>
    </row>
    <row r="2787">
      <c r="A2787" s="8">
        <v>46190.82152920139</v>
      </c>
      <c r="B2787" s="2" t="s">
        <v>991</v>
      </c>
      <c r="C2787" s="2" t="s">
        <v>519</v>
      </c>
      <c r="D2787" s="2" t="s">
        <v>1065</v>
      </c>
    </row>
    <row r="2788">
      <c r="A2788" s="8">
        <v>46190.8215369213</v>
      </c>
      <c r="B2788" s="2" t="s">
        <v>991</v>
      </c>
      <c r="C2788" s="2" t="s">
        <v>607</v>
      </c>
      <c r="D2788" s="2" t="s">
        <v>1055</v>
      </c>
    </row>
    <row r="2789">
      <c r="A2789" s="8">
        <v>46190.82154009259</v>
      </c>
      <c r="B2789" s="2" t="s">
        <v>894</v>
      </c>
      <c r="C2789" s="2"/>
      <c r="D2789" s="2" t="s">
        <v>1078</v>
      </c>
    </row>
    <row r="2790">
      <c r="A2790" s="8">
        <v>46190.86309856482</v>
      </c>
      <c r="B2790" s="2" t="s">
        <v>798</v>
      </c>
      <c r="C2790" s="2" t="s">
        <v>799</v>
      </c>
      <c r="D2790" s="2" t="s">
        <v>800</v>
      </c>
    </row>
    <row r="2791">
      <c r="A2791" s="8">
        <v>46190.86310425926</v>
      </c>
      <c r="B2791" s="2" t="s">
        <v>798</v>
      </c>
      <c r="C2791" s="2" t="s">
        <v>812</v>
      </c>
      <c r="D2791" s="2" t="s">
        <v>813</v>
      </c>
    </row>
    <row r="2792">
      <c r="A2792" s="8">
        <v>46190.86310940972</v>
      </c>
      <c r="B2792" s="2" t="s">
        <v>832</v>
      </c>
      <c r="C2792" s="2"/>
      <c r="D2792" s="2" t="s">
        <v>1058</v>
      </c>
    </row>
    <row r="2793">
      <c r="A2793" s="8">
        <v>46190.86318663195</v>
      </c>
      <c r="B2793" s="2" t="s">
        <v>991</v>
      </c>
      <c r="C2793" s="2" t="s">
        <v>519</v>
      </c>
      <c r="D2793" s="2" t="s">
        <v>1065</v>
      </c>
    </row>
    <row r="2794">
      <c r="A2794" s="8">
        <v>46190.863192372686</v>
      </c>
      <c r="B2794" s="2" t="s">
        <v>991</v>
      </c>
      <c r="C2794" s="2" t="s">
        <v>607</v>
      </c>
      <c r="D2794" s="2" t="s">
        <v>1055</v>
      </c>
    </row>
    <row r="2795">
      <c r="A2795" s="8">
        <v>46190.86319491898</v>
      </c>
      <c r="B2795" s="2" t="s">
        <v>894</v>
      </c>
      <c r="C2795" s="2"/>
      <c r="D2795" s="2" t="s">
        <v>1078</v>
      </c>
    </row>
    <row r="2796">
      <c r="A2796" s="8">
        <v>46190.90478331019</v>
      </c>
      <c r="B2796" s="2" t="s">
        <v>798</v>
      </c>
      <c r="C2796" s="2" t="s">
        <v>799</v>
      </c>
      <c r="D2796" s="2" t="s">
        <v>800</v>
      </c>
    </row>
    <row r="2797">
      <c r="A2797" s="8">
        <v>46190.90478914352</v>
      </c>
      <c r="B2797" s="2" t="s">
        <v>798</v>
      </c>
      <c r="C2797" s="2" t="s">
        <v>812</v>
      </c>
      <c r="D2797" s="2" t="s">
        <v>813</v>
      </c>
    </row>
    <row r="2798">
      <c r="A2798" s="8">
        <v>46190.90480822917</v>
      </c>
      <c r="B2798" s="2" t="s">
        <v>832</v>
      </c>
      <c r="C2798" s="2"/>
      <c r="D2798" s="2" t="s">
        <v>1058</v>
      </c>
    </row>
    <row r="2799">
      <c r="A2799" s="8">
        <v>46190.90487810185</v>
      </c>
      <c r="B2799" s="2" t="s">
        <v>991</v>
      </c>
      <c r="C2799" s="2" t="s">
        <v>519</v>
      </c>
      <c r="D2799" s="2" t="s">
        <v>1065</v>
      </c>
    </row>
    <row r="2800">
      <c r="A2800" s="8">
        <v>46190.90488508102</v>
      </c>
      <c r="B2800" s="2" t="s">
        <v>991</v>
      </c>
      <c r="C2800" s="2" t="s">
        <v>607</v>
      </c>
      <c r="D2800" s="2" t="s">
        <v>1055</v>
      </c>
    </row>
    <row r="2801">
      <c r="A2801" s="8">
        <v>46190.904888125</v>
      </c>
      <c r="B2801" s="2" t="s">
        <v>894</v>
      </c>
      <c r="C2801" s="2"/>
      <c r="D2801" s="2" t="s">
        <v>1078</v>
      </c>
    </row>
    <row r="2802">
      <c r="A2802" s="8">
        <v>46190.917113460644</v>
      </c>
      <c r="B2802" s="2" t="s">
        <v>863</v>
      </c>
      <c r="C2802" s="2"/>
      <c r="D2802" s="2" t="s">
        <v>1082</v>
      </c>
    </row>
    <row r="2803">
      <c r="A2803" s="8">
        <v>46190.946483796295</v>
      </c>
      <c r="B2803" s="2" t="s">
        <v>798</v>
      </c>
      <c r="C2803" s="2" t="s">
        <v>799</v>
      </c>
      <c r="D2803" s="2" t="s">
        <v>800</v>
      </c>
    </row>
    <row r="2804">
      <c r="A2804" s="8">
        <v>46190.94649398148</v>
      </c>
      <c r="B2804" s="2" t="s">
        <v>798</v>
      </c>
      <c r="C2804" s="2" t="s">
        <v>812</v>
      </c>
      <c r="D2804" s="2" t="s">
        <v>813</v>
      </c>
    </row>
    <row r="2805">
      <c r="A2805" s="8">
        <v>46190.94651447917</v>
      </c>
      <c r="B2805" s="2" t="s">
        <v>832</v>
      </c>
      <c r="C2805" s="2"/>
      <c r="D2805" s="2" t="s">
        <v>1058</v>
      </c>
    </row>
    <row r="2806">
      <c r="A2806" s="8">
        <v>46190.94659570602</v>
      </c>
      <c r="B2806" s="2" t="s">
        <v>991</v>
      </c>
      <c r="C2806" s="2" t="s">
        <v>519</v>
      </c>
      <c r="D2806" s="2" t="s">
        <v>1065</v>
      </c>
    </row>
    <row r="2807">
      <c r="A2807" s="8">
        <v>46190.94661704861</v>
      </c>
      <c r="B2807" s="2" t="s">
        <v>991</v>
      </c>
      <c r="C2807" s="2" t="s">
        <v>607</v>
      </c>
      <c r="D2807" s="2" t="s">
        <v>1055</v>
      </c>
    </row>
    <row r="2808">
      <c r="A2808" s="8">
        <v>46190.94662079861</v>
      </c>
      <c r="B2808" s="2" t="s">
        <v>894</v>
      </c>
      <c r="C2808" s="2"/>
      <c r="D2808" s="2" t="s">
        <v>1078</v>
      </c>
    </row>
    <row r="2809">
      <c r="A2809" s="8">
        <v>46191.02981599537</v>
      </c>
      <c r="B2809" s="2" t="s">
        <v>798</v>
      </c>
      <c r="C2809" s="2" t="s">
        <v>799</v>
      </c>
      <c r="D2809" s="2" t="s">
        <v>800</v>
      </c>
    </row>
    <row r="2810">
      <c r="A2810" s="8">
        <v>46191.029827280094</v>
      </c>
      <c r="B2810" s="2" t="s">
        <v>798</v>
      </c>
      <c r="C2810" s="2" t="s">
        <v>812</v>
      </c>
      <c r="D2810" s="2" t="s">
        <v>813</v>
      </c>
    </row>
    <row r="2811">
      <c r="A2811" s="8">
        <v>46191.02984895834</v>
      </c>
      <c r="B2811" s="2" t="s">
        <v>832</v>
      </c>
      <c r="C2811" s="2"/>
      <c r="D2811" s="2" t="s">
        <v>1058</v>
      </c>
    </row>
    <row r="2812">
      <c r="A2812" s="8">
        <v>46191.02994740741</v>
      </c>
      <c r="B2812" s="2" t="s">
        <v>991</v>
      </c>
      <c r="C2812" s="2" t="s">
        <v>519</v>
      </c>
      <c r="D2812" s="2" t="s">
        <v>1065</v>
      </c>
    </row>
    <row r="2813">
      <c r="A2813" s="8">
        <v>46191.029963877314</v>
      </c>
      <c r="B2813" s="2" t="s">
        <v>991</v>
      </c>
      <c r="C2813" s="2" t="s">
        <v>607</v>
      </c>
      <c r="D2813" s="2" t="s">
        <v>1055</v>
      </c>
    </row>
    <row r="2814">
      <c r="A2814" s="8">
        <v>46191.02996961806</v>
      </c>
      <c r="B2814" s="2" t="s">
        <v>894</v>
      </c>
      <c r="C2814" s="2"/>
      <c r="D2814" s="2" t="s">
        <v>1078</v>
      </c>
    </row>
    <row r="2815">
      <c r="A2815" s="8">
        <v>46191.071432488425</v>
      </c>
      <c r="B2815" s="2" t="s">
        <v>798</v>
      </c>
      <c r="C2815" s="2" t="s">
        <v>799</v>
      </c>
      <c r="D2815" s="2" t="s">
        <v>800</v>
      </c>
    </row>
    <row r="2816">
      <c r="A2816" s="8">
        <v>46191.0714371412</v>
      </c>
      <c r="B2816" s="2" t="s">
        <v>798</v>
      </c>
      <c r="C2816" s="2" t="s">
        <v>812</v>
      </c>
      <c r="D2816" s="2" t="s">
        <v>813</v>
      </c>
    </row>
    <row r="2817">
      <c r="A2817" s="8">
        <v>46191.071442430555</v>
      </c>
      <c r="B2817" s="2" t="s">
        <v>832</v>
      </c>
      <c r="C2817" s="2"/>
      <c r="D2817" s="2" t="s">
        <v>1058</v>
      </c>
    </row>
    <row r="2818">
      <c r="A2818" s="8">
        <v>46191.07152521991</v>
      </c>
      <c r="B2818" s="2" t="s">
        <v>991</v>
      </c>
      <c r="C2818" s="2" t="s">
        <v>519</v>
      </c>
      <c r="D2818" s="2" t="s">
        <v>1065</v>
      </c>
    </row>
    <row r="2819">
      <c r="A2819" s="8">
        <v>46191.07152935185</v>
      </c>
      <c r="B2819" s="2" t="s">
        <v>991</v>
      </c>
      <c r="C2819" s="2" t="s">
        <v>607</v>
      </c>
      <c r="D2819" s="2" t="s">
        <v>1055</v>
      </c>
    </row>
    <row r="2820">
      <c r="A2820" s="8">
        <v>46191.07153197916</v>
      </c>
      <c r="B2820" s="2" t="s">
        <v>894</v>
      </c>
      <c r="C2820" s="2"/>
      <c r="D2820" s="2" t="s">
        <v>1078</v>
      </c>
    </row>
    <row r="2821">
      <c r="A2821" s="8">
        <v>46191.1131149537</v>
      </c>
      <c r="B2821" s="2" t="s">
        <v>798</v>
      </c>
      <c r="C2821" s="2" t="s">
        <v>799</v>
      </c>
      <c r="D2821" s="2" t="s">
        <v>800</v>
      </c>
    </row>
    <row r="2822">
      <c r="A2822" s="8">
        <v>46191.11312436343</v>
      </c>
      <c r="B2822" s="2" t="s">
        <v>798</v>
      </c>
      <c r="C2822" s="2" t="s">
        <v>812</v>
      </c>
      <c r="D2822" s="2" t="s">
        <v>813</v>
      </c>
    </row>
    <row r="2823">
      <c r="A2823" s="8">
        <v>46191.113148020835</v>
      </c>
      <c r="B2823" s="2" t="s">
        <v>832</v>
      </c>
      <c r="C2823" s="2"/>
      <c r="D2823" s="2" t="s">
        <v>1058</v>
      </c>
    </row>
    <row r="2824">
      <c r="A2824" s="8">
        <v>46191.11322960648</v>
      </c>
      <c r="B2824" s="2" t="s">
        <v>991</v>
      </c>
      <c r="C2824" s="2" t="s">
        <v>519</v>
      </c>
      <c r="D2824" s="2" t="s">
        <v>1065</v>
      </c>
    </row>
    <row r="2825">
      <c r="A2825" s="8">
        <v>46191.11323837963</v>
      </c>
      <c r="B2825" s="2" t="s">
        <v>991</v>
      </c>
      <c r="C2825" s="2" t="s">
        <v>607</v>
      </c>
      <c r="D2825" s="2" t="s">
        <v>1055</v>
      </c>
    </row>
    <row r="2826">
      <c r="A2826" s="8">
        <v>46191.11324190973</v>
      </c>
      <c r="B2826" s="2" t="s">
        <v>894</v>
      </c>
      <c r="C2826" s="2"/>
      <c r="D2826" s="2" t="s">
        <v>1078</v>
      </c>
    </row>
    <row r="2827">
      <c r="A2827" s="8">
        <v>46191.15476988426</v>
      </c>
      <c r="B2827" s="2" t="s">
        <v>798</v>
      </c>
      <c r="C2827" s="2" t="s">
        <v>799</v>
      </c>
      <c r="D2827" s="2" t="s">
        <v>800</v>
      </c>
    </row>
    <row r="2828">
      <c r="A2828" s="8">
        <v>46191.154778298616</v>
      </c>
      <c r="B2828" s="2" t="s">
        <v>844</v>
      </c>
      <c r="C2828" s="2" t="s">
        <v>846</v>
      </c>
      <c r="D2828" s="2" t="s">
        <v>860</v>
      </c>
    </row>
    <row r="2829">
      <c r="A2829" s="8">
        <v>46191.15479884259</v>
      </c>
      <c r="B2829" s="2" t="s">
        <v>798</v>
      </c>
      <c r="C2829" s="2" t="s">
        <v>812</v>
      </c>
      <c r="D2829" s="2" t="s">
        <v>813</v>
      </c>
    </row>
    <row r="2830">
      <c r="A2830" s="8">
        <v>46191.15480400463</v>
      </c>
      <c r="B2830" s="2" t="s">
        <v>832</v>
      </c>
      <c r="C2830" s="2"/>
      <c r="D2830" s="2" t="s">
        <v>1057</v>
      </c>
    </row>
    <row r="2831">
      <c r="A2831" s="8">
        <v>46191.15487076389</v>
      </c>
      <c r="B2831" s="2" t="s">
        <v>991</v>
      </c>
      <c r="C2831" s="2" t="s">
        <v>519</v>
      </c>
      <c r="D2831" s="2" t="s">
        <v>1065</v>
      </c>
    </row>
    <row r="2832">
      <c r="A2832" s="8">
        <v>46191.15487738426</v>
      </c>
      <c r="B2832" s="2" t="s">
        <v>991</v>
      </c>
      <c r="C2832" s="2" t="s">
        <v>607</v>
      </c>
      <c r="D2832" s="2" t="s">
        <v>1055</v>
      </c>
    </row>
    <row r="2833">
      <c r="A2833" s="8">
        <v>46191.15488082176</v>
      </c>
      <c r="B2833" s="2" t="s">
        <v>894</v>
      </c>
      <c r="C2833" s="2"/>
      <c r="D2833" s="2" t="s">
        <v>1078</v>
      </c>
    </row>
    <row r="2834">
      <c r="A2834" s="8">
        <v>46191.19647018518</v>
      </c>
      <c r="B2834" s="2" t="s">
        <v>798</v>
      </c>
      <c r="C2834" s="2" t="s">
        <v>799</v>
      </c>
      <c r="D2834" s="2" t="s">
        <v>800</v>
      </c>
    </row>
    <row r="2835">
      <c r="A2835" s="8">
        <v>46191.19648248843</v>
      </c>
      <c r="B2835" s="2" t="s">
        <v>798</v>
      </c>
      <c r="C2835" s="2" t="s">
        <v>812</v>
      </c>
      <c r="D2835" s="2" t="s">
        <v>813</v>
      </c>
    </row>
    <row r="2836">
      <c r="A2836" s="8">
        <v>46191.19649901621</v>
      </c>
      <c r="B2836" s="2" t="s">
        <v>832</v>
      </c>
      <c r="C2836" s="2"/>
      <c r="D2836" s="2" t="s">
        <v>1058</v>
      </c>
    </row>
    <row r="2837">
      <c r="A2837" s="8">
        <v>46191.19659290509</v>
      </c>
      <c r="B2837" s="2" t="s">
        <v>991</v>
      </c>
      <c r="C2837" s="2" t="s">
        <v>519</v>
      </c>
      <c r="D2837" s="2" t="s">
        <v>1065</v>
      </c>
    </row>
    <row r="2838">
      <c r="A2838" s="8">
        <v>46191.19660658565</v>
      </c>
      <c r="B2838" s="2" t="s">
        <v>991</v>
      </c>
      <c r="C2838" s="2" t="s">
        <v>607</v>
      </c>
      <c r="D2838" s="2" t="s">
        <v>1055</v>
      </c>
    </row>
    <row r="2839">
      <c r="A2839" s="8">
        <v>46191.196609189814</v>
      </c>
      <c r="B2839" s="2" t="s">
        <v>894</v>
      </c>
      <c r="C2839" s="2"/>
      <c r="D2839" s="2" t="s">
        <v>1078</v>
      </c>
    </row>
    <row r="2840">
      <c r="A2840" s="8">
        <v>46191.23811659722</v>
      </c>
      <c r="B2840" s="2" t="s">
        <v>798</v>
      </c>
      <c r="C2840" s="2" t="s">
        <v>799</v>
      </c>
      <c r="D2840" s="2" t="s">
        <v>800</v>
      </c>
    </row>
    <row r="2841">
      <c r="A2841" s="8">
        <v>46191.2381249537</v>
      </c>
      <c r="B2841" s="2" t="s">
        <v>798</v>
      </c>
      <c r="C2841" s="2" t="s">
        <v>812</v>
      </c>
      <c r="D2841" s="2" t="s">
        <v>813</v>
      </c>
    </row>
    <row r="2842">
      <c r="A2842" s="8">
        <v>46191.23813243056</v>
      </c>
      <c r="B2842" s="2" t="s">
        <v>832</v>
      </c>
      <c r="C2842" s="2"/>
      <c r="D2842" s="2" t="s">
        <v>1058</v>
      </c>
    </row>
    <row r="2843">
      <c r="A2843" s="8">
        <v>46191.23822153935</v>
      </c>
      <c r="B2843" s="2" t="s">
        <v>991</v>
      </c>
      <c r="C2843" s="2" t="s">
        <v>519</v>
      </c>
      <c r="D2843" s="2" t="s">
        <v>1083</v>
      </c>
    </row>
    <row r="2844">
      <c r="A2844" s="8">
        <v>46191.238229849536</v>
      </c>
      <c r="B2844" s="2" t="s">
        <v>991</v>
      </c>
      <c r="C2844" s="2" t="s">
        <v>607</v>
      </c>
      <c r="D2844" s="2" t="s">
        <v>1055</v>
      </c>
    </row>
    <row r="2845">
      <c r="A2845" s="8">
        <v>46191.23823780092</v>
      </c>
      <c r="B2845" s="2" t="s">
        <v>894</v>
      </c>
      <c r="C2845" s="2"/>
      <c r="D2845" s="2" t="s">
        <v>1078</v>
      </c>
    </row>
    <row r="2846">
      <c r="A2846" s="8">
        <v>46191.27981695602</v>
      </c>
      <c r="B2846" s="2" t="s">
        <v>798</v>
      </c>
      <c r="C2846" s="2" t="s">
        <v>799</v>
      </c>
      <c r="D2846" s="2" t="s">
        <v>800</v>
      </c>
    </row>
    <row r="2847">
      <c r="A2847" s="8">
        <v>46191.279825509264</v>
      </c>
      <c r="B2847" s="2" t="s">
        <v>798</v>
      </c>
      <c r="C2847" s="2" t="s">
        <v>812</v>
      </c>
      <c r="D2847" s="2" t="s">
        <v>813</v>
      </c>
    </row>
    <row r="2848">
      <c r="A2848" s="8">
        <v>46191.27985157407</v>
      </c>
      <c r="B2848" s="2" t="s">
        <v>844</v>
      </c>
      <c r="C2848" s="2" t="s">
        <v>818</v>
      </c>
      <c r="D2848" s="2" t="s">
        <v>1084</v>
      </c>
    </row>
    <row r="2849">
      <c r="A2849" s="8">
        <v>46191.27986231481</v>
      </c>
      <c r="B2849" s="2" t="s">
        <v>832</v>
      </c>
      <c r="C2849" s="2"/>
      <c r="D2849" s="2" t="s">
        <v>1057</v>
      </c>
    </row>
    <row r="2850">
      <c r="A2850" s="8">
        <v>46191.27996059028</v>
      </c>
      <c r="B2850" s="2" t="s">
        <v>991</v>
      </c>
      <c r="C2850" s="2" t="s">
        <v>519</v>
      </c>
      <c r="D2850" s="2" t="s">
        <v>1083</v>
      </c>
    </row>
    <row r="2851">
      <c r="A2851" s="8">
        <v>46191.27997425926</v>
      </c>
      <c r="B2851" s="2" t="s">
        <v>991</v>
      </c>
      <c r="C2851" s="2" t="s">
        <v>607</v>
      </c>
      <c r="D2851" s="2" t="s">
        <v>1055</v>
      </c>
    </row>
    <row r="2852">
      <c r="A2852" s="8">
        <v>46191.27997754629</v>
      </c>
      <c r="B2852" s="2" t="s">
        <v>894</v>
      </c>
      <c r="C2852" s="2"/>
      <c r="D2852" s="2" t="s">
        <v>1078</v>
      </c>
    </row>
    <row r="2853">
      <c r="A2853" s="8">
        <v>46191.321448738425</v>
      </c>
      <c r="B2853" s="2" t="s">
        <v>798</v>
      </c>
      <c r="C2853" s="2" t="s">
        <v>799</v>
      </c>
      <c r="D2853" s="2" t="s">
        <v>800</v>
      </c>
    </row>
    <row r="2854">
      <c r="A2854" s="8">
        <v>46191.32145392361</v>
      </c>
      <c r="B2854" s="2" t="s">
        <v>798</v>
      </c>
      <c r="C2854" s="2" t="s">
        <v>812</v>
      </c>
      <c r="D2854" s="2" t="s">
        <v>813</v>
      </c>
    </row>
    <row r="2855">
      <c r="A2855" s="8">
        <v>46191.32146303241</v>
      </c>
      <c r="B2855" s="2" t="s">
        <v>844</v>
      </c>
      <c r="C2855" s="2" t="s">
        <v>818</v>
      </c>
      <c r="D2855" s="2" t="s">
        <v>1085</v>
      </c>
    </row>
    <row r="2856">
      <c r="A2856" s="8">
        <v>46191.321480300925</v>
      </c>
      <c r="B2856" s="2" t="s">
        <v>832</v>
      </c>
      <c r="C2856" s="2"/>
      <c r="D2856" s="2" t="s">
        <v>1057</v>
      </c>
    </row>
    <row r="2857">
      <c r="A2857" s="8">
        <v>46191.32158505787</v>
      </c>
      <c r="B2857" s="2" t="s">
        <v>991</v>
      </c>
      <c r="C2857" s="2" t="s">
        <v>519</v>
      </c>
      <c r="D2857" s="2" t="s">
        <v>1083</v>
      </c>
    </row>
    <row r="2858">
      <c r="A2858" s="8">
        <v>46191.32159655093</v>
      </c>
      <c r="B2858" s="2" t="s">
        <v>991</v>
      </c>
      <c r="C2858" s="2" t="s">
        <v>607</v>
      </c>
      <c r="D2858" s="2" t="s">
        <v>1055</v>
      </c>
    </row>
    <row r="2859">
      <c r="A2859" s="8">
        <v>46191.321601759264</v>
      </c>
      <c r="B2859" s="2" t="s">
        <v>894</v>
      </c>
      <c r="C2859" s="2"/>
      <c r="D2859" s="2" t="s">
        <v>1078</v>
      </c>
    </row>
    <row r="2860">
      <c r="A2860" s="8">
        <v>46191.36310444445</v>
      </c>
      <c r="B2860" s="2" t="s">
        <v>798</v>
      </c>
      <c r="C2860" s="2" t="s">
        <v>799</v>
      </c>
      <c r="D2860" s="2" t="s">
        <v>800</v>
      </c>
    </row>
    <row r="2861">
      <c r="A2861" s="8">
        <v>46191.36311021991</v>
      </c>
      <c r="B2861" s="2" t="s">
        <v>798</v>
      </c>
      <c r="C2861" s="2" t="s">
        <v>812</v>
      </c>
      <c r="D2861" s="2" t="s">
        <v>813</v>
      </c>
    </row>
    <row r="2862">
      <c r="A2862" s="8">
        <v>46191.36311528935</v>
      </c>
      <c r="B2862" s="2" t="s">
        <v>832</v>
      </c>
      <c r="C2862" s="2"/>
      <c r="D2862" s="2" t="s">
        <v>1058</v>
      </c>
    </row>
    <row r="2863">
      <c r="A2863" s="8">
        <v>46191.36319508102</v>
      </c>
      <c r="B2863" s="2" t="s">
        <v>991</v>
      </c>
      <c r="C2863" s="2" t="s">
        <v>519</v>
      </c>
      <c r="D2863" s="2" t="s">
        <v>1083</v>
      </c>
    </row>
    <row r="2864">
      <c r="A2864" s="8">
        <v>46191.36320136574</v>
      </c>
      <c r="B2864" s="2" t="s">
        <v>991</v>
      </c>
      <c r="C2864" s="2" t="s">
        <v>607</v>
      </c>
      <c r="D2864" s="2" t="s">
        <v>1055</v>
      </c>
    </row>
    <row r="2865">
      <c r="A2865" s="8">
        <v>46191.36320422454</v>
      </c>
      <c r="B2865" s="2" t="s">
        <v>894</v>
      </c>
      <c r="C2865" s="2"/>
      <c r="D2865" s="2" t="s">
        <v>1078</v>
      </c>
    </row>
    <row r="2866">
      <c r="A2866" s="8">
        <v>46191.40484716435</v>
      </c>
      <c r="B2866" s="2" t="s">
        <v>798</v>
      </c>
      <c r="C2866" s="2" t="s">
        <v>799</v>
      </c>
      <c r="D2866" s="2" t="s">
        <v>800</v>
      </c>
    </row>
    <row r="2867">
      <c r="A2867" s="8">
        <v>46191.40488967593</v>
      </c>
      <c r="B2867" s="2" t="s">
        <v>798</v>
      </c>
      <c r="C2867" s="2" t="s">
        <v>812</v>
      </c>
      <c r="D2867" s="2" t="s">
        <v>813</v>
      </c>
    </row>
    <row r="2868">
      <c r="A2868" s="8">
        <v>46191.40490241898</v>
      </c>
      <c r="B2868" s="2" t="s">
        <v>832</v>
      </c>
      <c r="C2868" s="2"/>
      <c r="D2868" s="2" t="s">
        <v>1058</v>
      </c>
    </row>
    <row r="2869">
      <c r="A2869" s="8">
        <v>46191.405022060186</v>
      </c>
      <c r="B2869" s="2" t="s">
        <v>991</v>
      </c>
      <c r="C2869" s="2" t="s">
        <v>519</v>
      </c>
      <c r="D2869" s="2" t="s">
        <v>1083</v>
      </c>
    </row>
    <row r="2870">
      <c r="A2870" s="8">
        <v>46191.40504085648</v>
      </c>
      <c r="B2870" s="2" t="s">
        <v>991</v>
      </c>
      <c r="C2870" s="2" t="s">
        <v>607</v>
      </c>
      <c r="D2870" s="2" t="s">
        <v>1055</v>
      </c>
    </row>
    <row r="2871">
      <c r="A2871" s="8">
        <v>46191.40505068287</v>
      </c>
      <c r="B2871" s="2" t="s">
        <v>894</v>
      </c>
      <c r="C2871" s="2"/>
      <c r="D2871" s="2" t="s">
        <v>1078</v>
      </c>
    </row>
    <row r="2872">
      <c r="A2872" s="8">
        <v>46191.446435185186</v>
      </c>
      <c r="B2872" s="2" t="s">
        <v>798</v>
      </c>
      <c r="C2872" s="2" t="s">
        <v>799</v>
      </c>
      <c r="D2872" s="2" t="s">
        <v>800</v>
      </c>
    </row>
    <row r="2873">
      <c r="A2873" s="8">
        <v>46191.44643856482</v>
      </c>
      <c r="B2873" s="2" t="s">
        <v>798</v>
      </c>
      <c r="C2873" s="2" t="s">
        <v>812</v>
      </c>
      <c r="D2873" s="2" t="s">
        <v>813</v>
      </c>
    </row>
    <row r="2874">
      <c r="A2874" s="8">
        <v>46191.44644271991</v>
      </c>
      <c r="B2874" s="2" t="s">
        <v>832</v>
      </c>
      <c r="C2874" s="2"/>
      <c r="D2874" s="2" t="s">
        <v>1058</v>
      </c>
    </row>
    <row r="2875">
      <c r="A2875" s="8">
        <v>46191.446564224534</v>
      </c>
      <c r="B2875" s="2" t="s">
        <v>991</v>
      </c>
      <c r="C2875" s="2" t="s">
        <v>519</v>
      </c>
      <c r="D2875" s="2" t="s">
        <v>1083</v>
      </c>
    </row>
    <row r="2876">
      <c r="A2876" s="8">
        <v>46191.44656795139</v>
      </c>
      <c r="B2876" s="2" t="s">
        <v>991</v>
      </c>
      <c r="C2876" s="2" t="s">
        <v>607</v>
      </c>
      <c r="D2876" s="2" t="s">
        <v>1055</v>
      </c>
    </row>
    <row r="2877">
      <c r="A2877" s="8">
        <v>46191.44657076389</v>
      </c>
      <c r="B2877" s="2" t="s">
        <v>894</v>
      </c>
      <c r="C2877" s="2"/>
      <c r="D2877" s="2" t="s">
        <v>1078</v>
      </c>
    </row>
    <row r="2878">
      <c r="A2878" s="8">
        <v>46191.48810519676</v>
      </c>
      <c r="B2878" s="2" t="s">
        <v>798</v>
      </c>
      <c r="C2878" s="2" t="s">
        <v>799</v>
      </c>
      <c r="D2878" s="2" t="s">
        <v>800</v>
      </c>
    </row>
    <row r="2879">
      <c r="A2879" s="8">
        <v>46191.48811185185</v>
      </c>
      <c r="B2879" s="2" t="s">
        <v>844</v>
      </c>
      <c r="C2879" s="2" t="s">
        <v>842</v>
      </c>
      <c r="D2879" s="2" t="s">
        <v>1086</v>
      </c>
    </row>
    <row r="2880">
      <c r="A2880" s="8">
        <v>46191.48813383102</v>
      </c>
      <c r="B2880" s="2" t="s">
        <v>798</v>
      </c>
      <c r="C2880" s="2" t="s">
        <v>812</v>
      </c>
      <c r="D2880" s="2" t="s">
        <v>813</v>
      </c>
    </row>
    <row r="2881">
      <c r="A2881" s="8">
        <v>46191.48813657407</v>
      </c>
      <c r="B2881" s="2" t="s">
        <v>832</v>
      </c>
      <c r="C2881" s="2"/>
      <c r="D2881" s="2" t="s">
        <v>1057</v>
      </c>
    </row>
    <row r="2882">
      <c r="A2882" s="8">
        <v>46191.48819192129</v>
      </c>
      <c r="B2882" s="2" t="s">
        <v>991</v>
      </c>
      <c r="C2882" s="2" t="s">
        <v>519</v>
      </c>
      <c r="D2882" s="2" t="s">
        <v>1083</v>
      </c>
    </row>
    <row r="2883">
      <c r="A2883" s="8">
        <v>46191.48819578704</v>
      </c>
      <c r="B2883" s="2" t="s">
        <v>991</v>
      </c>
      <c r="C2883" s="2" t="s">
        <v>607</v>
      </c>
      <c r="D2883" s="2" t="s">
        <v>1055</v>
      </c>
    </row>
    <row r="2884">
      <c r="A2884" s="8">
        <v>46191.48819790509</v>
      </c>
      <c r="B2884" s="2" t="s">
        <v>894</v>
      </c>
      <c r="C2884" s="2"/>
      <c r="D2884" s="2" t="s">
        <v>1078</v>
      </c>
    </row>
    <row r="2885">
      <c r="A2885" s="8">
        <v>46191.52977953704</v>
      </c>
      <c r="B2885" s="2" t="s">
        <v>798</v>
      </c>
      <c r="C2885" s="2" t="s">
        <v>799</v>
      </c>
      <c r="D2885" s="2" t="s">
        <v>800</v>
      </c>
    </row>
    <row r="2886">
      <c r="A2886" s="8">
        <v>46191.529784293976</v>
      </c>
      <c r="B2886" s="2" t="s">
        <v>798</v>
      </c>
      <c r="C2886" s="2" t="s">
        <v>812</v>
      </c>
      <c r="D2886" s="2" t="s">
        <v>813</v>
      </c>
    </row>
    <row r="2887">
      <c r="A2887" s="8">
        <v>46191.529799236116</v>
      </c>
      <c r="B2887" s="2" t="s">
        <v>832</v>
      </c>
      <c r="C2887" s="2"/>
      <c r="D2887" s="2" t="s">
        <v>1058</v>
      </c>
    </row>
    <row r="2888">
      <c r="A2888" s="8">
        <v>46191.5298791088</v>
      </c>
      <c r="B2888" s="2" t="s">
        <v>991</v>
      </c>
      <c r="C2888" s="2" t="s">
        <v>519</v>
      </c>
      <c r="D2888" s="2" t="s">
        <v>1083</v>
      </c>
    </row>
    <row r="2889">
      <c r="A2889" s="8">
        <v>46191.52988324074</v>
      </c>
      <c r="B2889" s="2" t="s">
        <v>991</v>
      </c>
      <c r="C2889" s="2" t="s">
        <v>607</v>
      </c>
      <c r="D2889" s="2" t="s">
        <v>1055</v>
      </c>
    </row>
    <row r="2890">
      <c r="A2890" s="8">
        <v>46191.52988553241</v>
      </c>
      <c r="B2890" s="2" t="s">
        <v>894</v>
      </c>
      <c r="C2890" s="2"/>
      <c r="D2890" s="2" t="s">
        <v>1078</v>
      </c>
    </row>
    <row r="2891">
      <c r="A2891" s="8">
        <v>46191.57144818287</v>
      </c>
      <c r="B2891" s="2" t="s">
        <v>798</v>
      </c>
      <c r="C2891" s="2" t="s">
        <v>799</v>
      </c>
      <c r="D2891" s="2" t="s">
        <v>800</v>
      </c>
    </row>
    <row r="2892">
      <c r="A2892" s="8">
        <v>46191.57145150463</v>
      </c>
      <c r="B2892" s="2" t="s">
        <v>798</v>
      </c>
      <c r="C2892" s="2" t="s">
        <v>812</v>
      </c>
      <c r="D2892" s="2" t="s">
        <v>813</v>
      </c>
    </row>
    <row r="2893">
      <c r="A2893" s="8">
        <v>46191.57146881944</v>
      </c>
      <c r="B2893" s="2" t="s">
        <v>832</v>
      </c>
      <c r="C2893" s="2"/>
      <c r="D2893" s="2" t="s">
        <v>1058</v>
      </c>
    </row>
    <row r="2894">
      <c r="A2894" s="8">
        <v>46191.571537337964</v>
      </c>
      <c r="B2894" s="2" t="s">
        <v>991</v>
      </c>
      <c r="C2894" s="2" t="s">
        <v>519</v>
      </c>
      <c r="D2894" s="2" t="s">
        <v>1083</v>
      </c>
    </row>
    <row r="2895">
      <c r="A2895" s="8">
        <v>46191.57154099537</v>
      </c>
      <c r="B2895" s="2" t="s">
        <v>991</v>
      </c>
      <c r="C2895" s="2" t="s">
        <v>607</v>
      </c>
      <c r="D2895" s="2" t="s">
        <v>1055</v>
      </c>
    </row>
    <row r="2896">
      <c r="A2896" s="8">
        <v>46191.571544039354</v>
      </c>
      <c r="B2896" s="2" t="s">
        <v>894</v>
      </c>
      <c r="C2896" s="2"/>
      <c r="D2896" s="2" t="s">
        <v>1078</v>
      </c>
    </row>
    <row r="2897">
      <c r="A2897" s="8">
        <v>46191.613138009256</v>
      </c>
      <c r="B2897" s="2" t="s">
        <v>798</v>
      </c>
      <c r="C2897" s="2" t="s">
        <v>799</v>
      </c>
      <c r="D2897" s="2" t="s">
        <v>800</v>
      </c>
    </row>
    <row r="2898">
      <c r="A2898" s="8">
        <v>46191.613148171295</v>
      </c>
      <c r="B2898" s="2" t="s">
        <v>798</v>
      </c>
      <c r="C2898" s="2" t="s">
        <v>812</v>
      </c>
      <c r="D2898" s="2" t="s">
        <v>813</v>
      </c>
    </row>
    <row r="2899">
      <c r="A2899" s="8">
        <v>46191.613164166665</v>
      </c>
      <c r="B2899" s="2" t="s">
        <v>832</v>
      </c>
      <c r="C2899" s="2"/>
      <c r="D2899" s="2" t="s">
        <v>1058</v>
      </c>
    </row>
    <row r="2900">
      <c r="A2900" s="8">
        <v>46191.61326244213</v>
      </c>
      <c r="B2900" s="2" t="s">
        <v>991</v>
      </c>
      <c r="C2900" s="2" t="s">
        <v>519</v>
      </c>
      <c r="D2900" s="2" t="s">
        <v>1083</v>
      </c>
    </row>
    <row r="2901">
      <c r="A2901" s="8">
        <v>46191.61327431713</v>
      </c>
      <c r="B2901" s="2" t="s">
        <v>991</v>
      </c>
      <c r="C2901" s="2" t="s">
        <v>607</v>
      </c>
      <c r="D2901" s="2" t="s">
        <v>1055</v>
      </c>
    </row>
    <row r="2902">
      <c r="A2902" s="8">
        <v>46191.613277662036</v>
      </c>
      <c r="B2902" s="2" t="s">
        <v>894</v>
      </c>
      <c r="C2902" s="2"/>
      <c r="D2902" s="2" t="s">
        <v>1078</v>
      </c>
    </row>
    <row r="2903">
      <c r="A2903" s="8">
        <v>46191.65478354167</v>
      </c>
      <c r="B2903" s="2" t="s">
        <v>798</v>
      </c>
      <c r="C2903" s="2" t="s">
        <v>799</v>
      </c>
      <c r="D2903" s="2" t="s">
        <v>800</v>
      </c>
    </row>
    <row r="2904">
      <c r="A2904" s="8">
        <v>46191.65479107639</v>
      </c>
      <c r="B2904" s="2" t="s">
        <v>798</v>
      </c>
      <c r="C2904" s="2" t="s">
        <v>812</v>
      </c>
      <c r="D2904" s="2" t="s">
        <v>813</v>
      </c>
    </row>
    <row r="2905">
      <c r="A2905" s="8">
        <v>46191.65481141204</v>
      </c>
      <c r="B2905" s="2" t="s">
        <v>832</v>
      </c>
      <c r="C2905" s="2"/>
      <c r="D2905" s="2" t="s">
        <v>1058</v>
      </c>
    </row>
    <row r="2906">
      <c r="A2906" s="8">
        <v>46191.65488667824</v>
      </c>
      <c r="B2906" s="2" t="s">
        <v>991</v>
      </c>
      <c r="C2906" s="2" t="s">
        <v>519</v>
      </c>
      <c r="D2906" s="2" t="s">
        <v>1083</v>
      </c>
    </row>
    <row r="2907">
      <c r="A2907" s="8">
        <v>46191.6548946875</v>
      </c>
      <c r="B2907" s="2" t="s">
        <v>991</v>
      </c>
      <c r="C2907" s="2" t="s">
        <v>607</v>
      </c>
      <c r="D2907" s="2" t="s">
        <v>1055</v>
      </c>
    </row>
    <row r="2908">
      <c r="A2908" s="8">
        <v>46191.65490392361</v>
      </c>
      <c r="B2908" s="2" t="s">
        <v>894</v>
      </c>
      <c r="C2908" s="2"/>
      <c r="D2908" s="2" t="s">
        <v>1078</v>
      </c>
    </row>
    <row r="2909">
      <c r="A2909" s="8">
        <v>46191.69643581018</v>
      </c>
      <c r="B2909" s="2" t="s">
        <v>798</v>
      </c>
      <c r="C2909" s="2" t="s">
        <v>799</v>
      </c>
      <c r="D2909" s="2" t="s">
        <v>800</v>
      </c>
    </row>
    <row r="2910">
      <c r="A2910" s="8">
        <v>46191.69644071759</v>
      </c>
      <c r="B2910" s="2" t="s">
        <v>798</v>
      </c>
      <c r="C2910" s="2" t="s">
        <v>812</v>
      </c>
      <c r="D2910" s="2" t="s">
        <v>813</v>
      </c>
    </row>
    <row r="2911">
      <c r="A2911" s="8">
        <v>46191.69644496527</v>
      </c>
      <c r="B2911" s="2" t="s">
        <v>832</v>
      </c>
      <c r="C2911" s="2"/>
      <c r="D2911" s="2" t="s">
        <v>1058</v>
      </c>
    </row>
    <row r="2912">
      <c r="A2912" s="8">
        <v>46191.696516944445</v>
      </c>
      <c r="B2912" s="2" t="s">
        <v>991</v>
      </c>
      <c r="C2912" s="2" t="s">
        <v>519</v>
      </c>
      <c r="D2912" s="2" t="s">
        <v>1083</v>
      </c>
    </row>
    <row r="2913">
      <c r="A2913" s="8">
        <v>46191.69652373843</v>
      </c>
      <c r="B2913" s="2" t="s">
        <v>991</v>
      </c>
      <c r="C2913" s="2" t="s">
        <v>607</v>
      </c>
      <c r="D2913" s="2" t="s">
        <v>1055</v>
      </c>
    </row>
    <row r="2914">
      <c r="A2914" s="8">
        <v>46191.69652864583</v>
      </c>
      <c r="B2914" s="2" t="s">
        <v>894</v>
      </c>
      <c r="C2914" s="2"/>
      <c r="D2914" s="2" t="s">
        <v>1078</v>
      </c>
    </row>
    <row r="2915">
      <c r="A2915" s="8">
        <v>46191.7381371875</v>
      </c>
      <c r="B2915" s="2" t="s">
        <v>798</v>
      </c>
      <c r="C2915" s="2" t="s">
        <v>799</v>
      </c>
      <c r="D2915" s="2" t="s">
        <v>800</v>
      </c>
    </row>
    <row r="2916">
      <c r="A2916" s="8">
        <v>46191.738151956015</v>
      </c>
      <c r="B2916" s="2" t="s">
        <v>798</v>
      </c>
      <c r="C2916" s="2" t="s">
        <v>812</v>
      </c>
      <c r="D2916" s="2" t="s">
        <v>813</v>
      </c>
    </row>
    <row r="2917">
      <c r="A2917" s="8">
        <v>46191.73816877315</v>
      </c>
      <c r="B2917" s="2" t="s">
        <v>832</v>
      </c>
      <c r="C2917" s="2"/>
      <c r="D2917" s="2" t="s">
        <v>1058</v>
      </c>
    </row>
    <row r="2918">
      <c r="A2918" s="8">
        <v>46191.73826611111</v>
      </c>
      <c r="B2918" s="2" t="s">
        <v>991</v>
      </c>
      <c r="C2918" s="2" t="s">
        <v>519</v>
      </c>
      <c r="D2918" s="2" t="s">
        <v>1083</v>
      </c>
    </row>
    <row r="2919">
      <c r="A2919" s="8">
        <v>46191.738282094906</v>
      </c>
      <c r="B2919" s="2" t="s">
        <v>991</v>
      </c>
      <c r="C2919" s="2" t="s">
        <v>607</v>
      </c>
      <c r="D2919" s="2" t="s">
        <v>1055</v>
      </c>
    </row>
    <row r="2920">
      <c r="A2920" s="8">
        <v>46191.73828525463</v>
      </c>
      <c r="B2920" s="2" t="s">
        <v>894</v>
      </c>
      <c r="C2920" s="2"/>
      <c r="D2920" s="2" t="s">
        <v>1078</v>
      </c>
    </row>
    <row r="2921">
      <c r="A2921" s="8">
        <v>46191.77976935185</v>
      </c>
      <c r="B2921" s="2" t="s">
        <v>798</v>
      </c>
      <c r="C2921" s="2" t="s">
        <v>799</v>
      </c>
      <c r="D2921" s="2" t="s">
        <v>800</v>
      </c>
    </row>
    <row r="2922">
      <c r="A2922" s="8">
        <v>46191.779774317125</v>
      </c>
      <c r="B2922" s="2" t="s">
        <v>798</v>
      </c>
      <c r="C2922" s="2" t="s">
        <v>812</v>
      </c>
      <c r="D2922" s="2" t="s">
        <v>813</v>
      </c>
    </row>
    <row r="2923">
      <c r="A2923" s="8">
        <v>46191.77979712963</v>
      </c>
      <c r="B2923" s="2" t="s">
        <v>832</v>
      </c>
      <c r="C2923" s="2"/>
      <c r="D2923" s="2" t="s">
        <v>1058</v>
      </c>
    </row>
    <row r="2924">
      <c r="A2924" s="8">
        <v>46191.77985828704</v>
      </c>
      <c r="B2924" s="2" t="s">
        <v>991</v>
      </c>
      <c r="C2924" s="2" t="s">
        <v>519</v>
      </c>
      <c r="D2924" s="2" t="s">
        <v>1083</v>
      </c>
    </row>
    <row r="2925">
      <c r="A2925" s="8">
        <v>46191.779863749995</v>
      </c>
      <c r="B2925" s="2" t="s">
        <v>991</v>
      </c>
      <c r="C2925" s="2" t="s">
        <v>607</v>
      </c>
      <c r="D2925" s="2" t="s">
        <v>1055</v>
      </c>
    </row>
    <row r="2926">
      <c r="A2926" s="8">
        <v>46191.77986782407</v>
      </c>
      <c r="B2926" s="2" t="s">
        <v>894</v>
      </c>
      <c r="C2926" s="2"/>
      <c r="D2926" s="2" t="s">
        <v>1078</v>
      </c>
    </row>
    <row r="2927">
      <c r="A2927" s="8">
        <v>46191.82144802083</v>
      </c>
      <c r="B2927" s="2" t="s">
        <v>798</v>
      </c>
      <c r="C2927" s="2" t="s">
        <v>799</v>
      </c>
      <c r="D2927" s="2" t="s">
        <v>800</v>
      </c>
    </row>
    <row r="2928">
      <c r="A2928" s="8">
        <v>46191.82145376157</v>
      </c>
      <c r="B2928" s="2" t="s">
        <v>798</v>
      </c>
      <c r="C2928" s="2" t="s">
        <v>812</v>
      </c>
      <c r="D2928" s="2" t="s">
        <v>813</v>
      </c>
    </row>
    <row r="2929">
      <c r="A2929" s="8">
        <v>46191.82147422453</v>
      </c>
      <c r="B2929" s="2" t="s">
        <v>832</v>
      </c>
      <c r="C2929" s="2"/>
      <c r="D2929" s="2" t="s">
        <v>1058</v>
      </c>
    </row>
    <row r="2930">
      <c r="A2930" s="8">
        <v>46191.821542025464</v>
      </c>
      <c r="B2930" s="2" t="s">
        <v>991</v>
      </c>
      <c r="C2930" s="2" t="s">
        <v>519</v>
      </c>
      <c r="D2930" s="2" t="s">
        <v>1083</v>
      </c>
    </row>
    <row r="2931">
      <c r="A2931" s="8">
        <v>46191.82154859954</v>
      </c>
      <c r="B2931" s="2" t="s">
        <v>991</v>
      </c>
      <c r="C2931" s="2" t="s">
        <v>607</v>
      </c>
      <c r="D2931" s="2" t="s">
        <v>1055</v>
      </c>
    </row>
    <row r="2932">
      <c r="A2932" s="8">
        <v>46191.82155325232</v>
      </c>
      <c r="B2932" s="2" t="s">
        <v>894</v>
      </c>
      <c r="C2932" s="2"/>
      <c r="D2932" s="2" t="s">
        <v>1078</v>
      </c>
    </row>
    <row r="2933">
      <c r="A2933" s="8">
        <v>46191.86310282408</v>
      </c>
      <c r="B2933" s="2" t="s">
        <v>798</v>
      </c>
      <c r="C2933" s="2" t="s">
        <v>799</v>
      </c>
      <c r="D2933" s="2" t="s">
        <v>800</v>
      </c>
    </row>
    <row r="2934">
      <c r="A2934" s="8">
        <v>46191.86310715278</v>
      </c>
      <c r="B2934" s="2" t="s">
        <v>798</v>
      </c>
      <c r="C2934" s="2" t="s">
        <v>812</v>
      </c>
      <c r="D2934" s="2" t="s">
        <v>813</v>
      </c>
    </row>
    <row r="2935">
      <c r="A2935" s="8">
        <v>46191.863127743054</v>
      </c>
      <c r="B2935" s="2" t="s">
        <v>832</v>
      </c>
      <c r="C2935" s="2"/>
      <c r="D2935" s="2" t="s">
        <v>1058</v>
      </c>
    </row>
    <row r="2936">
      <c r="A2936" s="8">
        <v>46191.863199988424</v>
      </c>
      <c r="B2936" s="2" t="s">
        <v>991</v>
      </c>
      <c r="C2936" s="2" t="s">
        <v>519</v>
      </c>
      <c r="D2936" s="2" t="s">
        <v>1083</v>
      </c>
    </row>
    <row r="2937">
      <c r="A2937" s="8">
        <v>46191.86320893519</v>
      </c>
      <c r="B2937" s="2" t="s">
        <v>991</v>
      </c>
      <c r="C2937" s="2" t="s">
        <v>607</v>
      </c>
      <c r="D2937" s="2" t="s">
        <v>1055</v>
      </c>
    </row>
    <row r="2938">
      <c r="A2938" s="8">
        <v>46191.863212337965</v>
      </c>
      <c r="B2938" s="2" t="s">
        <v>894</v>
      </c>
      <c r="C2938" s="2"/>
      <c r="D2938" s="2" t="s">
        <v>1078</v>
      </c>
    </row>
    <row r="2939">
      <c r="A2939" s="8">
        <v>46191.90478153936</v>
      </c>
      <c r="B2939" s="2" t="s">
        <v>798</v>
      </c>
      <c r="C2939" s="2" t="s">
        <v>799</v>
      </c>
      <c r="D2939" s="2" t="s">
        <v>800</v>
      </c>
    </row>
    <row r="2940">
      <c r="A2940" s="8">
        <v>46191.90478677083</v>
      </c>
      <c r="B2940" s="2" t="s">
        <v>798</v>
      </c>
      <c r="C2940" s="2" t="s">
        <v>812</v>
      </c>
      <c r="D2940" s="2" t="s">
        <v>813</v>
      </c>
    </row>
    <row r="2941">
      <c r="A2941" s="8">
        <v>46191.90479256945</v>
      </c>
      <c r="B2941" s="2" t="s">
        <v>832</v>
      </c>
      <c r="C2941" s="2"/>
      <c r="D2941" s="2" t="s">
        <v>1058</v>
      </c>
    </row>
    <row r="2942">
      <c r="A2942" s="8">
        <v>46191.90487486111</v>
      </c>
      <c r="B2942" s="2" t="s">
        <v>991</v>
      </c>
      <c r="C2942" s="2" t="s">
        <v>519</v>
      </c>
      <c r="D2942" s="2" t="s">
        <v>1083</v>
      </c>
    </row>
    <row r="2943">
      <c r="A2943" s="8">
        <v>46191.904880856484</v>
      </c>
      <c r="B2943" s="2" t="s">
        <v>991</v>
      </c>
      <c r="C2943" s="2" t="s">
        <v>607</v>
      </c>
      <c r="D2943" s="2" t="s">
        <v>1055</v>
      </c>
    </row>
    <row r="2944">
      <c r="A2944" s="8">
        <v>46191.904883888885</v>
      </c>
      <c r="B2944" s="2" t="s">
        <v>894</v>
      </c>
      <c r="C2944" s="2"/>
      <c r="D2944" s="2" t="s">
        <v>1078</v>
      </c>
    </row>
    <row r="2945">
      <c r="A2945" s="8">
        <v>46191.91714344907</v>
      </c>
      <c r="B2945" s="2" t="s">
        <v>863</v>
      </c>
      <c r="C2945" s="2"/>
      <c r="D2945" s="2" t="s">
        <v>1082</v>
      </c>
    </row>
    <row r="2946">
      <c r="A2946" s="8">
        <v>46191.94643578704</v>
      </c>
      <c r="B2946" s="2" t="s">
        <v>798</v>
      </c>
      <c r="C2946" s="2" t="s">
        <v>799</v>
      </c>
      <c r="D2946" s="2" t="s">
        <v>800</v>
      </c>
    </row>
    <row r="2947">
      <c r="A2947" s="8">
        <v>46191.94644193287</v>
      </c>
      <c r="B2947" s="2" t="s">
        <v>798</v>
      </c>
      <c r="C2947" s="2" t="s">
        <v>812</v>
      </c>
      <c r="D2947" s="2" t="s">
        <v>813</v>
      </c>
    </row>
    <row r="2948">
      <c r="A2948" s="8">
        <v>46191.946448310184</v>
      </c>
      <c r="B2948" s="2" t="s">
        <v>832</v>
      </c>
      <c r="C2948" s="2"/>
      <c r="D2948" s="2" t="s">
        <v>1058</v>
      </c>
    </row>
    <row r="2949">
      <c r="A2949" s="8">
        <v>46191.94652054398</v>
      </c>
      <c r="B2949" s="2" t="s">
        <v>991</v>
      </c>
      <c r="C2949" s="2" t="s">
        <v>519</v>
      </c>
      <c r="D2949" s="2" t="s">
        <v>1083</v>
      </c>
    </row>
    <row r="2950">
      <c r="A2950" s="8">
        <v>46191.94652697917</v>
      </c>
      <c r="B2950" s="2" t="s">
        <v>991</v>
      </c>
      <c r="C2950" s="2" t="s">
        <v>607</v>
      </c>
      <c r="D2950" s="2" t="s">
        <v>1055</v>
      </c>
    </row>
    <row r="2951">
      <c r="A2951" s="8">
        <v>46191.94653055556</v>
      </c>
      <c r="B2951" s="2" t="s">
        <v>894</v>
      </c>
      <c r="C2951" s="2"/>
      <c r="D2951" s="2" t="s">
        <v>1078</v>
      </c>
    </row>
    <row r="2952">
      <c r="A2952" s="8">
        <v>46191.9881331713</v>
      </c>
      <c r="B2952" s="2" t="s">
        <v>798</v>
      </c>
      <c r="C2952" s="2" t="s">
        <v>799</v>
      </c>
      <c r="D2952" s="2" t="s">
        <v>800</v>
      </c>
    </row>
    <row r="2953">
      <c r="A2953" s="8">
        <v>46191.98813913194</v>
      </c>
      <c r="B2953" s="2" t="s">
        <v>798</v>
      </c>
      <c r="C2953" s="2" t="s">
        <v>812</v>
      </c>
      <c r="D2953" s="2" t="s">
        <v>813</v>
      </c>
    </row>
    <row r="2954">
      <c r="A2954" s="8">
        <v>46191.98815041667</v>
      </c>
      <c r="B2954" s="2" t="s">
        <v>832</v>
      </c>
      <c r="C2954" s="2"/>
      <c r="D2954" s="2" t="s">
        <v>1058</v>
      </c>
    </row>
    <row r="2955">
      <c r="A2955" s="8">
        <v>46191.98823702546</v>
      </c>
      <c r="B2955" s="2" t="s">
        <v>991</v>
      </c>
      <c r="C2955" s="2" t="s">
        <v>519</v>
      </c>
      <c r="D2955" s="2" t="s">
        <v>1083</v>
      </c>
    </row>
    <row r="2956">
      <c r="A2956" s="8">
        <v>46191.98825152778</v>
      </c>
      <c r="B2956" s="2" t="s">
        <v>991</v>
      </c>
      <c r="C2956" s="2" t="s">
        <v>607</v>
      </c>
      <c r="D2956" s="2" t="s">
        <v>1055</v>
      </c>
    </row>
    <row r="2957">
      <c r="A2957" s="8">
        <v>46191.988255335644</v>
      </c>
      <c r="B2957" s="2" t="s">
        <v>894</v>
      </c>
      <c r="C2957" s="2"/>
      <c r="D2957" s="2" t="s">
        <v>1078</v>
      </c>
    </row>
    <row r="2958">
      <c r="A2958" s="8">
        <v>46192.02975983796</v>
      </c>
      <c r="B2958" s="2" t="s">
        <v>798</v>
      </c>
      <c r="C2958" s="2" t="s">
        <v>799</v>
      </c>
      <c r="D2958" s="2" t="s">
        <v>800</v>
      </c>
    </row>
    <row r="2959">
      <c r="A2959" s="8">
        <v>46192.02976446759</v>
      </c>
      <c r="B2959" s="2" t="s">
        <v>798</v>
      </c>
      <c r="C2959" s="2" t="s">
        <v>812</v>
      </c>
      <c r="D2959" s="2" t="s">
        <v>813</v>
      </c>
    </row>
    <row r="2960">
      <c r="A2960" s="8">
        <v>46192.02976908565</v>
      </c>
      <c r="B2960" s="2" t="s">
        <v>832</v>
      </c>
      <c r="C2960" s="2"/>
      <c r="D2960" s="2" t="s">
        <v>1058</v>
      </c>
    </row>
    <row r="2961">
      <c r="A2961" s="8">
        <v>46192.029848171296</v>
      </c>
      <c r="B2961" s="2" t="s">
        <v>991</v>
      </c>
      <c r="C2961" s="2" t="s">
        <v>519</v>
      </c>
      <c r="D2961" s="2" t="s">
        <v>1083</v>
      </c>
    </row>
    <row r="2962">
      <c r="A2962" s="8">
        <v>46192.02985314815</v>
      </c>
      <c r="B2962" s="2" t="s">
        <v>991</v>
      </c>
      <c r="C2962" s="2" t="s">
        <v>607</v>
      </c>
      <c r="D2962" s="2" t="s">
        <v>1055</v>
      </c>
    </row>
    <row r="2963">
      <c r="A2963" s="8">
        <v>46192.02985549768</v>
      </c>
      <c r="B2963" s="2" t="s">
        <v>894</v>
      </c>
      <c r="C2963" s="2"/>
      <c r="D2963" s="2" t="s">
        <v>1078</v>
      </c>
    </row>
    <row r="2964">
      <c r="A2964" s="8">
        <v>46192.07143239584</v>
      </c>
      <c r="B2964" s="2" t="s">
        <v>798</v>
      </c>
      <c r="C2964" s="2" t="s">
        <v>799</v>
      </c>
      <c r="D2964" s="2" t="s">
        <v>800</v>
      </c>
    </row>
    <row r="2965">
      <c r="A2965" s="8">
        <v>46192.071439050924</v>
      </c>
      <c r="B2965" s="2" t="s">
        <v>798</v>
      </c>
      <c r="C2965" s="2" t="s">
        <v>812</v>
      </c>
      <c r="D2965" s="2" t="s">
        <v>813</v>
      </c>
    </row>
    <row r="2966">
      <c r="A2966" s="8">
        <v>46192.0714440625</v>
      </c>
      <c r="B2966" s="2" t="s">
        <v>832</v>
      </c>
      <c r="C2966" s="2"/>
      <c r="D2966" s="2" t="s">
        <v>1058</v>
      </c>
    </row>
    <row r="2967">
      <c r="A2967" s="8">
        <v>46192.07152106482</v>
      </c>
      <c r="B2967" s="2" t="s">
        <v>991</v>
      </c>
      <c r="C2967" s="2" t="s">
        <v>519</v>
      </c>
      <c r="D2967" s="2" t="s">
        <v>1083</v>
      </c>
    </row>
    <row r="2968">
      <c r="A2968" s="8">
        <v>46192.07152745371</v>
      </c>
      <c r="B2968" s="2" t="s">
        <v>991</v>
      </c>
      <c r="C2968" s="2" t="s">
        <v>607</v>
      </c>
      <c r="D2968" s="2" t="s">
        <v>1055</v>
      </c>
    </row>
    <row r="2969">
      <c r="A2969" s="8">
        <v>46192.07153148148</v>
      </c>
      <c r="B2969" s="2" t="s">
        <v>894</v>
      </c>
      <c r="C2969" s="2"/>
      <c r="D2969" s="2" t="s">
        <v>1078</v>
      </c>
    </row>
    <row r="2970">
      <c r="A2970" s="8">
        <v>46192.113100243056</v>
      </c>
      <c r="B2970" s="2" t="s">
        <v>798</v>
      </c>
      <c r="C2970" s="2" t="s">
        <v>799</v>
      </c>
      <c r="D2970" s="2" t="s">
        <v>800</v>
      </c>
    </row>
    <row r="2971">
      <c r="A2971" s="8">
        <v>46192.113106273144</v>
      </c>
      <c r="B2971" s="2" t="s">
        <v>798</v>
      </c>
      <c r="C2971" s="2" t="s">
        <v>812</v>
      </c>
      <c r="D2971" s="2" t="s">
        <v>813</v>
      </c>
    </row>
    <row r="2972">
      <c r="A2972" s="8">
        <v>46192.11311236111</v>
      </c>
      <c r="B2972" s="2" t="s">
        <v>832</v>
      </c>
      <c r="C2972" s="2"/>
      <c r="D2972" s="2" t="s">
        <v>1058</v>
      </c>
    </row>
    <row r="2973">
      <c r="A2973" s="8">
        <v>46192.11318986111</v>
      </c>
      <c r="B2973" s="2" t="s">
        <v>844</v>
      </c>
      <c r="C2973" s="2" t="s">
        <v>485</v>
      </c>
      <c r="D2973" s="2" t="s">
        <v>1087</v>
      </c>
    </row>
    <row r="2974">
      <c r="A2974" s="8">
        <v>46192.11319657408</v>
      </c>
      <c r="B2974" s="2" t="s">
        <v>991</v>
      </c>
      <c r="C2974" s="2" t="s">
        <v>519</v>
      </c>
      <c r="D2974" s="2" t="s">
        <v>1083</v>
      </c>
    </row>
    <row r="2975">
      <c r="A2975" s="8">
        <v>46192.113201898144</v>
      </c>
      <c r="B2975" s="2" t="s">
        <v>991</v>
      </c>
      <c r="C2975" s="2" t="s">
        <v>607</v>
      </c>
      <c r="D2975" s="2" t="s">
        <v>1055</v>
      </c>
    </row>
    <row r="2976">
      <c r="A2976" s="8">
        <v>46192.11320815972</v>
      </c>
      <c r="B2976" s="2" t="s">
        <v>844</v>
      </c>
      <c r="C2976" s="2" t="s">
        <v>662</v>
      </c>
      <c r="D2976" s="2" t="s">
        <v>923</v>
      </c>
    </row>
    <row r="2977">
      <c r="A2977" s="8">
        <v>46192.11321671296</v>
      </c>
      <c r="B2977" s="2" t="s">
        <v>844</v>
      </c>
      <c r="C2977" s="2" t="s">
        <v>702</v>
      </c>
      <c r="D2977" s="2" t="s">
        <v>1088</v>
      </c>
    </row>
    <row r="2978">
      <c r="A2978" s="8">
        <v>46192.113221736116</v>
      </c>
      <c r="B2978" s="2" t="s">
        <v>894</v>
      </c>
      <c r="C2978" s="2"/>
      <c r="D2978" s="2" t="s">
        <v>1089</v>
      </c>
    </row>
    <row r="2979">
      <c r="A2979" s="8">
        <v>46192.15478241898</v>
      </c>
      <c r="B2979" s="2" t="s">
        <v>798</v>
      </c>
      <c r="C2979" s="2" t="s">
        <v>799</v>
      </c>
      <c r="D2979" s="2" t="s">
        <v>800</v>
      </c>
    </row>
    <row r="2980">
      <c r="A2980" s="8">
        <v>46192.154789120366</v>
      </c>
      <c r="B2980" s="2" t="s">
        <v>798</v>
      </c>
      <c r="C2980" s="2" t="s">
        <v>812</v>
      </c>
      <c r="D2980" s="2" t="s">
        <v>813</v>
      </c>
    </row>
    <row r="2981">
      <c r="A2981" s="8">
        <v>46192.15481381945</v>
      </c>
      <c r="B2981" s="2" t="s">
        <v>844</v>
      </c>
      <c r="C2981" s="2" t="s">
        <v>818</v>
      </c>
      <c r="D2981" s="2" t="s">
        <v>1090</v>
      </c>
    </row>
    <row r="2982">
      <c r="A2982" s="8">
        <v>46192.15482048611</v>
      </c>
      <c r="B2982" s="2" t="s">
        <v>832</v>
      </c>
      <c r="C2982" s="2"/>
      <c r="D2982" s="2" t="s">
        <v>1057</v>
      </c>
    </row>
    <row r="2983">
      <c r="A2983" s="8">
        <v>46192.154884930555</v>
      </c>
      <c r="B2983" s="2" t="s">
        <v>844</v>
      </c>
      <c r="C2983" s="2" t="s">
        <v>485</v>
      </c>
      <c r="D2983" s="2" t="s">
        <v>993</v>
      </c>
    </row>
    <row r="2984">
      <c r="A2984" s="8">
        <v>46192.15489168982</v>
      </c>
      <c r="B2984" s="2" t="s">
        <v>991</v>
      </c>
      <c r="C2984" s="2" t="s">
        <v>519</v>
      </c>
      <c r="D2984" s="2" t="s">
        <v>1083</v>
      </c>
    </row>
    <row r="2985">
      <c r="A2985" s="8">
        <v>46192.15489686343</v>
      </c>
      <c r="B2985" s="2" t="s">
        <v>991</v>
      </c>
      <c r="C2985" s="2" t="s">
        <v>607</v>
      </c>
      <c r="D2985" s="2" t="s">
        <v>1055</v>
      </c>
    </row>
    <row r="2986">
      <c r="A2986" s="8">
        <v>46192.15490414352</v>
      </c>
      <c r="B2986" s="2" t="s">
        <v>844</v>
      </c>
      <c r="C2986" s="2" t="s">
        <v>657</v>
      </c>
      <c r="D2986" s="2" t="s">
        <v>1091</v>
      </c>
    </row>
    <row r="2987">
      <c r="A2987" s="8">
        <v>46192.15491372685</v>
      </c>
      <c r="B2987" s="2" t="s">
        <v>844</v>
      </c>
      <c r="C2987" s="2" t="s">
        <v>662</v>
      </c>
      <c r="D2987" s="2" t="s">
        <v>1092</v>
      </c>
    </row>
    <row r="2988">
      <c r="A2988" s="8">
        <v>46192.154922754635</v>
      </c>
      <c r="B2988" s="2" t="s">
        <v>844</v>
      </c>
      <c r="C2988" s="2" t="s">
        <v>702</v>
      </c>
      <c r="D2988" s="2" t="s">
        <v>1093</v>
      </c>
    </row>
    <row r="2989">
      <c r="A2989" s="8">
        <v>46192.15492826389</v>
      </c>
      <c r="B2989" s="2" t="s">
        <v>894</v>
      </c>
      <c r="C2989" s="2"/>
      <c r="D2989" s="2" t="s">
        <v>1075</v>
      </c>
    </row>
    <row r="2990">
      <c r="A2990" s="8">
        <v>46192.19645771991</v>
      </c>
      <c r="B2990" s="2" t="s">
        <v>798</v>
      </c>
      <c r="C2990" s="2" t="s">
        <v>799</v>
      </c>
      <c r="D2990" s="2" t="s">
        <v>800</v>
      </c>
    </row>
    <row r="2991">
      <c r="A2991" s="8">
        <v>46192.19646559028</v>
      </c>
      <c r="B2991" s="2" t="s">
        <v>798</v>
      </c>
      <c r="C2991" s="2" t="s">
        <v>812</v>
      </c>
      <c r="D2991" s="2" t="s">
        <v>813</v>
      </c>
    </row>
    <row r="2992">
      <c r="A2992" s="8">
        <v>46192.19647121528</v>
      </c>
      <c r="B2992" s="2" t="s">
        <v>832</v>
      </c>
      <c r="C2992" s="2"/>
      <c r="D2992" s="2" t="s">
        <v>1058</v>
      </c>
    </row>
    <row r="2993">
      <c r="A2993" s="8">
        <v>46192.196580752316</v>
      </c>
      <c r="B2993" s="2" t="s">
        <v>991</v>
      </c>
      <c r="C2993" s="2" t="s">
        <v>519</v>
      </c>
      <c r="D2993" s="2" t="s">
        <v>1083</v>
      </c>
    </row>
    <row r="2994">
      <c r="A2994" s="8">
        <v>46192.19658729166</v>
      </c>
      <c r="B2994" s="2" t="s">
        <v>991</v>
      </c>
      <c r="C2994" s="2" t="s">
        <v>607</v>
      </c>
      <c r="D2994" s="2" t="s">
        <v>1055</v>
      </c>
    </row>
    <row r="2995">
      <c r="A2995" s="8">
        <v>46192.196591238426</v>
      </c>
      <c r="B2995" s="2" t="s">
        <v>894</v>
      </c>
      <c r="C2995" s="2"/>
      <c r="D2995" s="2" t="s">
        <v>1078</v>
      </c>
    </row>
    <row r="2996">
      <c r="A2996" s="8">
        <v>46192.23810381944</v>
      </c>
      <c r="B2996" s="2" t="s">
        <v>798</v>
      </c>
      <c r="C2996" s="2" t="s">
        <v>799</v>
      </c>
      <c r="D2996" s="2" t="s">
        <v>800</v>
      </c>
    </row>
    <row r="2997">
      <c r="A2997" s="8">
        <v>46192.23811042824</v>
      </c>
      <c r="B2997" s="2" t="s">
        <v>798</v>
      </c>
      <c r="C2997" s="2" t="s">
        <v>812</v>
      </c>
      <c r="D2997" s="2" t="s">
        <v>813</v>
      </c>
    </row>
    <row r="2998">
      <c r="A2998" s="8">
        <v>46192.23814162037</v>
      </c>
      <c r="B2998" s="2" t="s">
        <v>832</v>
      </c>
      <c r="C2998" s="2"/>
      <c r="D2998" s="2" t="s">
        <v>1058</v>
      </c>
    </row>
    <row r="2999">
      <c r="A2999" s="8">
        <v>46192.238210069445</v>
      </c>
      <c r="B2999" s="2" t="s">
        <v>991</v>
      </c>
      <c r="C2999" s="2" t="s">
        <v>519</v>
      </c>
      <c r="D2999" s="2" t="s">
        <v>1083</v>
      </c>
    </row>
    <row r="3000">
      <c r="A3000" s="8">
        <v>46192.23821606481</v>
      </c>
      <c r="B3000" s="2" t="s">
        <v>991</v>
      </c>
      <c r="C3000" s="2" t="s">
        <v>607</v>
      </c>
      <c r="D3000" s="2" t="s">
        <v>1055</v>
      </c>
    </row>
    <row r="3001">
      <c r="A3001" s="8">
        <v>46192.23821876157</v>
      </c>
      <c r="B3001" s="2" t="s">
        <v>894</v>
      </c>
      <c r="C3001" s="2"/>
      <c r="D3001" s="2" t="s">
        <v>1078</v>
      </c>
    </row>
    <row r="3002">
      <c r="A3002" s="8">
        <v>46192.243383043984</v>
      </c>
      <c r="B3002" s="2" t="s">
        <v>789</v>
      </c>
      <c r="C3002" s="2"/>
      <c r="D3002" s="2" t="s">
        <v>1094</v>
      </c>
    </row>
    <row r="3003">
      <c r="A3003" s="8">
        <v>46192.24403693287</v>
      </c>
      <c r="B3003" s="2" t="s">
        <v>798</v>
      </c>
      <c r="C3003" s="2" t="s">
        <v>799</v>
      </c>
      <c r="D3003" s="2" t="s">
        <v>800</v>
      </c>
    </row>
    <row r="3004">
      <c r="A3004" s="8">
        <v>46192.24404517361</v>
      </c>
      <c r="B3004" s="2" t="s">
        <v>844</v>
      </c>
      <c r="C3004" s="2" t="s">
        <v>1095</v>
      </c>
      <c r="D3004" s="2" t="s">
        <v>845</v>
      </c>
    </row>
    <row r="3005">
      <c r="A3005" s="8">
        <v>46192.24405046296</v>
      </c>
      <c r="B3005" s="2" t="s">
        <v>832</v>
      </c>
      <c r="C3005" s="2"/>
      <c r="D3005" s="2" t="s">
        <v>1096</v>
      </c>
    </row>
    <row r="3006">
      <c r="A3006" s="8">
        <v>46192.24410787037</v>
      </c>
      <c r="B3006" s="2" t="s">
        <v>991</v>
      </c>
      <c r="C3006" s="2" t="s">
        <v>519</v>
      </c>
      <c r="D3006" s="2" t="s">
        <v>1083</v>
      </c>
    </row>
    <row r="3007">
      <c r="A3007" s="8">
        <v>46192.2441134375</v>
      </c>
      <c r="B3007" s="2" t="s">
        <v>991</v>
      </c>
      <c r="C3007" s="2" t="s">
        <v>607</v>
      </c>
      <c r="D3007" s="2" t="s">
        <v>1055</v>
      </c>
    </row>
    <row r="3008">
      <c r="A3008" s="8">
        <v>46192.24411586806</v>
      </c>
      <c r="B3008" s="2" t="s">
        <v>894</v>
      </c>
      <c r="C3008" s="2"/>
      <c r="D3008" s="2" t="s">
        <v>1078</v>
      </c>
    </row>
    <row r="3009">
      <c r="A3009" s="8">
        <v>46192.24706751158</v>
      </c>
      <c r="B3009" s="2" t="s">
        <v>798</v>
      </c>
      <c r="C3009" s="2" t="s">
        <v>799</v>
      </c>
      <c r="D3009" s="2" t="s">
        <v>800</v>
      </c>
    </row>
    <row r="3010">
      <c r="A3010" s="8">
        <v>46192.24707395834</v>
      </c>
      <c r="B3010" s="2" t="s">
        <v>832</v>
      </c>
      <c r="C3010" s="2"/>
      <c r="D3010" s="2" t="s">
        <v>1097</v>
      </c>
    </row>
    <row r="3011">
      <c r="A3011" s="8">
        <v>46192.247132847224</v>
      </c>
      <c r="B3011" s="2" t="s">
        <v>991</v>
      </c>
      <c r="C3011" s="2" t="s">
        <v>519</v>
      </c>
      <c r="D3011" s="2" t="s">
        <v>1083</v>
      </c>
    </row>
    <row r="3012">
      <c r="A3012" s="8">
        <v>46192.247138125</v>
      </c>
      <c r="B3012" s="2" t="s">
        <v>991</v>
      </c>
      <c r="C3012" s="2" t="s">
        <v>607</v>
      </c>
      <c r="D3012" s="2" t="s">
        <v>1055</v>
      </c>
    </row>
    <row r="3013">
      <c r="A3013" s="8">
        <v>46192.24714025463</v>
      </c>
      <c r="B3013" s="2" t="s">
        <v>894</v>
      </c>
      <c r="C3013" s="2"/>
      <c r="D3013" s="2" t="s">
        <v>1078</v>
      </c>
    </row>
    <row r="3014">
      <c r="A3014" s="8">
        <v>46192.24734400463</v>
      </c>
      <c r="B3014" s="2" t="s">
        <v>798</v>
      </c>
      <c r="C3014" s="2" t="s">
        <v>799</v>
      </c>
      <c r="D3014" s="2" t="s">
        <v>800</v>
      </c>
    </row>
    <row r="3015">
      <c r="A3015" s="8">
        <v>46192.24735232639</v>
      </c>
      <c r="B3015" s="2" t="s">
        <v>832</v>
      </c>
      <c r="C3015" s="2"/>
      <c r="D3015" s="2" t="s">
        <v>1097</v>
      </c>
    </row>
    <row r="3016">
      <c r="A3016" s="8">
        <v>46192.24743307871</v>
      </c>
      <c r="B3016" s="2" t="s">
        <v>991</v>
      </c>
      <c r="C3016" s="2" t="s">
        <v>519</v>
      </c>
      <c r="D3016" s="2" t="s">
        <v>1083</v>
      </c>
    </row>
    <row r="3017">
      <c r="A3017" s="8">
        <v>46192.24744114583</v>
      </c>
      <c r="B3017" s="2" t="s">
        <v>991</v>
      </c>
      <c r="C3017" s="2" t="s">
        <v>607</v>
      </c>
      <c r="D3017" s="2" t="s">
        <v>1055</v>
      </c>
    </row>
    <row r="3018">
      <c r="A3018" s="8">
        <v>46192.24744443287</v>
      </c>
      <c r="B3018" s="2" t="s">
        <v>894</v>
      </c>
      <c r="C3018" s="2"/>
      <c r="D3018" s="2" t="s">
        <v>1078</v>
      </c>
    </row>
    <row r="3019">
      <c r="A3019" s="8">
        <v>46192.27977978009</v>
      </c>
      <c r="B3019" s="2" t="s">
        <v>798</v>
      </c>
      <c r="C3019" s="2" t="s">
        <v>799</v>
      </c>
      <c r="D3019" s="2" t="s">
        <v>800</v>
      </c>
    </row>
    <row r="3020">
      <c r="A3020" s="8">
        <v>46192.27978715277</v>
      </c>
      <c r="B3020" s="2" t="s">
        <v>832</v>
      </c>
      <c r="C3020" s="2"/>
      <c r="D3020" s="2" t="s">
        <v>1097</v>
      </c>
    </row>
    <row r="3021">
      <c r="A3021" s="8">
        <v>46192.27987265046</v>
      </c>
      <c r="B3021" s="2" t="s">
        <v>991</v>
      </c>
      <c r="C3021" s="2" t="s">
        <v>519</v>
      </c>
      <c r="D3021" s="2" t="s">
        <v>1083</v>
      </c>
    </row>
    <row r="3022">
      <c r="A3022" s="8">
        <v>46192.27987857639</v>
      </c>
      <c r="B3022" s="2" t="s">
        <v>991</v>
      </c>
      <c r="C3022" s="2" t="s">
        <v>607</v>
      </c>
      <c r="D3022" s="2" t="s">
        <v>1055</v>
      </c>
    </row>
    <row r="3023">
      <c r="A3023" s="8">
        <v>46192.27988185185</v>
      </c>
      <c r="B3023" s="2" t="s">
        <v>894</v>
      </c>
      <c r="C3023" s="2"/>
      <c r="D3023" s="2" t="s">
        <v>1078</v>
      </c>
    </row>
    <row r="3024">
      <c r="A3024" s="8">
        <v>46192.31748258102</v>
      </c>
      <c r="B3024" s="2" t="s">
        <v>1098</v>
      </c>
      <c r="C3024" s="2"/>
      <c r="D3024" s="2" t="s">
        <v>1099</v>
      </c>
    </row>
    <row r="3025">
      <c r="A3025" s="8">
        <v>46192.31762973379</v>
      </c>
      <c r="B3025" s="2" t="s">
        <v>1098</v>
      </c>
      <c r="C3025" s="2"/>
      <c r="D3025" s="2" t="s">
        <v>1100</v>
      </c>
    </row>
    <row r="3026">
      <c r="A3026" s="8">
        <v>46192.32143673611</v>
      </c>
      <c r="B3026" s="2" t="s">
        <v>798</v>
      </c>
      <c r="C3026" s="2" t="s">
        <v>799</v>
      </c>
      <c r="D3026" s="2" t="s">
        <v>800</v>
      </c>
    </row>
    <row r="3027">
      <c r="A3027" s="8">
        <v>46192.32144303241</v>
      </c>
      <c r="B3027" s="2" t="s">
        <v>832</v>
      </c>
      <c r="C3027" s="2"/>
      <c r="D3027" s="2" t="s">
        <v>1097</v>
      </c>
    </row>
    <row r="3028">
      <c r="A3028" s="8">
        <v>46192.321510740745</v>
      </c>
      <c r="B3028" s="2" t="s">
        <v>991</v>
      </c>
      <c r="C3028" s="2" t="s">
        <v>519</v>
      </c>
      <c r="D3028" s="2" t="s">
        <v>1083</v>
      </c>
    </row>
    <row r="3029">
      <c r="A3029" s="8">
        <v>46192.32151631944</v>
      </c>
      <c r="B3029" s="2" t="s">
        <v>991</v>
      </c>
      <c r="C3029" s="2" t="s">
        <v>607</v>
      </c>
      <c r="D3029" s="2" t="s">
        <v>1055</v>
      </c>
    </row>
    <row r="3030">
      <c r="A3030" s="8">
        <v>46192.321519143516</v>
      </c>
      <c r="B3030" s="2" t="s">
        <v>894</v>
      </c>
      <c r="C3030" s="2"/>
      <c r="D3030" s="2" t="s">
        <v>1078</v>
      </c>
    </row>
    <row r="3031">
      <c r="A3031" s="8">
        <v>46192.363189247684</v>
      </c>
      <c r="B3031" s="2" t="s">
        <v>798</v>
      </c>
      <c r="C3031" s="2" t="s">
        <v>799</v>
      </c>
      <c r="D3031" s="2" t="s">
        <v>800</v>
      </c>
    </row>
    <row r="3032">
      <c r="A3032" s="8">
        <v>46192.36322613426</v>
      </c>
      <c r="B3032" s="2" t="s">
        <v>832</v>
      </c>
      <c r="C3032" s="2"/>
      <c r="D3032" s="2" t="s">
        <v>1097</v>
      </c>
    </row>
    <row r="3033">
      <c r="A3033" s="8">
        <v>46192.36338369213</v>
      </c>
      <c r="B3033" s="2" t="s">
        <v>991</v>
      </c>
      <c r="C3033" s="2" t="s">
        <v>519</v>
      </c>
      <c r="D3033" s="2" t="s">
        <v>1083</v>
      </c>
    </row>
    <row r="3034">
      <c r="A3034" s="8">
        <v>46192.36340916667</v>
      </c>
      <c r="B3034" s="2" t="s">
        <v>991</v>
      </c>
      <c r="C3034" s="2" t="s">
        <v>607</v>
      </c>
      <c r="D3034" s="2" t="s">
        <v>1055</v>
      </c>
    </row>
    <row r="3035">
      <c r="A3035" s="8">
        <v>46192.36341585648</v>
      </c>
      <c r="B3035" s="2" t="s">
        <v>894</v>
      </c>
      <c r="C3035" s="2"/>
      <c r="D3035" s="2" t="s">
        <v>1078</v>
      </c>
    </row>
    <row r="3036">
      <c r="A3036" s="8">
        <v>46192.404994490746</v>
      </c>
      <c r="B3036" s="2" t="s">
        <v>798</v>
      </c>
      <c r="C3036" s="2" t="s">
        <v>799</v>
      </c>
      <c r="D3036" s="2" t="s">
        <v>800</v>
      </c>
    </row>
    <row r="3037">
      <c r="A3037" s="8">
        <v>46192.40502888889</v>
      </c>
      <c r="B3037" s="2" t="s">
        <v>832</v>
      </c>
      <c r="C3037" s="2"/>
      <c r="D3037" s="2" t="s">
        <v>1097</v>
      </c>
    </row>
    <row r="3038">
      <c r="A3038" s="8">
        <v>46192.40518652777</v>
      </c>
      <c r="B3038" s="2" t="s">
        <v>991</v>
      </c>
      <c r="C3038" s="2" t="s">
        <v>519</v>
      </c>
      <c r="D3038" s="2" t="s">
        <v>1083</v>
      </c>
    </row>
    <row r="3039">
      <c r="A3039" s="8">
        <v>46192.40521662037</v>
      </c>
      <c r="B3039" s="2" t="s">
        <v>991</v>
      </c>
      <c r="C3039" s="2" t="s">
        <v>607</v>
      </c>
      <c r="D3039" s="2" t="s">
        <v>1055</v>
      </c>
    </row>
    <row r="3040">
      <c r="A3040" s="8">
        <v>46192.405227152776</v>
      </c>
      <c r="B3040" s="2" t="s">
        <v>894</v>
      </c>
      <c r="C3040" s="2"/>
      <c r="D3040" s="2" t="s">
        <v>1078</v>
      </c>
    </row>
    <row r="3041">
      <c r="A3041" s="8">
        <v>46192.44643232639</v>
      </c>
      <c r="B3041" s="2" t="s">
        <v>798</v>
      </c>
      <c r="C3041" s="2" t="s">
        <v>799</v>
      </c>
      <c r="D3041" s="2" t="s">
        <v>800</v>
      </c>
    </row>
    <row r="3042">
      <c r="A3042" s="8">
        <v>46192.44644186343</v>
      </c>
      <c r="B3042" s="2" t="s">
        <v>844</v>
      </c>
      <c r="C3042" s="2" t="s">
        <v>810</v>
      </c>
      <c r="D3042" s="2" t="s">
        <v>1101</v>
      </c>
    </row>
    <row r="3043">
      <c r="A3043" s="8">
        <v>46192.44646061343</v>
      </c>
      <c r="B3043" s="2" t="s">
        <v>832</v>
      </c>
      <c r="C3043" s="2"/>
      <c r="D3043" s="2" t="s">
        <v>1096</v>
      </c>
    </row>
    <row r="3044">
      <c r="A3044" s="8">
        <v>46192.446521157406</v>
      </c>
      <c r="B3044" s="2" t="s">
        <v>991</v>
      </c>
      <c r="C3044" s="2" t="s">
        <v>519</v>
      </c>
      <c r="D3044" s="2" t="s">
        <v>1083</v>
      </c>
    </row>
    <row r="3045">
      <c r="A3045" s="8">
        <v>46192.44652885417</v>
      </c>
      <c r="B3045" s="2" t="s">
        <v>844</v>
      </c>
      <c r="C3045" s="2" t="s">
        <v>524</v>
      </c>
      <c r="D3045" s="2" t="s">
        <v>1102</v>
      </c>
    </row>
    <row r="3046">
      <c r="A3046" s="8">
        <v>46192.44654070602</v>
      </c>
      <c r="B3046" s="2" t="s">
        <v>844</v>
      </c>
      <c r="C3046" s="2" t="s">
        <v>590</v>
      </c>
      <c r="D3046" s="2" t="s">
        <v>919</v>
      </c>
    </row>
    <row r="3047">
      <c r="A3047" s="8">
        <v>46192.44654630787</v>
      </c>
      <c r="B3047" s="2" t="s">
        <v>991</v>
      </c>
      <c r="C3047" s="2" t="s">
        <v>607</v>
      </c>
      <c r="D3047" s="2" t="s">
        <v>1055</v>
      </c>
    </row>
    <row r="3048">
      <c r="A3048" s="8">
        <v>46192.44654908565</v>
      </c>
      <c r="B3048" s="2" t="s">
        <v>894</v>
      </c>
      <c r="C3048" s="2"/>
      <c r="D3048" s="2" t="s">
        <v>1103</v>
      </c>
    </row>
    <row r="3049">
      <c r="A3049" s="8">
        <v>46192.488093657405</v>
      </c>
      <c r="B3049" s="2" t="s">
        <v>798</v>
      </c>
      <c r="C3049" s="2" t="s">
        <v>799</v>
      </c>
      <c r="D3049" s="2" t="s">
        <v>800</v>
      </c>
    </row>
    <row r="3050">
      <c r="A3050" s="8">
        <v>46192.48810153935</v>
      </c>
      <c r="B3050" s="2" t="s">
        <v>832</v>
      </c>
      <c r="C3050" s="2"/>
      <c r="D3050" s="2" t="s">
        <v>1097</v>
      </c>
    </row>
    <row r="3051">
      <c r="A3051" s="8">
        <v>46192.48817658565</v>
      </c>
      <c r="B3051" s="2" t="s">
        <v>991</v>
      </c>
      <c r="C3051" s="2" t="s">
        <v>519</v>
      </c>
      <c r="D3051" s="2" t="s">
        <v>1083</v>
      </c>
    </row>
    <row r="3052">
      <c r="A3052" s="8">
        <v>46192.488182615736</v>
      </c>
      <c r="B3052" s="2" t="s">
        <v>991</v>
      </c>
      <c r="C3052" s="2" t="s">
        <v>607</v>
      </c>
      <c r="D3052" s="2" t="s">
        <v>1055</v>
      </c>
    </row>
    <row r="3053">
      <c r="A3053" s="8">
        <v>46192.48818547453</v>
      </c>
      <c r="B3053" s="2" t="s">
        <v>894</v>
      </c>
      <c r="C3053" s="2"/>
      <c r="D3053" s="2" t="s">
        <v>1078</v>
      </c>
    </row>
    <row r="3054">
      <c r="A3054" s="8">
        <v>46192.52976464121</v>
      </c>
      <c r="B3054" s="2" t="s">
        <v>798</v>
      </c>
      <c r="C3054" s="2" t="s">
        <v>799</v>
      </c>
      <c r="D3054" s="2" t="s">
        <v>800</v>
      </c>
    </row>
    <row r="3055">
      <c r="A3055" s="8">
        <v>46192.52977304398</v>
      </c>
      <c r="B3055" s="2" t="s">
        <v>832</v>
      </c>
      <c r="C3055" s="2"/>
      <c r="D3055" s="2" t="s">
        <v>1097</v>
      </c>
    </row>
    <row r="3056">
      <c r="A3056" s="8">
        <v>46192.529844675926</v>
      </c>
      <c r="B3056" s="2" t="s">
        <v>991</v>
      </c>
      <c r="C3056" s="2" t="s">
        <v>519</v>
      </c>
      <c r="D3056" s="2" t="s">
        <v>1083</v>
      </c>
    </row>
    <row r="3057">
      <c r="A3057" s="8">
        <v>46192.529850266204</v>
      </c>
      <c r="B3057" s="2" t="s">
        <v>991</v>
      </c>
      <c r="C3057" s="2" t="s">
        <v>569</v>
      </c>
      <c r="D3057" s="2" t="s">
        <v>1104</v>
      </c>
    </row>
    <row r="3058">
      <c r="A3058" s="8">
        <v>46192.52985415509</v>
      </c>
      <c r="B3058" s="2" t="s">
        <v>991</v>
      </c>
      <c r="C3058" s="2" t="s">
        <v>607</v>
      </c>
      <c r="D3058" s="2" t="s">
        <v>1055</v>
      </c>
    </row>
    <row r="3059">
      <c r="A3059" s="8">
        <v>46192.52985655093</v>
      </c>
      <c r="B3059" s="2" t="s">
        <v>894</v>
      </c>
      <c r="C3059" s="2"/>
      <c r="D3059" s="2" t="s">
        <v>1040</v>
      </c>
    </row>
    <row r="3060">
      <c r="A3060" s="8">
        <v>46192.57143108796</v>
      </c>
      <c r="B3060" s="2" t="s">
        <v>798</v>
      </c>
      <c r="C3060" s="2" t="s">
        <v>799</v>
      </c>
      <c r="D3060" s="2" t="s">
        <v>800</v>
      </c>
    </row>
    <row r="3061">
      <c r="A3061" s="8">
        <v>46192.57143394676</v>
      </c>
      <c r="B3061" s="2" t="s">
        <v>832</v>
      </c>
      <c r="C3061" s="2"/>
      <c r="D3061" s="2" t="s">
        <v>1097</v>
      </c>
    </row>
    <row r="3062">
      <c r="A3062" s="8">
        <v>46192.571493842595</v>
      </c>
      <c r="B3062" s="2" t="s">
        <v>991</v>
      </c>
      <c r="C3062" s="2" t="s">
        <v>519</v>
      </c>
      <c r="D3062" s="2" t="s">
        <v>1083</v>
      </c>
    </row>
    <row r="3063">
      <c r="A3063" s="8">
        <v>46192.571496018514</v>
      </c>
      <c r="B3063" s="2" t="s">
        <v>991</v>
      </c>
      <c r="C3063" s="2" t="s">
        <v>607</v>
      </c>
      <c r="D3063" s="2" t="s">
        <v>1055</v>
      </c>
    </row>
    <row r="3064">
      <c r="A3064" s="8">
        <v>46192.5714975</v>
      </c>
      <c r="B3064" s="2" t="s">
        <v>894</v>
      </c>
      <c r="C3064" s="2"/>
      <c r="D3064" s="2" t="s">
        <v>1078</v>
      </c>
    </row>
    <row r="3065">
      <c r="A3065" s="8">
        <v>46192.61319974537</v>
      </c>
      <c r="B3065" s="2" t="s">
        <v>798</v>
      </c>
      <c r="C3065" s="2" t="s">
        <v>799</v>
      </c>
      <c r="D3065" s="2" t="s">
        <v>800</v>
      </c>
    </row>
    <row r="3066">
      <c r="A3066" s="8">
        <v>46192.61323310185</v>
      </c>
      <c r="B3066" s="2" t="s">
        <v>832</v>
      </c>
      <c r="C3066" s="2"/>
      <c r="D3066" s="2" t="s">
        <v>1097</v>
      </c>
    </row>
    <row r="3067">
      <c r="A3067" s="8">
        <v>46192.61340671296</v>
      </c>
      <c r="B3067" s="2" t="s">
        <v>991</v>
      </c>
      <c r="C3067" s="2" t="s">
        <v>519</v>
      </c>
      <c r="D3067" s="2" t="s">
        <v>1083</v>
      </c>
    </row>
    <row r="3068">
      <c r="A3068" s="8">
        <v>46192.61342876157</v>
      </c>
      <c r="B3068" s="2" t="s">
        <v>991</v>
      </c>
      <c r="C3068" s="2" t="s">
        <v>607</v>
      </c>
      <c r="D3068" s="2" t="s">
        <v>1055</v>
      </c>
    </row>
    <row r="3069">
      <c r="A3069" s="8">
        <v>46192.613434583334</v>
      </c>
      <c r="B3069" s="2" t="s">
        <v>894</v>
      </c>
      <c r="C3069" s="2"/>
      <c r="D3069" s="2" t="s">
        <v>1078</v>
      </c>
    </row>
    <row r="3070">
      <c r="A3070" s="8">
        <v>46192.654758310186</v>
      </c>
      <c r="B3070" s="2" t="s">
        <v>798</v>
      </c>
      <c r="C3070" s="2" t="s">
        <v>799</v>
      </c>
      <c r="D3070" s="2" t="s">
        <v>800</v>
      </c>
    </row>
    <row r="3071">
      <c r="A3071" s="8">
        <v>46192.65476233796</v>
      </c>
      <c r="B3071" s="2" t="s">
        <v>832</v>
      </c>
      <c r="C3071" s="2"/>
      <c r="D3071" s="2" t="s">
        <v>1097</v>
      </c>
    </row>
    <row r="3072">
      <c r="A3072" s="8">
        <v>46192.654815381946</v>
      </c>
      <c r="B3072" s="2" t="s">
        <v>991</v>
      </c>
      <c r="C3072" s="2" t="s">
        <v>519</v>
      </c>
      <c r="D3072" s="2" t="s">
        <v>1083</v>
      </c>
    </row>
    <row r="3073">
      <c r="A3073" s="8">
        <v>46192.654817766204</v>
      </c>
      <c r="B3073" s="2" t="s">
        <v>991</v>
      </c>
      <c r="C3073" s="2" t="s">
        <v>607</v>
      </c>
      <c r="D3073" s="2" t="s">
        <v>1055</v>
      </c>
    </row>
    <row r="3074">
      <c r="A3074" s="8">
        <v>46192.65481923611</v>
      </c>
      <c r="B3074" s="2" t="s">
        <v>894</v>
      </c>
      <c r="C3074" s="2"/>
      <c r="D3074" s="2" t="s">
        <v>1078</v>
      </c>
    </row>
    <row r="3075">
      <c r="A3075" s="8">
        <v>46192.69644201389</v>
      </c>
      <c r="B3075" s="2" t="s">
        <v>798</v>
      </c>
      <c r="C3075" s="2" t="s">
        <v>799</v>
      </c>
      <c r="D3075" s="2" t="s">
        <v>800</v>
      </c>
    </row>
    <row r="3076">
      <c r="A3076" s="8">
        <v>46192.69644900463</v>
      </c>
      <c r="B3076" s="2" t="s">
        <v>832</v>
      </c>
      <c r="C3076" s="2"/>
      <c r="D3076" s="2" t="s">
        <v>1097</v>
      </c>
    </row>
    <row r="3077">
      <c r="A3077" s="8">
        <v>46192.696531354166</v>
      </c>
      <c r="B3077" s="2" t="s">
        <v>991</v>
      </c>
      <c r="C3077" s="2" t="s">
        <v>519</v>
      </c>
      <c r="D3077" s="2" t="s">
        <v>1083</v>
      </c>
    </row>
    <row r="3078">
      <c r="A3078" s="8">
        <v>46192.69653771991</v>
      </c>
      <c r="B3078" s="2" t="s">
        <v>991</v>
      </c>
      <c r="C3078" s="2" t="s">
        <v>607</v>
      </c>
      <c r="D3078" s="2" t="s">
        <v>1055</v>
      </c>
    </row>
    <row r="3079">
      <c r="A3079" s="8">
        <v>46192.696540543984</v>
      </c>
      <c r="B3079" s="2" t="s">
        <v>894</v>
      </c>
      <c r="C3079" s="2"/>
      <c r="D3079" s="2" t="s">
        <v>1078</v>
      </c>
    </row>
    <row r="3080">
      <c r="A3080" s="8">
        <v>46192.73811935185</v>
      </c>
      <c r="B3080" s="2" t="s">
        <v>798</v>
      </c>
      <c r="C3080" s="2" t="s">
        <v>799</v>
      </c>
      <c r="D3080" s="2" t="s">
        <v>800</v>
      </c>
    </row>
    <row r="3081">
      <c r="A3081" s="8">
        <v>46192.738129618054</v>
      </c>
      <c r="B3081" s="2" t="s">
        <v>832</v>
      </c>
      <c r="C3081" s="2"/>
      <c r="D3081" s="2" t="s">
        <v>1097</v>
      </c>
    </row>
    <row r="3082">
      <c r="A3082" s="8">
        <v>46192.73823315972</v>
      </c>
      <c r="B3082" s="2" t="s">
        <v>991</v>
      </c>
      <c r="C3082" s="2" t="s">
        <v>519</v>
      </c>
      <c r="D3082" s="2" t="s">
        <v>1083</v>
      </c>
    </row>
    <row r="3083">
      <c r="A3083" s="8">
        <v>46192.73824946759</v>
      </c>
      <c r="B3083" s="2" t="s">
        <v>991</v>
      </c>
      <c r="C3083" s="2" t="s">
        <v>607</v>
      </c>
      <c r="D3083" s="2" t="s">
        <v>1055</v>
      </c>
    </row>
    <row r="3084">
      <c r="A3084" s="8">
        <v>46192.73825472222</v>
      </c>
      <c r="B3084" s="2" t="s">
        <v>894</v>
      </c>
      <c r="C3084" s="2"/>
      <c r="D3084" s="2" t="s">
        <v>1078</v>
      </c>
    </row>
    <row r="3085">
      <c r="A3085" s="8">
        <v>46192.772283252314</v>
      </c>
      <c r="B3085" s="2" t="s">
        <v>789</v>
      </c>
      <c r="C3085" s="2"/>
      <c r="D3085" s="2" t="s">
        <v>1094</v>
      </c>
    </row>
    <row r="3086">
      <c r="A3086" s="8">
        <v>46192.77978306713</v>
      </c>
      <c r="B3086" s="2" t="s">
        <v>798</v>
      </c>
      <c r="C3086" s="2" t="s">
        <v>799</v>
      </c>
      <c r="D3086" s="2" t="s">
        <v>800</v>
      </c>
    </row>
    <row r="3087">
      <c r="A3087" s="8">
        <v>46192.779795069444</v>
      </c>
      <c r="B3087" s="2" t="s">
        <v>832</v>
      </c>
      <c r="C3087" s="2"/>
      <c r="D3087" s="2" t="s">
        <v>1097</v>
      </c>
    </row>
    <row r="3088">
      <c r="A3088" s="8">
        <v>46192.77988686343</v>
      </c>
      <c r="B3088" s="2" t="s">
        <v>991</v>
      </c>
      <c r="C3088" s="2" t="s">
        <v>519</v>
      </c>
      <c r="D3088" s="2" t="s">
        <v>1083</v>
      </c>
    </row>
    <row r="3089">
      <c r="A3089" s="8">
        <v>46192.77989638889</v>
      </c>
      <c r="B3089" s="2" t="s">
        <v>991</v>
      </c>
      <c r="C3089" s="2" t="s">
        <v>607</v>
      </c>
      <c r="D3089" s="2" t="s">
        <v>1055</v>
      </c>
    </row>
    <row r="3090">
      <c r="A3090" s="8">
        <v>46192.77990009259</v>
      </c>
      <c r="B3090" s="2" t="s">
        <v>894</v>
      </c>
      <c r="C3090" s="2"/>
      <c r="D3090" s="2" t="s">
        <v>1078</v>
      </c>
    </row>
    <row r="3091">
      <c r="A3091" s="8">
        <v>46192.82143674769</v>
      </c>
      <c r="B3091" s="2" t="s">
        <v>798</v>
      </c>
      <c r="C3091" s="2" t="s">
        <v>799</v>
      </c>
      <c r="D3091" s="2" t="s">
        <v>800</v>
      </c>
    </row>
    <row r="3092">
      <c r="A3092" s="8">
        <v>46192.821442858796</v>
      </c>
      <c r="B3092" s="2" t="s">
        <v>832</v>
      </c>
      <c r="C3092" s="2"/>
      <c r="D3092" s="2" t="s">
        <v>1097</v>
      </c>
    </row>
    <row r="3093">
      <c r="A3093" s="8">
        <v>46192.8215275463</v>
      </c>
      <c r="B3093" s="2" t="s">
        <v>991</v>
      </c>
      <c r="C3093" s="2" t="s">
        <v>519</v>
      </c>
      <c r="D3093" s="2" t="s">
        <v>1083</v>
      </c>
    </row>
    <row r="3094">
      <c r="A3094" s="8">
        <v>46192.82153459491</v>
      </c>
      <c r="B3094" s="2" t="s">
        <v>991</v>
      </c>
      <c r="C3094" s="2" t="s">
        <v>607</v>
      </c>
      <c r="D3094" s="2" t="s">
        <v>1055</v>
      </c>
    </row>
    <row r="3095">
      <c r="A3095" s="8">
        <v>46192.821536724536</v>
      </c>
      <c r="B3095" s="2" t="s">
        <v>894</v>
      </c>
      <c r="C3095" s="2"/>
      <c r="D3095" s="2" t="s">
        <v>1078</v>
      </c>
    </row>
    <row r="3096">
      <c r="A3096" s="8">
        <v>46192.86316049768</v>
      </c>
      <c r="B3096" s="2" t="s">
        <v>798</v>
      </c>
      <c r="C3096" s="2" t="s">
        <v>799</v>
      </c>
      <c r="D3096" s="2" t="s">
        <v>800</v>
      </c>
    </row>
    <row r="3097">
      <c r="A3097" s="8">
        <v>46192.86317351852</v>
      </c>
      <c r="B3097" s="2" t="s">
        <v>991</v>
      </c>
      <c r="C3097" s="2" t="s">
        <v>810</v>
      </c>
      <c r="D3097" s="2" t="s">
        <v>1105</v>
      </c>
    </row>
    <row r="3098">
      <c r="A3098" s="8">
        <v>46192.86318478009</v>
      </c>
      <c r="B3098" s="2" t="s">
        <v>832</v>
      </c>
      <c r="C3098" s="2"/>
      <c r="D3098" s="2" t="s">
        <v>1106</v>
      </c>
    </row>
    <row r="3099">
      <c r="A3099" s="8">
        <v>46192.863292546295</v>
      </c>
      <c r="B3099" s="2" t="s">
        <v>991</v>
      </c>
      <c r="C3099" s="2" t="s">
        <v>519</v>
      </c>
      <c r="D3099" s="2" t="s">
        <v>1083</v>
      </c>
    </row>
    <row r="3100">
      <c r="A3100" s="8">
        <v>46192.86331085648</v>
      </c>
      <c r="B3100" s="2" t="s">
        <v>991</v>
      </c>
      <c r="C3100" s="2" t="s">
        <v>607</v>
      </c>
      <c r="D3100" s="2" t="s">
        <v>1055</v>
      </c>
    </row>
    <row r="3101">
      <c r="A3101" s="8">
        <v>46192.86332260417</v>
      </c>
      <c r="B3101" s="2" t="s">
        <v>894</v>
      </c>
      <c r="C3101" s="2"/>
      <c r="D3101" s="2" t="s">
        <v>1078</v>
      </c>
    </row>
    <row r="3102">
      <c r="A3102" s="8">
        <v>46192.9047989699</v>
      </c>
      <c r="B3102" s="2" t="s">
        <v>798</v>
      </c>
      <c r="C3102" s="2" t="s">
        <v>799</v>
      </c>
      <c r="D3102" s="2" t="s">
        <v>800</v>
      </c>
    </row>
    <row r="3103">
      <c r="A3103" s="8">
        <v>46192.904802743054</v>
      </c>
      <c r="B3103" s="2" t="s">
        <v>991</v>
      </c>
      <c r="C3103" s="2" t="s">
        <v>810</v>
      </c>
      <c r="D3103" s="2" t="s">
        <v>1105</v>
      </c>
    </row>
    <row r="3104">
      <c r="A3104" s="8">
        <v>46192.90480971065</v>
      </c>
      <c r="B3104" s="2" t="s">
        <v>832</v>
      </c>
      <c r="C3104" s="2"/>
      <c r="D3104" s="2" t="s">
        <v>1106</v>
      </c>
    </row>
    <row r="3105">
      <c r="A3105" s="8">
        <v>46192.90489081018</v>
      </c>
      <c r="B3105" s="2" t="s">
        <v>991</v>
      </c>
      <c r="C3105" s="2" t="s">
        <v>519</v>
      </c>
      <c r="D3105" s="2" t="s">
        <v>1083</v>
      </c>
    </row>
    <row r="3106">
      <c r="A3106" s="8">
        <v>46192.90489755787</v>
      </c>
      <c r="B3106" s="2" t="s">
        <v>991</v>
      </c>
      <c r="C3106" s="2" t="s">
        <v>607</v>
      </c>
      <c r="D3106" s="2" t="s">
        <v>1055</v>
      </c>
    </row>
    <row r="3107">
      <c r="A3107" s="8">
        <v>46192.90490111111</v>
      </c>
      <c r="B3107" s="2" t="s">
        <v>894</v>
      </c>
      <c r="C3107" s="2"/>
      <c r="D3107" s="2" t="s">
        <v>1078</v>
      </c>
    </row>
    <row r="3108">
      <c r="A3108" s="8">
        <v>46192.917092476855</v>
      </c>
      <c r="B3108" s="2" t="s">
        <v>863</v>
      </c>
      <c r="C3108" s="2"/>
      <c r="D3108" s="2" t="s">
        <v>1107</v>
      </c>
    </row>
    <row r="3109">
      <c r="A3109" s="8">
        <v>46192.94645240741</v>
      </c>
      <c r="B3109" s="2" t="s">
        <v>798</v>
      </c>
      <c r="C3109" s="2" t="s">
        <v>799</v>
      </c>
      <c r="D3109" s="2" t="s">
        <v>800</v>
      </c>
    </row>
    <row r="3110">
      <c r="A3110" s="8">
        <v>46192.94645645833</v>
      </c>
      <c r="B3110" s="2" t="s">
        <v>991</v>
      </c>
      <c r="C3110" s="2" t="s">
        <v>810</v>
      </c>
      <c r="D3110" s="2" t="s">
        <v>1105</v>
      </c>
    </row>
    <row r="3111">
      <c r="A3111" s="8">
        <v>46192.94647454861</v>
      </c>
      <c r="B3111" s="2" t="s">
        <v>832</v>
      </c>
      <c r="C3111" s="2"/>
      <c r="D3111" s="2" t="s">
        <v>1106</v>
      </c>
    </row>
    <row r="3112">
      <c r="A3112" s="8">
        <v>46192.94655116898</v>
      </c>
      <c r="B3112" s="2" t="s">
        <v>991</v>
      </c>
      <c r="C3112" s="2" t="s">
        <v>519</v>
      </c>
      <c r="D3112" s="2" t="s">
        <v>1083</v>
      </c>
    </row>
    <row r="3113">
      <c r="A3113" s="8">
        <v>46192.946558298616</v>
      </c>
      <c r="B3113" s="2" t="s">
        <v>991</v>
      </c>
      <c r="C3113" s="2" t="s">
        <v>607</v>
      </c>
      <c r="D3113" s="2" t="s">
        <v>1055</v>
      </c>
    </row>
    <row r="3114">
      <c r="A3114" s="8">
        <v>46192.94656131945</v>
      </c>
      <c r="B3114" s="2" t="s">
        <v>894</v>
      </c>
      <c r="C3114" s="2"/>
      <c r="D3114" s="2" t="s">
        <v>1078</v>
      </c>
    </row>
    <row r="3115">
      <c r="A3115" s="8">
        <v>46192.988116782406</v>
      </c>
      <c r="B3115" s="2" t="s">
        <v>798</v>
      </c>
      <c r="C3115" s="2" t="s">
        <v>799</v>
      </c>
      <c r="D3115" s="2" t="s">
        <v>800</v>
      </c>
    </row>
    <row r="3116">
      <c r="A3116" s="8">
        <v>46192.98812248843</v>
      </c>
      <c r="B3116" s="2" t="s">
        <v>991</v>
      </c>
      <c r="C3116" s="2" t="s">
        <v>810</v>
      </c>
      <c r="D3116" s="2" t="s">
        <v>1105</v>
      </c>
    </row>
    <row r="3117">
      <c r="A3117" s="8">
        <v>46192.98813810185</v>
      </c>
      <c r="B3117" s="2" t="s">
        <v>832</v>
      </c>
      <c r="C3117" s="2"/>
      <c r="D3117" s="2" t="s">
        <v>1106</v>
      </c>
    </row>
    <row r="3118">
      <c r="A3118" s="8">
        <v>46192.98820143519</v>
      </c>
      <c r="B3118" s="2" t="s">
        <v>991</v>
      </c>
      <c r="C3118" s="2" t="s">
        <v>519</v>
      </c>
      <c r="D3118" s="2" t="s">
        <v>1083</v>
      </c>
    </row>
    <row r="3119">
      <c r="A3119" s="8">
        <v>46192.98821519676</v>
      </c>
      <c r="B3119" s="2" t="s">
        <v>991</v>
      </c>
      <c r="C3119" s="2" t="s">
        <v>607</v>
      </c>
      <c r="D3119" s="2" t="s">
        <v>1055</v>
      </c>
    </row>
    <row r="3120">
      <c r="A3120" s="8">
        <v>46192.988217499995</v>
      </c>
      <c r="B3120" s="2" t="s">
        <v>894</v>
      </c>
      <c r="C3120" s="2"/>
      <c r="D3120" s="2" t="s">
        <v>1078</v>
      </c>
    </row>
    <row r="3121">
      <c r="A3121" s="8">
        <v>46193.02978277778</v>
      </c>
      <c r="B3121" s="2" t="s">
        <v>798</v>
      </c>
      <c r="C3121" s="2" t="s">
        <v>799</v>
      </c>
      <c r="D3121" s="2" t="s">
        <v>800</v>
      </c>
    </row>
    <row r="3122">
      <c r="A3122" s="8">
        <v>46193.02978864583</v>
      </c>
      <c r="B3122" s="2" t="s">
        <v>991</v>
      </c>
      <c r="C3122" s="2" t="s">
        <v>810</v>
      </c>
      <c r="D3122" s="2" t="s">
        <v>1105</v>
      </c>
    </row>
    <row r="3123">
      <c r="A3123" s="8">
        <v>46193.02980474537</v>
      </c>
      <c r="B3123" s="2" t="s">
        <v>832</v>
      </c>
      <c r="C3123" s="2"/>
      <c r="D3123" s="2" t="s">
        <v>1106</v>
      </c>
    </row>
    <row r="3124">
      <c r="A3124" s="8">
        <v>46193.02988357639</v>
      </c>
      <c r="B3124" s="2" t="s">
        <v>991</v>
      </c>
      <c r="C3124" s="2" t="s">
        <v>519</v>
      </c>
      <c r="D3124" s="2" t="s">
        <v>1083</v>
      </c>
    </row>
    <row r="3125">
      <c r="A3125" s="8">
        <v>46193.02989237268</v>
      </c>
      <c r="B3125" s="2" t="s">
        <v>991</v>
      </c>
      <c r="C3125" s="2" t="s">
        <v>607</v>
      </c>
      <c r="D3125" s="2" t="s">
        <v>1055</v>
      </c>
    </row>
    <row r="3126">
      <c r="A3126" s="8">
        <v>46193.029894837964</v>
      </c>
      <c r="B3126" s="2" t="s">
        <v>894</v>
      </c>
      <c r="C3126" s="2"/>
      <c r="D3126" s="2" t="s">
        <v>1078</v>
      </c>
    </row>
    <row r="3127">
      <c r="A3127" s="8">
        <v>46193.071425462964</v>
      </c>
      <c r="B3127" s="2" t="s">
        <v>798</v>
      </c>
      <c r="C3127" s="2" t="s">
        <v>799</v>
      </c>
      <c r="D3127" s="2" t="s">
        <v>800</v>
      </c>
    </row>
    <row r="3128">
      <c r="A3128" s="8">
        <v>46193.07142872685</v>
      </c>
      <c r="B3128" s="2" t="s">
        <v>991</v>
      </c>
      <c r="C3128" s="2" t="s">
        <v>810</v>
      </c>
      <c r="D3128" s="2" t="s">
        <v>1105</v>
      </c>
    </row>
    <row r="3129">
      <c r="A3129" s="8">
        <v>46193.07143585648</v>
      </c>
      <c r="B3129" s="2" t="s">
        <v>844</v>
      </c>
      <c r="C3129" s="2" t="s">
        <v>818</v>
      </c>
      <c r="D3129" s="2" t="s">
        <v>1108</v>
      </c>
    </row>
    <row r="3130">
      <c r="A3130" s="8">
        <v>46193.07144814815</v>
      </c>
      <c r="B3130" s="2" t="s">
        <v>832</v>
      </c>
      <c r="C3130" s="2"/>
      <c r="D3130" s="2" t="s">
        <v>1109</v>
      </c>
    </row>
    <row r="3131">
      <c r="A3131" s="8">
        <v>46193.07149998842</v>
      </c>
      <c r="B3131" s="2" t="s">
        <v>991</v>
      </c>
      <c r="C3131" s="2" t="s">
        <v>519</v>
      </c>
      <c r="D3131" s="2" t="s">
        <v>1083</v>
      </c>
    </row>
    <row r="3132">
      <c r="A3132" s="8">
        <v>46193.07150420139</v>
      </c>
      <c r="B3132" s="2" t="s">
        <v>991</v>
      </c>
      <c r="C3132" s="2" t="s">
        <v>607</v>
      </c>
      <c r="D3132" s="2" t="s">
        <v>1055</v>
      </c>
    </row>
    <row r="3133">
      <c r="A3133" s="8">
        <v>46193.07150603009</v>
      </c>
      <c r="B3133" s="2" t="s">
        <v>894</v>
      </c>
      <c r="C3133" s="2"/>
      <c r="D3133" s="2" t="s">
        <v>1078</v>
      </c>
    </row>
    <row r="3134">
      <c r="A3134" s="8">
        <v>46193.11309427083</v>
      </c>
      <c r="B3134" s="2" t="s">
        <v>798</v>
      </c>
      <c r="C3134" s="2" t="s">
        <v>799</v>
      </c>
      <c r="D3134" s="2" t="s">
        <v>800</v>
      </c>
    </row>
    <row r="3135">
      <c r="A3135" s="8">
        <v>46193.1130978125</v>
      </c>
      <c r="B3135" s="2" t="s">
        <v>991</v>
      </c>
      <c r="C3135" s="2" t="s">
        <v>810</v>
      </c>
      <c r="D3135" s="2" t="s">
        <v>1105</v>
      </c>
    </row>
    <row r="3136">
      <c r="A3136" s="8">
        <v>46193.11310185185</v>
      </c>
      <c r="B3136" s="2" t="s">
        <v>832</v>
      </c>
      <c r="C3136" s="2"/>
      <c r="D3136" s="2" t="s">
        <v>1106</v>
      </c>
    </row>
    <row r="3137">
      <c r="A3137" s="8">
        <v>46193.11317207176</v>
      </c>
      <c r="B3137" s="2" t="s">
        <v>991</v>
      </c>
      <c r="C3137" s="2" t="s">
        <v>519</v>
      </c>
      <c r="D3137" s="2" t="s">
        <v>1083</v>
      </c>
    </row>
    <row r="3138">
      <c r="A3138" s="8">
        <v>46193.113183078705</v>
      </c>
      <c r="B3138" s="2" t="s">
        <v>991</v>
      </c>
      <c r="C3138" s="2" t="s">
        <v>607</v>
      </c>
      <c r="D3138" s="2" t="s">
        <v>1055</v>
      </c>
    </row>
    <row r="3139">
      <c r="A3139" s="8">
        <v>46193.11318501158</v>
      </c>
      <c r="B3139" s="2" t="s">
        <v>894</v>
      </c>
      <c r="C3139" s="2"/>
      <c r="D3139" s="2" t="s">
        <v>1078</v>
      </c>
    </row>
    <row r="3140">
      <c r="A3140" s="8">
        <v>46193.15476152778</v>
      </c>
      <c r="B3140" s="2" t="s">
        <v>798</v>
      </c>
      <c r="C3140" s="2" t="s">
        <v>799</v>
      </c>
      <c r="D3140" s="2" t="s">
        <v>800</v>
      </c>
    </row>
    <row r="3141">
      <c r="A3141" s="8">
        <v>46193.15476603009</v>
      </c>
      <c r="B3141" s="2" t="s">
        <v>991</v>
      </c>
      <c r="C3141" s="2" t="s">
        <v>810</v>
      </c>
      <c r="D3141" s="2" t="s">
        <v>1105</v>
      </c>
    </row>
    <row r="3142">
      <c r="A3142" s="8">
        <v>46193.154770416666</v>
      </c>
      <c r="B3142" s="2" t="s">
        <v>832</v>
      </c>
      <c r="C3142" s="2"/>
      <c r="D3142" s="2" t="s">
        <v>1106</v>
      </c>
    </row>
    <row r="3143">
      <c r="A3143" s="8">
        <v>46193.1548346875</v>
      </c>
      <c r="B3143" s="2" t="s">
        <v>991</v>
      </c>
      <c r="C3143" s="2" t="s">
        <v>519</v>
      </c>
      <c r="D3143" s="2" t="s">
        <v>1083</v>
      </c>
    </row>
    <row r="3144">
      <c r="A3144" s="8">
        <v>46193.15483986111</v>
      </c>
      <c r="B3144" s="2" t="s">
        <v>991</v>
      </c>
      <c r="C3144" s="2" t="s">
        <v>607</v>
      </c>
      <c r="D3144" s="2" t="s">
        <v>1055</v>
      </c>
    </row>
    <row r="3145">
      <c r="A3145" s="8">
        <v>46193.15484195601</v>
      </c>
      <c r="B3145" s="2" t="s">
        <v>894</v>
      </c>
      <c r="C3145" s="2"/>
      <c r="D3145" s="2" t="s">
        <v>1078</v>
      </c>
    </row>
    <row r="3146">
      <c r="A3146" s="8">
        <v>46193.196457604165</v>
      </c>
      <c r="B3146" s="2" t="s">
        <v>798</v>
      </c>
      <c r="C3146" s="2" t="s">
        <v>799</v>
      </c>
      <c r="D3146" s="2" t="s">
        <v>800</v>
      </c>
    </row>
    <row r="3147">
      <c r="A3147" s="8">
        <v>46193.19646494213</v>
      </c>
      <c r="B3147" s="2" t="s">
        <v>991</v>
      </c>
      <c r="C3147" s="2" t="s">
        <v>810</v>
      </c>
      <c r="D3147" s="2" t="s">
        <v>1105</v>
      </c>
    </row>
    <row r="3148">
      <c r="A3148" s="8">
        <v>46193.19648172453</v>
      </c>
      <c r="B3148" s="2" t="s">
        <v>832</v>
      </c>
      <c r="C3148" s="2"/>
      <c r="D3148" s="2" t="s">
        <v>1106</v>
      </c>
    </row>
    <row r="3149">
      <c r="A3149" s="8">
        <v>46193.196560833334</v>
      </c>
      <c r="B3149" s="2" t="s">
        <v>991</v>
      </c>
      <c r="C3149" s="2" t="s">
        <v>519</v>
      </c>
      <c r="D3149" s="2" t="s">
        <v>1083</v>
      </c>
    </row>
    <row r="3150">
      <c r="A3150" s="8">
        <v>46193.19656950231</v>
      </c>
      <c r="B3150" s="2" t="s">
        <v>991</v>
      </c>
      <c r="C3150" s="2" t="s">
        <v>607</v>
      </c>
      <c r="D3150" s="2" t="s">
        <v>1055</v>
      </c>
    </row>
    <row r="3151">
      <c r="A3151" s="8">
        <v>46193.19657226852</v>
      </c>
      <c r="B3151" s="2" t="s">
        <v>894</v>
      </c>
      <c r="C3151" s="2"/>
      <c r="D3151" s="2" t="s">
        <v>1078</v>
      </c>
    </row>
    <row r="3152">
      <c r="A3152" s="8">
        <v>46193.23815456018</v>
      </c>
      <c r="B3152" s="2" t="s">
        <v>798</v>
      </c>
      <c r="C3152" s="2" t="s">
        <v>799</v>
      </c>
      <c r="D3152" s="2" t="s">
        <v>800</v>
      </c>
    </row>
    <row r="3153">
      <c r="A3153" s="8">
        <v>46193.2381683912</v>
      </c>
      <c r="B3153" s="2" t="s">
        <v>991</v>
      </c>
      <c r="C3153" s="2" t="s">
        <v>810</v>
      </c>
      <c r="D3153" s="2" t="s">
        <v>1105</v>
      </c>
    </row>
    <row r="3154">
      <c r="A3154" s="8">
        <v>46193.238186030096</v>
      </c>
      <c r="B3154" s="2" t="s">
        <v>832</v>
      </c>
      <c r="C3154" s="2"/>
      <c r="D3154" s="2" t="s">
        <v>1106</v>
      </c>
    </row>
    <row r="3155">
      <c r="A3155" s="8">
        <v>46193.23829178241</v>
      </c>
      <c r="B3155" s="2" t="s">
        <v>991</v>
      </c>
      <c r="C3155" s="2" t="s">
        <v>519</v>
      </c>
      <c r="D3155" s="2" t="s">
        <v>1083</v>
      </c>
    </row>
    <row r="3156">
      <c r="A3156" s="8">
        <v>46193.238307858795</v>
      </c>
      <c r="B3156" s="2" t="s">
        <v>991</v>
      </c>
      <c r="C3156" s="2" t="s">
        <v>607</v>
      </c>
      <c r="D3156" s="2" t="s">
        <v>1055</v>
      </c>
    </row>
    <row r="3157">
      <c r="A3157" s="8">
        <v>46193.23831259259</v>
      </c>
      <c r="B3157" s="2" t="s">
        <v>894</v>
      </c>
      <c r="C3157" s="2"/>
      <c r="D3157" s="2" t="s">
        <v>1078</v>
      </c>
    </row>
    <row r="3158">
      <c r="A3158" s="8">
        <v>46193.27981969908</v>
      </c>
      <c r="B3158" s="2" t="s">
        <v>798</v>
      </c>
      <c r="C3158" s="2" t="s">
        <v>799</v>
      </c>
      <c r="D3158" s="2" t="s">
        <v>800</v>
      </c>
    </row>
    <row r="3159">
      <c r="A3159" s="8">
        <v>46193.27982862269</v>
      </c>
      <c r="B3159" s="2" t="s">
        <v>991</v>
      </c>
      <c r="C3159" s="2" t="s">
        <v>810</v>
      </c>
      <c r="D3159" s="2" t="s">
        <v>1105</v>
      </c>
    </row>
    <row r="3160">
      <c r="A3160" s="8">
        <v>46193.279847094906</v>
      </c>
      <c r="B3160" s="2" t="s">
        <v>832</v>
      </c>
      <c r="C3160" s="2"/>
      <c r="D3160" s="2" t="s">
        <v>1106</v>
      </c>
    </row>
    <row r="3161">
      <c r="A3161" s="8">
        <v>46193.27993795139</v>
      </c>
      <c r="B3161" s="2" t="s">
        <v>991</v>
      </c>
      <c r="C3161" s="2" t="s">
        <v>519</v>
      </c>
      <c r="D3161" s="2" t="s">
        <v>1083</v>
      </c>
    </row>
    <row r="3162">
      <c r="A3162" s="8">
        <v>46193.279952638884</v>
      </c>
      <c r="B3162" s="2" t="s">
        <v>991</v>
      </c>
      <c r="C3162" s="2" t="s">
        <v>607</v>
      </c>
      <c r="D3162" s="2" t="s">
        <v>1055</v>
      </c>
    </row>
    <row r="3163">
      <c r="A3163" s="8">
        <v>46193.279955555554</v>
      </c>
      <c r="B3163" s="2" t="s">
        <v>894</v>
      </c>
      <c r="C3163" s="2"/>
      <c r="D3163" s="2" t="s">
        <v>1078</v>
      </c>
    </row>
    <row r="3164">
      <c r="A3164" s="8">
        <v>46193.32145696759</v>
      </c>
      <c r="B3164" s="2" t="s">
        <v>798</v>
      </c>
      <c r="C3164" s="2" t="s">
        <v>799</v>
      </c>
      <c r="D3164" s="2" t="s">
        <v>800</v>
      </c>
    </row>
    <row r="3165">
      <c r="A3165" s="8">
        <v>46193.32146732639</v>
      </c>
      <c r="B3165" s="2" t="s">
        <v>991</v>
      </c>
      <c r="C3165" s="2" t="s">
        <v>810</v>
      </c>
      <c r="D3165" s="2" t="s">
        <v>1105</v>
      </c>
    </row>
    <row r="3166">
      <c r="A3166" s="8">
        <v>46193.321483541666</v>
      </c>
      <c r="B3166" s="2" t="s">
        <v>832</v>
      </c>
      <c r="C3166" s="2"/>
      <c r="D3166" s="2" t="s">
        <v>1106</v>
      </c>
    </row>
    <row r="3167">
      <c r="A3167" s="8">
        <v>46193.321562881945</v>
      </c>
      <c r="B3167" s="2" t="s">
        <v>991</v>
      </c>
      <c r="C3167" s="2" t="s">
        <v>519</v>
      </c>
      <c r="D3167" s="2" t="s">
        <v>1083</v>
      </c>
    </row>
    <row r="3168">
      <c r="A3168" s="8">
        <v>46193.32157413194</v>
      </c>
      <c r="B3168" s="2" t="s">
        <v>991</v>
      </c>
      <c r="C3168" s="2" t="s">
        <v>607</v>
      </c>
      <c r="D3168" s="2" t="s">
        <v>1055</v>
      </c>
    </row>
    <row r="3169">
      <c r="A3169" s="8">
        <v>46193.321577118055</v>
      </c>
      <c r="B3169" s="2" t="s">
        <v>894</v>
      </c>
      <c r="C3169" s="2"/>
      <c r="D3169" s="2" t="s">
        <v>1078</v>
      </c>
    </row>
    <row r="3170">
      <c r="A3170" s="8">
        <v>46193.363114618056</v>
      </c>
      <c r="B3170" s="2" t="s">
        <v>798</v>
      </c>
      <c r="C3170" s="2" t="s">
        <v>799</v>
      </c>
      <c r="D3170" s="2" t="s">
        <v>800</v>
      </c>
    </row>
    <row r="3171">
      <c r="A3171" s="8">
        <v>46193.36311918982</v>
      </c>
      <c r="B3171" s="2" t="s">
        <v>991</v>
      </c>
      <c r="C3171" s="2" t="s">
        <v>810</v>
      </c>
      <c r="D3171" s="2" t="s">
        <v>1105</v>
      </c>
    </row>
    <row r="3172">
      <c r="A3172" s="8">
        <v>46193.36314</v>
      </c>
      <c r="B3172" s="2" t="s">
        <v>832</v>
      </c>
      <c r="C3172" s="2"/>
      <c r="D3172" s="2" t="s">
        <v>1106</v>
      </c>
    </row>
    <row r="3173">
      <c r="A3173" s="8">
        <v>46193.363200798616</v>
      </c>
      <c r="B3173" s="2" t="s">
        <v>991</v>
      </c>
      <c r="C3173" s="2" t="s">
        <v>519</v>
      </c>
      <c r="D3173" s="2" t="s">
        <v>1083</v>
      </c>
    </row>
    <row r="3174">
      <c r="A3174" s="8">
        <v>46193.36320653935</v>
      </c>
      <c r="B3174" s="2" t="s">
        <v>991</v>
      </c>
      <c r="C3174" s="2" t="s">
        <v>607</v>
      </c>
      <c r="D3174" s="2" t="s">
        <v>1055</v>
      </c>
    </row>
    <row r="3175">
      <c r="A3175" s="8">
        <v>46193.36320902778</v>
      </c>
      <c r="B3175" s="2" t="s">
        <v>894</v>
      </c>
      <c r="C3175" s="2"/>
      <c r="D3175" s="2" t="s">
        <v>1078</v>
      </c>
    </row>
    <row r="3176">
      <c r="A3176" s="8">
        <v>46193.40477065972</v>
      </c>
      <c r="B3176" s="2" t="s">
        <v>798</v>
      </c>
      <c r="C3176" s="2" t="s">
        <v>799</v>
      </c>
      <c r="D3176" s="2" t="s">
        <v>800</v>
      </c>
    </row>
    <row r="3177">
      <c r="A3177" s="8">
        <v>46193.404775104165</v>
      </c>
      <c r="B3177" s="2" t="s">
        <v>991</v>
      </c>
      <c r="C3177" s="2" t="s">
        <v>810</v>
      </c>
      <c r="D3177" s="2" t="s">
        <v>1105</v>
      </c>
    </row>
    <row r="3178">
      <c r="A3178" s="8">
        <v>46193.404785694445</v>
      </c>
      <c r="B3178" s="2" t="s">
        <v>832</v>
      </c>
      <c r="C3178" s="2"/>
      <c r="D3178" s="2" t="s">
        <v>1106</v>
      </c>
    </row>
    <row r="3179">
      <c r="A3179" s="8">
        <v>46193.404875532404</v>
      </c>
      <c r="B3179" s="2" t="s">
        <v>991</v>
      </c>
      <c r="C3179" s="2" t="s">
        <v>519</v>
      </c>
      <c r="D3179" s="2" t="s">
        <v>1083</v>
      </c>
    </row>
    <row r="3180">
      <c r="A3180" s="8">
        <v>46193.4048812963</v>
      </c>
      <c r="B3180" s="2" t="s">
        <v>991</v>
      </c>
      <c r="C3180" s="2" t="s">
        <v>607</v>
      </c>
      <c r="D3180" s="2" t="s">
        <v>1055</v>
      </c>
    </row>
    <row r="3181">
      <c r="A3181" s="8">
        <v>46193.40488393519</v>
      </c>
      <c r="B3181" s="2" t="s">
        <v>894</v>
      </c>
      <c r="C3181" s="2"/>
      <c r="D3181" s="2" t="s">
        <v>1078</v>
      </c>
    </row>
    <row r="3182">
      <c r="A3182" s="8">
        <v>46193.44644048611</v>
      </c>
      <c r="B3182" s="2" t="s">
        <v>798</v>
      </c>
      <c r="C3182" s="2" t="s">
        <v>799</v>
      </c>
      <c r="D3182" s="2" t="s">
        <v>800</v>
      </c>
    </row>
    <row r="3183">
      <c r="A3183" s="8">
        <v>46193.446445787034</v>
      </c>
      <c r="B3183" s="2" t="s">
        <v>991</v>
      </c>
      <c r="C3183" s="2" t="s">
        <v>810</v>
      </c>
      <c r="D3183" s="2" t="s">
        <v>1105</v>
      </c>
    </row>
    <row r="3184">
      <c r="A3184" s="8">
        <v>46193.446463009255</v>
      </c>
      <c r="B3184" s="2" t="s">
        <v>832</v>
      </c>
      <c r="C3184" s="2"/>
      <c r="D3184" s="2" t="s">
        <v>1106</v>
      </c>
    </row>
    <row r="3185">
      <c r="A3185" s="8">
        <v>46193.44652616898</v>
      </c>
      <c r="B3185" s="2" t="s">
        <v>991</v>
      </c>
      <c r="C3185" s="2" t="s">
        <v>519</v>
      </c>
      <c r="D3185" s="2" t="s">
        <v>1083</v>
      </c>
    </row>
    <row r="3186">
      <c r="A3186" s="8">
        <v>46193.44653234954</v>
      </c>
      <c r="B3186" s="2" t="s">
        <v>991</v>
      </c>
      <c r="C3186" s="2" t="s">
        <v>607</v>
      </c>
      <c r="D3186" s="2" t="s">
        <v>1055</v>
      </c>
    </row>
    <row r="3187">
      <c r="A3187" s="8">
        <v>46193.4465347338</v>
      </c>
      <c r="B3187" s="2" t="s">
        <v>894</v>
      </c>
      <c r="C3187" s="2"/>
      <c r="D3187" s="2" t="s">
        <v>1078</v>
      </c>
    </row>
    <row r="3188">
      <c r="A3188" s="8">
        <v>46193.48809806713</v>
      </c>
      <c r="B3188" s="2" t="s">
        <v>798</v>
      </c>
      <c r="C3188" s="2" t="s">
        <v>799</v>
      </c>
      <c r="D3188" s="2" t="s">
        <v>800</v>
      </c>
    </row>
    <row r="3189">
      <c r="A3189" s="8">
        <v>46193.48810300926</v>
      </c>
      <c r="B3189" s="2" t="s">
        <v>991</v>
      </c>
      <c r="C3189" s="2" t="s">
        <v>810</v>
      </c>
      <c r="D3189" s="2" t="s">
        <v>1105</v>
      </c>
    </row>
    <row r="3190">
      <c r="A3190" s="8">
        <v>46193.488120821756</v>
      </c>
      <c r="B3190" s="2" t="s">
        <v>832</v>
      </c>
      <c r="C3190" s="2"/>
      <c r="D3190" s="2" t="s">
        <v>1106</v>
      </c>
    </row>
    <row r="3191">
      <c r="A3191" s="8">
        <v>46193.48818435185</v>
      </c>
      <c r="B3191" s="2" t="s">
        <v>991</v>
      </c>
      <c r="C3191" s="2" t="s">
        <v>519</v>
      </c>
      <c r="D3191" s="2" t="s">
        <v>1083</v>
      </c>
    </row>
    <row r="3192">
      <c r="A3192" s="8">
        <v>46193.48818851852</v>
      </c>
      <c r="B3192" s="2" t="s">
        <v>991</v>
      </c>
      <c r="C3192" s="2" t="s">
        <v>607</v>
      </c>
      <c r="D3192" s="2" t="s">
        <v>1055</v>
      </c>
    </row>
    <row r="3193">
      <c r="A3193" s="8">
        <v>46193.48819046296</v>
      </c>
      <c r="B3193" s="2" t="s">
        <v>894</v>
      </c>
      <c r="C3193" s="2"/>
      <c r="D3193" s="2" t="s">
        <v>1078</v>
      </c>
    </row>
    <row r="3194">
      <c r="A3194" s="8">
        <v>46193.52978008102</v>
      </c>
      <c r="B3194" s="2" t="s">
        <v>798</v>
      </c>
      <c r="C3194" s="2" t="s">
        <v>799</v>
      </c>
      <c r="D3194" s="2" t="s">
        <v>800</v>
      </c>
    </row>
    <row r="3195">
      <c r="A3195" s="8">
        <v>46193.529784687504</v>
      </c>
      <c r="B3195" s="2" t="s">
        <v>991</v>
      </c>
      <c r="C3195" s="2" t="s">
        <v>810</v>
      </c>
      <c r="D3195" s="2" t="s">
        <v>1105</v>
      </c>
    </row>
    <row r="3196">
      <c r="A3196" s="8">
        <v>46193.529791863424</v>
      </c>
      <c r="B3196" s="2" t="s">
        <v>832</v>
      </c>
      <c r="C3196" s="2"/>
      <c r="D3196" s="2" t="s">
        <v>1106</v>
      </c>
    </row>
    <row r="3197">
      <c r="A3197" s="8">
        <v>46193.529883333336</v>
      </c>
      <c r="B3197" s="2" t="s">
        <v>991</v>
      </c>
      <c r="C3197" s="2" t="s">
        <v>519</v>
      </c>
      <c r="D3197" s="2" t="s">
        <v>1083</v>
      </c>
    </row>
    <row r="3198">
      <c r="A3198" s="8">
        <v>46193.529889224534</v>
      </c>
      <c r="B3198" s="2" t="s">
        <v>991</v>
      </c>
      <c r="C3198" s="2" t="s">
        <v>607</v>
      </c>
      <c r="D3198" s="2" t="s">
        <v>1055</v>
      </c>
    </row>
    <row r="3199">
      <c r="A3199" s="8">
        <v>46193.52989149306</v>
      </c>
      <c r="B3199" s="2" t="s">
        <v>894</v>
      </c>
      <c r="C3199" s="2"/>
      <c r="D3199" s="2" t="s">
        <v>1078</v>
      </c>
    </row>
    <row r="3200">
      <c r="A3200" s="8">
        <v>46193.571424525464</v>
      </c>
      <c r="B3200" s="2" t="s">
        <v>798</v>
      </c>
      <c r="C3200" s="2" t="s">
        <v>799</v>
      </c>
      <c r="D3200" s="2" t="s">
        <v>800</v>
      </c>
    </row>
    <row r="3201">
      <c r="A3201" s="8">
        <v>46193.57142778936</v>
      </c>
      <c r="B3201" s="2" t="s">
        <v>991</v>
      </c>
      <c r="C3201" s="2" t="s">
        <v>810</v>
      </c>
      <c r="D3201" s="2" t="s">
        <v>1105</v>
      </c>
    </row>
    <row r="3202">
      <c r="A3202" s="8">
        <v>46193.57143013889</v>
      </c>
      <c r="B3202" s="2" t="s">
        <v>832</v>
      </c>
      <c r="C3202" s="2"/>
      <c r="D3202" s="2" t="s">
        <v>1106</v>
      </c>
    </row>
    <row r="3203">
      <c r="A3203" s="8">
        <v>46193.571486608795</v>
      </c>
      <c r="B3203" s="2" t="s">
        <v>991</v>
      </c>
      <c r="C3203" s="2" t="s">
        <v>519</v>
      </c>
      <c r="D3203" s="2" t="s">
        <v>1083</v>
      </c>
    </row>
    <row r="3204">
      <c r="A3204" s="8">
        <v>46193.57149040509</v>
      </c>
      <c r="B3204" s="2" t="s">
        <v>991</v>
      </c>
      <c r="C3204" s="2" t="s">
        <v>607</v>
      </c>
      <c r="D3204" s="2" t="s">
        <v>1055</v>
      </c>
    </row>
    <row r="3205">
      <c r="A3205" s="8">
        <v>46193.57149200232</v>
      </c>
      <c r="B3205" s="2" t="s">
        <v>894</v>
      </c>
      <c r="C3205" s="2"/>
      <c r="D3205" s="2" t="s">
        <v>1078</v>
      </c>
    </row>
    <row r="3206">
      <c r="A3206" s="8">
        <v>46193.61310408565</v>
      </c>
      <c r="B3206" s="2" t="s">
        <v>798</v>
      </c>
      <c r="C3206" s="2" t="s">
        <v>799</v>
      </c>
      <c r="D3206" s="2" t="s">
        <v>800</v>
      </c>
    </row>
    <row r="3207">
      <c r="A3207" s="8">
        <v>46193.613109074075</v>
      </c>
      <c r="B3207" s="2" t="s">
        <v>991</v>
      </c>
      <c r="C3207" s="2" t="s">
        <v>810</v>
      </c>
      <c r="D3207" s="2" t="s">
        <v>1105</v>
      </c>
    </row>
    <row r="3208">
      <c r="A3208" s="8">
        <v>46193.61312871528</v>
      </c>
      <c r="B3208" s="2" t="s">
        <v>832</v>
      </c>
      <c r="C3208" s="2"/>
      <c r="D3208" s="2" t="s">
        <v>1106</v>
      </c>
    </row>
    <row r="3209">
      <c r="A3209" s="8">
        <v>46193.61318717593</v>
      </c>
      <c r="B3209" s="2" t="s">
        <v>991</v>
      </c>
      <c r="C3209" s="2" t="s">
        <v>519</v>
      </c>
      <c r="D3209" s="2" t="s">
        <v>1083</v>
      </c>
    </row>
    <row r="3210">
      <c r="A3210" s="8">
        <v>46193.613193391204</v>
      </c>
      <c r="B3210" s="2" t="s">
        <v>991</v>
      </c>
      <c r="C3210" s="2" t="s">
        <v>607</v>
      </c>
      <c r="D3210" s="2" t="s">
        <v>1055</v>
      </c>
    </row>
    <row r="3211">
      <c r="A3211" s="8">
        <v>46193.61319554398</v>
      </c>
      <c r="B3211" s="2" t="s">
        <v>894</v>
      </c>
      <c r="C3211" s="2"/>
      <c r="D3211" s="2" t="s">
        <v>1078</v>
      </c>
    </row>
    <row r="3212">
      <c r="A3212" s="8">
        <v>46193.6547797338</v>
      </c>
      <c r="B3212" s="2" t="s">
        <v>798</v>
      </c>
      <c r="C3212" s="2" t="s">
        <v>799</v>
      </c>
      <c r="D3212" s="2" t="s">
        <v>800</v>
      </c>
    </row>
    <row r="3213">
      <c r="A3213" s="8">
        <v>46193.65478673611</v>
      </c>
      <c r="B3213" s="2" t="s">
        <v>991</v>
      </c>
      <c r="C3213" s="2" t="s">
        <v>810</v>
      </c>
      <c r="D3213" s="2" t="s">
        <v>1105</v>
      </c>
    </row>
    <row r="3214">
      <c r="A3214" s="8">
        <v>46193.65480251158</v>
      </c>
      <c r="B3214" s="2" t="s">
        <v>832</v>
      </c>
      <c r="C3214" s="2"/>
      <c r="D3214" s="2" t="s">
        <v>1106</v>
      </c>
    </row>
    <row r="3215">
      <c r="A3215" s="8">
        <v>46193.65487237269</v>
      </c>
      <c r="B3215" s="2" t="s">
        <v>991</v>
      </c>
      <c r="C3215" s="2" t="s">
        <v>519</v>
      </c>
      <c r="D3215" s="2" t="s">
        <v>1083</v>
      </c>
    </row>
    <row r="3216">
      <c r="A3216" s="8">
        <v>46193.65487798611</v>
      </c>
      <c r="B3216" s="2" t="s">
        <v>991</v>
      </c>
      <c r="C3216" s="2" t="s">
        <v>607</v>
      </c>
      <c r="D3216" s="2" t="s">
        <v>1055</v>
      </c>
    </row>
    <row r="3217">
      <c r="A3217" s="8">
        <v>46193.654879884256</v>
      </c>
      <c r="B3217" s="2" t="s">
        <v>894</v>
      </c>
      <c r="C3217" s="2"/>
      <c r="D3217" s="2" t="s">
        <v>1078</v>
      </c>
    </row>
    <row r="3218">
      <c r="A3218" s="8">
        <v>46193.69643232639</v>
      </c>
      <c r="B3218" s="2" t="s">
        <v>798</v>
      </c>
      <c r="C3218" s="2" t="s">
        <v>799</v>
      </c>
      <c r="D3218" s="2" t="s">
        <v>800</v>
      </c>
    </row>
    <row r="3219">
      <c r="A3219" s="8">
        <v>46193.69643633102</v>
      </c>
      <c r="B3219" s="2" t="s">
        <v>991</v>
      </c>
      <c r="C3219" s="2" t="s">
        <v>810</v>
      </c>
      <c r="D3219" s="2" t="s">
        <v>1105</v>
      </c>
    </row>
    <row r="3220">
      <c r="A3220" s="8">
        <v>46193.69644047454</v>
      </c>
      <c r="B3220" s="2" t="s">
        <v>832</v>
      </c>
      <c r="C3220" s="2"/>
      <c r="D3220" s="2" t="s">
        <v>1106</v>
      </c>
    </row>
    <row r="3221">
      <c r="A3221" s="8">
        <v>46193.696510625</v>
      </c>
      <c r="B3221" s="2" t="s">
        <v>991</v>
      </c>
      <c r="C3221" s="2" t="s">
        <v>519</v>
      </c>
      <c r="D3221" s="2" t="s">
        <v>1083</v>
      </c>
    </row>
    <row r="3222">
      <c r="A3222" s="8">
        <v>46193.696514386575</v>
      </c>
      <c r="B3222" s="2" t="s">
        <v>991</v>
      </c>
      <c r="C3222" s="2" t="s">
        <v>607</v>
      </c>
      <c r="D3222" s="2" t="s">
        <v>1055</v>
      </c>
    </row>
    <row r="3223">
      <c r="A3223" s="8">
        <v>46193.69651684028</v>
      </c>
      <c r="B3223" s="2" t="s">
        <v>894</v>
      </c>
      <c r="C3223" s="2"/>
      <c r="D3223" s="2" t="s">
        <v>1078</v>
      </c>
    </row>
    <row r="3224">
      <c r="A3224" s="8">
        <v>46193.7381130787</v>
      </c>
      <c r="B3224" s="2" t="s">
        <v>798</v>
      </c>
      <c r="C3224" s="2" t="s">
        <v>799</v>
      </c>
      <c r="D3224" s="2" t="s">
        <v>800</v>
      </c>
    </row>
    <row r="3225">
      <c r="A3225" s="8">
        <v>46193.738116354165</v>
      </c>
      <c r="B3225" s="2" t="s">
        <v>991</v>
      </c>
      <c r="C3225" s="2" t="s">
        <v>810</v>
      </c>
      <c r="D3225" s="2" t="s">
        <v>1105</v>
      </c>
    </row>
    <row r="3226">
      <c r="A3226" s="8">
        <v>46193.73811988426</v>
      </c>
      <c r="B3226" s="2" t="s">
        <v>832</v>
      </c>
      <c r="C3226" s="2"/>
      <c r="D3226" s="2" t="s">
        <v>1106</v>
      </c>
    </row>
    <row r="3227">
      <c r="A3227" s="8">
        <v>46193.738184629634</v>
      </c>
      <c r="B3227" s="2" t="s">
        <v>991</v>
      </c>
      <c r="C3227" s="2" t="s">
        <v>519</v>
      </c>
      <c r="D3227" s="2" t="s">
        <v>1083</v>
      </c>
    </row>
    <row r="3228">
      <c r="A3228" s="8">
        <v>46193.73818871527</v>
      </c>
      <c r="B3228" s="2" t="s">
        <v>991</v>
      </c>
      <c r="C3228" s="2" t="s">
        <v>607</v>
      </c>
      <c r="D3228" s="2" t="s">
        <v>1055</v>
      </c>
    </row>
    <row r="3229">
      <c r="A3229" s="8">
        <v>46193.73819109953</v>
      </c>
      <c r="B3229" s="2" t="s">
        <v>894</v>
      </c>
      <c r="C3229" s="2"/>
      <c r="D3229" s="2" t="s">
        <v>1078</v>
      </c>
    </row>
    <row r="3230">
      <c r="A3230" s="8">
        <v>46193.77225329861</v>
      </c>
      <c r="B3230" s="2" t="s">
        <v>789</v>
      </c>
      <c r="C3230" s="2"/>
      <c r="D3230" s="2" t="s">
        <v>1094</v>
      </c>
    </row>
    <row r="3231">
      <c r="A3231" s="8">
        <v>46193.779758819444</v>
      </c>
      <c r="B3231" s="2" t="s">
        <v>798</v>
      </c>
      <c r="C3231" s="2" t="s">
        <v>799</v>
      </c>
      <c r="D3231" s="2" t="s">
        <v>800</v>
      </c>
    </row>
    <row r="3232">
      <c r="A3232" s="8">
        <v>46193.7797625463</v>
      </c>
      <c r="B3232" s="2" t="s">
        <v>991</v>
      </c>
      <c r="C3232" s="2" t="s">
        <v>810</v>
      </c>
      <c r="D3232" s="2" t="s">
        <v>1105</v>
      </c>
    </row>
    <row r="3233">
      <c r="A3233" s="8">
        <v>46193.77976584491</v>
      </c>
      <c r="B3233" s="2" t="s">
        <v>832</v>
      </c>
      <c r="C3233" s="2"/>
      <c r="D3233" s="2" t="s">
        <v>1106</v>
      </c>
    </row>
    <row r="3234">
      <c r="A3234" s="8">
        <v>46193.779838981485</v>
      </c>
      <c r="B3234" s="2" t="s">
        <v>991</v>
      </c>
      <c r="C3234" s="2" t="s">
        <v>519</v>
      </c>
      <c r="D3234" s="2" t="s">
        <v>1083</v>
      </c>
    </row>
    <row r="3235">
      <c r="A3235" s="8">
        <v>46193.77984231482</v>
      </c>
      <c r="B3235" s="2" t="s">
        <v>991</v>
      </c>
      <c r="C3235" s="2" t="s">
        <v>607</v>
      </c>
      <c r="D3235" s="2" t="s">
        <v>1055</v>
      </c>
    </row>
    <row r="3236">
      <c r="A3236" s="8">
        <v>46193.7798444213</v>
      </c>
      <c r="B3236" s="2" t="s">
        <v>894</v>
      </c>
      <c r="C3236" s="2"/>
      <c r="D3236" s="2" t="s">
        <v>1078</v>
      </c>
    </row>
    <row r="3237">
      <c r="A3237" s="8">
        <v>46193.821440405096</v>
      </c>
      <c r="B3237" s="2" t="s">
        <v>798</v>
      </c>
      <c r="C3237" s="2" t="s">
        <v>799</v>
      </c>
      <c r="D3237" s="2" t="s">
        <v>800</v>
      </c>
    </row>
    <row r="3238">
      <c r="A3238" s="8">
        <v>46193.821444953704</v>
      </c>
      <c r="B3238" s="2" t="s">
        <v>991</v>
      </c>
      <c r="C3238" s="2" t="s">
        <v>810</v>
      </c>
      <c r="D3238" s="2" t="s">
        <v>1105</v>
      </c>
    </row>
    <row r="3239">
      <c r="A3239" s="8">
        <v>46193.821449386574</v>
      </c>
      <c r="B3239" s="2" t="s">
        <v>832</v>
      </c>
      <c r="C3239" s="2"/>
      <c r="D3239" s="2" t="s">
        <v>1106</v>
      </c>
    </row>
    <row r="3240">
      <c r="A3240" s="8">
        <v>46193.82152416666</v>
      </c>
      <c r="B3240" s="2" t="s">
        <v>991</v>
      </c>
      <c r="C3240" s="2" t="s">
        <v>519</v>
      </c>
      <c r="D3240" s="2" t="s">
        <v>1083</v>
      </c>
    </row>
    <row r="3241">
      <c r="A3241" s="8">
        <v>46193.82153097222</v>
      </c>
      <c r="B3241" s="2" t="s">
        <v>991</v>
      </c>
      <c r="C3241" s="2" t="s">
        <v>607</v>
      </c>
      <c r="D3241" s="2" t="s">
        <v>1055</v>
      </c>
    </row>
    <row r="3242">
      <c r="A3242" s="8">
        <v>46193.821533009264</v>
      </c>
      <c r="B3242" s="2" t="s">
        <v>894</v>
      </c>
      <c r="C3242" s="2"/>
      <c r="D3242" s="2" t="s">
        <v>1078</v>
      </c>
    </row>
    <row r="3243">
      <c r="A3243" s="8">
        <v>46193.86314357639</v>
      </c>
      <c r="B3243" s="2" t="s">
        <v>798</v>
      </c>
      <c r="C3243" s="2" t="s">
        <v>799</v>
      </c>
      <c r="D3243" s="2" t="s">
        <v>800</v>
      </c>
    </row>
    <row r="3244">
      <c r="A3244" s="8">
        <v>46193.86314959491</v>
      </c>
      <c r="B3244" s="2" t="s">
        <v>991</v>
      </c>
      <c r="C3244" s="2" t="s">
        <v>810</v>
      </c>
      <c r="D3244" s="2" t="s">
        <v>1105</v>
      </c>
    </row>
    <row r="3245">
      <c r="A3245" s="8">
        <v>46193.86315535879</v>
      </c>
      <c r="B3245" s="2" t="s">
        <v>832</v>
      </c>
      <c r="C3245" s="2"/>
      <c r="D3245" s="2" t="s">
        <v>1106</v>
      </c>
    </row>
    <row r="3246">
      <c r="A3246" s="8">
        <v>46193.86325055556</v>
      </c>
      <c r="B3246" s="2" t="s">
        <v>991</v>
      </c>
      <c r="C3246" s="2" t="s">
        <v>519</v>
      </c>
      <c r="D3246" s="2" t="s">
        <v>1083</v>
      </c>
    </row>
    <row r="3247">
      <c r="A3247" s="8">
        <v>46193.863259143516</v>
      </c>
      <c r="B3247" s="2" t="s">
        <v>991</v>
      </c>
      <c r="C3247" s="2" t="s">
        <v>607</v>
      </c>
      <c r="D3247" s="2" t="s">
        <v>1055</v>
      </c>
    </row>
    <row r="3248">
      <c r="A3248" s="8">
        <v>46193.863261493054</v>
      </c>
      <c r="B3248" s="2" t="s">
        <v>894</v>
      </c>
      <c r="C3248" s="2"/>
      <c r="D3248" s="2" t="s">
        <v>1078</v>
      </c>
    </row>
    <row r="3249">
      <c r="A3249" s="8">
        <v>46193.904770995374</v>
      </c>
      <c r="B3249" s="2" t="s">
        <v>798</v>
      </c>
      <c r="C3249" s="2" t="s">
        <v>799</v>
      </c>
      <c r="D3249" s="2" t="s">
        <v>800</v>
      </c>
    </row>
    <row r="3250">
      <c r="A3250" s="8">
        <v>46193.9047775</v>
      </c>
      <c r="B3250" s="2" t="s">
        <v>991</v>
      </c>
      <c r="C3250" s="2" t="s">
        <v>810</v>
      </c>
      <c r="D3250" s="2" t="s">
        <v>1105</v>
      </c>
    </row>
    <row r="3251">
      <c r="A3251" s="8">
        <v>46193.90478149305</v>
      </c>
      <c r="B3251" s="2" t="s">
        <v>832</v>
      </c>
      <c r="C3251" s="2"/>
      <c r="D3251" s="2" t="s">
        <v>1106</v>
      </c>
    </row>
    <row r="3252">
      <c r="A3252" s="8">
        <v>46193.90485013889</v>
      </c>
      <c r="B3252" s="2" t="s">
        <v>991</v>
      </c>
      <c r="C3252" s="2" t="s">
        <v>519</v>
      </c>
      <c r="D3252" s="2" t="s">
        <v>1083</v>
      </c>
    </row>
    <row r="3253">
      <c r="A3253" s="8">
        <v>46193.90485478009</v>
      </c>
      <c r="B3253" s="2" t="s">
        <v>991</v>
      </c>
      <c r="C3253" s="2" t="s">
        <v>607</v>
      </c>
      <c r="D3253" s="2" t="s">
        <v>1055</v>
      </c>
    </row>
    <row r="3254">
      <c r="A3254" s="8">
        <v>46193.90485716435</v>
      </c>
      <c r="B3254" s="2" t="s">
        <v>894</v>
      </c>
      <c r="C3254" s="2"/>
      <c r="D3254" s="2" t="s">
        <v>1078</v>
      </c>
    </row>
    <row r="3255">
      <c r="A3255" s="8">
        <v>46193.91710276621</v>
      </c>
      <c r="B3255" s="2" t="s">
        <v>863</v>
      </c>
      <c r="C3255" s="2"/>
      <c r="D3255" s="2" t="s">
        <v>1107</v>
      </c>
    </row>
    <row r="3256">
      <c r="A3256" s="8">
        <v>46193.94648087963</v>
      </c>
      <c r="B3256" s="2" t="s">
        <v>798</v>
      </c>
      <c r="C3256" s="2" t="s">
        <v>799</v>
      </c>
      <c r="D3256" s="2" t="s">
        <v>800</v>
      </c>
    </row>
    <row r="3257">
      <c r="A3257" s="8">
        <v>46193.94649260417</v>
      </c>
      <c r="B3257" s="2" t="s">
        <v>991</v>
      </c>
      <c r="C3257" s="2" t="s">
        <v>810</v>
      </c>
      <c r="D3257" s="2" t="s">
        <v>1105</v>
      </c>
    </row>
    <row r="3258">
      <c r="A3258" s="8">
        <v>46193.946508090274</v>
      </c>
      <c r="B3258" s="2" t="s">
        <v>832</v>
      </c>
      <c r="C3258" s="2"/>
      <c r="D3258" s="2" t="s">
        <v>1106</v>
      </c>
    </row>
    <row r="3259">
      <c r="A3259" s="8">
        <v>46193.9466071875</v>
      </c>
      <c r="B3259" s="2" t="s">
        <v>991</v>
      </c>
      <c r="C3259" s="2" t="s">
        <v>519</v>
      </c>
      <c r="D3259" s="2" t="s">
        <v>1083</v>
      </c>
    </row>
    <row r="3260">
      <c r="A3260" s="8">
        <v>46193.946617800924</v>
      </c>
      <c r="B3260" s="2" t="s">
        <v>991</v>
      </c>
      <c r="C3260" s="2" t="s">
        <v>607</v>
      </c>
      <c r="D3260" s="2" t="s">
        <v>1055</v>
      </c>
    </row>
    <row r="3261">
      <c r="A3261" s="8">
        <v>46193.94662202546</v>
      </c>
      <c r="B3261" s="2" t="s">
        <v>894</v>
      </c>
      <c r="C3261" s="2"/>
      <c r="D3261" s="2" t="s">
        <v>1078</v>
      </c>
    </row>
    <row r="3262">
      <c r="A3262" s="8">
        <v>46193.988133252315</v>
      </c>
      <c r="B3262" s="2" t="s">
        <v>798</v>
      </c>
      <c r="C3262" s="2" t="s">
        <v>799</v>
      </c>
      <c r="D3262" s="2" t="s">
        <v>800</v>
      </c>
    </row>
    <row r="3263">
      <c r="A3263" s="8">
        <v>46193.988145995376</v>
      </c>
      <c r="B3263" s="2" t="s">
        <v>991</v>
      </c>
      <c r="C3263" s="2" t="s">
        <v>810</v>
      </c>
      <c r="D3263" s="2" t="s">
        <v>1105</v>
      </c>
    </row>
    <row r="3264">
      <c r="A3264" s="8">
        <v>46193.98816421296</v>
      </c>
      <c r="B3264" s="2" t="s">
        <v>832</v>
      </c>
      <c r="C3264" s="2"/>
      <c r="D3264" s="2" t="s">
        <v>1106</v>
      </c>
    </row>
    <row r="3265">
      <c r="A3265" s="8">
        <v>46193.98825549769</v>
      </c>
      <c r="B3265" s="2" t="s">
        <v>991</v>
      </c>
      <c r="C3265" s="2" t="s">
        <v>519</v>
      </c>
      <c r="D3265" s="2" t="s">
        <v>1083</v>
      </c>
    </row>
    <row r="3266">
      <c r="A3266" s="8">
        <v>46193.98826546296</v>
      </c>
      <c r="B3266" s="2" t="s">
        <v>991</v>
      </c>
      <c r="C3266" s="2" t="s">
        <v>607</v>
      </c>
      <c r="D3266" s="2" t="s">
        <v>1055</v>
      </c>
    </row>
    <row r="3267">
      <c r="A3267" s="8">
        <v>46193.98826893518</v>
      </c>
      <c r="B3267" s="2" t="s">
        <v>894</v>
      </c>
      <c r="C3267" s="2"/>
      <c r="D3267" s="2" t="s">
        <v>1078</v>
      </c>
    </row>
    <row r="3268">
      <c r="A3268" s="8">
        <v>46194.0297853125</v>
      </c>
      <c r="B3268" s="2" t="s">
        <v>798</v>
      </c>
      <c r="C3268" s="2" t="s">
        <v>799</v>
      </c>
      <c r="D3268" s="2" t="s">
        <v>800</v>
      </c>
    </row>
    <row r="3269">
      <c r="A3269" s="8">
        <v>46194.0297909838</v>
      </c>
      <c r="B3269" s="2" t="s">
        <v>991</v>
      </c>
      <c r="C3269" s="2" t="s">
        <v>810</v>
      </c>
      <c r="D3269" s="2" t="s">
        <v>1105</v>
      </c>
    </row>
    <row r="3270">
      <c r="A3270" s="8">
        <v>46194.02979655092</v>
      </c>
      <c r="B3270" s="2" t="s">
        <v>832</v>
      </c>
      <c r="C3270" s="2"/>
      <c r="D3270" s="2" t="s">
        <v>1106</v>
      </c>
    </row>
    <row r="3271">
      <c r="A3271" s="8">
        <v>46194.029879814814</v>
      </c>
      <c r="B3271" s="2" t="s">
        <v>991</v>
      </c>
      <c r="C3271" s="2" t="s">
        <v>519</v>
      </c>
      <c r="D3271" s="2" t="s">
        <v>1083</v>
      </c>
    </row>
    <row r="3272">
      <c r="A3272" s="8">
        <v>46194.02988814814</v>
      </c>
      <c r="B3272" s="2" t="s">
        <v>991</v>
      </c>
      <c r="C3272" s="2" t="s">
        <v>607</v>
      </c>
      <c r="D3272" s="2" t="s">
        <v>1055</v>
      </c>
    </row>
    <row r="3273">
      <c r="A3273" s="8">
        <v>46194.02989175926</v>
      </c>
      <c r="B3273" s="2" t="s">
        <v>894</v>
      </c>
      <c r="C3273" s="2"/>
      <c r="D3273" s="2" t="s">
        <v>1078</v>
      </c>
    </row>
    <row r="3274">
      <c r="A3274" s="8">
        <v>46194.07143402778</v>
      </c>
      <c r="B3274" s="2" t="s">
        <v>798</v>
      </c>
      <c r="C3274" s="2" t="s">
        <v>799</v>
      </c>
      <c r="D3274" s="2" t="s">
        <v>800</v>
      </c>
    </row>
    <row r="3275">
      <c r="A3275" s="8">
        <v>46194.07143930555</v>
      </c>
      <c r="B3275" s="2" t="s">
        <v>991</v>
      </c>
      <c r="C3275" s="2" t="s">
        <v>810</v>
      </c>
      <c r="D3275" s="2" t="s">
        <v>1105</v>
      </c>
    </row>
    <row r="3276">
      <c r="A3276" s="8">
        <v>46194.07144513889</v>
      </c>
      <c r="B3276" s="2" t="s">
        <v>832</v>
      </c>
      <c r="C3276" s="2"/>
      <c r="D3276" s="2" t="s">
        <v>1106</v>
      </c>
    </row>
    <row r="3277">
      <c r="A3277" s="8">
        <v>46194.07151571759</v>
      </c>
      <c r="B3277" s="2" t="s">
        <v>991</v>
      </c>
      <c r="C3277" s="2" t="s">
        <v>519</v>
      </c>
      <c r="D3277" s="2" t="s">
        <v>1083</v>
      </c>
    </row>
    <row r="3278">
      <c r="A3278" s="8">
        <v>46194.071522314815</v>
      </c>
      <c r="B3278" s="2" t="s">
        <v>991</v>
      </c>
      <c r="C3278" s="2" t="s">
        <v>607</v>
      </c>
      <c r="D3278" s="2" t="s">
        <v>1055</v>
      </c>
    </row>
    <row r="3279">
      <c r="A3279" s="8">
        <v>46194.07152520833</v>
      </c>
      <c r="B3279" s="2" t="s">
        <v>894</v>
      </c>
      <c r="C3279" s="2"/>
      <c r="D3279" s="2" t="s">
        <v>1078</v>
      </c>
    </row>
    <row r="3280">
      <c r="A3280" s="8">
        <v>46194.11314638889</v>
      </c>
      <c r="B3280" s="2" t="s">
        <v>798</v>
      </c>
      <c r="C3280" s="2" t="s">
        <v>799</v>
      </c>
      <c r="D3280" s="2" t="s">
        <v>800</v>
      </c>
    </row>
    <row r="3281">
      <c r="A3281" s="8">
        <v>46194.11315626158</v>
      </c>
      <c r="B3281" s="2" t="s">
        <v>991</v>
      </c>
      <c r="C3281" s="2" t="s">
        <v>810</v>
      </c>
      <c r="D3281" s="2" t="s">
        <v>1105</v>
      </c>
    </row>
    <row r="3282">
      <c r="A3282" s="8">
        <v>46194.11316685185</v>
      </c>
      <c r="B3282" s="2" t="s">
        <v>844</v>
      </c>
      <c r="C3282" s="2" t="s">
        <v>818</v>
      </c>
      <c r="D3282" s="2" t="s">
        <v>1002</v>
      </c>
    </row>
    <row r="3283">
      <c r="A3283" s="8">
        <v>46194.11317921296</v>
      </c>
      <c r="B3283" s="2" t="s">
        <v>832</v>
      </c>
      <c r="C3283" s="2"/>
      <c r="D3283" s="2" t="s">
        <v>1109</v>
      </c>
    </row>
    <row r="3284">
      <c r="A3284" s="8">
        <v>46194.113257916666</v>
      </c>
      <c r="B3284" s="2" t="s">
        <v>991</v>
      </c>
      <c r="C3284" s="2" t="s">
        <v>519</v>
      </c>
      <c r="D3284" s="2" t="s">
        <v>1083</v>
      </c>
    </row>
    <row r="3285">
      <c r="A3285" s="8">
        <v>46194.11326601852</v>
      </c>
      <c r="B3285" s="2" t="s">
        <v>991</v>
      </c>
      <c r="C3285" s="2" t="s">
        <v>607</v>
      </c>
      <c r="D3285" s="2" t="s">
        <v>1055</v>
      </c>
    </row>
    <row r="3286">
      <c r="A3286" s="8">
        <v>46194.11326960648</v>
      </c>
      <c r="B3286" s="2" t="s">
        <v>894</v>
      </c>
      <c r="C3286" s="2"/>
      <c r="D3286" s="2" t="s">
        <v>1078</v>
      </c>
    </row>
    <row r="3287">
      <c r="A3287" s="8">
        <v>46194.15481241899</v>
      </c>
      <c r="B3287" s="2" t="s">
        <v>798</v>
      </c>
      <c r="C3287" s="2" t="s">
        <v>799</v>
      </c>
      <c r="D3287" s="2" t="s">
        <v>800</v>
      </c>
    </row>
    <row r="3288">
      <c r="A3288" s="8">
        <v>46194.15482542824</v>
      </c>
      <c r="B3288" s="2" t="s">
        <v>991</v>
      </c>
      <c r="C3288" s="2" t="s">
        <v>810</v>
      </c>
      <c r="D3288" s="2" t="s">
        <v>1105</v>
      </c>
    </row>
    <row r="3289">
      <c r="A3289" s="8">
        <v>46194.154850439816</v>
      </c>
      <c r="B3289" s="2" t="s">
        <v>844</v>
      </c>
      <c r="C3289" s="2" t="s">
        <v>818</v>
      </c>
      <c r="D3289" s="2" t="s">
        <v>850</v>
      </c>
    </row>
    <row r="3290">
      <c r="A3290" s="8">
        <v>46194.15486501157</v>
      </c>
      <c r="B3290" s="2" t="s">
        <v>832</v>
      </c>
      <c r="C3290" s="2"/>
      <c r="D3290" s="2" t="s">
        <v>1109</v>
      </c>
    </row>
    <row r="3291">
      <c r="A3291" s="8">
        <v>46194.154986574074</v>
      </c>
      <c r="B3291" s="2" t="s">
        <v>991</v>
      </c>
      <c r="C3291" s="2" t="s">
        <v>519</v>
      </c>
      <c r="D3291" s="2" t="s">
        <v>1083</v>
      </c>
    </row>
    <row r="3292">
      <c r="A3292" s="8">
        <v>46194.15500537037</v>
      </c>
      <c r="B3292" s="2" t="s">
        <v>991</v>
      </c>
      <c r="C3292" s="2" t="s">
        <v>607</v>
      </c>
      <c r="D3292" s="2" t="s">
        <v>1055</v>
      </c>
    </row>
    <row r="3293">
      <c r="A3293" s="8">
        <v>46194.15501179398</v>
      </c>
      <c r="B3293" s="2" t="s">
        <v>894</v>
      </c>
      <c r="C3293" s="2"/>
      <c r="D3293" s="2" t="s">
        <v>1078</v>
      </c>
    </row>
    <row r="3294">
      <c r="A3294" s="8">
        <v>46194.17424688657</v>
      </c>
      <c r="B3294" s="2" t="s">
        <v>1110</v>
      </c>
      <c r="C3294" s="2"/>
      <c r="D3294" s="2" t="s">
        <v>1111</v>
      </c>
    </row>
    <row r="3295">
      <c r="A3295" s="8">
        <v>46194.1743091088</v>
      </c>
      <c r="B3295" s="2" t="s">
        <v>798</v>
      </c>
      <c r="C3295" s="2" t="s">
        <v>799</v>
      </c>
      <c r="D3295" s="2" t="s">
        <v>800</v>
      </c>
    </row>
    <row r="3296">
      <c r="A3296" s="8">
        <v>46194.174313379626</v>
      </c>
      <c r="B3296" s="2" t="s">
        <v>991</v>
      </c>
      <c r="C3296" s="2" t="s">
        <v>810</v>
      </c>
      <c r="D3296" s="2" t="s">
        <v>1105</v>
      </c>
    </row>
    <row r="3297">
      <c r="A3297" s="8">
        <v>46194.174317199075</v>
      </c>
      <c r="B3297" s="2" t="s">
        <v>832</v>
      </c>
      <c r="C3297" s="2"/>
      <c r="D3297" s="2" t="s">
        <v>1106</v>
      </c>
    </row>
    <row r="3298">
      <c r="A3298" s="8">
        <v>46194.17438142361</v>
      </c>
      <c r="B3298" s="2" t="s">
        <v>991</v>
      </c>
      <c r="C3298" s="2" t="s">
        <v>519</v>
      </c>
      <c r="D3298" s="2" t="s">
        <v>1083</v>
      </c>
    </row>
    <row r="3299">
      <c r="A3299" s="8">
        <v>46194.174387129635</v>
      </c>
      <c r="B3299" s="2" t="s">
        <v>991</v>
      </c>
      <c r="C3299" s="2" t="s">
        <v>607</v>
      </c>
      <c r="D3299" s="2" t="s">
        <v>1055</v>
      </c>
    </row>
    <row r="3300">
      <c r="A3300" s="8">
        <v>46194.17439378472</v>
      </c>
      <c r="B3300" s="2" t="s">
        <v>844</v>
      </c>
      <c r="C3300" s="2" t="s">
        <v>692</v>
      </c>
      <c r="D3300" s="2" t="s">
        <v>1093</v>
      </c>
    </row>
    <row r="3301">
      <c r="A3301" s="8">
        <v>46194.17440599537</v>
      </c>
      <c r="B3301" s="2" t="s">
        <v>844</v>
      </c>
      <c r="C3301" s="2" t="s">
        <v>702</v>
      </c>
      <c r="D3301" s="2" t="s">
        <v>1112</v>
      </c>
    </row>
    <row r="3302">
      <c r="A3302" s="8">
        <v>46194.174410520834</v>
      </c>
      <c r="B3302" s="2" t="s">
        <v>894</v>
      </c>
      <c r="C3302" s="2"/>
      <c r="D3302" s="2" t="s">
        <v>1103</v>
      </c>
    </row>
    <row r="3303">
      <c r="A3303" s="8">
        <v>46194.19643094907</v>
      </c>
      <c r="B3303" s="2" t="s">
        <v>798</v>
      </c>
      <c r="C3303" s="2" t="s">
        <v>799</v>
      </c>
      <c r="D3303" s="2" t="s">
        <v>800</v>
      </c>
    </row>
    <row r="3304">
      <c r="A3304" s="8">
        <v>46194.19643449074</v>
      </c>
      <c r="B3304" s="2" t="s">
        <v>991</v>
      </c>
      <c r="C3304" s="2" t="s">
        <v>810</v>
      </c>
      <c r="D3304" s="2" t="s">
        <v>1105</v>
      </c>
    </row>
    <row r="3305">
      <c r="A3305" s="8">
        <v>46194.196437962964</v>
      </c>
      <c r="B3305" s="2" t="s">
        <v>832</v>
      </c>
      <c r="C3305" s="2"/>
      <c r="D3305" s="2" t="s">
        <v>1106</v>
      </c>
    </row>
    <row r="3306">
      <c r="A3306" s="8">
        <v>46194.196510486116</v>
      </c>
      <c r="B3306" s="2" t="s">
        <v>991</v>
      </c>
      <c r="C3306" s="2" t="s">
        <v>519</v>
      </c>
      <c r="D3306" s="2" t="s">
        <v>1083</v>
      </c>
    </row>
    <row r="3307">
      <c r="A3307" s="8">
        <v>46194.196514490744</v>
      </c>
      <c r="B3307" s="2" t="s">
        <v>991</v>
      </c>
      <c r="C3307" s="2" t="s">
        <v>607</v>
      </c>
      <c r="D3307" s="2" t="s">
        <v>1055</v>
      </c>
    </row>
    <row r="3308">
      <c r="A3308" s="8">
        <v>46194.196521087964</v>
      </c>
      <c r="B3308" s="2" t="s">
        <v>844</v>
      </c>
      <c r="C3308" s="2" t="s">
        <v>692</v>
      </c>
      <c r="D3308" s="2" t="s">
        <v>1088</v>
      </c>
    </row>
    <row r="3309">
      <c r="A3309" s="8">
        <v>46194.1965311574</v>
      </c>
      <c r="B3309" s="2" t="s">
        <v>844</v>
      </c>
      <c r="C3309" s="2" t="s">
        <v>702</v>
      </c>
      <c r="D3309" s="2" t="s">
        <v>1113</v>
      </c>
    </row>
    <row r="3310">
      <c r="A3310" s="8">
        <v>46194.19653596065</v>
      </c>
      <c r="B3310" s="2" t="s">
        <v>894</v>
      </c>
      <c r="C3310" s="2"/>
      <c r="D3310" s="2" t="s">
        <v>1103</v>
      </c>
    </row>
    <row r="3311">
      <c r="A3311" s="8">
        <v>46194.23810482639</v>
      </c>
      <c r="B3311" s="2" t="s">
        <v>798</v>
      </c>
      <c r="C3311" s="2" t="s">
        <v>799</v>
      </c>
      <c r="D3311" s="2" t="s">
        <v>800</v>
      </c>
    </row>
    <row r="3312">
      <c r="A3312" s="8">
        <v>46194.23811060185</v>
      </c>
      <c r="B3312" s="2" t="s">
        <v>991</v>
      </c>
      <c r="C3312" s="2" t="s">
        <v>810</v>
      </c>
      <c r="D3312" s="2" t="s">
        <v>1105</v>
      </c>
    </row>
    <row r="3313">
      <c r="A3313" s="8">
        <v>46194.238115671295</v>
      </c>
      <c r="B3313" s="2" t="s">
        <v>832</v>
      </c>
      <c r="C3313" s="2"/>
      <c r="D3313" s="2" t="s">
        <v>1106</v>
      </c>
    </row>
    <row r="3314">
      <c r="A3314" s="8">
        <v>46194.23819310185</v>
      </c>
      <c r="B3314" s="2" t="s">
        <v>991</v>
      </c>
      <c r="C3314" s="2" t="s">
        <v>519</v>
      </c>
      <c r="D3314" s="2" t="s">
        <v>1083</v>
      </c>
    </row>
    <row r="3315">
      <c r="A3315" s="8">
        <v>46194.23820003472</v>
      </c>
      <c r="B3315" s="2" t="s">
        <v>991</v>
      </c>
      <c r="C3315" s="2" t="s">
        <v>607</v>
      </c>
      <c r="D3315" s="2" t="s">
        <v>1055</v>
      </c>
    </row>
    <row r="3316">
      <c r="A3316" s="8">
        <v>46194.23820302083</v>
      </c>
      <c r="B3316" s="2" t="s">
        <v>894</v>
      </c>
      <c r="C3316" s="2"/>
      <c r="D3316" s="2" t="s">
        <v>1078</v>
      </c>
    </row>
    <row r="3317">
      <c r="A3317" s="8">
        <v>46194.2798290162</v>
      </c>
      <c r="B3317" s="2" t="s">
        <v>798</v>
      </c>
      <c r="C3317" s="2" t="s">
        <v>799</v>
      </c>
      <c r="D3317" s="2" t="s">
        <v>800</v>
      </c>
    </row>
    <row r="3318">
      <c r="A3318" s="8">
        <v>46194.279840324074</v>
      </c>
      <c r="B3318" s="2" t="s">
        <v>991</v>
      </c>
      <c r="C3318" s="2" t="s">
        <v>810</v>
      </c>
      <c r="D3318" s="2" t="s">
        <v>1105</v>
      </c>
    </row>
    <row r="3319">
      <c r="A3319" s="8">
        <v>46194.2798621875</v>
      </c>
      <c r="B3319" s="2" t="s">
        <v>832</v>
      </c>
      <c r="C3319" s="2"/>
      <c r="D3319" s="2" t="s">
        <v>1106</v>
      </c>
    </row>
    <row r="3320">
      <c r="A3320" s="8">
        <v>46194.27995626157</v>
      </c>
      <c r="B3320" s="2" t="s">
        <v>991</v>
      </c>
      <c r="C3320" s="2" t="s">
        <v>519</v>
      </c>
      <c r="D3320" s="2" t="s">
        <v>1083</v>
      </c>
    </row>
    <row r="3321">
      <c r="A3321" s="8">
        <v>46194.27998259259</v>
      </c>
      <c r="B3321" s="2" t="s">
        <v>991</v>
      </c>
      <c r="C3321" s="2" t="s">
        <v>607</v>
      </c>
      <c r="D3321" s="2" t="s">
        <v>1055</v>
      </c>
    </row>
    <row r="3322">
      <c r="A3322" s="8">
        <v>46194.27999539352</v>
      </c>
      <c r="B3322" s="2" t="s">
        <v>894</v>
      </c>
      <c r="C3322" s="2"/>
      <c r="D3322" s="2" t="s">
        <v>1078</v>
      </c>
    </row>
    <row r="3323">
      <c r="A3323" s="8">
        <v>46194.32143372685</v>
      </c>
      <c r="B3323" s="2" t="s">
        <v>798</v>
      </c>
      <c r="C3323" s="2" t="s">
        <v>799</v>
      </c>
      <c r="D3323" s="2" t="s">
        <v>800</v>
      </c>
    </row>
    <row r="3324">
      <c r="A3324" s="8">
        <v>46194.321443611116</v>
      </c>
      <c r="B3324" s="2" t="s">
        <v>991</v>
      </c>
      <c r="C3324" s="2" t="s">
        <v>810</v>
      </c>
      <c r="D3324" s="2" t="s">
        <v>1105</v>
      </c>
    </row>
    <row r="3325">
      <c r="A3325" s="8">
        <v>46194.321448194445</v>
      </c>
      <c r="B3325" s="2" t="s">
        <v>832</v>
      </c>
      <c r="C3325" s="2"/>
      <c r="D3325" s="2" t="s">
        <v>1106</v>
      </c>
    </row>
    <row r="3326">
      <c r="A3326" s="8">
        <v>46194.32151982639</v>
      </c>
      <c r="B3326" s="2" t="s">
        <v>991</v>
      </c>
      <c r="C3326" s="2" t="s">
        <v>519</v>
      </c>
      <c r="D3326" s="2" t="s">
        <v>1083</v>
      </c>
    </row>
    <row r="3327">
      <c r="A3327" s="8">
        <v>46194.32152561343</v>
      </c>
      <c r="B3327" s="2" t="s">
        <v>991</v>
      </c>
      <c r="C3327" s="2" t="s">
        <v>607</v>
      </c>
      <c r="D3327" s="2" t="s">
        <v>1055</v>
      </c>
    </row>
    <row r="3328">
      <c r="A3328" s="8">
        <v>46194.32152745371</v>
      </c>
      <c r="B3328" s="2" t="s">
        <v>894</v>
      </c>
      <c r="C3328" s="2"/>
      <c r="D3328" s="2" t="s">
        <v>1078</v>
      </c>
    </row>
    <row r="3329">
      <c r="A3329" s="8">
        <v>46194.36310613426</v>
      </c>
      <c r="B3329" s="2" t="s">
        <v>798</v>
      </c>
      <c r="C3329" s="2" t="s">
        <v>799</v>
      </c>
      <c r="D3329" s="2" t="s">
        <v>800</v>
      </c>
    </row>
    <row r="3330">
      <c r="A3330" s="8">
        <v>46194.36311209491</v>
      </c>
      <c r="B3330" s="2" t="s">
        <v>991</v>
      </c>
      <c r="C3330" s="2" t="s">
        <v>810</v>
      </c>
      <c r="D3330" s="2" t="s">
        <v>1105</v>
      </c>
    </row>
    <row r="3331">
      <c r="A3331" s="8">
        <v>46194.36311849537</v>
      </c>
      <c r="B3331" s="2" t="s">
        <v>832</v>
      </c>
      <c r="C3331" s="2"/>
      <c r="D3331" s="2" t="s">
        <v>1106</v>
      </c>
    </row>
    <row r="3332">
      <c r="A3332" s="8">
        <v>46194.36320122685</v>
      </c>
      <c r="B3332" s="2" t="s">
        <v>991</v>
      </c>
      <c r="C3332" s="2" t="s">
        <v>519</v>
      </c>
      <c r="D3332" s="2" t="s">
        <v>1083</v>
      </c>
    </row>
    <row r="3333">
      <c r="A3333" s="8">
        <v>46194.363207835646</v>
      </c>
      <c r="B3333" s="2" t="s">
        <v>991</v>
      </c>
      <c r="C3333" s="2" t="s">
        <v>607</v>
      </c>
      <c r="D3333" s="2" t="s">
        <v>1055</v>
      </c>
    </row>
    <row r="3334">
      <c r="A3334" s="8">
        <v>46194.363211620366</v>
      </c>
      <c r="B3334" s="2" t="s">
        <v>894</v>
      </c>
      <c r="C3334" s="2"/>
      <c r="D3334" s="2" t="s">
        <v>1078</v>
      </c>
    </row>
    <row r="3335">
      <c r="A3335" s="8">
        <v>46194.40478565972</v>
      </c>
      <c r="B3335" s="2" t="s">
        <v>798</v>
      </c>
      <c r="C3335" s="2" t="s">
        <v>799</v>
      </c>
      <c r="D3335" s="2" t="s">
        <v>800</v>
      </c>
    </row>
    <row r="3336">
      <c r="A3336" s="8">
        <v>46194.40479353009</v>
      </c>
      <c r="B3336" s="2" t="s">
        <v>991</v>
      </c>
      <c r="C3336" s="2" t="s">
        <v>810</v>
      </c>
      <c r="D3336" s="2" t="s">
        <v>1105</v>
      </c>
    </row>
    <row r="3337">
      <c r="A3337" s="8">
        <v>46194.4047996875</v>
      </c>
      <c r="B3337" s="2" t="s">
        <v>832</v>
      </c>
      <c r="C3337" s="2"/>
      <c r="D3337" s="2" t="s">
        <v>1106</v>
      </c>
    </row>
    <row r="3338">
      <c r="A3338" s="8">
        <v>46194.40487731481</v>
      </c>
      <c r="B3338" s="2" t="s">
        <v>991</v>
      </c>
      <c r="C3338" s="2" t="s">
        <v>519</v>
      </c>
      <c r="D3338" s="2" t="s">
        <v>1083</v>
      </c>
    </row>
    <row r="3339">
      <c r="A3339" s="8">
        <v>46194.404881608796</v>
      </c>
      <c r="B3339" s="2" t="s">
        <v>991</v>
      </c>
      <c r="C3339" s="2" t="s">
        <v>607</v>
      </c>
      <c r="D3339" s="2" t="s">
        <v>1055</v>
      </c>
    </row>
    <row r="3340">
      <c r="A3340" s="8">
        <v>46194.40488482639</v>
      </c>
      <c r="B3340" s="2" t="s">
        <v>894</v>
      </c>
      <c r="C3340" s="2"/>
      <c r="D3340" s="2" t="s">
        <v>1114</v>
      </c>
    </row>
    <row r="3341">
      <c r="A3341" s="8">
        <v>46194.446489560185</v>
      </c>
      <c r="B3341" s="2" t="s">
        <v>798</v>
      </c>
      <c r="C3341" s="2" t="s">
        <v>799</v>
      </c>
      <c r="D3341" s="2" t="s">
        <v>800</v>
      </c>
    </row>
    <row r="3342">
      <c r="A3342" s="8">
        <v>46194.446495682874</v>
      </c>
      <c r="B3342" s="2" t="s">
        <v>991</v>
      </c>
      <c r="C3342" s="2" t="s">
        <v>810</v>
      </c>
      <c r="D3342" s="2" t="s">
        <v>1105</v>
      </c>
    </row>
    <row r="3343">
      <c r="A3343" s="8">
        <v>46194.44650733796</v>
      </c>
      <c r="B3343" s="2" t="s">
        <v>991</v>
      </c>
      <c r="C3343" s="2" t="s">
        <v>826</v>
      </c>
      <c r="D3343" s="2" t="s">
        <v>1115</v>
      </c>
    </row>
    <row r="3344">
      <c r="A3344" s="8">
        <v>46194.446518599536</v>
      </c>
      <c r="B3344" s="2" t="s">
        <v>832</v>
      </c>
      <c r="C3344" s="2"/>
      <c r="D3344" s="2" t="s">
        <v>1116</v>
      </c>
    </row>
    <row r="3345">
      <c r="A3345" s="8">
        <v>46194.44659075231</v>
      </c>
      <c r="B3345" s="2" t="s">
        <v>991</v>
      </c>
      <c r="C3345" s="2" t="s">
        <v>519</v>
      </c>
      <c r="D3345" s="2" t="s">
        <v>1083</v>
      </c>
    </row>
    <row r="3346">
      <c r="A3346" s="8">
        <v>46194.44659755787</v>
      </c>
      <c r="B3346" s="2" t="s">
        <v>991</v>
      </c>
      <c r="C3346" s="2" t="s">
        <v>607</v>
      </c>
      <c r="D3346" s="2" t="s">
        <v>1055</v>
      </c>
    </row>
    <row r="3347">
      <c r="A3347" s="8">
        <v>46194.446600995376</v>
      </c>
      <c r="B3347" s="2" t="s">
        <v>894</v>
      </c>
      <c r="C3347" s="2"/>
      <c r="D3347" s="2" t="s">
        <v>1114</v>
      </c>
    </row>
    <row r="3348">
      <c r="A3348" s="8">
        <v>46194.488110509265</v>
      </c>
      <c r="B3348" s="2" t="s">
        <v>798</v>
      </c>
      <c r="C3348" s="2" t="s">
        <v>799</v>
      </c>
      <c r="D3348" s="2" t="s">
        <v>800</v>
      </c>
    </row>
    <row r="3349">
      <c r="A3349" s="8">
        <v>46194.48811655093</v>
      </c>
      <c r="B3349" s="2" t="s">
        <v>991</v>
      </c>
      <c r="C3349" s="2" t="s">
        <v>810</v>
      </c>
      <c r="D3349" s="2" t="s">
        <v>1105</v>
      </c>
    </row>
    <row r="3350">
      <c r="A3350" s="8">
        <v>46194.488123020834</v>
      </c>
      <c r="B3350" s="2" t="s">
        <v>832</v>
      </c>
      <c r="C3350" s="2"/>
      <c r="D3350" s="2" t="s">
        <v>1106</v>
      </c>
    </row>
    <row r="3351">
      <c r="A3351" s="8">
        <v>46194.488237453705</v>
      </c>
      <c r="B3351" s="2" t="s">
        <v>991</v>
      </c>
      <c r="C3351" s="2" t="s">
        <v>519</v>
      </c>
      <c r="D3351" s="2" t="s">
        <v>1083</v>
      </c>
    </row>
    <row r="3352">
      <c r="A3352" s="8">
        <v>46194.4882428125</v>
      </c>
      <c r="B3352" s="2" t="s">
        <v>991</v>
      </c>
      <c r="C3352" s="2" t="s">
        <v>607</v>
      </c>
      <c r="D3352" s="2" t="s">
        <v>1055</v>
      </c>
    </row>
    <row r="3353">
      <c r="A3353" s="8">
        <v>46194.488245914356</v>
      </c>
      <c r="B3353" s="2" t="s">
        <v>894</v>
      </c>
      <c r="C3353" s="2"/>
      <c r="D3353" s="2" t="s">
        <v>1114</v>
      </c>
    </row>
    <row r="3354">
      <c r="A3354" s="8">
        <v>46194.52977299769</v>
      </c>
      <c r="B3354" s="2" t="s">
        <v>844</v>
      </c>
      <c r="C3354" s="2" t="s">
        <v>1117</v>
      </c>
      <c r="D3354" s="2" t="s">
        <v>1085</v>
      </c>
    </row>
    <row r="3355">
      <c r="A3355" s="8">
        <v>46194.52977814815</v>
      </c>
      <c r="B3355" s="2" t="s">
        <v>798</v>
      </c>
      <c r="C3355" s="2" t="s">
        <v>799</v>
      </c>
      <c r="D3355" s="2" t="s">
        <v>800</v>
      </c>
    </row>
    <row r="3356">
      <c r="A3356" s="8">
        <v>46194.52980150463</v>
      </c>
      <c r="B3356" s="2" t="s">
        <v>991</v>
      </c>
      <c r="C3356" s="2" t="s">
        <v>810</v>
      </c>
      <c r="D3356" s="2" t="s">
        <v>1105</v>
      </c>
    </row>
    <row r="3357">
      <c r="A3357" s="8">
        <v>46194.52980549769</v>
      </c>
      <c r="B3357" s="2" t="s">
        <v>832</v>
      </c>
      <c r="C3357" s="2"/>
      <c r="D3357" s="2" t="s">
        <v>1109</v>
      </c>
    </row>
    <row r="3358">
      <c r="A3358" s="8">
        <v>46194.52986738426</v>
      </c>
      <c r="B3358" s="2" t="s">
        <v>991</v>
      </c>
      <c r="C3358" s="2" t="s">
        <v>519</v>
      </c>
      <c r="D3358" s="2" t="s">
        <v>1083</v>
      </c>
    </row>
    <row r="3359">
      <c r="A3359" s="8">
        <v>46194.529871875</v>
      </c>
      <c r="B3359" s="2" t="s">
        <v>991</v>
      </c>
      <c r="C3359" s="2" t="s">
        <v>607</v>
      </c>
      <c r="D3359" s="2" t="s">
        <v>1055</v>
      </c>
    </row>
    <row r="3360">
      <c r="A3360" s="8">
        <v>46194.52987407407</v>
      </c>
      <c r="B3360" s="2" t="s">
        <v>894</v>
      </c>
      <c r="C3360" s="2"/>
      <c r="D3360" s="2" t="s">
        <v>1114</v>
      </c>
    </row>
    <row r="3361">
      <c r="A3361" s="8">
        <v>46194.57143622685</v>
      </c>
      <c r="B3361" s="2" t="s">
        <v>798</v>
      </c>
      <c r="C3361" s="2" t="s">
        <v>799</v>
      </c>
      <c r="D3361" s="2" t="s">
        <v>800</v>
      </c>
    </row>
    <row r="3362">
      <c r="A3362" s="8">
        <v>46194.57144251157</v>
      </c>
      <c r="B3362" s="2" t="s">
        <v>991</v>
      </c>
      <c r="C3362" s="2" t="s">
        <v>810</v>
      </c>
      <c r="D3362" s="2" t="s">
        <v>1105</v>
      </c>
    </row>
    <row r="3363">
      <c r="A3363" s="8">
        <v>46194.57144833333</v>
      </c>
      <c r="B3363" s="2" t="s">
        <v>832</v>
      </c>
      <c r="C3363" s="2"/>
      <c r="D3363" s="2" t="s">
        <v>1106</v>
      </c>
    </row>
    <row r="3364">
      <c r="A3364" s="8">
        <v>46194.57152449074</v>
      </c>
      <c r="B3364" s="2" t="s">
        <v>991</v>
      </c>
      <c r="C3364" s="2" t="s">
        <v>519</v>
      </c>
      <c r="D3364" s="2" t="s">
        <v>1083</v>
      </c>
    </row>
    <row r="3365">
      <c r="A3365" s="8">
        <v>46194.571529768524</v>
      </c>
      <c r="B3365" s="2" t="s">
        <v>991</v>
      </c>
      <c r="C3365" s="2" t="s">
        <v>607</v>
      </c>
      <c r="D3365" s="2" t="s">
        <v>1055</v>
      </c>
    </row>
    <row r="3366">
      <c r="A3366" s="8">
        <v>46194.571536574076</v>
      </c>
      <c r="B3366" s="2" t="s">
        <v>844</v>
      </c>
      <c r="C3366" s="2" t="s">
        <v>692</v>
      </c>
      <c r="D3366" s="2" t="s">
        <v>1093</v>
      </c>
    </row>
    <row r="3367">
      <c r="A3367" s="8">
        <v>46194.57154576389</v>
      </c>
      <c r="B3367" s="2" t="s">
        <v>844</v>
      </c>
      <c r="C3367" s="2" t="s">
        <v>702</v>
      </c>
      <c r="D3367" s="2" t="s">
        <v>1112</v>
      </c>
    </row>
    <row r="3368">
      <c r="A3368" s="8">
        <v>46194.57155085648</v>
      </c>
      <c r="B3368" s="2" t="s">
        <v>894</v>
      </c>
      <c r="C3368" s="2"/>
      <c r="D3368" s="2" t="s">
        <v>1118</v>
      </c>
    </row>
    <row r="3369">
      <c r="A3369" s="8">
        <v>46194.613102256946</v>
      </c>
      <c r="B3369" s="2" t="s">
        <v>844</v>
      </c>
      <c r="C3369" s="2" t="s">
        <v>794</v>
      </c>
      <c r="D3369" s="2" t="s">
        <v>850</v>
      </c>
    </row>
    <row r="3370">
      <c r="A3370" s="8">
        <v>46194.61310797454</v>
      </c>
      <c r="B3370" s="2" t="s">
        <v>798</v>
      </c>
      <c r="C3370" s="2" t="s">
        <v>799</v>
      </c>
      <c r="D3370" s="2" t="s">
        <v>800</v>
      </c>
    </row>
    <row r="3371">
      <c r="A3371" s="8">
        <v>46194.61311304398</v>
      </c>
      <c r="B3371" s="2" t="s">
        <v>991</v>
      </c>
      <c r="C3371" s="2" t="s">
        <v>810</v>
      </c>
      <c r="D3371" s="2" t="s">
        <v>1105</v>
      </c>
    </row>
    <row r="3372">
      <c r="A3372" s="8">
        <v>46194.61312818287</v>
      </c>
      <c r="B3372" s="2" t="s">
        <v>832</v>
      </c>
      <c r="C3372" s="2"/>
      <c r="D3372" s="2" t="s">
        <v>1109</v>
      </c>
    </row>
    <row r="3373">
      <c r="A3373" s="8">
        <v>46194.61319043981</v>
      </c>
      <c r="B3373" s="2" t="s">
        <v>991</v>
      </c>
      <c r="C3373" s="2" t="s">
        <v>519</v>
      </c>
      <c r="D3373" s="2" t="s">
        <v>1083</v>
      </c>
    </row>
    <row r="3374">
      <c r="A3374" s="8">
        <v>46194.613195659724</v>
      </c>
      <c r="B3374" s="2" t="s">
        <v>991</v>
      </c>
      <c r="C3374" s="2" t="s">
        <v>607</v>
      </c>
      <c r="D3374" s="2" t="s">
        <v>1055</v>
      </c>
    </row>
    <row r="3375">
      <c r="A3375" s="8">
        <v>46194.61320280093</v>
      </c>
      <c r="B3375" s="2" t="s">
        <v>844</v>
      </c>
      <c r="C3375" s="2" t="s">
        <v>692</v>
      </c>
      <c r="D3375" s="2" t="s">
        <v>1119</v>
      </c>
    </row>
    <row r="3376">
      <c r="A3376" s="8">
        <v>46194.61321135417</v>
      </c>
      <c r="B3376" s="2" t="s">
        <v>844</v>
      </c>
      <c r="C3376" s="2" t="s">
        <v>702</v>
      </c>
      <c r="D3376" s="2" t="s">
        <v>1120</v>
      </c>
    </row>
    <row r="3377">
      <c r="A3377" s="8">
        <v>46194.61321646991</v>
      </c>
      <c r="B3377" s="2" t="s">
        <v>894</v>
      </c>
      <c r="C3377" s="2"/>
      <c r="D3377" s="2" t="s">
        <v>1118</v>
      </c>
    </row>
    <row r="3378">
      <c r="A3378" s="8">
        <v>46194.65476942129</v>
      </c>
      <c r="B3378" s="2" t="s">
        <v>798</v>
      </c>
      <c r="C3378" s="2" t="s">
        <v>799</v>
      </c>
      <c r="D3378" s="2" t="s">
        <v>800</v>
      </c>
    </row>
    <row r="3379">
      <c r="A3379" s="8">
        <v>46194.65477326389</v>
      </c>
      <c r="B3379" s="2" t="s">
        <v>991</v>
      </c>
      <c r="C3379" s="2" t="s">
        <v>810</v>
      </c>
      <c r="D3379" s="2" t="s">
        <v>1105</v>
      </c>
    </row>
    <row r="3380">
      <c r="A3380" s="8">
        <v>46194.65477704861</v>
      </c>
      <c r="B3380" s="2" t="s">
        <v>832</v>
      </c>
      <c r="C3380" s="2"/>
      <c r="D3380" s="2" t="s">
        <v>1106</v>
      </c>
    </row>
    <row r="3381">
      <c r="A3381" s="8">
        <v>46194.65487734954</v>
      </c>
      <c r="B3381" s="2" t="s">
        <v>991</v>
      </c>
      <c r="C3381" s="2" t="s">
        <v>519</v>
      </c>
      <c r="D3381" s="2" t="s">
        <v>1083</v>
      </c>
    </row>
    <row r="3382">
      <c r="A3382" s="8">
        <v>46194.65488184028</v>
      </c>
      <c r="B3382" s="2" t="s">
        <v>991</v>
      </c>
      <c r="C3382" s="2" t="s">
        <v>607</v>
      </c>
      <c r="D3382" s="2" t="s">
        <v>1055</v>
      </c>
    </row>
    <row r="3383">
      <c r="A3383" s="8">
        <v>46194.65488472222</v>
      </c>
      <c r="B3383" s="2" t="s">
        <v>894</v>
      </c>
      <c r="C3383" s="2"/>
      <c r="D3383" s="2" t="s">
        <v>1114</v>
      </c>
    </row>
    <row r="3384">
      <c r="A3384" s="8">
        <v>46194.69645163194</v>
      </c>
      <c r="B3384" s="2" t="s">
        <v>798</v>
      </c>
      <c r="C3384" s="2" t="s">
        <v>799</v>
      </c>
      <c r="D3384" s="2" t="s">
        <v>800</v>
      </c>
    </row>
    <row r="3385">
      <c r="A3385" s="8">
        <v>46194.696456770835</v>
      </c>
      <c r="B3385" s="2" t="s">
        <v>991</v>
      </c>
      <c r="C3385" s="2" t="s">
        <v>810</v>
      </c>
      <c r="D3385" s="2" t="s">
        <v>1105</v>
      </c>
    </row>
    <row r="3386">
      <c r="A3386" s="8">
        <v>46194.6964631713</v>
      </c>
      <c r="B3386" s="2" t="s">
        <v>832</v>
      </c>
      <c r="C3386" s="2"/>
      <c r="D3386" s="2" t="s">
        <v>1106</v>
      </c>
    </row>
    <row r="3387">
      <c r="A3387" s="8">
        <v>46194.69655665509</v>
      </c>
      <c r="B3387" s="2" t="s">
        <v>991</v>
      </c>
      <c r="C3387" s="2" t="s">
        <v>519</v>
      </c>
      <c r="D3387" s="2" t="s">
        <v>1083</v>
      </c>
    </row>
    <row r="3388">
      <c r="A3388" s="8">
        <v>46194.69656516204</v>
      </c>
      <c r="B3388" s="2" t="s">
        <v>991</v>
      </c>
      <c r="C3388" s="2" t="s">
        <v>607</v>
      </c>
      <c r="D3388" s="2" t="s">
        <v>1055</v>
      </c>
    </row>
    <row r="3389">
      <c r="A3389" s="8">
        <v>46194.69656842593</v>
      </c>
      <c r="B3389" s="2" t="s">
        <v>894</v>
      </c>
      <c r="C3389" s="2"/>
      <c r="D3389" s="2" t="s">
        <v>1114</v>
      </c>
    </row>
    <row r="3390">
      <c r="A3390" s="8">
        <v>46194.738127847224</v>
      </c>
      <c r="B3390" s="2" t="s">
        <v>798</v>
      </c>
      <c r="C3390" s="2" t="s">
        <v>799</v>
      </c>
      <c r="D3390" s="2" t="s">
        <v>800</v>
      </c>
    </row>
    <row r="3391">
      <c r="A3391" s="8">
        <v>46194.73813780093</v>
      </c>
      <c r="B3391" s="2" t="s">
        <v>991</v>
      </c>
      <c r="C3391" s="2" t="s">
        <v>810</v>
      </c>
      <c r="D3391" s="2" t="s">
        <v>1105</v>
      </c>
    </row>
    <row r="3392">
      <c r="A3392" s="8">
        <v>46194.7381603588</v>
      </c>
      <c r="B3392" s="2" t="s">
        <v>832</v>
      </c>
      <c r="C3392" s="2"/>
      <c r="D3392" s="2" t="s">
        <v>1106</v>
      </c>
    </row>
    <row r="3393">
      <c r="A3393" s="8">
        <v>46194.738265949076</v>
      </c>
      <c r="B3393" s="2" t="s">
        <v>991</v>
      </c>
      <c r="C3393" s="2" t="s">
        <v>519</v>
      </c>
      <c r="D3393" s="2" t="s">
        <v>1083</v>
      </c>
    </row>
    <row r="3394">
      <c r="A3394" s="8">
        <v>46194.73827667824</v>
      </c>
      <c r="B3394" s="2" t="s">
        <v>991</v>
      </c>
      <c r="C3394" s="2" t="s">
        <v>607</v>
      </c>
      <c r="D3394" s="2" t="s">
        <v>1055</v>
      </c>
    </row>
    <row r="3395">
      <c r="A3395" s="8">
        <v>46194.738280833335</v>
      </c>
      <c r="B3395" s="2" t="s">
        <v>894</v>
      </c>
      <c r="C3395" s="2"/>
      <c r="D3395" s="2" t="s">
        <v>1114</v>
      </c>
    </row>
    <row r="3396">
      <c r="A3396" s="8">
        <v>46194.772257372686</v>
      </c>
      <c r="B3396" s="2" t="s">
        <v>789</v>
      </c>
      <c r="C3396" s="2"/>
      <c r="D3396" s="2" t="s">
        <v>1094</v>
      </c>
    </row>
    <row r="3397">
      <c r="A3397" s="8">
        <v>46194.779774236114</v>
      </c>
      <c r="B3397" s="2" t="s">
        <v>798</v>
      </c>
      <c r="C3397" s="2" t="s">
        <v>799</v>
      </c>
      <c r="D3397" s="2" t="s">
        <v>800</v>
      </c>
    </row>
    <row r="3398">
      <c r="A3398" s="8">
        <v>46194.779779675926</v>
      </c>
      <c r="B3398" s="2" t="s">
        <v>991</v>
      </c>
      <c r="C3398" s="2" t="s">
        <v>810</v>
      </c>
      <c r="D3398" s="2" t="s">
        <v>1105</v>
      </c>
    </row>
    <row r="3399">
      <c r="A3399" s="8">
        <v>46194.77978527777</v>
      </c>
      <c r="B3399" s="2" t="s">
        <v>832</v>
      </c>
      <c r="C3399" s="2"/>
      <c r="D3399" s="2" t="s">
        <v>1106</v>
      </c>
    </row>
    <row r="3400">
      <c r="A3400" s="8">
        <v>46194.77986491898</v>
      </c>
      <c r="B3400" s="2" t="s">
        <v>991</v>
      </c>
      <c r="C3400" s="2" t="s">
        <v>519</v>
      </c>
      <c r="D3400" s="2" t="s">
        <v>1083</v>
      </c>
    </row>
    <row r="3401">
      <c r="A3401" s="8">
        <v>46194.77987278935</v>
      </c>
      <c r="B3401" s="2" t="s">
        <v>991</v>
      </c>
      <c r="C3401" s="2" t="s">
        <v>607</v>
      </c>
      <c r="D3401" s="2" t="s">
        <v>1055</v>
      </c>
    </row>
    <row r="3402">
      <c r="A3402" s="8">
        <v>46194.77987796297</v>
      </c>
      <c r="B3402" s="2" t="s">
        <v>894</v>
      </c>
      <c r="C3402" s="2"/>
      <c r="D3402" s="2" t="s">
        <v>1114</v>
      </c>
    </row>
    <row r="3403">
      <c r="A3403" s="8">
        <v>46194.82143241898</v>
      </c>
      <c r="B3403" s="2" t="s">
        <v>798</v>
      </c>
      <c r="C3403" s="2" t="s">
        <v>799</v>
      </c>
      <c r="D3403" s="2" t="s">
        <v>800</v>
      </c>
    </row>
    <row r="3404">
      <c r="A3404" s="8">
        <v>46194.82143696759</v>
      </c>
      <c r="B3404" s="2" t="s">
        <v>991</v>
      </c>
      <c r="C3404" s="2" t="s">
        <v>810</v>
      </c>
      <c r="D3404" s="2" t="s">
        <v>1105</v>
      </c>
    </row>
    <row r="3405">
      <c r="A3405" s="8">
        <v>46194.8214412963</v>
      </c>
      <c r="B3405" s="2" t="s">
        <v>832</v>
      </c>
      <c r="C3405" s="2"/>
      <c r="D3405" s="2" t="s">
        <v>1106</v>
      </c>
    </row>
    <row r="3406">
      <c r="A3406" s="8">
        <v>46194.82151792824</v>
      </c>
      <c r="B3406" s="2" t="s">
        <v>991</v>
      </c>
      <c r="C3406" s="2" t="s">
        <v>519</v>
      </c>
      <c r="D3406" s="2" t="s">
        <v>1083</v>
      </c>
    </row>
    <row r="3407">
      <c r="A3407" s="8">
        <v>46194.821523935185</v>
      </c>
      <c r="B3407" s="2" t="s">
        <v>991</v>
      </c>
      <c r="C3407" s="2" t="s">
        <v>607</v>
      </c>
      <c r="D3407" s="2" t="s">
        <v>1055</v>
      </c>
    </row>
    <row r="3408">
      <c r="A3408" s="8">
        <v>46194.82152690973</v>
      </c>
      <c r="B3408" s="2" t="s">
        <v>894</v>
      </c>
      <c r="C3408" s="2"/>
      <c r="D3408" s="2" t="s">
        <v>1114</v>
      </c>
    </row>
    <row r="3409">
      <c r="A3409" s="8">
        <v>46194.8631021412</v>
      </c>
      <c r="B3409" s="2" t="s">
        <v>798</v>
      </c>
      <c r="C3409" s="2" t="s">
        <v>799</v>
      </c>
      <c r="D3409" s="2" t="s">
        <v>800</v>
      </c>
    </row>
    <row r="3410">
      <c r="A3410" s="8">
        <v>46194.86310746528</v>
      </c>
      <c r="B3410" s="2" t="s">
        <v>991</v>
      </c>
      <c r="C3410" s="2" t="s">
        <v>810</v>
      </c>
      <c r="D3410" s="2" t="s">
        <v>1105</v>
      </c>
    </row>
    <row r="3411">
      <c r="A3411" s="8">
        <v>46194.86312371527</v>
      </c>
      <c r="B3411" s="2" t="s">
        <v>832</v>
      </c>
      <c r="C3411" s="2"/>
      <c r="D3411" s="2" t="s">
        <v>1106</v>
      </c>
    </row>
    <row r="3412">
      <c r="A3412" s="8">
        <v>46194.86319077546</v>
      </c>
      <c r="B3412" s="2" t="s">
        <v>991</v>
      </c>
      <c r="C3412" s="2" t="s">
        <v>519</v>
      </c>
      <c r="D3412" s="2" t="s">
        <v>1083</v>
      </c>
    </row>
    <row r="3413">
      <c r="A3413" s="8">
        <v>46194.86320201389</v>
      </c>
      <c r="B3413" s="2" t="s">
        <v>991</v>
      </c>
      <c r="C3413" s="2" t="s">
        <v>607</v>
      </c>
      <c r="D3413" s="2" t="s">
        <v>1055</v>
      </c>
    </row>
    <row r="3414">
      <c r="A3414" s="8">
        <v>46194.863205138885</v>
      </c>
      <c r="B3414" s="2" t="s">
        <v>894</v>
      </c>
      <c r="C3414" s="2"/>
      <c r="D3414" s="2" t="s">
        <v>1114</v>
      </c>
    </row>
    <row r="3415">
      <c r="A3415" s="8">
        <v>46194.90476949074</v>
      </c>
      <c r="B3415" s="2" t="s">
        <v>798</v>
      </c>
      <c r="C3415" s="2" t="s">
        <v>799</v>
      </c>
      <c r="D3415" s="2" t="s">
        <v>800</v>
      </c>
    </row>
    <row r="3416">
      <c r="A3416" s="8">
        <v>46194.904772256945</v>
      </c>
      <c r="B3416" s="2" t="s">
        <v>991</v>
      </c>
      <c r="C3416" s="2" t="s">
        <v>810</v>
      </c>
      <c r="D3416" s="2" t="s">
        <v>1105</v>
      </c>
    </row>
    <row r="3417">
      <c r="A3417" s="8">
        <v>46194.90478040509</v>
      </c>
      <c r="B3417" s="2" t="s">
        <v>832</v>
      </c>
      <c r="C3417" s="2"/>
      <c r="D3417" s="2" t="s">
        <v>1106</v>
      </c>
    </row>
    <row r="3418">
      <c r="A3418" s="8">
        <v>46194.90486304398</v>
      </c>
      <c r="B3418" s="2" t="s">
        <v>991</v>
      </c>
      <c r="C3418" s="2" t="s">
        <v>519</v>
      </c>
      <c r="D3418" s="2" t="s">
        <v>1083</v>
      </c>
    </row>
    <row r="3419">
      <c r="A3419" s="8">
        <v>46194.904866006946</v>
      </c>
      <c r="B3419" s="2" t="s">
        <v>991</v>
      </c>
      <c r="C3419" s="2" t="s">
        <v>607</v>
      </c>
      <c r="D3419" s="2" t="s">
        <v>1055</v>
      </c>
    </row>
    <row r="3420">
      <c r="A3420" s="8">
        <v>46194.904867731486</v>
      </c>
      <c r="B3420" s="2" t="s">
        <v>894</v>
      </c>
      <c r="C3420" s="2"/>
      <c r="D3420" s="2" t="s">
        <v>1114</v>
      </c>
    </row>
    <row r="3421">
      <c r="A3421" s="8">
        <v>46194.91709552083</v>
      </c>
      <c r="B3421" s="2" t="s">
        <v>863</v>
      </c>
      <c r="C3421" s="2"/>
      <c r="D3421" s="2" t="s">
        <v>1121</v>
      </c>
    </row>
    <row r="3422">
      <c r="A3422" s="8">
        <v>46194.94645362269</v>
      </c>
      <c r="B3422" s="2" t="s">
        <v>798</v>
      </c>
      <c r="C3422" s="2" t="s">
        <v>799</v>
      </c>
      <c r="D3422" s="2" t="s">
        <v>800</v>
      </c>
    </row>
    <row r="3423">
      <c r="A3423" s="8">
        <v>46194.94645950232</v>
      </c>
      <c r="B3423" s="2" t="s">
        <v>991</v>
      </c>
      <c r="C3423" s="2" t="s">
        <v>810</v>
      </c>
      <c r="D3423" s="2" t="s">
        <v>1105</v>
      </c>
    </row>
    <row r="3424">
      <c r="A3424" s="8">
        <v>46194.94647776621</v>
      </c>
      <c r="B3424" s="2" t="s">
        <v>832</v>
      </c>
      <c r="C3424" s="2"/>
      <c r="D3424" s="2" t="s">
        <v>1106</v>
      </c>
    </row>
    <row r="3425">
      <c r="A3425" s="8">
        <v>46194.946552037036</v>
      </c>
      <c r="B3425" s="2" t="s">
        <v>991</v>
      </c>
      <c r="C3425" s="2" t="s">
        <v>519</v>
      </c>
      <c r="D3425" s="2" t="s">
        <v>1083</v>
      </c>
    </row>
    <row r="3426">
      <c r="A3426" s="8">
        <v>46194.94655753473</v>
      </c>
      <c r="B3426" s="2" t="s">
        <v>991</v>
      </c>
      <c r="C3426" s="2" t="s">
        <v>607</v>
      </c>
      <c r="D3426" s="2" t="s">
        <v>1055</v>
      </c>
    </row>
    <row r="3427">
      <c r="A3427" s="8">
        <v>46194.94656027778</v>
      </c>
      <c r="B3427" s="2" t="s">
        <v>894</v>
      </c>
      <c r="C3427" s="2"/>
      <c r="D3427" s="2" t="s">
        <v>1114</v>
      </c>
    </row>
    <row r="3428">
      <c r="A3428" s="8">
        <v>46194.988108668986</v>
      </c>
      <c r="B3428" s="2" t="s">
        <v>798</v>
      </c>
      <c r="C3428" s="2" t="s">
        <v>799</v>
      </c>
      <c r="D3428" s="2" t="s">
        <v>800</v>
      </c>
    </row>
    <row r="3429">
      <c r="A3429" s="8">
        <v>46194.98811452546</v>
      </c>
      <c r="B3429" s="2" t="s">
        <v>991</v>
      </c>
      <c r="C3429" s="2" t="s">
        <v>810</v>
      </c>
      <c r="D3429" s="2" t="s">
        <v>1105</v>
      </c>
    </row>
    <row r="3430">
      <c r="A3430" s="8">
        <v>46194.98812043981</v>
      </c>
      <c r="B3430" s="2" t="s">
        <v>832</v>
      </c>
      <c r="C3430" s="2"/>
      <c r="D3430" s="2" t="s">
        <v>1106</v>
      </c>
    </row>
    <row r="3431">
      <c r="A3431" s="8">
        <v>46194.98820328704</v>
      </c>
      <c r="B3431" s="2" t="s">
        <v>991</v>
      </c>
      <c r="C3431" s="2" t="s">
        <v>519</v>
      </c>
      <c r="D3431" s="2" t="s">
        <v>1083</v>
      </c>
    </row>
    <row r="3432">
      <c r="A3432" s="8">
        <v>46194.98821810185</v>
      </c>
      <c r="B3432" s="2" t="s">
        <v>991</v>
      </c>
      <c r="C3432" s="2" t="s">
        <v>607</v>
      </c>
      <c r="D3432" s="2" t="s">
        <v>1055</v>
      </c>
    </row>
    <row r="3433">
      <c r="A3433" s="8">
        <v>46194.98822353009</v>
      </c>
      <c r="B3433" s="2" t="s">
        <v>894</v>
      </c>
      <c r="C3433" s="2"/>
      <c r="D3433" s="2" t="s">
        <v>1114</v>
      </c>
    </row>
    <row r="3434">
      <c r="A3434" s="8">
        <v>46195.02980304398</v>
      </c>
      <c r="B3434" s="2" t="s">
        <v>798</v>
      </c>
      <c r="C3434" s="2" t="s">
        <v>799</v>
      </c>
      <c r="D3434" s="2" t="s">
        <v>800</v>
      </c>
    </row>
    <row r="3435">
      <c r="A3435" s="8">
        <v>46195.02981359954</v>
      </c>
      <c r="B3435" s="2" t="s">
        <v>991</v>
      </c>
      <c r="C3435" s="2" t="s">
        <v>810</v>
      </c>
      <c r="D3435" s="2" t="s">
        <v>1105</v>
      </c>
    </row>
    <row r="3436">
      <c r="A3436" s="8">
        <v>46195.029834270834</v>
      </c>
      <c r="B3436" s="2" t="s">
        <v>832</v>
      </c>
      <c r="C3436" s="2"/>
      <c r="D3436" s="2" t="s">
        <v>1106</v>
      </c>
    </row>
    <row r="3437">
      <c r="A3437" s="8">
        <v>46195.029924884264</v>
      </c>
      <c r="B3437" s="2" t="s">
        <v>991</v>
      </c>
      <c r="C3437" s="2" t="s">
        <v>509</v>
      </c>
      <c r="D3437" s="2" t="s">
        <v>1083</v>
      </c>
    </row>
    <row r="3438">
      <c r="A3438" s="8">
        <v>46195.02993040509</v>
      </c>
      <c r="B3438" s="2" t="s">
        <v>991</v>
      </c>
      <c r="C3438" s="2" t="s">
        <v>519</v>
      </c>
      <c r="D3438" s="2" t="s">
        <v>1083</v>
      </c>
    </row>
    <row r="3439">
      <c r="A3439" s="8">
        <v>46195.02994422454</v>
      </c>
      <c r="B3439" s="2" t="s">
        <v>991</v>
      </c>
      <c r="C3439" s="2" t="s">
        <v>607</v>
      </c>
      <c r="D3439" s="2" t="s">
        <v>1055</v>
      </c>
    </row>
    <row r="3440">
      <c r="A3440" s="8">
        <v>46195.02994784722</v>
      </c>
      <c r="B3440" s="2" t="s">
        <v>894</v>
      </c>
      <c r="C3440" s="2"/>
      <c r="D3440" s="2" t="s">
        <v>1122</v>
      </c>
    </row>
    <row r="3441">
      <c r="A3441" s="8">
        <v>46195.07144484954</v>
      </c>
      <c r="B3441" s="2" t="s">
        <v>798</v>
      </c>
      <c r="C3441" s="2" t="s">
        <v>799</v>
      </c>
      <c r="D3441" s="2" t="s">
        <v>800</v>
      </c>
    </row>
    <row r="3442">
      <c r="A3442" s="8">
        <v>46195.071450972224</v>
      </c>
      <c r="B3442" s="2" t="s">
        <v>991</v>
      </c>
      <c r="C3442" s="2" t="s">
        <v>810</v>
      </c>
      <c r="D3442" s="2" t="s">
        <v>1105</v>
      </c>
    </row>
    <row r="3443">
      <c r="A3443" s="8">
        <v>46195.071457488426</v>
      </c>
      <c r="B3443" s="2" t="s">
        <v>832</v>
      </c>
      <c r="C3443" s="2"/>
      <c r="D3443" s="2" t="s">
        <v>1106</v>
      </c>
    </row>
    <row r="3444">
      <c r="A3444" s="8">
        <v>46195.0715409838</v>
      </c>
      <c r="B3444" s="2" t="s">
        <v>991</v>
      </c>
      <c r="C3444" s="2" t="s">
        <v>519</v>
      </c>
      <c r="D3444" s="2" t="s">
        <v>1083</v>
      </c>
    </row>
    <row r="3445">
      <c r="A3445" s="8">
        <v>46195.07155021991</v>
      </c>
      <c r="B3445" s="2" t="s">
        <v>991</v>
      </c>
      <c r="C3445" s="2" t="s">
        <v>607</v>
      </c>
      <c r="D3445" s="2" t="s">
        <v>1055</v>
      </c>
    </row>
    <row r="3446">
      <c r="A3446" s="8">
        <v>46195.071558634256</v>
      </c>
      <c r="B3446" s="2" t="s">
        <v>894</v>
      </c>
      <c r="C3446" s="2"/>
      <c r="D3446" s="2" t="s">
        <v>1114</v>
      </c>
    </row>
    <row r="3447">
      <c r="A3447" s="8">
        <v>46195.113094976856</v>
      </c>
      <c r="B3447" s="2" t="s">
        <v>798</v>
      </c>
      <c r="C3447" s="2" t="s">
        <v>799</v>
      </c>
      <c r="D3447" s="2" t="s">
        <v>800</v>
      </c>
    </row>
    <row r="3448">
      <c r="A3448" s="8">
        <v>46195.11309903935</v>
      </c>
      <c r="B3448" s="2" t="s">
        <v>991</v>
      </c>
      <c r="C3448" s="2" t="s">
        <v>810</v>
      </c>
      <c r="D3448" s="2" t="s">
        <v>1105</v>
      </c>
    </row>
    <row r="3449">
      <c r="A3449" s="8">
        <v>46195.113110046295</v>
      </c>
      <c r="B3449" s="2" t="s">
        <v>844</v>
      </c>
      <c r="C3449" s="2" t="s">
        <v>1095</v>
      </c>
      <c r="D3449" s="2" t="s">
        <v>968</v>
      </c>
    </row>
    <row r="3450">
      <c r="A3450" s="8">
        <v>46195.11312407407</v>
      </c>
      <c r="B3450" s="2" t="s">
        <v>832</v>
      </c>
      <c r="C3450" s="2"/>
      <c r="D3450" s="2" t="s">
        <v>1109</v>
      </c>
    </row>
    <row r="3451">
      <c r="A3451" s="8">
        <v>46195.11319675926</v>
      </c>
      <c r="B3451" s="2" t="s">
        <v>991</v>
      </c>
      <c r="C3451" s="2" t="s">
        <v>519</v>
      </c>
      <c r="D3451" s="2" t="s">
        <v>1083</v>
      </c>
    </row>
    <row r="3452">
      <c r="A3452" s="8">
        <v>46195.11320180555</v>
      </c>
      <c r="B3452" s="2" t="s">
        <v>991</v>
      </c>
      <c r="C3452" s="2" t="s">
        <v>607</v>
      </c>
      <c r="D3452" s="2" t="s">
        <v>1055</v>
      </c>
    </row>
    <row r="3453">
      <c r="A3453" s="8">
        <v>46195.113204594905</v>
      </c>
      <c r="B3453" s="2" t="s">
        <v>894</v>
      </c>
      <c r="C3453" s="2"/>
      <c r="D3453" s="2" t="s">
        <v>1114</v>
      </c>
    </row>
    <row r="3454">
      <c r="A3454" s="8">
        <v>46195.15477488426</v>
      </c>
      <c r="B3454" s="2" t="s">
        <v>844</v>
      </c>
      <c r="C3454" s="2" t="s">
        <v>1123</v>
      </c>
      <c r="D3454" s="2" t="s">
        <v>1002</v>
      </c>
    </row>
    <row r="3455">
      <c r="A3455" s="8">
        <v>46195.154779317134</v>
      </c>
      <c r="B3455" s="2" t="s">
        <v>798</v>
      </c>
      <c r="C3455" s="2" t="s">
        <v>799</v>
      </c>
      <c r="D3455" s="2" t="s">
        <v>800</v>
      </c>
    </row>
    <row r="3456">
      <c r="A3456" s="8">
        <v>46195.15478460648</v>
      </c>
      <c r="B3456" s="2" t="s">
        <v>991</v>
      </c>
      <c r="C3456" s="2" t="s">
        <v>810</v>
      </c>
      <c r="D3456" s="2" t="s">
        <v>1105</v>
      </c>
    </row>
    <row r="3457">
      <c r="A3457" s="8">
        <v>46195.1547959375</v>
      </c>
      <c r="B3457" s="2" t="s">
        <v>834</v>
      </c>
      <c r="C3457" s="2" t="s">
        <v>1095</v>
      </c>
      <c r="D3457" s="2" t="s">
        <v>1124</v>
      </c>
    </row>
    <row r="3458">
      <c r="A3458" s="8">
        <v>46195.15480131944</v>
      </c>
      <c r="B3458" s="2" t="s">
        <v>832</v>
      </c>
      <c r="C3458" s="2"/>
      <c r="D3458" s="2" t="s">
        <v>1109</v>
      </c>
    </row>
    <row r="3459">
      <c r="A3459" s="8">
        <v>46195.15486732639</v>
      </c>
      <c r="B3459" s="2" t="s">
        <v>991</v>
      </c>
      <c r="C3459" s="2" t="s">
        <v>519</v>
      </c>
      <c r="D3459" s="2" t="s">
        <v>1083</v>
      </c>
    </row>
    <row r="3460">
      <c r="A3460" s="8">
        <v>46195.15487186343</v>
      </c>
      <c r="B3460" s="2" t="s">
        <v>991</v>
      </c>
      <c r="C3460" s="2" t="s">
        <v>607</v>
      </c>
      <c r="D3460" s="2" t="s">
        <v>1055</v>
      </c>
    </row>
    <row r="3461">
      <c r="A3461" s="8">
        <v>46195.15487475695</v>
      </c>
      <c r="B3461" s="2" t="s">
        <v>894</v>
      </c>
      <c r="C3461" s="2"/>
      <c r="D3461" s="2" t="s">
        <v>1114</v>
      </c>
    </row>
    <row r="3462">
      <c r="A3462" s="8">
        <v>46195.19643827547</v>
      </c>
      <c r="B3462" s="2" t="s">
        <v>798</v>
      </c>
      <c r="C3462" s="2" t="s">
        <v>799</v>
      </c>
      <c r="D3462" s="2" t="s">
        <v>800</v>
      </c>
    </row>
    <row r="3463">
      <c r="A3463" s="8">
        <v>46195.19644275463</v>
      </c>
      <c r="B3463" s="2" t="s">
        <v>991</v>
      </c>
      <c r="C3463" s="2" t="s">
        <v>810</v>
      </c>
      <c r="D3463" s="2" t="s">
        <v>1105</v>
      </c>
    </row>
    <row r="3464">
      <c r="A3464" s="8">
        <v>46195.19644583334</v>
      </c>
      <c r="B3464" s="2" t="s">
        <v>834</v>
      </c>
      <c r="C3464" s="2" t="s">
        <v>1095</v>
      </c>
      <c r="D3464" s="2" t="s">
        <v>1124</v>
      </c>
    </row>
    <row r="3465">
      <c r="A3465" s="8">
        <v>46195.196464837965</v>
      </c>
      <c r="B3465" s="2" t="s">
        <v>832</v>
      </c>
      <c r="C3465" s="2"/>
      <c r="D3465" s="2" t="s">
        <v>1106</v>
      </c>
    </row>
    <row r="3466">
      <c r="A3466" s="8">
        <v>46195.19652618056</v>
      </c>
      <c r="B3466" s="2" t="s">
        <v>991</v>
      </c>
      <c r="C3466" s="2" t="s">
        <v>519</v>
      </c>
      <c r="D3466" s="2" t="s">
        <v>1083</v>
      </c>
    </row>
    <row r="3467">
      <c r="A3467" s="8">
        <v>46195.196529953704</v>
      </c>
      <c r="B3467" s="2" t="s">
        <v>991</v>
      </c>
      <c r="C3467" s="2" t="s">
        <v>607</v>
      </c>
      <c r="D3467" s="2" t="s">
        <v>1055</v>
      </c>
    </row>
    <row r="3468">
      <c r="A3468" s="8">
        <v>46195.19653202547</v>
      </c>
      <c r="B3468" s="2" t="s">
        <v>894</v>
      </c>
      <c r="C3468" s="2"/>
      <c r="D3468" s="2" t="s">
        <v>1114</v>
      </c>
    </row>
    <row r="3469">
      <c r="A3469" s="8">
        <v>46195.238106261575</v>
      </c>
      <c r="B3469" s="2" t="s">
        <v>798</v>
      </c>
      <c r="C3469" s="2" t="s">
        <v>799</v>
      </c>
      <c r="D3469" s="2" t="s">
        <v>800</v>
      </c>
    </row>
    <row r="3470">
      <c r="A3470" s="8">
        <v>46195.2381144213</v>
      </c>
      <c r="B3470" s="2" t="s">
        <v>991</v>
      </c>
      <c r="C3470" s="2" t="s">
        <v>810</v>
      </c>
      <c r="D3470" s="2" t="s">
        <v>1105</v>
      </c>
    </row>
    <row r="3471">
      <c r="A3471" s="8">
        <v>46195.23812061343</v>
      </c>
      <c r="B3471" s="2" t="s">
        <v>834</v>
      </c>
      <c r="C3471" s="2" t="s">
        <v>1095</v>
      </c>
      <c r="D3471" s="2" t="s">
        <v>1124</v>
      </c>
    </row>
    <row r="3472">
      <c r="A3472" s="8">
        <v>46195.23813875</v>
      </c>
      <c r="B3472" s="2" t="s">
        <v>832</v>
      </c>
      <c r="C3472" s="2"/>
      <c r="D3472" s="2" t="s">
        <v>1106</v>
      </c>
    </row>
    <row r="3473">
      <c r="A3473" s="8">
        <v>46195.23821258102</v>
      </c>
      <c r="B3473" s="2" t="s">
        <v>991</v>
      </c>
      <c r="C3473" s="2" t="s">
        <v>519</v>
      </c>
      <c r="D3473" s="2" t="s">
        <v>1083</v>
      </c>
    </row>
    <row r="3474">
      <c r="A3474" s="8">
        <v>46195.23821668982</v>
      </c>
      <c r="B3474" s="2" t="s">
        <v>991</v>
      </c>
      <c r="C3474" s="2" t="s">
        <v>607</v>
      </c>
      <c r="D3474" s="2" t="s">
        <v>1055</v>
      </c>
    </row>
    <row r="3475">
      <c r="A3475" s="8">
        <v>46195.2382187037</v>
      </c>
      <c r="B3475" s="2" t="s">
        <v>894</v>
      </c>
      <c r="C3475" s="2"/>
      <c r="D3475" s="2" t="s">
        <v>1114</v>
      </c>
    </row>
    <row r="3476">
      <c r="A3476" s="8">
        <v>46195.27978557871</v>
      </c>
      <c r="B3476" s="2" t="s">
        <v>798</v>
      </c>
      <c r="C3476" s="2" t="s">
        <v>799</v>
      </c>
      <c r="D3476" s="2" t="s">
        <v>800</v>
      </c>
    </row>
    <row r="3477">
      <c r="A3477" s="8">
        <v>46195.27979326389</v>
      </c>
      <c r="B3477" s="2" t="s">
        <v>991</v>
      </c>
      <c r="C3477" s="2" t="s">
        <v>810</v>
      </c>
      <c r="D3477" s="2" t="s">
        <v>1105</v>
      </c>
    </row>
    <row r="3478">
      <c r="A3478" s="8">
        <v>46195.27980046296</v>
      </c>
      <c r="B3478" s="2" t="s">
        <v>834</v>
      </c>
      <c r="C3478" s="2" t="s">
        <v>1095</v>
      </c>
      <c r="D3478" s="2" t="s">
        <v>1124</v>
      </c>
    </row>
    <row r="3479">
      <c r="A3479" s="8">
        <v>46195.27981997685</v>
      </c>
      <c r="B3479" s="2" t="s">
        <v>832</v>
      </c>
      <c r="C3479" s="2"/>
      <c r="D3479" s="2" t="s">
        <v>1106</v>
      </c>
    </row>
    <row r="3480">
      <c r="A3480" s="8">
        <v>46195.27988785879</v>
      </c>
      <c r="B3480" s="2" t="s">
        <v>991</v>
      </c>
      <c r="C3480" s="2" t="s">
        <v>519</v>
      </c>
      <c r="D3480" s="2" t="s">
        <v>1083</v>
      </c>
    </row>
    <row r="3481">
      <c r="A3481" s="8">
        <v>46195.279895625004</v>
      </c>
      <c r="B3481" s="2" t="s">
        <v>991</v>
      </c>
      <c r="C3481" s="2" t="s">
        <v>607</v>
      </c>
      <c r="D3481" s="2" t="s">
        <v>1055</v>
      </c>
    </row>
    <row r="3482">
      <c r="A3482" s="8">
        <v>46195.27990436343</v>
      </c>
      <c r="B3482" s="2" t="s">
        <v>1070</v>
      </c>
      <c r="C3482" s="2" t="s">
        <v>692</v>
      </c>
      <c r="D3482" s="2" t="s">
        <v>1125</v>
      </c>
    </row>
    <row r="3483">
      <c r="A3483" s="8">
        <v>46195.279909398145</v>
      </c>
      <c r="B3483" s="2" t="s">
        <v>894</v>
      </c>
      <c r="C3483" s="2"/>
      <c r="D3483" s="2" t="s">
        <v>1126</v>
      </c>
    </row>
    <row r="3484">
      <c r="A3484" s="8">
        <v>46195.279916458334</v>
      </c>
      <c r="B3484" s="2" t="s">
        <v>1127</v>
      </c>
      <c r="C3484" s="2"/>
      <c r="D3484" s="2" t="s">
        <v>1128</v>
      </c>
    </row>
    <row r="3485">
      <c r="A3485" s="8">
        <v>46195.32146993055</v>
      </c>
      <c r="B3485" s="2" t="s">
        <v>798</v>
      </c>
      <c r="C3485" s="2" t="s">
        <v>799</v>
      </c>
      <c r="D3485" s="2" t="s">
        <v>800</v>
      </c>
    </row>
    <row r="3486">
      <c r="A3486" s="8">
        <v>46195.32147689815</v>
      </c>
      <c r="B3486" s="2" t="s">
        <v>991</v>
      </c>
      <c r="C3486" s="2" t="s">
        <v>810</v>
      </c>
      <c r="D3486" s="2" t="s">
        <v>1105</v>
      </c>
    </row>
    <row r="3487">
      <c r="A3487" s="8">
        <v>46195.321496516204</v>
      </c>
      <c r="B3487" s="2" t="s">
        <v>834</v>
      </c>
      <c r="C3487" s="2" t="s">
        <v>1095</v>
      </c>
      <c r="D3487" s="2" t="s">
        <v>1124</v>
      </c>
    </row>
    <row r="3488">
      <c r="A3488" s="8">
        <v>46195.32150471065</v>
      </c>
      <c r="B3488" s="2" t="s">
        <v>832</v>
      </c>
      <c r="C3488" s="2"/>
      <c r="D3488" s="2" t="s">
        <v>1106</v>
      </c>
    </row>
    <row r="3489">
      <c r="A3489" s="8">
        <v>46195.32159885416</v>
      </c>
      <c r="B3489" s="2" t="s">
        <v>991</v>
      </c>
      <c r="C3489" s="2" t="s">
        <v>519</v>
      </c>
      <c r="D3489" s="2" t="s">
        <v>1083</v>
      </c>
    </row>
    <row r="3490">
      <c r="A3490" s="8">
        <v>46195.321606365746</v>
      </c>
      <c r="B3490" s="2" t="s">
        <v>991</v>
      </c>
      <c r="C3490" s="2" t="s">
        <v>607</v>
      </c>
      <c r="D3490" s="2" t="s">
        <v>1055</v>
      </c>
    </row>
    <row r="3491">
      <c r="A3491" s="8">
        <v>46195.32161021991</v>
      </c>
      <c r="B3491" s="2" t="s">
        <v>894</v>
      </c>
      <c r="C3491" s="2"/>
      <c r="D3491" s="2" t="s">
        <v>1114</v>
      </c>
    </row>
    <row r="3492">
      <c r="A3492" s="8">
        <v>46195.363120462964</v>
      </c>
      <c r="B3492" s="2" t="s">
        <v>798</v>
      </c>
      <c r="C3492" s="2" t="s">
        <v>799</v>
      </c>
      <c r="D3492" s="2" t="s">
        <v>800</v>
      </c>
    </row>
    <row r="3493">
      <c r="A3493" s="8">
        <v>46195.36312822917</v>
      </c>
      <c r="B3493" s="2" t="s">
        <v>991</v>
      </c>
      <c r="C3493" s="2" t="s">
        <v>810</v>
      </c>
      <c r="D3493" s="2" t="s">
        <v>1105</v>
      </c>
    </row>
    <row r="3494">
      <c r="A3494" s="8">
        <v>46195.36314646991</v>
      </c>
      <c r="B3494" s="2" t="s">
        <v>834</v>
      </c>
      <c r="C3494" s="2" t="s">
        <v>1095</v>
      </c>
      <c r="D3494" s="2" t="s">
        <v>1124</v>
      </c>
    </row>
    <row r="3495">
      <c r="A3495" s="8">
        <v>46195.36315774306</v>
      </c>
      <c r="B3495" s="2" t="s">
        <v>991</v>
      </c>
      <c r="C3495" s="2" t="s">
        <v>826</v>
      </c>
      <c r="D3495" s="2" t="s">
        <v>1021</v>
      </c>
    </row>
    <row r="3496">
      <c r="A3496" s="8">
        <v>46195.363162222224</v>
      </c>
      <c r="B3496" s="2" t="s">
        <v>832</v>
      </c>
      <c r="C3496" s="2"/>
      <c r="D3496" s="2" t="s">
        <v>1116</v>
      </c>
    </row>
    <row r="3497">
      <c r="A3497" s="8">
        <v>46195.36325357639</v>
      </c>
      <c r="B3497" s="2" t="s">
        <v>991</v>
      </c>
      <c r="C3497" s="2" t="s">
        <v>519</v>
      </c>
      <c r="D3497" s="2" t="s">
        <v>1083</v>
      </c>
    </row>
    <row r="3498">
      <c r="A3498" s="8">
        <v>46195.363263101855</v>
      </c>
      <c r="B3498" s="2" t="s">
        <v>991</v>
      </c>
      <c r="C3498" s="2" t="s">
        <v>607</v>
      </c>
      <c r="D3498" s="2" t="s">
        <v>1055</v>
      </c>
    </row>
    <row r="3499">
      <c r="A3499" s="8">
        <v>46195.36326686342</v>
      </c>
      <c r="B3499" s="2" t="s">
        <v>894</v>
      </c>
      <c r="C3499" s="2"/>
      <c r="D3499" s="2" t="s">
        <v>1114</v>
      </c>
    </row>
    <row r="3500">
      <c r="A3500" s="8">
        <v>46195.40476866898</v>
      </c>
      <c r="B3500" s="2" t="s">
        <v>798</v>
      </c>
      <c r="C3500" s="2" t="s">
        <v>799</v>
      </c>
      <c r="D3500" s="2" t="s">
        <v>800</v>
      </c>
    </row>
    <row r="3501">
      <c r="A3501" s="8">
        <v>46195.4047737963</v>
      </c>
      <c r="B3501" s="2" t="s">
        <v>991</v>
      </c>
      <c r="C3501" s="2" t="s">
        <v>810</v>
      </c>
      <c r="D3501" s="2" t="s">
        <v>1105</v>
      </c>
    </row>
    <row r="3502">
      <c r="A3502" s="8">
        <v>46195.40477741898</v>
      </c>
      <c r="B3502" s="2" t="s">
        <v>834</v>
      </c>
      <c r="C3502" s="2" t="s">
        <v>1095</v>
      </c>
      <c r="D3502" s="2" t="s">
        <v>1124</v>
      </c>
    </row>
    <row r="3503">
      <c r="A3503" s="8">
        <v>46195.40479555556</v>
      </c>
      <c r="B3503" s="2" t="s">
        <v>832</v>
      </c>
      <c r="C3503" s="2"/>
      <c r="D3503" s="2" t="s">
        <v>1106</v>
      </c>
    </row>
    <row r="3504">
      <c r="A3504" s="8">
        <v>46195.40485921296</v>
      </c>
      <c r="B3504" s="2" t="s">
        <v>991</v>
      </c>
      <c r="C3504" s="2" t="s">
        <v>519</v>
      </c>
      <c r="D3504" s="2" t="s">
        <v>1083</v>
      </c>
    </row>
    <row r="3505">
      <c r="A3505" s="8">
        <v>46195.40486650463</v>
      </c>
      <c r="B3505" s="2" t="s">
        <v>991</v>
      </c>
      <c r="C3505" s="2" t="s">
        <v>607</v>
      </c>
      <c r="D3505" s="2" t="s">
        <v>1055</v>
      </c>
    </row>
    <row r="3506">
      <c r="A3506" s="8">
        <v>46195.40487363426</v>
      </c>
      <c r="B3506" s="2" t="s">
        <v>894</v>
      </c>
      <c r="C3506" s="2"/>
      <c r="D3506" s="2" t="s">
        <v>1114</v>
      </c>
    </row>
    <row r="3507">
      <c r="A3507" s="8">
        <v>46195.44647199074</v>
      </c>
      <c r="B3507" s="2" t="s">
        <v>798</v>
      </c>
      <c r="C3507" s="2" t="s">
        <v>799</v>
      </c>
      <c r="D3507" s="2" t="s">
        <v>800</v>
      </c>
    </row>
    <row r="3508">
      <c r="A3508" s="8">
        <v>46195.44647886574</v>
      </c>
      <c r="B3508" s="2" t="s">
        <v>991</v>
      </c>
      <c r="C3508" s="2" t="s">
        <v>810</v>
      </c>
      <c r="D3508" s="2" t="s">
        <v>1105</v>
      </c>
    </row>
    <row r="3509">
      <c r="A3509" s="8">
        <v>46195.44649853009</v>
      </c>
      <c r="B3509" s="2" t="s">
        <v>834</v>
      </c>
      <c r="C3509" s="2" t="s">
        <v>1095</v>
      </c>
      <c r="D3509" s="2" t="s">
        <v>1124</v>
      </c>
    </row>
    <row r="3510">
      <c r="A3510" s="8">
        <v>46195.44650789352</v>
      </c>
      <c r="B3510" s="2" t="s">
        <v>844</v>
      </c>
      <c r="C3510" s="2" t="s">
        <v>818</v>
      </c>
      <c r="D3510" s="2" t="s">
        <v>1129</v>
      </c>
    </row>
    <row r="3511">
      <c r="A3511" s="8">
        <v>46195.44652096065</v>
      </c>
      <c r="B3511" s="2" t="s">
        <v>832</v>
      </c>
      <c r="C3511" s="2"/>
      <c r="D3511" s="2" t="s">
        <v>1109</v>
      </c>
    </row>
    <row r="3512">
      <c r="A3512" s="8">
        <v>46195.44660755787</v>
      </c>
      <c r="B3512" s="2" t="s">
        <v>991</v>
      </c>
      <c r="C3512" s="2" t="s">
        <v>519</v>
      </c>
      <c r="D3512" s="2" t="s">
        <v>1083</v>
      </c>
    </row>
    <row r="3513">
      <c r="A3513" s="8">
        <v>46195.44662364583</v>
      </c>
      <c r="B3513" s="2" t="s">
        <v>991</v>
      </c>
      <c r="C3513" s="2" t="s">
        <v>607</v>
      </c>
      <c r="D3513" s="2" t="s">
        <v>1055</v>
      </c>
    </row>
    <row r="3514">
      <c r="A3514" s="8">
        <v>46195.44662811342</v>
      </c>
      <c r="B3514" s="2" t="s">
        <v>894</v>
      </c>
      <c r="C3514" s="2"/>
      <c r="D3514" s="2" t="s">
        <v>1114</v>
      </c>
    </row>
    <row r="3515">
      <c r="A3515" s="8">
        <v>46195.48810369213</v>
      </c>
      <c r="B3515" s="2" t="s">
        <v>798</v>
      </c>
      <c r="C3515" s="2" t="s">
        <v>799</v>
      </c>
      <c r="D3515" s="2" t="s">
        <v>800</v>
      </c>
    </row>
    <row r="3516">
      <c r="A3516" s="8">
        <v>46195.48810792824</v>
      </c>
      <c r="B3516" s="2" t="s">
        <v>991</v>
      </c>
      <c r="C3516" s="2" t="s">
        <v>810</v>
      </c>
      <c r="D3516" s="2" t="s">
        <v>1105</v>
      </c>
    </row>
    <row r="3517">
      <c r="A3517" s="8">
        <v>46195.48811020833</v>
      </c>
      <c r="B3517" s="2" t="s">
        <v>834</v>
      </c>
      <c r="C3517" s="2" t="s">
        <v>1095</v>
      </c>
      <c r="D3517" s="2" t="s">
        <v>1124</v>
      </c>
    </row>
    <row r="3518">
      <c r="A3518" s="8">
        <v>46195.48813052083</v>
      </c>
      <c r="B3518" s="2" t="s">
        <v>832</v>
      </c>
      <c r="C3518" s="2"/>
      <c r="D3518" s="2" t="s">
        <v>1106</v>
      </c>
    </row>
    <row r="3519">
      <c r="A3519" s="8">
        <v>46195.48819130787</v>
      </c>
      <c r="B3519" s="2" t="s">
        <v>991</v>
      </c>
      <c r="C3519" s="2" t="s">
        <v>519</v>
      </c>
      <c r="D3519" s="2" t="s">
        <v>1083</v>
      </c>
    </row>
    <row r="3520">
      <c r="A3520" s="8">
        <v>46195.48819775463</v>
      </c>
      <c r="B3520" s="2" t="s">
        <v>991</v>
      </c>
      <c r="C3520" s="2" t="s">
        <v>607</v>
      </c>
      <c r="D3520" s="2" t="s">
        <v>1055</v>
      </c>
    </row>
    <row r="3521">
      <c r="A3521" s="8">
        <v>46195.48820020833</v>
      </c>
      <c r="B3521" s="2" t="s">
        <v>894</v>
      </c>
      <c r="C3521" s="2"/>
      <c r="D3521" s="2" t="s">
        <v>1114</v>
      </c>
    </row>
    <row r="3522">
      <c r="A3522" s="8">
        <v>46195.52976856481</v>
      </c>
      <c r="B3522" s="2" t="s">
        <v>798</v>
      </c>
      <c r="C3522" s="2" t="s">
        <v>799</v>
      </c>
      <c r="D3522" s="2" t="s">
        <v>800</v>
      </c>
    </row>
    <row r="3523">
      <c r="A3523" s="8">
        <v>46195.52977686343</v>
      </c>
      <c r="B3523" s="2" t="s">
        <v>844</v>
      </c>
      <c r="C3523" s="2" t="s">
        <v>842</v>
      </c>
      <c r="D3523" s="2" t="s">
        <v>1025</v>
      </c>
    </row>
    <row r="3524">
      <c r="A3524" s="8">
        <v>46195.529784976854</v>
      </c>
      <c r="B3524" s="2" t="s">
        <v>991</v>
      </c>
      <c r="C3524" s="2" t="s">
        <v>810</v>
      </c>
      <c r="D3524" s="2" t="s">
        <v>1105</v>
      </c>
    </row>
    <row r="3525">
      <c r="A3525" s="8">
        <v>46195.52979303241</v>
      </c>
      <c r="B3525" s="2" t="s">
        <v>834</v>
      </c>
      <c r="C3525" s="2" t="s">
        <v>1095</v>
      </c>
      <c r="D3525" s="2" t="s">
        <v>1124</v>
      </c>
    </row>
    <row r="3526">
      <c r="A3526" s="8">
        <v>46195.52979832176</v>
      </c>
      <c r="B3526" s="2" t="s">
        <v>832</v>
      </c>
      <c r="C3526" s="2"/>
      <c r="D3526" s="2" t="s">
        <v>1109</v>
      </c>
    </row>
    <row r="3527">
      <c r="A3527" s="8">
        <v>46195.529867164354</v>
      </c>
      <c r="B3527" s="2" t="s">
        <v>991</v>
      </c>
      <c r="C3527" s="2" t="s">
        <v>519</v>
      </c>
      <c r="D3527" s="2" t="s">
        <v>1083</v>
      </c>
    </row>
    <row r="3528">
      <c r="A3528" s="8">
        <v>46195.52987263889</v>
      </c>
      <c r="B3528" s="2" t="s">
        <v>991</v>
      </c>
      <c r="C3528" s="2" t="s">
        <v>607</v>
      </c>
      <c r="D3528" s="2" t="s">
        <v>1055</v>
      </c>
    </row>
    <row r="3529">
      <c r="A3529" s="8">
        <v>46195.52987525463</v>
      </c>
      <c r="B3529" s="2" t="s">
        <v>894</v>
      </c>
      <c r="C3529" s="2"/>
      <c r="D3529" s="2" t="s">
        <v>1114</v>
      </c>
    </row>
    <row r="3530">
      <c r="A3530" s="8">
        <v>46195.57146033565</v>
      </c>
      <c r="B3530" s="2" t="s">
        <v>798</v>
      </c>
      <c r="C3530" s="2" t="s">
        <v>799</v>
      </c>
      <c r="D3530" s="2" t="s">
        <v>800</v>
      </c>
    </row>
    <row r="3531">
      <c r="A3531" s="8">
        <v>46195.571468553244</v>
      </c>
      <c r="B3531" s="2" t="s">
        <v>991</v>
      </c>
      <c r="C3531" s="2" t="s">
        <v>810</v>
      </c>
      <c r="D3531" s="2" t="s">
        <v>1105</v>
      </c>
    </row>
    <row r="3532">
      <c r="A3532" s="8">
        <v>46195.57148269676</v>
      </c>
      <c r="B3532" s="2" t="s">
        <v>834</v>
      </c>
      <c r="C3532" s="2" t="s">
        <v>1095</v>
      </c>
      <c r="D3532" s="2" t="s">
        <v>1124</v>
      </c>
    </row>
    <row r="3533">
      <c r="A3533" s="8">
        <v>46195.57148717593</v>
      </c>
      <c r="B3533" s="2" t="s">
        <v>832</v>
      </c>
      <c r="C3533" s="2"/>
      <c r="D3533" s="2" t="s">
        <v>1106</v>
      </c>
    </row>
    <row r="3534">
      <c r="A3534" s="8">
        <v>46195.571551863424</v>
      </c>
      <c r="B3534" s="2" t="s">
        <v>991</v>
      </c>
      <c r="C3534" s="2" t="s">
        <v>519</v>
      </c>
      <c r="D3534" s="2" t="s">
        <v>1083</v>
      </c>
    </row>
    <row r="3535">
      <c r="A3535" s="8">
        <v>46195.571555902774</v>
      </c>
      <c r="B3535" s="2" t="s">
        <v>991</v>
      </c>
      <c r="C3535" s="2" t="s">
        <v>607</v>
      </c>
      <c r="D3535" s="2" t="s">
        <v>1055</v>
      </c>
    </row>
    <row r="3536">
      <c r="A3536" s="8">
        <v>46195.57155916667</v>
      </c>
      <c r="B3536" s="2" t="s">
        <v>894</v>
      </c>
      <c r="C3536" s="2"/>
      <c r="D3536" s="2" t="s">
        <v>1114</v>
      </c>
    </row>
    <row r="3537">
      <c r="A3537" s="8">
        <v>46195.61310857639</v>
      </c>
      <c r="B3537" s="2" t="s">
        <v>798</v>
      </c>
      <c r="C3537" s="2" t="s">
        <v>799</v>
      </c>
      <c r="D3537" s="2" t="s">
        <v>800</v>
      </c>
    </row>
    <row r="3538">
      <c r="A3538" s="8">
        <v>46195.61311394676</v>
      </c>
      <c r="B3538" s="2" t="s">
        <v>991</v>
      </c>
      <c r="C3538" s="2" t="s">
        <v>810</v>
      </c>
      <c r="D3538" s="2" t="s">
        <v>1105</v>
      </c>
    </row>
    <row r="3539">
      <c r="A3539" s="8">
        <v>46195.613117395835</v>
      </c>
      <c r="B3539" s="2" t="s">
        <v>834</v>
      </c>
      <c r="C3539" s="2" t="s">
        <v>1095</v>
      </c>
      <c r="D3539" s="2" t="s">
        <v>1124</v>
      </c>
    </row>
    <row r="3540">
      <c r="A3540" s="8">
        <v>46195.61313100695</v>
      </c>
      <c r="B3540" s="2" t="s">
        <v>832</v>
      </c>
      <c r="C3540" s="2"/>
      <c r="D3540" s="2" t="s">
        <v>1106</v>
      </c>
    </row>
    <row r="3541">
      <c r="A3541" s="8">
        <v>46195.61319765046</v>
      </c>
      <c r="B3541" s="2" t="s">
        <v>991</v>
      </c>
      <c r="C3541" s="2" t="s">
        <v>519</v>
      </c>
      <c r="D3541" s="2" t="s">
        <v>1083</v>
      </c>
    </row>
    <row r="3542">
      <c r="A3542" s="8">
        <v>46195.6132046875</v>
      </c>
      <c r="B3542" s="2" t="s">
        <v>991</v>
      </c>
      <c r="C3542" s="2" t="s">
        <v>607</v>
      </c>
      <c r="D3542" s="2" t="s">
        <v>1055</v>
      </c>
    </row>
    <row r="3543">
      <c r="A3543" s="8">
        <v>46195.6132116088</v>
      </c>
      <c r="B3543" s="2" t="s">
        <v>894</v>
      </c>
      <c r="C3543" s="2"/>
      <c r="D3543" s="2" t="s">
        <v>1114</v>
      </c>
    </row>
    <row r="3544">
      <c r="A3544" s="8">
        <v>46195.654781006946</v>
      </c>
      <c r="B3544" s="2" t="s">
        <v>798</v>
      </c>
      <c r="C3544" s="2" t="s">
        <v>799</v>
      </c>
      <c r="D3544" s="2" t="s">
        <v>800</v>
      </c>
    </row>
    <row r="3545">
      <c r="A3545" s="8">
        <v>46195.654786087965</v>
      </c>
      <c r="B3545" s="2" t="s">
        <v>991</v>
      </c>
      <c r="C3545" s="2" t="s">
        <v>810</v>
      </c>
      <c r="D3545" s="2" t="s">
        <v>1105</v>
      </c>
    </row>
    <row r="3546">
      <c r="A3546" s="8">
        <v>46195.6547902662</v>
      </c>
      <c r="B3546" s="2" t="s">
        <v>834</v>
      </c>
      <c r="C3546" s="2" t="s">
        <v>1095</v>
      </c>
      <c r="D3546" s="2" t="s">
        <v>1124</v>
      </c>
    </row>
    <row r="3547">
      <c r="A3547" s="8">
        <v>46195.65482267361</v>
      </c>
      <c r="B3547" s="2" t="s">
        <v>832</v>
      </c>
      <c r="C3547" s="2"/>
      <c r="D3547" s="2" t="s">
        <v>1106</v>
      </c>
    </row>
    <row r="3548">
      <c r="A3548" s="8">
        <v>46195.654902407405</v>
      </c>
      <c r="B3548" s="2" t="s">
        <v>991</v>
      </c>
      <c r="C3548" s="2" t="s">
        <v>519</v>
      </c>
      <c r="D3548" s="2" t="s">
        <v>1083</v>
      </c>
    </row>
    <row r="3549">
      <c r="A3549" s="8">
        <v>46195.65492714121</v>
      </c>
      <c r="B3549" s="2" t="s">
        <v>991</v>
      </c>
      <c r="C3549" s="2" t="s">
        <v>607</v>
      </c>
      <c r="D3549" s="2" t="s">
        <v>1055</v>
      </c>
    </row>
    <row r="3550">
      <c r="A3550" s="8">
        <v>46195.65493390046</v>
      </c>
      <c r="B3550" s="2" t="s">
        <v>894</v>
      </c>
      <c r="C3550" s="2"/>
      <c r="D3550" s="2" t="s">
        <v>1114</v>
      </c>
    </row>
    <row r="3551">
      <c r="A3551" s="8">
        <v>46195.69644487269</v>
      </c>
      <c r="B3551" s="2" t="s">
        <v>838</v>
      </c>
      <c r="C3551" s="2" t="s">
        <v>792</v>
      </c>
      <c r="D3551" s="2" t="s">
        <v>1130</v>
      </c>
    </row>
    <row r="3552">
      <c r="A3552" s="8">
        <v>46195.69644907408</v>
      </c>
      <c r="B3552" s="2" t="s">
        <v>798</v>
      </c>
      <c r="C3552" s="2" t="s">
        <v>799</v>
      </c>
      <c r="D3552" s="2" t="s">
        <v>800</v>
      </c>
    </row>
    <row r="3553">
      <c r="A3553" s="8">
        <v>46195.69645502315</v>
      </c>
      <c r="B3553" s="2" t="s">
        <v>991</v>
      </c>
      <c r="C3553" s="2" t="s">
        <v>810</v>
      </c>
      <c r="D3553" s="2" t="s">
        <v>1105</v>
      </c>
    </row>
    <row r="3554">
      <c r="A3554" s="8">
        <v>46195.69645914352</v>
      </c>
      <c r="B3554" s="2" t="s">
        <v>834</v>
      </c>
      <c r="C3554" s="2" t="s">
        <v>1095</v>
      </c>
      <c r="D3554" s="2" t="s">
        <v>1124</v>
      </c>
    </row>
    <row r="3555">
      <c r="A3555" s="8">
        <v>46195.69646399305</v>
      </c>
      <c r="B3555" s="2" t="s">
        <v>832</v>
      </c>
      <c r="C3555" s="2"/>
      <c r="D3555" s="2" t="s">
        <v>1106</v>
      </c>
    </row>
    <row r="3556">
      <c r="A3556" s="8">
        <v>46195.69653422454</v>
      </c>
      <c r="B3556" s="2" t="s">
        <v>991</v>
      </c>
      <c r="C3556" s="2" t="s">
        <v>519</v>
      </c>
      <c r="D3556" s="2" t="s">
        <v>1083</v>
      </c>
    </row>
    <row r="3557">
      <c r="A3557" s="8">
        <v>46195.69653880787</v>
      </c>
      <c r="B3557" s="2" t="s">
        <v>991</v>
      </c>
      <c r="C3557" s="2" t="s">
        <v>534</v>
      </c>
      <c r="D3557" s="2" t="s">
        <v>1131</v>
      </c>
    </row>
    <row r="3558">
      <c r="A3558" s="8">
        <v>46195.696543287035</v>
      </c>
      <c r="B3558" s="2" t="s">
        <v>991</v>
      </c>
      <c r="C3558" s="2" t="s">
        <v>607</v>
      </c>
      <c r="D3558" s="2" t="s">
        <v>1055</v>
      </c>
    </row>
    <row r="3559">
      <c r="A3559" s="8">
        <v>46195.696546562496</v>
      </c>
      <c r="B3559" s="2" t="s">
        <v>894</v>
      </c>
      <c r="C3559" s="2"/>
      <c r="D3559" s="2" t="s">
        <v>1122</v>
      </c>
    </row>
    <row r="3560">
      <c r="A3560" s="8">
        <v>46195.7381346412</v>
      </c>
      <c r="B3560" s="2" t="s">
        <v>798</v>
      </c>
      <c r="C3560" s="2" t="s">
        <v>799</v>
      </c>
      <c r="D3560" s="2" t="s">
        <v>800</v>
      </c>
    </row>
    <row r="3561">
      <c r="A3561" s="8">
        <v>46195.73814033565</v>
      </c>
      <c r="B3561" s="2" t="s">
        <v>991</v>
      </c>
      <c r="C3561" s="2" t="s">
        <v>810</v>
      </c>
      <c r="D3561" s="2" t="s">
        <v>1105</v>
      </c>
    </row>
    <row r="3562">
      <c r="A3562" s="8">
        <v>46195.73815989583</v>
      </c>
      <c r="B3562" s="2" t="s">
        <v>834</v>
      </c>
      <c r="C3562" s="2" t="s">
        <v>1095</v>
      </c>
      <c r="D3562" s="2" t="s">
        <v>1124</v>
      </c>
    </row>
    <row r="3563">
      <c r="A3563" s="8">
        <v>46195.73816620371</v>
      </c>
      <c r="B3563" s="2" t="s">
        <v>832</v>
      </c>
      <c r="C3563" s="2"/>
      <c r="D3563" s="2" t="s">
        <v>1106</v>
      </c>
    </row>
    <row r="3564">
      <c r="A3564" s="8">
        <v>46195.73824177083</v>
      </c>
      <c r="B3564" s="2" t="s">
        <v>991</v>
      </c>
      <c r="C3564" s="2" t="s">
        <v>519</v>
      </c>
      <c r="D3564" s="2" t="s">
        <v>1083</v>
      </c>
    </row>
    <row r="3565">
      <c r="A3565" s="8">
        <v>46195.73824707176</v>
      </c>
      <c r="B3565" s="2" t="s">
        <v>991</v>
      </c>
      <c r="C3565" s="2" t="s">
        <v>534</v>
      </c>
      <c r="D3565" s="2" t="s">
        <v>1131</v>
      </c>
    </row>
    <row r="3566">
      <c r="A3566" s="8">
        <v>46195.73825709491</v>
      </c>
      <c r="B3566" s="2" t="s">
        <v>991</v>
      </c>
      <c r="C3566" s="2" t="s">
        <v>607</v>
      </c>
      <c r="D3566" s="2" t="s">
        <v>1055</v>
      </c>
    </row>
    <row r="3567">
      <c r="A3567" s="8">
        <v>46195.73826204861</v>
      </c>
      <c r="B3567" s="2" t="s">
        <v>894</v>
      </c>
      <c r="C3567" s="2"/>
      <c r="D3567" s="2" t="s">
        <v>1122</v>
      </c>
    </row>
    <row r="3568">
      <c r="A3568" s="8">
        <v>46195.77222248843</v>
      </c>
      <c r="B3568" s="2" t="s">
        <v>789</v>
      </c>
      <c r="C3568" s="2"/>
      <c r="D3568" s="2" t="s">
        <v>1094</v>
      </c>
    </row>
    <row r="3569">
      <c r="A3569" s="8">
        <v>46195.780135532405</v>
      </c>
      <c r="B3569" s="2" t="s">
        <v>798</v>
      </c>
      <c r="C3569" s="2" t="s">
        <v>799</v>
      </c>
      <c r="D3569" s="2" t="s">
        <v>800</v>
      </c>
    </row>
    <row r="3570">
      <c r="A3570" s="8">
        <v>46195.78016001158</v>
      </c>
      <c r="B3570" s="2" t="s">
        <v>991</v>
      </c>
      <c r="C3570" s="2" t="s">
        <v>810</v>
      </c>
      <c r="D3570" s="2" t="s">
        <v>1105</v>
      </c>
    </row>
    <row r="3571">
      <c r="A3571" s="8">
        <v>46195.78018008102</v>
      </c>
      <c r="B3571" s="2" t="s">
        <v>834</v>
      </c>
      <c r="C3571" s="2" t="s">
        <v>1095</v>
      </c>
      <c r="D3571" s="2" t="s">
        <v>1124</v>
      </c>
    </row>
    <row r="3572">
      <c r="A3572" s="8">
        <v>46195.780219293985</v>
      </c>
      <c r="B3572" s="2" t="s">
        <v>832</v>
      </c>
      <c r="C3572" s="2"/>
      <c r="D3572" s="2" t="s">
        <v>1106</v>
      </c>
    </row>
    <row r="3573">
      <c r="A3573" s="8">
        <v>46195.78044202546</v>
      </c>
      <c r="B3573" s="2" t="s">
        <v>991</v>
      </c>
      <c r="C3573" s="2" t="s">
        <v>519</v>
      </c>
      <c r="D3573" s="2" t="s">
        <v>1083</v>
      </c>
    </row>
    <row r="3574">
      <c r="A3574" s="8">
        <v>46195.78047024306</v>
      </c>
      <c r="B3574" s="2" t="s">
        <v>991</v>
      </c>
      <c r="C3574" s="2" t="s">
        <v>534</v>
      </c>
      <c r="D3574" s="2" t="s">
        <v>1131</v>
      </c>
    </row>
    <row r="3575">
      <c r="A3575" s="8">
        <v>46195.780516099534</v>
      </c>
      <c r="B3575" s="2" t="s">
        <v>991</v>
      </c>
      <c r="C3575" s="2" t="s">
        <v>607</v>
      </c>
      <c r="D3575" s="2" t="s">
        <v>1055</v>
      </c>
    </row>
    <row r="3576">
      <c r="A3576" s="8">
        <v>46195.78053059027</v>
      </c>
      <c r="B3576" s="2" t="s">
        <v>894</v>
      </c>
      <c r="C3576" s="2"/>
      <c r="D3576" s="2" t="s">
        <v>1122</v>
      </c>
    </row>
    <row r="3577">
      <c r="A3577" s="8">
        <v>46195.82144212963</v>
      </c>
      <c r="B3577" s="2" t="s">
        <v>798</v>
      </c>
      <c r="C3577" s="2" t="s">
        <v>799</v>
      </c>
      <c r="D3577" s="2" t="s">
        <v>800</v>
      </c>
    </row>
    <row r="3578">
      <c r="A3578" s="8">
        <v>46195.82144756944</v>
      </c>
      <c r="B3578" s="2" t="s">
        <v>991</v>
      </c>
      <c r="C3578" s="2" t="s">
        <v>810</v>
      </c>
      <c r="D3578" s="2" t="s">
        <v>1105</v>
      </c>
    </row>
    <row r="3579">
      <c r="A3579" s="8">
        <v>46195.82145186343</v>
      </c>
      <c r="B3579" s="2" t="s">
        <v>834</v>
      </c>
      <c r="C3579" s="2" t="s">
        <v>1095</v>
      </c>
      <c r="D3579" s="2" t="s">
        <v>1124</v>
      </c>
    </row>
    <row r="3580">
      <c r="A3580" s="8">
        <v>46195.82146668981</v>
      </c>
      <c r="B3580" s="2" t="s">
        <v>832</v>
      </c>
      <c r="C3580" s="2"/>
      <c r="D3580" s="2" t="s">
        <v>1106</v>
      </c>
    </row>
    <row r="3581">
      <c r="A3581" s="8">
        <v>46195.82153890046</v>
      </c>
      <c r="B3581" s="2" t="s">
        <v>991</v>
      </c>
      <c r="C3581" s="2" t="s">
        <v>519</v>
      </c>
      <c r="D3581" s="2" t="s">
        <v>1083</v>
      </c>
    </row>
    <row r="3582">
      <c r="A3582" s="8">
        <v>46195.821544189814</v>
      </c>
      <c r="B3582" s="2" t="s">
        <v>991</v>
      </c>
      <c r="C3582" s="2" t="s">
        <v>534</v>
      </c>
      <c r="D3582" s="2" t="s">
        <v>1131</v>
      </c>
    </row>
    <row r="3583">
      <c r="A3583" s="8">
        <v>46195.821553472226</v>
      </c>
      <c r="B3583" s="2" t="s">
        <v>991</v>
      </c>
      <c r="C3583" s="2" t="s">
        <v>607</v>
      </c>
      <c r="D3583" s="2" t="s">
        <v>1055</v>
      </c>
    </row>
    <row r="3584">
      <c r="A3584" s="8">
        <v>46195.821557511576</v>
      </c>
      <c r="B3584" s="2" t="s">
        <v>894</v>
      </c>
      <c r="C3584" s="2"/>
      <c r="D3584" s="2" t="s">
        <v>1122</v>
      </c>
    </row>
    <row r="3585">
      <c r="A3585" s="8">
        <v>46195.86312505787</v>
      </c>
      <c r="B3585" s="2" t="s">
        <v>798</v>
      </c>
      <c r="C3585" s="2" t="s">
        <v>799</v>
      </c>
      <c r="D3585" s="2" t="s">
        <v>800</v>
      </c>
    </row>
    <row r="3586">
      <c r="A3586" s="8">
        <v>46195.86313142361</v>
      </c>
      <c r="B3586" s="2" t="s">
        <v>991</v>
      </c>
      <c r="C3586" s="2" t="s">
        <v>810</v>
      </c>
      <c r="D3586" s="2" t="s">
        <v>1105</v>
      </c>
    </row>
    <row r="3587">
      <c r="A3587" s="8">
        <v>46195.86313537037</v>
      </c>
      <c r="B3587" s="2" t="s">
        <v>834</v>
      </c>
      <c r="C3587" s="2" t="s">
        <v>1095</v>
      </c>
      <c r="D3587" s="2" t="s">
        <v>1124</v>
      </c>
    </row>
    <row r="3588">
      <c r="A3588" s="8">
        <v>46195.86314144676</v>
      </c>
      <c r="B3588" s="2" t="s">
        <v>832</v>
      </c>
      <c r="C3588" s="2"/>
      <c r="D3588" s="2" t="s">
        <v>1106</v>
      </c>
    </row>
    <row r="3589">
      <c r="A3589" s="8">
        <v>46195.86322339121</v>
      </c>
      <c r="B3589" s="2" t="s">
        <v>991</v>
      </c>
      <c r="C3589" s="2" t="s">
        <v>519</v>
      </c>
      <c r="D3589" s="2" t="s">
        <v>1083</v>
      </c>
    </row>
    <row r="3590">
      <c r="A3590" s="8">
        <v>46195.8632282176</v>
      </c>
      <c r="B3590" s="2" t="s">
        <v>991</v>
      </c>
      <c r="C3590" s="2" t="s">
        <v>534</v>
      </c>
      <c r="D3590" s="2" t="s">
        <v>1131</v>
      </c>
    </row>
    <row r="3591">
      <c r="A3591" s="8">
        <v>46195.8632334838</v>
      </c>
      <c r="B3591" s="2" t="s">
        <v>991</v>
      </c>
      <c r="C3591" s="2" t="s">
        <v>607</v>
      </c>
      <c r="D3591" s="2" t="s">
        <v>1055</v>
      </c>
    </row>
    <row r="3592">
      <c r="A3592" s="8">
        <v>46195.86324333333</v>
      </c>
      <c r="B3592" s="2" t="s">
        <v>894</v>
      </c>
      <c r="C3592" s="2"/>
      <c r="D3592" s="2" t="s">
        <v>1122</v>
      </c>
    </row>
    <row r="3593">
      <c r="A3593" s="8">
        <v>46195.904777118056</v>
      </c>
      <c r="B3593" s="2" t="s">
        <v>798</v>
      </c>
      <c r="C3593" s="2" t="s">
        <v>799</v>
      </c>
      <c r="D3593" s="2" t="s">
        <v>800</v>
      </c>
    </row>
    <row r="3594">
      <c r="A3594" s="8">
        <v>46195.904780682875</v>
      </c>
      <c r="B3594" s="2" t="s">
        <v>991</v>
      </c>
      <c r="C3594" s="2" t="s">
        <v>810</v>
      </c>
      <c r="D3594" s="2" t="s">
        <v>1105</v>
      </c>
    </row>
    <row r="3595">
      <c r="A3595" s="8">
        <v>46195.904782349535</v>
      </c>
      <c r="B3595" s="2" t="s">
        <v>834</v>
      </c>
      <c r="C3595" s="2" t="s">
        <v>1095</v>
      </c>
      <c r="D3595" s="2" t="s">
        <v>1124</v>
      </c>
    </row>
    <row r="3596">
      <c r="A3596" s="8">
        <v>46195.90480024306</v>
      </c>
      <c r="B3596" s="2" t="s">
        <v>832</v>
      </c>
      <c r="C3596" s="2"/>
      <c r="D3596" s="2" t="s">
        <v>1106</v>
      </c>
    </row>
    <row r="3597">
      <c r="A3597" s="8">
        <v>46195.904862372685</v>
      </c>
      <c r="B3597" s="2" t="s">
        <v>991</v>
      </c>
      <c r="C3597" s="2" t="s">
        <v>519</v>
      </c>
      <c r="D3597" s="2" t="s">
        <v>1083</v>
      </c>
    </row>
    <row r="3598">
      <c r="A3598" s="8">
        <v>46195.904865289354</v>
      </c>
      <c r="B3598" s="2" t="s">
        <v>991</v>
      </c>
      <c r="C3598" s="2" t="s">
        <v>534</v>
      </c>
      <c r="D3598" s="2" t="s">
        <v>1131</v>
      </c>
    </row>
    <row r="3599">
      <c r="A3599" s="8">
        <v>46195.904869826394</v>
      </c>
      <c r="B3599" s="2" t="s">
        <v>991</v>
      </c>
      <c r="C3599" s="2" t="s">
        <v>607</v>
      </c>
      <c r="D3599" s="2" t="s">
        <v>1055</v>
      </c>
    </row>
    <row r="3600">
      <c r="A3600" s="8">
        <v>46195.90487518518</v>
      </c>
      <c r="B3600" s="2" t="s">
        <v>894</v>
      </c>
      <c r="C3600" s="2"/>
      <c r="D3600" s="2" t="s">
        <v>1122</v>
      </c>
    </row>
    <row r="3601">
      <c r="A3601" s="8">
        <v>46195.91729774306</v>
      </c>
      <c r="B3601" s="2" t="s">
        <v>863</v>
      </c>
      <c r="C3601" s="2"/>
      <c r="D3601" s="2" t="s">
        <v>1132</v>
      </c>
    </row>
    <row r="3602">
      <c r="A3602" s="8">
        <v>46195.94644181713</v>
      </c>
      <c r="B3602" s="2" t="s">
        <v>798</v>
      </c>
      <c r="C3602" s="2" t="s">
        <v>799</v>
      </c>
      <c r="D3602" s="2" t="s">
        <v>800</v>
      </c>
    </row>
    <row r="3603">
      <c r="A3603" s="8">
        <v>46195.94644616898</v>
      </c>
      <c r="B3603" s="2" t="s">
        <v>991</v>
      </c>
      <c r="C3603" s="2" t="s">
        <v>810</v>
      </c>
      <c r="D3603" s="2" t="s">
        <v>1105</v>
      </c>
    </row>
    <row r="3604">
      <c r="A3604" s="8">
        <v>46195.94644972222</v>
      </c>
      <c r="B3604" s="2" t="s">
        <v>834</v>
      </c>
      <c r="C3604" s="2" t="s">
        <v>1095</v>
      </c>
      <c r="D3604" s="2" t="s">
        <v>1124</v>
      </c>
    </row>
    <row r="3605">
      <c r="A3605" s="8">
        <v>46195.946453993056</v>
      </c>
      <c r="B3605" s="2" t="s">
        <v>832</v>
      </c>
      <c r="C3605" s="2"/>
      <c r="D3605" s="2" t="s">
        <v>1106</v>
      </c>
    </row>
    <row r="3606">
      <c r="A3606" s="8">
        <v>46195.94652798611</v>
      </c>
      <c r="B3606" s="2" t="s">
        <v>991</v>
      </c>
      <c r="C3606" s="2" t="s">
        <v>519</v>
      </c>
      <c r="D3606" s="2" t="s">
        <v>1083</v>
      </c>
    </row>
    <row r="3607">
      <c r="A3607" s="8">
        <v>46195.946531319445</v>
      </c>
      <c r="B3607" s="2" t="s">
        <v>991</v>
      </c>
      <c r="C3607" s="2" t="s">
        <v>534</v>
      </c>
      <c r="D3607" s="2" t="s">
        <v>1131</v>
      </c>
    </row>
    <row r="3608">
      <c r="A3608" s="8">
        <v>46195.94653560185</v>
      </c>
      <c r="B3608" s="2" t="s">
        <v>991</v>
      </c>
      <c r="C3608" s="2" t="s">
        <v>607</v>
      </c>
      <c r="D3608" s="2" t="s">
        <v>1055</v>
      </c>
    </row>
    <row r="3609">
      <c r="A3609" s="8">
        <v>46195.94653988426</v>
      </c>
      <c r="B3609" s="2" t="s">
        <v>894</v>
      </c>
      <c r="C3609" s="2"/>
      <c r="D3609" s="2" t="s">
        <v>1122</v>
      </c>
    </row>
    <row r="3610">
      <c r="A3610" s="8">
        <v>46195.988176099534</v>
      </c>
      <c r="B3610" s="2" t="s">
        <v>798</v>
      </c>
      <c r="C3610" s="2" t="s">
        <v>799</v>
      </c>
      <c r="D3610" s="2" t="s">
        <v>800</v>
      </c>
    </row>
    <row r="3611">
      <c r="A3611" s="8">
        <v>46195.98818435185</v>
      </c>
      <c r="B3611" s="2" t="s">
        <v>991</v>
      </c>
      <c r="C3611" s="2" t="s">
        <v>810</v>
      </c>
      <c r="D3611" s="2" t="s">
        <v>1105</v>
      </c>
    </row>
    <row r="3612">
      <c r="A3612" s="8">
        <v>46195.98819055555</v>
      </c>
      <c r="B3612" s="2" t="s">
        <v>834</v>
      </c>
      <c r="C3612" s="2" t="s">
        <v>1095</v>
      </c>
      <c r="D3612" s="2" t="s">
        <v>1124</v>
      </c>
    </row>
    <row r="3613">
      <c r="A3613" s="8">
        <v>46195.988212592594</v>
      </c>
      <c r="B3613" s="2" t="s">
        <v>832</v>
      </c>
      <c r="C3613" s="2"/>
      <c r="D3613" s="2" t="s">
        <v>1106</v>
      </c>
    </row>
    <row r="3614">
      <c r="A3614" s="8">
        <v>46195.98833207176</v>
      </c>
      <c r="B3614" s="2" t="s">
        <v>991</v>
      </c>
      <c r="C3614" s="2" t="s">
        <v>519</v>
      </c>
      <c r="D3614" s="2" t="s">
        <v>1083</v>
      </c>
    </row>
    <row r="3615">
      <c r="A3615" s="8">
        <v>46195.9883393287</v>
      </c>
      <c r="B3615" s="2" t="s">
        <v>991</v>
      </c>
      <c r="C3615" s="2" t="s">
        <v>534</v>
      </c>
      <c r="D3615" s="2" t="s">
        <v>1131</v>
      </c>
    </row>
    <row r="3616">
      <c r="A3616" s="8">
        <v>46195.988358773146</v>
      </c>
      <c r="B3616" s="2" t="s">
        <v>991</v>
      </c>
      <c r="C3616" s="2" t="s">
        <v>607</v>
      </c>
      <c r="D3616" s="2" t="s">
        <v>1055</v>
      </c>
    </row>
    <row r="3617">
      <c r="A3617" s="8">
        <v>46195.98836549769</v>
      </c>
      <c r="B3617" s="2" t="s">
        <v>894</v>
      </c>
      <c r="C3617" s="2"/>
      <c r="D3617" s="2" t="s">
        <v>1122</v>
      </c>
    </row>
    <row r="3618">
      <c r="A3618" s="8">
        <v>46196.02981760417</v>
      </c>
      <c r="B3618" s="2" t="s">
        <v>798</v>
      </c>
      <c r="C3618" s="2" t="s">
        <v>799</v>
      </c>
      <c r="D3618" s="2" t="s">
        <v>800</v>
      </c>
    </row>
    <row r="3619">
      <c r="A3619" s="8">
        <v>46196.029826365746</v>
      </c>
      <c r="B3619" s="2" t="s">
        <v>991</v>
      </c>
      <c r="C3619" s="2" t="s">
        <v>810</v>
      </c>
      <c r="D3619" s="2" t="s">
        <v>1105</v>
      </c>
    </row>
    <row r="3620">
      <c r="A3620" s="8">
        <v>46196.029835127316</v>
      </c>
      <c r="B3620" s="2" t="s">
        <v>834</v>
      </c>
      <c r="C3620" s="2" t="s">
        <v>1095</v>
      </c>
      <c r="D3620" s="2" t="s">
        <v>1124</v>
      </c>
    </row>
    <row r="3621">
      <c r="A3621" s="8">
        <v>46196.0298605787</v>
      </c>
      <c r="B3621" s="2" t="s">
        <v>832</v>
      </c>
      <c r="C3621" s="2"/>
      <c r="D3621" s="2" t="s">
        <v>1106</v>
      </c>
    </row>
    <row r="3622">
      <c r="A3622" s="8">
        <v>46196.0299724537</v>
      </c>
      <c r="B3622" s="2" t="s">
        <v>991</v>
      </c>
      <c r="C3622" s="2" t="s">
        <v>519</v>
      </c>
      <c r="D3622" s="2" t="s">
        <v>1083</v>
      </c>
    </row>
    <row r="3623">
      <c r="A3623" s="8">
        <v>46196.02998741898</v>
      </c>
      <c r="B3623" s="2" t="s">
        <v>844</v>
      </c>
      <c r="C3623" s="2" t="s">
        <v>524</v>
      </c>
      <c r="D3623" s="2" t="s">
        <v>945</v>
      </c>
    </row>
    <row r="3624">
      <c r="A3624" s="8">
        <v>46196.029999328704</v>
      </c>
      <c r="B3624" s="2" t="s">
        <v>991</v>
      </c>
      <c r="C3624" s="2" t="s">
        <v>534</v>
      </c>
      <c r="D3624" s="2" t="s">
        <v>1131</v>
      </c>
    </row>
    <row r="3625">
      <c r="A3625" s="8">
        <v>46196.03002362269</v>
      </c>
      <c r="B3625" s="2" t="s">
        <v>991</v>
      </c>
      <c r="C3625" s="2" t="s">
        <v>607</v>
      </c>
      <c r="D3625" s="2" t="s">
        <v>1055</v>
      </c>
    </row>
    <row r="3626">
      <c r="A3626" s="8">
        <v>46196.03002931713</v>
      </c>
      <c r="B3626" s="2" t="s">
        <v>894</v>
      </c>
      <c r="C3626" s="2"/>
      <c r="D3626" s="2" t="s">
        <v>1133</v>
      </c>
    </row>
    <row r="3627">
      <c r="A3627" s="8">
        <v>46196.071440451386</v>
      </c>
      <c r="B3627" s="2" t="s">
        <v>798</v>
      </c>
      <c r="C3627" s="2" t="s">
        <v>799</v>
      </c>
      <c r="D3627" s="2" t="s">
        <v>800</v>
      </c>
    </row>
    <row r="3628">
      <c r="A3628" s="8">
        <v>46196.07144528935</v>
      </c>
      <c r="B3628" s="2" t="s">
        <v>991</v>
      </c>
      <c r="C3628" s="2" t="s">
        <v>810</v>
      </c>
      <c r="D3628" s="2" t="s">
        <v>1105</v>
      </c>
    </row>
    <row r="3629">
      <c r="A3629" s="8">
        <v>46196.071448449075</v>
      </c>
      <c r="B3629" s="2" t="s">
        <v>834</v>
      </c>
      <c r="C3629" s="2" t="s">
        <v>1095</v>
      </c>
      <c r="D3629" s="2" t="s">
        <v>1124</v>
      </c>
    </row>
    <row r="3630">
      <c r="A3630" s="8">
        <v>46196.071462395834</v>
      </c>
      <c r="B3630" s="2" t="s">
        <v>832</v>
      </c>
      <c r="C3630" s="2"/>
      <c r="D3630" s="2" t="s">
        <v>1106</v>
      </c>
    </row>
    <row r="3631">
      <c r="A3631" s="8">
        <v>46196.07153753472</v>
      </c>
      <c r="B3631" s="2" t="s">
        <v>991</v>
      </c>
      <c r="C3631" s="2" t="s">
        <v>519</v>
      </c>
      <c r="D3631" s="2" t="s">
        <v>1083</v>
      </c>
    </row>
    <row r="3632">
      <c r="A3632" s="8">
        <v>46196.07154113426</v>
      </c>
      <c r="B3632" s="2" t="s">
        <v>991</v>
      </c>
      <c r="C3632" s="2" t="s">
        <v>534</v>
      </c>
      <c r="D3632" s="2" t="s">
        <v>1131</v>
      </c>
    </row>
    <row r="3633">
      <c r="A3633" s="8">
        <v>46196.071545520834</v>
      </c>
      <c r="B3633" s="2" t="s">
        <v>991</v>
      </c>
      <c r="C3633" s="2" t="s">
        <v>607</v>
      </c>
      <c r="D3633" s="2" t="s">
        <v>1055</v>
      </c>
    </row>
    <row r="3634">
      <c r="A3634" s="8">
        <v>46196.071549224536</v>
      </c>
      <c r="B3634" s="2" t="s">
        <v>894</v>
      </c>
      <c r="C3634" s="2"/>
      <c r="D3634" s="2" t="s">
        <v>1122</v>
      </c>
    </row>
    <row r="3635">
      <c r="A3635" s="8">
        <v>46196.11310350694</v>
      </c>
      <c r="B3635" s="2" t="s">
        <v>798</v>
      </c>
      <c r="C3635" s="2" t="s">
        <v>799</v>
      </c>
      <c r="D3635" s="2" t="s">
        <v>800</v>
      </c>
    </row>
    <row r="3636">
      <c r="A3636" s="8">
        <v>46196.113106770834</v>
      </c>
      <c r="B3636" s="2" t="s">
        <v>991</v>
      </c>
      <c r="C3636" s="2" t="s">
        <v>810</v>
      </c>
      <c r="D3636" s="2" t="s">
        <v>1105</v>
      </c>
    </row>
    <row r="3637">
      <c r="A3637" s="8">
        <v>46196.113110289356</v>
      </c>
      <c r="B3637" s="2" t="s">
        <v>834</v>
      </c>
      <c r="C3637" s="2" t="s">
        <v>1095</v>
      </c>
      <c r="D3637" s="2" t="s">
        <v>1124</v>
      </c>
    </row>
    <row r="3638">
      <c r="A3638" s="8">
        <v>46196.113123981486</v>
      </c>
      <c r="B3638" s="2" t="s">
        <v>834</v>
      </c>
      <c r="C3638" s="2" t="s">
        <v>818</v>
      </c>
      <c r="D3638" s="2" t="s">
        <v>1134</v>
      </c>
    </row>
    <row r="3639">
      <c r="A3639" s="8">
        <v>46196.11313041666</v>
      </c>
      <c r="B3639" s="2" t="s">
        <v>844</v>
      </c>
      <c r="C3639" s="2" t="s">
        <v>818</v>
      </c>
      <c r="D3639" s="2" t="s">
        <v>1129</v>
      </c>
    </row>
    <row r="3640">
      <c r="A3640" s="8">
        <v>46196.11313946759</v>
      </c>
      <c r="B3640" s="2" t="s">
        <v>832</v>
      </c>
      <c r="C3640" s="2"/>
      <c r="D3640" s="2" t="s">
        <v>1109</v>
      </c>
    </row>
    <row r="3641">
      <c r="A3641" s="8">
        <v>46196.1132009838</v>
      </c>
      <c r="B3641" s="2" t="s">
        <v>991</v>
      </c>
      <c r="C3641" s="2" t="s">
        <v>519</v>
      </c>
      <c r="D3641" s="2" t="s">
        <v>1083</v>
      </c>
    </row>
    <row r="3642">
      <c r="A3642" s="8">
        <v>46196.113203761575</v>
      </c>
      <c r="B3642" s="2" t="s">
        <v>991</v>
      </c>
      <c r="C3642" s="2" t="s">
        <v>534</v>
      </c>
      <c r="D3642" s="2" t="s">
        <v>1131</v>
      </c>
    </row>
    <row r="3643">
      <c r="A3643" s="8">
        <v>46196.1132071875</v>
      </c>
      <c r="B3643" s="2" t="s">
        <v>991</v>
      </c>
      <c r="C3643" s="2" t="s">
        <v>607</v>
      </c>
      <c r="D3643" s="2" t="s">
        <v>1055</v>
      </c>
    </row>
    <row r="3644">
      <c r="A3644" s="8">
        <v>46196.113209421295</v>
      </c>
      <c r="B3644" s="2" t="s">
        <v>894</v>
      </c>
      <c r="C3644" s="2"/>
      <c r="D3644" s="2" t="s">
        <v>1122</v>
      </c>
    </row>
    <row r="3645">
      <c r="A3645" s="8">
        <v>46196.154789699074</v>
      </c>
      <c r="B3645" s="2" t="s">
        <v>798</v>
      </c>
      <c r="C3645" s="2" t="s">
        <v>799</v>
      </c>
      <c r="D3645" s="2" t="s">
        <v>800</v>
      </c>
    </row>
    <row r="3646">
      <c r="A3646" s="8">
        <v>46196.154794965274</v>
      </c>
      <c r="B3646" s="2" t="s">
        <v>991</v>
      </c>
      <c r="C3646" s="2" t="s">
        <v>810</v>
      </c>
      <c r="D3646" s="2" t="s">
        <v>1105</v>
      </c>
    </row>
    <row r="3647">
      <c r="A3647" s="8">
        <v>46196.154812824076</v>
      </c>
      <c r="B3647" s="2" t="s">
        <v>834</v>
      </c>
      <c r="C3647" s="2" t="s">
        <v>1095</v>
      </c>
      <c r="D3647" s="2" t="s">
        <v>1124</v>
      </c>
    </row>
    <row r="3648">
      <c r="A3648" s="8">
        <v>46196.15481665509</v>
      </c>
      <c r="B3648" s="2" t="s">
        <v>834</v>
      </c>
      <c r="C3648" s="2" t="s">
        <v>818</v>
      </c>
      <c r="D3648" s="2" t="s">
        <v>1134</v>
      </c>
    </row>
    <row r="3649">
      <c r="A3649" s="8">
        <v>46196.154823784724</v>
      </c>
      <c r="B3649" s="2" t="s">
        <v>832</v>
      </c>
      <c r="C3649" s="2"/>
      <c r="D3649" s="2" t="s">
        <v>1106</v>
      </c>
    </row>
    <row r="3650">
      <c r="A3650" s="8">
        <v>46196.154904525465</v>
      </c>
      <c r="B3650" s="2" t="s">
        <v>991</v>
      </c>
      <c r="C3650" s="2" t="s">
        <v>519</v>
      </c>
      <c r="D3650" s="2" t="s">
        <v>1083</v>
      </c>
    </row>
    <row r="3651">
      <c r="A3651" s="8">
        <v>46196.15490944445</v>
      </c>
      <c r="B3651" s="2" t="s">
        <v>991</v>
      </c>
      <c r="C3651" s="2" t="s">
        <v>534</v>
      </c>
      <c r="D3651" s="2" t="s">
        <v>1131</v>
      </c>
    </row>
    <row r="3652">
      <c r="A3652" s="8">
        <v>46196.154914756946</v>
      </c>
      <c r="B3652" s="2" t="s">
        <v>991</v>
      </c>
      <c r="C3652" s="2" t="s">
        <v>607</v>
      </c>
      <c r="D3652" s="2" t="s">
        <v>1055</v>
      </c>
    </row>
    <row r="3653">
      <c r="A3653" s="8">
        <v>46196.15491759259</v>
      </c>
      <c r="B3653" s="2" t="s">
        <v>894</v>
      </c>
      <c r="C3653" s="2"/>
      <c r="D3653" s="2" t="s">
        <v>1122</v>
      </c>
    </row>
    <row r="3654">
      <c r="A3654" s="8">
        <v>46196.196433819445</v>
      </c>
      <c r="B3654" s="2" t="s">
        <v>798</v>
      </c>
      <c r="C3654" s="2" t="s">
        <v>799</v>
      </c>
      <c r="D3654" s="2" t="s">
        <v>800</v>
      </c>
    </row>
    <row r="3655">
      <c r="A3655" s="8">
        <v>46196.19643804398</v>
      </c>
      <c r="B3655" s="2" t="s">
        <v>991</v>
      </c>
      <c r="C3655" s="2" t="s">
        <v>810</v>
      </c>
      <c r="D3655" s="2" t="s">
        <v>1105</v>
      </c>
    </row>
    <row r="3656">
      <c r="A3656" s="8">
        <v>46196.19645820602</v>
      </c>
      <c r="B3656" s="2" t="s">
        <v>834</v>
      </c>
      <c r="C3656" s="2" t="s">
        <v>1095</v>
      </c>
      <c r="D3656" s="2" t="s">
        <v>1124</v>
      </c>
    </row>
    <row r="3657">
      <c r="A3657" s="8">
        <v>46196.196460810184</v>
      </c>
      <c r="B3657" s="2" t="s">
        <v>834</v>
      </c>
      <c r="C3657" s="2" t="s">
        <v>818</v>
      </c>
      <c r="D3657" s="2" t="s">
        <v>1134</v>
      </c>
    </row>
    <row r="3658">
      <c r="A3658" s="8">
        <v>46196.196468090275</v>
      </c>
      <c r="B3658" s="2" t="s">
        <v>832</v>
      </c>
      <c r="C3658" s="2"/>
      <c r="D3658" s="2" t="s">
        <v>1106</v>
      </c>
    </row>
    <row r="3659">
      <c r="A3659" s="8">
        <v>46196.19654493056</v>
      </c>
      <c r="B3659" s="2" t="s">
        <v>991</v>
      </c>
      <c r="C3659" s="2" t="s">
        <v>519</v>
      </c>
      <c r="D3659" s="2" t="s">
        <v>1083</v>
      </c>
    </row>
    <row r="3660">
      <c r="A3660" s="8">
        <v>46196.196548391206</v>
      </c>
      <c r="B3660" s="2" t="s">
        <v>991</v>
      </c>
      <c r="C3660" s="2" t="s">
        <v>534</v>
      </c>
      <c r="D3660" s="2" t="s">
        <v>1131</v>
      </c>
    </row>
    <row r="3661">
      <c r="A3661" s="8">
        <v>46196.19655763889</v>
      </c>
      <c r="B3661" s="2" t="s">
        <v>991</v>
      </c>
      <c r="C3661" s="2" t="s">
        <v>607</v>
      </c>
      <c r="D3661" s="2" t="s">
        <v>1055</v>
      </c>
    </row>
    <row r="3662">
      <c r="A3662" s="8">
        <v>46196.196563171296</v>
      </c>
      <c r="B3662" s="2" t="s">
        <v>894</v>
      </c>
      <c r="C3662" s="2"/>
      <c r="D3662" s="2" t="s">
        <v>1122</v>
      </c>
    </row>
    <row r="3663">
      <c r="A3663" s="8">
        <v>46196.23810340278</v>
      </c>
      <c r="B3663" s="2" t="s">
        <v>798</v>
      </c>
      <c r="C3663" s="2" t="s">
        <v>799</v>
      </c>
      <c r="D3663" s="2" t="s">
        <v>800</v>
      </c>
    </row>
    <row r="3664">
      <c r="A3664" s="8">
        <v>46196.23810673611</v>
      </c>
      <c r="B3664" s="2" t="s">
        <v>991</v>
      </c>
      <c r="C3664" s="2" t="s">
        <v>810</v>
      </c>
      <c r="D3664" s="2" t="s">
        <v>1105</v>
      </c>
    </row>
    <row r="3665">
      <c r="A3665" s="8">
        <v>46196.23810954861</v>
      </c>
      <c r="B3665" s="2" t="s">
        <v>834</v>
      </c>
      <c r="C3665" s="2" t="s">
        <v>1095</v>
      </c>
      <c r="D3665" s="2" t="s">
        <v>1124</v>
      </c>
    </row>
    <row r="3666">
      <c r="A3666" s="8">
        <v>46196.23812553241</v>
      </c>
      <c r="B3666" s="2" t="s">
        <v>834</v>
      </c>
      <c r="C3666" s="2" t="s">
        <v>818</v>
      </c>
      <c r="D3666" s="2" t="s">
        <v>1134</v>
      </c>
    </row>
    <row r="3667">
      <c r="A3667" s="8">
        <v>46196.23812851852</v>
      </c>
      <c r="B3667" s="2" t="s">
        <v>832</v>
      </c>
      <c r="C3667" s="2"/>
      <c r="D3667" s="2" t="s">
        <v>1106</v>
      </c>
    </row>
    <row r="3668">
      <c r="A3668" s="8">
        <v>46196.238184745365</v>
      </c>
      <c r="B3668" s="2" t="s">
        <v>991</v>
      </c>
      <c r="C3668" s="2" t="s">
        <v>519</v>
      </c>
      <c r="D3668" s="2" t="s">
        <v>1083</v>
      </c>
    </row>
    <row r="3669">
      <c r="A3669" s="8">
        <v>46196.238187407405</v>
      </c>
      <c r="B3669" s="2" t="s">
        <v>991</v>
      </c>
      <c r="C3669" s="2" t="s">
        <v>534</v>
      </c>
      <c r="D3669" s="2" t="s">
        <v>1131</v>
      </c>
    </row>
    <row r="3670">
      <c r="A3670" s="8">
        <v>46196.23819045139</v>
      </c>
      <c r="B3670" s="2" t="s">
        <v>991</v>
      </c>
      <c r="C3670" s="2" t="s">
        <v>607</v>
      </c>
      <c r="D3670" s="2" t="s">
        <v>1055</v>
      </c>
    </row>
    <row r="3671">
      <c r="A3671" s="8">
        <v>46196.238192951394</v>
      </c>
      <c r="B3671" s="2" t="s">
        <v>894</v>
      </c>
      <c r="C3671" s="2"/>
      <c r="D3671" s="2" t="s">
        <v>1122</v>
      </c>
    </row>
    <row r="3672">
      <c r="A3672" s="8">
        <v>46196.27979306713</v>
      </c>
      <c r="B3672" s="2" t="s">
        <v>798</v>
      </c>
      <c r="C3672" s="2" t="s">
        <v>799</v>
      </c>
      <c r="D3672" s="2" t="s">
        <v>800</v>
      </c>
    </row>
    <row r="3673">
      <c r="A3673" s="8">
        <v>46196.279801979166</v>
      </c>
      <c r="B3673" s="2" t="s">
        <v>991</v>
      </c>
      <c r="C3673" s="2" t="s">
        <v>810</v>
      </c>
      <c r="D3673" s="2" t="s">
        <v>1105</v>
      </c>
    </row>
    <row r="3674">
      <c r="A3674" s="8">
        <v>46196.279816863425</v>
      </c>
      <c r="B3674" s="2" t="s">
        <v>834</v>
      </c>
      <c r="C3674" s="2" t="s">
        <v>1095</v>
      </c>
      <c r="D3674" s="2" t="s">
        <v>1124</v>
      </c>
    </row>
    <row r="3675">
      <c r="A3675" s="8">
        <v>46196.279821516204</v>
      </c>
      <c r="B3675" s="2" t="s">
        <v>834</v>
      </c>
      <c r="C3675" s="2" t="s">
        <v>818</v>
      </c>
      <c r="D3675" s="2" t="s">
        <v>1134</v>
      </c>
    </row>
    <row r="3676">
      <c r="A3676" s="8">
        <v>46196.27982744213</v>
      </c>
      <c r="B3676" s="2" t="s">
        <v>832</v>
      </c>
      <c r="C3676" s="2"/>
      <c r="D3676" s="2" t="s">
        <v>1106</v>
      </c>
    </row>
    <row r="3677">
      <c r="A3677" s="8">
        <v>46196.2799065162</v>
      </c>
      <c r="B3677" s="2" t="s">
        <v>991</v>
      </c>
      <c r="C3677" s="2" t="s">
        <v>519</v>
      </c>
      <c r="D3677" s="2" t="s">
        <v>1083</v>
      </c>
    </row>
    <row r="3678">
      <c r="A3678" s="8">
        <v>46196.279911805555</v>
      </c>
      <c r="B3678" s="2" t="s">
        <v>991</v>
      </c>
      <c r="C3678" s="2" t="s">
        <v>534</v>
      </c>
      <c r="D3678" s="2" t="s">
        <v>1131</v>
      </c>
    </row>
    <row r="3679">
      <c r="A3679" s="8">
        <v>46196.27992335648</v>
      </c>
      <c r="B3679" s="2" t="s">
        <v>991</v>
      </c>
      <c r="C3679" s="2" t="s">
        <v>607</v>
      </c>
      <c r="D3679" s="2" t="s">
        <v>1055</v>
      </c>
    </row>
    <row r="3680">
      <c r="A3680" s="8">
        <v>46196.27992626157</v>
      </c>
      <c r="B3680" s="2" t="s">
        <v>894</v>
      </c>
      <c r="C3680" s="2"/>
      <c r="D3680" s="2" t="s">
        <v>1122</v>
      </c>
    </row>
    <row r="3681">
      <c r="A3681" s="8">
        <v>46196.32144770834</v>
      </c>
      <c r="B3681" s="2" t="s">
        <v>798</v>
      </c>
      <c r="C3681" s="2" t="s">
        <v>799</v>
      </c>
      <c r="D3681" s="2" t="s">
        <v>800</v>
      </c>
    </row>
    <row r="3682">
      <c r="A3682" s="8">
        <v>46196.32145181713</v>
      </c>
      <c r="B3682" s="2" t="s">
        <v>991</v>
      </c>
      <c r="C3682" s="2" t="s">
        <v>810</v>
      </c>
      <c r="D3682" s="2" t="s">
        <v>1105</v>
      </c>
    </row>
    <row r="3683">
      <c r="A3683" s="8">
        <v>46196.32145538194</v>
      </c>
      <c r="B3683" s="2" t="s">
        <v>834</v>
      </c>
      <c r="C3683" s="2" t="s">
        <v>1095</v>
      </c>
      <c r="D3683" s="2" t="s">
        <v>1124</v>
      </c>
    </row>
    <row r="3684">
      <c r="A3684" s="8">
        <v>46196.32147350695</v>
      </c>
      <c r="B3684" s="2" t="s">
        <v>834</v>
      </c>
      <c r="C3684" s="2" t="s">
        <v>818</v>
      </c>
      <c r="D3684" s="2" t="s">
        <v>1134</v>
      </c>
    </row>
    <row r="3685">
      <c r="A3685" s="8">
        <v>46196.32147855324</v>
      </c>
      <c r="B3685" s="2" t="s">
        <v>832</v>
      </c>
      <c r="C3685" s="2"/>
      <c r="D3685" s="2" t="s">
        <v>1106</v>
      </c>
    </row>
    <row r="3686">
      <c r="A3686" s="8">
        <v>46196.321547314816</v>
      </c>
      <c r="B3686" s="2" t="s">
        <v>991</v>
      </c>
      <c r="C3686" s="2" t="s">
        <v>519</v>
      </c>
      <c r="D3686" s="2" t="s">
        <v>1083</v>
      </c>
    </row>
    <row r="3687">
      <c r="A3687" s="8">
        <v>46196.32155231481</v>
      </c>
      <c r="B3687" s="2" t="s">
        <v>991</v>
      </c>
      <c r="C3687" s="2" t="s">
        <v>534</v>
      </c>
      <c r="D3687" s="2" t="s">
        <v>1131</v>
      </c>
    </row>
    <row r="3688">
      <c r="A3688" s="8">
        <v>46196.32155756945</v>
      </c>
      <c r="B3688" s="2" t="s">
        <v>991</v>
      </c>
      <c r="C3688" s="2" t="s">
        <v>607</v>
      </c>
      <c r="D3688" s="2" t="s">
        <v>1055</v>
      </c>
    </row>
    <row r="3689">
      <c r="A3689" s="8">
        <v>46196.32156164352</v>
      </c>
      <c r="B3689" s="2" t="s">
        <v>894</v>
      </c>
      <c r="C3689" s="2"/>
      <c r="D3689" s="2" t="s">
        <v>1122</v>
      </c>
    </row>
    <row r="3690">
      <c r="A3690" s="8">
        <v>46196.36313164352</v>
      </c>
      <c r="B3690" s="2" t="s">
        <v>798</v>
      </c>
      <c r="C3690" s="2" t="s">
        <v>799</v>
      </c>
      <c r="D3690" s="2" t="s">
        <v>800</v>
      </c>
    </row>
    <row r="3691">
      <c r="A3691" s="8">
        <v>46196.36313703704</v>
      </c>
      <c r="B3691" s="2" t="s">
        <v>991</v>
      </c>
      <c r="C3691" s="2" t="s">
        <v>810</v>
      </c>
      <c r="D3691" s="2" t="s">
        <v>1105</v>
      </c>
    </row>
    <row r="3692">
      <c r="A3692" s="8">
        <v>46196.36314341435</v>
      </c>
      <c r="B3692" s="2" t="s">
        <v>834</v>
      </c>
      <c r="C3692" s="2" t="s">
        <v>1095</v>
      </c>
      <c r="D3692" s="2" t="s">
        <v>1124</v>
      </c>
    </row>
    <row r="3693">
      <c r="A3693" s="8">
        <v>46196.363160266206</v>
      </c>
      <c r="B3693" s="2" t="s">
        <v>834</v>
      </c>
      <c r="C3693" s="2" t="s">
        <v>818</v>
      </c>
      <c r="D3693" s="2" t="s">
        <v>1134</v>
      </c>
    </row>
    <row r="3694">
      <c r="A3694" s="8">
        <v>46196.36316679398</v>
      </c>
      <c r="B3694" s="2" t="s">
        <v>832</v>
      </c>
      <c r="C3694" s="2"/>
      <c r="D3694" s="2" t="s">
        <v>1106</v>
      </c>
    </row>
    <row r="3695">
      <c r="A3695" s="8">
        <v>46196.363239618055</v>
      </c>
      <c r="B3695" s="2" t="s">
        <v>991</v>
      </c>
      <c r="C3695" s="2" t="s">
        <v>519</v>
      </c>
      <c r="D3695" s="2" t="s">
        <v>1083</v>
      </c>
    </row>
    <row r="3696">
      <c r="A3696" s="8">
        <v>46196.36324337963</v>
      </c>
      <c r="B3696" s="2" t="s">
        <v>991</v>
      </c>
      <c r="C3696" s="2" t="s">
        <v>534</v>
      </c>
      <c r="D3696" s="2" t="s">
        <v>1131</v>
      </c>
    </row>
    <row r="3697">
      <c r="A3697" s="8">
        <v>46196.363249745365</v>
      </c>
      <c r="B3697" s="2" t="s">
        <v>991</v>
      </c>
      <c r="C3697" s="2" t="s">
        <v>607</v>
      </c>
      <c r="D3697" s="2" t="s">
        <v>1055</v>
      </c>
    </row>
    <row r="3698">
      <c r="A3698" s="8">
        <v>46196.363253240736</v>
      </c>
      <c r="B3698" s="2" t="s">
        <v>894</v>
      </c>
      <c r="C3698" s="2"/>
      <c r="D3698" s="2" t="s">
        <v>1122</v>
      </c>
    </row>
    <row r="3699">
      <c r="A3699" s="8">
        <v>46196.404774317125</v>
      </c>
      <c r="B3699" s="2" t="s">
        <v>798</v>
      </c>
      <c r="C3699" s="2" t="s">
        <v>799</v>
      </c>
      <c r="D3699" s="2" t="s">
        <v>800</v>
      </c>
    </row>
    <row r="3700">
      <c r="A3700" s="8">
        <v>46196.404778298616</v>
      </c>
      <c r="B3700" s="2" t="s">
        <v>991</v>
      </c>
      <c r="C3700" s="2" t="s">
        <v>810</v>
      </c>
      <c r="D3700" s="2" t="s">
        <v>1105</v>
      </c>
    </row>
    <row r="3701">
      <c r="A3701" s="8">
        <v>46196.40478298611</v>
      </c>
      <c r="B3701" s="2" t="s">
        <v>834</v>
      </c>
      <c r="C3701" s="2" t="s">
        <v>1095</v>
      </c>
      <c r="D3701" s="2" t="s">
        <v>1124</v>
      </c>
    </row>
    <row r="3702">
      <c r="A3702" s="8">
        <v>46196.404796215276</v>
      </c>
      <c r="B3702" s="2" t="s">
        <v>834</v>
      </c>
      <c r="C3702" s="2" t="s">
        <v>818</v>
      </c>
      <c r="D3702" s="2" t="s">
        <v>1134</v>
      </c>
    </row>
    <row r="3703">
      <c r="A3703" s="8">
        <v>46196.40480270833</v>
      </c>
      <c r="B3703" s="2" t="s">
        <v>832</v>
      </c>
      <c r="C3703" s="2"/>
      <c r="D3703" s="2" t="s">
        <v>1106</v>
      </c>
    </row>
    <row r="3704">
      <c r="A3704" s="8">
        <v>46196.40487730324</v>
      </c>
      <c r="B3704" s="2" t="s">
        <v>991</v>
      </c>
      <c r="C3704" s="2" t="s">
        <v>519</v>
      </c>
      <c r="D3704" s="2" t="s">
        <v>1083</v>
      </c>
    </row>
    <row r="3705">
      <c r="A3705" s="8">
        <v>46196.404881932875</v>
      </c>
      <c r="B3705" s="2" t="s">
        <v>991</v>
      </c>
      <c r="C3705" s="2" t="s">
        <v>534</v>
      </c>
      <c r="D3705" s="2" t="s">
        <v>1131</v>
      </c>
    </row>
    <row r="3706">
      <c r="A3706" s="8">
        <v>46196.404886689816</v>
      </c>
      <c r="B3706" s="2" t="s">
        <v>991</v>
      </c>
      <c r="C3706" s="2" t="s">
        <v>607</v>
      </c>
      <c r="D3706" s="2" t="s">
        <v>1055</v>
      </c>
    </row>
    <row r="3707">
      <c r="A3707" s="8">
        <v>46196.40489013889</v>
      </c>
      <c r="B3707" s="2" t="s">
        <v>894</v>
      </c>
      <c r="C3707" s="2"/>
      <c r="D3707" s="2" t="s">
        <v>1122</v>
      </c>
    </row>
    <row r="3708">
      <c r="A3708" s="8">
        <v>46196.44644049769</v>
      </c>
      <c r="B3708" s="2" t="s">
        <v>844</v>
      </c>
      <c r="C3708" s="2" t="s">
        <v>1117</v>
      </c>
      <c r="D3708" s="2" t="s">
        <v>1135</v>
      </c>
    </row>
    <row r="3709">
      <c r="A3709" s="8">
        <v>46196.446445381946</v>
      </c>
      <c r="B3709" s="2" t="s">
        <v>798</v>
      </c>
      <c r="C3709" s="2" t="s">
        <v>799</v>
      </c>
      <c r="D3709" s="2" t="s">
        <v>800</v>
      </c>
    </row>
    <row r="3710">
      <c r="A3710" s="8">
        <v>46196.44644892361</v>
      </c>
      <c r="B3710" s="2" t="s">
        <v>991</v>
      </c>
      <c r="C3710" s="2" t="s">
        <v>810</v>
      </c>
      <c r="D3710" s="2" t="s">
        <v>1105</v>
      </c>
    </row>
    <row r="3711">
      <c r="A3711" s="8">
        <v>46196.44646258102</v>
      </c>
      <c r="B3711" s="2" t="s">
        <v>834</v>
      </c>
      <c r="C3711" s="2" t="s">
        <v>1095</v>
      </c>
      <c r="D3711" s="2" t="s">
        <v>1124</v>
      </c>
    </row>
    <row r="3712">
      <c r="A3712" s="8">
        <v>46196.44646577546</v>
      </c>
      <c r="B3712" s="2" t="s">
        <v>834</v>
      </c>
      <c r="C3712" s="2" t="s">
        <v>818</v>
      </c>
      <c r="D3712" s="2" t="s">
        <v>1134</v>
      </c>
    </row>
    <row r="3713">
      <c r="A3713" s="8">
        <v>46196.44646982639</v>
      </c>
      <c r="B3713" s="2" t="s">
        <v>832</v>
      </c>
      <c r="C3713" s="2"/>
      <c r="D3713" s="2" t="s">
        <v>1109</v>
      </c>
    </row>
    <row r="3714">
      <c r="A3714" s="8">
        <v>46196.44653579861</v>
      </c>
      <c r="B3714" s="2" t="s">
        <v>991</v>
      </c>
      <c r="C3714" s="2" t="s">
        <v>519</v>
      </c>
      <c r="D3714" s="2" t="s">
        <v>1083</v>
      </c>
    </row>
    <row r="3715">
      <c r="A3715" s="8">
        <v>46196.44653984954</v>
      </c>
      <c r="B3715" s="2" t="s">
        <v>991</v>
      </c>
      <c r="C3715" s="2" t="s">
        <v>534</v>
      </c>
      <c r="D3715" s="2" t="s">
        <v>1131</v>
      </c>
    </row>
    <row r="3716">
      <c r="A3716" s="8">
        <v>46196.446549444445</v>
      </c>
      <c r="B3716" s="2" t="s">
        <v>991</v>
      </c>
      <c r="C3716" s="2" t="s">
        <v>607</v>
      </c>
      <c r="D3716" s="2" t="s">
        <v>1055</v>
      </c>
    </row>
    <row r="3717">
      <c r="A3717" s="8">
        <v>46196.44655393518</v>
      </c>
      <c r="B3717" s="2" t="s">
        <v>894</v>
      </c>
      <c r="C3717" s="2"/>
      <c r="D3717" s="2" t="s">
        <v>1122</v>
      </c>
    </row>
    <row r="3718">
      <c r="A3718" s="8">
        <v>46196.48814657408</v>
      </c>
      <c r="B3718" s="2" t="s">
        <v>798</v>
      </c>
      <c r="C3718" s="2" t="s">
        <v>799</v>
      </c>
      <c r="D3718" s="2" t="s">
        <v>800</v>
      </c>
    </row>
    <row r="3719">
      <c r="A3719" s="8">
        <v>46196.48815737269</v>
      </c>
      <c r="B3719" s="2" t="s">
        <v>991</v>
      </c>
      <c r="C3719" s="2" t="s">
        <v>810</v>
      </c>
      <c r="D3719" s="2" t="s">
        <v>1105</v>
      </c>
    </row>
    <row r="3720">
      <c r="A3720" s="8">
        <v>46196.48817048611</v>
      </c>
      <c r="B3720" s="2" t="s">
        <v>834</v>
      </c>
      <c r="C3720" s="2" t="s">
        <v>1095</v>
      </c>
      <c r="D3720" s="2" t="s">
        <v>1124</v>
      </c>
    </row>
    <row r="3721">
      <c r="A3721" s="8">
        <v>46196.4881753125</v>
      </c>
      <c r="B3721" s="2" t="s">
        <v>834</v>
      </c>
      <c r="C3721" s="2" t="s">
        <v>818</v>
      </c>
      <c r="D3721" s="2" t="s">
        <v>1134</v>
      </c>
    </row>
    <row r="3722">
      <c r="A3722" s="8">
        <v>46196.48818164352</v>
      </c>
      <c r="B3722" s="2" t="s">
        <v>832</v>
      </c>
      <c r="C3722" s="2"/>
      <c r="D3722" s="2" t="s">
        <v>1106</v>
      </c>
    </row>
    <row r="3723">
      <c r="A3723" s="8">
        <v>46196.488267719906</v>
      </c>
      <c r="B3723" s="2" t="s">
        <v>991</v>
      </c>
      <c r="C3723" s="2" t="s">
        <v>519</v>
      </c>
      <c r="D3723" s="2" t="s">
        <v>1083</v>
      </c>
    </row>
    <row r="3724">
      <c r="A3724" s="8">
        <v>46196.48827221065</v>
      </c>
      <c r="B3724" s="2" t="s">
        <v>991</v>
      </c>
      <c r="C3724" s="2" t="s">
        <v>534</v>
      </c>
      <c r="D3724" s="2" t="s">
        <v>1131</v>
      </c>
    </row>
    <row r="3725">
      <c r="A3725" s="8">
        <v>46196.48827931713</v>
      </c>
      <c r="B3725" s="2" t="s">
        <v>991</v>
      </c>
      <c r="C3725" s="2" t="s">
        <v>607</v>
      </c>
      <c r="D3725" s="2" t="s">
        <v>1055</v>
      </c>
    </row>
    <row r="3726">
      <c r="A3726" s="8">
        <v>46196.48828351852</v>
      </c>
      <c r="B3726" s="2" t="s">
        <v>894</v>
      </c>
      <c r="C3726" s="2"/>
      <c r="D3726" s="2" t="s">
        <v>1122</v>
      </c>
    </row>
    <row r="3727">
      <c r="A3727" s="8">
        <v>46196.52977537037</v>
      </c>
      <c r="B3727" s="2" t="s">
        <v>798</v>
      </c>
      <c r="C3727" s="2" t="s">
        <v>799</v>
      </c>
      <c r="D3727" s="2" t="s">
        <v>800</v>
      </c>
    </row>
    <row r="3728">
      <c r="A3728" s="8">
        <v>46196.52978081019</v>
      </c>
      <c r="B3728" s="2" t="s">
        <v>991</v>
      </c>
      <c r="C3728" s="2" t="s">
        <v>810</v>
      </c>
      <c r="D3728" s="2" t="s">
        <v>1105</v>
      </c>
    </row>
    <row r="3729">
      <c r="A3729" s="8">
        <v>46196.52978440972</v>
      </c>
      <c r="B3729" s="2" t="s">
        <v>834</v>
      </c>
      <c r="C3729" s="2" t="s">
        <v>1095</v>
      </c>
      <c r="D3729" s="2" t="s">
        <v>1124</v>
      </c>
    </row>
    <row r="3730">
      <c r="A3730" s="8">
        <v>46196.52980002315</v>
      </c>
      <c r="B3730" s="2" t="s">
        <v>834</v>
      </c>
      <c r="C3730" s="2" t="s">
        <v>818</v>
      </c>
      <c r="D3730" s="2" t="s">
        <v>1134</v>
      </c>
    </row>
    <row r="3731">
      <c r="A3731" s="8">
        <v>46196.52980550926</v>
      </c>
      <c r="B3731" s="2" t="s">
        <v>832</v>
      </c>
      <c r="C3731" s="2"/>
      <c r="D3731" s="2" t="s">
        <v>1106</v>
      </c>
    </row>
    <row r="3732">
      <c r="A3732" s="8">
        <v>46196.529879375</v>
      </c>
      <c r="B3732" s="2" t="s">
        <v>991</v>
      </c>
      <c r="C3732" s="2" t="s">
        <v>519</v>
      </c>
      <c r="D3732" s="2" t="s">
        <v>1083</v>
      </c>
    </row>
    <row r="3733">
      <c r="A3733" s="8">
        <v>46196.52988364584</v>
      </c>
      <c r="B3733" s="2" t="s">
        <v>991</v>
      </c>
      <c r="C3733" s="2" t="s">
        <v>534</v>
      </c>
      <c r="D3733" s="2" t="s">
        <v>1136</v>
      </c>
    </row>
    <row r="3734">
      <c r="A3734" s="8">
        <v>46196.52988928241</v>
      </c>
      <c r="B3734" s="2" t="s">
        <v>991</v>
      </c>
      <c r="C3734" s="2" t="s">
        <v>607</v>
      </c>
      <c r="D3734" s="2" t="s">
        <v>1055</v>
      </c>
    </row>
    <row r="3735">
      <c r="A3735" s="8">
        <v>46196.52989366898</v>
      </c>
      <c r="B3735" s="2" t="s">
        <v>894</v>
      </c>
      <c r="C3735" s="2"/>
      <c r="D3735" s="2" t="s">
        <v>1122</v>
      </c>
    </row>
    <row r="3736">
      <c r="A3736" s="8">
        <v>46196.57147671296</v>
      </c>
      <c r="B3736" s="2" t="s">
        <v>798</v>
      </c>
      <c r="C3736" s="2" t="s">
        <v>799</v>
      </c>
      <c r="D3736" s="2" t="s">
        <v>800</v>
      </c>
    </row>
    <row r="3737">
      <c r="A3737" s="8">
        <v>46196.57148056713</v>
      </c>
      <c r="B3737" s="2" t="s">
        <v>991</v>
      </c>
      <c r="C3737" s="2" t="s">
        <v>810</v>
      </c>
      <c r="D3737" s="2" t="s">
        <v>1105</v>
      </c>
    </row>
    <row r="3738">
      <c r="A3738" s="8">
        <v>46196.57148274306</v>
      </c>
      <c r="B3738" s="2" t="s">
        <v>834</v>
      </c>
      <c r="C3738" s="2" t="s">
        <v>1095</v>
      </c>
      <c r="D3738" s="2" t="s">
        <v>1124</v>
      </c>
    </row>
    <row r="3739">
      <c r="A3739" s="8">
        <v>46196.57148636574</v>
      </c>
      <c r="B3739" s="2" t="s">
        <v>834</v>
      </c>
      <c r="C3739" s="2" t="s">
        <v>818</v>
      </c>
      <c r="D3739" s="2" t="s">
        <v>1134</v>
      </c>
    </row>
    <row r="3740">
      <c r="A3740" s="8">
        <v>46196.57151100694</v>
      </c>
      <c r="B3740" s="2" t="s">
        <v>844</v>
      </c>
      <c r="C3740" s="2" t="s">
        <v>818</v>
      </c>
      <c r="D3740" s="2" t="s">
        <v>968</v>
      </c>
    </row>
    <row r="3741">
      <c r="A3741" s="8">
        <v>46196.571519942125</v>
      </c>
      <c r="B3741" s="2" t="s">
        <v>832</v>
      </c>
      <c r="C3741" s="2"/>
      <c r="D3741" s="2" t="s">
        <v>1109</v>
      </c>
    </row>
    <row r="3742">
      <c r="A3742" s="8">
        <v>46196.57161318287</v>
      </c>
      <c r="B3742" s="2" t="s">
        <v>844</v>
      </c>
      <c r="C3742" s="2" t="s">
        <v>514</v>
      </c>
      <c r="D3742" s="2" t="s">
        <v>945</v>
      </c>
    </row>
    <row r="3743">
      <c r="A3743" s="8">
        <v>46196.57161895833</v>
      </c>
      <c r="B3743" s="2" t="s">
        <v>991</v>
      </c>
      <c r="C3743" s="2" t="s">
        <v>519</v>
      </c>
      <c r="D3743" s="2" t="s">
        <v>1083</v>
      </c>
    </row>
    <row r="3744">
      <c r="A3744" s="8">
        <v>46196.57162368056</v>
      </c>
      <c r="B3744" s="2" t="s">
        <v>991</v>
      </c>
      <c r="C3744" s="2" t="s">
        <v>534</v>
      </c>
      <c r="D3744" s="2" t="s">
        <v>1136</v>
      </c>
    </row>
    <row r="3745">
      <c r="A3745" s="8">
        <v>46196.57162777778</v>
      </c>
      <c r="B3745" s="2" t="s">
        <v>991</v>
      </c>
      <c r="C3745" s="2" t="s">
        <v>607</v>
      </c>
      <c r="D3745" s="2" t="s">
        <v>1055</v>
      </c>
    </row>
    <row r="3746">
      <c r="A3746" s="8">
        <v>46196.57162993056</v>
      </c>
      <c r="B3746" s="2" t="s">
        <v>894</v>
      </c>
      <c r="C3746" s="2"/>
      <c r="D3746" s="2" t="s">
        <v>1133</v>
      </c>
    </row>
    <row r="3747">
      <c r="A3747" s="8">
        <v>46196.613114699074</v>
      </c>
      <c r="B3747" s="2" t="s">
        <v>798</v>
      </c>
      <c r="C3747" s="2" t="s">
        <v>799</v>
      </c>
      <c r="D3747" s="2" t="s">
        <v>800</v>
      </c>
    </row>
    <row r="3748">
      <c r="A3748" s="8">
        <v>46196.613119155096</v>
      </c>
      <c r="B3748" s="2" t="s">
        <v>991</v>
      </c>
      <c r="C3748" s="2" t="s">
        <v>810</v>
      </c>
      <c r="D3748" s="2" t="s">
        <v>1105</v>
      </c>
    </row>
    <row r="3749">
      <c r="A3749" s="8">
        <v>46196.61312274306</v>
      </c>
      <c r="B3749" s="2" t="s">
        <v>834</v>
      </c>
      <c r="C3749" s="2" t="s">
        <v>1095</v>
      </c>
      <c r="D3749" s="2" t="s">
        <v>1124</v>
      </c>
    </row>
    <row r="3750">
      <c r="A3750" s="8">
        <v>46196.61314377315</v>
      </c>
      <c r="B3750" s="2" t="s">
        <v>844</v>
      </c>
      <c r="C3750" s="2" t="s">
        <v>818</v>
      </c>
      <c r="D3750" s="2" t="s">
        <v>1019</v>
      </c>
    </row>
    <row r="3751">
      <c r="A3751" s="8">
        <v>46196.61315121528</v>
      </c>
      <c r="B3751" s="2" t="s">
        <v>832</v>
      </c>
      <c r="C3751" s="2"/>
      <c r="D3751" s="2" t="s">
        <v>1109</v>
      </c>
    </row>
    <row r="3752">
      <c r="A3752" s="8">
        <v>46196.61321549768</v>
      </c>
      <c r="B3752" s="2" t="s">
        <v>991</v>
      </c>
      <c r="C3752" s="2" t="s">
        <v>519</v>
      </c>
      <c r="D3752" s="2" t="s">
        <v>1083</v>
      </c>
    </row>
    <row r="3753">
      <c r="A3753" s="8">
        <v>46196.613219872685</v>
      </c>
      <c r="B3753" s="2" t="s">
        <v>991</v>
      </c>
      <c r="C3753" s="2" t="s">
        <v>534</v>
      </c>
      <c r="D3753" s="2" t="s">
        <v>1136</v>
      </c>
    </row>
    <row r="3754">
      <c r="A3754" s="8">
        <v>46196.613225312496</v>
      </c>
      <c r="B3754" s="2" t="s">
        <v>991</v>
      </c>
      <c r="C3754" s="2" t="s">
        <v>607</v>
      </c>
      <c r="D3754" s="2" t="s">
        <v>1055</v>
      </c>
    </row>
    <row r="3755">
      <c r="A3755" s="8">
        <v>46196.61322813657</v>
      </c>
      <c r="B3755" s="2" t="s">
        <v>894</v>
      </c>
      <c r="C3755" s="2"/>
      <c r="D3755" s="2" t="s">
        <v>1122</v>
      </c>
    </row>
    <row r="3756">
      <c r="A3756" s="8">
        <v>46196.6547750926</v>
      </c>
      <c r="B3756" s="2" t="s">
        <v>798</v>
      </c>
      <c r="C3756" s="2" t="s">
        <v>799</v>
      </c>
      <c r="D3756" s="2" t="s">
        <v>800</v>
      </c>
    </row>
    <row r="3757">
      <c r="A3757" s="8">
        <v>46196.654781018515</v>
      </c>
      <c r="B3757" s="2" t="s">
        <v>991</v>
      </c>
      <c r="C3757" s="2" t="s">
        <v>810</v>
      </c>
      <c r="D3757" s="2" t="s">
        <v>1105</v>
      </c>
    </row>
    <row r="3758">
      <c r="A3758" s="8">
        <v>46196.654784178245</v>
      </c>
      <c r="B3758" s="2" t="s">
        <v>834</v>
      </c>
      <c r="C3758" s="2" t="s">
        <v>1095</v>
      </c>
      <c r="D3758" s="2" t="s">
        <v>1124</v>
      </c>
    </row>
    <row r="3759">
      <c r="A3759" s="8">
        <v>46196.65480575232</v>
      </c>
      <c r="B3759" s="2" t="s">
        <v>832</v>
      </c>
      <c r="C3759" s="2"/>
      <c r="D3759" s="2" t="s">
        <v>1106</v>
      </c>
    </row>
    <row r="3760">
      <c r="A3760" s="8">
        <v>46196.6548746412</v>
      </c>
      <c r="B3760" s="2" t="s">
        <v>991</v>
      </c>
      <c r="C3760" s="2" t="s">
        <v>519</v>
      </c>
      <c r="D3760" s="2" t="s">
        <v>1083</v>
      </c>
    </row>
    <row r="3761">
      <c r="A3761" s="8">
        <v>46196.65488215278</v>
      </c>
      <c r="B3761" s="2" t="s">
        <v>991</v>
      </c>
      <c r="C3761" s="2" t="s">
        <v>534</v>
      </c>
      <c r="D3761" s="2" t="s">
        <v>1136</v>
      </c>
    </row>
    <row r="3762">
      <c r="A3762" s="8">
        <v>46196.65488590278</v>
      </c>
      <c r="B3762" s="2" t="s">
        <v>991</v>
      </c>
      <c r="C3762" s="2" t="s">
        <v>607</v>
      </c>
      <c r="D3762" s="2" t="s">
        <v>1055</v>
      </c>
    </row>
    <row r="3763">
      <c r="A3763" s="8">
        <v>46196.65489799769</v>
      </c>
      <c r="B3763" s="2" t="s">
        <v>894</v>
      </c>
      <c r="C3763" s="2"/>
      <c r="D3763" s="2" t="s">
        <v>1122</v>
      </c>
    </row>
    <row r="3764">
      <c r="A3764" s="8">
        <v>46196.6964371412</v>
      </c>
      <c r="B3764" s="2" t="s">
        <v>798</v>
      </c>
      <c r="C3764" s="2" t="s">
        <v>799</v>
      </c>
      <c r="D3764" s="2" t="s">
        <v>800</v>
      </c>
    </row>
    <row r="3765">
      <c r="A3765" s="8">
        <v>46196.696441168984</v>
      </c>
      <c r="B3765" s="2" t="s">
        <v>991</v>
      </c>
      <c r="C3765" s="2" t="s">
        <v>810</v>
      </c>
      <c r="D3765" s="2" t="s">
        <v>1105</v>
      </c>
    </row>
    <row r="3766">
      <c r="A3766" s="8">
        <v>46196.69644467592</v>
      </c>
      <c r="B3766" s="2" t="s">
        <v>834</v>
      </c>
      <c r="C3766" s="2" t="s">
        <v>1095</v>
      </c>
      <c r="D3766" s="2" t="s">
        <v>1124</v>
      </c>
    </row>
    <row r="3767">
      <c r="A3767" s="8">
        <v>46196.69644969907</v>
      </c>
      <c r="B3767" s="2" t="s">
        <v>832</v>
      </c>
      <c r="C3767" s="2"/>
      <c r="D3767" s="2" t="s">
        <v>1106</v>
      </c>
    </row>
    <row r="3768">
      <c r="A3768" s="8">
        <v>46196.69652479167</v>
      </c>
      <c r="B3768" s="2" t="s">
        <v>991</v>
      </c>
      <c r="C3768" s="2" t="s">
        <v>519</v>
      </c>
      <c r="D3768" s="2" t="s">
        <v>1083</v>
      </c>
    </row>
    <row r="3769">
      <c r="A3769" s="8">
        <v>46196.69652814815</v>
      </c>
      <c r="B3769" s="2" t="s">
        <v>991</v>
      </c>
      <c r="C3769" s="2" t="s">
        <v>534</v>
      </c>
      <c r="D3769" s="2" t="s">
        <v>1136</v>
      </c>
    </row>
    <row r="3770">
      <c r="A3770" s="8">
        <v>46196.69653325231</v>
      </c>
      <c r="B3770" s="2" t="s">
        <v>991</v>
      </c>
      <c r="C3770" s="2" t="s">
        <v>607</v>
      </c>
      <c r="D3770" s="2" t="s">
        <v>1055</v>
      </c>
    </row>
    <row r="3771">
      <c r="A3771" s="8">
        <v>46196.69653552084</v>
      </c>
      <c r="B3771" s="2" t="s">
        <v>894</v>
      </c>
      <c r="C3771" s="2"/>
      <c r="D3771" s="2" t="s">
        <v>1122</v>
      </c>
    </row>
    <row r="3772">
      <c r="A3772" s="8">
        <v>46196.738122662035</v>
      </c>
      <c r="B3772" s="2" t="s">
        <v>798</v>
      </c>
      <c r="C3772" s="2" t="s">
        <v>799</v>
      </c>
      <c r="D3772" s="2" t="s">
        <v>800</v>
      </c>
    </row>
    <row r="3773">
      <c r="A3773" s="8">
        <v>46196.73812847222</v>
      </c>
      <c r="B3773" s="2" t="s">
        <v>991</v>
      </c>
      <c r="C3773" s="2" t="s">
        <v>810</v>
      </c>
      <c r="D3773" s="2" t="s">
        <v>1105</v>
      </c>
    </row>
    <row r="3774">
      <c r="A3774" s="8">
        <v>46196.7381316088</v>
      </c>
      <c r="B3774" s="2" t="s">
        <v>834</v>
      </c>
      <c r="C3774" s="2" t="s">
        <v>1095</v>
      </c>
      <c r="D3774" s="2" t="s">
        <v>1124</v>
      </c>
    </row>
    <row r="3775">
      <c r="A3775" s="8">
        <v>46196.73815002315</v>
      </c>
      <c r="B3775" s="2" t="s">
        <v>832</v>
      </c>
      <c r="C3775" s="2"/>
      <c r="D3775" s="2" t="s">
        <v>1106</v>
      </c>
    </row>
    <row r="3776">
      <c r="A3776" s="8">
        <v>46196.738235509256</v>
      </c>
      <c r="B3776" s="2" t="s">
        <v>991</v>
      </c>
      <c r="C3776" s="2" t="s">
        <v>519</v>
      </c>
      <c r="D3776" s="2" t="s">
        <v>1083</v>
      </c>
    </row>
    <row r="3777">
      <c r="A3777" s="8">
        <v>46196.73824024305</v>
      </c>
      <c r="B3777" s="2" t="s">
        <v>991</v>
      </c>
      <c r="C3777" s="2" t="s">
        <v>534</v>
      </c>
      <c r="D3777" s="2" t="s">
        <v>1136</v>
      </c>
    </row>
    <row r="3778">
      <c r="A3778" s="8">
        <v>46196.73825096065</v>
      </c>
      <c r="B3778" s="2" t="s">
        <v>991</v>
      </c>
      <c r="C3778" s="2" t="s">
        <v>607</v>
      </c>
      <c r="D3778" s="2" t="s">
        <v>1055</v>
      </c>
    </row>
    <row r="3779">
      <c r="A3779" s="8">
        <v>46196.73825890046</v>
      </c>
      <c r="B3779" s="2" t="s">
        <v>894</v>
      </c>
      <c r="C3779" s="2"/>
      <c r="D3779" s="2" t="s">
        <v>1122</v>
      </c>
    </row>
    <row r="3780">
      <c r="A3780" s="8">
        <v>46196.77227188657</v>
      </c>
      <c r="B3780" s="2" t="s">
        <v>789</v>
      </c>
      <c r="C3780" s="2"/>
      <c r="D3780" s="2" t="s">
        <v>1094</v>
      </c>
    </row>
    <row r="3781">
      <c r="A3781" s="8">
        <v>46196.77992959491</v>
      </c>
      <c r="B3781" s="2" t="s">
        <v>798</v>
      </c>
      <c r="C3781" s="2" t="s">
        <v>799</v>
      </c>
      <c r="D3781" s="2" t="s">
        <v>800</v>
      </c>
    </row>
    <row r="3782">
      <c r="A3782" s="8">
        <v>46196.779941319444</v>
      </c>
      <c r="B3782" s="2" t="s">
        <v>991</v>
      </c>
      <c r="C3782" s="2" t="s">
        <v>810</v>
      </c>
      <c r="D3782" s="2" t="s">
        <v>1105</v>
      </c>
    </row>
    <row r="3783">
      <c r="A3783" s="8">
        <v>46196.779954502315</v>
      </c>
      <c r="B3783" s="2" t="s">
        <v>834</v>
      </c>
      <c r="C3783" s="2" t="s">
        <v>1095</v>
      </c>
      <c r="D3783" s="2" t="s">
        <v>1124</v>
      </c>
    </row>
    <row r="3784">
      <c r="A3784" s="8">
        <v>46196.77996155093</v>
      </c>
      <c r="B3784" s="2" t="s">
        <v>832</v>
      </c>
      <c r="C3784" s="2"/>
      <c r="D3784" s="2" t="s">
        <v>1106</v>
      </c>
    </row>
    <row r="3785">
      <c r="A3785" s="8">
        <v>46196.7800412037</v>
      </c>
      <c r="B3785" s="2" t="s">
        <v>991</v>
      </c>
      <c r="C3785" s="2" t="s">
        <v>519</v>
      </c>
      <c r="D3785" s="2" t="s">
        <v>1083</v>
      </c>
    </row>
    <row r="3786">
      <c r="A3786" s="8">
        <v>46196.78004611111</v>
      </c>
      <c r="B3786" s="2" t="s">
        <v>991</v>
      </c>
      <c r="C3786" s="2" t="s">
        <v>534</v>
      </c>
      <c r="D3786" s="2" t="s">
        <v>1136</v>
      </c>
    </row>
    <row r="3787">
      <c r="A3787" s="8">
        <v>46196.78005152778</v>
      </c>
      <c r="B3787" s="2" t="s">
        <v>991</v>
      </c>
      <c r="C3787" s="2" t="s">
        <v>607</v>
      </c>
      <c r="D3787" s="2" t="s">
        <v>1055</v>
      </c>
    </row>
    <row r="3788">
      <c r="A3788" s="8">
        <v>46196.78005540509</v>
      </c>
      <c r="B3788" s="2" t="s">
        <v>894</v>
      </c>
      <c r="C3788" s="2"/>
      <c r="D3788" s="2" t="s">
        <v>1122</v>
      </c>
    </row>
    <row r="3789">
      <c r="A3789" s="8">
        <v>46196.82144020833</v>
      </c>
      <c r="B3789" s="2" t="s">
        <v>798</v>
      </c>
      <c r="C3789" s="2" t="s">
        <v>799</v>
      </c>
      <c r="D3789" s="2" t="s">
        <v>800</v>
      </c>
    </row>
    <row r="3790">
      <c r="A3790" s="8">
        <v>46196.821444988425</v>
      </c>
      <c r="B3790" s="2" t="s">
        <v>991</v>
      </c>
      <c r="C3790" s="2" t="s">
        <v>810</v>
      </c>
      <c r="D3790" s="2" t="s">
        <v>1105</v>
      </c>
    </row>
    <row r="3791">
      <c r="A3791" s="8">
        <v>46196.82144863426</v>
      </c>
      <c r="B3791" s="2" t="s">
        <v>834</v>
      </c>
      <c r="C3791" s="2" t="s">
        <v>1095</v>
      </c>
      <c r="D3791" s="2" t="s">
        <v>1124</v>
      </c>
    </row>
    <row r="3792">
      <c r="A3792" s="8">
        <v>46196.82146346065</v>
      </c>
      <c r="B3792" s="2" t="s">
        <v>832</v>
      </c>
      <c r="C3792" s="2"/>
      <c r="D3792" s="2" t="s">
        <v>1106</v>
      </c>
    </row>
    <row r="3793">
      <c r="A3793" s="8">
        <v>46196.82153396991</v>
      </c>
      <c r="B3793" s="2" t="s">
        <v>991</v>
      </c>
      <c r="C3793" s="2" t="s">
        <v>519</v>
      </c>
      <c r="D3793" s="2" t="s">
        <v>1083</v>
      </c>
    </row>
    <row r="3794">
      <c r="A3794" s="8">
        <v>46196.821537407406</v>
      </c>
      <c r="B3794" s="2" t="s">
        <v>991</v>
      </c>
      <c r="C3794" s="2" t="s">
        <v>534</v>
      </c>
      <c r="D3794" s="2" t="s">
        <v>1136</v>
      </c>
    </row>
    <row r="3795">
      <c r="A3795" s="8">
        <v>46196.82154282407</v>
      </c>
      <c r="B3795" s="2" t="s">
        <v>991</v>
      </c>
      <c r="C3795" s="2" t="s">
        <v>607</v>
      </c>
      <c r="D3795" s="2" t="s">
        <v>1055</v>
      </c>
    </row>
    <row r="3796">
      <c r="A3796" s="8">
        <v>46196.821551307876</v>
      </c>
      <c r="B3796" s="2" t="s">
        <v>894</v>
      </c>
      <c r="C3796" s="2"/>
      <c r="D3796" s="2" t="s">
        <v>1122</v>
      </c>
    </row>
    <row r="3797">
      <c r="A3797" s="8">
        <v>46196.863097905094</v>
      </c>
      <c r="B3797" s="2" t="s">
        <v>798</v>
      </c>
      <c r="C3797" s="2" t="s">
        <v>799</v>
      </c>
      <c r="D3797" s="2" t="s">
        <v>800</v>
      </c>
    </row>
    <row r="3798">
      <c r="A3798" s="8">
        <v>46196.863101863426</v>
      </c>
      <c r="B3798" s="2" t="s">
        <v>991</v>
      </c>
      <c r="C3798" s="2" t="s">
        <v>810</v>
      </c>
      <c r="D3798" s="2" t="s">
        <v>1105</v>
      </c>
    </row>
    <row r="3799">
      <c r="A3799" s="8">
        <v>46196.86310567129</v>
      </c>
      <c r="B3799" s="2" t="s">
        <v>834</v>
      </c>
      <c r="C3799" s="2" t="s">
        <v>1095</v>
      </c>
      <c r="D3799" s="2" t="s">
        <v>1124</v>
      </c>
    </row>
    <row r="3800">
      <c r="A3800" s="8">
        <v>46196.863131516206</v>
      </c>
      <c r="B3800" s="2" t="s">
        <v>832</v>
      </c>
      <c r="C3800" s="2"/>
      <c r="D3800" s="2" t="s">
        <v>1106</v>
      </c>
    </row>
    <row r="3801">
      <c r="A3801" s="8">
        <v>46196.86319283565</v>
      </c>
      <c r="B3801" s="2" t="s">
        <v>991</v>
      </c>
      <c r="C3801" s="2" t="s">
        <v>519</v>
      </c>
      <c r="D3801" s="2" t="s">
        <v>1083</v>
      </c>
    </row>
    <row r="3802">
      <c r="A3802" s="8">
        <v>46196.86319599537</v>
      </c>
      <c r="B3802" s="2" t="s">
        <v>991</v>
      </c>
      <c r="C3802" s="2" t="s">
        <v>534</v>
      </c>
      <c r="D3802" s="2" t="s">
        <v>1136</v>
      </c>
    </row>
    <row r="3803">
      <c r="A3803" s="8">
        <v>46196.86320017361</v>
      </c>
      <c r="B3803" s="2" t="s">
        <v>991</v>
      </c>
      <c r="C3803" s="2" t="s">
        <v>607</v>
      </c>
      <c r="D3803" s="2" t="s">
        <v>1055</v>
      </c>
    </row>
    <row r="3804">
      <c r="A3804" s="8">
        <v>46196.86320259259</v>
      </c>
      <c r="B3804" s="2" t="s">
        <v>894</v>
      </c>
      <c r="C3804" s="2"/>
      <c r="D3804" s="2" t="s">
        <v>1122</v>
      </c>
    </row>
    <row r="3805">
      <c r="A3805" s="8">
        <v>46196.90475606482</v>
      </c>
      <c r="B3805" s="2" t="s">
        <v>798</v>
      </c>
      <c r="C3805" s="2" t="s">
        <v>799</v>
      </c>
      <c r="D3805" s="2" t="s">
        <v>800</v>
      </c>
    </row>
    <row r="3806">
      <c r="A3806" s="8">
        <v>46196.90475960648</v>
      </c>
      <c r="B3806" s="2" t="s">
        <v>991</v>
      </c>
      <c r="C3806" s="2" t="s">
        <v>810</v>
      </c>
      <c r="D3806" s="2" t="s">
        <v>1105</v>
      </c>
    </row>
    <row r="3807">
      <c r="A3807" s="8">
        <v>46196.904762060185</v>
      </c>
      <c r="B3807" s="2" t="s">
        <v>834</v>
      </c>
      <c r="C3807" s="2" t="s">
        <v>1095</v>
      </c>
      <c r="D3807" s="2" t="s">
        <v>1124</v>
      </c>
    </row>
    <row r="3808">
      <c r="A3808" s="8">
        <v>46196.90477872685</v>
      </c>
      <c r="B3808" s="2" t="s">
        <v>832</v>
      </c>
      <c r="C3808" s="2"/>
      <c r="D3808" s="2" t="s">
        <v>1106</v>
      </c>
    </row>
    <row r="3809">
      <c r="A3809" s="8">
        <v>46196.90484158565</v>
      </c>
      <c r="B3809" s="2" t="s">
        <v>991</v>
      </c>
      <c r="C3809" s="2" t="s">
        <v>519</v>
      </c>
      <c r="D3809" s="2" t="s">
        <v>1083</v>
      </c>
    </row>
    <row r="3810">
      <c r="A3810" s="8">
        <v>46196.90484447917</v>
      </c>
      <c r="B3810" s="2" t="s">
        <v>991</v>
      </c>
      <c r="C3810" s="2" t="s">
        <v>534</v>
      </c>
      <c r="D3810" s="2" t="s">
        <v>1136</v>
      </c>
    </row>
    <row r="3811">
      <c r="A3811" s="8">
        <v>46196.90484732639</v>
      </c>
      <c r="B3811" s="2" t="s">
        <v>991</v>
      </c>
      <c r="C3811" s="2" t="s">
        <v>607</v>
      </c>
      <c r="D3811" s="2" t="s">
        <v>1055</v>
      </c>
    </row>
    <row r="3812">
      <c r="A3812" s="8">
        <v>46196.904852708336</v>
      </c>
      <c r="B3812" s="2" t="s">
        <v>894</v>
      </c>
      <c r="C3812" s="2"/>
      <c r="D3812" s="2" t="s">
        <v>1122</v>
      </c>
    </row>
    <row r="3813">
      <c r="A3813" s="8">
        <v>46196.91711512732</v>
      </c>
      <c r="B3813" s="2" t="s">
        <v>863</v>
      </c>
      <c r="C3813" s="2"/>
      <c r="D3813" s="2" t="s">
        <v>1137</v>
      </c>
    </row>
    <row r="3814">
      <c r="A3814" s="8">
        <v>46196.94643515046</v>
      </c>
      <c r="B3814" s="2" t="s">
        <v>798</v>
      </c>
      <c r="C3814" s="2" t="s">
        <v>799</v>
      </c>
      <c r="D3814" s="2" t="s">
        <v>800</v>
      </c>
    </row>
    <row r="3815">
      <c r="A3815" s="8">
        <v>46196.94643978009</v>
      </c>
      <c r="B3815" s="2" t="s">
        <v>991</v>
      </c>
      <c r="C3815" s="2" t="s">
        <v>810</v>
      </c>
      <c r="D3815" s="2" t="s">
        <v>1105</v>
      </c>
    </row>
    <row r="3816">
      <c r="A3816" s="8">
        <v>46196.94644324074</v>
      </c>
      <c r="B3816" s="2" t="s">
        <v>834</v>
      </c>
      <c r="C3816" s="2" t="s">
        <v>1095</v>
      </c>
      <c r="D3816" s="2" t="s">
        <v>1124</v>
      </c>
    </row>
    <row r="3817">
      <c r="A3817" s="8">
        <v>46196.94646195602</v>
      </c>
      <c r="B3817" s="2" t="s">
        <v>832</v>
      </c>
      <c r="C3817" s="2"/>
      <c r="D3817" s="2" t="s">
        <v>1106</v>
      </c>
    </row>
    <row r="3818">
      <c r="A3818" s="8">
        <v>46196.94652568287</v>
      </c>
      <c r="B3818" s="2" t="s">
        <v>991</v>
      </c>
      <c r="C3818" s="2" t="s">
        <v>519</v>
      </c>
      <c r="D3818" s="2" t="s">
        <v>1083</v>
      </c>
    </row>
    <row r="3819">
      <c r="A3819" s="8">
        <v>46196.94652899305</v>
      </c>
      <c r="B3819" s="2" t="s">
        <v>991</v>
      </c>
      <c r="C3819" s="2" t="s">
        <v>534</v>
      </c>
      <c r="D3819" s="2" t="s">
        <v>1136</v>
      </c>
    </row>
    <row r="3820">
      <c r="A3820" s="8">
        <v>46196.94653717593</v>
      </c>
      <c r="B3820" s="2" t="s">
        <v>991</v>
      </c>
      <c r="C3820" s="2" t="s">
        <v>607</v>
      </c>
      <c r="D3820" s="2" t="s">
        <v>1055</v>
      </c>
    </row>
    <row r="3821">
      <c r="A3821" s="8">
        <v>46196.94653998842</v>
      </c>
      <c r="B3821" s="2" t="s">
        <v>894</v>
      </c>
      <c r="C3821" s="2"/>
      <c r="D3821" s="2" t="s">
        <v>1122</v>
      </c>
    </row>
    <row r="3822">
      <c r="A3822" s="8">
        <v>46196.98818958334</v>
      </c>
      <c r="B3822" s="2" t="s">
        <v>798</v>
      </c>
      <c r="C3822" s="2" t="s">
        <v>799</v>
      </c>
      <c r="D3822" s="2" t="s">
        <v>800</v>
      </c>
    </row>
    <row r="3823">
      <c r="A3823" s="8">
        <v>46196.988204849535</v>
      </c>
      <c r="B3823" s="2" t="s">
        <v>991</v>
      </c>
      <c r="C3823" s="2" t="s">
        <v>810</v>
      </c>
      <c r="D3823" s="2" t="s">
        <v>1105</v>
      </c>
    </row>
    <row r="3824">
      <c r="A3824" s="8">
        <v>46196.98823003472</v>
      </c>
      <c r="B3824" s="2" t="s">
        <v>834</v>
      </c>
      <c r="C3824" s="2" t="s">
        <v>1095</v>
      </c>
      <c r="D3824" s="2" t="s">
        <v>1124</v>
      </c>
    </row>
    <row r="3825">
      <c r="A3825" s="8">
        <v>46196.98825494213</v>
      </c>
      <c r="B3825" s="2" t="s">
        <v>832</v>
      </c>
      <c r="C3825" s="2"/>
      <c r="D3825" s="2" t="s">
        <v>1106</v>
      </c>
    </row>
    <row r="3826">
      <c r="A3826" s="8">
        <v>46196.9884283912</v>
      </c>
      <c r="B3826" s="2" t="s">
        <v>991</v>
      </c>
      <c r="C3826" s="2" t="s">
        <v>519</v>
      </c>
      <c r="D3826" s="2" t="s">
        <v>1083</v>
      </c>
    </row>
    <row r="3827">
      <c r="A3827" s="8">
        <v>46196.988438761575</v>
      </c>
      <c r="B3827" s="2" t="s">
        <v>991</v>
      </c>
      <c r="C3827" s="2" t="s">
        <v>534</v>
      </c>
      <c r="D3827" s="2" t="s">
        <v>1136</v>
      </c>
    </row>
    <row r="3828">
      <c r="A3828" s="8">
        <v>46196.98846033565</v>
      </c>
      <c r="B3828" s="2" t="s">
        <v>991</v>
      </c>
      <c r="C3828" s="2" t="s">
        <v>607</v>
      </c>
      <c r="D3828" s="2" t="s">
        <v>1055</v>
      </c>
    </row>
    <row r="3829">
      <c r="A3829" s="8">
        <v>46196.98846371528</v>
      </c>
      <c r="B3829" s="2" t="s">
        <v>894</v>
      </c>
      <c r="C3829" s="2"/>
      <c r="D3829" s="2" t="s">
        <v>1122</v>
      </c>
    </row>
    <row r="3830">
      <c r="A3830" s="8">
        <v>46197.02981677083</v>
      </c>
      <c r="B3830" s="2" t="s">
        <v>798</v>
      </c>
      <c r="C3830" s="2" t="s">
        <v>799</v>
      </c>
      <c r="D3830" s="2" t="s">
        <v>800</v>
      </c>
    </row>
    <row r="3831">
      <c r="A3831" s="8">
        <v>46197.02982261574</v>
      </c>
      <c r="B3831" s="2" t="s">
        <v>991</v>
      </c>
      <c r="C3831" s="2" t="s">
        <v>810</v>
      </c>
      <c r="D3831" s="2" t="s">
        <v>1105</v>
      </c>
    </row>
    <row r="3832">
      <c r="A3832" s="8">
        <v>46197.029835925925</v>
      </c>
      <c r="B3832" s="2" t="s">
        <v>844</v>
      </c>
      <c r="C3832" s="2" t="s">
        <v>1095</v>
      </c>
      <c r="D3832" s="2" t="s">
        <v>1019</v>
      </c>
    </row>
    <row r="3833">
      <c r="A3833" s="8">
        <v>46197.0298467824</v>
      </c>
      <c r="B3833" s="2" t="s">
        <v>832</v>
      </c>
      <c r="C3833" s="2"/>
      <c r="D3833" s="2" t="s">
        <v>1109</v>
      </c>
    </row>
    <row r="3834">
      <c r="A3834" s="8">
        <v>46197.02993719907</v>
      </c>
      <c r="B3834" s="2" t="s">
        <v>991</v>
      </c>
      <c r="C3834" s="2" t="s">
        <v>519</v>
      </c>
      <c r="D3834" s="2" t="s">
        <v>1083</v>
      </c>
    </row>
    <row r="3835">
      <c r="A3835" s="8">
        <v>46197.029940740744</v>
      </c>
      <c r="B3835" s="2" t="s">
        <v>991</v>
      </c>
      <c r="C3835" s="2" t="s">
        <v>534</v>
      </c>
      <c r="D3835" s="2" t="s">
        <v>1136</v>
      </c>
    </row>
    <row r="3836">
      <c r="A3836" s="8">
        <v>46197.029946180555</v>
      </c>
      <c r="B3836" s="2" t="s">
        <v>991</v>
      </c>
      <c r="C3836" s="2" t="s">
        <v>607</v>
      </c>
      <c r="D3836" s="2" t="s">
        <v>1055</v>
      </c>
    </row>
    <row r="3837">
      <c r="A3837" s="8">
        <v>46197.0299491551</v>
      </c>
      <c r="B3837" s="2" t="s">
        <v>894</v>
      </c>
      <c r="C3837" s="2"/>
      <c r="D3837" s="2" t="s">
        <v>1122</v>
      </c>
    </row>
    <row r="3838">
      <c r="A3838" s="8">
        <v>46197.07143376158</v>
      </c>
      <c r="B3838" s="2" t="s">
        <v>798</v>
      </c>
      <c r="C3838" s="2" t="s">
        <v>799</v>
      </c>
      <c r="D3838" s="2" t="s">
        <v>800</v>
      </c>
    </row>
    <row r="3839">
      <c r="A3839" s="8">
        <v>46197.07143826388</v>
      </c>
      <c r="B3839" s="2" t="s">
        <v>991</v>
      </c>
      <c r="C3839" s="2" t="s">
        <v>810</v>
      </c>
      <c r="D3839" s="2" t="s">
        <v>1105</v>
      </c>
    </row>
    <row r="3840">
      <c r="A3840" s="8">
        <v>46197.07144572916</v>
      </c>
      <c r="B3840" s="2" t="s">
        <v>844</v>
      </c>
      <c r="C3840" s="2" t="s">
        <v>826</v>
      </c>
      <c r="D3840" s="2" t="s">
        <v>996</v>
      </c>
    </row>
    <row r="3841">
      <c r="A3841" s="8">
        <v>46197.07146206019</v>
      </c>
      <c r="B3841" s="2" t="s">
        <v>832</v>
      </c>
      <c r="C3841" s="2"/>
      <c r="D3841" s="2" t="s">
        <v>1109</v>
      </c>
    </row>
    <row r="3842">
      <c r="A3842" s="8">
        <v>46197.071525844905</v>
      </c>
      <c r="B3842" s="2" t="s">
        <v>991</v>
      </c>
      <c r="C3842" s="2" t="s">
        <v>519</v>
      </c>
      <c r="D3842" s="2" t="s">
        <v>1083</v>
      </c>
    </row>
    <row r="3843">
      <c r="A3843" s="8">
        <v>46197.071528252316</v>
      </c>
      <c r="B3843" s="2" t="s">
        <v>991</v>
      </c>
      <c r="C3843" s="2" t="s">
        <v>534</v>
      </c>
      <c r="D3843" s="2" t="s">
        <v>1136</v>
      </c>
    </row>
    <row r="3844">
      <c r="A3844" s="8">
        <v>46197.07153130787</v>
      </c>
      <c r="B3844" s="2" t="s">
        <v>991</v>
      </c>
      <c r="C3844" s="2" t="s">
        <v>607</v>
      </c>
      <c r="D3844" s="2" t="s">
        <v>1055</v>
      </c>
    </row>
    <row r="3845">
      <c r="A3845" s="8">
        <v>46197.07153313658</v>
      </c>
      <c r="B3845" s="2" t="s">
        <v>894</v>
      </c>
      <c r="C3845" s="2"/>
      <c r="D3845" s="2" t="s">
        <v>1122</v>
      </c>
    </row>
    <row r="3846">
      <c r="A3846" s="8">
        <v>46197.113109502316</v>
      </c>
      <c r="B3846" s="2" t="s">
        <v>844</v>
      </c>
      <c r="C3846" s="2" t="s">
        <v>1117</v>
      </c>
      <c r="D3846" s="2" t="s">
        <v>952</v>
      </c>
    </row>
    <row r="3847">
      <c r="A3847" s="8">
        <v>46197.11311505787</v>
      </c>
      <c r="B3847" s="2" t="s">
        <v>798</v>
      </c>
      <c r="C3847" s="2" t="s">
        <v>799</v>
      </c>
      <c r="D3847" s="2" t="s">
        <v>800</v>
      </c>
    </row>
    <row r="3848">
      <c r="A3848" s="8">
        <v>46197.1131183449</v>
      </c>
      <c r="B3848" s="2" t="s">
        <v>991</v>
      </c>
      <c r="C3848" s="2" t="s">
        <v>810</v>
      </c>
      <c r="D3848" s="2" t="s">
        <v>1105</v>
      </c>
    </row>
    <row r="3849">
      <c r="A3849" s="8">
        <v>46197.11313976852</v>
      </c>
      <c r="B3849" s="2" t="s">
        <v>832</v>
      </c>
      <c r="C3849" s="2"/>
      <c r="D3849" s="2" t="s">
        <v>1109</v>
      </c>
    </row>
    <row r="3850">
      <c r="A3850" s="8">
        <v>46197.1132158449</v>
      </c>
      <c r="B3850" s="2" t="s">
        <v>991</v>
      </c>
      <c r="C3850" s="2" t="s">
        <v>519</v>
      </c>
      <c r="D3850" s="2" t="s">
        <v>1083</v>
      </c>
    </row>
    <row r="3851">
      <c r="A3851" s="8">
        <v>46197.11321925926</v>
      </c>
      <c r="B3851" s="2" t="s">
        <v>991</v>
      </c>
      <c r="C3851" s="2" t="s">
        <v>534</v>
      </c>
      <c r="D3851" s="2" t="s">
        <v>1136</v>
      </c>
    </row>
    <row r="3852">
      <c r="A3852" s="8">
        <v>46197.113224444445</v>
      </c>
      <c r="B3852" s="2" t="s">
        <v>991</v>
      </c>
      <c r="C3852" s="2" t="s">
        <v>549</v>
      </c>
      <c r="D3852" s="2" t="s">
        <v>1104</v>
      </c>
    </row>
    <row r="3853">
      <c r="A3853" s="8">
        <v>46197.11322701389</v>
      </c>
      <c r="B3853" s="2" t="s">
        <v>991</v>
      </c>
      <c r="C3853" s="2" t="s">
        <v>607</v>
      </c>
      <c r="D3853" s="2" t="s">
        <v>1055</v>
      </c>
    </row>
    <row r="3854">
      <c r="A3854" s="8">
        <v>46197.11322929398</v>
      </c>
      <c r="B3854" s="2" t="s">
        <v>894</v>
      </c>
      <c r="C3854" s="2"/>
      <c r="D3854" s="2" t="s">
        <v>1138</v>
      </c>
    </row>
    <row r="3855">
      <c r="A3855" s="8">
        <v>46197.15478490741</v>
      </c>
      <c r="B3855" s="2" t="s">
        <v>844</v>
      </c>
      <c r="C3855" s="2" t="s">
        <v>1123</v>
      </c>
      <c r="D3855" s="2" t="s">
        <v>850</v>
      </c>
    </row>
    <row r="3856">
      <c r="A3856" s="8">
        <v>46197.15479511574</v>
      </c>
      <c r="B3856" s="2" t="s">
        <v>844</v>
      </c>
      <c r="C3856" s="2" t="s">
        <v>1117</v>
      </c>
      <c r="D3856" s="2" t="s">
        <v>1108</v>
      </c>
    </row>
    <row r="3857">
      <c r="A3857" s="8">
        <v>46197.15481394676</v>
      </c>
      <c r="B3857" s="2" t="s">
        <v>798</v>
      </c>
      <c r="C3857" s="2" t="s">
        <v>799</v>
      </c>
      <c r="D3857" s="2" t="s">
        <v>800</v>
      </c>
    </row>
    <row r="3858">
      <c r="A3858" s="8">
        <v>46197.1548234838</v>
      </c>
      <c r="B3858" s="2" t="s">
        <v>844</v>
      </c>
      <c r="C3858" s="2" t="s">
        <v>804</v>
      </c>
      <c r="D3858" s="2" t="s">
        <v>1079</v>
      </c>
    </row>
    <row r="3859">
      <c r="A3859" s="8">
        <v>46197.154830625004</v>
      </c>
      <c r="B3859" s="2" t="s">
        <v>991</v>
      </c>
      <c r="C3859" s="2" t="s">
        <v>810</v>
      </c>
      <c r="D3859" s="2" t="s">
        <v>1105</v>
      </c>
    </row>
    <row r="3860">
      <c r="A3860" s="8">
        <v>46197.15483481481</v>
      </c>
      <c r="B3860" s="2" t="s">
        <v>832</v>
      </c>
      <c r="C3860" s="2"/>
      <c r="D3860" s="2" t="s">
        <v>1139</v>
      </c>
    </row>
    <row r="3861">
      <c r="A3861" s="8">
        <v>46197.15491038194</v>
      </c>
      <c r="B3861" s="2" t="s">
        <v>991</v>
      </c>
      <c r="C3861" s="2" t="s">
        <v>519</v>
      </c>
      <c r="D3861" s="2" t="s">
        <v>1083</v>
      </c>
    </row>
    <row r="3862">
      <c r="A3862" s="8">
        <v>46197.154916458334</v>
      </c>
      <c r="B3862" s="2" t="s">
        <v>991</v>
      </c>
      <c r="C3862" s="2" t="s">
        <v>534</v>
      </c>
      <c r="D3862" s="2" t="s">
        <v>1136</v>
      </c>
    </row>
    <row r="3863">
      <c r="A3863" s="8">
        <v>46197.15492217593</v>
      </c>
      <c r="B3863" s="2" t="s">
        <v>991</v>
      </c>
      <c r="C3863" s="2" t="s">
        <v>607</v>
      </c>
      <c r="D3863" s="2" t="s">
        <v>1055</v>
      </c>
    </row>
    <row r="3864">
      <c r="A3864" s="8">
        <v>46197.15492508102</v>
      </c>
      <c r="B3864" s="2" t="s">
        <v>894</v>
      </c>
      <c r="C3864" s="2"/>
      <c r="D3864" s="2" t="s">
        <v>1122</v>
      </c>
    </row>
    <row r="3865">
      <c r="A3865" s="8">
        <v>46197.19648547454</v>
      </c>
      <c r="B3865" s="2" t="s">
        <v>798</v>
      </c>
      <c r="C3865" s="2" t="s">
        <v>799</v>
      </c>
      <c r="D3865" s="2" t="s">
        <v>800</v>
      </c>
    </row>
    <row r="3866">
      <c r="A3866" s="8">
        <v>46197.196500254635</v>
      </c>
      <c r="B3866" s="2" t="s">
        <v>991</v>
      </c>
      <c r="C3866" s="2" t="s">
        <v>810</v>
      </c>
      <c r="D3866" s="2" t="s">
        <v>1105</v>
      </c>
    </row>
    <row r="3867">
      <c r="A3867" s="8">
        <v>46197.19652356481</v>
      </c>
      <c r="B3867" s="2" t="s">
        <v>844</v>
      </c>
      <c r="C3867" s="2" t="s">
        <v>822</v>
      </c>
      <c r="D3867" s="2" t="s">
        <v>1140</v>
      </c>
    </row>
    <row r="3868">
      <c r="A3868" s="8">
        <v>46197.19653052083</v>
      </c>
      <c r="B3868" s="2" t="s">
        <v>832</v>
      </c>
      <c r="C3868" s="2"/>
      <c r="D3868" s="2" t="s">
        <v>1109</v>
      </c>
    </row>
    <row r="3869">
      <c r="A3869" s="8">
        <v>46197.1966162037</v>
      </c>
      <c r="B3869" s="2" t="s">
        <v>991</v>
      </c>
      <c r="C3869" s="2" t="s">
        <v>519</v>
      </c>
      <c r="D3869" s="2" t="s">
        <v>1083</v>
      </c>
    </row>
    <row r="3870">
      <c r="A3870" s="8">
        <v>46197.1966205787</v>
      </c>
      <c r="B3870" s="2" t="s">
        <v>991</v>
      </c>
      <c r="C3870" s="2" t="s">
        <v>534</v>
      </c>
      <c r="D3870" s="2" t="s">
        <v>1136</v>
      </c>
    </row>
    <row r="3871">
      <c r="A3871" s="8">
        <v>46197.19662643519</v>
      </c>
      <c r="B3871" s="2" t="s">
        <v>991</v>
      </c>
      <c r="C3871" s="2" t="s">
        <v>607</v>
      </c>
      <c r="D3871" s="2" t="s">
        <v>1055</v>
      </c>
    </row>
    <row r="3872">
      <c r="A3872" s="8">
        <v>46197.19662990741</v>
      </c>
      <c r="B3872" s="2" t="s">
        <v>894</v>
      </c>
      <c r="C3872" s="2"/>
      <c r="D3872" s="2" t="s">
        <v>1122</v>
      </c>
    </row>
    <row r="3873">
      <c r="A3873" s="8">
        <v>46197.23813479167</v>
      </c>
      <c r="B3873" s="2" t="s">
        <v>844</v>
      </c>
      <c r="C3873" s="2" t="s">
        <v>1123</v>
      </c>
      <c r="D3873" s="2" t="s">
        <v>845</v>
      </c>
    </row>
    <row r="3874">
      <c r="A3874" s="8">
        <v>46197.23814265046</v>
      </c>
      <c r="B3874" s="2" t="s">
        <v>798</v>
      </c>
      <c r="C3874" s="2" t="s">
        <v>799</v>
      </c>
      <c r="D3874" s="2" t="s">
        <v>800</v>
      </c>
    </row>
    <row r="3875">
      <c r="A3875" s="8">
        <v>46197.23814645833</v>
      </c>
      <c r="B3875" s="2" t="s">
        <v>991</v>
      </c>
      <c r="C3875" s="2" t="s">
        <v>810</v>
      </c>
      <c r="D3875" s="2" t="s">
        <v>1105</v>
      </c>
    </row>
    <row r="3876">
      <c r="A3876" s="8">
        <v>46197.23814952547</v>
      </c>
      <c r="B3876" s="2" t="s">
        <v>832</v>
      </c>
      <c r="C3876" s="2"/>
      <c r="D3876" s="2" t="s">
        <v>1109</v>
      </c>
    </row>
    <row r="3877">
      <c r="A3877" s="8">
        <v>46197.23822875</v>
      </c>
      <c r="B3877" s="2" t="s">
        <v>991</v>
      </c>
      <c r="C3877" s="2" t="s">
        <v>534</v>
      </c>
      <c r="D3877" s="2" t="s">
        <v>1136</v>
      </c>
    </row>
    <row r="3878">
      <c r="A3878" s="8">
        <v>46197.23823219907</v>
      </c>
      <c r="B3878" s="2" t="s">
        <v>991</v>
      </c>
      <c r="C3878" s="2" t="s">
        <v>607</v>
      </c>
      <c r="D3878" s="2" t="s">
        <v>1055</v>
      </c>
    </row>
    <row r="3879">
      <c r="A3879" s="8">
        <v>46197.238234641205</v>
      </c>
      <c r="B3879" s="2" t="s">
        <v>894</v>
      </c>
      <c r="C3879" s="2"/>
      <c r="D3879" s="2" t="s">
        <v>1114</v>
      </c>
    </row>
    <row r="3880">
      <c r="A3880" s="8">
        <v>46197.27980484954</v>
      </c>
      <c r="B3880" s="2" t="s">
        <v>844</v>
      </c>
      <c r="C3880" s="2" t="s">
        <v>794</v>
      </c>
      <c r="D3880" s="2" t="s">
        <v>845</v>
      </c>
    </row>
    <row r="3881">
      <c r="A3881" s="8">
        <v>46197.279813217596</v>
      </c>
      <c r="B3881" s="2" t="s">
        <v>798</v>
      </c>
      <c r="C3881" s="2" t="s">
        <v>799</v>
      </c>
      <c r="D3881" s="2" t="s">
        <v>800</v>
      </c>
    </row>
    <row r="3882">
      <c r="A3882" s="8">
        <v>46197.27983646991</v>
      </c>
      <c r="B3882" s="2" t="s">
        <v>991</v>
      </c>
      <c r="C3882" s="2" t="s">
        <v>810</v>
      </c>
      <c r="D3882" s="2" t="s">
        <v>1105</v>
      </c>
    </row>
    <row r="3883">
      <c r="A3883" s="8">
        <v>46197.27985038194</v>
      </c>
      <c r="B3883" s="2" t="s">
        <v>991</v>
      </c>
      <c r="C3883" s="2" t="s">
        <v>822</v>
      </c>
      <c r="D3883" s="2" t="s">
        <v>1141</v>
      </c>
    </row>
    <row r="3884">
      <c r="A3884" s="8">
        <v>46197.27985644676</v>
      </c>
      <c r="B3884" s="2" t="s">
        <v>832</v>
      </c>
      <c r="C3884" s="2"/>
      <c r="D3884" s="2" t="s">
        <v>1142</v>
      </c>
    </row>
    <row r="3885">
      <c r="A3885" s="8">
        <v>46197.2799527662</v>
      </c>
      <c r="B3885" s="2" t="s">
        <v>991</v>
      </c>
      <c r="C3885" s="2" t="s">
        <v>534</v>
      </c>
      <c r="D3885" s="2" t="s">
        <v>1136</v>
      </c>
    </row>
    <row r="3886">
      <c r="A3886" s="8">
        <v>46197.279959618056</v>
      </c>
      <c r="B3886" s="2" t="s">
        <v>991</v>
      </c>
      <c r="C3886" s="2" t="s">
        <v>607</v>
      </c>
      <c r="D3886" s="2" t="s">
        <v>1055</v>
      </c>
    </row>
    <row r="3887">
      <c r="A3887" s="8">
        <v>46197.27996554398</v>
      </c>
      <c r="B3887" s="2" t="s">
        <v>894</v>
      </c>
      <c r="C3887" s="2"/>
      <c r="D3887" s="2" t="s">
        <v>1114</v>
      </c>
    </row>
    <row r="3888">
      <c r="A3888" s="8">
        <v>46197.32144339121</v>
      </c>
      <c r="B3888" s="2" t="s">
        <v>844</v>
      </c>
      <c r="C3888" s="2" t="s">
        <v>836</v>
      </c>
      <c r="D3888" s="2" t="s">
        <v>860</v>
      </c>
    </row>
    <row r="3889">
      <c r="A3889" s="8">
        <v>46197.32144876158</v>
      </c>
      <c r="B3889" s="2" t="s">
        <v>798</v>
      </c>
      <c r="C3889" s="2" t="s">
        <v>799</v>
      </c>
      <c r="D3889" s="2" t="s">
        <v>800</v>
      </c>
    </row>
    <row r="3890">
      <c r="A3890" s="8">
        <v>46197.32145684028</v>
      </c>
      <c r="B3890" s="2" t="s">
        <v>991</v>
      </c>
      <c r="C3890" s="2" t="s">
        <v>810</v>
      </c>
      <c r="D3890" s="2" t="s">
        <v>1105</v>
      </c>
    </row>
    <row r="3891">
      <c r="A3891" s="8">
        <v>46197.321482569445</v>
      </c>
      <c r="B3891" s="2" t="s">
        <v>844</v>
      </c>
      <c r="C3891" s="2" t="s">
        <v>1143</v>
      </c>
      <c r="D3891" s="2" t="s">
        <v>1085</v>
      </c>
    </row>
    <row r="3892">
      <c r="A3892" s="8">
        <v>46197.32149288194</v>
      </c>
      <c r="B3892" s="2" t="s">
        <v>832</v>
      </c>
      <c r="C3892" s="2"/>
      <c r="D3892" s="2" t="s">
        <v>1144</v>
      </c>
    </row>
    <row r="3893">
      <c r="A3893" s="8">
        <v>46197.32156378472</v>
      </c>
      <c r="B3893" s="2" t="s">
        <v>991</v>
      </c>
      <c r="C3893" s="2" t="s">
        <v>534</v>
      </c>
      <c r="D3893" s="2" t="s">
        <v>1136</v>
      </c>
    </row>
    <row r="3894">
      <c r="A3894" s="8">
        <v>46197.32156846065</v>
      </c>
      <c r="B3894" s="2" t="s">
        <v>991</v>
      </c>
      <c r="C3894" s="2" t="s">
        <v>607</v>
      </c>
      <c r="D3894" s="2" t="s">
        <v>1055</v>
      </c>
    </row>
    <row r="3895">
      <c r="A3895" s="8">
        <v>46197.32157137731</v>
      </c>
      <c r="B3895" s="2" t="s">
        <v>894</v>
      </c>
      <c r="C3895" s="2"/>
      <c r="D3895" s="2" t="s">
        <v>1114</v>
      </c>
    </row>
    <row r="3896">
      <c r="A3896" s="8">
        <v>46197.36315422454</v>
      </c>
      <c r="B3896" s="2" t="s">
        <v>844</v>
      </c>
      <c r="C3896" s="2" t="s">
        <v>794</v>
      </c>
      <c r="D3896" s="2" t="s">
        <v>1129</v>
      </c>
    </row>
    <row r="3897">
      <c r="A3897" s="8">
        <v>46197.36317215278</v>
      </c>
      <c r="B3897" s="2" t="s">
        <v>798</v>
      </c>
      <c r="C3897" s="2" t="s">
        <v>799</v>
      </c>
      <c r="D3897" s="2" t="s">
        <v>800</v>
      </c>
    </row>
    <row r="3898">
      <c r="A3898" s="8">
        <v>46197.36318584491</v>
      </c>
      <c r="B3898" s="2" t="s">
        <v>991</v>
      </c>
      <c r="C3898" s="2" t="s">
        <v>810</v>
      </c>
      <c r="D3898" s="2" t="s">
        <v>1105</v>
      </c>
    </row>
    <row r="3899">
      <c r="A3899" s="8">
        <v>46197.36319451389</v>
      </c>
      <c r="B3899" s="2" t="s">
        <v>832</v>
      </c>
      <c r="C3899" s="2"/>
      <c r="D3899" s="2" t="s">
        <v>1109</v>
      </c>
    </row>
    <row r="3900">
      <c r="A3900" s="8">
        <v>46197.363294201394</v>
      </c>
      <c r="B3900" s="2" t="s">
        <v>991</v>
      </c>
      <c r="C3900" s="2" t="s">
        <v>534</v>
      </c>
      <c r="D3900" s="2" t="s">
        <v>1136</v>
      </c>
    </row>
    <row r="3901">
      <c r="A3901" s="8">
        <v>46197.363309884255</v>
      </c>
      <c r="B3901" s="2" t="s">
        <v>991</v>
      </c>
      <c r="C3901" s="2" t="s">
        <v>607</v>
      </c>
      <c r="D3901" s="2" t="s">
        <v>1055</v>
      </c>
    </row>
    <row r="3902">
      <c r="A3902" s="8">
        <v>46197.3633150463</v>
      </c>
      <c r="B3902" s="2" t="s">
        <v>894</v>
      </c>
      <c r="C3902" s="2"/>
      <c r="D3902" s="2" t="s">
        <v>1114</v>
      </c>
    </row>
    <row r="3903">
      <c r="A3903" s="8">
        <v>46197.40488674768</v>
      </c>
      <c r="B3903" s="2" t="s">
        <v>798</v>
      </c>
      <c r="C3903" s="2" t="s">
        <v>799</v>
      </c>
      <c r="D3903" s="2" t="s">
        <v>800</v>
      </c>
    </row>
    <row r="3904">
      <c r="A3904" s="8">
        <v>46197.404900277776</v>
      </c>
      <c r="B3904" s="2" t="s">
        <v>991</v>
      </c>
      <c r="C3904" s="2" t="s">
        <v>810</v>
      </c>
      <c r="D3904" s="2" t="s">
        <v>1105</v>
      </c>
    </row>
    <row r="3905">
      <c r="A3905" s="8">
        <v>46197.40494039352</v>
      </c>
      <c r="B3905" s="2" t="s">
        <v>832</v>
      </c>
      <c r="C3905" s="2"/>
      <c r="D3905" s="2" t="s">
        <v>1106</v>
      </c>
    </row>
    <row r="3906">
      <c r="A3906" s="8">
        <v>46197.40517269676</v>
      </c>
      <c r="B3906" s="2" t="s">
        <v>991</v>
      </c>
      <c r="C3906" s="2" t="s">
        <v>534</v>
      </c>
      <c r="D3906" s="2" t="s">
        <v>1136</v>
      </c>
    </row>
    <row r="3907">
      <c r="A3907" s="8">
        <v>46197.405198356486</v>
      </c>
      <c r="B3907" s="2" t="s">
        <v>991</v>
      </c>
      <c r="C3907" s="2" t="s">
        <v>607</v>
      </c>
      <c r="D3907" s="2" t="s">
        <v>1055</v>
      </c>
    </row>
    <row r="3908">
      <c r="A3908" s="8">
        <v>46197.40520809028</v>
      </c>
      <c r="B3908" s="2" t="s">
        <v>894</v>
      </c>
      <c r="C3908" s="2"/>
      <c r="D3908" s="2" t="s">
        <v>1114</v>
      </c>
    </row>
    <row r="3909">
      <c r="A3909" s="8">
        <v>46197.4464482176</v>
      </c>
      <c r="B3909" s="2" t="s">
        <v>798</v>
      </c>
      <c r="C3909" s="2" t="s">
        <v>799</v>
      </c>
      <c r="D3909" s="2" t="s">
        <v>800</v>
      </c>
    </row>
    <row r="3910">
      <c r="A3910" s="8">
        <v>46197.44646197917</v>
      </c>
      <c r="B3910" s="2" t="s">
        <v>991</v>
      </c>
      <c r="C3910" s="2" t="s">
        <v>810</v>
      </c>
      <c r="D3910" s="2" t="s">
        <v>1105</v>
      </c>
    </row>
    <row r="3911">
      <c r="A3911" s="8">
        <v>46197.44646690972</v>
      </c>
      <c r="B3911" s="2" t="s">
        <v>832</v>
      </c>
      <c r="C3911" s="2"/>
      <c r="D3911" s="2" t="s">
        <v>1106</v>
      </c>
    </row>
    <row r="3912">
      <c r="A3912" s="8">
        <v>46197.446569479165</v>
      </c>
      <c r="B3912" s="2" t="s">
        <v>991</v>
      </c>
      <c r="C3912" s="2" t="s">
        <v>534</v>
      </c>
      <c r="D3912" s="2" t="s">
        <v>1136</v>
      </c>
    </row>
    <row r="3913">
      <c r="A3913" s="8">
        <v>46197.4465750463</v>
      </c>
      <c r="B3913" s="2" t="s">
        <v>991</v>
      </c>
      <c r="C3913" s="2" t="s">
        <v>607</v>
      </c>
      <c r="D3913" s="2" t="s">
        <v>1055</v>
      </c>
    </row>
    <row r="3914">
      <c r="A3914" s="8">
        <v>46197.446578310184</v>
      </c>
      <c r="B3914" s="2" t="s">
        <v>894</v>
      </c>
      <c r="C3914" s="2"/>
      <c r="D3914" s="2" t="s">
        <v>1114</v>
      </c>
    </row>
    <row r="3915">
      <c r="A3915" s="8">
        <v>46197.48811881944</v>
      </c>
      <c r="B3915" s="2" t="s">
        <v>798</v>
      </c>
      <c r="C3915" s="2" t="s">
        <v>799</v>
      </c>
      <c r="D3915" s="2" t="s">
        <v>800</v>
      </c>
    </row>
    <row r="3916">
      <c r="A3916" s="8">
        <v>46197.48812459491</v>
      </c>
      <c r="B3916" s="2" t="s">
        <v>991</v>
      </c>
      <c r="C3916" s="2" t="s">
        <v>810</v>
      </c>
      <c r="D3916" s="2" t="s">
        <v>1105</v>
      </c>
    </row>
    <row r="3917">
      <c r="A3917" s="8">
        <v>46197.48813149305</v>
      </c>
      <c r="B3917" s="2" t="s">
        <v>832</v>
      </c>
      <c r="C3917" s="2"/>
      <c r="D3917" s="2" t="s">
        <v>1106</v>
      </c>
    </row>
    <row r="3918">
      <c r="A3918" s="8">
        <v>46197.48822310186</v>
      </c>
      <c r="B3918" s="2" t="s">
        <v>991</v>
      </c>
      <c r="C3918" s="2" t="s">
        <v>534</v>
      </c>
      <c r="D3918" s="2" t="s">
        <v>1136</v>
      </c>
    </row>
    <row r="3919">
      <c r="A3919" s="8">
        <v>46197.48823189815</v>
      </c>
      <c r="B3919" s="2" t="s">
        <v>991</v>
      </c>
      <c r="C3919" s="2" t="s">
        <v>607</v>
      </c>
      <c r="D3919" s="2" t="s">
        <v>1055</v>
      </c>
    </row>
    <row r="3920">
      <c r="A3920" s="8">
        <v>46197.48823538194</v>
      </c>
      <c r="B3920" s="2" t="s">
        <v>894</v>
      </c>
      <c r="C3920" s="2"/>
      <c r="D3920" s="2" t="s">
        <v>1114</v>
      </c>
    </row>
    <row r="3921">
      <c r="A3921" s="8">
        <v>46197.53017194444</v>
      </c>
      <c r="B3921" s="2" t="s">
        <v>798</v>
      </c>
      <c r="C3921" s="2" t="s">
        <v>799</v>
      </c>
      <c r="D3921" s="2" t="s">
        <v>800</v>
      </c>
    </row>
    <row r="3922">
      <c r="A3922" s="8">
        <v>46197.530213356484</v>
      </c>
      <c r="B3922" s="2" t="s">
        <v>991</v>
      </c>
      <c r="C3922" s="2" t="s">
        <v>810</v>
      </c>
      <c r="D3922" s="2" t="s">
        <v>1105</v>
      </c>
    </row>
    <row r="3923">
      <c r="A3923" s="8">
        <v>46197.530248703704</v>
      </c>
      <c r="B3923" s="2" t="s">
        <v>832</v>
      </c>
      <c r="C3923" s="2"/>
      <c r="D3923" s="2" t="s">
        <v>1106</v>
      </c>
    </row>
    <row r="3924">
      <c r="A3924" s="8">
        <v>46197.53065748843</v>
      </c>
      <c r="B3924" s="2" t="s">
        <v>991</v>
      </c>
      <c r="C3924" s="2" t="s">
        <v>534</v>
      </c>
      <c r="D3924" s="2" t="s">
        <v>1136</v>
      </c>
    </row>
    <row r="3925">
      <c r="A3925" s="8">
        <v>46197.53074853009</v>
      </c>
      <c r="B3925" s="2" t="s">
        <v>991</v>
      </c>
      <c r="C3925" s="2" t="s">
        <v>607</v>
      </c>
      <c r="D3925" s="2" t="s">
        <v>1055</v>
      </c>
    </row>
    <row r="3926">
      <c r="A3926" s="8">
        <v>46197.530774687504</v>
      </c>
      <c r="B3926" s="2" t="s">
        <v>894</v>
      </c>
      <c r="C3926" s="2"/>
      <c r="D3926" s="2" t="s">
        <v>1114</v>
      </c>
    </row>
    <row r="3927">
      <c r="A3927" s="8">
        <v>46197.57144421297</v>
      </c>
      <c r="B3927" s="2" t="s">
        <v>798</v>
      </c>
      <c r="C3927" s="2" t="s">
        <v>799</v>
      </c>
      <c r="D3927" s="2" t="s">
        <v>800</v>
      </c>
    </row>
    <row r="3928">
      <c r="A3928" s="8">
        <v>46197.57144947917</v>
      </c>
      <c r="B3928" s="2" t="s">
        <v>991</v>
      </c>
      <c r="C3928" s="2" t="s">
        <v>810</v>
      </c>
      <c r="D3928" s="2" t="s">
        <v>1105</v>
      </c>
    </row>
    <row r="3929">
      <c r="A3929" s="8">
        <v>46197.571454097226</v>
      </c>
      <c r="B3929" s="2" t="s">
        <v>832</v>
      </c>
      <c r="C3929" s="2"/>
      <c r="D3929" s="2" t="s">
        <v>1106</v>
      </c>
    </row>
    <row r="3930">
      <c r="A3930" s="8">
        <v>46197.57154204861</v>
      </c>
      <c r="B3930" s="2" t="s">
        <v>991</v>
      </c>
      <c r="C3930" s="2" t="s">
        <v>534</v>
      </c>
      <c r="D3930" s="2" t="s">
        <v>1136</v>
      </c>
    </row>
    <row r="3931">
      <c r="A3931" s="8">
        <v>46197.57154725694</v>
      </c>
      <c r="B3931" s="2" t="s">
        <v>991</v>
      </c>
      <c r="C3931" s="2" t="s">
        <v>607</v>
      </c>
      <c r="D3931" s="2" t="s">
        <v>1055</v>
      </c>
    </row>
    <row r="3932">
      <c r="A3932" s="8">
        <v>46197.57154982639</v>
      </c>
      <c r="B3932" s="2" t="s">
        <v>894</v>
      </c>
      <c r="C3932" s="2"/>
      <c r="D3932" s="2" t="s">
        <v>1114</v>
      </c>
    </row>
    <row r="3933">
      <c r="A3933" s="8">
        <v>46197.613129907404</v>
      </c>
      <c r="B3933" s="2" t="s">
        <v>798</v>
      </c>
      <c r="C3933" s="2" t="s">
        <v>799</v>
      </c>
      <c r="D3933" s="2" t="s">
        <v>800</v>
      </c>
    </row>
    <row r="3934">
      <c r="A3934" s="8">
        <v>46197.61313668982</v>
      </c>
      <c r="B3934" s="2" t="s">
        <v>991</v>
      </c>
      <c r="C3934" s="2" t="s">
        <v>810</v>
      </c>
      <c r="D3934" s="2" t="s">
        <v>1105</v>
      </c>
    </row>
    <row r="3935">
      <c r="A3935" s="8">
        <v>46197.61315615741</v>
      </c>
      <c r="B3935" s="2" t="s">
        <v>832</v>
      </c>
      <c r="C3935" s="2"/>
      <c r="D3935" s="2" t="s">
        <v>1106</v>
      </c>
    </row>
    <row r="3936">
      <c r="A3936" s="8">
        <v>46197.613239791666</v>
      </c>
      <c r="B3936" s="2" t="s">
        <v>991</v>
      </c>
      <c r="C3936" s="2" t="s">
        <v>534</v>
      </c>
      <c r="D3936" s="2" t="s">
        <v>1136</v>
      </c>
    </row>
    <row r="3937">
      <c r="A3937" s="8">
        <v>46197.61324653935</v>
      </c>
      <c r="B3937" s="2" t="s">
        <v>991</v>
      </c>
      <c r="C3937" s="2" t="s">
        <v>607</v>
      </c>
      <c r="D3937" s="2" t="s">
        <v>1055</v>
      </c>
    </row>
    <row r="3938">
      <c r="A3938" s="8">
        <v>46197.613250254624</v>
      </c>
      <c r="B3938" s="2" t="s">
        <v>894</v>
      </c>
      <c r="C3938" s="2"/>
      <c r="D3938" s="2" t="s">
        <v>1114</v>
      </c>
    </row>
    <row r="3939">
      <c r="A3939" s="8">
        <v>46197.64344987269</v>
      </c>
      <c r="B3939" s="2" t="s">
        <v>798</v>
      </c>
      <c r="C3939" s="2" t="s">
        <v>799</v>
      </c>
      <c r="D3939" s="2" t="s">
        <v>800</v>
      </c>
    </row>
    <row r="3940">
      <c r="A3940" s="8">
        <v>46197.64345355324</v>
      </c>
      <c r="B3940" s="2" t="s">
        <v>991</v>
      </c>
      <c r="C3940" s="2" t="s">
        <v>810</v>
      </c>
      <c r="D3940" s="2" t="s">
        <v>1105</v>
      </c>
    </row>
    <row r="3941">
      <c r="A3941" s="8">
        <v>46197.643457314814</v>
      </c>
      <c r="B3941" s="2" t="s">
        <v>832</v>
      </c>
      <c r="C3941" s="2"/>
      <c r="D3941" s="2" t="s">
        <v>1106</v>
      </c>
    </row>
    <row r="3942">
      <c r="A3942" s="8">
        <v>46197.6435275</v>
      </c>
      <c r="B3942" s="2" t="s">
        <v>991</v>
      </c>
      <c r="C3942" s="2" t="s">
        <v>534</v>
      </c>
      <c r="D3942" s="2" t="s">
        <v>1136</v>
      </c>
    </row>
    <row r="3943">
      <c r="A3943" s="8">
        <v>46197.64353215278</v>
      </c>
      <c r="B3943" s="2" t="s">
        <v>991</v>
      </c>
      <c r="C3943" s="2" t="s">
        <v>607</v>
      </c>
      <c r="D3943" s="2" t="s">
        <v>1055</v>
      </c>
    </row>
    <row r="3944">
      <c r="A3944" s="8">
        <v>46197.64353412037</v>
      </c>
      <c r="B3944" s="2" t="s">
        <v>894</v>
      </c>
      <c r="C3944" s="2"/>
      <c r="D3944" s="2" t="s">
        <v>1114</v>
      </c>
    </row>
    <row r="3945">
      <c r="A3945" s="8">
        <v>46197.646891435186</v>
      </c>
      <c r="B3945" s="2" t="s">
        <v>798</v>
      </c>
      <c r="C3945" s="2" t="s">
        <v>799</v>
      </c>
      <c r="D3945" s="2" t="s">
        <v>800</v>
      </c>
    </row>
    <row r="3946">
      <c r="A3946" s="8">
        <v>46197.64689585648</v>
      </c>
      <c r="B3946" s="2" t="s">
        <v>991</v>
      </c>
      <c r="C3946" s="2" t="s">
        <v>810</v>
      </c>
      <c r="D3946" s="2" t="s">
        <v>1105</v>
      </c>
    </row>
    <row r="3947">
      <c r="A3947" s="8">
        <v>46197.646899618056</v>
      </c>
      <c r="B3947" s="2" t="s">
        <v>832</v>
      </c>
      <c r="C3947" s="2"/>
      <c r="D3947" s="2" t="s">
        <v>1106</v>
      </c>
    </row>
    <row r="3948">
      <c r="A3948" s="8">
        <v>46197.646968807865</v>
      </c>
      <c r="B3948" s="2" t="s">
        <v>991</v>
      </c>
      <c r="C3948" s="2" t="s">
        <v>534</v>
      </c>
      <c r="D3948" s="2" t="s">
        <v>1136</v>
      </c>
    </row>
    <row r="3949">
      <c r="A3949" s="8">
        <v>46197.646973599534</v>
      </c>
      <c r="B3949" s="2" t="s">
        <v>991</v>
      </c>
      <c r="C3949" s="2" t="s">
        <v>607</v>
      </c>
      <c r="D3949" s="2" t="s">
        <v>1055</v>
      </c>
    </row>
    <row r="3950">
      <c r="A3950" s="8">
        <v>46197.64697574074</v>
      </c>
      <c r="B3950" s="2" t="s">
        <v>894</v>
      </c>
      <c r="C3950" s="2"/>
      <c r="D3950" s="2" t="s">
        <v>1114</v>
      </c>
    </row>
    <row r="3951">
      <c r="A3951" s="8">
        <v>46197.649868402776</v>
      </c>
      <c r="B3951" s="2" t="s">
        <v>798</v>
      </c>
      <c r="C3951" s="2" t="s">
        <v>799</v>
      </c>
      <c r="D3951" s="2" t="s">
        <v>800</v>
      </c>
    </row>
    <row r="3952">
      <c r="A3952" s="8">
        <v>46197.64987688657</v>
      </c>
      <c r="B3952" s="2" t="s">
        <v>991</v>
      </c>
      <c r="C3952" s="2" t="s">
        <v>810</v>
      </c>
      <c r="D3952" s="2" t="s">
        <v>1105</v>
      </c>
    </row>
    <row r="3953">
      <c r="A3953" s="8">
        <v>46197.649880983794</v>
      </c>
      <c r="B3953" s="2" t="s">
        <v>832</v>
      </c>
      <c r="C3953" s="2"/>
      <c r="D3953" s="2" t="s">
        <v>1106</v>
      </c>
    </row>
    <row r="3954">
      <c r="A3954" s="8">
        <v>46197.64995358796</v>
      </c>
      <c r="B3954" s="2" t="s">
        <v>991</v>
      </c>
      <c r="C3954" s="2" t="s">
        <v>534</v>
      </c>
      <c r="D3954" s="2" t="s">
        <v>1136</v>
      </c>
    </row>
    <row r="3955">
      <c r="A3955" s="8">
        <v>46197.6499584375</v>
      </c>
      <c r="B3955" s="2" t="s">
        <v>991</v>
      </c>
      <c r="C3955" s="2" t="s">
        <v>607</v>
      </c>
      <c r="D3955" s="2" t="s">
        <v>1055</v>
      </c>
    </row>
    <row r="3956">
      <c r="A3956" s="8">
        <v>46197.6499606713</v>
      </c>
      <c r="B3956" s="2" t="s">
        <v>894</v>
      </c>
      <c r="C3956" s="2"/>
      <c r="D3956" s="2" t="s">
        <v>1114</v>
      </c>
    </row>
    <row r="3957">
      <c r="A3957" s="8">
        <v>46197.65103363426</v>
      </c>
      <c r="B3957" s="2" t="s">
        <v>979</v>
      </c>
      <c r="C3957" s="2" t="s">
        <v>810</v>
      </c>
      <c r="D3957" s="2" t="s">
        <v>1145</v>
      </c>
    </row>
    <row r="3958">
      <c r="A3958" s="8">
        <v>46197.651048761574</v>
      </c>
      <c r="B3958" s="2" t="s">
        <v>979</v>
      </c>
      <c r="C3958" s="2" t="s">
        <v>534</v>
      </c>
      <c r="D3958" s="2" t="s">
        <v>1146</v>
      </c>
    </row>
    <row r="3959">
      <c r="A3959" s="8">
        <v>46197.65106047454</v>
      </c>
      <c r="B3959" s="2" t="s">
        <v>979</v>
      </c>
      <c r="C3959" s="2" t="s">
        <v>607</v>
      </c>
      <c r="D3959" s="2" t="s">
        <v>985</v>
      </c>
    </row>
    <row r="3960">
      <c r="A3960" s="8">
        <v>46197.65106539352</v>
      </c>
      <c r="B3960" s="2" t="s">
        <v>989</v>
      </c>
      <c r="C3960" s="2"/>
      <c r="D3960" s="2" t="s">
        <v>1147</v>
      </c>
    </row>
    <row r="3961">
      <c r="A3961" s="8">
        <v>46197.6547756713</v>
      </c>
      <c r="B3961" s="2" t="s">
        <v>798</v>
      </c>
      <c r="C3961" s="2" t="s">
        <v>799</v>
      </c>
      <c r="D3961" s="2" t="s">
        <v>800</v>
      </c>
    </row>
    <row r="3962">
      <c r="A3962" s="8">
        <v>46197.654782094905</v>
      </c>
      <c r="B3962" s="2" t="s">
        <v>832</v>
      </c>
      <c r="C3962" s="2"/>
      <c r="D3962" s="2" t="s">
        <v>1097</v>
      </c>
    </row>
    <row r="3963">
      <c r="A3963" s="8">
        <v>46197.654894629624</v>
      </c>
      <c r="B3963" s="2" t="s">
        <v>894</v>
      </c>
      <c r="C3963" s="2"/>
      <c r="D3963" s="2" t="s">
        <v>1148</v>
      </c>
    </row>
    <row r="3964">
      <c r="A3964" s="8">
        <v>46197.65825508102</v>
      </c>
      <c r="B3964" s="2" t="s">
        <v>892</v>
      </c>
      <c r="C3964" s="2"/>
      <c r="D3964" s="2" t="s">
        <v>1149</v>
      </c>
    </row>
    <row r="3965">
      <c r="A3965" s="8">
        <v>46197.65844453704</v>
      </c>
      <c r="B3965" s="2" t="s">
        <v>894</v>
      </c>
      <c r="C3965" s="2"/>
      <c r="D3965" s="2" t="s">
        <v>1150</v>
      </c>
    </row>
    <row r="3966">
      <c r="A3966" s="8">
        <v>46197.659292847224</v>
      </c>
      <c r="B3966" s="2" t="s">
        <v>844</v>
      </c>
      <c r="C3966" s="2" t="s">
        <v>444</v>
      </c>
      <c r="D3966" s="2" t="s">
        <v>1005</v>
      </c>
    </row>
    <row r="3967">
      <c r="A3967" s="8">
        <v>46197.65930337963</v>
      </c>
      <c r="B3967" s="2" t="s">
        <v>844</v>
      </c>
      <c r="C3967" s="2" t="s">
        <v>468</v>
      </c>
      <c r="D3967" s="2" t="s">
        <v>1151</v>
      </c>
    </row>
    <row r="3968">
      <c r="A3968" s="8">
        <v>46197.65931337963</v>
      </c>
      <c r="B3968" s="2" t="s">
        <v>844</v>
      </c>
      <c r="C3968" s="2" t="s">
        <v>474</v>
      </c>
      <c r="D3968" s="2" t="s">
        <v>1005</v>
      </c>
    </row>
    <row r="3969">
      <c r="A3969" s="8">
        <v>46197.65933043981</v>
      </c>
      <c r="B3969" s="2" t="s">
        <v>1070</v>
      </c>
      <c r="C3969" s="2" t="s">
        <v>584</v>
      </c>
      <c r="D3969" s="2" t="s">
        <v>1152</v>
      </c>
    </row>
    <row r="3970">
      <c r="A3970" s="8">
        <v>46197.659340949074</v>
      </c>
      <c r="B3970" s="2" t="s">
        <v>1070</v>
      </c>
      <c r="C3970" s="2" t="s">
        <v>595</v>
      </c>
      <c r="D3970" s="2" t="s">
        <v>1153</v>
      </c>
    </row>
    <row r="3971">
      <c r="A3971" s="8">
        <v>46197.65935173611</v>
      </c>
      <c r="B3971" s="2" t="s">
        <v>1070</v>
      </c>
      <c r="C3971" s="2" t="s">
        <v>601</v>
      </c>
      <c r="D3971" s="2" t="s">
        <v>1153</v>
      </c>
    </row>
    <row r="3972">
      <c r="A3972" s="8">
        <v>46197.65936104167</v>
      </c>
      <c r="B3972" s="2" t="s">
        <v>894</v>
      </c>
      <c r="C3972" s="2"/>
      <c r="D3972" s="2" t="s">
        <v>1154</v>
      </c>
    </row>
    <row r="3973">
      <c r="A3973" s="8">
        <v>46197.65936842593</v>
      </c>
      <c r="B3973" s="2" t="s">
        <v>1127</v>
      </c>
      <c r="C3973" s="2"/>
      <c r="D3973" s="2" t="s">
        <v>1128</v>
      </c>
    </row>
    <row r="3974">
      <c r="A3974" s="8">
        <v>46197.659709976855</v>
      </c>
      <c r="B3974" s="2" t="s">
        <v>894</v>
      </c>
      <c r="C3974" s="2"/>
      <c r="D3974" s="2" t="s">
        <v>1155</v>
      </c>
    </row>
    <row r="3975">
      <c r="A3975" s="8">
        <v>46197.69646726851</v>
      </c>
      <c r="B3975" s="2" t="s">
        <v>798</v>
      </c>
      <c r="C3975" s="2" t="s">
        <v>799</v>
      </c>
      <c r="D3975" s="2" t="s">
        <v>800</v>
      </c>
    </row>
    <row r="3976">
      <c r="A3976" s="8">
        <v>46197.69648266204</v>
      </c>
      <c r="B3976" s="2" t="s">
        <v>832</v>
      </c>
      <c r="C3976" s="2"/>
      <c r="D3976" s="2" t="s">
        <v>1097</v>
      </c>
    </row>
    <row r="3977">
      <c r="A3977" s="8">
        <v>46197.69657320602</v>
      </c>
      <c r="B3977" s="2" t="s">
        <v>892</v>
      </c>
      <c r="C3977" s="2"/>
      <c r="D3977" s="2" t="s">
        <v>1149</v>
      </c>
    </row>
    <row r="3978">
      <c r="A3978" s="8">
        <v>46197.69663175926</v>
      </c>
      <c r="B3978" s="2" t="s">
        <v>894</v>
      </c>
      <c r="C3978" s="2"/>
      <c r="D3978" s="2" t="s">
        <v>1156</v>
      </c>
    </row>
    <row r="3979">
      <c r="A3979" s="8">
        <v>46197.73809726852</v>
      </c>
      <c r="B3979" s="2" t="s">
        <v>798</v>
      </c>
      <c r="C3979" s="2" t="s">
        <v>799</v>
      </c>
      <c r="D3979" s="2" t="s">
        <v>800</v>
      </c>
    </row>
    <row r="3980">
      <c r="A3980" s="8">
        <v>46197.73810451389</v>
      </c>
      <c r="B3980" s="2" t="s">
        <v>832</v>
      </c>
      <c r="C3980" s="2"/>
      <c r="D3980" s="2" t="s">
        <v>1097</v>
      </c>
    </row>
    <row r="3981">
      <c r="A3981" s="8">
        <v>46197.73817751158</v>
      </c>
      <c r="B3981" s="2" t="s">
        <v>892</v>
      </c>
      <c r="C3981" s="2"/>
      <c r="D3981" s="2" t="s">
        <v>1149</v>
      </c>
    </row>
    <row r="3982">
      <c r="A3982" s="8">
        <v>46197.738200231484</v>
      </c>
      <c r="B3982" s="2" t="s">
        <v>894</v>
      </c>
      <c r="C3982" s="2"/>
      <c r="D3982" s="2" t="s">
        <v>1156</v>
      </c>
    </row>
    <row r="3983">
      <c r="A3983" s="8">
        <v>46197.772213414355</v>
      </c>
      <c r="B3983" s="2" t="s">
        <v>789</v>
      </c>
      <c r="C3983" s="2"/>
      <c r="D3983" s="2" t="s">
        <v>1094</v>
      </c>
    </row>
    <row r="3984">
      <c r="A3984" s="8">
        <v>46197.77976229167</v>
      </c>
      <c r="B3984" s="2" t="s">
        <v>798</v>
      </c>
      <c r="C3984" s="2" t="s">
        <v>799</v>
      </c>
      <c r="D3984" s="2" t="s">
        <v>800</v>
      </c>
    </row>
    <row r="3985">
      <c r="A3985" s="8">
        <v>46197.779764907405</v>
      </c>
      <c r="B3985" s="2" t="s">
        <v>832</v>
      </c>
      <c r="C3985" s="2"/>
      <c r="D3985" s="2" t="s">
        <v>1097</v>
      </c>
    </row>
    <row r="3986">
      <c r="A3986" s="8">
        <v>46197.77984375</v>
      </c>
      <c r="B3986" s="2" t="s">
        <v>892</v>
      </c>
      <c r="C3986" s="2"/>
      <c r="D3986" s="2" t="s">
        <v>1149</v>
      </c>
    </row>
    <row r="3987">
      <c r="A3987" s="8">
        <v>46197.77986571759</v>
      </c>
      <c r="B3987" s="2" t="s">
        <v>894</v>
      </c>
      <c r="C3987" s="2"/>
      <c r="D3987" s="2" t="s">
        <v>1156</v>
      </c>
    </row>
    <row r="3988">
      <c r="A3988" s="8">
        <v>46197.82146474537</v>
      </c>
      <c r="B3988" s="2" t="s">
        <v>798</v>
      </c>
      <c r="C3988" s="2" t="s">
        <v>799</v>
      </c>
      <c r="D3988" s="2" t="s">
        <v>800</v>
      </c>
    </row>
    <row r="3989">
      <c r="A3989" s="8">
        <v>46197.82147403935</v>
      </c>
      <c r="B3989" s="2" t="s">
        <v>832</v>
      </c>
      <c r="C3989" s="2"/>
      <c r="D3989" s="2" t="s">
        <v>1097</v>
      </c>
    </row>
    <row r="3990">
      <c r="A3990" s="8">
        <v>46197.82157252315</v>
      </c>
      <c r="B3990" s="2" t="s">
        <v>892</v>
      </c>
      <c r="C3990" s="2"/>
      <c r="D3990" s="2" t="s">
        <v>1149</v>
      </c>
    </row>
    <row r="3991">
      <c r="A3991" s="8">
        <v>46197.82161532408</v>
      </c>
      <c r="B3991" s="2" t="s">
        <v>894</v>
      </c>
      <c r="C3991" s="2"/>
      <c r="D3991" s="2" t="s">
        <v>1156</v>
      </c>
    </row>
    <row r="3992">
      <c r="A3992" s="8">
        <v>46197.863135590276</v>
      </c>
      <c r="B3992" s="2" t="s">
        <v>798</v>
      </c>
      <c r="C3992" s="2" t="s">
        <v>799</v>
      </c>
      <c r="D3992" s="2" t="s">
        <v>800</v>
      </c>
    </row>
    <row r="3993">
      <c r="A3993" s="8">
        <v>46197.863163449074</v>
      </c>
      <c r="B3993" s="2" t="s">
        <v>832</v>
      </c>
      <c r="C3993" s="2"/>
      <c r="D3993" s="2" t="s">
        <v>1097</v>
      </c>
    </row>
    <row r="3994">
      <c r="A3994" s="8">
        <v>46197.86326976852</v>
      </c>
      <c r="B3994" s="2" t="s">
        <v>892</v>
      </c>
      <c r="C3994" s="2"/>
      <c r="D3994" s="2" t="s">
        <v>1149</v>
      </c>
    </row>
    <row r="3995">
      <c r="A3995" s="8">
        <v>46197.863313657406</v>
      </c>
      <c r="B3995" s="2" t="s">
        <v>894</v>
      </c>
      <c r="C3995" s="2"/>
      <c r="D3995" s="2" t="s">
        <v>1156</v>
      </c>
    </row>
    <row r="3996">
      <c r="A3996" s="8">
        <v>46197.9048190625</v>
      </c>
      <c r="B3996" s="2" t="s">
        <v>798</v>
      </c>
      <c r="C3996" s="2" t="s">
        <v>799</v>
      </c>
      <c r="D3996" s="2" t="s">
        <v>800</v>
      </c>
    </row>
    <row r="3997">
      <c r="A3997" s="8">
        <v>46197.90483210648</v>
      </c>
      <c r="B3997" s="2" t="s">
        <v>832</v>
      </c>
      <c r="C3997" s="2"/>
      <c r="D3997" s="2" t="s">
        <v>1097</v>
      </c>
    </row>
    <row r="3998">
      <c r="A3998" s="8">
        <v>46197.90493474537</v>
      </c>
      <c r="B3998" s="2" t="s">
        <v>892</v>
      </c>
      <c r="C3998" s="2"/>
      <c r="D3998" s="2" t="s">
        <v>1149</v>
      </c>
    </row>
    <row r="3999">
      <c r="A3999" s="8">
        <v>46197.9049790625</v>
      </c>
      <c r="B3999" s="2" t="s">
        <v>894</v>
      </c>
      <c r="C3999" s="2"/>
      <c r="D3999" s="2" t="s">
        <v>1156</v>
      </c>
    </row>
    <row r="4000">
      <c r="A4000" s="8">
        <v>46197.917120972226</v>
      </c>
      <c r="B4000" s="2" t="s">
        <v>863</v>
      </c>
      <c r="C4000" s="2"/>
      <c r="D4000" s="2" t="s">
        <v>1157</v>
      </c>
    </row>
    <row r="4001">
      <c r="A4001" s="8">
        <v>46197.94644049769</v>
      </c>
      <c r="B4001" s="2" t="s">
        <v>798</v>
      </c>
      <c r="C4001" s="2" t="s">
        <v>799</v>
      </c>
      <c r="D4001" s="2" t="s">
        <v>800</v>
      </c>
    </row>
    <row r="4002">
      <c r="A4002" s="8">
        <v>46197.94644490741</v>
      </c>
      <c r="B4002" s="2" t="s">
        <v>832</v>
      </c>
      <c r="C4002" s="2"/>
      <c r="D4002" s="2" t="s">
        <v>1097</v>
      </c>
    </row>
    <row r="4003">
      <c r="A4003" s="8">
        <v>46197.946510775466</v>
      </c>
      <c r="B4003" s="2" t="s">
        <v>892</v>
      </c>
      <c r="C4003" s="2"/>
      <c r="D4003" s="2" t="s">
        <v>1149</v>
      </c>
    </row>
    <row r="4004">
      <c r="A4004" s="8">
        <v>46197.946535717594</v>
      </c>
      <c r="B4004" s="2" t="s">
        <v>894</v>
      </c>
      <c r="C4004" s="2"/>
      <c r="D4004" s="2" t="s">
        <v>1156</v>
      </c>
    </row>
    <row r="4005">
      <c r="A4005" s="8">
        <v>46197.98819042824</v>
      </c>
      <c r="B4005" s="2" t="s">
        <v>798</v>
      </c>
      <c r="C4005" s="2" t="s">
        <v>799</v>
      </c>
      <c r="D4005" s="2" t="s">
        <v>800</v>
      </c>
    </row>
    <row r="4006">
      <c r="A4006" s="8">
        <v>46197.98820298611</v>
      </c>
      <c r="B4006" s="2" t="s">
        <v>832</v>
      </c>
      <c r="C4006" s="2"/>
      <c r="D4006" s="2" t="s">
        <v>1097</v>
      </c>
    </row>
    <row r="4007">
      <c r="A4007" s="8">
        <v>46197.98830967593</v>
      </c>
      <c r="B4007" s="2" t="s">
        <v>892</v>
      </c>
      <c r="C4007" s="2"/>
      <c r="D4007" s="2" t="s">
        <v>1149</v>
      </c>
    </row>
    <row r="4008">
      <c r="A4008" s="8">
        <v>46197.98837210648</v>
      </c>
      <c r="B4008" s="2" t="s">
        <v>894</v>
      </c>
      <c r="C4008" s="2"/>
      <c r="D4008" s="2" t="s">
        <v>1156</v>
      </c>
    </row>
    <row r="4009">
      <c r="A4009" s="8">
        <v>46198.02981571759</v>
      </c>
      <c r="B4009" s="2" t="s">
        <v>798</v>
      </c>
      <c r="C4009" s="2" t="s">
        <v>799</v>
      </c>
      <c r="D4009" s="2" t="s">
        <v>800</v>
      </c>
    </row>
    <row r="4010">
      <c r="A4010" s="8">
        <v>46198.02985827546</v>
      </c>
      <c r="B4010" s="2" t="s">
        <v>832</v>
      </c>
      <c r="C4010" s="2"/>
      <c r="D4010" s="2" t="s">
        <v>1097</v>
      </c>
    </row>
    <row r="4011">
      <c r="A4011" s="8">
        <v>46198.02995034722</v>
      </c>
      <c r="B4011" s="2" t="s">
        <v>892</v>
      </c>
      <c r="C4011" s="2"/>
      <c r="D4011" s="2" t="s">
        <v>1149</v>
      </c>
    </row>
    <row r="4012">
      <c r="A4012" s="8">
        <v>46198.02998006945</v>
      </c>
      <c r="B4012" s="2" t="s">
        <v>894</v>
      </c>
      <c r="C4012" s="2"/>
      <c r="D4012" s="2" t="s">
        <v>1156</v>
      </c>
    </row>
    <row r="4013">
      <c r="A4013" s="8">
        <v>46198.071439629624</v>
      </c>
      <c r="B4013" s="2" t="s">
        <v>798</v>
      </c>
      <c r="C4013" s="2" t="s">
        <v>799</v>
      </c>
      <c r="D4013" s="2" t="s">
        <v>800</v>
      </c>
    </row>
    <row r="4014">
      <c r="A4014" s="8">
        <v>46198.07144854167</v>
      </c>
      <c r="B4014" s="2" t="s">
        <v>832</v>
      </c>
      <c r="C4014" s="2"/>
      <c r="D4014" s="2" t="s">
        <v>1097</v>
      </c>
    </row>
    <row r="4015">
      <c r="A4015" s="8">
        <v>46198.07151163195</v>
      </c>
      <c r="B4015" s="2" t="s">
        <v>892</v>
      </c>
      <c r="C4015" s="2"/>
      <c r="D4015" s="2" t="s">
        <v>1149</v>
      </c>
    </row>
    <row r="4016">
      <c r="A4016" s="8">
        <v>46198.071533379625</v>
      </c>
      <c r="B4016" s="2" t="s">
        <v>894</v>
      </c>
      <c r="C4016" s="2"/>
      <c r="D4016" s="2" t="s">
        <v>1156</v>
      </c>
    </row>
    <row r="4017">
      <c r="A4017" s="8">
        <v>46198.11309976852</v>
      </c>
      <c r="B4017" s="2" t="s">
        <v>798</v>
      </c>
      <c r="C4017" s="2" t="s">
        <v>799</v>
      </c>
      <c r="D4017" s="2" t="s">
        <v>800</v>
      </c>
    </row>
    <row r="4018">
      <c r="A4018" s="8">
        <v>46198.11310386574</v>
      </c>
      <c r="B4018" s="2" t="s">
        <v>832</v>
      </c>
      <c r="C4018" s="2"/>
      <c r="D4018" s="2" t="s">
        <v>1097</v>
      </c>
    </row>
    <row r="4019">
      <c r="A4019" s="8">
        <v>46198.11316761574</v>
      </c>
      <c r="B4019" s="2" t="s">
        <v>892</v>
      </c>
      <c r="C4019" s="2"/>
      <c r="D4019" s="2" t="s">
        <v>1149</v>
      </c>
    </row>
    <row r="4020">
      <c r="A4020" s="8">
        <v>46198.1131850463</v>
      </c>
      <c r="B4020" s="2" t="s">
        <v>894</v>
      </c>
      <c r="C4020" s="2"/>
      <c r="D4020" s="2" t="s">
        <v>1156</v>
      </c>
    </row>
    <row r="4021">
      <c r="A4021" s="8">
        <v>46198.154793078706</v>
      </c>
      <c r="B4021" s="2" t="s">
        <v>798</v>
      </c>
      <c r="C4021" s="2" t="s">
        <v>799</v>
      </c>
      <c r="D4021" s="2" t="s">
        <v>800</v>
      </c>
    </row>
    <row r="4022">
      <c r="A4022" s="8">
        <v>46198.1548009375</v>
      </c>
      <c r="B4022" s="2" t="s">
        <v>832</v>
      </c>
      <c r="C4022" s="2"/>
      <c r="D4022" s="2" t="s">
        <v>1097</v>
      </c>
    </row>
    <row r="4023">
      <c r="A4023" s="8">
        <v>46198.154889826386</v>
      </c>
      <c r="B4023" s="2" t="s">
        <v>892</v>
      </c>
      <c r="C4023" s="2"/>
      <c r="D4023" s="2" t="s">
        <v>1149</v>
      </c>
    </row>
    <row r="4024">
      <c r="A4024" s="8">
        <v>46198.15492223379</v>
      </c>
      <c r="B4024" s="2" t="s">
        <v>894</v>
      </c>
      <c r="C4024" s="2"/>
      <c r="D4024" s="2" t="s">
        <v>1156</v>
      </c>
    </row>
    <row r="4025">
      <c r="A4025" s="8">
        <v>46198.19645841436</v>
      </c>
      <c r="B4025" s="2" t="s">
        <v>798</v>
      </c>
      <c r="C4025" s="2" t="s">
        <v>799</v>
      </c>
      <c r="D4025" s="2" t="s">
        <v>800</v>
      </c>
    </row>
    <row r="4026">
      <c r="A4026" s="8">
        <v>46198.19646990741</v>
      </c>
      <c r="B4026" s="2" t="s">
        <v>832</v>
      </c>
      <c r="C4026" s="2"/>
      <c r="D4026" s="2" t="s">
        <v>1097</v>
      </c>
    </row>
    <row r="4027">
      <c r="A4027" s="8">
        <v>46198.19657598379</v>
      </c>
      <c r="B4027" s="2" t="s">
        <v>892</v>
      </c>
      <c r="C4027" s="2"/>
      <c r="D4027" s="2" t="s">
        <v>1149</v>
      </c>
    </row>
    <row r="4028">
      <c r="A4028" s="8">
        <v>46198.19661568287</v>
      </c>
      <c r="B4028" s="2" t="s">
        <v>844</v>
      </c>
      <c r="C4028" s="2" t="s">
        <v>474</v>
      </c>
      <c r="D4028" s="2" t="s">
        <v>1158</v>
      </c>
    </row>
    <row r="4029">
      <c r="A4029" s="8">
        <v>46198.19663623843</v>
      </c>
      <c r="B4029" s="2" t="s">
        <v>844</v>
      </c>
      <c r="C4029" s="2" t="s">
        <v>662</v>
      </c>
      <c r="D4029" s="2" t="s">
        <v>1159</v>
      </c>
    </row>
    <row r="4030">
      <c r="A4030" s="8">
        <v>46198.1966420949</v>
      </c>
      <c r="B4030" s="2" t="s">
        <v>894</v>
      </c>
      <c r="C4030" s="2"/>
      <c r="D4030" s="2" t="s">
        <v>1160</v>
      </c>
    </row>
    <row r="4031">
      <c r="A4031" s="8">
        <v>46198.23813128472</v>
      </c>
      <c r="B4031" s="2" t="s">
        <v>798</v>
      </c>
      <c r="C4031" s="2" t="s">
        <v>799</v>
      </c>
      <c r="D4031" s="2" t="s">
        <v>800</v>
      </c>
    </row>
    <row r="4032">
      <c r="A4032" s="8">
        <v>46198.23814739584</v>
      </c>
      <c r="B4032" s="2" t="s">
        <v>1070</v>
      </c>
      <c r="C4032" s="2" t="s">
        <v>818</v>
      </c>
      <c r="D4032" s="2" t="s">
        <v>1161</v>
      </c>
    </row>
    <row r="4033">
      <c r="A4033" s="8">
        <v>46198.23816537037</v>
      </c>
      <c r="B4033" s="2" t="s">
        <v>832</v>
      </c>
      <c r="C4033" s="2"/>
      <c r="D4033" s="2" t="s">
        <v>1096</v>
      </c>
    </row>
    <row r="4034">
      <c r="A4034" s="8">
        <v>46198.2382415162</v>
      </c>
      <c r="B4034" s="2" t="s">
        <v>892</v>
      </c>
      <c r="C4034" s="2"/>
      <c r="D4034" s="2" t="s">
        <v>1149</v>
      </c>
    </row>
    <row r="4035">
      <c r="A4035" s="8">
        <v>46198.23827901621</v>
      </c>
      <c r="B4035" s="2" t="s">
        <v>991</v>
      </c>
      <c r="C4035" s="2" t="s">
        <v>574</v>
      </c>
      <c r="D4035" s="2" t="s">
        <v>1083</v>
      </c>
    </row>
    <row r="4036">
      <c r="A4036" s="8">
        <v>46198.23828480324</v>
      </c>
      <c r="B4036" s="2" t="s">
        <v>894</v>
      </c>
      <c r="C4036" s="2"/>
      <c r="D4036" s="2" t="s">
        <v>1162</v>
      </c>
    </row>
    <row r="4037">
      <c r="A4037" s="8">
        <v>46198.238876250005</v>
      </c>
      <c r="B4037" s="2" t="s">
        <v>1127</v>
      </c>
      <c r="C4037" s="2"/>
      <c r="D4037" s="2" t="s">
        <v>1163</v>
      </c>
    </row>
    <row r="4038">
      <c r="A4038" s="8">
        <v>46198.27976542824</v>
      </c>
      <c r="B4038" s="2" t="s">
        <v>798</v>
      </c>
      <c r="C4038" s="2" t="s">
        <v>799</v>
      </c>
      <c r="D4038" s="2" t="s">
        <v>800</v>
      </c>
    </row>
    <row r="4039">
      <c r="A4039" s="8">
        <v>46198.27977</v>
      </c>
      <c r="B4039" s="2" t="s">
        <v>832</v>
      </c>
      <c r="C4039" s="2"/>
      <c r="D4039" s="2" t="s">
        <v>1097</v>
      </c>
    </row>
    <row r="4040">
      <c r="A4040" s="8">
        <v>46198.279847997685</v>
      </c>
      <c r="B4040" s="2" t="s">
        <v>892</v>
      </c>
      <c r="C4040" s="2"/>
      <c r="D4040" s="2" t="s">
        <v>1149</v>
      </c>
    </row>
    <row r="4041">
      <c r="A4041" s="8">
        <v>46198.27986733796</v>
      </c>
      <c r="B4041" s="2" t="s">
        <v>991</v>
      </c>
      <c r="C4041" s="2" t="s">
        <v>607</v>
      </c>
      <c r="D4041" s="2" t="s">
        <v>1104</v>
      </c>
    </row>
    <row r="4042">
      <c r="A4042" s="8">
        <v>46198.279869895836</v>
      </c>
      <c r="B4042" s="2" t="s">
        <v>894</v>
      </c>
      <c r="C4042" s="2"/>
      <c r="D4042" s="2" t="s">
        <v>1162</v>
      </c>
    </row>
    <row r="4043">
      <c r="A4043" s="8">
        <v>46198.32148571759</v>
      </c>
      <c r="B4043" s="2" t="s">
        <v>798</v>
      </c>
      <c r="C4043" s="2" t="s">
        <v>799</v>
      </c>
      <c r="D4043" s="2" t="s">
        <v>800</v>
      </c>
    </row>
    <row r="4044">
      <c r="A4044" s="8">
        <v>46198.32149189815</v>
      </c>
      <c r="B4044" s="2" t="s">
        <v>832</v>
      </c>
      <c r="C4044" s="2"/>
      <c r="D4044" s="2" t="s">
        <v>1097</v>
      </c>
    </row>
    <row r="4045">
      <c r="A4045" s="8">
        <v>46198.321578125004</v>
      </c>
      <c r="B4045" s="2" t="s">
        <v>892</v>
      </c>
      <c r="C4045" s="2"/>
      <c r="D4045" s="2" t="s">
        <v>1149</v>
      </c>
    </row>
    <row r="4046">
      <c r="A4046" s="8">
        <v>46198.32159935185</v>
      </c>
      <c r="B4046" s="2" t="s">
        <v>894</v>
      </c>
      <c r="C4046" s="2"/>
      <c r="D4046" s="2" t="s">
        <v>1156</v>
      </c>
    </row>
    <row r="4047">
      <c r="A4047" s="8">
        <v>46198.36311377315</v>
      </c>
      <c r="B4047" s="2" t="s">
        <v>798</v>
      </c>
      <c r="C4047" s="2" t="s">
        <v>799</v>
      </c>
      <c r="D4047" s="2" t="s">
        <v>800</v>
      </c>
    </row>
    <row r="4048">
      <c r="A4048" s="8">
        <v>46198.36312010417</v>
      </c>
      <c r="B4048" s="2" t="s">
        <v>832</v>
      </c>
      <c r="C4048" s="2"/>
      <c r="D4048" s="2" t="s">
        <v>1097</v>
      </c>
    </row>
    <row r="4049">
      <c r="A4049" s="8">
        <v>46198.3631940625</v>
      </c>
      <c r="B4049" s="2" t="s">
        <v>892</v>
      </c>
      <c r="C4049" s="2"/>
      <c r="D4049" s="2" t="s">
        <v>1149</v>
      </c>
    </row>
    <row r="4050">
      <c r="A4050" s="8">
        <v>46198.36321940972</v>
      </c>
      <c r="B4050" s="2" t="s">
        <v>894</v>
      </c>
      <c r="C4050" s="2"/>
      <c r="D4050" s="2" t="s">
        <v>1156</v>
      </c>
    </row>
    <row r="4051">
      <c r="A4051" s="8">
        <v>46198.404774282404</v>
      </c>
      <c r="B4051" s="2" t="s">
        <v>798</v>
      </c>
      <c r="C4051" s="2" t="s">
        <v>799</v>
      </c>
      <c r="D4051" s="2" t="s">
        <v>800</v>
      </c>
    </row>
    <row r="4052">
      <c r="A4052" s="8">
        <v>46198.404779178236</v>
      </c>
      <c r="B4052" s="2" t="s">
        <v>832</v>
      </c>
      <c r="C4052" s="2"/>
      <c r="D4052" s="2" t="s">
        <v>1097</v>
      </c>
    </row>
    <row r="4053">
      <c r="A4053" s="8">
        <v>46198.40493748843</v>
      </c>
      <c r="B4053" s="2" t="s">
        <v>892</v>
      </c>
      <c r="C4053" s="2"/>
      <c r="D4053" s="2" t="s">
        <v>1149</v>
      </c>
    </row>
    <row r="4054">
      <c r="A4054" s="8">
        <v>46198.4050007176</v>
      </c>
      <c r="B4054" s="2" t="s">
        <v>844</v>
      </c>
      <c r="C4054" s="2" t="s">
        <v>590</v>
      </c>
      <c r="D4054" s="2" t="s">
        <v>1164</v>
      </c>
    </row>
    <row r="4055">
      <c r="A4055" s="8">
        <v>46198.405005636574</v>
      </c>
      <c r="B4055" s="2" t="s">
        <v>894</v>
      </c>
      <c r="C4055" s="2"/>
      <c r="D4055" s="2" t="s">
        <v>1165</v>
      </c>
    </row>
    <row r="4056">
      <c r="A4056" s="8">
        <v>46198.446451550924</v>
      </c>
      <c r="B4056" s="2" t="s">
        <v>834</v>
      </c>
      <c r="C4056" s="2" t="s">
        <v>1123</v>
      </c>
      <c r="D4056" s="2" t="s">
        <v>1166</v>
      </c>
    </row>
    <row r="4057">
      <c r="A4057" s="8">
        <v>46198.4464558912</v>
      </c>
      <c r="B4057" s="2" t="s">
        <v>798</v>
      </c>
      <c r="C4057" s="2" t="s">
        <v>799</v>
      </c>
      <c r="D4057" s="2" t="s">
        <v>800</v>
      </c>
    </row>
    <row r="4058">
      <c r="A4058" s="8">
        <v>46198.446466249996</v>
      </c>
      <c r="B4058" s="2" t="s">
        <v>832</v>
      </c>
      <c r="C4058" s="2"/>
      <c r="D4058" s="2" t="s">
        <v>1097</v>
      </c>
    </row>
    <row r="4059">
      <c r="A4059" s="8">
        <v>46198.446551076384</v>
      </c>
      <c r="B4059" s="2" t="s">
        <v>892</v>
      </c>
      <c r="C4059" s="2"/>
      <c r="D4059" s="2" t="s">
        <v>1149</v>
      </c>
    </row>
    <row r="4060">
      <c r="A4060" s="8">
        <v>46198.44658724537</v>
      </c>
      <c r="B4060" s="2" t="s">
        <v>844</v>
      </c>
      <c r="C4060" s="2" t="s">
        <v>712</v>
      </c>
      <c r="D4060" s="2" t="s">
        <v>1102</v>
      </c>
    </row>
    <row r="4061">
      <c r="A4061" s="8">
        <v>46198.44659443287</v>
      </c>
      <c r="B4061" s="2" t="s">
        <v>894</v>
      </c>
      <c r="C4061" s="2"/>
      <c r="D4061" s="2" t="s">
        <v>1165</v>
      </c>
    </row>
    <row r="4062">
      <c r="A4062" s="8">
        <v>46198.488151944446</v>
      </c>
      <c r="B4062" s="2" t="s">
        <v>834</v>
      </c>
      <c r="C4062" s="2" t="s">
        <v>1123</v>
      </c>
      <c r="D4062" s="2" t="s">
        <v>1166</v>
      </c>
    </row>
    <row r="4063">
      <c r="A4063" s="8">
        <v>46198.48816204861</v>
      </c>
      <c r="B4063" s="2" t="s">
        <v>798</v>
      </c>
      <c r="C4063" s="2" t="s">
        <v>799</v>
      </c>
      <c r="D4063" s="2" t="s">
        <v>800</v>
      </c>
    </row>
    <row r="4064">
      <c r="A4064" s="8">
        <v>46198.488173136575</v>
      </c>
      <c r="B4064" s="2" t="s">
        <v>832</v>
      </c>
      <c r="C4064" s="2"/>
      <c r="D4064" s="2" t="s">
        <v>1097</v>
      </c>
    </row>
    <row r="4065">
      <c r="A4065" s="8">
        <v>46198.4882734375</v>
      </c>
      <c r="B4065" s="2" t="s">
        <v>892</v>
      </c>
      <c r="C4065" s="2"/>
      <c r="D4065" s="2" t="s">
        <v>1149</v>
      </c>
    </row>
    <row r="4066">
      <c r="A4066" s="8">
        <v>46198.488325694445</v>
      </c>
      <c r="B4066" s="2" t="s">
        <v>844</v>
      </c>
      <c r="C4066" s="2" t="s">
        <v>702</v>
      </c>
      <c r="D4066" s="2" t="s">
        <v>1167</v>
      </c>
    </row>
    <row r="4067">
      <c r="A4067" s="8">
        <v>46198.48833732639</v>
      </c>
      <c r="B4067" s="2" t="s">
        <v>844</v>
      </c>
      <c r="C4067" s="2" t="s">
        <v>717</v>
      </c>
      <c r="D4067" s="2" t="s">
        <v>925</v>
      </c>
    </row>
    <row r="4068">
      <c r="A4068" s="8">
        <v>46198.488343958335</v>
      </c>
      <c r="B4068" s="2" t="s">
        <v>894</v>
      </c>
      <c r="C4068" s="2"/>
      <c r="D4068" s="2" t="s">
        <v>1160</v>
      </c>
    </row>
    <row r="4069">
      <c r="A4069" s="8">
        <v>46198.53010063658</v>
      </c>
      <c r="B4069" s="2" t="s">
        <v>834</v>
      </c>
      <c r="C4069" s="2" t="s">
        <v>1123</v>
      </c>
      <c r="D4069" s="2" t="s">
        <v>1166</v>
      </c>
    </row>
    <row r="4070">
      <c r="A4070" s="8">
        <v>46198.5301053125</v>
      </c>
      <c r="B4070" s="2" t="s">
        <v>798</v>
      </c>
      <c r="C4070" s="2" t="s">
        <v>799</v>
      </c>
      <c r="D4070" s="2" t="s">
        <v>800</v>
      </c>
    </row>
    <row r="4071">
      <c r="A4071" s="8">
        <v>46198.53012340278</v>
      </c>
      <c r="B4071" s="2" t="s">
        <v>844</v>
      </c>
      <c r="C4071" s="2" t="s">
        <v>818</v>
      </c>
      <c r="D4071" s="2" t="s">
        <v>1068</v>
      </c>
    </row>
    <row r="4072">
      <c r="A4072" s="8">
        <v>46198.53013748843</v>
      </c>
      <c r="B4072" s="2" t="s">
        <v>832</v>
      </c>
      <c r="C4072" s="2"/>
      <c r="D4072" s="2" t="s">
        <v>1096</v>
      </c>
    </row>
    <row r="4073">
      <c r="A4073" s="8">
        <v>46198.53024869213</v>
      </c>
      <c r="B4073" s="2" t="s">
        <v>892</v>
      </c>
      <c r="C4073" s="2"/>
      <c r="D4073" s="2" t="s">
        <v>1149</v>
      </c>
    </row>
    <row r="4074">
      <c r="A4074" s="8">
        <v>46198.530313993055</v>
      </c>
      <c r="B4074" s="2" t="s">
        <v>844</v>
      </c>
      <c r="C4074" s="2" t="s">
        <v>702</v>
      </c>
      <c r="D4074" s="2" t="s">
        <v>1168</v>
      </c>
    </row>
    <row r="4075">
      <c r="A4075" s="8">
        <v>46198.530328506946</v>
      </c>
      <c r="B4075" s="2" t="s">
        <v>844</v>
      </c>
      <c r="C4075" s="2" t="s">
        <v>717</v>
      </c>
      <c r="D4075" s="2" t="s">
        <v>922</v>
      </c>
    </row>
    <row r="4076">
      <c r="A4076" s="8">
        <v>46198.530335497686</v>
      </c>
      <c r="B4076" s="2" t="s">
        <v>894</v>
      </c>
      <c r="C4076" s="2"/>
      <c r="D4076" s="2" t="s">
        <v>1160</v>
      </c>
    </row>
    <row r="4077">
      <c r="A4077" s="8">
        <v>46198.57144658564</v>
      </c>
      <c r="B4077" s="2" t="s">
        <v>834</v>
      </c>
      <c r="C4077" s="2" t="s">
        <v>1123</v>
      </c>
      <c r="D4077" s="2" t="s">
        <v>1166</v>
      </c>
    </row>
    <row r="4078">
      <c r="A4078" s="8">
        <v>46198.57145125</v>
      </c>
      <c r="B4078" s="2" t="s">
        <v>798</v>
      </c>
      <c r="C4078" s="2" t="s">
        <v>799</v>
      </c>
      <c r="D4078" s="2" t="s">
        <v>800</v>
      </c>
    </row>
    <row r="4079">
      <c r="A4079" s="8">
        <v>46198.571462430555</v>
      </c>
      <c r="B4079" s="2" t="s">
        <v>844</v>
      </c>
      <c r="C4079" s="2" t="s">
        <v>818</v>
      </c>
      <c r="D4079" s="2" t="s">
        <v>1169</v>
      </c>
    </row>
    <row r="4080">
      <c r="A4080" s="8">
        <v>46198.571474282406</v>
      </c>
      <c r="B4080" s="2" t="s">
        <v>832</v>
      </c>
      <c r="C4080" s="2"/>
      <c r="D4080" s="2" t="s">
        <v>1096</v>
      </c>
    </row>
    <row r="4081">
      <c r="A4081" s="8">
        <v>46198.57155571759</v>
      </c>
      <c r="B4081" s="2" t="s">
        <v>892</v>
      </c>
      <c r="C4081" s="2"/>
      <c r="D4081" s="2" t="s">
        <v>1149</v>
      </c>
    </row>
    <row r="4082">
      <c r="A4082" s="8">
        <v>46198.57158894676</v>
      </c>
      <c r="B4082" s="2" t="s">
        <v>844</v>
      </c>
      <c r="C4082" s="2" t="s">
        <v>601</v>
      </c>
      <c r="D4082" s="2" t="s">
        <v>1051</v>
      </c>
    </row>
    <row r="4083">
      <c r="A4083" s="8">
        <v>46198.571595347225</v>
      </c>
      <c r="B4083" s="2" t="s">
        <v>894</v>
      </c>
      <c r="C4083" s="2"/>
      <c r="D4083" s="2" t="s">
        <v>1165</v>
      </c>
    </row>
    <row r="4084">
      <c r="A4084" s="8">
        <v>46198.61311146991</v>
      </c>
      <c r="B4084" s="2" t="s">
        <v>834</v>
      </c>
      <c r="C4084" s="2" t="s">
        <v>1123</v>
      </c>
      <c r="D4084" s="2" t="s">
        <v>1166</v>
      </c>
    </row>
    <row r="4085">
      <c r="A4085" s="8">
        <v>46198.61311478009</v>
      </c>
      <c r="B4085" s="2" t="s">
        <v>798</v>
      </c>
      <c r="C4085" s="2" t="s">
        <v>799</v>
      </c>
      <c r="D4085" s="2" t="s">
        <v>800</v>
      </c>
    </row>
    <row r="4086">
      <c r="A4086" s="8">
        <v>46198.613124247684</v>
      </c>
      <c r="B4086" s="2" t="s">
        <v>844</v>
      </c>
      <c r="C4086" s="2" t="s">
        <v>818</v>
      </c>
      <c r="D4086" s="2" t="s">
        <v>1079</v>
      </c>
    </row>
    <row r="4087">
      <c r="A4087" s="8">
        <v>46198.61314356481</v>
      </c>
      <c r="B4087" s="2" t="s">
        <v>832</v>
      </c>
      <c r="C4087" s="2"/>
      <c r="D4087" s="2" t="s">
        <v>1096</v>
      </c>
    </row>
    <row r="4088">
      <c r="A4088" s="8">
        <v>46198.61321275463</v>
      </c>
      <c r="B4088" s="2" t="s">
        <v>892</v>
      </c>
      <c r="C4088" s="2"/>
      <c r="D4088" s="2" t="s">
        <v>1149</v>
      </c>
    </row>
    <row r="4089">
      <c r="A4089" s="8">
        <v>46198.613235462966</v>
      </c>
      <c r="B4089" s="2" t="s">
        <v>844</v>
      </c>
      <c r="C4089" s="2" t="s">
        <v>601</v>
      </c>
      <c r="D4089" s="2" t="s">
        <v>1170</v>
      </c>
    </row>
    <row r="4090">
      <c r="A4090" s="8">
        <v>46198.61324057871</v>
      </c>
      <c r="B4090" s="2" t="s">
        <v>894</v>
      </c>
      <c r="C4090" s="2"/>
      <c r="D4090" s="2" t="s">
        <v>1165</v>
      </c>
    </row>
    <row r="4091">
      <c r="A4091" s="8">
        <v>46198.654820578704</v>
      </c>
      <c r="B4091" s="2" t="s">
        <v>834</v>
      </c>
      <c r="C4091" s="2" t="s">
        <v>1123</v>
      </c>
      <c r="D4091" s="2" t="s">
        <v>1166</v>
      </c>
    </row>
    <row r="4092">
      <c r="A4092" s="8">
        <v>46198.65482517361</v>
      </c>
      <c r="B4092" s="2" t="s">
        <v>798</v>
      </c>
      <c r="C4092" s="2" t="s">
        <v>799</v>
      </c>
      <c r="D4092" s="2" t="s">
        <v>800</v>
      </c>
    </row>
    <row r="4093">
      <c r="A4093" s="8">
        <v>46198.65484133102</v>
      </c>
      <c r="B4093" s="2" t="s">
        <v>832</v>
      </c>
      <c r="C4093" s="2"/>
      <c r="D4093" s="2" t="s">
        <v>1097</v>
      </c>
    </row>
    <row r="4094">
      <c r="A4094" s="8">
        <v>46198.65505556713</v>
      </c>
      <c r="B4094" s="2" t="s">
        <v>892</v>
      </c>
      <c r="C4094" s="2"/>
      <c r="D4094" s="2" t="s">
        <v>1149</v>
      </c>
    </row>
    <row r="4095">
      <c r="A4095" s="8">
        <v>46198.65522797454</v>
      </c>
      <c r="B4095" s="2" t="s">
        <v>894</v>
      </c>
      <c r="C4095" s="2"/>
      <c r="D4095" s="2" t="s">
        <v>1156</v>
      </c>
    </row>
    <row r="4096">
      <c r="A4096" s="8">
        <v>46198.6964347801</v>
      </c>
      <c r="B4096" s="2" t="s">
        <v>834</v>
      </c>
      <c r="C4096" s="2" t="s">
        <v>1123</v>
      </c>
      <c r="D4096" s="2" t="s">
        <v>1166</v>
      </c>
    </row>
    <row r="4097">
      <c r="A4097" s="8">
        <v>46198.69643834491</v>
      </c>
      <c r="B4097" s="2" t="s">
        <v>798</v>
      </c>
      <c r="C4097" s="2" t="s">
        <v>799</v>
      </c>
      <c r="D4097" s="2" t="s">
        <v>800</v>
      </c>
    </row>
    <row r="4098">
      <c r="A4098" s="8">
        <v>46198.696444236106</v>
      </c>
      <c r="B4098" s="2" t="s">
        <v>832</v>
      </c>
      <c r="C4098" s="2"/>
      <c r="D4098" s="2" t="s">
        <v>1097</v>
      </c>
    </row>
    <row r="4099">
      <c r="A4099" s="8">
        <v>46198.696509421294</v>
      </c>
      <c r="B4099" s="2" t="s">
        <v>892</v>
      </c>
      <c r="C4099" s="2"/>
      <c r="D4099" s="2" t="s">
        <v>1149</v>
      </c>
    </row>
    <row r="4100">
      <c r="A4100" s="8">
        <v>46198.696534930554</v>
      </c>
      <c r="B4100" s="2" t="s">
        <v>894</v>
      </c>
      <c r="C4100" s="2"/>
      <c r="D4100" s="2" t="s">
        <v>1156</v>
      </c>
    </row>
    <row r="4101">
      <c r="A4101" s="8">
        <v>46198.73810974537</v>
      </c>
      <c r="B4101" s="2" t="s">
        <v>834</v>
      </c>
      <c r="C4101" s="2" t="s">
        <v>1123</v>
      </c>
      <c r="D4101" s="2" t="s">
        <v>1166</v>
      </c>
    </row>
    <row r="4102">
      <c r="A4102" s="8">
        <v>46198.738113495376</v>
      </c>
      <c r="B4102" s="2" t="s">
        <v>798</v>
      </c>
      <c r="C4102" s="2" t="s">
        <v>799</v>
      </c>
      <c r="D4102" s="2" t="s">
        <v>800</v>
      </c>
    </row>
    <row r="4103">
      <c r="A4103" s="8">
        <v>46198.73812152778</v>
      </c>
      <c r="B4103" s="2" t="s">
        <v>832</v>
      </c>
      <c r="C4103" s="2"/>
      <c r="D4103" s="2" t="s">
        <v>1097</v>
      </c>
    </row>
    <row r="4104">
      <c r="A4104" s="8">
        <v>46198.73821509259</v>
      </c>
      <c r="B4104" s="2" t="s">
        <v>892</v>
      </c>
      <c r="C4104" s="2"/>
      <c r="D4104" s="2" t="s">
        <v>1149</v>
      </c>
    </row>
    <row r="4105">
      <c r="A4105" s="8">
        <v>46198.738239328704</v>
      </c>
      <c r="B4105" s="2" t="s">
        <v>894</v>
      </c>
      <c r="C4105" s="2"/>
      <c r="D4105" s="2" t="s">
        <v>1156</v>
      </c>
    </row>
    <row r="4106">
      <c r="A4106" s="8">
        <v>46198.772226967594</v>
      </c>
      <c r="B4106" s="2" t="s">
        <v>789</v>
      </c>
      <c r="C4106" s="2"/>
      <c r="D4106" s="2" t="s">
        <v>1094</v>
      </c>
    </row>
    <row r="4107">
      <c r="A4107" s="8">
        <v>46198.77982957176</v>
      </c>
      <c r="B4107" s="2" t="s">
        <v>834</v>
      </c>
      <c r="C4107" s="2" t="s">
        <v>1123</v>
      </c>
      <c r="D4107" s="2" t="s">
        <v>1166</v>
      </c>
    </row>
    <row r="4108">
      <c r="A4108" s="8">
        <v>46198.77983555556</v>
      </c>
      <c r="B4108" s="2" t="s">
        <v>798</v>
      </c>
      <c r="C4108" s="2" t="s">
        <v>799</v>
      </c>
      <c r="D4108" s="2" t="s">
        <v>800</v>
      </c>
    </row>
    <row r="4109">
      <c r="A4109" s="8">
        <v>46198.77985554398</v>
      </c>
      <c r="B4109" s="2" t="s">
        <v>832</v>
      </c>
      <c r="C4109" s="2"/>
      <c r="D4109" s="2" t="s">
        <v>1097</v>
      </c>
    </row>
    <row r="4110">
      <c r="A4110" s="8">
        <v>46198.77996893518</v>
      </c>
      <c r="B4110" s="2" t="s">
        <v>892</v>
      </c>
      <c r="C4110" s="2"/>
      <c r="D4110" s="2" t="s">
        <v>1149</v>
      </c>
    </row>
    <row r="4111">
      <c r="A4111" s="8">
        <v>46198.78002240741</v>
      </c>
      <c r="B4111" s="2" t="s">
        <v>894</v>
      </c>
      <c r="C4111" s="2"/>
      <c r="D4111" s="2" t="s">
        <v>1156</v>
      </c>
    </row>
    <row r="4112">
      <c r="A4112" s="8">
        <v>46198.82147787037</v>
      </c>
      <c r="B4112" s="2" t="s">
        <v>834</v>
      </c>
      <c r="C4112" s="2" t="s">
        <v>1123</v>
      </c>
      <c r="D4112" s="2" t="s">
        <v>1166</v>
      </c>
    </row>
    <row r="4113">
      <c r="A4113" s="8">
        <v>46198.821486053246</v>
      </c>
      <c r="B4113" s="2" t="s">
        <v>798</v>
      </c>
      <c r="C4113" s="2" t="s">
        <v>799</v>
      </c>
      <c r="D4113" s="2" t="s">
        <v>800</v>
      </c>
    </row>
    <row r="4114">
      <c r="A4114" s="8">
        <v>46198.82151876157</v>
      </c>
      <c r="B4114" s="2" t="s">
        <v>832</v>
      </c>
      <c r="C4114" s="2"/>
      <c r="D4114" s="2" t="s">
        <v>1097</v>
      </c>
    </row>
    <row r="4115">
      <c r="A4115" s="8">
        <v>46198.82161506945</v>
      </c>
      <c r="B4115" s="2" t="s">
        <v>892</v>
      </c>
      <c r="C4115" s="2"/>
      <c r="D4115" s="2" t="s">
        <v>1149</v>
      </c>
    </row>
    <row r="4116">
      <c r="A4116" s="8">
        <v>46198.82166966435</v>
      </c>
      <c r="B4116" s="2" t="s">
        <v>894</v>
      </c>
      <c r="C4116" s="2"/>
      <c r="D4116" s="2" t="s">
        <v>1156</v>
      </c>
    </row>
    <row r="4117">
      <c r="A4117" s="8">
        <v>46198.863117002315</v>
      </c>
      <c r="B4117" s="2" t="s">
        <v>834</v>
      </c>
      <c r="C4117" s="2" t="s">
        <v>1123</v>
      </c>
      <c r="D4117" s="2" t="s">
        <v>1166</v>
      </c>
    </row>
    <row r="4118">
      <c r="A4118" s="8">
        <v>46198.86312015046</v>
      </c>
      <c r="B4118" s="2" t="s">
        <v>798</v>
      </c>
      <c r="C4118" s="2" t="s">
        <v>799</v>
      </c>
      <c r="D4118" s="2" t="s">
        <v>800</v>
      </c>
    </row>
    <row r="4119">
      <c r="A4119" s="8">
        <v>46198.86312793981</v>
      </c>
      <c r="B4119" s="2" t="s">
        <v>832</v>
      </c>
      <c r="C4119" s="2"/>
      <c r="D4119" s="2" t="s">
        <v>1097</v>
      </c>
    </row>
    <row r="4120">
      <c r="A4120" s="8">
        <v>46198.86320587963</v>
      </c>
      <c r="B4120" s="2" t="s">
        <v>892</v>
      </c>
      <c r="C4120" s="2"/>
      <c r="D4120" s="2" t="s">
        <v>1149</v>
      </c>
    </row>
    <row r="4121">
      <c r="A4121" s="8">
        <v>46198.8632353125</v>
      </c>
      <c r="B4121" s="2" t="s">
        <v>844</v>
      </c>
      <c r="C4121" s="2" t="s">
        <v>474</v>
      </c>
      <c r="D4121" s="2" t="s">
        <v>896</v>
      </c>
    </row>
    <row r="4122">
      <c r="A4122" s="8">
        <v>46198.86325091435</v>
      </c>
      <c r="B4122" s="2" t="s">
        <v>894</v>
      </c>
      <c r="C4122" s="2"/>
      <c r="D4122" s="2" t="s">
        <v>1165</v>
      </c>
    </row>
    <row r="4123">
      <c r="A4123" s="8">
        <v>46198.904786238425</v>
      </c>
      <c r="B4123" s="2" t="s">
        <v>834</v>
      </c>
      <c r="C4123" s="2" t="s">
        <v>1123</v>
      </c>
      <c r="D4123" s="2" t="s">
        <v>1166</v>
      </c>
    </row>
    <row r="4124">
      <c r="A4124" s="8">
        <v>46198.904790914356</v>
      </c>
      <c r="B4124" s="2" t="s">
        <v>798</v>
      </c>
      <c r="C4124" s="2" t="s">
        <v>799</v>
      </c>
      <c r="D4124" s="2" t="s">
        <v>800</v>
      </c>
    </row>
    <row r="4125">
      <c r="A4125" s="8">
        <v>46198.904799930555</v>
      </c>
      <c r="B4125" s="2" t="s">
        <v>832</v>
      </c>
      <c r="C4125" s="2"/>
      <c r="D4125" s="2" t="s">
        <v>1097</v>
      </c>
    </row>
    <row r="4126">
      <c r="A4126" s="8">
        <v>46198.904874479165</v>
      </c>
      <c r="B4126" s="2" t="s">
        <v>892</v>
      </c>
      <c r="C4126" s="2"/>
      <c r="D4126" s="2" t="s">
        <v>1149</v>
      </c>
    </row>
    <row r="4127">
      <c r="A4127" s="8">
        <v>46198.90489799769</v>
      </c>
      <c r="B4127" s="2" t="s">
        <v>894</v>
      </c>
      <c r="C4127" s="2"/>
      <c r="D4127" s="2" t="s">
        <v>1156</v>
      </c>
    </row>
    <row r="4128">
      <c r="A4128" s="8">
        <v>46198.91720689815</v>
      </c>
      <c r="B4128" s="2" t="s">
        <v>863</v>
      </c>
      <c r="C4128" s="2"/>
      <c r="D4128" s="2" t="s">
        <v>1157</v>
      </c>
    </row>
    <row r="4129">
      <c r="A4129" s="8">
        <v>46198.94646585648</v>
      </c>
      <c r="B4129" s="2" t="s">
        <v>834</v>
      </c>
      <c r="C4129" s="2" t="s">
        <v>1123</v>
      </c>
      <c r="D4129" s="2" t="s">
        <v>1166</v>
      </c>
    </row>
    <row r="4130">
      <c r="A4130" s="8">
        <v>46198.94647246528</v>
      </c>
      <c r="B4130" s="2" t="s">
        <v>798</v>
      </c>
      <c r="C4130" s="2" t="s">
        <v>799</v>
      </c>
      <c r="D4130" s="2" t="s">
        <v>800</v>
      </c>
    </row>
    <row r="4131">
      <c r="A4131" s="8">
        <v>46198.946481226856</v>
      </c>
      <c r="B4131" s="2" t="s">
        <v>832</v>
      </c>
      <c r="C4131" s="2"/>
      <c r="D4131" s="2" t="s">
        <v>1097</v>
      </c>
    </row>
    <row r="4132">
      <c r="A4132" s="8">
        <v>46198.94656034722</v>
      </c>
      <c r="B4132" s="2" t="s">
        <v>892</v>
      </c>
      <c r="C4132" s="2"/>
      <c r="D4132" s="2" t="s">
        <v>1149</v>
      </c>
    </row>
    <row r="4133">
      <c r="A4133" s="8">
        <v>46198.94659050926</v>
      </c>
      <c r="B4133" s="2" t="s">
        <v>894</v>
      </c>
      <c r="C4133" s="2"/>
      <c r="D4133" s="2" t="s">
        <v>1156</v>
      </c>
    </row>
    <row r="4134">
      <c r="A4134" s="8">
        <v>46198.98815385417</v>
      </c>
      <c r="B4134" s="2" t="s">
        <v>834</v>
      </c>
      <c r="C4134" s="2" t="s">
        <v>1123</v>
      </c>
      <c r="D4134" s="2" t="s">
        <v>1166</v>
      </c>
    </row>
    <row r="4135">
      <c r="A4135" s="8">
        <v>46198.98815871528</v>
      </c>
      <c r="B4135" s="2" t="s">
        <v>798</v>
      </c>
      <c r="C4135" s="2" t="s">
        <v>799</v>
      </c>
      <c r="D4135" s="2" t="s">
        <v>800</v>
      </c>
    </row>
    <row r="4136">
      <c r="A4136" s="8">
        <v>46198.98817696759</v>
      </c>
      <c r="B4136" s="2" t="s">
        <v>832</v>
      </c>
      <c r="C4136" s="2"/>
      <c r="D4136" s="2" t="s">
        <v>1097</v>
      </c>
    </row>
    <row r="4137">
      <c r="A4137" s="8">
        <v>46198.988269525464</v>
      </c>
      <c r="B4137" s="2" t="s">
        <v>892</v>
      </c>
      <c r="C4137" s="2"/>
      <c r="D4137" s="2" t="s">
        <v>1149</v>
      </c>
    </row>
    <row r="4138">
      <c r="A4138" s="8">
        <v>46198.98830332176</v>
      </c>
      <c r="B4138" s="2" t="s">
        <v>894</v>
      </c>
      <c r="C4138" s="2"/>
      <c r="D4138" s="2" t="s">
        <v>1156</v>
      </c>
    </row>
    <row r="4139">
      <c r="A4139" s="8">
        <v>46199.02977179398</v>
      </c>
      <c r="B4139" s="2" t="s">
        <v>834</v>
      </c>
      <c r="C4139" s="2" t="s">
        <v>1123</v>
      </c>
      <c r="D4139" s="2" t="s">
        <v>1166</v>
      </c>
    </row>
    <row r="4140">
      <c r="A4140" s="8">
        <v>46199.029774236114</v>
      </c>
      <c r="B4140" s="2" t="s">
        <v>798</v>
      </c>
      <c r="C4140" s="2" t="s">
        <v>799</v>
      </c>
      <c r="D4140" s="2" t="s">
        <v>800</v>
      </c>
    </row>
    <row r="4141">
      <c r="A4141" s="8">
        <v>46199.02977847222</v>
      </c>
      <c r="B4141" s="2" t="s">
        <v>832</v>
      </c>
      <c r="C4141" s="2"/>
      <c r="D4141" s="2" t="s">
        <v>1097</v>
      </c>
    </row>
    <row r="4142">
      <c r="A4142" s="8">
        <v>46199.02985961805</v>
      </c>
      <c r="B4142" s="2" t="s">
        <v>892</v>
      </c>
      <c r="C4142" s="2"/>
      <c r="D4142" s="2" t="s">
        <v>1149</v>
      </c>
    </row>
    <row r="4143">
      <c r="A4143" s="8">
        <v>46199.02988574074</v>
      </c>
      <c r="B4143" s="2" t="s">
        <v>991</v>
      </c>
      <c r="C4143" s="2" t="s">
        <v>569</v>
      </c>
      <c r="D4143" s="2" t="s">
        <v>1171</v>
      </c>
    </row>
    <row r="4144">
      <c r="A4144" s="8">
        <v>46199.02988915509</v>
      </c>
      <c r="B4144" s="2" t="s">
        <v>894</v>
      </c>
      <c r="C4144" s="2"/>
      <c r="D4144" s="2" t="s">
        <v>1162</v>
      </c>
    </row>
    <row r="4145">
      <c r="A4145" s="8">
        <v>46199.07151527778</v>
      </c>
      <c r="B4145" s="2" t="s">
        <v>834</v>
      </c>
      <c r="C4145" s="2" t="s">
        <v>1123</v>
      </c>
      <c r="D4145" s="2" t="s">
        <v>1166</v>
      </c>
    </row>
    <row r="4146">
      <c r="A4146" s="8">
        <v>46199.071519143516</v>
      </c>
      <c r="B4146" s="2" t="s">
        <v>798</v>
      </c>
      <c r="C4146" s="2" t="s">
        <v>799</v>
      </c>
      <c r="D4146" s="2" t="s">
        <v>800</v>
      </c>
    </row>
    <row r="4147">
      <c r="A4147" s="8">
        <v>46199.07152912037</v>
      </c>
      <c r="B4147" s="2" t="s">
        <v>832</v>
      </c>
      <c r="C4147" s="2"/>
      <c r="D4147" s="2" t="s">
        <v>1097</v>
      </c>
    </row>
    <row r="4148">
      <c r="A4148" s="8">
        <v>46199.07164796296</v>
      </c>
      <c r="B4148" s="2" t="s">
        <v>892</v>
      </c>
      <c r="C4148" s="2"/>
      <c r="D4148" s="2" t="s">
        <v>1149</v>
      </c>
    </row>
    <row r="4149">
      <c r="A4149" s="8">
        <v>46199.071705925926</v>
      </c>
      <c r="B4149" s="2" t="s">
        <v>894</v>
      </c>
      <c r="C4149" s="2"/>
      <c r="D4149" s="2" t="s">
        <v>1156</v>
      </c>
    </row>
    <row r="4150">
      <c r="A4150" s="8">
        <v>46199.11312405093</v>
      </c>
      <c r="B4150" s="2" t="s">
        <v>834</v>
      </c>
      <c r="C4150" s="2" t="s">
        <v>1123</v>
      </c>
      <c r="D4150" s="2" t="s">
        <v>1166</v>
      </c>
    </row>
    <row r="4151">
      <c r="A4151" s="8">
        <v>46199.11312880787</v>
      </c>
      <c r="B4151" s="2" t="s">
        <v>798</v>
      </c>
      <c r="C4151" s="2" t="s">
        <v>799</v>
      </c>
      <c r="D4151" s="2" t="s">
        <v>800</v>
      </c>
    </row>
    <row r="4152">
      <c r="A4152" s="8">
        <v>46199.11313621528</v>
      </c>
      <c r="B4152" s="2" t="s">
        <v>832</v>
      </c>
      <c r="C4152" s="2"/>
      <c r="D4152" s="2" t="s">
        <v>1097</v>
      </c>
    </row>
    <row r="4153">
      <c r="A4153" s="8">
        <v>46199.11323238426</v>
      </c>
      <c r="B4153" s="2" t="s">
        <v>892</v>
      </c>
      <c r="C4153" s="2"/>
      <c r="D4153" s="2" t="s">
        <v>1149</v>
      </c>
    </row>
    <row r="4154">
      <c r="A4154" s="8">
        <v>46199.11327565972</v>
      </c>
      <c r="B4154" s="2" t="s">
        <v>844</v>
      </c>
      <c r="C4154" s="2" t="s">
        <v>595</v>
      </c>
      <c r="D4154" s="2" t="s">
        <v>1051</v>
      </c>
    </row>
    <row r="4155">
      <c r="A4155" s="8">
        <v>46199.11328230324</v>
      </c>
      <c r="B4155" s="2" t="s">
        <v>894</v>
      </c>
      <c r="C4155" s="2"/>
      <c r="D4155" s="2" t="s">
        <v>1165</v>
      </c>
    </row>
    <row r="4156">
      <c r="A4156" s="8">
        <v>46199.15478081019</v>
      </c>
      <c r="B4156" s="2" t="s">
        <v>834</v>
      </c>
      <c r="C4156" s="2" t="s">
        <v>1123</v>
      </c>
      <c r="D4156" s="2" t="s">
        <v>1166</v>
      </c>
    </row>
    <row r="4157">
      <c r="A4157" s="8">
        <v>46199.15478449074</v>
      </c>
      <c r="B4157" s="2" t="s">
        <v>798</v>
      </c>
      <c r="C4157" s="2" t="s">
        <v>799</v>
      </c>
      <c r="D4157" s="2" t="s">
        <v>800</v>
      </c>
    </row>
    <row r="4158">
      <c r="A4158" s="8">
        <v>46199.15479597222</v>
      </c>
      <c r="B4158" s="2" t="s">
        <v>844</v>
      </c>
      <c r="C4158" s="2" t="s">
        <v>822</v>
      </c>
      <c r="D4158" s="2" t="s">
        <v>1172</v>
      </c>
    </row>
    <row r="4159">
      <c r="A4159" s="8">
        <v>46199.154806990744</v>
      </c>
      <c r="B4159" s="2" t="s">
        <v>832</v>
      </c>
      <c r="C4159" s="2"/>
      <c r="D4159" s="2" t="s">
        <v>1096</v>
      </c>
    </row>
    <row r="4160">
      <c r="A4160" s="8">
        <v>46199.154876099536</v>
      </c>
      <c r="B4160" s="2" t="s">
        <v>892</v>
      </c>
      <c r="C4160" s="2"/>
      <c r="D4160" s="2" t="s">
        <v>1149</v>
      </c>
    </row>
    <row r="4161">
      <c r="A4161" s="8">
        <v>46199.15490645834</v>
      </c>
      <c r="B4161" s="2" t="s">
        <v>844</v>
      </c>
      <c r="C4161" s="2" t="s">
        <v>595</v>
      </c>
      <c r="D4161" s="2" t="s">
        <v>1170</v>
      </c>
    </row>
    <row r="4162">
      <c r="A4162" s="8">
        <v>46199.154912638885</v>
      </c>
      <c r="B4162" s="2" t="s">
        <v>894</v>
      </c>
      <c r="C4162" s="2"/>
      <c r="D4162" s="2" t="s">
        <v>1165</v>
      </c>
    </row>
    <row r="4163">
      <c r="A4163" s="8">
        <v>46199.19650542824</v>
      </c>
      <c r="B4163" s="2" t="s">
        <v>834</v>
      </c>
      <c r="C4163" s="2" t="s">
        <v>1123</v>
      </c>
      <c r="D4163" s="2" t="s">
        <v>1166</v>
      </c>
    </row>
    <row r="4164">
      <c r="A4164" s="8">
        <v>46199.19651217593</v>
      </c>
      <c r="B4164" s="2" t="s">
        <v>798</v>
      </c>
      <c r="C4164" s="2" t="s">
        <v>799</v>
      </c>
      <c r="D4164" s="2" t="s">
        <v>800</v>
      </c>
    </row>
    <row r="4165">
      <c r="A4165" s="8">
        <v>46199.196534780094</v>
      </c>
      <c r="B4165" s="2" t="s">
        <v>832</v>
      </c>
      <c r="C4165" s="2"/>
      <c r="D4165" s="2" t="s">
        <v>1097</v>
      </c>
    </row>
    <row r="4166">
      <c r="A4166" s="8">
        <v>46199.19667597223</v>
      </c>
      <c r="B4166" s="2" t="s">
        <v>892</v>
      </c>
      <c r="C4166" s="2"/>
      <c r="D4166" s="2" t="s">
        <v>1149</v>
      </c>
    </row>
    <row r="4167">
      <c r="A4167" s="8">
        <v>46199.196760590276</v>
      </c>
      <c r="B4167" s="2" t="s">
        <v>894</v>
      </c>
      <c r="C4167" s="2"/>
      <c r="D4167" s="2" t="s">
        <v>1156</v>
      </c>
    </row>
    <row r="4168">
      <c r="A4168" s="8">
        <v>46199.23810832176</v>
      </c>
      <c r="B4168" s="2" t="s">
        <v>834</v>
      </c>
      <c r="C4168" s="2" t="s">
        <v>1123</v>
      </c>
      <c r="D4168" s="2" t="s">
        <v>1166</v>
      </c>
    </row>
    <row r="4169">
      <c r="A4169" s="8">
        <v>46199.23811199074</v>
      </c>
      <c r="B4169" s="2" t="s">
        <v>798</v>
      </c>
      <c r="C4169" s="2" t="s">
        <v>799</v>
      </c>
      <c r="D4169" s="2" t="s">
        <v>800</v>
      </c>
    </row>
    <row r="4170">
      <c r="A4170" s="8">
        <v>46199.23811659722</v>
      </c>
      <c r="B4170" s="2" t="s">
        <v>838</v>
      </c>
      <c r="C4170" s="2" t="s">
        <v>820</v>
      </c>
      <c r="D4170" s="2" t="s">
        <v>1173</v>
      </c>
    </row>
    <row r="4171">
      <c r="A4171" s="8">
        <v>46199.23813238426</v>
      </c>
      <c r="B4171" s="2" t="s">
        <v>832</v>
      </c>
      <c r="C4171" s="2"/>
      <c r="D4171" s="2" t="s">
        <v>1097</v>
      </c>
    </row>
    <row r="4172">
      <c r="A4172" s="8">
        <v>46199.23821267361</v>
      </c>
      <c r="B4172" s="2" t="s">
        <v>892</v>
      </c>
      <c r="C4172" s="2"/>
      <c r="D4172" s="2" t="s">
        <v>1149</v>
      </c>
    </row>
    <row r="4173">
      <c r="A4173" s="8">
        <v>46199.238238148144</v>
      </c>
      <c r="B4173" s="2" t="s">
        <v>894</v>
      </c>
      <c r="C4173" s="2"/>
      <c r="D4173" s="2" t="s">
        <v>1156</v>
      </c>
    </row>
    <row r="4174">
      <c r="A4174" s="8">
        <v>46199.27979385416</v>
      </c>
      <c r="B4174" s="2" t="s">
        <v>834</v>
      </c>
      <c r="C4174" s="2" t="s">
        <v>1123</v>
      </c>
      <c r="D4174" s="2" t="s">
        <v>1166</v>
      </c>
    </row>
    <row r="4175">
      <c r="A4175" s="8">
        <v>46199.279798125004</v>
      </c>
      <c r="B4175" s="2" t="s">
        <v>798</v>
      </c>
      <c r="C4175" s="2" t="s">
        <v>799</v>
      </c>
      <c r="D4175" s="2" t="s">
        <v>800</v>
      </c>
    </row>
    <row r="4176">
      <c r="A4176" s="8">
        <v>46199.27980266204</v>
      </c>
      <c r="B4176" s="2" t="s">
        <v>838</v>
      </c>
      <c r="C4176" s="2" t="s">
        <v>820</v>
      </c>
      <c r="D4176" s="2" t="s">
        <v>1173</v>
      </c>
    </row>
    <row r="4177">
      <c r="A4177" s="8">
        <v>46199.27982034722</v>
      </c>
      <c r="B4177" s="2" t="s">
        <v>832</v>
      </c>
      <c r="C4177" s="2"/>
      <c r="D4177" s="2" t="s">
        <v>1097</v>
      </c>
    </row>
    <row r="4178">
      <c r="A4178" s="8">
        <v>46199.279906979165</v>
      </c>
      <c r="B4178" s="2" t="s">
        <v>892</v>
      </c>
      <c r="C4178" s="2"/>
      <c r="D4178" s="2" t="s">
        <v>1149</v>
      </c>
    </row>
    <row r="4179">
      <c r="A4179" s="8">
        <v>46199.279943113426</v>
      </c>
      <c r="B4179" s="2" t="s">
        <v>991</v>
      </c>
      <c r="C4179" s="2" t="s">
        <v>574</v>
      </c>
      <c r="D4179" s="2" t="s">
        <v>1104</v>
      </c>
    </row>
    <row r="4180">
      <c r="A4180" s="8">
        <v>46199.27994983796</v>
      </c>
      <c r="B4180" s="2" t="s">
        <v>894</v>
      </c>
      <c r="C4180" s="2"/>
      <c r="D4180" s="2" t="s">
        <v>1162</v>
      </c>
    </row>
    <row r="4181">
      <c r="A4181" s="8">
        <v>46199.321440451386</v>
      </c>
      <c r="B4181" s="2" t="s">
        <v>834</v>
      </c>
      <c r="C4181" s="2" t="s">
        <v>1123</v>
      </c>
      <c r="D4181" s="2" t="s">
        <v>1166</v>
      </c>
    </row>
    <row r="4182">
      <c r="A4182" s="8">
        <v>46199.32144642361</v>
      </c>
      <c r="B4182" s="2" t="s">
        <v>798</v>
      </c>
      <c r="C4182" s="2" t="s">
        <v>799</v>
      </c>
      <c r="D4182" s="2" t="s">
        <v>800</v>
      </c>
    </row>
    <row r="4183">
      <c r="A4183" s="8">
        <v>46199.32145053241</v>
      </c>
      <c r="B4183" s="2" t="s">
        <v>838</v>
      </c>
      <c r="C4183" s="2" t="s">
        <v>820</v>
      </c>
      <c r="D4183" s="2" t="s">
        <v>1173</v>
      </c>
    </row>
    <row r="4184">
      <c r="A4184" s="8">
        <v>46199.321469456016</v>
      </c>
      <c r="B4184" s="2" t="s">
        <v>844</v>
      </c>
      <c r="C4184" s="2" t="s">
        <v>824</v>
      </c>
      <c r="D4184" s="2" t="s">
        <v>996</v>
      </c>
    </row>
    <row r="4185">
      <c r="A4185" s="8">
        <v>46199.32147510417</v>
      </c>
      <c r="B4185" s="2" t="s">
        <v>832</v>
      </c>
      <c r="C4185" s="2"/>
      <c r="D4185" s="2" t="s">
        <v>1096</v>
      </c>
    </row>
    <row r="4186">
      <c r="A4186" s="8">
        <v>46199.32154255787</v>
      </c>
      <c r="B4186" s="2" t="s">
        <v>892</v>
      </c>
      <c r="C4186" s="2"/>
      <c r="D4186" s="2" t="s">
        <v>1149</v>
      </c>
    </row>
    <row r="4187">
      <c r="A4187" s="8">
        <v>46199.32157314815</v>
      </c>
      <c r="B4187" s="2" t="s">
        <v>894</v>
      </c>
      <c r="C4187" s="2"/>
      <c r="D4187" s="2" t="s">
        <v>1156</v>
      </c>
    </row>
    <row r="4188">
      <c r="A4188" s="8">
        <v>46199.3631549537</v>
      </c>
      <c r="B4188" s="2" t="s">
        <v>834</v>
      </c>
      <c r="C4188" s="2" t="s">
        <v>1123</v>
      </c>
      <c r="D4188" s="2" t="s">
        <v>1166</v>
      </c>
    </row>
    <row r="4189">
      <c r="A4189" s="8">
        <v>46199.363160821755</v>
      </c>
      <c r="B4189" s="2" t="s">
        <v>798</v>
      </c>
      <c r="C4189" s="2" t="s">
        <v>799</v>
      </c>
      <c r="D4189" s="2" t="s">
        <v>800</v>
      </c>
    </row>
    <row r="4190">
      <c r="A4190" s="8">
        <v>46199.36317546296</v>
      </c>
      <c r="B4190" s="2" t="s">
        <v>838</v>
      </c>
      <c r="C4190" s="2" t="s">
        <v>820</v>
      </c>
      <c r="D4190" s="2" t="s">
        <v>1173</v>
      </c>
    </row>
    <row r="4191">
      <c r="A4191" s="8">
        <v>46199.36318827546</v>
      </c>
      <c r="B4191" s="2" t="s">
        <v>832</v>
      </c>
      <c r="C4191" s="2"/>
      <c r="D4191" s="2" t="s">
        <v>1097</v>
      </c>
    </row>
    <row r="4192">
      <c r="A4192" s="8">
        <v>46199.363292152775</v>
      </c>
      <c r="B4192" s="2" t="s">
        <v>892</v>
      </c>
      <c r="C4192" s="2"/>
      <c r="D4192" s="2" t="s">
        <v>1149</v>
      </c>
    </row>
    <row r="4193">
      <c r="A4193" s="8">
        <v>46199.363328217594</v>
      </c>
      <c r="B4193" s="2" t="s">
        <v>894</v>
      </c>
      <c r="C4193" s="2"/>
      <c r="D4193" s="2" t="s">
        <v>1156</v>
      </c>
    </row>
    <row r="4194">
      <c r="A4194" s="8">
        <v>46199.404791990746</v>
      </c>
      <c r="B4194" s="2" t="s">
        <v>834</v>
      </c>
      <c r="C4194" s="2" t="s">
        <v>1123</v>
      </c>
      <c r="D4194" s="2" t="s">
        <v>1166</v>
      </c>
    </row>
    <row r="4195">
      <c r="A4195" s="8">
        <v>46199.404796793984</v>
      </c>
      <c r="B4195" s="2" t="s">
        <v>798</v>
      </c>
      <c r="C4195" s="2" t="s">
        <v>799</v>
      </c>
      <c r="D4195" s="2" t="s">
        <v>800</v>
      </c>
    </row>
    <row r="4196">
      <c r="A4196" s="8">
        <v>46199.40480506944</v>
      </c>
      <c r="B4196" s="2" t="s">
        <v>838</v>
      </c>
      <c r="C4196" s="2" t="s">
        <v>820</v>
      </c>
      <c r="D4196" s="2" t="s">
        <v>1173</v>
      </c>
    </row>
    <row r="4197">
      <c r="A4197" s="8">
        <v>46199.40481797454</v>
      </c>
      <c r="B4197" s="2" t="s">
        <v>832</v>
      </c>
      <c r="C4197" s="2"/>
      <c r="D4197" s="2" t="s">
        <v>1097</v>
      </c>
    </row>
    <row r="4198">
      <c r="A4198" s="8">
        <v>46199.40489974537</v>
      </c>
      <c r="B4198" s="2" t="s">
        <v>892</v>
      </c>
      <c r="C4198" s="2"/>
      <c r="D4198" s="2" t="s">
        <v>1149</v>
      </c>
    </row>
    <row r="4199">
      <c r="A4199" s="8">
        <v>46199.40495064815</v>
      </c>
      <c r="B4199" s="2" t="s">
        <v>894</v>
      </c>
      <c r="C4199" s="2"/>
      <c r="D4199" s="2" t="s">
        <v>1156</v>
      </c>
    </row>
    <row r="4200">
      <c r="A4200" s="8">
        <v>46199.44646737268</v>
      </c>
      <c r="B4200" s="2" t="s">
        <v>834</v>
      </c>
      <c r="C4200" s="2" t="s">
        <v>1123</v>
      </c>
      <c r="D4200" s="2" t="s">
        <v>1166</v>
      </c>
    </row>
    <row r="4201">
      <c r="A4201" s="8">
        <v>46199.44647383102</v>
      </c>
      <c r="B4201" s="2" t="s">
        <v>798</v>
      </c>
      <c r="C4201" s="2" t="s">
        <v>799</v>
      </c>
      <c r="D4201" s="2" t="s">
        <v>800</v>
      </c>
    </row>
    <row r="4202">
      <c r="A4202" s="8">
        <v>46199.44648010416</v>
      </c>
      <c r="B4202" s="2" t="s">
        <v>838</v>
      </c>
      <c r="C4202" s="2" t="s">
        <v>820</v>
      </c>
      <c r="D4202" s="2" t="s">
        <v>1173</v>
      </c>
    </row>
    <row r="4203">
      <c r="A4203" s="8">
        <v>46199.446498749996</v>
      </c>
      <c r="B4203" s="2" t="s">
        <v>832</v>
      </c>
      <c r="C4203" s="2"/>
      <c r="D4203" s="2" t="s">
        <v>1097</v>
      </c>
    </row>
    <row r="4204">
      <c r="A4204" s="8">
        <v>46199.446563854166</v>
      </c>
      <c r="B4204" s="2" t="s">
        <v>892</v>
      </c>
      <c r="C4204" s="2"/>
      <c r="D4204" s="2" t="s">
        <v>1149</v>
      </c>
    </row>
    <row r="4205">
      <c r="A4205" s="8">
        <v>46199.44660293982</v>
      </c>
      <c r="B4205" s="2" t="s">
        <v>844</v>
      </c>
      <c r="C4205" s="2" t="s">
        <v>509</v>
      </c>
      <c r="D4205" s="2" t="s">
        <v>1030</v>
      </c>
    </row>
    <row r="4206">
      <c r="A4206" s="8">
        <v>46199.446616608795</v>
      </c>
      <c r="B4206" s="2" t="s">
        <v>844</v>
      </c>
      <c r="C4206" s="2" t="s">
        <v>574</v>
      </c>
      <c r="D4206" s="2" t="s">
        <v>1030</v>
      </c>
    </row>
    <row r="4207">
      <c r="A4207" s="8">
        <v>46199.44662534722</v>
      </c>
      <c r="B4207" s="2" t="s">
        <v>894</v>
      </c>
      <c r="C4207" s="2"/>
      <c r="D4207" s="2" t="s">
        <v>1160</v>
      </c>
    </row>
    <row r="4208">
      <c r="A4208" s="8">
        <v>46199.48811130787</v>
      </c>
      <c r="B4208" s="2" t="s">
        <v>834</v>
      </c>
      <c r="C4208" s="2" t="s">
        <v>1123</v>
      </c>
      <c r="D4208" s="2" t="s">
        <v>1166</v>
      </c>
    </row>
    <row r="4209">
      <c r="A4209" s="8">
        <v>46199.48811547454</v>
      </c>
      <c r="B4209" s="2" t="s">
        <v>798</v>
      </c>
      <c r="C4209" s="2" t="s">
        <v>799</v>
      </c>
      <c r="D4209" s="2" t="s">
        <v>800</v>
      </c>
    </row>
    <row r="4210">
      <c r="A4210" s="8">
        <v>46199.48812070602</v>
      </c>
      <c r="B4210" s="2" t="s">
        <v>838</v>
      </c>
      <c r="C4210" s="2" t="s">
        <v>820</v>
      </c>
      <c r="D4210" s="2" t="s">
        <v>1173</v>
      </c>
    </row>
    <row r="4211">
      <c r="A4211" s="8">
        <v>46199.4881250926</v>
      </c>
      <c r="B4211" s="2" t="s">
        <v>832</v>
      </c>
      <c r="C4211" s="2"/>
      <c r="D4211" s="2" t="s">
        <v>1097</v>
      </c>
    </row>
    <row r="4212">
      <c r="A4212" s="8">
        <v>46199.48820474537</v>
      </c>
      <c r="B4212" s="2" t="s">
        <v>892</v>
      </c>
      <c r="C4212" s="2"/>
      <c r="D4212" s="2" t="s">
        <v>1149</v>
      </c>
    </row>
    <row r="4213">
      <c r="A4213" s="8">
        <v>46199.48822908565</v>
      </c>
      <c r="B4213" s="2" t="s">
        <v>894</v>
      </c>
      <c r="C4213" s="2"/>
      <c r="D4213" s="2" t="s">
        <v>1156</v>
      </c>
    </row>
    <row r="4214">
      <c r="A4214" s="8">
        <v>46199.529808101855</v>
      </c>
      <c r="B4214" s="2" t="s">
        <v>834</v>
      </c>
      <c r="C4214" s="2" t="s">
        <v>1123</v>
      </c>
      <c r="D4214" s="2" t="s">
        <v>1166</v>
      </c>
    </row>
    <row r="4215">
      <c r="A4215" s="8">
        <v>46199.529812673616</v>
      </c>
      <c r="B4215" s="2" t="s">
        <v>798</v>
      </c>
      <c r="C4215" s="2" t="s">
        <v>799</v>
      </c>
      <c r="D4215" s="2" t="s">
        <v>800</v>
      </c>
    </row>
    <row r="4216">
      <c r="A4216" s="8">
        <v>46199.52982458333</v>
      </c>
      <c r="B4216" s="2" t="s">
        <v>838</v>
      </c>
      <c r="C4216" s="2" t="s">
        <v>820</v>
      </c>
      <c r="D4216" s="2" t="s">
        <v>1173</v>
      </c>
    </row>
    <row r="4217">
      <c r="A4217" s="8">
        <v>46199.52983730324</v>
      </c>
      <c r="B4217" s="2" t="s">
        <v>832</v>
      </c>
      <c r="C4217" s="2"/>
      <c r="D4217" s="2" t="s">
        <v>1097</v>
      </c>
    </row>
    <row r="4218">
      <c r="A4218" s="8">
        <v>46199.52993959491</v>
      </c>
      <c r="B4218" s="2" t="s">
        <v>892</v>
      </c>
      <c r="C4218" s="2"/>
      <c r="D4218" s="2" t="s">
        <v>1149</v>
      </c>
    </row>
    <row r="4219">
      <c r="A4219" s="8">
        <v>46199.53000032407</v>
      </c>
      <c r="B4219" s="2" t="s">
        <v>894</v>
      </c>
      <c r="C4219" s="2"/>
      <c r="D4219" s="2" t="s">
        <v>1156</v>
      </c>
    </row>
    <row r="4220">
      <c r="A4220" s="8">
        <v>46199.57144053241</v>
      </c>
      <c r="B4220" s="2" t="s">
        <v>834</v>
      </c>
      <c r="C4220" s="2" t="s">
        <v>1123</v>
      </c>
      <c r="D4220" s="2" t="s">
        <v>1166</v>
      </c>
    </row>
    <row r="4221">
      <c r="A4221" s="8">
        <v>46199.57144976852</v>
      </c>
      <c r="B4221" s="2" t="s">
        <v>798</v>
      </c>
      <c r="C4221" s="2" t="s">
        <v>799</v>
      </c>
      <c r="D4221" s="2" t="s">
        <v>800</v>
      </c>
    </row>
    <row r="4222">
      <c r="A4222" s="8">
        <v>46199.57145503472</v>
      </c>
      <c r="B4222" s="2" t="s">
        <v>838</v>
      </c>
      <c r="C4222" s="2" t="s">
        <v>820</v>
      </c>
      <c r="D4222" s="2" t="s">
        <v>1173</v>
      </c>
    </row>
    <row r="4223">
      <c r="A4223" s="8">
        <v>46199.57147096065</v>
      </c>
      <c r="B4223" s="2" t="s">
        <v>832</v>
      </c>
      <c r="C4223" s="2"/>
      <c r="D4223" s="2" t="s">
        <v>1097</v>
      </c>
    </row>
    <row r="4224">
      <c r="A4224" s="8">
        <v>46199.57153960648</v>
      </c>
      <c r="B4224" s="2" t="s">
        <v>892</v>
      </c>
      <c r="C4224" s="2"/>
      <c r="D4224" s="2" t="s">
        <v>1149</v>
      </c>
    </row>
    <row r="4225">
      <c r="A4225" s="8">
        <v>46199.571563125</v>
      </c>
      <c r="B4225" s="2" t="s">
        <v>894</v>
      </c>
      <c r="C4225" s="2"/>
      <c r="D4225" s="2" t="s">
        <v>1156</v>
      </c>
    </row>
    <row r="4226">
      <c r="A4226" s="8">
        <v>46199.613154583334</v>
      </c>
      <c r="B4226" s="2" t="s">
        <v>834</v>
      </c>
      <c r="C4226" s="2" t="s">
        <v>1123</v>
      </c>
      <c r="D4226" s="2" t="s">
        <v>1166</v>
      </c>
    </row>
    <row r="4227">
      <c r="A4227" s="8">
        <v>46199.61315954861</v>
      </c>
      <c r="B4227" s="2" t="s">
        <v>798</v>
      </c>
      <c r="C4227" s="2" t="s">
        <v>799</v>
      </c>
      <c r="D4227" s="2" t="s">
        <v>800</v>
      </c>
    </row>
    <row r="4228">
      <c r="A4228" s="8">
        <v>46199.613172812504</v>
      </c>
      <c r="B4228" s="2" t="s">
        <v>838</v>
      </c>
      <c r="C4228" s="2" t="s">
        <v>820</v>
      </c>
      <c r="D4228" s="2" t="s">
        <v>1173</v>
      </c>
    </row>
    <row r="4229">
      <c r="A4229" s="8">
        <v>46199.6131818287</v>
      </c>
      <c r="B4229" s="2" t="s">
        <v>832</v>
      </c>
      <c r="C4229" s="2"/>
      <c r="D4229" s="2" t="s">
        <v>1097</v>
      </c>
    </row>
    <row r="4230">
      <c r="A4230" s="8">
        <v>46199.61325527778</v>
      </c>
      <c r="B4230" s="2" t="s">
        <v>892</v>
      </c>
      <c r="C4230" s="2"/>
      <c r="D4230" s="2" t="s">
        <v>1149</v>
      </c>
    </row>
    <row r="4231">
      <c r="A4231" s="8">
        <v>46199.613297511576</v>
      </c>
      <c r="B4231" s="2" t="s">
        <v>894</v>
      </c>
      <c r="C4231" s="2"/>
      <c r="D4231" s="2" t="s">
        <v>1156</v>
      </c>
    </row>
    <row r="4232">
      <c r="A4232" s="8">
        <v>46199.65478078704</v>
      </c>
      <c r="B4232" s="2" t="s">
        <v>834</v>
      </c>
      <c r="C4232" s="2" t="s">
        <v>1123</v>
      </c>
      <c r="D4232" s="2" t="s">
        <v>1166</v>
      </c>
    </row>
    <row r="4233">
      <c r="A4233" s="8">
        <v>46199.654784108796</v>
      </c>
      <c r="B4233" s="2" t="s">
        <v>798</v>
      </c>
      <c r="C4233" s="2" t="s">
        <v>799</v>
      </c>
      <c r="D4233" s="2" t="s">
        <v>800</v>
      </c>
    </row>
    <row r="4234">
      <c r="A4234" s="8">
        <v>46199.654789224536</v>
      </c>
      <c r="B4234" s="2" t="s">
        <v>838</v>
      </c>
      <c r="C4234" s="2" t="s">
        <v>820</v>
      </c>
      <c r="D4234" s="2" t="s">
        <v>1173</v>
      </c>
    </row>
    <row r="4235">
      <c r="A4235" s="8">
        <v>46199.654806412036</v>
      </c>
      <c r="B4235" s="2" t="s">
        <v>832</v>
      </c>
      <c r="C4235" s="2"/>
      <c r="D4235" s="2" t="s">
        <v>1097</v>
      </c>
    </row>
    <row r="4236">
      <c r="A4236" s="8">
        <v>46199.65487194444</v>
      </c>
      <c r="B4236" s="2" t="s">
        <v>892</v>
      </c>
      <c r="C4236" s="2"/>
      <c r="D4236" s="2" t="s">
        <v>1149</v>
      </c>
    </row>
    <row r="4237">
      <c r="A4237" s="8">
        <v>46199.654894837964</v>
      </c>
      <c r="B4237" s="2" t="s">
        <v>894</v>
      </c>
      <c r="C4237" s="2"/>
      <c r="D4237" s="2" t="s">
        <v>1156</v>
      </c>
    </row>
    <row r="4238">
      <c r="A4238" s="8">
        <v>46199.69643649306</v>
      </c>
      <c r="B4238" s="2" t="s">
        <v>834</v>
      </c>
      <c r="C4238" s="2" t="s">
        <v>1123</v>
      </c>
      <c r="D4238" s="2" t="s">
        <v>1166</v>
      </c>
    </row>
    <row r="4239">
      <c r="A4239" s="8">
        <v>46199.696440127314</v>
      </c>
      <c r="B4239" s="2" t="s">
        <v>798</v>
      </c>
      <c r="C4239" s="2" t="s">
        <v>799</v>
      </c>
      <c r="D4239" s="2" t="s">
        <v>800</v>
      </c>
    </row>
    <row r="4240">
      <c r="A4240" s="8">
        <v>46199.69645055555</v>
      </c>
      <c r="B4240" s="2" t="s">
        <v>838</v>
      </c>
      <c r="C4240" s="2" t="s">
        <v>820</v>
      </c>
      <c r="D4240" s="2" t="s">
        <v>1173</v>
      </c>
    </row>
    <row r="4241">
      <c r="A4241" s="8">
        <v>46199.69646107639</v>
      </c>
      <c r="B4241" s="2" t="s">
        <v>832</v>
      </c>
      <c r="C4241" s="2"/>
      <c r="D4241" s="2" t="s">
        <v>1097</v>
      </c>
    </row>
    <row r="4242">
      <c r="A4242" s="8">
        <v>46199.69652990741</v>
      </c>
      <c r="B4242" s="2" t="s">
        <v>892</v>
      </c>
      <c r="C4242" s="2"/>
      <c r="D4242" s="2" t="s">
        <v>1149</v>
      </c>
    </row>
    <row r="4243">
      <c r="A4243" s="8">
        <v>46199.69655364583</v>
      </c>
      <c r="B4243" s="2" t="s">
        <v>894</v>
      </c>
      <c r="C4243" s="2"/>
      <c r="D4243" s="2" t="s">
        <v>1156</v>
      </c>
    </row>
    <row r="4244">
      <c r="A4244" s="8">
        <v>46199.73813885417</v>
      </c>
      <c r="B4244" s="2" t="s">
        <v>834</v>
      </c>
      <c r="C4244" s="2" t="s">
        <v>1123</v>
      </c>
      <c r="D4244" s="2" t="s">
        <v>1166</v>
      </c>
    </row>
    <row r="4245">
      <c r="A4245" s="8">
        <v>46199.73814383102</v>
      </c>
      <c r="B4245" s="2" t="s">
        <v>798</v>
      </c>
      <c r="C4245" s="2" t="s">
        <v>799</v>
      </c>
      <c r="D4245" s="2" t="s">
        <v>800</v>
      </c>
    </row>
    <row r="4246">
      <c r="A4246" s="8">
        <v>46199.73815024305</v>
      </c>
      <c r="B4246" s="2" t="s">
        <v>838</v>
      </c>
      <c r="C4246" s="2" t="s">
        <v>820</v>
      </c>
      <c r="D4246" s="2" t="s">
        <v>1173</v>
      </c>
    </row>
    <row r="4247">
      <c r="A4247" s="8">
        <v>46199.73816679398</v>
      </c>
      <c r="B4247" s="2" t="s">
        <v>832</v>
      </c>
      <c r="C4247" s="2"/>
      <c r="D4247" s="2" t="s">
        <v>1097</v>
      </c>
    </row>
    <row r="4248">
      <c r="A4248" s="8">
        <v>46199.73824717593</v>
      </c>
      <c r="B4248" s="2" t="s">
        <v>892</v>
      </c>
      <c r="C4248" s="2"/>
      <c r="D4248" s="2" t="s">
        <v>1149</v>
      </c>
    </row>
    <row r="4249">
      <c r="A4249" s="8">
        <v>46199.73828133102</v>
      </c>
      <c r="B4249" s="2" t="s">
        <v>894</v>
      </c>
      <c r="C4249" s="2"/>
      <c r="D4249" s="2" t="s">
        <v>1156</v>
      </c>
    </row>
    <row r="4250">
      <c r="A4250" s="8">
        <v>46199.77222528935</v>
      </c>
      <c r="B4250" s="2" t="s">
        <v>789</v>
      </c>
      <c r="C4250" s="2"/>
      <c r="D4250" s="2" t="s">
        <v>1094</v>
      </c>
    </row>
    <row r="4251">
      <c r="A4251" s="8">
        <v>46199.779779062505</v>
      </c>
      <c r="B4251" s="2" t="s">
        <v>834</v>
      </c>
      <c r="C4251" s="2" t="s">
        <v>1123</v>
      </c>
      <c r="D4251" s="2" t="s">
        <v>1166</v>
      </c>
    </row>
    <row r="4252">
      <c r="A4252" s="8">
        <v>46199.77978327546</v>
      </c>
      <c r="B4252" s="2" t="s">
        <v>798</v>
      </c>
      <c r="C4252" s="2" t="s">
        <v>799</v>
      </c>
      <c r="D4252" s="2" t="s">
        <v>800</v>
      </c>
    </row>
    <row r="4253">
      <c r="A4253" s="8">
        <v>46199.77979086805</v>
      </c>
      <c r="B4253" s="2" t="s">
        <v>838</v>
      </c>
      <c r="C4253" s="2" t="s">
        <v>820</v>
      </c>
      <c r="D4253" s="2" t="s">
        <v>1173</v>
      </c>
    </row>
    <row r="4254">
      <c r="A4254" s="8">
        <v>46199.779801550925</v>
      </c>
      <c r="B4254" s="2" t="s">
        <v>832</v>
      </c>
      <c r="C4254" s="2"/>
      <c r="D4254" s="2" t="s">
        <v>1097</v>
      </c>
    </row>
    <row r="4255">
      <c r="A4255" s="8">
        <v>46199.779868495374</v>
      </c>
      <c r="B4255" s="2" t="s">
        <v>892</v>
      </c>
      <c r="C4255" s="2"/>
      <c r="D4255" s="2" t="s">
        <v>1149</v>
      </c>
    </row>
    <row r="4256">
      <c r="A4256" s="8">
        <v>46199.779890011574</v>
      </c>
      <c r="B4256" s="2" t="s">
        <v>894</v>
      </c>
      <c r="C4256" s="2"/>
      <c r="D4256" s="2" t="s">
        <v>1156</v>
      </c>
    </row>
    <row r="4257">
      <c r="A4257" s="8">
        <v>46199.821486817134</v>
      </c>
      <c r="B4257" s="2" t="s">
        <v>834</v>
      </c>
      <c r="C4257" s="2" t="s">
        <v>1123</v>
      </c>
      <c r="D4257" s="2" t="s">
        <v>1166</v>
      </c>
    </row>
    <row r="4258">
      <c r="A4258" s="8">
        <v>46199.821492627314</v>
      </c>
      <c r="B4258" s="2" t="s">
        <v>798</v>
      </c>
      <c r="C4258" s="2" t="s">
        <v>799</v>
      </c>
      <c r="D4258" s="2" t="s">
        <v>800</v>
      </c>
    </row>
    <row r="4259">
      <c r="A4259" s="8">
        <v>46199.82150431713</v>
      </c>
      <c r="B4259" s="2" t="s">
        <v>838</v>
      </c>
      <c r="C4259" s="2" t="s">
        <v>820</v>
      </c>
      <c r="D4259" s="2" t="s">
        <v>1173</v>
      </c>
    </row>
    <row r="4260">
      <c r="A4260" s="8">
        <v>46199.821517986114</v>
      </c>
      <c r="B4260" s="2" t="s">
        <v>832</v>
      </c>
      <c r="C4260" s="2"/>
      <c r="D4260" s="2" t="s">
        <v>1097</v>
      </c>
    </row>
    <row r="4261">
      <c r="A4261" s="8">
        <v>46199.8216246875</v>
      </c>
      <c r="B4261" s="2" t="s">
        <v>892</v>
      </c>
      <c r="C4261" s="2"/>
      <c r="D4261" s="2" t="s">
        <v>1149</v>
      </c>
    </row>
    <row r="4262">
      <c r="A4262" s="8">
        <v>46199.82168224537</v>
      </c>
      <c r="B4262" s="2" t="s">
        <v>894</v>
      </c>
      <c r="C4262" s="2"/>
      <c r="D4262" s="2" t="s">
        <v>1156</v>
      </c>
    </row>
    <row r="4263">
      <c r="A4263" s="8">
        <v>46199.86310938657</v>
      </c>
      <c r="B4263" s="2" t="s">
        <v>834</v>
      </c>
      <c r="C4263" s="2" t="s">
        <v>1123</v>
      </c>
      <c r="D4263" s="2" t="s">
        <v>1166</v>
      </c>
    </row>
    <row r="4264">
      <c r="A4264" s="8">
        <v>46199.86311319444</v>
      </c>
      <c r="B4264" s="2" t="s">
        <v>798</v>
      </c>
      <c r="C4264" s="2" t="s">
        <v>799</v>
      </c>
      <c r="D4264" s="2" t="s">
        <v>800</v>
      </c>
    </row>
    <row r="4265">
      <c r="A4265" s="8">
        <v>46199.86312126157</v>
      </c>
      <c r="B4265" s="2" t="s">
        <v>838</v>
      </c>
      <c r="C4265" s="2" t="s">
        <v>820</v>
      </c>
      <c r="D4265" s="2" t="s">
        <v>1173</v>
      </c>
    </row>
    <row r="4266">
      <c r="A4266" s="8">
        <v>46199.86313550926</v>
      </c>
      <c r="B4266" s="2" t="s">
        <v>832</v>
      </c>
      <c r="C4266" s="2"/>
      <c r="D4266" s="2" t="s">
        <v>1097</v>
      </c>
    </row>
    <row r="4267">
      <c r="A4267" s="8">
        <v>46199.86321226852</v>
      </c>
      <c r="B4267" s="2" t="s">
        <v>892</v>
      </c>
      <c r="C4267" s="2"/>
      <c r="D4267" s="2" t="s">
        <v>1149</v>
      </c>
    </row>
    <row r="4268">
      <c r="A4268" s="8">
        <v>46199.86324908565</v>
      </c>
      <c r="B4268" s="2" t="s">
        <v>894</v>
      </c>
      <c r="C4268" s="2"/>
      <c r="D4268" s="2" t="s">
        <v>1156</v>
      </c>
    </row>
    <row r="4269">
      <c r="A4269" s="8">
        <v>46199.904803240745</v>
      </c>
      <c r="B4269" s="2" t="s">
        <v>834</v>
      </c>
      <c r="C4269" s="2" t="s">
        <v>1123</v>
      </c>
      <c r="D4269" s="2" t="s">
        <v>1166</v>
      </c>
    </row>
    <row r="4270">
      <c r="A4270" s="8">
        <v>46199.904808113424</v>
      </c>
      <c r="B4270" s="2" t="s">
        <v>798</v>
      </c>
      <c r="C4270" s="2" t="s">
        <v>799</v>
      </c>
      <c r="D4270" s="2" t="s">
        <v>800</v>
      </c>
    </row>
    <row r="4271">
      <c r="A4271" s="8">
        <v>46199.90481476852</v>
      </c>
      <c r="B4271" s="2" t="s">
        <v>838</v>
      </c>
      <c r="C4271" s="2" t="s">
        <v>820</v>
      </c>
      <c r="D4271" s="2" t="s">
        <v>1173</v>
      </c>
    </row>
    <row r="4272">
      <c r="A4272" s="8">
        <v>46199.904835671296</v>
      </c>
      <c r="B4272" s="2" t="s">
        <v>832</v>
      </c>
      <c r="C4272" s="2"/>
      <c r="D4272" s="2" t="s">
        <v>1097</v>
      </c>
    </row>
    <row r="4273">
      <c r="A4273" s="8">
        <v>46199.9049168287</v>
      </c>
      <c r="B4273" s="2" t="s">
        <v>892</v>
      </c>
      <c r="C4273" s="2"/>
      <c r="D4273" s="2" t="s">
        <v>1149</v>
      </c>
    </row>
    <row r="4274">
      <c r="A4274" s="8">
        <v>46199.904955590275</v>
      </c>
      <c r="B4274" s="2" t="s">
        <v>894</v>
      </c>
      <c r="C4274" s="2"/>
      <c r="D4274" s="2" t="s">
        <v>1156</v>
      </c>
    </row>
    <row r="4275">
      <c r="A4275" s="8">
        <v>46199.917127465276</v>
      </c>
      <c r="B4275" s="2" t="s">
        <v>863</v>
      </c>
      <c r="C4275" s="2"/>
      <c r="D4275" s="2" t="s">
        <v>1174</v>
      </c>
    </row>
    <row r="4276">
      <c r="A4276" s="8">
        <v>46199.946485636574</v>
      </c>
      <c r="B4276" s="2" t="s">
        <v>834</v>
      </c>
      <c r="C4276" s="2" t="s">
        <v>1123</v>
      </c>
      <c r="D4276" s="2" t="s">
        <v>1166</v>
      </c>
    </row>
    <row r="4277">
      <c r="A4277" s="8">
        <v>46199.946493090276</v>
      </c>
      <c r="B4277" s="2" t="s">
        <v>798</v>
      </c>
      <c r="C4277" s="2" t="s">
        <v>799</v>
      </c>
      <c r="D4277" s="2" t="s">
        <v>800</v>
      </c>
    </row>
    <row r="4278">
      <c r="A4278" s="8">
        <v>46199.94650145833</v>
      </c>
      <c r="B4278" s="2" t="s">
        <v>838</v>
      </c>
      <c r="C4278" s="2" t="s">
        <v>820</v>
      </c>
      <c r="D4278" s="2" t="s">
        <v>1173</v>
      </c>
    </row>
    <row r="4279">
      <c r="A4279" s="8">
        <v>46199.94651491898</v>
      </c>
      <c r="B4279" s="2" t="s">
        <v>832</v>
      </c>
      <c r="C4279" s="2"/>
      <c r="D4279" s="2" t="s">
        <v>1097</v>
      </c>
    </row>
    <row r="4280">
      <c r="A4280" s="8">
        <v>46199.946608935184</v>
      </c>
      <c r="B4280" s="2" t="s">
        <v>892</v>
      </c>
      <c r="C4280" s="2"/>
      <c r="D4280" s="2" t="s">
        <v>1149</v>
      </c>
    </row>
    <row r="4281">
      <c r="A4281" s="8">
        <v>46199.94664708333</v>
      </c>
      <c r="B4281" s="2" t="s">
        <v>894</v>
      </c>
      <c r="C4281" s="2"/>
      <c r="D4281" s="2" t="s">
        <v>1156</v>
      </c>
    </row>
    <row r="4282">
      <c r="A4282" s="8">
        <v>46199.98812087963</v>
      </c>
      <c r="B4282" s="2" t="s">
        <v>834</v>
      </c>
      <c r="C4282" s="2" t="s">
        <v>1123</v>
      </c>
      <c r="D4282" s="2" t="s">
        <v>1166</v>
      </c>
    </row>
    <row r="4283">
      <c r="A4283" s="8">
        <v>46199.98812581018</v>
      </c>
      <c r="B4283" s="2" t="s">
        <v>798</v>
      </c>
      <c r="C4283" s="2" t="s">
        <v>799</v>
      </c>
      <c r="D4283" s="2" t="s">
        <v>800</v>
      </c>
    </row>
    <row r="4284">
      <c r="A4284" s="8">
        <v>46199.98813083333</v>
      </c>
      <c r="B4284" s="2" t="s">
        <v>838</v>
      </c>
      <c r="C4284" s="2" t="s">
        <v>820</v>
      </c>
      <c r="D4284" s="2" t="s">
        <v>1173</v>
      </c>
    </row>
    <row r="4285">
      <c r="A4285" s="8">
        <v>46199.988134224535</v>
      </c>
      <c r="B4285" s="2" t="s">
        <v>832</v>
      </c>
      <c r="C4285" s="2"/>
      <c r="D4285" s="2" t="s">
        <v>1097</v>
      </c>
    </row>
    <row r="4286">
      <c r="A4286" s="8">
        <v>46199.988209849536</v>
      </c>
      <c r="B4286" s="2" t="s">
        <v>892</v>
      </c>
      <c r="C4286" s="2"/>
      <c r="D4286" s="2" t="s">
        <v>1149</v>
      </c>
    </row>
    <row r="4287">
      <c r="A4287" s="8">
        <v>46199.98823403935</v>
      </c>
      <c r="B4287" s="2" t="s">
        <v>894</v>
      </c>
      <c r="C4287" s="2"/>
      <c r="D4287" s="2" t="s">
        <v>1156</v>
      </c>
    </row>
    <row r="4288">
      <c r="A4288" s="8">
        <v>46200.02977998843</v>
      </c>
      <c r="B4288" s="2" t="s">
        <v>834</v>
      </c>
      <c r="C4288" s="2" t="s">
        <v>1123</v>
      </c>
      <c r="D4288" s="2" t="s">
        <v>1166</v>
      </c>
    </row>
    <row r="4289">
      <c r="A4289" s="8">
        <v>46200.029785</v>
      </c>
      <c r="B4289" s="2" t="s">
        <v>798</v>
      </c>
      <c r="C4289" s="2" t="s">
        <v>799</v>
      </c>
      <c r="D4289" s="2" t="s">
        <v>800</v>
      </c>
    </row>
    <row r="4290">
      <c r="A4290" s="8">
        <v>46200.02979010416</v>
      </c>
      <c r="B4290" s="2" t="s">
        <v>838</v>
      </c>
      <c r="C4290" s="2" t="s">
        <v>820</v>
      </c>
      <c r="D4290" s="2" t="s">
        <v>1173</v>
      </c>
    </row>
    <row r="4291">
      <c r="A4291" s="8">
        <v>46200.02979371528</v>
      </c>
      <c r="B4291" s="2" t="s">
        <v>832</v>
      </c>
      <c r="C4291" s="2"/>
      <c r="D4291" s="2" t="s">
        <v>1097</v>
      </c>
    </row>
    <row r="4292">
      <c r="A4292" s="8">
        <v>46200.029866446755</v>
      </c>
      <c r="B4292" s="2" t="s">
        <v>892</v>
      </c>
      <c r="C4292" s="2"/>
      <c r="D4292" s="2" t="s">
        <v>1149</v>
      </c>
    </row>
    <row r="4293">
      <c r="A4293" s="8">
        <v>46200.02989125</v>
      </c>
      <c r="B4293" s="2" t="s">
        <v>844</v>
      </c>
      <c r="C4293" s="2" t="s">
        <v>590</v>
      </c>
      <c r="D4293" s="2" t="s">
        <v>954</v>
      </c>
    </row>
    <row r="4294">
      <c r="A4294" s="8">
        <v>46200.02989677084</v>
      </c>
      <c r="B4294" s="2" t="s">
        <v>894</v>
      </c>
      <c r="C4294" s="2"/>
      <c r="D4294" s="2" t="s">
        <v>1165</v>
      </c>
    </row>
    <row r="4295">
      <c r="A4295" s="8">
        <v>46200.07153818287</v>
      </c>
      <c r="B4295" s="2" t="s">
        <v>834</v>
      </c>
      <c r="C4295" s="2" t="s">
        <v>1123</v>
      </c>
      <c r="D4295" s="2" t="s">
        <v>1166</v>
      </c>
    </row>
    <row r="4296">
      <c r="A4296" s="8">
        <v>46200.071542233796</v>
      </c>
      <c r="B4296" s="2" t="s">
        <v>798</v>
      </c>
      <c r="C4296" s="2" t="s">
        <v>799</v>
      </c>
      <c r="D4296" s="2" t="s">
        <v>800</v>
      </c>
    </row>
    <row r="4297">
      <c r="A4297" s="8">
        <v>46200.07154792824</v>
      </c>
      <c r="B4297" s="2" t="s">
        <v>838</v>
      </c>
      <c r="C4297" s="2" t="s">
        <v>820</v>
      </c>
      <c r="D4297" s="2" t="s">
        <v>1173</v>
      </c>
    </row>
    <row r="4298">
      <c r="A4298" s="8">
        <v>46200.07155332176</v>
      </c>
      <c r="B4298" s="2" t="s">
        <v>832</v>
      </c>
      <c r="C4298" s="2"/>
      <c r="D4298" s="2" t="s">
        <v>1097</v>
      </c>
    </row>
    <row r="4299">
      <c r="A4299" s="8">
        <v>46200.0716224537</v>
      </c>
      <c r="B4299" s="2" t="s">
        <v>892</v>
      </c>
      <c r="C4299" s="2"/>
      <c r="D4299" s="2" t="s">
        <v>1149</v>
      </c>
    </row>
    <row r="4300">
      <c r="A4300" s="8">
        <v>46200.071650439815</v>
      </c>
      <c r="B4300" s="2" t="s">
        <v>844</v>
      </c>
      <c r="C4300" s="2" t="s">
        <v>590</v>
      </c>
      <c r="D4300" s="2" t="s">
        <v>972</v>
      </c>
    </row>
    <row r="4301">
      <c r="A4301" s="8">
        <v>46200.07165587963</v>
      </c>
      <c r="B4301" s="2" t="s">
        <v>894</v>
      </c>
      <c r="C4301" s="2"/>
      <c r="D4301" s="2" t="s">
        <v>1165</v>
      </c>
    </row>
    <row r="4302">
      <c r="A4302" s="8">
        <v>46200.11310087963</v>
      </c>
      <c r="B4302" s="2" t="s">
        <v>834</v>
      </c>
      <c r="C4302" s="2" t="s">
        <v>1123</v>
      </c>
      <c r="D4302" s="2" t="s">
        <v>1166</v>
      </c>
    </row>
    <row r="4303">
      <c r="A4303" s="8">
        <v>46200.11310523148</v>
      </c>
      <c r="B4303" s="2" t="s">
        <v>798</v>
      </c>
      <c r="C4303" s="2" t="s">
        <v>799</v>
      </c>
      <c r="D4303" s="2" t="s">
        <v>800</v>
      </c>
    </row>
    <row r="4304">
      <c r="A4304" s="8">
        <v>46200.113110300925</v>
      </c>
      <c r="B4304" s="2" t="s">
        <v>838</v>
      </c>
      <c r="C4304" s="2" t="s">
        <v>820</v>
      </c>
      <c r="D4304" s="2" t="s">
        <v>1173</v>
      </c>
    </row>
    <row r="4305">
      <c r="A4305" s="8">
        <v>46200.11311421296</v>
      </c>
      <c r="B4305" s="2" t="s">
        <v>832</v>
      </c>
      <c r="C4305" s="2"/>
      <c r="D4305" s="2" t="s">
        <v>1097</v>
      </c>
    </row>
    <row r="4306">
      <c r="A4306" s="8">
        <v>46200.1131903125</v>
      </c>
      <c r="B4306" s="2" t="s">
        <v>892</v>
      </c>
      <c r="C4306" s="2"/>
      <c r="D4306" s="2" t="s">
        <v>1149</v>
      </c>
    </row>
    <row r="4307">
      <c r="A4307" s="8">
        <v>46200.11321902778</v>
      </c>
      <c r="B4307" s="2" t="s">
        <v>844</v>
      </c>
      <c r="C4307" s="2" t="s">
        <v>687</v>
      </c>
      <c r="D4307" s="2" t="s">
        <v>1175</v>
      </c>
    </row>
    <row r="4308">
      <c r="A4308" s="8">
        <v>46200.11322392361</v>
      </c>
      <c r="B4308" s="2" t="s">
        <v>894</v>
      </c>
      <c r="C4308" s="2"/>
      <c r="D4308" s="2" t="s">
        <v>1165</v>
      </c>
    </row>
    <row r="4309">
      <c r="A4309" s="8">
        <v>46200.15483515046</v>
      </c>
      <c r="B4309" s="2" t="s">
        <v>834</v>
      </c>
      <c r="C4309" s="2" t="s">
        <v>1123</v>
      </c>
      <c r="D4309" s="2" t="s">
        <v>1166</v>
      </c>
    </row>
    <row r="4310">
      <c r="A4310" s="8">
        <v>46200.15483921296</v>
      </c>
      <c r="B4310" s="2" t="s">
        <v>798</v>
      </c>
      <c r="C4310" s="2" t="s">
        <v>799</v>
      </c>
      <c r="D4310" s="2" t="s">
        <v>800</v>
      </c>
    </row>
    <row r="4311">
      <c r="A4311" s="8">
        <v>46200.15484826389</v>
      </c>
      <c r="B4311" s="2" t="s">
        <v>844</v>
      </c>
      <c r="C4311" s="2" t="s">
        <v>818</v>
      </c>
      <c r="D4311" s="2" t="s">
        <v>1176</v>
      </c>
    </row>
    <row r="4312">
      <c r="A4312" s="8">
        <v>46200.154864386575</v>
      </c>
      <c r="B4312" s="2" t="s">
        <v>838</v>
      </c>
      <c r="C4312" s="2" t="s">
        <v>820</v>
      </c>
      <c r="D4312" s="2" t="s">
        <v>1173</v>
      </c>
    </row>
    <row r="4313">
      <c r="A4313" s="8">
        <v>46200.154867731486</v>
      </c>
      <c r="B4313" s="2" t="s">
        <v>832</v>
      </c>
      <c r="C4313" s="2"/>
      <c r="D4313" s="2" t="s">
        <v>1096</v>
      </c>
    </row>
    <row r="4314">
      <c r="A4314" s="8">
        <v>46200.15493560185</v>
      </c>
      <c r="B4314" s="2" t="s">
        <v>892</v>
      </c>
      <c r="C4314" s="2"/>
      <c r="D4314" s="2" t="s">
        <v>1149</v>
      </c>
    </row>
    <row r="4315">
      <c r="A4315" s="8">
        <v>46200.15496252315</v>
      </c>
      <c r="B4315" s="2" t="s">
        <v>844</v>
      </c>
      <c r="C4315" s="2" t="s">
        <v>687</v>
      </c>
      <c r="D4315" s="2" t="s">
        <v>1013</v>
      </c>
    </row>
    <row r="4316">
      <c r="A4316" s="8">
        <v>46200.154971689815</v>
      </c>
      <c r="B4316" s="2" t="s">
        <v>844</v>
      </c>
      <c r="C4316" s="2" t="s">
        <v>756</v>
      </c>
      <c r="D4316" s="2" t="s">
        <v>1013</v>
      </c>
    </row>
    <row r="4317">
      <c r="A4317" s="8">
        <v>46200.15497725694</v>
      </c>
      <c r="B4317" s="2" t="s">
        <v>894</v>
      </c>
      <c r="C4317" s="2"/>
      <c r="D4317" s="2" t="s">
        <v>1160</v>
      </c>
    </row>
    <row r="4318">
      <c r="A4318" s="8">
        <v>46200.19649956019</v>
      </c>
      <c r="B4318" s="2" t="s">
        <v>834</v>
      </c>
      <c r="C4318" s="2" t="s">
        <v>1123</v>
      </c>
      <c r="D4318" s="2" t="s">
        <v>1166</v>
      </c>
    </row>
    <row r="4319">
      <c r="A4319" s="8">
        <v>46200.19650423611</v>
      </c>
      <c r="B4319" s="2" t="s">
        <v>798</v>
      </c>
      <c r="C4319" s="2" t="s">
        <v>799</v>
      </c>
      <c r="D4319" s="2" t="s">
        <v>800</v>
      </c>
    </row>
    <row r="4320">
      <c r="A4320" s="8">
        <v>46200.19651664352</v>
      </c>
      <c r="B4320" s="2" t="s">
        <v>838</v>
      </c>
      <c r="C4320" s="2" t="s">
        <v>820</v>
      </c>
      <c r="D4320" s="2" t="s">
        <v>1173</v>
      </c>
    </row>
    <row r="4321">
      <c r="A4321" s="8">
        <v>46200.196527974535</v>
      </c>
      <c r="B4321" s="2" t="s">
        <v>832</v>
      </c>
      <c r="C4321" s="2"/>
      <c r="D4321" s="2" t="s">
        <v>1097</v>
      </c>
    </row>
    <row r="4322">
      <c r="A4322" s="8">
        <v>46200.1966043287</v>
      </c>
      <c r="B4322" s="2" t="s">
        <v>892</v>
      </c>
      <c r="C4322" s="2"/>
      <c r="D4322" s="2" t="s">
        <v>1149</v>
      </c>
    </row>
    <row r="4323">
      <c r="A4323" s="8">
        <v>46200.19665400463</v>
      </c>
      <c r="B4323" s="2" t="s">
        <v>844</v>
      </c>
      <c r="C4323" s="2" t="s">
        <v>595</v>
      </c>
      <c r="D4323" s="2" t="s">
        <v>915</v>
      </c>
    </row>
    <row r="4324">
      <c r="A4324" s="8">
        <v>46200.19666109954</v>
      </c>
      <c r="B4324" s="2" t="s">
        <v>894</v>
      </c>
      <c r="C4324" s="2"/>
      <c r="D4324" s="2" t="s">
        <v>1165</v>
      </c>
    </row>
    <row r="4325">
      <c r="A4325" s="8">
        <v>46200.2381641088</v>
      </c>
      <c r="B4325" s="2" t="s">
        <v>834</v>
      </c>
      <c r="C4325" s="2" t="s">
        <v>1123</v>
      </c>
      <c r="D4325" s="2" t="s">
        <v>1166</v>
      </c>
    </row>
    <row r="4326">
      <c r="A4326" s="8">
        <v>46200.238170972225</v>
      </c>
      <c r="B4326" s="2" t="s">
        <v>798</v>
      </c>
      <c r="C4326" s="2" t="s">
        <v>799</v>
      </c>
      <c r="D4326" s="2" t="s">
        <v>800</v>
      </c>
    </row>
    <row r="4327">
      <c r="A4327" s="8">
        <v>46200.23818074074</v>
      </c>
      <c r="B4327" s="2" t="s">
        <v>838</v>
      </c>
      <c r="C4327" s="2" t="s">
        <v>820</v>
      </c>
      <c r="D4327" s="2" t="s">
        <v>1173</v>
      </c>
    </row>
    <row r="4328">
      <c r="A4328" s="8">
        <v>46200.238196342594</v>
      </c>
      <c r="B4328" s="2" t="s">
        <v>832</v>
      </c>
      <c r="C4328" s="2"/>
      <c r="D4328" s="2" t="s">
        <v>1097</v>
      </c>
    </row>
    <row r="4329">
      <c r="A4329" s="8">
        <v>46200.2383262963</v>
      </c>
      <c r="B4329" s="2" t="s">
        <v>892</v>
      </c>
      <c r="C4329" s="2"/>
      <c r="D4329" s="2" t="s">
        <v>1149</v>
      </c>
    </row>
    <row r="4330">
      <c r="A4330" s="8">
        <v>46200.23838403935</v>
      </c>
      <c r="B4330" s="2" t="s">
        <v>991</v>
      </c>
      <c r="C4330" s="2" t="s">
        <v>579</v>
      </c>
      <c r="D4330" s="2" t="s">
        <v>1177</v>
      </c>
    </row>
    <row r="4331">
      <c r="A4331" s="8">
        <v>46200.23839561343</v>
      </c>
      <c r="B4331" s="2" t="s">
        <v>844</v>
      </c>
      <c r="C4331" s="2" t="s">
        <v>595</v>
      </c>
      <c r="D4331" s="2" t="s">
        <v>1102</v>
      </c>
    </row>
    <row r="4332">
      <c r="A4332" s="8">
        <v>46200.23840596065</v>
      </c>
      <c r="B4332" s="2" t="s">
        <v>894</v>
      </c>
      <c r="C4332" s="2"/>
      <c r="D4332" s="2" t="s">
        <v>1178</v>
      </c>
    </row>
    <row r="4333">
      <c r="A4333" s="8">
        <v>46200.27977180555</v>
      </c>
      <c r="B4333" s="2" t="s">
        <v>834</v>
      </c>
      <c r="C4333" s="2" t="s">
        <v>1123</v>
      </c>
      <c r="D4333" s="2" t="s">
        <v>1166</v>
      </c>
    </row>
    <row r="4334">
      <c r="A4334" s="8">
        <v>46200.27977569445</v>
      </c>
      <c r="B4334" s="2" t="s">
        <v>798</v>
      </c>
      <c r="C4334" s="2" t="s">
        <v>799</v>
      </c>
      <c r="D4334" s="2" t="s">
        <v>800</v>
      </c>
    </row>
    <row r="4335">
      <c r="A4335" s="8">
        <v>46200.279781226855</v>
      </c>
      <c r="B4335" s="2" t="s">
        <v>838</v>
      </c>
      <c r="C4335" s="2" t="s">
        <v>820</v>
      </c>
      <c r="D4335" s="2" t="s">
        <v>1173</v>
      </c>
    </row>
    <row r="4336">
      <c r="A4336" s="8">
        <v>46200.279801296296</v>
      </c>
      <c r="B4336" s="2" t="s">
        <v>832</v>
      </c>
      <c r="C4336" s="2"/>
      <c r="D4336" s="2" t="s">
        <v>1097</v>
      </c>
    </row>
    <row r="4337">
      <c r="A4337" s="8">
        <v>46200.279862800926</v>
      </c>
      <c r="B4337" s="2" t="s">
        <v>892</v>
      </c>
      <c r="C4337" s="2"/>
      <c r="D4337" s="2" t="s">
        <v>1149</v>
      </c>
    </row>
    <row r="4338">
      <c r="A4338" s="8">
        <v>46200.27988263889</v>
      </c>
      <c r="B4338" s="2" t="s">
        <v>991</v>
      </c>
      <c r="C4338" s="2" t="s">
        <v>509</v>
      </c>
      <c r="D4338" s="2" t="s">
        <v>1047</v>
      </c>
    </row>
    <row r="4339">
      <c r="A4339" s="8">
        <v>46200.27988825232</v>
      </c>
      <c r="B4339" s="2" t="s">
        <v>894</v>
      </c>
      <c r="C4339" s="2"/>
      <c r="D4339" s="2" t="s">
        <v>1162</v>
      </c>
    </row>
    <row r="4340">
      <c r="A4340" s="8">
        <v>46200.321480370374</v>
      </c>
      <c r="B4340" s="2" t="s">
        <v>834</v>
      </c>
      <c r="C4340" s="2" t="s">
        <v>1123</v>
      </c>
      <c r="D4340" s="2" t="s">
        <v>1166</v>
      </c>
    </row>
    <row r="4341">
      <c r="A4341" s="8">
        <v>46200.3214863426</v>
      </c>
      <c r="B4341" s="2" t="s">
        <v>798</v>
      </c>
      <c r="C4341" s="2" t="s">
        <v>799</v>
      </c>
      <c r="D4341" s="2" t="s">
        <v>800</v>
      </c>
    </row>
    <row r="4342">
      <c r="A4342" s="8">
        <v>46200.321498125</v>
      </c>
      <c r="B4342" s="2" t="s">
        <v>838</v>
      </c>
      <c r="C4342" s="2" t="s">
        <v>820</v>
      </c>
      <c r="D4342" s="2" t="s">
        <v>1173</v>
      </c>
    </row>
    <row r="4343">
      <c r="A4343" s="8">
        <v>46200.32150979167</v>
      </c>
      <c r="B4343" s="2" t="s">
        <v>832</v>
      </c>
      <c r="C4343" s="2"/>
      <c r="D4343" s="2" t="s">
        <v>1097</v>
      </c>
    </row>
    <row r="4344">
      <c r="A4344" s="8">
        <v>46200.32160686342</v>
      </c>
      <c r="B4344" s="2" t="s">
        <v>892</v>
      </c>
      <c r="C4344" s="2"/>
      <c r="D4344" s="2" t="s">
        <v>1149</v>
      </c>
    </row>
    <row r="4345">
      <c r="A4345" s="8">
        <v>46200.32165113426</v>
      </c>
      <c r="B4345" s="2" t="s">
        <v>844</v>
      </c>
      <c r="C4345" s="2" t="s">
        <v>554</v>
      </c>
      <c r="D4345" s="2" t="s">
        <v>945</v>
      </c>
    </row>
    <row r="4346">
      <c r="A4346" s="8">
        <v>46200.32166375</v>
      </c>
      <c r="B4346" s="2" t="s">
        <v>894</v>
      </c>
      <c r="C4346" s="2"/>
      <c r="D4346" s="2" t="s">
        <v>1165</v>
      </c>
    </row>
    <row r="4347">
      <c r="A4347" s="8">
        <v>46200.363098807866</v>
      </c>
      <c r="B4347" s="2" t="s">
        <v>834</v>
      </c>
      <c r="C4347" s="2" t="s">
        <v>1123</v>
      </c>
      <c r="D4347" s="2" t="s">
        <v>1166</v>
      </c>
    </row>
    <row r="4348">
      <c r="A4348" s="8">
        <v>46200.36310270833</v>
      </c>
      <c r="B4348" s="2" t="s">
        <v>798</v>
      </c>
      <c r="C4348" s="2" t="s">
        <v>799</v>
      </c>
      <c r="D4348" s="2" t="s">
        <v>800</v>
      </c>
    </row>
    <row r="4349">
      <c r="A4349" s="8">
        <v>46200.36310850694</v>
      </c>
      <c r="B4349" s="2" t="s">
        <v>838</v>
      </c>
      <c r="C4349" s="2" t="s">
        <v>820</v>
      </c>
      <c r="D4349" s="2" t="s">
        <v>1173</v>
      </c>
    </row>
    <row r="4350">
      <c r="A4350" s="8">
        <v>46200.363124525466</v>
      </c>
      <c r="B4350" s="2" t="s">
        <v>832</v>
      </c>
      <c r="C4350" s="2"/>
      <c r="D4350" s="2" t="s">
        <v>1097</v>
      </c>
    </row>
    <row r="4351">
      <c r="A4351" s="8">
        <v>46200.36318702546</v>
      </c>
      <c r="B4351" s="2" t="s">
        <v>892</v>
      </c>
      <c r="C4351" s="2"/>
      <c r="D4351" s="2" t="s">
        <v>1149</v>
      </c>
    </row>
    <row r="4352">
      <c r="A4352" s="8">
        <v>46200.36320905093</v>
      </c>
      <c r="B4352" s="2" t="s">
        <v>894</v>
      </c>
      <c r="C4352" s="2"/>
      <c r="D4352" s="2" t="s">
        <v>1156</v>
      </c>
    </row>
    <row r="4353">
      <c r="A4353" s="8">
        <v>46200.40477247685</v>
      </c>
      <c r="B4353" s="2" t="s">
        <v>834</v>
      </c>
      <c r="C4353" s="2" t="s">
        <v>1123</v>
      </c>
      <c r="D4353" s="2" t="s">
        <v>1166</v>
      </c>
    </row>
    <row r="4354">
      <c r="A4354" s="8">
        <v>46200.404775787036</v>
      </c>
      <c r="B4354" s="2" t="s">
        <v>798</v>
      </c>
      <c r="C4354" s="2" t="s">
        <v>799</v>
      </c>
      <c r="D4354" s="2" t="s">
        <v>800</v>
      </c>
    </row>
    <row r="4355">
      <c r="A4355" s="8">
        <v>46200.40478141204</v>
      </c>
      <c r="B4355" s="2" t="s">
        <v>838</v>
      </c>
      <c r="C4355" s="2" t="s">
        <v>820</v>
      </c>
      <c r="D4355" s="2" t="s">
        <v>1173</v>
      </c>
    </row>
    <row r="4356">
      <c r="A4356" s="8">
        <v>46200.40479728009</v>
      </c>
      <c r="B4356" s="2" t="s">
        <v>832</v>
      </c>
      <c r="C4356" s="2"/>
      <c r="D4356" s="2" t="s">
        <v>1097</v>
      </c>
    </row>
    <row r="4357">
      <c r="A4357" s="8">
        <v>46200.40485883102</v>
      </c>
      <c r="B4357" s="2" t="s">
        <v>892</v>
      </c>
      <c r="C4357" s="2"/>
      <c r="D4357" s="2" t="s">
        <v>1149</v>
      </c>
    </row>
    <row r="4358">
      <c r="A4358" s="8">
        <v>46200.40488033565</v>
      </c>
      <c r="B4358" s="2" t="s">
        <v>894</v>
      </c>
      <c r="C4358" s="2"/>
      <c r="D4358" s="2" t="s">
        <v>1156</v>
      </c>
    </row>
    <row r="4359">
      <c r="A4359" s="8">
        <v>46200.44643722222</v>
      </c>
      <c r="B4359" s="2" t="s">
        <v>834</v>
      </c>
      <c r="C4359" s="2" t="s">
        <v>1123</v>
      </c>
      <c r="D4359" s="2" t="s">
        <v>1166</v>
      </c>
    </row>
    <row r="4360">
      <c r="A4360" s="8">
        <v>46200.44643991898</v>
      </c>
      <c r="B4360" s="2" t="s">
        <v>798</v>
      </c>
      <c r="C4360" s="2" t="s">
        <v>799</v>
      </c>
      <c r="D4360" s="2" t="s">
        <v>800</v>
      </c>
    </row>
    <row r="4361">
      <c r="A4361" s="8">
        <v>46200.446446863425</v>
      </c>
      <c r="B4361" s="2" t="s">
        <v>838</v>
      </c>
      <c r="C4361" s="2" t="s">
        <v>820</v>
      </c>
      <c r="D4361" s="2" t="s">
        <v>1173</v>
      </c>
    </row>
    <row r="4362">
      <c r="A4362" s="8">
        <v>46200.44646212963</v>
      </c>
      <c r="B4362" s="2" t="s">
        <v>832</v>
      </c>
      <c r="C4362" s="2"/>
      <c r="D4362" s="2" t="s">
        <v>1097</v>
      </c>
    </row>
    <row r="4363">
      <c r="A4363" s="8">
        <v>46200.44653527778</v>
      </c>
      <c r="B4363" s="2" t="s">
        <v>892</v>
      </c>
      <c r="C4363" s="2"/>
      <c r="D4363" s="2" t="s">
        <v>1149</v>
      </c>
    </row>
    <row r="4364">
      <c r="A4364" s="8">
        <v>46200.44656150463</v>
      </c>
      <c r="B4364" s="2" t="s">
        <v>894</v>
      </c>
      <c r="C4364" s="2"/>
      <c r="D4364" s="2" t="s">
        <v>1156</v>
      </c>
    </row>
    <row r="4365">
      <c r="A4365" s="8">
        <v>46200.48812180555</v>
      </c>
      <c r="B4365" s="2" t="s">
        <v>834</v>
      </c>
      <c r="C4365" s="2" t="s">
        <v>1123</v>
      </c>
      <c r="D4365" s="2" t="s">
        <v>1166</v>
      </c>
    </row>
    <row r="4366">
      <c r="A4366" s="8">
        <v>46200.48812633102</v>
      </c>
      <c r="B4366" s="2" t="s">
        <v>798</v>
      </c>
      <c r="C4366" s="2" t="s">
        <v>799</v>
      </c>
      <c r="D4366" s="2" t="s">
        <v>800</v>
      </c>
    </row>
    <row r="4367">
      <c r="A4367" s="8">
        <v>46200.4881312963</v>
      </c>
      <c r="B4367" s="2" t="s">
        <v>838</v>
      </c>
      <c r="C4367" s="2" t="s">
        <v>820</v>
      </c>
      <c r="D4367" s="2" t="s">
        <v>1173</v>
      </c>
    </row>
    <row r="4368">
      <c r="A4368" s="8">
        <v>46200.48813923611</v>
      </c>
      <c r="B4368" s="2" t="s">
        <v>832</v>
      </c>
      <c r="C4368" s="2"/>
      <c r="D4368" s="2" t="s">
        <v>1097</v>
      </c>
    </row>
    <row r="4369">
      <c r="A4369" s="8">
        <v>46200.48821045139</v>
      </c>
      <c r="B4369" s="2" t="s">
        <v>892</v>
      </c>
      <c r="C4369" s="2"/>
      <c r="D4369" s="2" t="s">
        <v>1149</v>
      </c>
    </row>
    <row r="4370">
      <c r="A4370" s="8">
        <v>46200.48823675926</v>
      </c>
      <c r="B4370" s="2" t="s">
        <v>894</v>
      </c>
      <c r="C4370" s="2"/>
      <c r="D4370" s="2" t="s">
        <v>1156</v>
      </c>
    </row>
    <row r="4371">
      <c r="A4371" s="8">
        <v>46200.52975918981</v>
      </c>
      <c r="B4371" s="2" t="s">
        <v>834</v>
      </c>
      <c r="C4371" s="2" t="s">
        <v>1123</v>
      </c>
      <c r="D4371" s="2" t="s">
        <v>1166</v>
      </c>
    </row>
    <row r="4372">
      <c r="A4372" s="8">
        <v>46200.52976207176</v>
      </c>
      <c r="B4372" s="2" t="s">
        <v>798</v>
      </c>
      <c r="C4372" s="2" t="s">
        <v>799</v>
      </c>
      <c r="D4372" s="2" t="s">
        <v>800</v>
      </c>
    </row>
    <row r="4373">
      <c r="A4373" s="8">
        <v>46200.52976430555</v>
      </c>
      <c r="B4373" s="2" t="s">
        <v>838</v>
      </c>
      <c r="C4373" s="2" t="s">
        <v>820</v>
      </c>
      <c r="D4373" s="2" t="s">
        <v>1173</v>
      </c>
    </row>
    <row r="4374">
      <c r="A4374" s="8">
        <v>46200.529770486115</v>
      </c>
      <c r="B4374" s="2" t="s">
        <v>832</v>
      </c>
      <c r="C4374" s="2"/>
      <c r="D4374" s="2" t="s">
        <v>1097</v>
      </c>
    </row>
    <row r="4375">
      <c r="A4375" s="8">
        <v>46200.52983451389</v>
      </c>
      <c r="B4375" s="2" t="s">
        <v>892</v>
      </c>
      <c r="C4375" s="2"/>
      <c r="D4375" s="2" t="s">
        <v>1149</v>
      </c>
    </row>
    <row r="4376">
      <c r="A4376" s="8">
        <v>46200.52984693287</v>
      </c>
      <c r="B4376" s="2" t="s">
        <v>991</v>
      </c>
      <c r="C4376" s="2" t="s">
        <v>534</v>
      </c>
      <c r="D4376" s="2" t="s">
        <v>1179</v>
      </c>
    </row>
    <row r="4377">
      <c r="A4377" s="8">
        <v>46200.52984915509</v>
      </c>
      <c r="B4377" s="2" t="s">
        <v>894</v>
      </c>
      <c r="C4377" s="2"/>
      <c r="D4377" s="2" t="s">
        <v>1162</v>
      </c>
    </row>
    <row r="4378">
      <c r="A4378" s="8">
        <v>46200.571435081016</v>
      </c>
      <c r="B4378" s="2" t="s">
        <v>834</v>
      </c>
      <c r="C4378" s="2" t="s">
        <v>1123</v>
      </c>
      <c r="D4378" s="2" t="s">
        <v>1166</v>
      </c>
    </row>
    <row r="4379">
      <c r="A4379" s="8">
        <v>46200.5714375463</v>
      </c>
      <c r="B4379" s="2" t="s">
        <v>798</v>
      </c>
      <c r="C4379" s="2" t="s">
        <v>799</v>
      </c>
      <c r="D4379" s="2" t="s">
        <v>800</v>
      </c>
    </row>
    <row r="4380">
      <c r="A4380" s="8">
        <v>46200.57144155093</v>
      </c>
      <c r="B4380" s="2" t="s">
        <v>838</v>
      </c>
      <c r="C4380" s="2" t="s">
        <v>820</v>
      </c>
      <c r="D4380" s="2" t="s">
        <v>1173</v>
      </c>
    </row>
    <row r="4381">
      <c r="A4381" s="8">
        <v>46200.57145966435</v>
      </c>
      <c r="B4381" s="2" t="s">
        <v>832</v>
      </c>
      <c r="C4381" s="2"/>
      <c r="D4381" s="2" t="s">
        <v>1097</v>
      </c>
    </row>
    <row r="4382">
      <c r="A4382" s="8">
        <v>46200.57153936343</v>
      </c>
      <c r="B4382" s="2" t="s">
        <v>892</v>
      </c>
      <c r="C4382" s="2"/>
      <c r="D4382" s="2" t="s">
        <v>1149</v>
      </c>
    </row>
    <row r="4383">
      <c r="A4383" s="8">
        <v>46200.5715617824</v>
      </c>
      <c r="B4383" s="2" t="s">
        <v>894</v>
      </c>
      <c r="C4383" s="2"/>
      <c r="D4383" s="2" t="s">
        <v>1156</v>
      </c>
    </row>
    <row r="4384">
      <c r="A4384" s="8">
        <v>46200.613112164356</v>
      </c>
      <c r="B4384" s="2" t="s">
        <v>834</v>
      </c>
      <c r="C4384" s="2" t="s">
        <v>1123</v>
      </c>
      <c r="D4384" s="2" t="s">
        <v>1166</v>
      </c>
    </row>
    <row r="4385">
      <c r="A4385" s="8">
        <v>46200.61311489584</v>
      </c>
      <c r="B4385" s="2" t="s">
        <v>798</v>
      </c>
      <c r="C4385" s="2" t="s">
        <v>799</v>
      </c>
      <c r="D4385" s="2" t="s">
        <v>800</v>
      </c>
    </row>
    <row r="4386">
      <c r="A4386" s="8">
        <v>46200.613124791664</v>
      </c>
      <c r="B4386" s="2" t="s">
        <v>991</v>
      </c>
      <c r="C4386" s="2" t="s">
        <v>848</v>
      </c>
      <c r="D4386" s="2" t="s">
        <v>1001</v>
      </c>
    </row>
    <row r="4387">
      <c r="A4387" s="8">
        <v>46200.61313556713</v>
      </c>
      <c r="B4387" s="2" t="s">
        <v>838</v>
      </c>
      <c r="C4387" s="2" t="s">
        <v>820</v>
      </c>
      <c r="D4387" s="2" t="s">
        <v>1173</v>
      </c>
    </row>
    <row r="4388">
      <c r="A4388" s="8">
        <v>46200.61313950231</v>
      </c>
      <c r="B4388" s="2" t="s">
        <v>832</v>
      </c>
      <c r="C4388" s="2"/>
      <c r="D4388" s="2" t="s">
        <v>1106</v>
      </c>
    </row>
    <row r="4389">
      <c r="A4389" s="8">
        <v>46200.613205497684</v>
      </c>
      <c r="B4389" s="2" t="s">
        <v>892</v>
      </c>
      <c r="C4389" s="2"/>
      <c r="D4389" s="2" t="s">
        <v>1149</v>
      </c>
    </row>
    <row r="4390">
      <c r="A4390" s="8">
        <v>46200.61323538194</v>
      </c>
      <c r="B4390" s="2" t="s">
        <v>991</v>
      </c>
      <c r="C4390" s="2" t="s">
        <v>574</v>
      </c>
      <c r="D4390" s="2" t="s">
        <v>1047</v>
      </c>
    </row>
    <row r="4391">
      <c r="A4391" s="8">
        <v>46200.61323791667</v>
      </c>
      <c r="B4391" s="2" t="s">
        <v>894</v>
      </c>
      <c r="C4391" s="2"/>
      <c r="D4391" s="2" t="s">
        <v>1162</v>
      </c>
    </row>
    <row r="4392">
      <c r="A4392" s="8">
        <v>46200.65476993055</v>
      </c>
      <c r="B4392" s="2" t="s">
        <v>834</v>
      </c>
      <c r="C4392" s="2" t="s">
        <v>1123</v>
      </c>
      <c r="D4392" s="2" t="s">
        <v>1166</v>
      </c>
    </row>
    <row r="4393">
      <c r="A4393" s="8">
        <v>46200.654773125</v>
      </c>
      <c r="B4393" s="2" t="s">
        <v>798</v>
      </c>
      <c r="C4393" s="2" t="s">
        <v>799</v>
      </c>
      <c r="D4393" s="2" t="s">
        <v>800</v>
      </c>
    </row>
    <row r="4394">
      <c r="A4394" s="8">
        <v>46200.65477770833</v>
      </c>
      <c r="B4394" s="2" t="s">
        <v>838</v>
      </c>
      <c r="C4394" s="2" t="s">
        <v>820</v>
      </c>
      <c r="D4394" s="2" t="s">
        <v>1173</v>
      </c>
    </row>
    <row r="4395">
      <c r="A4395" s="8">
        <v>46200.6547937963</v>
      </c>
      <c r="B4395" s="2" t="s">
        <v>832</v>
      </c>
      <c r="C4395" s="2"/>
      <c r="D4395" s="2" t="s">
        <v>1097</v>
      </c>
    </row>
    <row r="4396">
      <c r="A4396" s="8">
        <v>46200.65486258102</v>
      </c>
      <c r="B4396" s="2" t="s">
        <v>892</v>
      </c>
      <c r="C4396" s="2"/>
      <c r="D4396" s="2" t="s">
        <v>1149</v>
      </c>
    </row>
    <row r="4397">
      <c r="A4397" s="8">
        <v>46200.6548909375</v>
      </c>
      <c r="B4397" s="2" t="s">
        <v>894</v>
      </c>
      <c r="C4397" s="2"/>
      <c r="D4397" s="2" t="s">
        <v>1156</v>
      </c>
    </row>
    <row r="4398">
      <c r="A4398" s="8">
        <v>46200.696430393524</v>
      </c>
      <c r="B4398" s="2" t="s">
        <v>834</v>
      </c>
      <c r="C4398" s="2" t="s">
        <v>1123</v>
      </c>
      <c r="D4398" s="2" t="s">
        <v>1166</v>
      </c>
    </row>
    <row r="4399">
      <c r="A4399" s="8">
        <v>46200.69643267361</v>
      </c>
      <c r="B4399" s="2" t="s">
        <v>798</v>
      </c>
      <c r="C4399" s="2" t="s">
        <v>799</v>
      </c>
      <c r="D4399" s="2" t="s">
        <v>800</v>
      </c>
    </row>
    <row r="4400">
      <c r="A4400" s="8">
        <v>46200.69643564815</v>
      </c>
      <c r="B4400" s="2" t="s">
        <v>838</v>
      </c>
      <c r="C4400" s="2" t="s">
        <v>820</v>
      </c>
      <c r="D4400" s="2" t="s">
        <v>1173</v>
      </c>
    </row>
    <row r="4401">
      <c r="A4401" s="8">
        <v>46200.69645103009</v>
      </c>
      <c r="B4401" s="2" t="s">
        <v>832</v>
      </c>
      <c r="C4401" s="2"/>
      <c r="D4401" s="2" t="s">
        <v>1097</v>
      </c>
    </row>
    <row r="4402">
      <c r="A4402" s="8">
        <v>46200.696506168984</v>
      </c>
      <c r="B4402" s="2" t="s">
        <v>892</v>
      </c>
      <c r="C4402" s="2"/>
      <c r="D4402" s="2" t="s">
        <v>1149</v>
      </c>
    </row>
    <row r="4403">
      <c r="A4403" s="8">
        <v>46200.696519247686</v>
      </c>
      <c r="B4403" s="2" t="s">
        <v>894</v>
      </c>
      <c r="C4403" s="2"/>
      <c r="D4403" s="2" t="s">
        <v>1156</v>
      </c>
    </row>
    <row r="4404">
      <c r="A4404" s="8">
        <v>46200.738119131944</v>
      </c>
      <c r="B4404" s="2" t="s">
        <v>834</v>
      </c>
      <c r="C4404" s="2" t="s">
        <v>1123</v>
      </c>
      <c r="D4404" s="2" t="s">
        <v>1166</v>
      </c>
    </row>
    <row r="4405">
      <c r="A4405" s="8">
        <v>46200.738121898146</v>
      </c>
      <c r="B4405" s="2" t="s">
        <v>798</v>
      </c>
      <c r="C4405" s="2" t="s">
        <v>799</v>
      </c>
      <c r="D4405" s="2" t="s">
        <v>800</v>
      </c>
    </row>
    <row r="4406">
      <c r="A4406" s="8">
        <v>46200.738126689816</v>
      </c>
      <c r="B4406" s="2" t="s">
        <v>838</v>
      </c>
      <c r="C4406" s="2" t="s">
        <v>820</v>
      </c>
      <c r="D4406" s="2" t="s">
        <v>1173</v>
      </c>
    </row>
    <row r="4407">
      <c r="A4407" s="8">
        <v>46200.738145208335</v>
      </c>
      <c r="B4407" s="2" t="s">
        <v>832</v>
      </c>
      <c r="C4407" s="2"/>
      <c r="D4407" s="2" t="s">
        <v>1097</v>
      </c>
    </row>
    <row r="4408">
      <c r="A4408" s="8">
        <v>46200.73821797453</v>
      </c>
      <c r="B4408" s="2" t="s">
        <v>892</v>
      </c>
      <c r="C4408" s="2"/>
      <c r="D4408" s="2" t="s">
        <v>1149</v>
      </c>
    </row>
    <row r="4409">
      <c r="A4409" s="8">
        <v>46200.73824980324</v>
      </c>
      <c r="B4409" s="2" t="s">
        <v>894</v>
      </c>
      <c r="C4409" s="2"/>
      <c r="D4409" s="2" t="s">
        <v>1156</v>
      </c>
    </row>
    <row r="4410">
      <c r="A4410" s="8">
        <v>46200.7722659838</v>
      </c>
      <c r="B4410" s="2" t="s">
        <v>789</v>
      </c>
      <c r="C4410" s="2"/>
      <c r="D4410" s="2" t="s">
        <v>1094</v>
      </c>
    </row>
    <row r="4411">
      <c r="A4411" s="8">
        <v>46200.779774386574</v>
      </c>
      <c r="B4411" s="2" t="s">
        <v>834</v>
      </c>
      <c r="C4411" s="2" t="s">
        <v>1123</v>
      </c>
      <c r="D4411" s="2" t="s">
        <v>1166</v>
      </c>
    </row>
    <row r="4412">
      <c r="A4412" s="8">
        <v>46200.77978030093</v>
      </c>
      <c r="B4412" s="2" t="s">
        <v>798</v>
      </c>
      <c r="C4412" s="2" t="s">
        <v>799</v>
      </c>
      <c r="D4412" s="2" t="s">
        <v>800</v>
      </c>
    </row>
    <row r="4413">
      <c r="A4413" s="8">
        <v>46200.7797862963</v>
      </c>
      <c r="B4413" s="2" t="s">
        <v>838</v>
      </c>
      <c r="C4413" s="2" t="s">
        <v>820</v>
      </c>
      <c r="D4413" s="2" t="s">
        <v>1173</v>
      </c>
    </row>
    <row r="4414">
      <c r="A4414" s="8">
        <v>46200.77979027778</v>
      </c>
      <c r="B4414" s="2" t="s">
        <v>832</v>
      </c>
      <c r="C4414" s="2"/>
      <c r="D4414" s="2" t="s">
        <v>1097</v>
      </c>
    </row>
    <row r="4415">
      <c r="A4415" s="8">
        <v>46200.77986972222</v>
      </c>
      <c r="B4415" s="2" t="s">
        <v>892</v>
      </c>
      <c r="C4415" s="2"/>
      <c r="D4415" s="2" t="s">
        <v>1149</v>
      </c>
    </row>
    <row r="4416">
      <c r="A4416" s="8">
        <v>46200.77989465278</v>
      </c>
      <c r="B4416" s="2" t="s">
        <v>894</v>
      </c>
      <c r="C4416" s="2"/>
      <c r="D4416" s="2" t="s">
        <v>1156</v>
      </c>
    </row>
    <row r="4417">
      <c r="A4417" s="8">
        <v>46200.82142636574</v>
      </c>
      <c r="B4417" s="2" t="s">
        <v>834</v>
      </c>
      <c r="C4417" s="2" t="s">
        <v>1123</v>
      </c>
      <c r="D4417" s="2" t="s">
        <v>1166</v>
      </c>
    </row>
    <row r="4418">
      <c r="A4418" s="8">
        <v>46200.821429710646</v>
      </c>
      <c r="B4418" s="2" t="s">
        <v>798</v>
      </c>
      <c r="C4418" s="2" t="s">
        <v>799</v>
      </c>
      <c r="D4418" s="2" t="s">
        <v>800</v>
      </c>
    </row>
    <row r="4419">
      <c r="A4419" s="8">
        <v>46200.82143327546</v>
      </c>
      <c r="B4419" s="2" t="s">
        <v>838</v>
      </c>
      <c r="C4419" s="2" t="s">
        <v>820</v>
      </c>
      <c r="D4419" s="2" t="s">
        <v>1173</v>
      </c>
    </row>
    <row r="4420">
      <c r="A4420" s="8">
        <v>46200.82145094908</v>
      </c>
      <c r="B4420" s="2" t="s">
        <v>832</v>
      </c>
      <c r="C4420" s="2"/>
      <c r="D4420" s="2" t="s">
        <v>1097</v>
      </c>
    </row>
    <row r="4421">
      <c r="A4421" s="8">
        <v>46200.821516412034</v>
      </c>
      <c r="B4421" s="2" t="s">
        <v>892</v>
      </c>
      <c r="C4421" s="2"/>
      <c r="D4421" s="2" t="s">
        <v>1149</v>
      </c>
    </row>
    <row r="4422">
      <c r="A4422" s="8">
        <v>46200.82153199074</v>
      </c>
      <c r="B4422" s="2" t="s">
        <v>894</v>
      </c>
      <c r="C4422" s="2"/>
      <c r="D4422" s="2" t="s">
        <v>1156</v>
      </c>
    </row>
    <row r="4423">
      <c r="A4423" s="8">
        <v>46200.86311297453</v>
      </c>
      <c r="B4423" s="2" t="s">
        <v>834</v>
      </c>
      <c r="C4423" s="2" t="s">
        <v>1123</v>
      </c>
      <c r="D4423" s="2" t="s">
        <v>1166</v>
      </c>
    </row>
    <row r="4424">
      <c r="A4424" s="8">
        <v>46200.86311550926</v>
      </c>
      <c r="B4424" s="2" t="s">
        <v>798</v>
      </c>
      <c r="C4424" s="2" t="s">
        <v>799</v>
      </c>
      <c r="D4424" s="2" t="s">
        <v>800</v>
      </c>
    </row>
    <row r="4425">
      <c r="A4425" s="8">
        <v>46200.863121574075</v>
      </c>
      <c r="B4425" s="2" t="s">
        <v>838</v>
      </c>
      <c r="C4425" s="2" t="s">
        <v>820</v>
      </c>
      <c r="D4425" s="2" t="s">
        <v>1173</v>
      </c>
    </row>
    <row r="4426">
      <c r="A4426" s="8">
        <v>46200.863133611114</v>
      </c>
      <c r="B4426" s="2" t="s">
        <v>832</v>
      </c>
      <c r="C4426" s="2"/>
      <c r="D4426" s="2" t="s">
        <v>1097</v>
      </c>
    </row>
    <row r="4427">
      <c r="A4427" s="8">
        <v>46200.86319420139</v>
      </c>
      <c r="B4427" s="2" t="s">
        <v>892</v>
      </c>
      <c r="C4427" s="2"/>
      <c r="D4427" s="2" t="s">
        <v>1149</v>
      </c>
    </row>
    <row r="4428">
      <c r="A4428" s="8">
        <v>46200.863210497686</v>
      </c>
      <c r="B4428" s="2" t="s">
        <v>894</v>
      </c>
      <c r="C4428" s="2"/>
      <c r="D4428" s="2" t="s">
        <v>1156</v>
      </c>
    </row>
    <row r="4429">
      <c r="A4429" s="8">
        <v>46200.90478134259</v>
      </c>
      <c r="B4429" s="2" t="s">
        <v>834</v>
      </c>
      <c r="C4429" s="2" t="s">
        <v>1123</v>
      </c>
      <c r="D4429" s="2" t="s">
        <v>1166</v>
      </c>
    </row>
    <row r="4430">
      <c r="A4430" s="8">
        <v>46200.904784768514</v>
      </c>
      <c r="B4430" s="2" t="s">
        <v>798</v>
      </c>
      <c r="C4430" s="2" t="s">
        <v>799</v>
      </c>
      <c r="D4430" s="2" t="s">
        <v>800</v>
      </c>
    </row>
    <row r="4431">
      <c r="A4431" s="8">
        <v>46200.90479006944</v>
      </c>
      <c r="B4431" s="2" t="s">
        <v>838</v>
      </c>
      <c r="C4431" s="2" t="s">
        <v>820</v>
      </c>
      <c r="D4431" s="2" t="s">
        <v>1173</v>
      </c>
    </row>
    <row r="4432">
      <c r="A4432" s="8">
        <v>46200.90480804398</v>
      </c>
      <c r="B4432" s="2" t="s">
        <v>832</v>
      </c>
      <c r="C4432" s="2"/>
      <c r="D4432" s="2" t="s">
        <v>1097</v>
      </c>
    </row>
    <row r="4433">
      <c r="A4433" s="8">
        <v>46200.904875810185</v>
      </c>
      <c r="B4433" s="2" t="s">
        <v>892</v>
      </c>
      <c r="C4433" s="2"/>
      <c r="D4433" s="2" t="s">
        <v>1149</v>
      </c>
    </row>
    <row r="4434">
      <c r="A4434" s="8">
        <v>46200.90490494213</v>
      </c>
      <c r="B4434" s="2" t="s">
        <v>894</v>
      </c>
      <c r="C4434" s="2"/>
      <c r="D4434" s="2" t="s">
        <v>1156</v>
      </c>
    </row>
    <row r="4435">
      <c r="A4435" s="8">
        <v>46200.91715203704</v>
      </c>
      <c r="B4435" s="2" t="s">
        <v>863</v>
      </c>
      <c r="C4435" s="2"/>
      <c r="D4435" s="2" t="s">
        <v>1180</v>
      </c>
    </row>
    <row r="4436">
      <c r="A4436" s="8">
        <v>46200.94642912037</v>
      </c>
      <c r="B4436" s="2" t="s">
        <v>834</v>
      </c>
      <c r="C4436" s="2" t="s">
        <v>1123</v>
      </c>
      <c r="D4436" s="2" t="s">
        <v>1166</v>
      </c>
    </row>
    <row r="4437">
      <c r="A4437" s="8">
        <v>46200.94643203703</v>
      </c>
      <c r="B4437" s="2" t="s">
        <v>798</v>
      </c>
      <c r="C4437" s="2" t="s">
        <v>799</v>
      </c>
      <c r="D4437" s="2" t="s">
        <v>800</v>
      </c>
    </row>
    <row r="4438">
      <c r="A4438" s="8">
        <v>46200.946435405094</v>
      </c>
      <c r="B4438" s="2" t="s">
        <v>838</v>
      </c>
      <c r="C4438" s="2" t="s">
        <v>820</v>
      </c>
      <c r="D4438" s="2" t="s">
        <v>1173</v>
      </c>
    </row>
    <row r="4439">
      <c r="A4439" s="8">
        <v>46200.94645083333</v>
      </c>
      <c r="B4439" s="2" t="s">
        <v>832</v>
      </c>
      <c r="C4439" s="2"/>
      <c r="D4439" s="2" t="s">
        <v>1097</v>
      </c>
    </row>
    <row r="4440">
      <c r="A4440" s="8">
        <v>46200.946505659726</v>
      </c>
      <c r="B4440" s="2" t="s">
        <v>892</v>
      </c>
      <c r="C4440" s="2"/>
      <c r="D4440" s="2" t="s">
        <v>1149</v>
      </c>
    </row>
    <row r="4441">
      <c r="A4441" s="8">
        <v>46200.94652195602</v>
      </c>
      <c r="B4441" s="2" t="s">
        <v>894</v>
      </c>
      <c r="C4441" s="2"/>
      <c r="D4441" s="2" t="s">
        <v>1156</v>
      </c>
    </row>
    <row r="4442">
      <c r="A4442" s="8">
        <v>46200.988102233794</v>
      </c>
      <c r="B4442" s="2" t="s">
        <v>834</v>
      </c>
      <c r="C4442" s="2" t="s">
        <v>1123</v>
      </c>
      <c r="D4442" s="2" t="s">
        <v>1166</v>
      </c>
    </row>
    <row r="4443">
      <c r="A4443" s="8">
        <v>46200.98810520834</v>
      </c>
      <c r="B4443" s="2" t="s">
        <v>798</v>
      </c>
      <c r="C4443" s="2" t="s">
        <v>799</v>
      </c>
      <c r="D4443" s="2" t="s">
        <v>800</v>
      </c>
    </row>
    <row r="4444">
      <c r="A4444" s="8">
        <v>46200.9881140625</v>
      </c>
      <c r="B4444" s="2" t="s">
        <v>838</v>
      </c>
      <c r="C4444" s="2" t="s">
        <v>820</v>
      </c>
      <c r="D4444" s="2" t="s">
        <v>1173</v>
      </c>
    </row>
    <row r="4445">
      <c r="A4445" s="8">
        <v>46200.988128310186</v>
      </c>
      <c r="B4445" s="2" t="s">
        <v>832</v>
      </c>
      <c r="C4445" s="2"/>
      <c r="D4445" s="2" t="s">
        <v>1097</v>
      </c>
    </row>
    <row r="4446">
      <c r="A4446" s="8">
        <v>46200.98818605324</v>
      </c>
      <c r="B4446" s="2" t="s">
        <v>892</v>
      </c>
      <c r="C4446" s="2"/>
      <c r="D4446" s="2" t="s">
        <v>1149</v>
      </c>
    </row>
    <row r="4447">
      <c r="A4447" s="8">
        <v>46200.98821743055</v>
      </c>
      <c r="B4447" s="2" t="s">
        <v>894</v>
      </c>
      <c r="C4447" s="2"/>
      <c r="D4447" s="2" t="s">
        <v>1156</v>
      </c>
    </row>
    <row r="4448">
      <c r="A4448" s="8">
        <v>46201.02978978009</v>
      </c>
      <c r="B4448" s="2" t="s">
        <v>834</v>
      </c>
      <c r="C4448" s="2" t="s">
        <v>1123</v>
      </c>
      <c r="D4448" s="2" t="s">
        <v>1166</v>
      </c>
    </row>
    <row r="4449">
      <c r="A4449" s="8">
        <v>46201.029794166665</v>
      </c>
      <c r="B4449" s="2" t="s">
        <v>798</v>
      </c>
      <c r="C4449" s="2" t="s">
        <v>799</v>
      </c>
      <c r="D4449" s="2" t="s">
        <v>800</v>
      </c>
    </row>
    <row r="4450">
      <c r="A4450" s="8">
        <v>46201.02980069444</v>
      </c>
      <c r="B4450" s="2" t="s">
        <v>838</v>
      </c>
      <c r="C4450" s="2" t="s">
        <v>820</v>
      </c>
      <c r="D4450" s="2" t="s">
        <v>1173</v>
      </c>
    </row>
    <row r="4451">
      <c r="A4451" s="8">
        <v>46201.029815092596</v>
      </c>
      <c r="B4451" s="2" t="s">
        <v>832</v>
      </c>
      <c r="C4451" s="2"/>
      <c r="D4451" s="2" t="s">
        <v>1097</v>
      </c>
    </row>
    <row r="4452">
      <c r="A4452" s="8">
        <v>46201.02989313657</v>
      </c>
      <c r="B4452" s="2" t="s">
        <v>892</v>
      </c>
      <c r="C4452" s="2"/>
      <c r="D4452" s="2" t="s">
        <v>1149</v>
      </c>
    </row>
    <row r="4453">
      <c r="A4453" s="8">
        <v>46201.02992734953</v>
      </c>
      <c r="B4453" s="2" t="s">
        <v>894</v>
      </c>
      <c r="C4453" s="2"/>
      <c r="D4453" s="2" t="s">
        <v>1156</v>
      </c>
    </row>
    <row r="4454">
      <c r="A4454" s="8">
        <v>46201.07145524306</v>
      </c>
      <c r="B4454" s="2" t="s">
        <v>834</v>
      </c>
      <c r="C4454" s="2" t="s">
        <v>1123</v>
      </c>
      <c r="D4454" s="2" t="s">
        <v>1166</v>
      </c>
    </row>
    <row r="4455">
      <c r="A4455" s="8">
        <v>46201.071458391205</v>
      </c>
      <c r="B4455" s="2" t="s">
        <v>798</v>
      </c>
      <c r="C4455" s="2" t="s">
        <v>799</v>
      </c>
      <c r="D4455" s="2" t="s">
        <v>800</v>
      </c>
    </row>
    <row r="4456">
      <c r="A4456" s="8">
        <v>46201.07146409722</v>
      </c>
      <c r="B4456" s="2" t="s">
        <v>838</v>
      </c>
      <c r="C4456" s="2" t="s">
        <v>820</v>
      </c>
      <c r="D4456" s="2" t="s">
        <v>1173</v>
      </c>
    </row>
    <row r="4457">
      <c r="A4457" s="8">
        <v>46201.07146972222</v>
      </c>
      <c r="B4457" s="2" t="s">
        <v>832</v>
      </c>
      <c r="C4457" s="2"/>
      <c r="D4457" s="2" t="s">
        <v>1097</v>
      </c>
    </row>
    <row r="4458">
      <c r="A4458" s="8">
        <v>46201.07155208333</v>
      </c>
      <c r="B4458" s="2" t="s">
        <v>892</v>
      </c>
      <c r="C4458" s="2"/>
      <c r="D4458" s="2" t="s">
        <v>1149</v>
      </c>
    </row>
    <row r="4459">
      <c r="A4459" s="8">
        <v>46201.07158200232</v>
      </c>
      <c r="B4459" s="2" t="s">
        <v>894</v>
      </c>
      <c r="C4459" s="2"/>
      <c r="D4459" s="2" t="s">
        <v>1156</v>
      </c>
    </row>
    <row r="4460">
      <c r="A4460" s="8">
        <v>46201.11309489583</v>
      </c>
      <c r="B4460" s="2" t="s">
        <v>834</v>
      </c>
      <c r="C4460" s="2" t="s">
        <v>1123</v>
      </c>
      <c r="D4460" s="2" t="s">
        <v>1166</v>
      </c>
    </row>
    <row r="4461">
      <c r="A4461" s="8">
        <v>46201.11309753472</v>
      </c>
      <c r="B4461" s="2" t="s">
        <v>798</v>
      </c>
      <c r="C4461" s="2" t="s">
        <v>799</v>
      </c>
      <c r="D4461" s="2" t="s">
        <v>800</v>
      </c>
    </row>
    <row r="4462">
      <c r="A4462" s="8">
        <v>46201.11310033565</v>
      </c>
      <c r="B4462" s="2" t="s">
        <v>838</v>
      </c>
      <c r="C4462" s="2" t="s">
        <v>820</v>
      </c>
      <c r="D4462" s="2" t="s">
        <v>1173</v>
      </c>
    </row>
    <row r="4463">
      <c r="A4463" s="8">
        <v>46201.113103055555</v>
      </c>
      <c r="B4463" s="2" t="s">
        <v>832</v>
      </c>
      <c r="C4463" s="2"/>
      <c r="D4463" s="2" t="s">
        <v>1097</v>
      </c>
    </row>
    <row r="4464">
      <c r="A4464" s="8">
        <v>46201.11317048611</v>
      </c>
      <c r="B4464" s="2" t="s">
        <v>892</v>
      </c>
      <c r="C4464" s="2"/>
      <c r="D4464" s="2" t="s">
        <v>1149</v>
      </c>
    </row>
    <row r="4465">
      <c r="A4465" s="8">
        <v>46201.11319150463</v>
      </c>
      <c r="B4465" s="2" t="s">
        <v>894</v>
      </c>
      <c r="C4465" s="2"/>
      <c r="D4465" s="2" t="s">
        <v>1156</v>
      </c>
    </row>
    <row r="4466">
      <c r="A4466" s="8">
        <v>46201.15476657407</v>
      </c>
      <c r="B4466" s="2" t="s">
        <v>834</v>
      </c>
      <c r="C4466" s="2" t="s">
        <v>1123</v>
      </c>
      <c r="D4466" s="2" t="s">
        <v>1166</v>
      </c>
    </row>
    <row r="4467">
      <c r="A4467" s="8">
        <v>46201.154769189816</v>
      </c>
      <c r="B4467" s="2" t="s">
        <v>798</v>
      </c>
      <c r="C4467" s="2" t="s">
        <v>799</v>
      </c>
      <c r="D4467" s="2" t="s">
        <v>800</v>
      </c>
    </row>
    <row r="4468">
      <c r="A4468" s="8">
        <v>46201.154774490744</v>
      </c>
      <c r="B4468" s="2" t="s">
        <v>838</v>
      </c>
      <c r="C4468" s="2" t="s">
        <v>820</v>
      </c>
      <c r="D4468" s="2" t="s">
        <v>1173</v>
      </c>
    </row>
    <row r="4469">
      <c r="A4469" s="8">
        <v>46201.15479173611</v>
      </c>
      <c r="B4469" s="2" t="s">
        <v>832</v>
      </c>
      <c r="C4469" s="2"/>
      <c r="D4469" s="2" t="s">
        <v>1097</v>
      </c>
    </row>
    <row r="4470">
      <c r="A4470" s="8">
        <v>46201.15485577546</v>
      </c>
      <c r="B4470" s="2" t="s">
        <v>892</v>
      </c>
      <c r="C4470" s="2"/>
      <c r="D4470" s="2" t="s">
        <v>1149</v>
      </c>
    </row>
    <row r="4471">
      <c r="A4471" s="8">
        <v>46201.15487280092</v>
      </c>
      <c r="B4471" s="2" t="s">
        <v>991</v>
      </c>
      <c r="C4471" s="2" t="s">
        <v>509</v>
      </c>
      <c r="D4471" s="2" t="s">
        <v>1181</v>
      </c>
    </row>
    <row r="4472">
      <c r="A4472" s="8">
        <v>46201.15488768519</v>
      </c>
      <c r="B4472" s="2" t="s">
        <v>894</v>
      </c>
      <c r="C4472" s="2"/>
      <c r="D4472" s="2" t="s">
        <v>1162</v>
      </c>
    </row>
    <row r="4473">
      <c r="A4473" s="8">
        <v>46201.19642634259</v>
      </c>
      <c r="B4473" s="2" t="s">
        <v>834</v>
      </c>
      <c r="C4473" s="2" t="s">
        <v>794</v>
      </c>
      <c r="D4473" s="2" t="s">
        <v>1182</v>
      </c>
    </row>
    <row r="4474">
      <c r="A4474" s="8">
        <v>46201.19643310185</v>
      </c>
      <c r="B4474" s="2" t="s">
        <v>844</v>
      </c>
      <c r="C4474" s="2" t="s">
        <v>794</v>
      </c>
      <c r="D4474" s="2" t="s">
        <v>968</v>
      </c>
    </row>
    <row r="4475">
      <c r="A4475" s="8">
        <v>46201.19645203704</v>
      </c>
      <c r="B4475" s="2" t="s">
        <v>834</v>
      </c>
      <c r="C4475" s="2" t="s">
        <v>1123</v>
      </c>
      <c r="D4475" s="2" t="s">
        <v>1166</v>
      </c>
    </row>
    <row r="4476">
      <c r="A4476" s="8">
        <v>46201.19645415509</v>
      </c>
      <c r="B4476" s="2" t="s">
        <v>798</v>
      </c>
      <c r="C4476" s="2" t="s">
        <v>799</v>
      </c>
      <c r="D4476" s="2" t="s">
        <v>800</v>
      </c>
    </row>
    <row r="4477">
      <c r="A4477" s="8">
        <v>46201.19645658565</v>
      </c>
      <c r="B4477" s="2" t="s">
        <v>838</v>
      </c>
      <c r="C4477" s="2" t="s">
        <v>820</v>
      </c>
      <c r="D4477" s="2" t="s">
        <v>1173</v>
      </c>
    </row>
    <row r="4478">
      <c r="A4478" s="8">
        <v>46201.19645899306</v>
      </c>
      <c r="B4478" s="2" t="s">
        <v>832</v>
      </c>
      <c r="C4478" s="2"/>
      <c r="D4478" s="2" t="s">
        <v>1096</v>
      </c>
    </row>
    <row r="4479">
      <c r="A4479" s="8">
        <v>46201.196519351855</v>
      </c>
      <c r="B4479" s="2" t="s">
        <v>892</v>
      </c>
      <c r="C4479" s="2"/>
      <c r="D4479" s="2" t="s">
        <v>1149</v>
      </c>
    </row>
    <row r="4480">
      <c r="A4480" s="8">
        <v>46201.19653331018</v>
      </c>
      <c r="B4480" s="2" t="s">
        <v>894</v>
      </c>
      <c r="C4480" s="2"/>
      <c r="D4480" s="2" t="s">
        <v>1156</v>
      </c>
    </row>
    <row r="4481">
      <c r="A4481" s="8">
        <v>46201.23809895833</v>
      </c>
      <c r="B4481" s="2" t="s">
        <v>834</v>
      </c>
      <c r="C4481" s="2" t="s">
        <v>794</v>
      </c>
      <c r="D4481" s="2" t="s">
        <v>1182</v>
      </c>
    </row>
    <row r="4482">
      <c r="A4482" s="8">
        <v>46201.23810387732</v>
      </c>
      <c r="B4482" s="2" t="s">
        <v>834</v>
      </c>
      <c r="C4482" s="2" t="s">
        <v>1123</v>
      </c>
      <c r="D4482" s="2" t="s">
        <v>1166</v>
      </c>
    </row>
    <row r="4483">
      <c r="A4483" s="8">
        <v>46201.2381062037</v>
      </c>
      <c r="B4483" s="2" t="s">
        <v>798</v>
      </c>
      <c r="C4483" s="2" t="s">
        <v>799</v>
      </c>
      <c r="D4483" s="2" t="s">
        <v>800</v>
      </c>
    </row>
    <row r="4484">
      <c r="A4484" s="8">
        <v>46201.238109247686</v>
      </c>
      <c r="B4484" s="2" t="s">
        <v>838</v>
      </c>
      <c r="C4484" s="2" t="s">
        <v>820</v>
      </c>
      <c r="D4484" s="2" t="s">
        <v>1173</v>
      </c>
    </row>
    <row r="4485">
      <c r="A4485" s="8">
        <v>46201.23812512732</v>
      </c>
      <c r="B4485" s="2" t="s">
        <v>832</v>
      </c>
      <c r="C4485" s="2"/>
      <c r="D4485" s="2" t="s">
        <v>1097</v>
      </c>
    </row>
    <row r="4486">
      <c r="A4486" s="8">
        <v>46201.23818292824</v>
      </c>
      <c r="B4486" s="2" t="s">
        <v>892</v>
      </c>
      <c r="C4486" s="2"/>
      <c r="D4486" s="2" t="s">
        <v>1149</v>
      </c>
    </row>
    <row r="4487">
      <c r="A4487" s="8">
        <v>46201.23820515047</v>
      </c>
      <c r="B4487" s="2" t="s">
        <v>894</v>
      </c>
      <c r="C4487" s="2"/>
      <c r="D4487" s="2" t="s">
        <v>1156</v>
      </c>
    </row>
    <row r="4488">
      <c r="A4488" s="8">
        <v>46201.279759745375</v>
      </c>
      <c r="B4488" s="2" t="s">
        <v>834</v>
      </c>
      <c r="C4488" s="2" t="s">
        <v>794</v>
      </c>
      <c r="D4488" s="2" t="s">
        <v>1182</v>
      </c>
    </row>
    <row r="4489">
      <c r="A4489" s="8">
        <v>46201.27976222222</v>
      </c>
      <c r="B4489" s="2" t="s">
        <v>834</v>
      </c>
      <c r="C4489" s="2" t="s">
        <v>1123</v>
      </c>
      <c r="D4489" s="2" t="s">
        <v>1166</v>
      </c>
    </row>
    <row r="4490">
      <c r="A4490" s="8">
        <v>46201.279764085644</v>
      </c>
      <c r="B4490" s="2" t="s">
        <v>798</v>
      </c>
      <c r="C4490" s="2" t="s">
        <v>799</v>
      </c>
      <c r="D4490" s="2" t="s">
        <v>800</v>
      </c>
    </row>
    <row r="4491">
      <c r="A4491" s="8">
        <v>46201.27976708333</v>
      </c>
      <c r="B4491" s="2" t="s">
        <v>838</v>
      </c>
      <c r="C4491" s="2" t="s">
        <v>820</v>
      </c>
      <c r="D4491" s="2" t="s">
        <v>1173</v>
      </c>
    </row>
    <row r="4492">
      <c r="A4492" s="8">
        <v>46201.279781516205</v>
      </c>
      <c r="B4492" s="2" t="s">
        <v>832</v>
      </c>
      <c r="C4492" s="2"/>
      <c r="D4492" s="2" t="s">
        <v>1097</v>
      </c>
    </row>
    <row r="4493">
      <c r="A4493" s="8">
        <v>46201.279835775465</v>
      </c>
      <c r="B4493" s="2" t="s">
        <v>892</v>
      </c>
      <c r="C4493" s="2"/>
      <c r="D4493" s="2" t="s">
        <v>1149</v>
      </c>
    </row>
    <row r="4494">
      <c r="A4494" s="8">
        <v>46201.27985387731</v>
      </c>
      <c r="B4494" s="2" t="s">
        <v>894</v>
      </c>
      <c r="C4494" s="2"/>
      <c r="D4494" s="2" t="s">
        <v>1156</v>
      </c>
    </row>
    <row r="4495">
      <c r="A4495" s="8">
        <v>46201.32146755787</v>
      </c>
      <c r="B4495" s="2" t="s">
        <v>834</v>
      </c>
      <c r="C4495" s="2" t="s">
        <v>794</v>
      </c>
      <c r="D4495" s="2" t="s">
        <v>1182</v>
      </c>
    </row>
    <row r="4496">
      <c r="A4496" s="8">
        <v>46201.321471724536</v>
      </c>
      <c r="B4496" s="2" t="s">
        <v>834</v>
      </c>
      <c r="C4496" s="2" t="s">
        <v>1123</v>
      </c>
      <c r="D4496" s="2" t="s">
        <v>1166</v>
      </c>
    </row>
    <row r="4497">
      <c r="A4497" s="8">
        <v>46201.32147915509</v>
      </c>
      <c r="B4497" s="2" t="s">
        <v>798</v>
      </c>
      <c r="C4497" s="2" t="s">
        <v>799</v>
      </c>
      <c r="D4497" s="2" t="s">
        <v>800</v>
      </c>
    </row>
    <row r="4498">
      <c r="A4498" s="8">
        <v>46201.32149498843</v>
      </c>
      <c r="B4498" s="2" t="s">
        <v>838</v>
      </c>
      <c r="C4498" s="2" t="s">
        <v>820</v>
      </c>
      <c r="D4498" s="2" t="s">
        <v>1173</v>
      </c>
    </row>
    <row r="4499">
      <c r="A4499" s="8">
        <v>46201.32149973379</v>
      </c>
      <c r="B4499" s="2" t="s">
        <v>832</v>
      </c>
      <c r="C4499" s="2"/>
      <c r="D4499" s="2" t="s">
        <v>1097</v>
      </c>
    </row>
    <row r="4500">
      <c r="A4500" s="8">
        <v>46201.32158246527</v>
      </c>
      <c r="B4500" s="2" t="s">
        <v>892</v>
      </c>
      <c r="C4500" s="2"/>
      <c r="D4500" s="2" t="s">
        <v>1149</v>
      </c>
    </row>
    <row r="4501">
      <c r="A4501" s="8">
        <v>46201.321622337964</v>
      </c>
      <c r="B4501" s="2" t="s">
        <v>894</v>
      </c>
      <c r="C4501" s="2"/>
      <c r="D4501" s="2" t="s">
        <v>1156</v>
      </c>
    </row>
    <row r="4502">
      <c r="A4502" s="8">
        <v>46201.363104386575</v>
      </c>
      <c r="B4502" s="2" t="s">
        <v>834</v>
      </c>
      <c r="C4502" s="2" t="s">
        <v>794</v>
      </c>
      <c r="D4502" s="2" t="s">
        <v>1182</v>
      </c>
    </row>
    <row r="4503">
      <c r="A4503" s="8">
        <v>46201.36310822917</v>
      </c>
      <c r="B4503" s="2" t="s">
        <v>834</v>
      </c>
      <c r="C4503" s="2" t="s">
        <v>1123</v>
      </c>
      <c r="D4503" s="2" t="s">
        <v>1166</v>
      </c>
    </row>
    <row r="4504">
      <c r="A4504" s="8">
        <v>46201.36311310185</v>
      </c>
      <c r="B4504" s="2" t="s">
        <v>798</v>
      </c>
      <c r="C4504" s="2" t="s">
        <v>799</v>
      </c>
      <c r="D4504" s="2" t="s">
        <v>800</v>
      </c>
    </row>
    <row r="4505">
      <c r="A4505" s="8">
        <v>46201.36311690972</v>
      </c>
      <c r="B4505" s="2" t="s">
        <v>838</v>
      </c>
      <c r="C4505" s="2" t="s">
        <v>820</v>
      </c>
      <c r="D4505" s="2" t="s">
        <v>1173</v>
      </c>
    </row>
    <row r="4506">
      <c r="A4506" s="8">
        <v>46201.36313633102</v>
      </c>
      <c r="B4506" s="2" t="s">
        <v>844</v>
      </c>
      <c r="C4506" s="2" t="s">
        <v>822</v>
      </c>
      <c r="D4506" s="2" t="s">
        <v>1183</v>
      </c>
    </row>
    <row r="4507">
      <c r="A4507" s="8">
        <v>46201.36314354167</v>
      </c>
      <c r="B4507" s="2" t="s">
        <v>832</v>
      </c>
      <c r="C4507" s="2"/>
      <c r="D4507" s="2" t="s">
        <v>1096</v>
      </c>
    </row>
    <row r="4508">
      <c r="A4508" s="8">
        <v>46201.36320766204</v>
      </c>
      <c r="B4508" s="2" t="s">
        <v>892</v>
      </c>
      <c r="C4508" s="2"/>
      <c r="D4508" s="2" t="s">
        <v>1149</v>
      </c>
    </row>
    <row r="4509">
      <c r="A4509" s="8">
        <v>46201.363230347226</v>
      </c>
      <c r="B4509" s="2" t="s">
        <v>894</v>
      </c>
      <c r="C4509" s="2"/>
      <c r="D4509" s="2" t="s">
        <v>1156</v>
      </c>
    </row>
    <row r="4510">
      <c r="A4510" s="8">
        <v>46201.4048137963</v>
      </c>
      <c r="B4510" s="2" t="s">
        <v>834</v>
      </c>
      <c r="C4510" s="2" t="s">
        <v>794</v>
      </c>
      <c r="D4510" s="2" t="s">
        <v>1182</v>
      </c>
    </row>
    <row r="4511">
      <c r="A4511" s="8">
        <v>46201.40482074074</v>
      </c>
      <c r="B4511" s="2" t="s">
        <v>834</v>
      </c>
      <c r="C4511" s="2" t="s">
        <v>1123</v>
      </c>
      <c r="D4511" s="2" t="s">
        <v>1166</v>
      </c>
    </row>
    <row r="4512">
      <c r="A4512" s="8">
        <v>46201.404827986116</v>
      </c>
      <c r="B4512" s="2" t="s">
        <v>798</v>
      </c>
      <c r="C4512" s="2" t="s">
        <v>799</v>
      </c>
      <c r="D4512" s="2" t="s">
        <v>800</v>
      </c>
    </row>
    <row r="4513">
      <c r="A4513" s="8">
        <v>46201.40484238426</v>
      </c>
      <c r="B4513" s="2" t="s">
        <v>838</v>
      </c>
      <c r="C4513" s="2" t="s">
        <v>820</v>
      </c>
      <c r="D4513" s="2" t="s">
        <v>1173</v>
      </c>
    </row>
    <row r="4514">
      <c r="A4514" s="8">
        <v>46201.40485222222</v>
      </c>
      <c r="B4514" s="2" t="s">
        <v>832</v>
      </c>
      <c r="C4514" s="2"/>
      <c r="D4514" s="2" t="s">
        <v>1097</v>
      </c>
    </row>
    <row r="4515">
      <c r="A4515" s="8">
        <v>46201.40497912037</v>
      </c>
      <c r="B4515" s="2" t="s">
        <v>892</v>
      </c>
      <c r="C4515" s="2"/>
      <c r="D4515" s="2" t="s">
        <v>1149</v>
      </c>
    </row>
    <row r="4516">
      <c r="A4516" s="8">
        <v>46201.40503850694</v>
      </c>
      <c r="B4516" s="2" t="s">
        <v>894</v>
      </c>
      <c r="C4516" s="2"/>
      <c r="D4516" s="2" t="s">
        <v>1156</v>
      </c>
    </row>
    <row r="4517">
      <c r="A4517" s="8">
        <v>46201.44648454861</v>
      </c>
      <c r="B4517" s="2" t="s">
        <v>834</v>
      </c>
      <c r="C4517" s="2" t="s">
        <v>794</v>
      </c>
      <c r="D4517" s="2" t="s">
        <v>1182</v>
      </c>
    </row>
    <row r="4518">
      <c r="A4518" s="8">
        <v>46201.44649003472</v>
      </c>
      <c r="B4518" s="2" t="s">
        <v>834</v>
      </c>
      <c r="C4518" s="2" t="s">
        <v>1123</v>
      </c>
      <c r="D4518" s="2" t="s">
        <v>1166</v>
      </c>
    </row>
    <row r="4519">
      <c r="A4519" s="8">
        <v>46201.44649452546</v>
      </c>
      <c r="B4519" s="2" t="s">
        <v>798</v>
      </c>
      <c r="C4519" s="2" t="s">
        <v>799</v>
      </c>
      <c r="D4519" s="2" t="s">
        <v>800</v>
      </c>
    </row>
    <row r="4520">
      <c r="A4520" s="8">
        <v>46201.44650362269</v>
      </c>
      <c r="B4520" s="2" t="s">
        <v>838</v>
      </c>
      <c r="C4520" s="2" t="s">
        <v>820</v>
      </c>
      <c r="D4520" s="2" t="s">
        <v>1173</v>
      </c>
    </row>
    <row r="4521">
      <c r="A4521" s="8">
        <v>46201.44651875</v>
      </c>
      <c r="B4521" s="2" t="s">
        <v>832</v>
      </c>
      <c r="C4521" s="2"/>
      <c r="D4521" s="2" t="s">
        <v>1097</v>
      </c>
    </row>
    <row r="4522">
      <c r="A4522" s="8">
        <v>46201.446623923606</v>
      </c>
      <c r="B4522" s="2" t="s">
        <v>892</v>
      </c>
      <c r="C4522" s="2"/>
      <c r="D4522" s="2" t="s">
        <v>1149</v>
      </c>
    </row>
    <row r="4523">
      <c r="A4523" s="8">
        <v>46201.446671365746</v>
      </c>
      <c r="B4523" s="2" t="s">
        <v>894</v>
      </c>
      <c r="C4523" s="2"/>
      <c r="D4523" s="2" t="s">
        <v>1156</v>
      </c>
    </row>
    <row r="4524">
      <c r="A4524" s="8">
        <v>46201.48818864583</v>
      </c>
      <c r="B4524" s="2" t="s">
        <v>834</v>
      </c>
      <c r="C4524" s="2" t="s">
        <v>794</v>
      </c>
      <c r="D4524" s="2" t="s">
        <v>1182</v>
      </c>
    </row>
    <row r="4525">
      <c r="A4525" s="8">
        <v>46201.48819364583</v>
      </c>
      <c r="B4525" s="2" t="s">
        <v>834</v>
      </c>
      <c r="C4525" s="2" t="s">
        <v>1123</v>
      </c>
      <c r="D4525" s="2" t="s">
        <v>1166</v>
      </c>
    </row>
    <row r="4526">
      <c r="A4526" s="8">
        <v>46201.48819960648</v>
      </c>
      <c r="B4526" s="2" t="s">
        <v>798</v>
      </c>
      <c r="C4526" s="2" t="s">
        <v>799</v>
      </c>
      <c r="D4526" s="2" t="s">
        <v>800</v>
      </c>
    </row>
    <row r="4527">
      <c r="A4527" s="8">
        <v>46201.4882171412</v>
      </c>
      <c r="B4527" s="2" t="s">
        <v>838</v>
      </c>
      <c r="C4527" s="2" t="s">
        <v>820</v>
      </c>
      <c r="D4527" s="2" t="s">
        <v>1173</v>
      </c>
    </row>
    <row r="4528">
      <c r="A4528" s="8">
        <v>46201.48823341435</v>
      </c>
      <c r="B4528" s="2" t="s">
        <v>991</v>
      </c>
      <c r="C4528" s="2" t="s">
        <v>826</v>
      </c>
      <c r="D4528" s="2" t="s">
        <v>1006</v>
      </c>
    </row>
    <row r="4529">
      <c r="A4529" s="8">
        <v>46201.488244016204</v>
      </c>
      <c r="B4529" s="2" t="s">
        <v>832</v>
      </c>
      <c r="C4529" s="2"/>
      <c r="D4529" s="2" t="s">
        <v>1106</v>
      </c>
    </row>
    <row r="4530">
      <c r="A4530" s="8">
        <v>46201.48839028935</v>
      </c>
      <c r="B4530" s="2" t="s">
        <v>892</v>
      </c>
      <c r="C4530" s="2"/>
      <c r="D4530" s="2" t="s">
        <v>1149</v>
      </c>
    </row>
    <row r="4531">
      <c r="A4531" s="8">
        <v>46201.48846165509</v>
      </c>
      <c r="B4531" s="2" t="s">
        <v>894</v>
      </c>
      <c r="C4531" s="2"/>
      <c r="D4531" s="2" t="s">
        <v>1156</v>
      </c>
    </row>
    <row r="4532">
      <c r="A4532" s="8">
        <v>46201.529787638894</v>
      </c>
      <c r="B4532" s="2" t="s">
        <v>834</v>
      </c>
      <c r="C4532" s="2" t="s">
        <v>794</v>
      </c>
      <c r="D4532" s="2" t="s">
        <v>1182</v>
      </c>
    </row>
    <row r="4533">
      <c r="A4533" s="8">
        <v>46201.52979170139</v>
      </c>
      <c r="B4533" s="2" t="s">
        <v>834</v>
      </c>
      <c r="C4533" s="2" t="s">
        <v>1123</v>
      </c>
      <c r="D4533" s="2" t="s">
        <v>1166</v>
      </c>
    </row>
    <row r="4534">
      <c r="A4534" s="8">
        <v>46201.52979606482</v>
      </c>
      <c r="B4534" s="2" t="s">
        <v>798</v>
      </c>
      <c r="C4534" s="2" t="s">
        <v>799</v>
      </c>
      <c r="D4534" s="2" t="s">
        <v>800</v>
      </c>
    </row>
    <row r="4535">
      <c r="A4535" s="8">
        <v>46201.529813553236</v>
      </c>
      <c r="B4535" s="2" t="s">
        <v>838</v>
      </c>
      <c r="C4535" s="2" t="s">
        <v>820</v>
      </c>
      <c r="D4535" s="2" t="s">
        <v>1173</v>
      </c>
    </row>
    <row r="4536">
      <c r="A4536" s="8">
        <v>46201.52982376158</v>
      </c>
      <c r="B4536" s="2" t="s">
        <v>832</v>
      </c>
      <c r="C4536" s="2"/>
      <c r="D4536" s="2" t="s">
        <v>1097</v>
      </c>
    </row>
    <row r="4537">
      <c r="A4537" s="8">
        <v>46201.52990228009</v>
      </c>
      <c r="B4537" s="2" t="s">
        <v>892</v>
      </c>
      <c r="C4537" s="2"/>
      <c r="D4537" s="2" t="s">
        <v>1149</v>
      </c>
    </row>
    <row r="4538">
      <c r="A4538" s="8">
        <v>46201.52993737269</v>
      </c>
      <c r="B4538" s="2" t="s">
        <v>894</v>
      </c>
      <c r="C4538" s="2"/>
      <c r="D4538" s="2" t="s">
        <v>1156</v>
      </c>
    </row>
    <row r="4539">
      <c r="A4539" s="8">
        <v>46201.57143309028</v>
      </c>
      <c r="B4539" s="2" t="s">
        <v>834</v>
      </c>
      <c r="C4539" s="2" t="s">
        <v>794</v>
      </c>
      <c r="D4539" s="2" t="s">
        <v>1182</v>
      </c>
    </row>
    <row r="4540">
      <c r="A4540" s="8">
        <v>46201.571436087965</v>
      </c>
      <c r="B4540" s="2" t="s">
        <v>834</v>
      </c>
      <c r="C4540" s="2" t="s">
        <v>1123</v>
      </c>
      <c r="D4540" s="2" t="s">
        <v>1166</v>
      </c>
    </row>
    <row r="4541">
      <c r="A4541" s="8">
        <v>46201.571438495375</v>
      </c>
      <c r="B4541" s="2" t="s">
        <v>798</v>
      </c>
      <c r="C4541" s="2" t="s">
        <v>799</v>
      </c>
      <c r="D4541" s="2" t="s">
        <v>800</v>
      </c>
    </row>
    <row r="4542">
      <c r="A4542" s="8">
        <v>46201.57145472222</v>
      </c>
      <c r="B4542" s="2" t="s">
        <v>838</v>
      </c>
      <c r="C4542" s="2" t="s">
        <v>820</v>
      </c>
      <c r="D4542" s="2" t="s">
        <v>1173</v>
      </c>
    </row>
    <row r="4543">
      <c r="A4543" s="8">
        <v>46201.57145693287</v>
      </c>
      <c r="B4543" s="2" t="s">
        <v>832</v>
      </c>
      <c r="C4543" s="2"/>
      <c r="D4543" s="2" t="s">
        <v>1097</v>
      </c>
    </row>
    <row r="4544">
      <c r="A4544" s="8">
        <v>46201.571523182865</v>
      </c>
      <c r="B4544" s="2" t="s">
        <v>892</v>
      </c>
      <c r="C4544" s="2"/>
      <c r="D4544" s="2" t="s">
        <v>1149</v>
      </c>
    </row>
    <row r="4545">
      <c r="A4545" s="8">
        <v>46201.571539490746</v>
      </c>
      <c r="B4545" s="2" t="s">
        <v>991</v>
      </c>
      <c r="C4545" s="2" t="s">
        <v>574</v>
      </c>
      <c r="D4545" s="2" t="s">
        <v>1181</v>
      </c>
    </row>
    <row r="4546">
      <c r="A4546" s="8">
        <v>46201.57155028935</v>
      </c>
      <c r="B4546" s="2" t="s">
        <v>844</v>
      </c>
      <c r="C4546" s="2" t="s">
        <v>702</v>
      </c>
      <c r="D4546" s="2" t="s">
        <v>1066</v>
      </c>
    </row>
    <row r="4547">
      <c r="A4547" s="8">
        <v>46201.57155496528</v>
      </c>
      <c r="B4547" s="2" t="s">
        <v>894</v>
      </c>
      <c r="C4547" s="2"/>
      <c r="D4547" s="2" t="s">
        <v>1178</v>
      </c>
    </row>
    <row r="4548">
      <c r="A4548" s="8">
        <v>46201.61310498843</v>
      </c>
      <c r="B4548" s="2" t="s">
        <v>834</v>
      </c>
      <c r="C4548" s="2" t="s">
        <v>794</v>
      </c>
      <c r="D4548" s="2" t="s">
        <v>1182</v>
      </c>
    </row>
    <row r="4549">
      <c r="A4549" s="8">
        <v>46201.61310725694</v>
      </c>
      <c r="B4549" s="2" t="s">
        <v>834</v>
      </c>
      <c r="C4549" s="2" t="s">
        <v>1123</v>
      </c>
      <c r="D4549" s="2" t="s">
        <v>1166</v>
      </c>
    </row>
    <row r="4550">
      <c r="A4550" s="8">
        <v>46201.61310944444</v>
      </c>
      <c r="B4550" s="2" t="s">
        <v>798</v>
      </c>
      <c r="C4550" s="2" t="s">
        <v>799</v>
      </c>
      <c r="D4550" s="2" t="s">
        <v>800</v>
      </c>
    </row>
    <row r="4551">
      <c r="A4551" s="8">
        <v>46201.6131133912</v>
      </c>
      <c r="B4551" s="2" t="s">
        <v>838</v>
      </c>
      <c r="C4551" s="2" t="s">
        <v>820</v>
      </c>
      <c r="D4551" s="2" t="s">
        <v>1173</v>
      </c>
    </row>
    <row r="4552">
      <c r="A4552" s="8">
        <v>46201.61313024306</v>
      </c>
      <c r="B4552" s="2" t="s">
        <v>832</v>
      </c>
      <c r="C4552" s="2"/>
      <c r="D4552" s="2" t="s">
        <v>1097</v>
      </c>
    </row>
    <row r="4553">
      <c r="A4553" s="8">
        <v>46201.61319177083</v>
      </c>
      <c r="B4553" s="2" t="s">
        <v>892</v>
      </c>
      <c r="C4553" s="2"/>
      <c r="D4553" s="2" t="s">
        <v>1149</v>
      </c>
    </row>
    <row r="4554">
      <c r="A4554" s="8">
        <v>46201.61321260416</v>
      </c>
      <c r="B4554" s="2" t="s">
        <v>844</v>
      </c>
      <c r="C4554" s="2" t="s">
        <v>702</v>
      </c>
      <c r="D4554" s="2" t="s">
        <v>1069</v>
      </c>
    </row>
    <row r="4555">
      <c r="A4555" s="8">
        <v>46201.61321715278</v>
      </c>
      <c r="B4555" s="2" t="s">
        <v>894</v>
      </c>
      <c r="C4555" s="2"/>
      <c r="D4555" s="2" t="s">
        <v>1165</v>
      </c>
    </row>
    <row r="4556">
      <c r="A4556" s="8">
        <v>46201.65476238426</v>
      </c>
      <c r="B4556" s="2" t="s">
        <v>834</v>
      </c>
      <c r="C4556" s="2" t="s">
        <v>794</v>
      </c>
      <c r="D4556" s="2" t="s">
        <v>1182</v>
      </c>
    </row>
    <row r="4557">
      <c r="A4557" s="8">
        <v>46201.654765625004</v>
      </c>
      <c r="B4557" s="2" t="s">
        <v>834</v>
      </c>
      <c r="C4557" s="2" t="s">
        <v>1123</v>
      </c>
      <c r="D4557" s="2" t="s">
        <v>1166</v>
      </c>
    </row>
    <row r="4558">
      <c r="A4558" s="8">
        <v>46201.65477011574</v>
      </c>
      <c r="B4558" s="2" t="s">
        <v>798</v>
      </c>
      <c r="C4558" s="2" t="s">
        <v>799</v>
      </c>
      <c r="D4558" s="2" t="s">
        <v>800</v>
      </c>
    </row>
    <row r="4559">
      <c r="A4559" s="8">
        <v>46201.65478488426</v>
      </c>
      <c r="B4559" s="2" t="s">
        <v>838</v>
      </c>
      <c r="C4559" s="2" t="s">
        <v>820</v>
      </c>
      <c r="D4559" s="2" t="s">
        <v>1173</v>
      </c>
    </row>
    <row r="4560">
      <c r="A4560" s="8">
        <v>46201.6547884375</v>
      </c>
      <c r="B4560" s="2" t="s">
        <v>832</v>
      </c>
      <c r="C4560" s="2"/>
      <c r="D4560" s="2" t="s">
        <v>1097</v>
      </c>
    </row>
    <row r="4561">
      <c r="A4561" s="8">
        <v>46201.65484944444</v>
      </c>
      <c r="B4561" s="2" t="s">
        <v>892</v>
      </c>
      <c r="C4561" s="2"/>
      <c r="D4561" s="2" t="s">
        <v>1149</v>
      </c>
    </row>
    <row r="4562">
      <c r="A4562" s="8">
        <v>46201.654871990744</v>
      </c>
      <c r="B4562" s="2" t="s">
        <v>894</v>
      </c>
      <c r="C4562" s="2"/>
      <c r="D4562" s="2" t="s">
        <v>1156</v>
      </c>
    </row>
    <row r="4563">
      <c r="A4563" s="8">
        <v>46201.69643523148</v>
      </c>
      <c r="B4563" s="2" t="s">
        <v>834</v>
      </c>
      <c r="C4563" s="2" t="s">
        <v>794</v>
      </c>
      <c r="D4563" s="2" t="s">
        <v>1182</v>
      </c>
    </row>
    <row r="4564">
      <c r="A4564" s="8">
        <v>46201.69643862269</v>
      </c>
      <c r="B4564" s="2" t="s">
        <v>834</v>
      </c>
      <c r="C4564" s="2" t="s">
        <v>1123</v>
      </c>
      <c r="D4564" s="2" t="s">
        <v>1166</v>
      </c>
    </row>
    <row r="4565">
      <c r="A4565" s="8">
        <v>46201.696440960644</v>
      </c>
      <c r="B4565" s="2" t="s">
        <v>798</v>
      </c>
      <c r="C4565" s="2" t="s">
        <v>799</v>
      </c>
      <c r="D4565" s="2" t="s">
        <v>800</v>
      </c>
    </row>
    <row r="4566">
      <c r="A4566" s="8">
        <v>46201.69644458333</v>
      </c>
      <c r="B4566" s="2" t="s">
        <v>838</v>
      </c>
      <c r="C4566" s="2" t="s">
        <v>820</v>
      </c>
      <c r="D4566" s="2" t="s">
        <v>1173</v>
      </c>
    </row>
    <row r="4567">
      <c r="A4567" s="8">
        <v>46201.696464305554</v>
      </c>
      <c r="B4567" s="2" t="s">
        <v>832</v>
      </c>
      <c r="C4567" s="2"/>
      <c r="D4567" s="2" t="s">
        <v>1097</v>
      </c>
    </row>
    <row r="4568">
      <c r="A4568" s="8">
        <v>46201.696520682875</v>
      </c>
      <c r="B4568" s="2" t="s">
        <v>892</v>
      </c>
      <c r="C4568" s="2"/>
      <c r="D4568" s="2" t="s">
        <v>1149</v>
      </c>
    </row>
    <row r="4569">
      <c r="A4569" s="8">
        <v>46201.696537627315</v>
      </c>
      <c r="B4569" s="2" t="s">
        <v>894</v>
      </c>
      <c r="C4569" s="2"/>
      <c r="D4569" s="2" t="s">
        <v>1156</v>
      </c>
    </row>
    <row r="4570">
      <c r="A4570" s="8">
        <v>46201.73810478009</v>
      </c>
      <c r="B4570" s="2" t="s">
        <v>834</v>
      </c>
      <c r="C4570" s="2" t="s">
        <v>794</v>
      </c>
      <c r="D4570" s="2" t="s">
        <v>1182</v>
      </c>
    </row>
    <row r="4571">
      <c r="A4571" s="8">
        <v>46201.73811847222</v>
      </c>
      <c r="B4571" s="2" t="s">
        <v>834</v>
      </c>
      <c r="C4571" s="2" t="s">
        <v>1123</v>
      </c>
      <c r="D4571" s="2" t="s">
        <v>1166</v>
      </c>
    </row>
    <row r="4572">
      <c r="A4572" s="8">
        <v>46201.73812219907</v>
      </c>
      <c r="B4572" s="2" t="s">
        <v>798</v>
      </c>
      <c r="C4572" s="2" t="s">
        <v>799</v>
      </c>
      <c r="D4572" s="2" t="s">
        <v>800</v>
      </c>
    </row>
    <row r="4573">
      <c r="A4573" s="8">
        <v>46201.738125289354</v>
      </c>
      <c r="B4573" s="2" t="s">
        <v>838</v>
      </c>
      <c r="C4573" s="2" t="s">
        <v>820</v>
      </c>
      <c r="D4573" s="2" t="s">
        <v>1173</v>
      </c>
    </row>
    <row r="4574">
      <c r="A4574" s="8">
        <v>46201.73814069445</v>
      </c>
      <c r="B4574" s="2" t="s">
        <v>832</v>
      </c>
      <c r="C4574" s="2"/>
      <c r="D4574" s="2" t="s">
        <v>1097</v>
      </c>
    </row>
    <row r="4575">
      <c r="A4575" s="8">
        <v>46201.73820704861</v>
      </c>
      <c r="B4575" s="2" t="s">
        <v>892</v>
      </c>
      <c r="C4575" s="2"/>
      <c r="D4575" s="2" t="s">
        <v>1149</v>
      </c>
    </row>
    <row r="4576">
      <c r="A4576" s="8">
        <v>46201.73823081018</v>
      </c>
      <c r="B4576" s="2" t="s">
        <v>894</v>
      </c>
      <c r="C4576" s="2"/>
      <c r="D4576" s="2" t="s">
        <v>1156</v>
      </c>
    </row>
    <row r="4577">
      <c r="A4577" s="8">
        <v>46201.77223768519</v>
      </c>
      <c r="B4577" s="2" t="s">
        <v>789</v>
      </c>
      <c r="C4577" s="2"/>
      <c r="D4577" s="2" t="s">
        <v>1094</v>
      </c>
    </row>
    <row r="4578">
      <c r="A4578" s="8">
        <v>46201.77975526621</v>
      </c>
      <c r="B4578" s="2" t="s">
        <v>834</v>
      </c>
      <c r="C4578" s="2" t="s">
        <v>794</v>
      </c>
      <c r="D4578" s="2" t="s">
        <v>1182</v>
      </c>
    </row>
    <row r="4579">
      <c r="A4579" s="8">
        <v>46201.779758275465</v>
      </c>
      <c r="B4579" s="2" t="s">
        <v>834</v>
      </c>
      <c r="C4579" s="2" t="s">
        <v>1123</v>
      </c>
      <c r="D4579" s="2" t="s">
        <v>1166</v>
      </c>
    </row>
    <row r="4580">
      <c r="A4580" s="8">
        <v>46201.77976143519</v>
      </c>
      <c r="B4580" s="2" t="s">
        <v>798</v>
      </c>
      <c r="C4580" s="2" t="s">
        <v>799</v>
      </c>
      <c r="D4580" s="2" t="s">
        <v>800</v>
      </c>
    </row>
    <row r="4581">
      <c r="A4581" s="8">
        <v>46201.77977673611</v>
      </c>
      <c r="B4581" s="2" t="s">
        <v>838</v>
      </c>
      <c r="C4581" s="2" t="s">
        <v>820</v>
      </c>
      <c r="D4581" s="2" t="s">
        <v>1173</v>
      </c>
    </row>
    <row r="4582">
      <c r="A4582" s="8">
        <v>46201.77977984954</v>
      </c>
      <c r="B4582" s="2" t="s">
        <v>832</v>
      </c>
      <c r="C4582" s="2"/>
      <c r="D4582" s="2" t="s">
        <v>1097</v>
      </c>
    </row>
    <row r="4583">
      <c r="A4583" s="8">
        <v>46201.77983172453</v>
      </c>
      <c r="B4583" s="2" t="s">
        <v>892</v>
      </c>
      <c r="C4583" s="2"/>
      <c r="D4583" s="2" t="s">
        <v>1149</v>
      </c>
    </row>
    <row r="4584">
      <c r="A4584" s="8">
        <v>46201.779844467594</v>
      </c>
      <c r="B4584" s="2" t="s">
        <v>894</v>
      </c>
      <c r="C4584" s="2"/>
      <c r="D4584" s="2" t="s">
        <v>1156</v>
      </c>
    </row>
    <row r="4585">
      <c r="A4585" s="8">
        <v>46201.82145337963</v>
      </c>
      <c r="B4585" s="2" t="s">
        <v>834</v>
      </c>
      <c r="C4585" s="2" t="s">
        <v>794</v>
      </c>
      <c r="D4585" s="2" t="s">
        <v>1182</v>
      </c>
    </row>
    <row r="4586">
      <c r="A4586" s="8">
        <v>46201.82145736111</v>
      </c>
      <c r="B4586" s="2" t="s">
        <v>834</v>
      </c>
      <c r="C4586" s="2" t="s">
        <v>1123</v>
      </c>
      <c r="D4586" s="2" t="s">
        <v>1166</v>
      </c>
    </row>
    <row r="4587">
      <c r="A4587" s="8">
        <v>46201.82146060185</v>
      </c>
      <c r="B4587" s="2" t="s">
        <v>798</v>
      </c>
      <c r="C4587" s="2" t="s">
        <v>799</v>
      </c>
      <c r="D4587" s="2" t="s">
        <v>800</v>
      </c>
    </row>
    <row r="4588">
      <c r="A4588" s="8">
        <v>46201.82146417824</v>
      </c>
      <c r="B4588" s="2" t="s">
        <v>838</v>
      </c>
      <c r="C4588" s="2" t="s">
        <v>820</v>
      </c>
      <c r="D4588" s="2" t="s">
        <v>1173</v>
      </c>
    </row>
    <row r="4589">
      <c r="A4589" s="8">
        <v>46201.821486388886</v>
      </c>
      <c r="B4589" s="2" t="s">
        <v>832</v>
      </c>
      <c r="C4589" s="2"/>
      <c r="D4589" s="2" t="s">
        <v>1097</v>
      </c>
    </row>
    <row r="4590">
      <c r="A4590" s="8">
        <v>46201.8215625463</v>
      </c>
      <c r="B4590" s="2" t="s">
        <v>892</v>
      </c>
      <c r="C4590" s="2"/>
      <c r="D4590" s="2" t="s">
        <v>1149</v>
      </c>
    </row>
    <row r="4591">
      <c r="A4591" s="8">
        <v>46201.82158631945</v>
      </c>
      <c r="B4591" s="2" t="s">
        <v>894</v>
      </c>
      <c r="C4591" s="2"/>
      <c r="D4591" s="2" t="s">
        <v>1156</v>
      </c>
    </row>
    <row r="4592">
      <c r="A4592" s="8">
        <v>46201.86311135416</v>
      </c>
      <c r="B4592" s="2" t="s">
        <v>834</v>
      </c>
      <c r="C4592" s="2" t="s">
        <v>794</v>
      </c>
      <c r="D4592" s="2" t="s">
        <v>1182</v>
      </c>
    </row>
    <row r="4593">
      <c r="A4593" s="8">
        <v>46201.863115416665</v>
      </c>
      <c r="B4593" s="2" t="s">
        <v>834</v>
      </c>
      <c r="C4593" s="2" t="s">
        <v>1123</v>
      </c>
      <c r="D4593" s="2" t="s">
        <v>1166</v>
      </c>
    </row>
    <row r="4594">
      <c r="A4594" s="8">
        <v>46201.86312008102</v>
      </c>
      <c r="B4594" s="2" t="s">
        <v>798</v>
      </c>
      <c r="C4594" s="2" t="s">
        <v>799</v>
      </c>
      <c r="D4594" s="2" t="s">
        <v>800</v>
      </c>
    </row>
    <row r="4595">
      <c r="A4595" s="8">
        <v>46201.863138773144</v>
      </c>
      <c r="B4595" s="2" t="s">
        <v>838</v>
      </c>
      <c r="C4595" s="2" t="s">
        <v>820</v>
      </c>
      <c r="D4595" s="2" t="s">
        <v>1173</v>
      </c>
    </row>
    <row r="4596">
      <c r="A4596" s="8">
        <v>46201.86314297454</v>
      </c>
      <c r="B4596" s="2" t="s">
        <v>832</v>
      </c>
      <c r="C4596" s="2"/>
      <c r="D4596" s="2" t="s">
        <v>1097</v>
      </c>
    </row>
    <row r="4597">
      <c r="A4597" s="8">
        <v>46201.863208888884</v>
      </c>
      <c r="B4597" s="2" t="s">
        <v>892</v>
      </c>
      <c r="C4597" s="2"/>
      <c r="D4597" s="2" t="s">
        <v>1149</v>
      </c>
    </row>
    <row r="4598">
      <c r="A4598" s="8">
        <v>46201.8632299537</v>
      </c>
      <c r="B4598" s="2" t="s">
        <v>894</v>
      </c>
      <c r="C4598" s="2"/>
      <c r="D4598" s="2" t="s">
        <v>1156</v>
      </c>
    </row>
    <row r="4599">
      <c r="A4599" s="8">
        <v>46201.904768657405</v>
      </c>
      <c r="B4599" s="2" t="s">
        <v>834</v>
      </c>
      <c r="C4599" s="2" t="s">
        <v>794</v>
      </c>
      <c r="D4599" s="2" t="s">
        <v>1182</v>
      </c>
    </row>
    <row r="4600">
      <c r="A4600" s="8">
        <v>46201.90477180555</v>
      </c>
      <c r="B4600" s="2" t="s">
        <v>834</v>
      </c>
      <c r="C4600" s="2" t="s">
        <v>1123</v>
      </c>
      <c r="D4600" s="2" t="s">
        <v>1166</v>
      </c>
    </row>
    <row r="4601">
      <c r="A4601" s="8">
        <v>46201.90477503472</v>
      </c>
      <c r="B4601" s="2" t="s">
        <v>798</v>
      </c>
      <c r="C4601" s="2" t="s">
        <v>799</v>
      </c>
      <c r="D4601" s="2" t="s">
        <v>800</v>
      </c>
    </row>
    <row r="4602">
      <c r="A4602" s="8">
        <v>46201.90477877315</v>
      </c>
      <c r="B4602" s="2" t="s">
        <v>838</v>
      </c>
      <c r="C4602" s="2" t="s">
        <v>820</v>
      </c>
      <c r="D4602" s="2" t="s">
        <v>1173</v>
      </c>
    </row>
    <row r="4603">
      <c r="A4603" s="8">
        <v>46201.9047927662</v>
      </c>
      <c r="B4603" s="2" t="s">
        <v>832</v>
      </c>
      <c r="C4603" s="2"/>
      <c r="D4603" s="2" t="s">
        <v>1097</v>
      </c>
    </row>
    <row r="4604">
      <c r="A4604" s="8">
        <v>46201.90485304398</v>
      </c>
      <c r="B4604" s="2" t="s">
        <v>892</v>
      </c>
      <c r="C4604" s="2"/>
      <c r="D4604" s="2" t="s">
        <v>1149</v>
      </c>
    </row>
    <row r="4605">
      <c r="A4605" s="8">
        <v>46201.9048778588</v>
      </c>
      <c r="B4605" s="2" t="s">
        <v>894</v>
      </c>
      <c r="C4605" s="2"/>
      <c r="D4605" s="2" t="s">
        <v>1156</v>
      </c>
    </row>
    <row r="4606">
      <c r="A4606" s="8">
        <v>46201.91708377315</v>
      </c>
      <c r="B4606" s="2" t="s">
        <v>863</v>
      </c>
      <c r="C4606" s="2"/>
      <c r="D4606" s="2" t="s">
        <v>1184</v>
      </c>
    </row>
    <row r="4607">
      <c r="A4607" s="8">
        <v>46201.94643836806</v>
      </c>
      <c r="B4607" s="2" t="s">
        <v>834</v>
      </c>
      <c r="C4607" s="2" t="s">
        <v>794</v>
      </c>
      <c r="D4607" s="2" t="s">
        <v>1182</v>
      </c>
    </row>
    <row r="4608">
      <c r="A4608" s="8">
        <v>46201.94644114583</v>
      </c>
      <c r="B4608" s="2" t="s">
        <v>834</v>
      </c>
      <c r="C4608" s="2" t="s">
        <v>1123</v>
      </c>
      <c r="D4608" s="2" t="s">
        <v>1166</v>
      </c>
    </row>
    <row r="4609">
      <c r="A4609" s="8">
        <v>46201.94644385416</v>
      </c>
      <c r="B4609" s="2" t="s">
        <v>798</v>
      </c>
      <c r="C4609" s="2" t="s">
        <v>799</v>
      </c>
      <c r="D4609" s="2" t="s">
        <v>800</v>
      </c>
    </row>
    <row r="4610">
      <c r="A4610" s="8">
        <v>46201.94644837963</v>
      </c>
      <c r="B4610" s="2" t="s">
        <v>838</v>
      </c>
      <c r="C4610" s="2" t="s">
        <v>820</v>
      </c>
      <c r="D4610" s="2" t="s">
        <v>1173</v>
      </c>
    </row>
    <row r="4611">
      <c r="A4611" s="8">
        <v>46201.94646391204</v>
      </c>
      <c r="B4611" s="2" t="s">
        <v>832</v>
      </c>
      <c r="C4611" s="2"/>
      <c r="D4611" s="2" t="s">
        <v>1097</v>
      </c>
    </row>
    <row r="4612">
      <c r="A4612" s="8">
        <v>46201.94653273148</v>
      </c>
      <c r="B4612" s="2" t="s">
        <v>892</v>
      </c>
      <c r="C4612" s="2"/>
      <c r="D4612" s="2" t="s">
        <v>1149</v>
      </c>
    </row>
    <row r="4613">
      <c r="A4613" s="8">
        <v>46201.946558449075</v>
      </c>
      <c r="B4613" s="2" t="s">
        <v>894</v>
      </c>
      <c r="C4613" s="2"/>
      <c r="D4613" s="2" t="s">
        <v>1156</v>
      </c>
    </row>
    <row r="4614">
      <c r="A4614" s="8">
        <v>46201.98810394676</v>
      </c>
      <c r="B4614" s="2" t="s">
        <v>834</v>
      </c>
      <c r="C4614" s="2" t="s">
        <v>794</v>
      </c>
      <c r="D4614" s="2" t="s">
        <v>1182</v>
      </c>
    </row>
    <row r="4615">
      <c r="A4615" s="8">
        <v>46201.98810736111</v>
      </c>
      <c r="B4615" s="2" t="s">
        <v>834</v>
      </c>
      <c r="C4615" s="2" t="s">
        <v>1123</v>
      </c>
      <c r="D4615" s="2" t="s">
        <v>1166</v>
      </c>
    </row>
    <row r="4616">
      <c r="A4616" s="8">
        <v>46201.98811135416</v>
      </c>
      <c r="B4616" s="2" t="s">
        <v>798</v>
      </c>
      <c r="C4616" s="2" t="s">
        <v>799</v>
      </c>
      <c r="D4616" s="2" t="s">
        <v>800</v>
      </c>
    </row>
    <row r="4617">
      <c r="A4617" s="8">
        <v>46201.988133356484</v>
      </c>
      <c r="B4617" s="2" t="s">
        <v>838</v>
      </c>
      <c r="C4617" s="2" t="s">
        <v>820</v>
      </c>
      <c r="D4617" s="2" t="s">
        <v>1173</v>
      </c>
    </row>
    <row r="4618">
      <c r="A4618" s="8">
        <v>46201.98813591435</v>
      </c>
      <c r="B4618" s="2" t="s">
        <v>832</v>
      </c>
      <c r="C4618" s="2"/>
      <c r="D4618" s="2" t="s">
        <v>1097</v>
      </c>
    </row>
    <row r="4619">
      <c r="A4619" s="8">
        <v>46201.98820269676</v>
      </c>
      <c r="B4619" s="2" t="s">
        <v>892</v>
      </c>
      <c r="C4619" s="2"/>
      <c r="D4619" s="2" t="s">
        <v>1149</v>
      </c>
    </row>
    <row r="4620">
      <c r="A4620" s="8">
        <v>46201.9882216088</v>
      </c>
      <c r="B4620" s="2" t="s">
        <v>894</v>
      </c>
      <c r="C4620" s="2"/>
      <c r="D4620" s="2" t="s">
        <v>1156</v>
      </c>
    </row>
    <row r="4621">
      <c r="A4621" s="8">
        <v>46202.02978921296</v>
      </c>
      <c r="B4621" s="2" t="s">
        <v>834</v>
      </c>
      <c r="C4621" s="2" t="s">
        <v>794</v>
      </c>
      <c r="D4621" s="2" t="s">
        <v>1182</v>
      </c>
    </row>
    <row r="4622">
      <c r="A4622" s="8">
        <v>46202.02980103009</v>
      </c>
      <c r="B4622" s="2" t="s">
        <v>834</v>
      </c>
      <c r="C4622" s="2" t="s">
        <v>1123</v>
      </c>
      <c r="D4622" s="2" t="s">
        <v>1166</v>
      </c>
    </row>
    <row r="4623">
      <c r="A4623" s="8">
        <v>46202.029803854166</v>
      </c>
      <c r="B4623" s="2" t="s">
        <v>798</v>
      </c>
      <c r="C4623" s="2" t="s">
        <v>799</v>
      </c>
      <c r="D4623" s="2" t="s">
        <v>800</v>
      </c>
    </row>
    <row r="4624">
      <c r="A4624" s="8">
        <v>46202.02982090278</v>
      </c>
      <c r="B4624" s="2" t="s">
        <v>838</v>
      </c>
      <c r="C4624" s="2" t="s">
        <v>820</v>
      </c>
      <c r="D4624" s="2" t="s">
        <v>1173</v>
      </c>
    </row>
    <row r="4625">
      <c r="A4625" s="8">
        <v>46202.029823530094</v>
      </c>
      <c r="B4625" s="2" t="s">
        <v>832</v>
      </c>
      <c r="C4625" s="2"/>
      <c r="D4625" s="2" t="s">
        <v>1097</v>
      </c>
    </row>
    <row r="4626">
      <c r="A4626" s="8">
        <v>46202.02991079861</v>
      </c>
      <c r="B4626" s="2" t="s">
        <v>892</v>
      </c>
      <c r="C4626" s="2"/>
      <c r="D4626" s="2" t="s">
        <v>1149</v>
      </c>
    </row>
    <row r="4627">
      <c r="A4627" s="8">
        <v>46202.029931805555</v>
      </c>
      <c r="B4627" s="2" t="s">
        <v>894</v>
      </c>
      <c r="C4627" s="2"/>
      <c r="D4627" s="2" t="s">
        <v>1156</v>
      </c>
    </row>
    <row r="4628">
      <c r="A4628" s="8">
        <v>46202.07144321759</v>
      </c>
      <c r="B4628" s="2" t="s">
        <v>834</v>
      </c>
      <c r="C4628" s="2" t="s">
        <v>794</v>
      </c>
      <c r="D4628" s="2" t="s">
        <v>1182</v>
      </c>
    </row>
    <row r="4629">
      <c r="A4629" s="8">
        <v>46202.0714562037</v>
      </c>
      <c r="B4629" s="2" t="s">
        <v>834</v>
      </c>
      <c r="C4629" s="2" t="s">
        <v>1123</v>
      </c>
      <c r="D4629" s="2" t="s">
        <v>1166</v>
      </c>
    </row>
    <row r="4630">
      <c r="A4630" s="8">
        <v>46202.07147274306</v>
      </c>
      <c r="B4630" s="2" t="s">
        <v>798</v>
      </c>
      <c r="C4630" s="2" t="s">
        <v>799</v>
      </c>
      <c r="D4630" s="2" t="s">
        <v>800</v>
      </c>
    </row>
    <row r="4631">
      <c r="A4631" s="8">
        <v>46202.07147681713</v>
      </c>
      <c r="B4631" s="2" t="s">
        <v>838</v>
      </c>
      <c r="C4631" s="2" t="s">
        <v>820</v>
      </c>
      <c r="D4631" s="2" t="s">
        <v>1173</v>
      </c>
    </row>
    <row r="4632">
      <c r="A4632" s="8">
        <v>46202.07148107639</v>
      </c>
      <c r="B4632" s="2" t="s">
        <v>832</v>
      </c>
      <c r="C4632" s="2"/>
      <c r="D4632" s="2" t="s">
        <v>1097</v>
      </c>
    </row>
    <row r="4633">
      <c r="A4633" s="8">
        <v>46202.07154936343</v>
      </c>
      <c r="B4633" s="2" t="s">
        <v>892</v>
      </c>
      <c r="C4633" s="2"/>
      <c r="D4633" s="2" t="s">
        <v>1149</v>
      </c>
    </row>
    <row r="4634">
      <c r="A4634" s="8">
        <v>46202.0715821875</v>
      </c>
      <c r="B4634" s="2" t="s">
        <v>894</v>
      </c>
      <c r="C4634" s="2"/>
      <c r="D4634" s="2" t="s">
        <v>1156</v>
      </c>
    </row>
    <row r="4635">
      <c r="A4635" s="8">
        <v>46202.113130729165</v>
      </c>
      <c r="B4635" s="2" t="s">
        <v>834</v>
      </c>
      <c r="C4635" s="2" t="s">
        <v>794</v>
      </c>
      <c r="D4635" s="2" t="s">
        <v>1182</v>
      </c>
    </row>
    <row r="4636">
      <c r="A4636" s="8">
        <v>46202.113134942134</v>
      </c>
      <c r="B4636" s="2" t="s">
        <v>834</v>
      </c>
      <c r="C4636" s="2" t="s">
        <v>1123</v>
      </c>
      <c r="D4636" s="2" t="s">
        <v>1166</v>
      </c>
    </row>
    <row r="4637">
      <c r="A4637" s="8">
        <v>46202.113140381945</v>
      </c>
      <c r="B4637" s="2" t="s">
        <v>798</v>
      </c>
      <c r="C4637" s="2" t="s">
        <v>799</v>
      </c>
      <c r="D4637" s="2" t="s">
        <v>800</v>
      </c>
    </row>
    <row r="4638">
      <c r="A4638" s="8">
        <v>46202.113165347226</v>
      </c>
      <c r="B4638" s="2" t="s">
        <v>844</v>
      </c>
      <c r="C4638" s="2" t="s">
        <v>818</v>
      </c>
      <c r="D4638" s="2" t="s">
        <v>1176</v>
      </c>
    </row>
    <row r="4639">
      <c r="A4639" s="8">
        <v>46202.11317128473</v>
      </c>
      <c r="B4639" s="2" t="s">
        <v>838</v>
      </c>
      <c r="C4639" s="2" t="s">
        <v>820</v>
      </c>
      <c r="D4639" s="2" t="s">
        <v>1173</v>
      </c>
    </row>
    <row r="4640">
      <c r="A4640" s="8">
        <v>46202.113176307874</v>
      </c>
      <c r="B4640" s="2" t="s">
        <v>832</v>
      </c>
      <c r="C4640" s="2"/>
      <c r="D4640" s="2" t="s">
        <v>1096</v>
      </c>
    </row>
    <row r="4641">
      <c r="A4641" s="8">
        <v>46202.11326457176</v>
      </c>
      <c r="B4641" s="2" t="s">
        <v>892</v>
      </c>
      <c r="C4641" s="2"/>
      <c r="D4641" s="2" t="s">
        <v>1149</v>
      </c>
    </row>
    <row r="4642">
      <c r="A4642" s="8">
        <v>46202.1132974537</v>
      </c>
      <c r="B4642" s="2" t="s">
        <v>894</v>
      </c>
      <c r="C4642" s="2"/>
      <c r="D4642" s="2" t="s">
        <v>1156</v>
      </c>
    </row>
    <row r="4643">
      <c r="A4643" s="8">
        <v>46202.15477003472</v>
      </c>
      <c r="B4643" s="2" t="s">
        <v>834</v>
      </c>
      <c r="C4643" s="2" t="s">
        <v>794</v>
      </c>
      <c r="D4643" s="2" t="s">
        <v>1182</v>
      </c>
    </row>
    <row r="4644">
      <c r="A4644" s="8">
        <v>46202.15477767361</v>
      </c>
      <c r="B4644" s="2" t="s">
        <v>844</v>
      </c>
      <c r="C4644" s="2" t="s">
        <v>1123</v>
      </c>
      <c r="D4644" s="2" t="s">
        <v>1019</v>
      </c>
    </row>
    <row r="4645">
      <c r="A4645" s="8">
        <v>46202.154782604164</v>
      </c>
      <c r="B4645" s="2" t="s">
        <v>798</v>
      </c>
      <c r="C4645" s="2" t="s">
        <v>799</v>
      </c>
      <c r="D4645" s="2" t="s">
        <v>800</v>
      </c>
    </row>
    <row r="4646">
      <c r="A4646" s="8">
        <v>46202.154809872685</v>
      </c>
      <c r="B4646" s="2" t="s">
        <v>844</v>
      </c>
      <c r="C4646" s="2" t="s">
        <v>818</v>
      </c>
      <c r="D4646" s="2" t="s">
        <v>1135</v>
      </c>
    </row>
    <row r="4647">
      <c r="A4647" s="8">
        <v>46202.154814988426</v>
      </c>
      <c r="B4647" s="2" t="s">
        <v>838</v>
      </c>
      <c r="C4647" s="2" t="s">
        <v>820</v>
      </c>
      <c r="D4647" s="2" t="s">
        <v>1173</v>
      </c>
    </row>
    <row r="4648">
      <c r="A4648" s="8">
        <v>46202.15481826389</v>
      </c>
      <c r="B4648" s="2" t="s">
        <v>832</v>
      </c>
      <c r="C4648" s="2"/>
      <c r="D4648" s="2" t="s">
        <v>1185</v>
      </c>
    </row>
    <row r="4649">
      <c r="A4649" s="8">
        <v>46202.15489438658</v>
      </c>
      <c r="B4649" s="2" t="s">
        <v>892</v>
      </c>
      <c r="C4649" s="2"/>
      <c r="D4649" s="2" t="s">
        <v>1149</v>
      </c>
    </row>
    <row r="4650">
      <c r="A4650" s="8">
        <v>46202.1549187037</v>
      </c>
      <c r="B4650" s="2" t="s">
        <v>894</v>
      </c>
      <c r="C4650" s="2"/>
      <c r="D4650" s="2" t="s">
        <v>1156</v>
      </c>
    </row>
    <row r="4651">
      <c r="A4651" s="8">
        <v>46202.19644621528</v>
      </c>
      <c r="B4651" s="2" t="s">
        <v>834</v>
      </c>
      <c r="C4651" s="2" t="s">
        <v>794</v>
      </c>
      <c r="D4651" s="2" t="s">
        <v>1182</v>
      </c>
    </row>
    <row r="4652">
      <c r="A4652" s="8">
        <v>46202.19644836806</v>
      </c>
      <c r="B4652" s="2" t="s">
        <v>798</v>
      </c>
      <c r="C4652" s="2" t="s">
        <v>799</v>
      </c>
      <c r="D4652" s="2" t="s">
        <v>800</v>
      </c>
    </row>
    <row r="4653">
      <c r="A4653" s="8">
        <v>46202.19645836805</v>
      </c>
      <c r="B4653" s="2" t="s">
        <v>844</v>
      </c>
      <c r="C4653" s="2" t="s">
        <v>818</v>
      </c>
      <c r="D4653" s="2" t="s">
        <v>1186</v>
      </c>
    </row>
    <row r="4654">
      <c r="A4654" s="8">
        <v>46202.1964728125</v>
      </c>
      <c r="B4654" s="2" t="s">
        <v>838</v>
      </c>
      <c r="C4654" s="2" t="s">
        <v>820</v>
      </c>
      <c r="D4654" s="2" t="s">
        <v>1173</v>
      </c>
    </row>
    <row r="4655">
      <c r="A4655" s="8">
        <v>46202.19647633102</v>
      </c>
      <c r="B4655" s="2" t="s">
        <v>832</v>
      </c>
      <c r="C4655" s="2"/>
      <c r="D4655" s="2" t="s">
        <v>1096</v>
      </c>
    </row>
    <row r="4656">
      <c r="A4656" s="8">
        <v>46202.19654690972</v>
      </c>
      <c r="B4656" s="2" t="s">
        <v>892</v>
      </c>
      <c r="C4656" s="2"/>
      <c r="D4656" s="2" t="s">
        <v>1149</v>
      </c>
    </row>
    <row r="4657">
      <c r="A4657" s="8">
        <v>46202.1965728125</v>
      </c>
      <c r="B4657" s="2" t="s">
        <v>894</v>
      </c>
      <c r="C4657" s="2"/>
      <c r="D4657" s="2" t="s">
        <v>1156</v>
      </c>
    </row>
    <row r="4658">
      <c r="A4658" s="8">
        <v>46202.23810988426</v>
      </c>
      <c r="B4658" s="2" t="s">
        <v>834</v>
      </c>
      <c r="C4658" s="2" t="s">
        <v>794</v>
      </c>
      <c r="D4658" s="2" t="s">
        <v>1182</v>
      </c>
    </row>
    <row r="4659">
      <c r="A4659" s="8">
        <v>46202.23811331019</v>
      </c>
      <c r="B4659" s="2" t="s">
        <v>798</v>
      </c>
      <c r="C4659" s="2" t="s">
        <v>799</v>
      </c>
      <c r="D4659" s="2" t="s">
        <v>800</v>
      </c>
    </row>
    <row r="4660">
      <c r="A4660" s="8">
        <v>46202.238117581015</v>
      </c>
      <c r="B4660" s="2" t="s">
        <v>838</v>
      </c>
      <c r="C4660" s="2" t="s">
        <v>820</v>
      </c>
      <c r="D4660" s="2" t="s">
        <v>1173</v>
      </c>
    </row>
    <row r="4661">
      <c r="A4661" s="8">
        <v>46202.238134189814</v>
      </c>
      <c r="B4661" s="2" t="s">
        <v>832</v>
      </c>
      <c r="C4661" s="2"/>
      <c r="D4661" s="2" t="s">
        <v>1097</v>
      </c>
    </row>
    <row r="4662">
      <c r="A4662" s="8">
        <v>46202.23820960648</v>
      </c>
      <c r="B4662" s="2" t="s">
        <v>892</v>
      </c>
      <c r="C4662" s="2"/>
      <c r="D4662" s="2" t="s">
        <v>1149</v>
      </c>
    </row>
    <row r="4663">
      <c r="A4663" s="8">
        <v>46202.2382371412</v>
      </c>
      <c r="B4663" s="2" t="s">
        <v>844</v>
      </c>
      <c r="C4663" s="2" t="s">
        <v>595</v>
      </c>
      <c r="D4663" s="2" t="s">
        <v>906</v>
      </c>
    </row>
    <row r="4664">
      <c r="A4664" s="8">
        <v>46202.23824229167</v>
      </c>
      <c r="B4664" s="2" t="s">
        <v>894</v>
      </c>
      <c r="C4664" s="2"/>
      <c r="D4664" s="2" t="s">
        <v>1165</v>
      </c>
    </row>
    <row r="4665">
      <c r="A4665" s="8">
        <v>46202.27977320601</v>
      </c>
      <c r="B4665" s="2" t="s">
        <v>834</v>
      </c>
      <c r="C4665" s="2" t="s">
        <v>794</v>
      </c>
      <c r="D4665" s="2" t="s">
        <v>1182</v>
      </c>
    </row>
    <row r="4666">
      <c r="A4666" s="8">
        <v>46202.27977686343</v>
      </c>
      <c r="B4666" s="2" t="s">
        <v>798</v>
      </c>
      <c r="C4666" s="2" t="s">
        <v>799</v>
      </c>
      <c r="D4666" s="2" t="s">
        <v>800</v>
      </c>
    </row>
    <row r="4667">
      <c r="A4667" s="8">
        <v>46202.27977927083</v>
      </c>
      <c r="B4667" s="2" t="s">
        <v>838</v>
      </c>
      <c r="C4667" s="2" t="s">
        <v>820</v>
      </c>
      <c r="D4667" s="2" t="s">
        <v>1173</v>
      </c>
    </row>
    <row r="4668">
      <c r="A4668" s="8">
        <v>46202.279782337966</v>
      </c>
      <c r="B4668" s="2" t="s">
        <v>832</v>
      </c>
      <c r="C4668" s="2"/>
      <c r="D4668" s="2" t="s">
        <v>1097</v>
      </c>
    </row>
    <row r="4669">
      <c r="A4669" s="8">
        <v>46202.279864861106</v>
      </c>
      <c r="B4669" s="2" t="s">
        <v>892</v>
      </c>
      <c r="C4669" s="2"/>
      <c r="D4669" s="2" t="s">
        <v>1149</v>
      </c>
    </row>
    <row r="4670">
      <c r="A4670" s="8">
        <v>46202.279889502315</v>
      </c>
      <c r="B4670" s="2" t="s">
        <v>894</v>
      </c>
      <c r="C4670" s="2"/>
      <c r="D4670" s="2" t="s">
        <v>1156</v>
      </c>
    </row>
    <row r="4671">
      <c r="A4671" s="8">
        <v>46202.32143836806</v>
      </c>
      <c r="B4671" s="2" t="s">
        <v>834</v>
      </c>
      <c r="C4671" s="2" t="s">
        <v>794</v>
      </c>
      <c r="D4671" s="2" t="s">
        <v>1182</v>
      </c>
    </row>
    <row r="4672">
      <c r="A4672" s="8">
        <v>46202.32144103009</v>
      </c>
      <c r="B4672" s="2" t="s">
        <v>798</v>
      </c>
      <c r="C4672" s="2" t="s">
        <v>799</v>
      </c>
      <c r="D4672" s="2" t="s">
        <v>800</v>
      </c>
    </row>
    <row r="4673">
      <c r="A4673" s="8">
        <v>46202.32144438657</v>
      </c>
      <c r="B4673" s="2" t="s">
        <v>838</v>
      </c>
      <c r="C4673" s="2" t="s">
        <v>820</v>
      </c>
      <c r="D4673" s="2" t="s">
        <v>1173</v>
      </c>
    </row>
    <row r="4674">
      <c r="A4674" s="8">
        <v>46202.32146265046</v>
      </c>
      <c r="B4674" s="2" t="s">
        <v>832</v>
      </c>
      <c r="C4674" s="2"/>
      <c r="D4674" s="2" t="s">
        <v>1097</v>
      </c>
    </row>
    <row r="4675">
      <c r="A4675" s="8">
        <v>46202.321525023144</v>
      </c>
      <c r="B4675" s="2" t="s">
        <v>892</v>
      </c>
      <c r="C4675" s="2"/>
      <c r="D4675" s="2" t="s">
        <v>1149</v>
      </c>
    </row>
    <row r="4676">
      <c r="A4676" s="8">
        <v>46202.32154650463</v>
      </c>
      <c r="B4676" s="2" t="s">
        <v>894</v>
      </c>
      <c r="C4676" s="2"/>
      <c r="D4676" s="2" t="s">
        <v>1156</v>
      </c>
    </row>
    <row r="4677">
      <c r="A4677" s="8">
        <v>46202.36311864584</v>
      </c>
      <c r="B4677" s="2" t="s">
        <v>834</v>
      </c>
      <c r="C4677" s="2" t="s">
        <v>794</v>
      </c>
      <c r="D4677" s="2" t="s">
        <v>1182</v>
      </c>
    </row>
    <row r="4678">
      <c r="A4678" s="8">
        <v>46202.36312282407</v>
      </c>
      <c r="B4678" s="2" t="s">
        <v>798</v>
      </c>
      <c r="C4678" s="2" t="s">
        <v>799</v>
      </c>
      <c r="D4678" s="2" t="s">
        <v>800</v>
      </c>
    </row>
    <row r="4679">
      <c r="A4679" s="8">
        <v>46202.363132708335</v>
      </c>
      <c r="B4679" s="2" t="s">
        <v>838</v>
      </c>
      <c r="C4679" s="2" t="s">
        <v>820</v>
      </c>
      <c r="D4679" s="2" t="s">
        <v>1173</v>
      </c>
    </row>
    <row r="4680">
      <c r="A4680" s="8">
        <v>46202.36314765047</v>
      </c>
      <c r="B4680" s="2" t="s">
        <v>832</v>
      </c>
      <c r="C4680" s="2"/>
      <c r="D4680" s="2" t="s">
        <v>1097</v>
      </c>
    </row>
    <row r="4681">
      <c r="A4681" s="8">
        <v>46202.36323783565</v>
      </c>
      <c r="B4681" s="2" t="s">
        <v>892</v>
      </c>
      <c r="C4681" s="2"/>
      <c r="D4681" s="2" t="s">
        <v>1149</v>
      </c>
    </row>
    <row r="4682">
      <c r="A4682" s="8">
        <v>46202.363259537036</v>
      </c>
      <c r="B4682" s="2" t="s">
        <v>991</v>
      </c>
      <c r="C4682" s="2" t="s">
        <v>569</v>
      </c>
      <c r="D4682" s="2" t="s">
        <v>1181</v>
      </c>
    </row>
    <row r="4683">
      <c r="A4683" s="8">
        <v>46202.36326331018</v>
      </c>
      <c r="B4683" s="2" t="s">
        <v>894</v>
      </c>
      <c r="C4683" s="2"/>
      <c r="D4683" s="2" t="s">
        <v>1162</v>
      </c>
    </row>
    <row r="4684">
      <c r="A4684" s="8">
        <v>46202.404770810186</v>
      </c>
      <c r="B4684" s="2" t="s">
        <v>834</v>
      </c>
      <c r="C4684" s="2" t="s">
        <v>794</v>
      </c>
      <c r="D4684" s="2" t="s">
        <v>1182</v>
      </c>
    </row>
    <row r="4685">
      <c r="A4685" s="8">
        <v>46202.40477516204</v>
      </c>
      <c r="B4685" s="2" t="s">
        <v>798</v>
      </c>
      <c r="C4685" s="2" t="s">
        <v>799</v>
      </c>
      <c r="D4685" s="2" t="s">
        <v>800</v>
      </c>
    </row>
    <row r="4686">
      <c r="A4686" s="8">
        <v>46202.40477978009</v>
      </c>
      <c r="B4686" s="2" t="s">
        <v>991</v>
      </c>
      <c r="C4686" s="2" t="s">
        <v>806</v>
      </c>
      <c r="D4686" s="2" t="s">
        <v>1187</v>
      </c>
    </row>
    <row r="4687">
      <c r="A4687" s="8">
        <v>46202.4047947338</v>
      </c>
      <c r="B4687" s="2" t="s">
        <v>838</v>
      </c>
      <c r="C4687" s="2" t="s">
        <v>820</v>
      </c>
      <c r="D4687" s="2" t="s">
        <v>1173</v>
      </c>
    </row>
    <row r="4688">
      <c r="A4688" s="8">
        <v>46202.40479891204</v>
      </c>
      <c r="B4688" s="2" t="s">
        <v>832</v>
      </c>
      <c r="C4688" s="2"/>
      <c r="D4688" s="2" t="s">
        <v>1106</v>
      </c>
    </row>
    <row r="4689">
      <c r="A4689" s="8">
        <v>46202.40487358796</v>
      </c>
      <c r="B4689" s="2" t="s">
        <v>892</v>
      </c>
      <c r="C4689" s="2"/>
      <c r="D4689" s="2" t="s">
        <v>1149</v>
      </c>
    </row>
    <row r="4690">
      <c r="A4690" s="8">
        <v>46202.404903125</v>
      </c>
      <c r="B4690" s="2" t="s">
        <v>894</v>
      </c>
      <c r="C4690" s="2"/>
      <c r="D4690" s="2" t="s">
        <v>1156</v>
      </c>
    </row>
    <row r="4691">
      <c r="A4691" s="8">
        <v>46202.44643827547</v>
      </c>
      <c r="B4691" s="2" t="s">
        <v>834</v>
      </c>
      <c r="C4691" s="2" t="s">
        <v>794</v>
      </c>
      <c r="D4691" s="2" t="s">
        <v>1182</v>
      </c>
    </row>
    <row r="4692">
      <c r="A4692" s="8">
        <v>46202.44644806713</v>
      </c>
      <c r="B4692" s="2" t="s">
        <v>798</v>
      </c>
      <c r="C4692" s="2" t="s">
        <v>799</v>
      </c>
      <c r="D4692" s="2" t="s">
        <v>800</v>
      </c>
    </row>
    <row r="4693">
      <c r="A4693" s="8">
        <v>46202.4464586574</v>
      </c>
      <c r="B4693" s="2" t="s">
        <v>838</v>
      </c>
      <c r="C4693" s="2" t="s">
        <v>820</v>
      </c>
      <c r="D4693" s="2" t="s">
        <v>1173</v>
      </c>
    </row>
    <row r="4694">
      <c r="A4694" s="8">
        <v>46202.446461851854</v>
      </c>
      <c r="B4694" s="2" t="s">
        <v>832</v>
      </c>
      <c r="C4694" s="2"/>
      <c r="D4694" s="2" t="s">
        <v>1097</v>
      </c>
    </row>
    <row r="4695">
      <c r="A4695" s="8">
        <v>46202.44652733796</v>
      </c>
      <c r="B4695" s="2" t="s">
        <v>892</v>
      </c>
      <c r="C4695" s="2"/>
      <c r="D4695" s="2" t="s">
        <v>1149</v>
      </c>
    </row>
    <row r="4696">
      <c r="A4696" s="8">
        <v>46202.44654604167</v>
      </c>
      <c r="B4696" s="2" t="s">
        <v>894</v>
      </c>
      <c r="C4696" s="2"/>
      <c r="D4696" s="2" t="s">
        <v>1156</v>
      </c>
    </row>
    <row r="4697">
      <c r="A4697" s="8">
        <v>46202.48812206018</v>
      </c>
      <c r="B4697" s="2" t="s">
        <v>834</v>
      </c>
      <c r="C4697" s="2" t="s">
        <v>794</v>
      </c>
      <c r="D4697" s="2" t="s">
        <v>1182</v>
      </c>
    </row>
    <row r="4698">
      <c r="A4698" s="8">
        <v>46202.488125497686</v>
      </c>
      <c r="B4698" s="2" t="s">
        <v>798</v>
      </c>
      <c r="C4698" s="2" t="s">
        <v>799</v>
      </c>
      <c r="D4698" s="2" t="s">
        <v>800</v>
      </c>
    </row>
    <row r="4699">
      <c r="A4699" s="8">
        <v>46202.48813171296</v>
      </c>
      <c r="B4699" s="2" t="s">
        <v>838</v>
      </c>
      <c r="C4699" s="2" t="s">
        <v>820</v>
      </c>
      <c r="D4699" s="2" t="s">
        <v>1173</v>
      </c>
    </row>
    <row r="4700">
      <c r="A4700" s="8">
        <v>46202.4881530787</v>
      </c>
      <c r="B4700" s="2" t="s">
        <v>832</v>
      </c>
      <c r="C4700" s="2"/>
      <c r="D4700" s="2" t="s">
        <v>1097</v>
      </c>
    </row>
    <row r="4701">
      <c r="A4701" s="8">
        <v>46202.488223078704</v>
      </c>
      <c r="B4701" s="2" t="s">
        <v>892</v>
      </c>
      <c r="C4701" s="2"/>
      <c r="D4701" s="2" t="s">
        <v>1149</v>
      </c>
    </row>
    <row r="4702">
      <c r="A4702" s="8">
        <v>46202.488259826394</v>
      </c>
      <c r="B4702" s="2" t="s">
        <v>894</v>
      </c>
      <c r="C4702" s="2"/>
      <c r="D4702" s="2" t="s">
        <v>1156</v>
      </c>
    </row>
    <row r="4703">
      <c r="A4703" s="8">
        <v>46202.52985229167</v>
      </c>
      <c r="B4703" s="2" t="s">
        <v>834</v>
      </c>
      <c r="C4703" s="2" t="s">
        <v>794</v>
      </c>
      <c r="D4703" s="2" t="s">
        <v>1182</v>
      </c>
    </row>
    <row r="4704">
      <c r="A4704" s="8">
        <v>46202.52985663194</v>
      </c>
      <c r="B4704" s="2" t="s">
        <v>798</v>
      </c>
      <c r="C4704" s="2" t="s">
        <v>799</v>
      </c>
      <c r="D4704" s="2" t="s">
        <v>800</v>
      </c>
    </row>
    <row r="4705">
      <c r="A4705" s="8">
        <v>46202.529872847226</v>
      </c>
      <c r="B4705" s="2" t="s">
        <v>838</v>
      </c>
      <c r="C4705" s="2" t="s">
        <v>820</v>
      </c>
      <c r="D4705" s="2" t="s">
        <v>1173</v>
      </c>
    </row>
    <row r="4706">
      <c r="A4706" s="8">
        <v>46202.52989011574</v>
      </c>
      <c r="B4706" s="2" t="s">
        <v>832</v>
      </c>
      <c r="C4706" s="2"/>
      <c r="D4706" s="2" t="s">
        <v>1097</v>
      </c>
    </row>
    <row r="4707">
      <c r="A4707" s="8">
        <v>46202.53002796296</v>
      </c>
      <c r="B4707" s="2" t="s">
        <v>892</v>
      </c>
      <c r="C4707" s="2"/>
      <c r="D4707" s="2" t="s">
        <v>1149</v>
      </c>
    </row>
    <row r="4708">
      <c r="A4708" s="8">
        <v>46202.530126770835</v>
      </c>
      <c r="B4708" s="2" t="s">
        <v>894</v>
      </c>
      <c r="C4708" s="2"/>
      <c r="D4708" s="2" t="s">
        <v>1156</v>
      </c>
    </row>
    <row r="4709">
      <c r="A4709" s="8">
        <v>46202.571446064816</v>
      </c>
      <c r="B4709" s="2" t="s">
        <v>834</v>
      </c>
      <c r="C4709" s="2" t="s">
        <v>794</v>
      </c>
      <c r="D4709" s="2" t="s">
        <v>1182</v>
      </c>
    </row>
    <row r="4710">
      <c r="A4710" s="8">
        <v>46202.57145697917</v>
      </c>
      <c r="B4710" s="2" t="s">
        <v>798</v>
      </c>
      <c r="C4710" s="2" t="s">
        <v>799</v>
      </c>
      <c r="D4710" s="2" t="s">
        <v>800</v>
      </c>
    </row>
    <row r="4711">
      <c r="A4711" s="8">
        <v>46202.57146876157</v>
      </c>
      <c r="B4711" s="2" t="s">
        <v>838</v>
      </c>
      <c r="C4711" s="2" t="s">
        <v>820</v>
      </c>
      <c r="D4711" s="2" t="s">
        <v>1173</v>
      </c>
    </row>
    <row r="4712">
      <c r="A4712" s="8">
        <v>46202.571473171294</v>
      </c>
      <c r="B4712" s="2" t="s">
        <v>832</v>
      </c>
      <c r="C4712" s="2"/>
      <c r="D4712" s="2" t="s">
        <v>1097</v>
      </c>
    </row>
    <row r="4713">
      <c r="A4713" s="8">
        <v>46202.5715440625</v>
      </c>
      <c r="B4713" s="2" t="s">
        <v>892</v>
      </c>
      <c r="C4713" s="2"/>
      <c r="D4713" s="2" t="s">
        <v>1149</v>
      </c>
    </row>
    <row r="4714">
      <c r="A4714" s="8">
        <v>46202.571574421294</v>
      </c>
      <c r="B4714" s="2" t="s">
        <v>894</v>
      </c>
      <c r="C4714" s="2"/>
      <c r="D4714" s="2" t="s">
        <v>1156</v>
      </c>
    </row>
    <row r="4715">
      <c r="A4715" s="8">
        <v>46202.613137430555</v>
      </c>
      <c r="B4715" s="2" t="s">
        <v>834</v>
      </c>
      <c r="C4715" s="2" t="s">
        <v>794</v>
      </c>
      <c r="D4715" s="2" t="s">
        <v>1182</v>
      </c>
    </row>
    <row r="4716">
      <c r="A4716" s="8">
        <v>46202.613142685186</v>
      </c>
      <c r="B4716" s="2" t="s">
        <v>798</v>
      </c>
      <c r="C4716" s="2" t="s">
        <v>799</v>
      </c>
      <c r="D4716" s="2" t="s">
        <v>800</v>
      </c>
    </row>
    <row r="4717">
      <c r="A4717" s="8">
        <v>46202.6131496875</v>
      </c>
      <c r="B4717" s="2" t="s">
        <v>838</v>
      </c>
      <c r="C4717" s="2" t="s">
        <v>820</v>
      </c>
      <c r="D4717" s="2" t="s">
        <v>1173</v>
      </c>
    </row>
    <row r="4718">
      <c r="A4718" s="8">
        <v>46202.61316458334</v>
      </c>
      <c r="B4718" s="2" t="s">
        <v>832</v>
      </c>
      <c r="C4718" s="2"/>
      <c r="D4718" s="2" t="s">
        <v>1097</v>
      </c>
    </row>
    <row r="4719">
      <c r="A4719" s="8">
        <v>46202.61326155093</v>
      </c>
      <c r="B4719" s="2" t="s">
        <v>892</v>
      </c>
      <c r="C4719" s="2"/>
      <c r="D4719" s="2" t="s">
        <v>1149</v>
      </c>
    </row>
    <row r="4720">
      <c r="A4720" s="8">
        <v>46202.61329780093</v>
      </c>
      <c r="B4720" s="2" t="s">
        <v>894</v>
      </c>
      <c r="C4720" s="2"/>
      <c r="D4720" s="2" t="s">
        <v>1156</v>
      </c>
    </row>
    <row r="4721">
      <c r="A4721" s="8">
        <v>46202.65476590278</v>
      </c>
      <c r="B4721" s="2" t="s">
        <v>834</v>
      </c>
      <c r="C4721" s="2" t="s">
        <v>794</v>
      </c>
      <c r="D4721" s="2" t="s">
        <v>1182</v>
      </c>
    </row>
    <row r="4722">
      <c r="A4722" s="8">
        <v>46202.65476991898</v>
      </c>
      <c r="B4722" s="2" t="s">
        <v>798</v>
      </c>
      <c r="C4722" s="2" t="s">
        <v>799</v>
      </c>
      <c r="D4722" s="2" t="s">
        <v>800</v>
      </c>
    </row>
    <row r="4723">
      <c r="A4723" s="8">
        <v>46202.65477876157</v>
      </c>
      <c r="B4723" s="2" t="s">
        <v>844</v>
      </c>
      <c r="C4723" s="2" t="s">
        <v>818</v>
      </c>
      <c r="D4723" s="2" t="s">
        <v>1129</v>
      </c>
    </row>
    <row r="4724">
      <c r="A4724" s="8">
        <v>46202.65479429398</v>
      </c>
      <c r="B4724" s="2" t="s">
        <v>838</v>
      </c>
      <c r="C4724" s="2" t="s">
        <v>820</v>
      </c>
      <c r="D4724" s="2" t="s">
        <v>1173</v>
      </c>
    </row>
    <row r="4725">
      <c r="A4725" s="8">
        <v>46202.654797916664</v>
      </c>
      <c r="B4725" s="2" t="s">
        <v>832</v>
      </c>
      <c r="C4725" s="2"/>
      <c r="D4725" s="2" t="s">
        <v>1096</v>
      </c>
    </row>
    <row r="4726">
      <c r="A4726" s="8">
        <v>46202.65486037037</v>
      </c>
      <c r="B4726" s="2" t="s">
        <v>892</v>
      </c>
      <c r="C4726" s="2"/>
      <c r="D4726" s="2" t="s">
        <v>1149</v>
      </c>
    </row>
    <row r="4727">
      <c r="A4727" s="8">
        <v>46202.65488086805</v>
      </c>
      <c r="B4727" s="2" t="s">
        <v>894</v>
      </c>
      <c r="C4727" s="2"/>
      <c r="D4727" s="2" t="s">
        <v>1156</v>
      </c>
    </row>
    <row r="4728">
      <c r="A4728" s="8">
        <v>46202.69644403935</v>
      </c>
      <c r="B4728" s="2" t="s">
        <v>834</v>
      </c>
      <c r="C4728" s="2" t="s">
        <v>794</v>
      </c>
      <c r="D4728" s="2" t="s">
        <v>1182</v>
      </c>
    </row>
    <row r="4729">
      <c r="A4729" s="8">
        <v>46202.69644724537</v>
      </c>
      <c r="B4729" s="2" t="s">
        <v>798</v>
      </c>
      <c r="C4729" s="2" t="s">
        <v>799</v>
      </c>
      <c r="D4729" s="2" t="s">
        <v>800</v>
      </c>
    </row>
    <row r="4730">
      <c r="A4730" s="8">
        <v>46202.69645577546</v>
      </c>
      <c r="B4730" s="2" t="s">
        <v>838</v>
      </c>
      <c r="C4730" s="2" t="s">
        <v>820</v>
      </c>
      <c r="D4730" s="2" t="s">
        <v>1173</v>
      </c>
    </row>
    <row r="4731">
      <c r="A4731" s="8">
        <v>46202.69646688657</v>
      </c>
      <c r="B4731" s="2" t="s">
        <v>832</v>
      </c>
      <c r="C4731" s="2"/>
      <c r="D4731" s="2" t="s">
        <v>1097</v>
      </c>
    </row>
    <row r="4732">
      <c r="A4732" s="8">
        <v>46202.69652961806</v>
      </c>
      <c r="B4732" s="2" t="s">
        <v>892</v>
      </c>
      <c r="C4732" s="2"/>
      <c r="D4732" s="2" t="s">
        <v>1149</v>
      </c>
    </row>
    <row r="4733">
      <c r="A4733" s="8">
        <v>46202.69656221065</v>
      </c>
      <c r="B4733" s="2" t="s">
        <v>894</v>
      </c>
      <c r="C4733" s="2"/>
      <c r="D4733" s="2" t="s">
        <v>1156</v>
      </c>
    </row>
    <row r="4734">
      <c r="A4734" s="8">
        <v>46202.73809621528</v>
      </c>
      <c r="B4734" s="2" t="s">
        <v>834</v>
      </c>
      <c r="C4734" s="2" t="s">
        <v>794</v>
      </c>
      <c r="D4734" s="2" t="s">
        <v>1182</v>
      </c>
    </row>
    <row r="4735">
      <c r="A4735" s="8">
        <v>46202.73809940972</v>
      </c>
      <c r="B4735" s="2" t="s">
        <v>798</v>
      </c>
      <c r="C4735" s="2" t="s">
        <v>799</v>
      </c>
      <c r="D4735" s="2" t="s">
        <v>800</v>
      </c>
    </row>
    <row r="4736">
      <c r="A4736" s="8">
        <v>46202.73810383102</v>
      </c>
      <c r="B4736" s="2" t="s">
        <v>838</v>
      </c>
      <c r="C4736" s="2" t="s">
        <v>820</v>
      </c>
      <c r="D4736" s="2" t="s">
        <v>1173</v>
      </c>
    </row>
    <row r="4737">
      <c r="A4737" s="8">
        <v>46202.738107083336</v>
      </c>
      <c r="B4737" s="2" t="s">
        <v>832</v>
      </c>
      <c r="C4737" s="2"/>
      <c r="D4737" s="2" t="s">
        <v>1097</v>
      </c>
    </row>
    <row r="4738">
      <c r="A4738" s="8">
        <v>46202.73817340277</v>
      </c>
      <c r="B4738" s="2" t="s">
        <v>892</v>
      </c>
      <c r="C4738" s="2"/>
      <c r="D4738" s="2" t="s">
        <v>1149</v>
      </c>
    </row>
    <row r="4739">
      <c r="A4739" s="8">
        <v>46202.73819396991</v>
      </c>
      <c r="B4739" s="2" t="s">
        <v>894</v>
      </c>
      <c r="C4739" s="2"/>
      <c r="D4739" s="2" t="s">
        <v>1156</v>
      </c>
    </row>
    <row r="4740">
      <c r="A4740" s="8">
        <v>46202.77225825231</v>
      </c>
      <c r="B4740" s="2" t="s">
        <v>789</v>
      </c>
      <c r="C4740" s="2"/>
      <c r="D4740" s="2" t="s">
        <v>1188</v>
      </c>
    </row>
    <row r="4741">
      <c r="A4741" s="8">
        <v>46202.77977743055</v>
      </c>
      <c r="B4741" s="2" t="s">
        <v>834</v>
      </c>
      <c r="C4741" s="2" t="s">
        <v>794</v>
      </c>
      <c r="D4741" s="2" t="s">
        <v>1182</v>
      </c>
    </row>
    <row r="4742">
      <c r="A4742" s="8">
        <v>46202.77978053241</v>
      </c>
      <c r="B4742" s="2" t="s">
        <v>798</v>
      </c>
      <c r="C4742" s="2" t="s">
        <v>799</v>
      </c>
      <c r="D4742" s="2" t="s">
        <v>800</v>
      </c>
    </row>
    <row r="4743">
      <c r="A4743" s="8">
        <v>46202.77978561343</v>
      </c>
      <c r="B4743" s="2" t="s">
        <v>838</v>
      </c>
      <c r="C4743" s="2" t="s">
        <v>820</v>
      </c>
      <c r="D4743" s="2" t="s">
        <v>1173</v>
      </c>
    </row>
    <row r="4744">
      <c r="A4744" s="8">
        <v>46202.77979490741</v>
      </c>
      <c r="B4744" s="2" t="s">
        <v>832</v>
      </c>
      <c r="C4744" s="2"/>
      <c r="D4744" s="2" t="s">
        <v>1189</v>
      </c>
    </row>
    <row r="4745">
      <c r="A4745" s="8">
        <v>46202.77987248843</v>
      </c>
      <c r="B4745" s="2" t="s">
        <v>892</v>
      </c>
      <c r="C4745" s="2"/>
      <c r="D4745" s="2" t="s">
        <v>1149</v>
      </c>
    </row>
    <row r="4746">
      <c r="A4746" s="8">
        <v>46202.77990274306</v>
      </c>
      <c r="B4746" s="2" t="s">
        <v>894</v>
      </c>
      <c r="C4746" s="2"/>
      <c r="D4746" s="2" t="s">
        <v>1156</v>
      </c>
    </row>
    <row r="4747">
      <c r="A4747" s="8">
        <v>46202.821457673606</v>
      </c>
      <c r="B4747" s="2" t="s">
        <v>834</v>
      </c>
      <c r="C4747" s="2" t="s">
        <v>794</v>
      </c>
      <c r="D4747" s="2" t="s">
        <v>1182</v>
      </c>
    </row>
    <row r="4748">
      <c r="A4748" s="8">
        <v>46202.82146280093</v>
      </c>
      <c r="B4748" s="2" t="s">
        <v>798</v>
      </c>
      <c r="C4748" s="2" t="s">
        <v>799</v>
      </c>
      <c r="D4748" s="2" t="s">
        <v>800</v>
      </c>
    </row>
    <row r="4749">
      <c r="A4749" s="8">
        <v>46202.82146832176</v>
      </c>
      <c r="B4749" s="2" t="s">
        <v>838</v>
      </c>
      <c r="C4749" s="2" t="s">
        <v>820</v>
      </c>
      <c r="D4749" s="2" t="s">
        <v>1173</v>
      </c>
    </row>
    <row r="4750">
      <c r="A4750" s="8">
        <v>46202.82148341435</v>
      </c>
      <c r="B4750" s="2" t="s">
        <v>832</v>
      </c>
      <c r="C4750" s="2"/>
      <c r="D4750" s="2" t="s">
        <v>1189</v>
      </c>
    </row>
    <row r="4751">
      <c r="A4751" s="8">
        <v>46202.82155648148</v>
      </c>
      <c r="B4751" s="2" t="s">
        <v>892</v>
      </c>
      <c r="C4751" s="2"/>
      <c r="D4751" s="2" t="s">
        <v>1149</v>
      </c>
    </row>
    <row r="4752">
      <c r="A4752" s="8">
        <v>46202.821585625</v>
      </c>
      <c r="B4752" s="2" t="s">
        <v>894</v>
      </c>
      <c r="C4752" s="2"/>
      <c r="D4752" s="2" t="s">
        <v>1156</v>
      </c>
    </row>
    <row r="4753">
      <c r="A4753" s="8">
        <v>46202.86309460648</v>
      </c>
      <c r="B4753" s="2" t="s">
        <v>834</v>
      </c>
      <c r="C4753" s="2" t="s">
        <v>794</v>
      </c>
      <c r="D4753" s="2" t="s">
        <v>1182</v>
      </c>
    </row>
    <row r="4754">
      <c r="A4754" s="8">
        <v>46202.86309820601</v>
      </c>
      <c r="B4754" s="2" t="s">
        <v>798</v>
      </c>
      <c r="C4754" s="2" t="s">
        <v>799</v>
      </c>
      <c r="D4754" s="2" t="s">
        <v>800</v>
      </c>
    </row>
    <row r="4755">
      <c r="A4755" s="8">
        <v>46202.86310199074</v>
      </c>
      <c r="B4755" s="2" t="s">
        <v>838</v>
      </c>
      <c r="C4755" s="2" t="s">
        <v>820</v>
      </c>
      <c r="D4755" s="2" t="s">
        <v>1173</v>
      </c>
    </row>
    <row r="4756">
      <c r="A4756" s="8">
        <v>46202.86311798611</v>
      </c>
      <c r="B4756" s="2" t="s">
        <v>832</v>
      </c>
      <c r="C4756" s="2"/>
      <c r="D4756" s="2" t="s">
        <v>1189</v>
      </c>
    </row>
    <row r="4757">
      <c r="A4757" s="8">
        <v>46202.8631729051</v>
      </c>
      <c r="B4757" s="2" t="s">
        <v>892</v>
      </c>
      <c r="C4757" s="2"/>
      <c r="D4757" s="2" t="s">
        <v>1149</v>
      </c>
    </row>
    <row r="4758">
      <c r="A4758" s="8">
        <v>46202.86318759259</v>
      </c>
      <c r="B4758" s="2" t="s">
        <v>894</v>
      </c>
      <c r="C4758" s="2"/>
      <c r="D4758" s="2" t="s">
        <v>1156</v>
      </c>
    </row>
    <row r="4759">
      <c r="A4759" s="8">
        <v>46202.904803310186</v>
      </c>
      <c r="B4759" s="2" t="s">
        <v>834</v>
      </c>
      <c r="C4759" s="2" t="s">
        <v>794</v>
      </c>
      <c r="D4759" s="2" t="s">
        <v>1182</v>
      </c>
    </row>
    <row r="4760">
      <c r="A4760" s="8">
        <v>46202.90480855324</v>
      </c>
      <c r="B4760" s="2" t="s">
        <v>798</v>
      </c>
      <c r="C4760" s="2" t="s">
        <v>799</v>
      </c>
      <c r="D4760" s="2" t="s">
        <v>800</v>
      </c>
    </row>
    <row r="4761">
      <c r="A4761" s="8">
        <v>46202.90481361111</v>
      </c>
      <c r="B4761" s="2" t="s">
        <v>838</v>
      </c>
      <c r="C4761" s="2" t="s">
        <v>820</v>
      </c>
      <c r="D4761" s="2" t="s">
        <v>1173</v>
      </c>
    </row>
    <row r="4762">
      <c r="A4762" s="8">
        <v>46202.9048353588</v>
      </c>
      <c r="B4762" s="2" t="s">
        <v>832</v>
      </c>
      <c r="C4762" s="2"/>
      <c r="D4762" s="2" t="s">
        <v>1189</v>
      </c>
    </row>
    <row r="4763">
      <c r="A4763" s="8">
        <v>46202.904910937505</v>
      </c>
      <c r="B4763" s="2" t="s">
        <v>892</v>
      </c>
      <c r="C4763" s="2"/>
      <c r="D4763" s="2" t="s">
        <v>1149</v>
      </c>
    </row>
    <row r="4764">
      <c r="A4764" s="8">
        <v>46202.90495292824</v>
      </c>
      <c r="B4764" s="2" t="s">
        <v>894</v>
      </c>
      <c r="C4764" s="2"/>
      <c r="D4764" s="2" t="s">
        <v>1156</v>
      </c>
    </row>
    <row r="4765">
      <c r="A4765" s="8">
        <v>46202.91710662037</v>
      </c>
      <c r="B4765" s="2" t="s">
        <v>863</v>
      </c>
      <c r="C4765" s="2"/>
      <c r="D4765" s="2" t="s">
        <v>1184</v>
      </c>
    </row>
    <row r="4766">
      <c r="A4766" s="8">
        <v>46202.94644575231</v>
      </c>
      <c r="B4766" s="2" t="s">
        <v>834</v>
      </c>
      <c r="C4766" s="2" t="s">
        <v>794</v>
      </c>
      <c r="D4766" s="2" t="s">
        <v>1182</v>
      </c>
    </row>
    <row r="4767">
      <c r="A4767" s="8">
        <v>46202.94644869213</v>
      </c>
      <c r="B4767" s="2" t="s">
        <v>798</v>
      </c>
      <c r="C4767" s="2" t="s">
        <v>799</v>
      </c>
      <c r="D4767" s="2" t="s">
        <v>800</v>
      </c>
    </row>
    <row r="4768">
      <c r="A4768" s="8">
        <v>46202.94646310185</v>
      </c>
      <c r="B4768" s="2" t="s">
        <v>838</v>
      </c>
      <c r="C4768" s="2" t="s">
        <v>820</v>
      </c>
      <c r="D4768" s="2" t="s">
        <v>1173</v>
      </c>
    </row>
    <row r="4769">
      <c r="A4769" s="8">
        <v>46202.94647811343</v>
      </c>
      <c r="B4769" s="2" t="s">
        <v>832</v>
      </c>
      <c r="C4769" s="2"/>
      <c r="D4769" s="2" t="s">
        <v>1189</v>
      </c>
    </row>
    <row r="4770">
      <c r="A4770" s="8">
        <v>46202.9465393287</v>
      </c>
      <c r="B4770" s="2" t="s">
        <v>892</v>
      </c>
      <c r="C4770" s="2"/>
      <c r="D4770" s="2" t="s">
        <v>1149</v>
      </c>
    </row>
    <row r="4771">
      <c r="A4771" s="8">
        <v>46202.94656390046</v>
      </c>
      <c r="B4771" s="2" t="s">
        <v>894</v>
      </c>
      <c r="C4771" s="2"/>
      <c r="D4771" s="2" t="s">
        <v>1156</v>
      </c>
    </row>
    <row r="4772">
      <c r="A4772" s="8">
        <v>46202.98821269676</v>
      </c>
      <c r="B4772" s="2" t="s">
        <v>834</v>
      </c>
      <c r="C4772" s="2" t="s">
        <v>794</v>
      </c>
      <c r="D4772" s="2" t="s">
        <v>1182</v>
      </c>
    </row>
    <row r="4773">
      <c r="A4773" s="8">
        <v>46202.988222569445</v>
      </c>
      <c r="B4773" s="2" t="s">
        <v>798</v>
      </c>
      <c r="C4773" s="2" t="s">
        <v>799</v>
      </c>
      <c r="D4773" s="2" t="s">
        <v>800</v>
      </c>
    </row>
    <row r="4774">
      <c r="A4774" s="8">
        <v>46202.98825329861</v>
      </c>
      <c r="B4774" s="2" t="s">
        <v>838</v>
      </c>
      <c r="C4774" s="2" t="s">
        <v>820</v>
      </c>
      <c r="D4774" s="2" t="s">
        <v>1173</v>
      </c>
    </row>
    <row r="4775">
      <c r="A4775" s="8">
        <v>46202.98826518518</v>
      </c>
      <c r="B4775" s="2" t="s">
        <v>832</v>
      </c>
      <c r="C4775" s="2"/>
      <c r="D4775" s="2" t="s">
        <v>1189</v>
      </c>
    </row>
    <row r="4776">
      <c r="A4776" s="8">
        <v>46202.988405219905</v>
      </c>
      <c r="B4776" s="2" t="s">
        <v>892</v>
      </c>
      <c r="C4776" s="2"/>
      <c r="D4776" s="2" t="s">
        <v>1149</v>
      </c>
    </row>
    <row r="4777">
      <c r="A4777" s="8">
        <v>46202.98847486111</v>
      </c>
      <c r="B4777" s="2" t="s">
        <v>894</v>
      </c>
      <c r="C4777" s="2"/>
      <c r="D4777" s="2" t="s">
        <v>1156</v>
      </c>
    </row>
    <row r="4778">
      <c r="A4778" s="8">
        <v>46203.02981681713</v>
      </c>
      <c r="B4778" s="2" t="s">
        <v>834</v>
      </c>
      <c r="C4778" s="2" t="s">
        <v>794</v>
      </c>
      <c r="D4778" s="2" t="s">
        <v>1182</v>
      </c>
    </row>
    <row r="4779">
      <c r="A4779" s="8">
        <v>46203.02982258102</v>
      </c>
      <c r="B4779" s="2" t="s">
        <v>798</v>
      </c>
      <c r="C4779" s="2" t="s">
        <v>799</v>
      </c>
      <c r="D4779" s="2" t="s">
        <v>800</v>
      </c>
    </row>
    <row r="4780">
      <c r="A4780" s="8">
        <v>46203.029830162035</v>
      </c>
      <c r="B4780" s="2" t="s">
        <v>838</v>
      </c>
      <c r="C4780" s="2" t="s">
        <v>820</v>
      </c>
      <c r="D4780" s="2" t="s">
        <v>1173</v>
      </c>
    </row>
    <row r="4781">
      <c r="A4781" s="8">
        <v>46203.029845983794</v>
      </c>
      <c r="B4781" s="2" t="s">
        <v>832</v>
      </c>
      <c r="C4781" s="2"/>
      <c r="D4781" s="2" t="s">
        <v>1189</v>
      </c>
    </row>
    <row r="4782">
      <c r="A4782" s="8">
        <v>46203.029946828705</v>
      </c>
      <c r="B4782" s="2" t="s">
        <v>892</v>
      </c>
      <c r="C4782" s="2"/>
      <c r="D4782" s="2" t="s">
        <v>1149</v>
      </c>
    </row>
    <row r="4783">
      <c r="A4783" s="8">
        <v>46203.02998096065</v>
      </c>
      <c r="B4783" s="2" t="s">
        <v>894</v>
      </c>
      <c r="C4783" s="2"/>
      <c r="D4783" s="2" t="s">
        <v>1156</v>
      </c>
    </row>
    <row r="4784">
      <c r="A4784" s="8">
        <v>46203.071538923614</v>
      </c>
      <c r="B4784" s="2" t="s">
        <v>834</v>
      </c>
      <c r="C4784" s="2" t="s">
        <v>794</v>
      </c>
      <c r="D4784" s="2" t="s">
        <v>1182</v>
      </c>
    </row>
    <row r="4785">
      <c r="A4785" s="8">
        <v>46203.07154899306</v>
      </c>
      <c r="B4785" s="2" t="s">
        <v>798</v>
      </c>
      <c r="C4785" s="2" t="s">
        <v>799</v>
      </c>
      <c r="D4785" s="2" t="s">
        <v>800</v>
      </c>
    </row>
    <row r="4786">
      <c r="A4786" s="8">
        <v>46203.071574050926</v>
      </c>
      <c r="B4786" s="2" t="s">
        <v>838</v>
      </c>
      <c r="C4786" s="2" t="s">
        <v>820</v>
      </c>
      <c r="D4786" s="2" t="s">
        <v>1173</v>
      </c>
    </row>
    <row r="4787">
      <c r="A4787" s="8">
        <v>46203.071588645835</v>
      </c>
      <c r="B4787" s="2" t="s">
        <v>832</v>
      </c>
      <c r="C4787" s="2"/>
      <c r="D4787" s="2" t="s">
        <v>1189</v>
      </c>
    </row>
    <row r="4788">
      <c r="A4788" s="8">
        <v>46203.07172875</v>
      </c>
      <c r="B4788" s="2" t="s">
        <v>892</v>
      </c>
      <c r="C4788" s="2"/>
      <c r="D4788" s="2" t="s">
        <v>1149</v>
      </c>
    </row>
    <row r="4789">
      <c r="A4789" s="8">
        <v>46203.07180575232</v>
      </c>
      <c r="B4789" s="2" t="s">
        <v>894</v>
      </c>
      <c r="C4789" s="2"/>
      <c r="D4789" s="2" t="s">
        <v>1156</v>
      </c>
    </row>
    <row r="4790">
      <c r="A4790" s="8">
        <v>46203.113165601855</v>
      </c>
      <c r="B4790" s="2" t="s">
        <v>834</v>
      </c>
      <c r="C4790" s="2" t="s">
        <v>794</v>
      </c>
      <c r="D4790" s="2" t="s">
        <v>1182</v>
      </c>
    </row>
    <row r="4791">
      <c r="A4791" s="8">
        <v>46203.11317130787</v>
      </c>
      <c r="B4791" s="2" t="s">
        <v>798</v>
      </c>
      <c r="C4791" s="2" t="s">
        <v>799</v>
      </c>
      <c r="D4791" s="2" t="s">
        <v>800</v>
      </c>
    </row>
    <row r="4792">
      <c r="A4792" s="8">
        <v>46203.113180625005</v>
      </c>
      <c r="B4792" s="2" t="s">
        <v>838</v>
      </c>
      <c r="C4792" s="2" t="s">
        <v>820</v>
      </c>
      <c r="D4792" s="2" t="s">
        <v>1173</v>
      </c>
    </row>
    <row r="4793">
      <c r="A4793" s="8">
        <v>46203.11319934028</v>
      </c>
      <c r="B4793" s="2" t="s">
        <v>832</v>
      </c>
      <c r="C4793" s="2"/>
      <c r="D4793" s="2" t="s">
        <v>1189</v>
      </c>
    </row>
    <row r="4794">
      <c r="A4794" s="8">
        <v>46203.11331277778</v>
      </c>
      <c r="B4794" s="2" t="s">
        <v>892</v>
      </c>
      <c r="C4794" s="2"/>
      <c r="D4794" s="2" t="s">
        <v>1149</v>
      </c>
    </row>
    <row r="4795">
      <c r="A4795" s="8">
        <v>46203.11337637731</v>
      </c>
      <c r="B4795" s="2" t="s">
        <v>844</v>
      </c>
      <c r="C4795" s="2" t="s">
        <v>590</v>
      </c>
      <c r="D4795" s="2" t="s">
        <v>972</v>
      </c>
    </row>
    <row r="4796">
      <c r="A4796" s="8">
        <v>46203.11339049769</v>
      </c>
      <c r="B4796" s="2" t="s">
        <v>844</v>
      </c>
      <c r="C4796" s="2" t="s">
        <v>652</v>
      </c>
      <c r="D4796" s="2" t="s">
        <v>1092</v>
      </c>
    </row>
    <row r="4797">
      <c r="A4797" s="8">
        <v>46203.11339608797</v>
      </c>
      <c r="B4797" s="2" t="s">
        <v>894</v>
      </c>
      <c r="C4797" s="2"/>
      <c r="D4797" s="2" t="s">
        <v>1160</v>
      </c>
    </row>
    <row r="4798">
      <c r="A4798" s="8">
        <v>46203.15480266204</v>
      </c>
      <c r="B4798" s="2" t="s">
        <v>834</v>
      </c>
      <c r="C4798" s="2" t="s">
        <v>794</v>
      </c>
      <c r="D4798" s="2" t="s">
        <v>1182</v>
      </c>
    </row>
    <row r="4799">
      <c r="A4799" s="8">
        <v>46203.15480672454</v>
      </c>
      <c r="B4799" s="2" t="s">
        <v>798</v>
      </c>
      <c r="C4799" s="2" t="s">
        <v>799</v>
      </c>
      <c r="D4799" s="2" t="s">
        <v>800</v>
      </c>
    </row>
    <row r="4800">
      <c r="A4800" s="8">
        <v>46203.154810381944</v>
      </c>
      <c r="B4800" s="2" t="s">
        <v>838</v>
      </c>
      <c r="C4800" s="2" t="s">
        <v>820</v>
      </c>
      <c r="D4800" s="2" t="s">
        <v>1173</v>
      </c>
    </row>
    <row r="4801">
      <c r="A4801" s="8">
        <v>46203.154814270834</v>
      </c>
      <c r="B4801" s="2" t="s">
        <v>832</v>
      </c>
      <c r="C4801" s="2"/>
      <c r="D4801" s="2" t="s">
        <v>1189</v>
      </c>
    </row>
    <row r="4802">
      <c r="A4802" s="8">
        <v>46203.154896215274</v>
      </c>
      <c r="B4802" s="2" t="s">
        <v>892</v>
      </c>
      <c r="C4802" s="2"/>
      <c r="D4802" s="2" t="s">
        <v>1149</v>
      </c>
    </row>
    <row r="4803">
      <c r="A4803" s="8">
        <v>46203.15491887731</v>
      </c>
      <c r="B4803" s="2" t="s">
        <v>894</v>
      </c>
      <c r="C4803" s="2"/>
      <c r="D4803" s="2" t="s">
        <v>1156</v>
      </c>
    </row>
    <row r="4804">
      <c r="A4804" s="8">
        <v>46203.19646510416</v>
      </c>
      <c r="B4804" s="2" t="s">
        <v>834</v>
      </c>
      <c r="C4804" s="2" t="s">
        <v>794</v>
      </c>
      <c r="D4804" s="2" t="s">
        <v>1182</v>
      </c>
    </row>
    <row r="4805">
      <c r="A4805" s="8">
        <v>46203.19647215278</v>
      </c>
      <c r="B4805" s="2" t="s">
        <v>798</v>
      </c>
      <c r="C4805" s="2" t="s">
        <v>799</v>
      </c>
      <c r="D4805" s="2" t="s">
        <v>800</v>
      </c>
    </row>
    <row r="4806">
      <c r="A4806" s="8">
        <v>46203.19648254629</v>
      </c>
      <c r="B4806" s="2" t="s">
        <v>844</v>
      </c>
      <c r="C4806" s="2" t="s">
        <v>818</v>
      </c>
      <c r="D4806" s="2" t="s">
        <v>968</v>
      </c>
    </row>
    <row r="4807">
      <c r="A4807" s="8">
        <v>46203.19649293982</v>
      </c>
      <c r="B4807" s="2" t="s">
        <v>838</v>
      </c>
      <c r="C4807" s="2" t="s">
        <v>820</v>
      </c>
      <c r="D4807" s="2" t="s">
        <v>1173</v>
      </c>
    </row>
    <row r="4808">
      <c r="A4808" s="8">
        <v>46203.19649780093</v>
      </c>
      <c r="B4808" s="2" t="s">
        <v>832</v>
      </c>
      <c r="C4808" s="2"/>
      <c r="D4808" s="2" t="s">
        <v>1190</v>
      </c>
    </row>
    <row r="4809">
      <c r="A4809" s="8">
        <v>46203.19660059028</v>
      </c>
      <c r="B4809" s="2" t="s">
        <v>892</v>
      </c>
      <c r="C4809" s="2"/>
      <c r="D4809" s="2" t="s">
        <v>1149</v>
      </c>
    </row>
    <row r="4810">
      <c r="A4810" s="8">
        <v>46203.19664015046</v>
      </c>
      <c r="B4810" s="2" t="s">
        <v>894</v>
      </c>
      <c r="C4810" s="2"/>
      <c r="D4810" s="2" t="s">
        <v>1156</v>
      </c>
    </row>
    <row r="4811">
      <c r="A4811" s="8">
        <v>46203.238119166665</v>
      </c>
      <c r="B4811" s="2" t="s">
        <v>834</v>
      </c>
      <c r="C4811" s="2" t="s">
        <v>794</v>
      </c>
      <c r="D4811" s="2" t="s">
        <v>1182</v>
      </c>
    </row>
    <row r="4812">
      <c r="A4812" s="8">
        <v>46203.23812195602</v>
      </c>
      <c r="B4812" s="2" t="s">
        <v>798</v>
      </c>
      <c r="C4812" s="2" t="s">
        <v>799</v>
      </c>
      <c r="D4812" s="2" t="s">
        <v>800</v>
      </c>
    </row>
    <row r="4813">
      <c r="A4813" s="8">
        <v>46203.23812547454</v>
      </c>
      <c r="B4813" s="2" t="s">
        <v>834</v>
      </c>
      <c r="C4813" s="2" t="s">
        <v>818</v>
      </c>
      <c r="D4813" s="2" t="s">
        <v>1134</v>
      </c>
    </row>
    <row r="4814">
      <c r="A4814" s="8">
        <v>46203.23814516204</v>
      </c>
      <c r="B4814" s="2" t="s">
        <v>838</v>
      </c>
      <c r="C4814" s="2" t="s">
        <v>820</v>
      </c>
      <c r="D4814" s="2" t="s">
        <v>1173</v>
      </c>
    </row>
    <row r="4815">
      <c r="A4815" s="8">
        <v>46203.2381493287</v>
      </c>
      <c r="B4815" s="2" t="s">
        <v>832</v>
      </c>
      <c r="C4815" s="2"/>
      <c r="D4815" s="2" t="s">
        <v>1189</v>
      </c>
    </row>
    <row r="4816">
      <c r="A4816" s="8">
        <v>46203.23821737268</v>
      </c>
      <c r="B4816" s="2" t="s">
        <v>892</v>
      </c>
      <c r="C4816" s="2"/>
      <c r="D4816" s="2" t="s">
        <v>1149</v>
      </c>
    </row>
    <row r="4817">
      <c r="A4817" s="8">
        <v>46203.23825068287</v>
      </c>
      <c r="B4817" s="2" t="s">
        <v>894</v>
      </c>
      <c r="C4817" s="2"/>
      <c r="D4817" s="2" t="s">
        <v>1156</v>
      </c>
    </row>
    <row r="4818">
      <c r="A4818" s="8">
        <v>46203.27978254629</v>
      </c>
      <c r="B4818" s="2" t="s">
        <v>1072</v>
      </c>
      <c r="C4818" s="2" t="s">
        <v>1191</v>
      </c>
      <c r="D4818" s="2" t="s">
        <v>1192</v>
      </c>
    </row>
    <row r="4819">
      <c r="A4819" s="8">
        <v>46203.27978923611</v>
      </c>
      <c r="B4819" s="2" t="s">
        <v>834</v>
      </c>
      <c r="C4819" s="2" t="s">
        <v>794</v>
      </c>
      <c r="D4819" s="2" t="s">
        <v>1182</v>
      </c>
    </row>
    <row r="4820">
      <c r="A4820" s="8">
        <v>46203.279792824076</v>
      </c>
      <c r="B4820" s="2" t="s">
        <v>798</v>
      </c>
      <c r="C4820" s="2" t="s">
        <v>799</v>
      </c>
      <c r="D4820" s="2" t="s">
        <v>800</v>
      </c>
    </row>
    <row r="4821">
      <c r="A4821" s="8">
        <v>46203.27981341435</v>
      </c>
      <c r="B4821" s="2" t="s">
        <v>844</v>
      </c>
      <c r="C4821" s="2" t="s">
        <v>818</v>
      </c>
      <c r="D4821" s="2" t="s">
        <v>860</v>
      </c>
    </row>
    <row r="4822">
      <c r="A4822" s="8">
        <v>46203.27982577546</v>
      </c>
      <c r="B4822" s="2" t="s">
        <v>991</v>
      </c>
      <c r="C4822" s="2" t="s">
        <v>820</v>
      </c>
      <c r="D4822" s="2" t="s">
        <v>1036</v>
      </c>
    </row>
    <row r="4823">
      <c r="A4823" s="8">
        <v>46203.27983049769</v>
      </c>
      <c r="B4823" s="2" t="s">
        <v>832</v>
      </c>
      <c r="C4823" s="2"/>
      <c r="D4823" s="2" t="s">
        <v>1193</v>
      </c>
    </row>
    <row r="4824">
      <c r="A4824" s="8">
        <v>46203.27993295139</v>
      </c>
      <c r="B4824" s="2" t="s">
        <v>892</v>
      </c>
      <c r="C4824" s="2"/>
      <c r="D4824" s="2" t="s">
        <v>1149</v>
      </c>
    </row>
    <row r="4825">
      <c r="A4825" s="8">
        <v>46203.27998530093</v>
      </c>
      <c r="B4825" s="2" t="s">
        <v>844</v>
      </c>
      <c r="C4825" s="2" t="s">
        <v>607</v>
      </c>
      <c r="D4825" s="2" t="s">
        <v>1030</v>
      </c>
    </row>
    <row r="4826">
      <c r="A4826" s="8">
        <v>46203.27999206018</v>
      </c>
      <c r="B4826" s="2" t="s">
        <v>894</v>
      </c>
      <c r="C4826" s="2"/>
      <c r="D4826" s="2" t="s">
        <v>1165</v>
      </c>
    </row>
    <row r="4827">
      <c r="A4827" s="8">
        <v>46203.27999972222</v>
      </c>
      <c r="B4827" s="2" t="s">
        <v>1127</v>
      </c>
      <c r="C4827" s="2"/>
      <c r="D4827" s="2" t="s">
        <v>1128</v>
      </c>
    </row>
    <row r="4828">
      <c r="A4828" s="8">
        <v>46203.32143940972</v>
      </c>
      <c r="B4828" s="2" t="s">
        <v>834</v>
      </c>
      <c r="C4828" s="2" t="s">
        <v>794</v>
      </c>
      <c r="D4828" s="2" t="s">
        <v>1182</v>
      </c>
    </row>
    <row r="4829">
      <c r="A4829" s="8">
        <v>46203.321441736116</v>
      </c>
      <c r="B4829" s="2" t="s">
        <v>798</v>
      </c>
      <c r="C4829" s="2" t="s">
        <v>799</v>
      </c>
      <c r="D4829" s="2" t="s">
        <v>800</v>
      </c>
    </row>
    <row r="4830">
      <c r="A4830" s="8">
        <v>46203.3214443287</v>
      </c>
      <c r="B4830" s="2" t="s">
        <v>991</v>
      </c>
      <c r="C4830" s="2" t="s">
        <v>820</v>
      </c>
      <c r="D4830" s="2" t="s">
        <v>1036</v>
      </c>
    </row>
    <row r="4831">
      <c r="A4831" s="8">
        <v>46203.32144694444</v>
      </c>
      <c r="B4831" s="2" t="s">
        <v>832</v>
      </c>
      <c r="C4831" s="2"/>
      <c r="D4831" s="2" t="s">
        <v>1194</v>
      </c>
    </row>
    <row r="4832">
      <c r="A4832" s="8">
        <v>46203.321525590276</v>
      </c>
      <c r="B4832" s="2" t="s">
        <v>892</v>
      </c>
      <c r="C4832" s="2"/>
      <c r="D4832" s="2" t="s">
        <v>1149</v>
      </c>
    </row>
    <row r="4833">
      <c r="A4833" s="8">
        <v>46203.32156296296</v>
      </c>
      <c r="B4833" s="2" t="s">
        <v>894</v>
      </c>
      <c r="C4833" s="2"/>
      <c r="D4833" s="2" t="s">
        <v>1156</v>
      </c>
    </row>
    <row r="4834">
      <c r="A4834" s="8">
        <v>46203.36327898148</v>
      </c>
      <c r="B4834" s="2" t="s">
        <v>834</v>
      </c>
      <c r="C4834" s="2" t="s">
        <v>794</v>
      </c>
      <c r="D4834" s="2" t="s">
        <v>1182</v>
      </c>
    </row>
    <row r="4835">
      <c r="A4835" s="8">
        <v>46203.36329447917</v>
      </c>
      <c r="B4835" s="2" t="s">
        <v>798</v>
      </c>
      <c r="C4835" s="2" t="s">
        <v>799</v>
      </c>
      <c r="D4835" s="2" t="s">
        <v>800</v>
      </c>
    </row>
    <row r="4836">
      <c r="A4836" s="8">
        <v>46203.363307962965</v>
      </c>
      <c r="B4836" s="2" t="s">
        <v>991</v>
      </c>
      <c r="C4836" s="2" t="s">
        <v>820</v>
      </c>
      <c r="D4836" s="2" t="s">
        <v>1036</v>
      </c>
    </row>
    <row r="4837">
      <c r="A4837" s="8">
        <v>46203.363315636576</v>
      </c>
      <c r="B4837" s="2" t="s">
        <v>832</v>
      </c>
      <c r="C4837" s="2"/>
      <c r="D4837" s="2" t="s">
        <v>1194</v>
      </c>
    </row>
    <row r="4838">
      <c r="A4838" s="8">
        <v>46203.36341327547</v>
      </c>
      <c r="B4838" s="2" t="s">
        <v>892</v>
      </c>
      <c r="C4838" s="2"/>
      <c r="D4838" s="2" t="s">
        <v>1149</v>
      </c>
    </row>
    <row r="4839">
      <c r="A4839" s="8">
        <v>46203.36347070602</v>
      </c>
      <c r="B4839" s="2" t="s">
        <v>894</v>
      </c>
      <c r="C4839" s="2"/>
      <c r="D4839" s="2" t="s">
        <v>1156</v>
      </c>
    </row>
    <row r="4840">
      <c r="A4840" s="8">
        <v>46203.404786597224</v>
      </c>
      <c r="B4840" s="2" t="s">
        <v>834</v>
      </c>
      <c r="C4840" s="2" t="s">
        <v>794</v>
      </c>
      <c r="D4840" s="2" t="s">
        <v>1182</v>
      </c>
    </row>
    <row r="4841">
      <c r="A4841" s="8">
        <v>46203.404789189815</v>
      </c>
      <c r="B4841" s="2" t="s">
        <v>798</v>
      </c>
      <c r="C4841" s="2" t="s">
        <v>799</v>
      </c>
      <c r="D4841" s="2" t="s">
        <v>800</v>
      </c>
    </row>
    <row r="4842">
      <c r="A4842" s="8">
        <v>46203.404792824076</v>
      </c>
      <c r="B4842" s="2" t="s">
        <v>991</v>
      </c>
      <c r="C4842" s="2" t="s">
        <v>820</v>
      </c>
      <c r="D4842" s="2" t="s">
        <v>1036</v>
      </c>
    </row>
    <row r="4843">
      <c r="A4843" s="8">
        <v>46203.40481155092</v>
      </c>
      <c r="B4843" s="2" t="s">
        <v>832</v>
      </c>
      <c r="C4843" s="2"/>
      <c r="D4843" s="2" t="s">
        <v>1194</v>
      </c>
    </row>
    <row r="4844">
      <c r="A4844" s="8">
        <v>46203.40488219907</v>
      </c>
      <c r="B4844" s="2" t="s">
        <v>892</v>
      </c>
      <c r="C4844" s="2"/>
      <c r="D4844" s="2" t="s">
        <v>1149</v>
      </c>
    </row>
    <row r="4845">
      <c r="A4845" s="8">
        <v>46203.40491745371</v>
      </c>
      <c r="B4845" s="2" t="s">
        <v>894</v>
      </c>
      <c r="C4845" s="2"/>
      <c r="D4845" s="2" t="s">
        <v>1156</v>
      </c>
    </row>
    <row r="4846">
      <c r="A4846" s="8">
        <v>46203.44643697917</v>
      </c>
      <c r="B4846" s="2" t="s">
        <v>834</v>
      </c>
      <c r="C4846" s="2" t="s">
        <v>794</v>
      </c>
      <c r="D4846" s="2" t="s">
        <v>1182</v>
      </c>
    </row>
    <row r="4847">
      <c r="A4847" s="8">
        <v>46203.44643913195</v>
      </c>
      <c r="B4847" s="2" t="s">
        <v>798</v>
      </c>
      <c r="C4847" s="2" t="s">
        <v>799</v>
      </c>
      <c r="D4847" s="2" t="s">
        <v>800</v>
      </c>
    </row>
    <row r="4848">
      <c r="A4848" s="8">
        <v>46203.44644210648</v>
      </c>
      <c r="B4848" s="2" t="s">
        <v>991</v>
      </c>
      <c r="C4848" s="2" t="s">
        <v>820</v>
      </c>
      <c r="D4848" s="2" t="s">
        <v>1036</v>
      </c>
    </row>
    <row r="4849">
      <c r="A4849" s="8">
        <v>46203.446460949075</v>
      </c>
      <c r="B4849" s="2" t="s">
        <v>832</v>
      </c>
      <c r="C4849" s="2"/>
      <c r="D4849" s="2" t="s">
        <v>1194</v>
      </c>
    </row>
    <row r="4850">
      <c r="A4850" s="8">
        <v>46203.446521377315</v>
      </c>
      <c r="B4850" s="2" t="s">
        <v>892</v>
      </c>
      <c r="C4850" s="2"/>
      <c r="D4850" s="2" t="s">
        <v>1149</v>
      </c>
    </row>
    <row r="4851">
      <c r="A4851" s="8">
        <v>46203.44654734954</v>
      </c>
      <c r="B4851" s="2" t="s">
        <v>844</v>
      </c>
      <c r="C4851" s="2" t="s">
        <v>702</v>
      </c>
      <c r="D4851" s="2" t="s">
        <v>993</v>
      </c>
    </row>
    <row r="4852">
      <c r="A4852" s="8">
        <v>46203.446552395835</v>
      </c>
      <c r="B4852" s="2" t="s">
        <v>894</v>
      </c>
      <c r="C4852" s="2"/>
      <c r="D4852" s="2" t="s">
        <v>1165</v>
      </c>
    </row>
    <row r="4853">
      <c r="A4853" s="8">
        <v>46203.48810800926</v>
      </c>
      <c r="B4853" s="2" t="s">
        <v>834</v>
      </c>
      <c r="C4853" s="2" t="s">
        <v>794</v>
      </c>
      <c r="D4853" s="2" t="s">
        <v>1182</v>
      </c>
    </row>
    <row r="4854">
      <c r="A4854" s="8">
        <v>46203.48811121528</v>
      </c>
      <c r="B4854" s="2" t="s">
        <v>798</v>
      </c>
      <c r="C4854" s="2" t="s">
        <v>799</v>
      </c>
      <c r="D4854" s="2" t="s">
        <v>800</v>
      </c>
    </row>
    <row r="4855">
      <c r="A4855" s="8">
        <v>46203.48811611111</v>
      </c>
      <c r="B4855" s="2" t="s">
        <v>832</v>
      </c>
      <c r="C4855" s="2"/>
      <c r="D4855" s="2" t="s">
        <v>1189</v>
      </c>
    </row>
    <row r="4856">
      <c r="A4856" s="8">
        <v>46203.488194537036</v>
      </c>
      <c r="B4856" s="2" t="s">
        <v>892</v>
      </c>
      <c r="C4856" s="2"/>
      <c r="D4856" s="2" t="s">
        <v>1149</v>
      </c>
    </row>
    <row r="4857">
      <c r="A4857" s="8">
        <v>46203.48821679398</v>
      </c>
      <c r="B4857" s="2" t="s">
        <v>894</v>
      </c>
      <c r="C4857" s="2"/>
      <c r="D4857" s="2" t="s">
        <v>1156</v>
      </c>
    </row>
    <row r="4858">
      <c r="A4858" s="8">
        <v>46203.52976638889</v>
      </c>
      <c r="B4858" s="2" t="s">
        <v>834</v>
      </c>
      <c r="C4858" s="2" t="s">
        <v>794</v>
      </c>
      <c r="D4858" s="2" t="s">
        <v>1182</v>
      </c>
    </row>
    <row r="4859">
      <c r="A4859" s="8">
        <v>46203.52977059028</v>
      </c>
      <c r="B4859" s="2" t="s">
        <v>798</v>
      </c>
      <c r="C4859" s="2" t="s">
        <v>799</v>
      </c>
      <c r="D4859" s="2" t="s">
        <v>800</v>
      </c>
    </row>
    <row r="4860">
      <c r="A4860" s="8">
        <v>46203.52977533565</v>
      </c>
      <c r="B4860" s="2" t="s">
        <v>832</v>
      </c>
      <c r="C4860" s="2"/>
      <c r="D4860" s="2" t="s">
        <v>1189</v>
      </c>
    </row>
    <row r="4861">
      <c r="A4861" s="8">
        <v>46203.52985453704</v>
      </c>
      <c r="B4861" s="2" t="s">
        <v>892</v>
      </c>
      <c r="C4861" s="2"/>
      <c r="D4861" s="2" t="s">
        <v>1149</v>
      </c>
    </row>
    <row r="4862">
      <c r="A4862" s="8">
        <v>46203.52987947917</v>
      </c>
      <c r="B4862" s="2" t="s">
        <v>894</v>
      </c>
      <c r="C4862" s="2"/>
      <c r="D4862" s="2" t="s">
        <v>1156</v>
      </c>
    </row>
    <row r="4863">
      <c r="A4863" s="8">
        <v>46203.571439074076</v>
      </c>
      <c r="B4863" s="2" t="s">
        <v>834</v>
      </c>
      <c r="C4863" s="2" t="s">
        <v>794</v>
      </c>
      <c r="D4863" s="2" t="s">
        <v>1182</v>
      </c>
    </row>
    <row r="4864">
      <c r="A4864" s="8">
        <v>46203.57144201389</v>
      </c>
      <c r="B4864" s="2" t="s">
        <v>798</v>
      </c>
      <c r="C4864" s="2" t="s">
        <v>799</v>
      </c>
      <c r="D4864" s="2" t="s">
        <v>800</v>
      </c>
    </row>
    <row r="4865">
      <c r="A4865" s="8">
        <v>46203.57144646991</v>
      </c>
      <c r="B4865" s="2" t="s">
        <v>832</v>
      </c>
      <c r="C4865" s="2"/>
      <c r="D4865" s="2" t="s">
        <v>1189</v>
      </c>
    </row>
    <row r="4866">
      <c r="A4866" s="8">
        <v>46203.57152193287</v>
      </c>
      <c r="B4866" s="2" t="s">
        <v>892</v>
      </c>
      <c r="C4866" s="2"/>
      <c r="D4866" s="2" t="s">
        <v>1149</v>
      </c>
    </row>
    <row r="4867">
      <c r="A4867" s="8">
        <v>46203.5715455787</v>
      </c>
      <c r="B4867" s="2" t="s">
        <v>894</v>
      </c>
      <c r="C4867" s="2"/>
      <c r="D4867" s="2" t="s">
        <v>1156</v>
      </c>
    </row>
    <row r="4868">
      <c r="A4868" s="8">
        <v>46203.61319528935</v>
      </c>
      <c r="B4868" s="2" t="s">
        <v>834</v>
      </c>
      <c r="C4868" s="2" t="s">
        <v>794</v>
      </c>
      <c r="D4868" s="2" t="s">
        <v>1182</v>
      </c>
    </row>
    <row r="4869">
      <c r="A4869" s="8">
        <v>46203.61320222222</v>
      </c>
      <c r="B4869" s="2" t="s">
        <v>798</v>
      </c>
      <c r="C4869" s="2" t="s">
        <v>799</v>
      </c>
      <c r="D4869" s="2" t="s">
        <v>800</v>
      </c>
    </row>
    <row r="4870">
      <c r="A4870" s="8">
        <v>46203.613237337966</v>
      </c>
      <c r="B4870" s="2" t="s">
        <v>832</v>
      </c>
      <c r="C4870" s="2"/>
      <c r="D4870" s="2" t="s">
        <v>1189</v>
      </c>
    </row>
    <row r="4871">
      <c r="A4871" s="8">
        <v>46203.61339238426</v>
      </c>
      <c r="B4871" s="2" t="s">
        <v>892</v>
      </c>
      <c r="C4871" s="2"/>
      <c r="D4871" s="2" t="s">
        <v>1149</v>
      </c>
    </row>
    <row r="4872">
      <c r="A4872" s="8">
        <v>46203.61347577546</v>
      </c>
      <c r="B4872" s="2" t="s">
        <v>894</v>
      </c>
      <c r="C4872" s="2"/>
      <c r="D4872" s="2" t="s">
        <v>1156</v>
      </c>
    </row>
    <row r="4873">
      <c r="A4873" s="8">
        <v>46203.6547664699</v>
      </c>
      <c r="B4873" s="2" t="s">
        <v>834</v>
      </c>
      <c r="C4873" s="2" t="s">
        <v>794</v>
      </c>
      <c r="D4873" s="2" t="s">
        <v>1182</v>
      </c>
    </row>
    <row r="4874">
      <c r="A4874" s="8">
        <v>46203.65476993055</v>
      </c>
      <c r="B4874" s="2" t="s">
        <v>798</v>
      </c>
      <c r="C4874" s="2" t="s">
        <v>799</v>
      </c>
      <c r="D4874" s="2" t="s">
        <v>800</v>
      </c>
    </row>
    <row r="4875">
      <c r="A4875" s="8">
        <v>46203.65479072917</v>
      </c>
      <c r="B4875" s="2" t="s">
        <v>832</v>
      </c>
      <c r="C4875" s="2"/>
      <c r="D4875" s="2" t="s">
        <v>1189</v>
      </c>
    </row>
    <row r="4876">
      <c r="A4876" s="8">
        <v>46203.65485304398</v>
      </c>
      <c r="B4876" s="2" t="s">
        <v>892</v>
      </c>
      <c r="C4876" s="2"/>
      <c r="D4876" s="2" t="s">
        <v>1149</v>
      </c>
    </row>
    <row r="4877">
      <c r="A4877" s="8">
        <v>46203.65487475695</v>
      </c>
      <c r="B4877" s="2" t="s">
        <v>894</v>
      </c>
      <c r="C4877" s="2"/>
      <c r="D4877" s="2" t="s">
        <v>1156</v>
      </c>
    </row>
    <row r="4878">
      <c r="A4878" s="8">
        <v>46203.69644983797</v>
      </c>
      <c r="B4878" s="2" t="s">
        <v>834</v>
      </c>
      <c r="C4878" s="2" t="s">
        <v>794</v>
      </c>
      <c r="D4878" s="2" t="s">
        <v>1182</v>
      </c>
    </row>
    <row r="4879">
      <c r="A4879" s="8">
        <v>46203.696452696764</v>
      </c>
      <c r="B4879" s="2" t="s">
        <v>798</v>
      </c>
      <c r="C4879" s="2" t="s">
        <v>799</v>
      </c>
      <c r="D4879" s="2" t="s">
        <v>800</v>
      </c>
    </row>
    <row r="4880">
      <c r="A4880" s="8">
        <v>46203.69645672454</v>
      </c>
      <c r="B4880" s="2" t="s">
        <v>832</v>
      </c>
      <c r="C4880" s="2"/>
      <c r="D4880" s="2" t="s">
        <v>1189</v>
      </c>
    </row>
    <row r="4881">
      <c r="A4881" s="8">
        <v>46203.696540150464</v>
      </c>
      <c r="B4881" s="2" t="s">
        <v>892</v>
      </c>
      <c r="C4881" s="2"/>
      <c r="D4881" s="2" t="s">
        <v>1195</v>
      </c>
    </row>
    <row r="4882">
      <c r="A4882" s="8">
        <v>46203.696560069446</v>
      </c>
      <c r="B4882" s="2" t="s">
        <v>894</v>
      </c>
      <c r="C4882" s="2"/>
      <c r="D4882" s="2" t="s">
        <v>1196</v>
      </c>
    </row>
    <row r="4883">
      <c r="A4883" s="8">
        <v>46203.73811377315</v>
      </c>
      <c r="B4883" s="2" t="s">
        <v>834</v>
      </c>
      <c r="C4883" s="2" t="s">
        <v>794</v>
      </c>
      <c r="D4883" s="2" t="s">
        <v>1182</v>
      </c>
    </row>
    <row r="4884">
      <c r="A4884" s="8">
        <v>46203.738117291665</v>
      </c>
      <c r="B4884" s="2" t="s">
        <v>798</v>
      </c>
      <c r="C4884" s="2" t="s">
        <v>799</v>
      </c>
      <c r="D4884" s="2" t="s">
        <v>800</v>
      </c>
    </row>
    <row r="4885">
      <c r="A4885" s="8">
        <v>46203.73812289352</v>
      </c>
      <c r="B4885" s="2" t="s">
        <v>832</v>
      </c>
      <c r="C4885" s="2"/>
      <c r="D4885" s="2" t="s">
        <v>1189</v>
      </c>
    </row>
    <row r="4886">
      <c r="A4886" s="8">
        <v>46203.73820060185</v>
      </c>
      <c r="B4886" s="2" t="s">
        <v>892</v>
      </c>
      <c r="C4886" s="2"/>
      <c r="D4886" s="2" t="s">
        <v>1195</v>
      </c>
    </row>
    <row r="4887">
      <c r="A4887" s="8">
        <v>46203.738223541666</v>
      </c>
      <c r="B4887" s="2" t="s">
        <v>894</v>
      </c>
      <c r="C4887" s="2"/>
      <c r="D4887" s="2" t="s">
        <v>1196</v>
      </c>
    </row>
    <row r="4888">
      <c r="A4888" s="8">
        <v>46203.7725341551</v>
      </c>
      <c r="B4888" s="2" t="s">
        <v>789</v>
      </c>
      <c r="C4888" s="2"/>
      <c r="D4888" s="2" t="s">
        <v>1094</v>
      </c>
    </row>
    <row r="4889">
      <c r="A4889" s="8">
        <v>46203.77978077546</v>
      </c>
      <c r="B4889" s="2" t="s">
        <v>834</v>
      </c>
      <c r="C4889" s="2" t="s">
        <v>794</v>
      </c>
      <c r="D4889" s="2" t="s">
        <v>1182</v>
      </c>
    </row>
    <row r="4890">
      <c r="A4890" s="8">
        <v>46203.77978596065</v>
      </c>
      <c r="B4890" s="2" t="s">
        <v>798</v>
      </c>
      <c r="C4890" s="2" t="s">
        <v>799</v>
      </c>
      <c r="D4890" s="2" t="s">
        <v>800</v>
      </c>
    </row>
    <row r="4891">
      <c r="A4891" s="8">
        <v>46203.779793298614</v>
      </c>
      <c r="B4891" s="2" t="s">
        <v>832</v>
      </c>
      <c r="C4891" s="2"/>
      <c r="D4891" s="2" t="s">
        <v>1097</v>
      </c>
    </row>
    <row r="4892">
      <c r="A4892" s="8">
        <v>46203.77987162037</v>
      </c>
      <c r="B4892" s="2" t="s">
        <v>892</v>
      </c>
      <c r="C4892" s="2"/>
      <c r="D4892" s="2" t="s">
        <v>1195</v>
      </c>
    </row>
    <row r="4893">
      <c r="A4893" s="8">
        <v>46203.77991712963</v>
      </c>
      <c r="B4893" s="2" t="s">
        <v>894</v>
      </c>
      <c r="C4893" s="2"/>
      <c r="D4893" s="2" t="s">
        <v>1196</v>
      </c>
    </row>
    <row r="4894">
      <c r="A4894" s="8">
        <v>46203.821449375</v>
      </c>
      <c r="B4894" s="2" t="s">
        <v>834</v>
      </c>
      <c r="C4894" s="2" t="s">
        <v>794</v>
      </c>
      <c r="D4894" s="2" t="s">
        <v>1182</v>
      </c>
    </row>
    <row r="4895">
      <c r="A4895" s="8">
        <v>46203.82145377315</v>
      </c>
      <c r="B4895" s="2" t="s">
        <v>798</v>
      </c>
      <c r="C4895" s="2" t="s">
        <v>799</v>
      </c>
      <c r="D4895" s="2" t="s">
        <v>800</v>
      </c>
    </row>
    <row r="4896">
      <c r="A4896" s="8">
        <v>46203.82146199074</v>
      </c>
      <c r="B4896" s="2" t="s">
        <v>832</v>
      </c>
      <c r="C4896" s="2"/>
      <c r="D4896" s="2" t="s">
        <v>1097</v>
      </c>
    </row>
    <row r="4897">
      <c r="A4897" s="8">
        <v>46203.821548645836</v>
      </c>
      <c r="B4897" s="2" t="s">
        <v>892</v>
      </c>
      <c r="C4897" s="2"/>
      <c r="D4897" s="2" t="s">
        <v>1195</v>
      </c>
    </row>
    <row r="4898">
      <c r="A4898" s="8">
        <v>46203.82157869213</v>
      </c>
      <c r="B4898" s="2" t="s">
        <v>894</v>
      </c>
      <c r="C4898" s="2"/>
      <c r="D4898" s="2" t="s">
        <v>1196</v>
      </c>
    </row>
    <row r="4899">
      <c r="A4899" s="8">
        <v>46203.86312108796</v>
      </c>
      <c r="B4899" s="2" t="s">
        <v>834</v>
      </c>
      <c r="C4899" s="2" t="s">
        <v>794</v>
      </c>
      <c r="D4899" s="2" t="s">
        <v>1182</v>
      </c>
    </row>
    <row r="4900">
      <c r="A4900" s="8">
        <v>46203.86312376158</v>
      </c>
      <c r="B4900" s="2" t="s">
        <v>798</v>
      </c>
      <c r="C4900" s="2" t="s">
        <v>799</v>
      </c>
      <c r="D4900" s="2" t="s">
        <v>800</v>
      </c>
    </row>
    <row r="4901">
      <c r="A4901" s="8">
        <v>46203.863127916666</v>
      </c>
      <c r="B4901" s="2" t="s">
        <v>832</v>
      </c>
      <c r="C4901" s="2"/>
      <c r="D4901" s="2" t="s">
        <v>1097</v>
      </c>
    </row>
    <row r="4902">
      <c r="A4902" s="8">
        <v>46203.86319210648</v>
      </c>
      <c r="B4902" s="2" t="s">
        <v>892</v>
      </c>
      <c r="C4902" s="2"/>
      <c r="D4902" s="2" t="s">
        <v>1195</v>
      </c>
    </row>
    <row r="4903">
      <c r="A4903" s="8">
        <v>46203.863215289355</v>
      </c>
      <c r="B4903" s="2" t="s">
        <v>894</v>
      </c>
      <c r="C4903" s="2"/>
      <c r="D4903" s="2" t="s">
        <v>1196</v>
      </c>
    </row>
    <row r="4904">
      <c r="A4904" s="8">
        <v>46203.90476484953</v>
      </c>
      <c r="B4904" s="2" t="s">
        <v>834</v>
      </c>
      <c r="C4904" s="2" t="s">
        <v>794</v>
      </c>
      <c r="D4904" s="2" t="s">
        <v>1182</v>
      </c>
    </row>
    <row r="4905">
      <c r="A4905" s="8">
        <v>46203.90476810186</v>
      </c>
      <c r="B4905" s="2" t="s">
        <v>798</v>
      </c>
      <c r="C4905" s="2" t="s">
        <v>799</v>
      </c>
      <c r="D4905" s="2" t="s">
        <v>800</v>
      </c>
    </row>
    <row r="4906">
      <c r="A4906" s="8">
        <v>46203.90477454861</v>
      </c>
      <c r="B4906" s="2" t="s">
        <v>832</v>
      </c>
      <c r="C4906" s="2"/>
      <c r="D4906" s="2" t="s">
        <v>1097</v>
      </c>
    </row>
    <row r="4907">
      <c r="A4907" s="8">
        <v>46203.90485678241</v>
      </c>
      <c r="B4907" s="2" t="s">
        <v>892</v>
      </c>
      <c r="C4907" s="2"/>
      <c r="D4907" s="2" t="s">
        <v>1195</v>
      </c>
    </row>
    <row r="4908">
      <c r="A4908" s="8">
        <v>46203.904881863426</v>
      </c>
      <c r="B4908" s="2" t="s">
        <v>894</v>
      </c>
      <c r="C4908" s="2"/>
      <c r="D4908" s="2" t="s">
        <v>1196</v>
      </c>
    </row>
    <row r="4909">
      <c r="A4909" s="8">
        <v>46203.91710369213</v>
      </c>
      <c r="B4909" s="2" t="s">
        <v>863</v>
      </c>
      <c r="C4909" s="2"/>
      <c r="D4909" s="2" t="s">
        <v>1197</v>
      </c>
    </row>
    <row r="4910">
      <c r="A4910" s="8">
        <v>46203.946468229165</v>
      </c>
      <c r="B4910" s="2" t="s">
        <v>834</v>
      </c>
      <c r="C4910" s="2" t="s">
        <v>794</v>
      </c>
      <c r="D4910" s="2" t="s">
        <v>1182</v>
      </c>
    </row>
    <row r="4911">
      <c r="A4911" s="8">
        <v>46203.9464722338</v>
      </c>
      <c r="B4911" s="2" t="s">
        <v>798</v>
      </c>
      <c r="C4911" s="2" t="s">
        <v>799</v>
      </c>
      <c r="D4911" s="2" t="s">
        <v>800</v>
      </c>
    </row>
    <row r="4912">
      <c r="A4912" s="8">
        <v>46203.94649621528</v>
      </c>
      <c r="B4912" s="2" t="s">
        <v>832</v>
      </c>
      <c r="C4912" s="2"/>
      <c r="D4912" s="2" t="s">
        <v>1097</v>
      </c>
    </row>
    <row r="4913">
      <c r="A4913" s="8">
        <v>46203.946562638885</v>
      </c>
      <c r="B4913" s="2" t="s">
        <v>892</v>
      </c>
      <c r="C4913" s="2"/>
      <c r="D4913" s="2" t="s">
        <v>1195</v>
      </c>
    </row>
    <row r="4914">
      <c r="A4914" s="8">
        <v>46203.94659122685</v>
      </c>
      <c r="B4914" s="2" t="s">
        <v>894</v>
      </c>
      <c r="C4914" s="2"/>
      <c r="D4914" s="2" t="s">
        <v>1196</v>
      </c>
    </row>
    <row r="4915">
      <c r="A4915" s="8">
        <v>46203.988122986106</v>
      </c>
      <c r="B4915" s="2" t="s">
        <v>834</v>
      </c>
      <c r="C4915" s="2" t="s">
        <v>794</v>
      </c>
      <c r="D4915" s="2" t="s">
        <v>1182</v>
      </c>
    </row>
    <row r="4916">
      <c r="A4916" s="8">
        <v>46203.98812725695</v>
      </c>
      <c r="B4916" s="2" t="s">
        <v>798</v>
      </c>
      <c r="C4916" s="2" t="s">
        <v>799</v>
      </c>
      <c r="D4916" s="2" t="s">
        <v>800</v>
      </c>
    </row>
    <row r="4917">
      <c r="A4917" s="8">
        <v>46203.98813619213</v>
      </c>
      <c r="B4917" s="2" t="s">
        <v>832</v>
      </c>
      <c r="C4917" s="2"/>
      <c r="D4917" s="2" t="s">
        <v>1097</v>
      </c>
    </row>
    <row r="4918">
      <c r="A4918" s="8">
        <v>46203.98824131944</v>
      </c>
      <c r="B4918" s="2" t="s">
        <v>892</v>
      </c>
      <c r="C4918" s="2"/>
      <c r="D4918" s="2" t="s">
        <v>1195</v>
      </c>
    </row>
    <row r="4919">
      <c r="A4919" s="8">
        <v>46203.988265057866</v>
      </c>
      <c r="B4919" s="2" t="s">
        <v>894</v>
      </c>
      <c r="C4919" s="2"/>
      <c r="D4919" s="2" t="s">
        <v>1196</v>
      </c>
    </row>
    <row r="4920">
      <c r="A4920" s="8">
        <v>46204.029816712966</v>
      </c>
      <c r="B4920" s="2" t="s">
        <v>834</v>
      </c>
      <c r="C4920" s="2" t="s">
        <v>794</v>
      </c>
      <c r="D4920" s="2" t="s">
        <v>1182</v>
      </c>
    </row>
    <row r="4921">
      <c r="A4921" s="8">
        <v>46204.029820474534</v>
      </c>
      <c r="B4921" s="2" t="s">
        <v>798</v>
      </c>
      <c r="C4921" s="2" t="s">
        <v>799</v>
      </c>
      <c r="D4921" s="2" t="s">
        <v>800</v>
      </c>
    </row>
    <row r="4922">
      <c r="A4922" s="8">
        <v>46204.02983033565</v>
      </c>
      <c r="B4922" s="2" t="s">
        <v>832</v>
      </c>
      <c r="C4922" s="2"/>
      <c r="D4922" s="2" t="s">
        <v>1097</v>
      </c>
    </row>
    <row r="4923">
      <c r="A4923" s="8">
        <v>46204.029923634254</v>
      </c>
      <c r="B4923" s="2" t="s">
        <v>892</v>
      </c>
      <c r="C4923" s="2"/>
      <c r="D4923" s="2" t="s">
        <v>1195</v>
      </c>
    </row>
    <row r="4924">
      <c r="A4924" s="8">
        <v>46204.02996090278</v>
      </c>
      <c r="B4924" s="2" t="s">
        <v>894</v>
      </c>
      <c r="C4924" s="2"/>
      <c r="D4924" s="2" t="s">
        <v>1196</v>
      </c>
    </row>
    <row r="4925">
      <c r="A4925" s="8">
        <v>46204.07145495371</v>
      </c>
      <c r="B4925" s="2" t="s">
        <v>834</v>
      </c>
      <c r="C4925" s="2" t="s">
        <v>794</v>
      </c>
      <c r="D4925" s="2" t="s">
        <v>1182</v>
      </c>
    </row>
    <row r="4926">
      <c r="A4926" s="8">
        <v>46204.07145877315</v>
      </c>
      <c r="B4926" s="2" t="s">
        <v>798</v>
      </c>
      <c r="C4926" s="2" t="s">
        <v>799</v>
      </c>
      <c r="D4926" s="2" t="s">
        <v>800</v>
      </c>
    </row>
    <row r="4927">
      <c r="A4927" s="8">
        <v>46204.071464849534</v>
      </c>
      <c r="B4927" s="2" t="s">
        <v>832</v>
      </c>
      <c r="C4927" s="2"/>
      <c r="D4927" s="2" t="s">
        <v>1097</v>
      </c>
    </row>
    <row r="4928">
      <c r="A4928" s="8">
        <v>46204.07154454861</v>
      </c>
      <c r="B4928" s="2" t="s">
        <v>892</v>
      </c>
      <c r="C4928" s="2"/>
      <c r="D4928" s="2" t="s">
        <v>1195</v>
      </c>
    </row>
    <row r="4929">
      <c r="A4929" s="8">
        <v>46204.07157726852</v>
      </c>
      <c r="B4929" s="2" t="s">
        <v>894</v>
      </c>
      <c r="C4929" s="2"/>
      <c r="D4929" s="2" t="s">
        <v>1196</v>
      </c>
    </row>
    <row r="4930">
      <c r="A4930" s="8">
        <v>46204.113104432865</v>
      </c>
      <c r="B4930" s="2" t="s">
        <v>834</v>
      </c>
      <c r="C4930" s="2" t="s">
        <v>794</v>
      </c>
      <c r="D4930" s="2" t="s">
        <v>1182</v>
      </c>
    </row>
    <row r="4931">
      <c r="A4931" s="8">
        <v>46204.113109178244</v>
      </c>
      <c r="B4931" s="2" t="s">
        <v>798</v>
      </c>
      <c r="C4931" s="2" t="s">
        <v>799</v>
      </c>
      <c r="D4931" s="2" t="s">
        <v>800</v>
      </c>
    </row>
    <row r="4932">
      <c r="A4932" s="8">
        <v>46204.113117326386</v>
      </c>
      <c r="B4932" s="2" t="s">
        <v>844</v>
      </c>
      <c r="C4932" s="2" t="s">
        <v>842</v>
      </c>
      <c r="D4932" s="2" t="s">
        <v>860</v>
      </c>
    </row>
    <row r="4933">
      <c r="A4933" s="8">
        <v>46204.11313891204</v>
      </c>
      <c r="B4933" s="2" t="s">
        <v>832</v>
      </c>
      <c r="C4933" s="2"/>
      <c r="D4933" s="2" t="s">
        <v>1096</v>
      </c>
    </row>
    <row r="4934">
      <c r="A4934" s="8">
        <v>46204.11320270834</v>
      </c>
      <c r="B4934" s="2" t="s">
        <v>892</v>
      </c>
      <c r="C4934" s="2"/>
      <c r="D4934" s="2" t="s">
        <v>1195</v>
      </c>
    </row>
    <row r="4935">
      <c r="A4935" s="8">
        <v>46204.1132262037</v>
      </c>
      <c r="B4935" s="2" t="s">
        <v>894</v>
      </c>
      <c r="C4935" s="2"/>
      <c r="D4935" s="2" t="s">
        <v>1196</v>
      </c>
    </row>
    <row r="4936">
      <c r="A4936" s="8">
        <v>46204.15477122685</v>
      </c>
      <c r="B4936" s="2" t="s">
        <v>834</v>
      </c>
      <c r="C4936" s="2" t="s">
        <v>794</v>
      </c>
      <c r="D4936" s="2" t="s">
        <v>1182</v>
      </c>
    </row>
    <row r="4937">
      <c r="A4937" s="8">
        <v>46204.15477550926</v>
      </c>
      <c r="B4937" s="2" t="s">
        <v>798</v>
      </c>
      <c r="C4937" s="2" t="s">
        <v>799</v>
      </c>
      <c r="D4937" s="2" t="s">
        <v>800</v>
      </c>
    </row>
    <row r="4938">
      <c r="A4938" s="8">
        <v>46204.15478430556</v>
      </c>
      <c r="B4938" s="2" t="s">
        <v>832</v>
      </c>
      <c r="C4938" s="2"/>
      <c r="D4938" s="2" t="s">
        <v>1097</v>
      </c>
    </row>
    <row r="4939">
      <c r="A4939" s="8">
        <v>46204.15485738426</v>
      </c>
      <c r="B4939" s="2" t="s">
        <v>892</v>
      </c>
      <c r="C4939" s="2"/>
      <c r="D4939" s="2" t="s">
        <v>1195</v>
      </c>
    </row>
    <row r="4940">
      <c r="A4940" s="8">
        <v>46204.15487856482</v>
      </c>
      <c r="B4940" s="2" t="s">
        <v>894</v>
      </c>
      <c r="C4940" s="2"/>
      <c r="D4940" s="2" t="s">
        <v>1196</v>
      </c>
    </row>
    <row r="4941">
      <c r="A4941" s="8">
        <v>46204.196493379626</v>
      </c>
      <c r="B4941" s="2" t="s">
        <v>834</v>
      </c>
      <c r="C4941" s="2" t="s">
        <v>794</v>
      </c>
      <c r="D4941" s="2" t="s">
        <v>1182</v>
      </c>
    </row>
    <row r="4942">
      <c r="A4942" s="8">
        <v>46204.196502025465</v>
      </c>
      <c r="B4942" s="2" t="s">
        <v>798</v>
      </c>
      <c r="C4942" s="2" t="s">
        <v>799</v>
      </c>
      <c r="D4942" s="2" t="s">
        <v>800</v>
      </c>
    </row>
    <row r="4943">
      <c r="A4943" s="8">
        <v>46204.19652023148</v>
      </c>
      <c r="B4943" s="2" t="s">
        <v>832</v>
      </c>
      <c r="C4943" s="2"/>
      <c r="D4943" s="2" t="s">
        <v>1097</v>
      </c>
    </row>
    <row r="4944">
      <c r="A4944" s="8">
        <v>46204.19660568287</v>
      </c>
      <c r="B4944" s="2" t="s">
        <v>892</v>
      </c>
      <c r="C4944" s="2"/>
      <c r="D4944" s="2" t="s">
        <v>1195</v>
      </c>
    </row>
    <row r="4945">
      <c r="A4945" s="8">
        <v>46204.19664009259</v>
      </c>
      <c r="B4945" s="2" t="s">
        <v>894</v>
      </c>
      <c r="C4945" s="2"/>
      <c r="D4945" s="2" t="s">
        <v>1196</v>
      </c>
    </row>
    <row r="4946">
      <c r="A4946" s="8">
        <v>46204.23811559028</v>
      </c>
      <c r="B4946" s="2" t="s">
        <v>834</v>
      </c>
      <c r="C4946" s="2" t="s">
        <v>794</v>
      </c>
      <c r="D4946" s="2" t="s">
        <v>1182</v>
      </c>
    </row>
    <row r="4947">
      <c r="A4947" s="8">
        <v>46204.23811877315</v>
      </c>
      <c r="B4947" s="2" t="s">
        <v>798</v>
      </c>
      <c r="C4947" s="2" t="s">
        <v>799</v>
      </c>
      <c r="D4947" s="2" t="s">
        <v>800</v>
      </c>
    </row>
    <row r="4948">
      <c r="A4948" s="8">
        <v>46204.23812465278</v>
      </c>
      <c r="B4948" s="2" t="s">
        <v>832</v>
      </c>
      <c r="C4948" s="2"/>
      <c r="D4948" s="2" t="s">
        <v>1097</v>
      </c>
    </row>
    <row r="4949">
      <c r="A4949" s="8">
        <v>46204.23819267361</v>
      </c>
      <c r="B4949" s="2" t="s">
        <v>892</v>
      </c>
      <c r="C4949" s="2"/>
      <c r="D4949" s="2" t="s">
        <v>1195</v>
      </c>
    </row>
    <row r="4950">
      <c r="A4950" s="8">
        <v>46204.23822177084</v>
      </c>
      <c r="B4950" s="2" t="s">
        <v>894</v>
      </c>
      <c r="C4950" s="2"/>
      <c r="D4950" s="2" t="s">
        <v>1196</v>
      </c>
    </row>
    <row r="4951">
      <c r="A4951" s="8">
        <v>46204.27980200232</v>
      </c>
      <c r="B4951" s="2" t="s">
        <v>834</v>
      </c>
      <c r="C4951" s="2" t="s">
        <v>794</v>
      </c>
      <c r="D4951" s="2" t="s">
        <v>1182</v>
      </c>
    </row>
    <row r="4952">
      <c r="A4952" s="8">
        <v>46204.2798066088</v>
      </c>
      <c r="B4952" s="2" t="s">
        <v>798</v>
      </c>
      <c r="C4952" s="2" t="s">
        <v>799</v>
      </c>
      <c r="D4952" s="2" t="s">
        <v>800</v>
      </c>
    </row>
    <row r="4953">
      <c r="A4953" s="8">
        <v>46204.27981659722</v>
      </c>
      <c r="B4953" s="2" t="s">
        <v>832</v>
      </c>
      <c r="C4953" s="2"/>
      <c r="D4953" s="2" t="s">
        <v>1097</v>
      </c>
    </row>
    <row r="4954">
      <c r="A4954" s="8">
        <v>46204.27991597222</v>
      </c>
      <c r="B4954" s="2" t="s">
        <v>892</v>
      </c>
      <c r="C4954" s="2"/>
      <c r="D4954" s="2" t="s">
        <v>1195</v>
      </c>
    </row>
    <row r="4955">
      <c r="A4955" s="8">
        <v>46204.27995668982</v>
      </c>
      <c r="B4955" s="2" t="s">
        <v>894</v>
      </c>
      <c r="C4955" s="2"/>
      <c r="D4955" s="2" t="s">
        <v>1196</v>
      </c>
    </row>
    <row r="4956">
      <c r="A4956" s="8">
        <v>46204.321860509255</v>
      </c>
      <c r="B4956" s="2" t="s">
        <v>834</v>
      </c>
      <c r="C4956" s="2" t="s">
        <v>794</v>
      </c>
      <c r="D4956" s="2" t="s">
        <v>1182</v>
      </c>
    </row>
    <row r="4957">
      <c r="A4957" s="8">
        <v>46204.321876574075</v>
      </c>
      <c r="B4957" s="2" t="s">
        <v>798</v>
      </c>
      <c r="C4957" s="2" t="s">
        <v>799</v>
      </c>
      <c r="D4957" s="2" t="s">
        <v>800</v>
      </c>
    </row>
    <row r="4958">
      <c r="A4958" s="8">
        <v>46204.321952893515</v>
      </c>
      <c r="B4958" s="2" t="s">
        <v>991</v>
      </c>
      <c r="C4958" s="2" t="s">
        <v>808</v>
      </c>
      <c r="D4958" s="2" t="s">
        <v>1021</v>
      </c>
    </row>
    <row r="4959">
      <c r="A4959" s="8">
        <v>46204.32206976852</v>
      </c>
      <c r="B4959" s="2" t="s">
        <v>832</v>
      </c>
      <c r="C4959" s="2"/>
      <c r="D4959" s="2" t="s">
        <v>1106</v>
      </c>
    </row>
    <row r="4960">
      <c r="A4960" s="8">
        <v>46204.32249710648</v>
      </c>
      <c r="B4960" s="2" t="s">
        <v>892</v>
      </c>
      <c r="C4960" s="2"/>
      <c r="D4960" s="2" t="s">
        <v>1195</v>
      </c>
    </row>
    <row r="4961">
      <c r="A4961" s="8">
        <v>46204.32279082176</v>
      </c>
      <c r="B4961" s="2" t="s">
        <v>844</v>
      </c>
      <c r="C4961" s="2" t="s">
        <v>595</v>
      </c>
      <c r="D4961" s="2" t="s">
        <v>945</v>
      </c>
    </row>
    <row r="4962">
      <c r="A4962" s="8">
        <v>46204.32281542824</v>
      </c>
      <c r="B4962" s="2" t="s">
        <v>894</v>
      </c>
      <c r="C4962" s="2"/>
      <c r="D4962" s="2" t="s">
        <v>1198</v>
      </c>
    </row>
    <row r="4963">
      <c r="A4963" s="8">
        <v>46204.36310540509</v>
      </c>
      <c r="B4963" s="2" t="s">
        <v>834</v>
      </c>
      <c r="C4963" s="2" t="s">
        <v>794</v>
      </c>
      <c r="D4963" s="2" t="s">
        <v>1182</v>
      </c>
    </row>
    <row r="4964">
      <c r="A4964" s="8">
        <v>46204.36310826389</v>
      </c>
      <c r="B4964" s="2" t="s">
        <v>798</v>
      </c>
      <c r="C4964" s="2" t="s">
        <v>799</v>
      </c>
      <c r="D4964" s="2" t="s">
        <v>800</v>
      </c>
    </row>
    <row r="4965">
      <c r="A4965" s="8">
        <v>46204.3631178125</v>
      </c>
      <c r="B4965" s="2" t="s">
        <v>832</v>
      </c>
      <c r="C4965" s="2"/>
      <c r="D4965" s="2" t="s">
        <v>1097</v>
      </c>
    </row>
    <row r="4966">
      <c r="A4966" s="8">
        <v>46204.363194652775</v>
      </c>
      <c r="B4966" s="2" t="s">
        <v>892</v>
      </c>
      <c r="C4966" s="2"/>
      <c r="D4966" s="2" t="s">
        <v>1195</v>
      </c>
    </row>
    <row r="4967">
      <c r="A4967" s="8">
        <v>46204.36321943287</v>
      </c>
      <c r="B4967" s="2" t="s">
        <v>894</v>
      </c>
      <c r="C4967" s="2"/>
      <c r="D4967" s="2" t="s">
        <v>1196</v>
      </c>
    </row>
    <row r="4968">
      <c r="A4968" s="8">
        <v>46204.40477259259</v>
      </c>
      <c r="B4968" s="2" t="s">
        <v>834</v>
      </c>
      <c r="C4968" s="2" t="s">
        <v>794</v>
      </c>
      <c r="D4968" s="2" t="s">
        <v>1182</v>
      </c>
    </row>
    <row r="4969">
      <c r="A4969" s="8">
        <v>46204.40478049769</v>
      </c>
      <c r="B4969" s="2" t="s">
        <v>798</v>
      </c>
      <c r="C4969" s="2" t="s">
        <v>799</v>
      </c>
      <c r="D4969" s="2" t="s">
        <v>800</v>
      </c>
    </row>
    <row r="4970">
      <c r="A4970" s="8">
        <v>46204.4047847801</v>
      </c>
      <c r="B4970" s="2" t="s">
        <v>832</v>
      </c>
      <c r="C4970" s="2"/>
      <c r="D4970" s="2" t="s">
        <v>1097</v>
      </c>
    </row>
    <row r="4971">
      <c r="A4971" s="8">
        <v>46204.40484519676</v>
      </c>
      <c r="B4971" s="2" t="s">
        <v>892</v>
      </c>
      <c r="C4971" s="2"/>
      <c r="D4971" s="2" t="s">
        <v>1195</v>
      </c>
    </row>
    <row r="4972">
      <c r="A4972" s="8">
        <v>46204.404867627316</v>
      </c>
      <c r="B4972" s="2" t="s">
        <v>894</v>
      </c>
      <c r="C4972" s="2"/>
      <c r="D4972" s="2" t="s">
        <v>1196</v>
      </c>
    </row>
    <row r="4973">
      <c r="A4973" s="8">
        <v>46204.446444120375</v>
      </c>
      <c r="B4973" s="2" t="s">
        <v>834</v>
      </c>
      <c r="C4973" s="2" t="s">
        <v>794</v>
      </c>
      <c r="D4973" s="2" t="s">
        <v>1182</v>
      </c>
    </row>
    <row r="4974">
      <c r="A4974" s="8">
        <v>46204.44644677083</v>
      </c>
      <c r="B4974" s="2" t="s">
        <v>798</v>
      </c>
      <c r="C4974" s="2" t="s">
        <v>799</v>
      </c>
      <c r="D4974" s="2" t="s">
        <v>800</v>
      </c>
    </row>
    <row r="4975">
      <c r="A4975" s="8">
        <v>46204.4464528588</v>
      </c>
      <c r="B4975" s="2" t="s">
        <v>838</v>
      </c>
      <c r="C4975" s="2" t="s">
        <v>820</v>
      </c>
      <c r="D4975" s="2" t="s">
        <v>1173</v>
      </c>
    </row>
    <row r="4976">
      <c r="A4976" s="8">
        <v>46204.44647018518</v>
      </c>
      <c r="B4976" s="2" t="s">
        <v>832</v>
      </c>
      <c r="C4976" s="2"/>
      <c r="D4976" s="2" t="s">
        <v>1097</v>
      </c>
    </row>
    <row r="4977">
      <c r="A4977" s="8">
        <v>46204.446538958335</v>
      </c>
      <c r="B4977" s="2" t="s">
        <v>892</v>
      </c>
      <c r="C4977" s="2"/>
      <c r="D4977" s="2" t="s">
        <v>1195</v>
      </c>
    </row>
    <row r="4978">
      <c r="A4978" s="8">
        <v>46204.44656940972</v>
      </c>
      <c r="B4978" s="2" t="s">
        <v>844</v>
      </c>
      <c r="C4978" s="2" t="s">
        <v>768</v>
      </c>
      <c r="D4978" s="2" t="s">
        <v>1033</v>
      </c>
    </row>
    <row r="4979">
      <c r="A4979" s="8">
        <v>46204.44658643518</v>
      </c>
      <c r="B4979" s="2" t="s">
        <v>894</v>
      </c>
      <c r="C4979" s="2"/>
      <c r="D4979" s="2" t="s">
        <v>1198</v>
      </c>
    </row>
    <row r="4980">
      <c r="A4980" s="8">
        <v>46204.488095821755</v>
      </c>
      <c r="B4980" s="2" t="s">
        <v>834</v>
      </c>
      <c r="C4980" s="2" t="s">
        <v>794</v>
      </c>
      <c r="D4980" s="2" t="s">
        <v>1182</v>
      </c>
    </row>
    <row r="4981">
      <c r="A4981" s="8">
        <v>46204.48809912037</v>
      </c>
      <c r="B4981" s="2" t="s">
        <v>798</v>
      </c>
      <c r="C4981" s="2" t="s">
        <v>799</v>
      </c>
      <c r="D4981" s="2" t="s">
        <v>800</v>
      </c>
    </row>
    <row r="4982">
      <c r="A4982" s="8">
        <v>46204.48810259259</v>
      </c>
      <c r="B4982" s="2" t="s">
        <v>838</v>
      </c>
      <c r="C4982" s="2" t="s">
        <v>820</v>
      </c>
      <c r="D4982" s="2" t="s">
        <v>1173</v>
      </c>
    </row>
    <row r="4983">
      <c r="A4983" s="8">
        <v>46204.4881065625</v>
      </c>
      <c r="B4983" s="2" t="s">
        <v>832</v>
      </c>
      <c r="C4983" s="2"/>
      <c r="D4983" s="2" t="s">
        <v>1097</v>
      </c>
    </row>
    <row r="4984">
      <c r="A4984" s="8">
        <v>46204.48816980324</v>
      </c>
      <c r="B4984" s="2" t="s">
        <v>892</v>
      </c>
      <c r="C4984" s="2"/>
      <c r="D4984" s="2" t="s">
        <v>1195</v>
      </c>
    </row>
    <row r="4985">
      <c r="A4985" s="8">
        <v>46204.48818697917</v>
      </c>
      <c r="B4985" s="2" t="s">
        <v>894</v>
      </c>
      <c r="C4985" s="2"/>
      <c r="D4985" s="2" t="s">
        <v>1196</v>
      </c>
    </row>
    <row r="4986">
      <c r="A4986" s="8">
        <v>46204.52979581019</v>
      </c>
      <c r="B4986" s="2" t="s">
        <v>834</v>
      </c>
      <c r="C4986" s="2" t="s">
        <v>794</v>
      </c>
      <c r="D4986" s="2" t="s">
        <v>1182</v>
      </c>
    </row>
    <row r="4987">
      <c r="A4987" s="8">
        <v>46204.52979969907</v>
      </c>
      <c r="B4987" s="2" t="s">
        <v>798</v>
      </c>
      <c r="C4987" s="2" t="s">
        <v>799</v>
      </c>
      <c r="D4987" s="2" t="s">
        <v>800</v>
      </c>
    </row>
    <row r="4988">
      <c r="A4988" s="8">
        <v>46204.529803530095</v>
      </c>
      <c r="B4988" s="2" t="s">
        <v>838</v>
      </c>
      <c r="C4988" s="2" t="s">
        <v>820</v>
      </c>
      <c r="D4988" s="2" t="s">
        <v>1173</v>
      </c>
    </row>
    <row r="4989">
      <c r="A4989" s="8">
        <v>46204.52981116898</v>
      </c>
      <c r="B4989" s="2" t="s">
        <v>832</v>
      </c>
      <c r="C4989" s="2"/>
      <c r="D4989" s="2" t="s">
        <v>1097</v>
      </c>
    </row>
    <row r="4990">
      <c r="A4990" s="8">
        <v>46204.5299039699</v>
      </c>
      <c r="B4990" s="2" t="s">
        <v>892</v>
      </c>
      <c r="C4990" s="2"/>
      <c r="D4990" s="2" t="s">
        <v>1195</v>
      </c>
    </row>
    <row r="4991">
      <c r="A4991" s="8">
        <v>46204.5299306713</v>
      </c>
      <c r="B4991" s="2" t="s">
        <v>894</v>
      </c>
      <c r="C4991" s="2"/>
      <c r="D4991" s="2" t="s">
        <v>1196</v>
      </c>
    </row>
    <row r="4992">
      <c r="A4992" s="8">
        <v>46204.57146575231</v>
      </c>
      <c r="B4992" s="2" t="s">
        <v>834</v>
      </c>
      <c r="C4992" s="2" t="s">
        <v>794</v>
      </c>
      <c r="D4992" s="2" t="s">
        <v>1182</v>
      </c>
    </row>
    <row r="4993">
      <c r="A4993" s="8">
        <v>46204.571468298614</v>
      </c>
      <c r="B4993" s="2" t="s">
        <v>798</v>
      </c>
      <c r="C4993" s="2" t="s">
        <v>799</v>
      </c>
      <c r="D4993" s="2" t="s">
        <v>800</v>
      </c>
    </row>
    <row r="4994">
      <c r="A4994" s="8">
        <v>46204.57147141204</v>
      </c>
      <c r="B4994" s="2" t="s">
        <v>838</v>
      </c>
      <c r="C4994" s="2" t="s">
        <v>820</v>
      </c>
      <c r="D4994" s="2" t="s">
        <v>1173</v>
      </c>
    </row>
    <row r="4995">
      <c r="A4995" s="8">
        <v>46204.571474282406</v>
      </c>
      <c r="B4995" s="2" t="s">
        <v>832</v>
      </c>
      <c r="C4995" s="2"/>
      <c r="D4995" s="2" t="s">
        <v>1097</v>
      </c>
    </row>
    <row r="4996">
      <c r="A4996" s="8">
        <v>46204.57155758102</v>
      </c>
      <c r="B4996" s="2" t="s">
        <v>892</v>
      </c>
      <c r="C4996" s="2"/>
      <c r="D4996" s="2" t="s">
        <v>1195</v>
      </c>
    </row>
    <row r="4997">
      <c r="A4997" s="8">
        <v>46204.57157439815</v>
      </c>
      <c r="B4997" s="2" t="s">
        <v>894</v>
      </c>
      <c r="C4997" s="2"/>
      <c r="D4997" s="2" t="s">
        <v>1196</v>
      </c>
    </row>
    <row r="4998">
      <c r="A4998" s="8">
        <v>46204.61311148148</v>
      </c>
      <c r="B4998" s="2" t="s">
        <v>834</v>
      </c>
      <c r="C4998" s="2" t="s">
        <v>794</v>
      </c>
      <c r="D4998" s="2" t="s">
        <v>1182</v>
      </c>
    </row>
    <row r="4999">
      <c r="A4999" s="8">
        <v>46204.61311922454</v>
      </c>
      <c r="B4999" s="2" t="s">
        <v>844</v>
      </c>
      <c r="C4999" s="2" t="s">
        <v>794</v>
      </c>
      <c r="D4999" s="2" t="s">
        <v>845</v>
      </c>
    </row>
    <row r="5000">
      <c r="A5000" s="8">
        <v>46204.61314018519</v>
      </c>
      <c r="B5000" s="2" t="s">
        <v>798</v>
      </c>
      <c r="C5000" s="2" t="s">
        <v>799</v>
      </c>
      <c r="D5000" s="2" t="s">
        <v>800</v>
      </c>
    </row>
    <row r="5001">
      <c r="A5001" s="8">
        <v>46204.61314405093</v>
      </c>
      <c r="B5001" s="2" t="s">
        <v>838</v>
      </c>
      <c r="C5001" s="2" t="s">
        <v>820</v>
      </c>
      <c r="D5001" s="2" t="s">
        <v>1173</v>
      </c>
    </row>
    <row r="5002">
      <c r="A5002" s="8">
        <v>46204.61316706019</v>
      </c>
      <c r="B5002" s="2" t="s">
        <v>832</v>
      </c>
      <c r="C5002" s="2"/>
      <c r="D5002" s="2" t="s">
        <v>1096</v>
      </c>
    </row>
    <row r="5003">
      <c r="A5003" s="8">
        <v>46204.61322829861</v>
      </c>
      <c r="B5003" s="2" t="s">
        <v>892</v>
      </c>
      <c r="C5003" s="2"/>
      <c r="D5003" s="2" t="s">
        <v>1195</v>
      </c>
    </row>
    <row r="5004">
      <c r="A5004" s="8">
        <v>46204.61325149305</v>
      </c>
      <c r="B5004" s="2" t="s">
        <v>844</v>
      </c>
      <c r="C5004" s="2" t="s">
        <v>692</v>
      </c>
      <c r="D5004" s="2" t="s">
        <v>1113</v>
      </c>
    </row>
    <row r="5005">
      <c r="A5005" s="8">
        <v>46204.613256261575</v>
      </c>
      <c r="B5005" s="2" t="s">
        <v>894</v>
      </c>
      <c r="C5005" s="2"/>
      <c r="D5005" s="2" t="s">
        <v>1198</v>
      </c>
    </row>
    <row r="5006">
      <c r="A5006" s="8">
        <v>46204.65478228009</v>
      </c>
      <c r="B5006" s="2" t="s">
        <v>834</v>
      </c>
      <c r="C5006" s="2" t="s">
        <v>794</v>
      </c>
      <c r="D5006" s="2" t="s">
        <v>1182</v>
      </c>
    </row>
    <row r="5007">
      <c r="A5007" s="8">
        <v>46204.654789189815</v>
      </c>
      <c r="B5007" s="2" t="s">
        <v>798</v>
      </c>
      <c r="C5007" s="2" t="s">
        <v>799</v>
      </c>
      <c r="D5007" s="2" t="s">
        <v>800</v>
      </c>
    </row>
    <row r="5008">
      <c r="A5008" s="8">
        <v>46204.654793842594</v>
      </c>
      <c r="B5008" s="2" t="s">
        <v>838</v>
      </c>
      <c r="C5008" s="2" t="s">
        <v>820</v>
      </c>
      <c r="D5008" s="2" t="s">
        <v>1173</v>
      </c>
    </row>
    <row r="5009">
      <c r="A5009" s="8">
        <v>46204.65479767361</v>
      </c>
      <c r="B5009" s="2" t="s">
        <v>832</v>
      </c>
      <c r="C5009" s="2"/>
      <c r="D5009" s="2" t="s">
        <v>1097</v>
      </c>
    </row>
    <row r="5010">
      <c r="A5010" s="8">
        <v>46204.654879814814</v>
      </c>
      <c r="B5010" s="2" t="s">
        <v>892</v>
      </c>
      <c r="C5010" s="2"/>
      <c r="D5010" s="2" t="s">
        <v>1195</v>
      </c>
    </row>
    <row r="5011">
      <c r="A5011" s="8">
        <v>46204.65490504629</v>
      </c>
      <c r="B5011" s="2" t="s">
        <v>894</v>
      </c>
      <c r="C5011" s="2"/>
      <c r="D5011" s="2" t="s">
        <v>1196</v>
      </c>
    </row>
    <row r="5012">
      <c r="A5012" s="8">
        <v>46204.69645574074</v>
      </c>
      <c r="B5012" s="2" t="s">
        <v>834</v>
      </c>
      <c r="C5012" s="2" t="s">
        <v>794</v>
      </c>
      <c r="D5012" s="2" t="s">
        <v>1182</v>
      </c>
    </row>
    <row r="5013">
      <c r="A5013" s="8">
        <v>46204.696460625</v>
      </c>
      <c r="B5013" s="2" t="s">
        <v>798</v>
      </c>
      <c r="C5013" s="2" t="s">
        <v>799</v>
      </c>
      <c r="D5013" s="2" t="s">
        <v>800</v>
      </c>
    </row>
    <row r="5014">
      <c r="A5014" s="8">
        <v>46204.696465925925</v>
      </c>
      <c r="B5014" s="2" t="s">
        <v>838</v>
      </c>
      <c r="C5014" s="2" t="s">
        <v>820</v>
      </c>
      <c r="D5014" s="2" t="s">
        <v>1173</v>
      </c>
    </row>
    <row r="5015">
      <c r="A5015" s="8">
        <v>46204.696486388886</v>
      </c>
      <c r="B5015" s="2" t="s">
        <v>832</v>
      </c>
      <c r="C5015" s="2"/>
      <c r="D5015" s="2" t="s">
        <v>1097</v>
      </c>
    </row>
    <row r="5016">
      <c r="A5016" s="8">
        <v>46204.69657965278</v>
      </c>
      <c r="B5016" s="2" t="s">
        <v>892</v>
      </c>
      <c r="C5016" s="2"/>
      <c r="D5016" s="2" t="s">
        <v>1195</v>
      </c>
    </row>
    <row r="5017">
      <c r="A5017" s="8">
        <v>46204.6966286574</v>
      </c>
      <c r="B5017" s="2" t="s">
        <v>894</v>
      </c>
      <c r="C5017" s="2"/>
      <c r="D5017" s="2" t="s">
        <v>1196</v>
      </c>
    </row>
    <row r="5018">
      <c r="A5018" s="8">
        <v>46204.73810952547</v>
      </c>
      <c r="B5018" s="2" t="s">
        <v>834</v>
      </c>
      <c r="C5018" s="2" t="s">
        <v>794</v>
      </c>
      <c r="D5018" s="2" t="s">
        <v>1182</v>
      </c>
    </row>
    <row r="5019">
      <c r="A5019" s="8">
        <v>46204.73811392361</v>
      </c>
      <c r="B5019" s="2" t="s">
        <v>798</v>
      </c>
      <c r="C5019" s="2" t="s">
        <v>799</v>
      </c>
      <c r="D5019" s="2" t="s">
        <v>800</v>
      </c>
    </row>
    <row r="5020">
      <c r="A5020" s="8">
        <v>46204.738118657406</v>
      </c>
      <c r="B5020" s="2" t="s">
        <v>838</v>
      </c>
      <c r="C5020" s="2" t="s">
        <v>820</v>
      </c>
      <c r="D5020" s="2" t="s">
        <v>1173</v>
      </c>
    </row>
    <row r="5021">
      <c r="A5021" s="8">
        <v>46204.73813482639</v>
      </c>
      <c r="B5021" s="2" t="s">
        <v>832</v>
      </c>
      <c r="C5021" s="2"/>
      <c r="D5021" s="2" t="s">
        <v>1097</v>
      </c>
    </row>
    <row r="5022">
      <c r="A5022" s="8">
        <v>46204.73820769676</v>
      </c>
      <c r="B5022" s="2" t="s">
        <v>892</v>
      </c>
      <c r="C5022" s="2"/>
      <c r="D5022" s="2" t="s">
        <v>1195</v>
      </c>
    </row>
    <row r="5023">
      <c r="A5023" s="8">
        <v>46204.7382343287</v>
      </c>
      <c r="B5023" s="2" t="s">
        <v>894</v>
      </c>
      <c r="C5023" s="2"/>
      <c r="D5023" s="2" t="s">
        <v>1196</v>
      </c>
    </row>
    <row r="5024">
      <c r="A5024" s="8">
        <v>46204.772223437496</v>
      </c>
      <c r="B5024" s="2" t="s">
        <v>789</v>
      </c>
      <c r="C5024" s="2"/>
      <c r="D5024" s="2" t="s">
        <v>1094</v>
      </c>
    </row>
    <row r="5025">
      <c r="A5025" s="8">
        <v>46204.77980238426</v>
      </c>
      <c r="B5025" s="2" t="s">
        <v>834</v>
      </c>
      <c r="C5025" s="2" t="s">
        <v>794</v>
      </c>
      <c r="D5025" s="2" t="s">
        <v>1182</v>
      </c>
    </row>
    <row r="5026">
      <c r="A5026" s="8">
        <v>46204.77980520834</v>
      </c>
      <c r="B5026" s="2" t="s">
        <v>798</v>
      </c>
      <c r="C5026" s="2" t="s">
        <v>799</v>
      </c>
      <c r="D5026" s="2" t="s">
        <v>800</v>
      </c>
    </row>
    <row r="5027">
      <c r="A5027" s="8">
        <v>46204.77980907407</v>
      </c>
      <c r="B5027" s="2" t="s">
        <v>838</v>
      </c>
      <c r="C5027" s="2" t="s">
        <v>820</v>
      </c>
      <c r="D5027" s="2" t="s">
        <v>1173</v>
      </c>
    </row>
    <row r="5028">
      <c r="A5028" s="8">
        <v>46204.77982951389</v>
      </c>
      <c r="B5028" s="2" t="s">
        <v>832</v>
      </c>
      <c r="C5028" s="2"/>
      <c r="D5028" s="2" t="s">
        <v>1097</v>
      </c>
    </row>
    <row r="5029">
      <c r="A5029" s="8">
        <v>46204.779889224534</v>
      </c>
      <c r="B5029" s="2" t="s">
        <v>892</v>
      </c>
      <c r="C5029" s="2"/>
      <c r="D5029" s="2" t="s">
        <v>1195</v>
      </c>
    </row>
    <row r="5030">
      <c r="A5030" s="8">
        <v>46204.779915127314</v>
      </c>
      <c r="B5030" s="2" t="s">
        <v>894</v>
      </c>
      <c r="C5030" s="2"/>
      <c r="D5030" s="2" t="s">
        <v>1196</v>
      </c>
    </row>
    <row r="5031">
      <c r="A5031" s="8">
        <v>46204.82143081019</v>
      </c>
      <c r="B5031" s="2" t="s">
        <v>834</v>
      </c>
      <c r="C5031" s="2" t="s">
        <v>794</v>
      </c>
      <c r="D5031" s="2" t="s">
        <v>1182</v>
      </c>
    </row>
    <row r="5032">
      <c r="A5032" s="8">
        <v>46204.82143302083</v>
      </c>
      <c r="B5032" s="2" t="s">
        <v>798</v>
      </c>
      <c r="C5032" s="2" t="s">
        <v>799</v>
      </c>
      <c r="D5032" s="2" t="s">
        <v>800</v>
      </c>
    </row>
    <row r="5033">
      <c r="A5033" s="8">
        <v>46204.821435543985</v>
      </c>
      <c r="B5033" s="2" t="s">
        <v>838</v>
      </c>
      <c r="C5033" s="2" t="s">
        <v>820</v>
      </c>
      <c r="D5033" s="2" t="s">
        <v>1173</v>
      </c>
    </row>
    <row r="5034">
      <c r="A5034" s="8">
        <v>46204.82145452546</v>
      </c>
      <c r="B5034" s="2" t="s">
        <v>832</v>
      </c>
      <c r="C5034" s="2"/>
      <c r="D5034" s="2" t="s">
        <v>1097</v>
      </c>
    </row>
    <row r="5035">
      <c r="A5035" s="8">
        <v>46204.82150983796</v>
      </c>
      <c r="B5035" s="2" t="s">
        <v>892</v>
      </c>
      <c r="C5035" s="2"/>
      <c r="D5035" s="2" t="s">
        <v>1195</v>
      </c>
    </row>
    <row r="5036">
      <c r="A5036" s="8">
        <v>46204.821520763886</v>
      </c>
      <c r="B5036" s="2" t="s">
        <v>894</v>
      </c>
      <c r="C5036" s="2"/>
      <c r="D5036" s="2" t="s">
        <v>1196</v>
      </c>
    </row>
    <row r="5037">
      <c r="A5037" s="8">
        <v>46204.863102233794</v>
      </c>
      <c r="B5037" s="2" t="s">
        <v>834</v>
      </c>
      <c r="C5037" s="2" t="s">
        <v>794</v>
      </c>
      <c r="D5037" s="2" t="s">
        <v>1182</v>
      </c>
    </row>
    <row r="5038">
      <c r="A5038" s="8">
        <v>46204.86310501157</v>
      </c>
      <c r="B5038" s="2" t="s">
        <v>798</v>
      </c>
      <c r="C5038" s="2" t="s">
        <v>799</v>
      </c>
      <c r="D5038" s="2" t="s">
        <v>800</v>
      </c>
    </row>
    <row r="5039">
      <c r="A5039" s="8">
        <v>46204.86310857639</v>
      </c>
      <c r="B5039" s="2" t="s">
        <v>838</v>
      </c>
      <c r="C5039" s="2" t="s">
        <v>820</v>
      </c>
      <c r="D5039" s="2" t="s">
        <v>1173</v>
      </c>
    </row>
    <row r="5040">
      <c r="A5040" s="8">
        <v>46204.86311273148</v>
      </c>
      <c r="B5040" s="2" t="s">
        <v>832</v>
      </c>
      <c r="C5040" s="2"/>
      <c r="D5040" s="2" t="s">
        <v>1097</v>
      </c>
    </row>
    <row r="5041">
      <c r="A5041" s="8">
        <v>46204.863182789355</v>
      </c>
      <c r="B5041" s="2" t="s">
        <v>892</v>
      </c>
      <c r="C5041" s="2"/>
      <c r="D5041" s="2" t="s">
        <v>1195</v>
      </c>
    </row>
    <row r="5042">
      <c r="A5042" s="8">
        <v>46204.863203333334</v>
      </c>
      <c r="B5042" s="2" t="s">
        <v>844</v>
      </c>
      <c r="C5042" s="2" t="s">
        <v>590</v>
      </c>
      <c r="D5042" s="2" t="s">
        <v>985</v>
      </c>
    </row>
    <row r="5043">
      <c r="A5043" s="8">
        <v>46204.86320821759</v>
      </c>
      <c r="B5043" s="2" t="s">
        <v>894</v>
      </c>
      <c r="C5043" s="2"/>
      <c r="D5043" s="2" t="s">
        <v>1198</v>
      </c>
    </row>
    <row r="5044">
      <c r="A5044" s="8">
        <v>46204.9047675926</v>
      </c>
      <c r="B5044" s="2" t="s">
        <v>834</v>
      </c>
      <c r="C5044" s="2" t="s">
        <v>794</v>
      </c>
      <c r="D5044" s="2" t="s">
        <v>1182</v>
      </c>
    </row>
    <row r="5045">
      <c r="A5045" s="8">
        <v>46204.904770567126</v>
      </c>
      <c r="B5045" s="2" t="s">
        <v>798</v>
      </c>
      <c r="C5045" s="2" t="s">
        <v>799</v>
      </c>
      <c r="D5045" s="2" t="s">
        <v>800</v>
      </c>
    </row>
    <row r="5046">
      <c r="A5046" s="8">
        <v>46204.90477371528</v>
      </c>
      <c r="B5046" s="2" t="s">
        <v>838</v>
      </c>
      <c r="C5046" s="2" t="s">
        <v>820</v>
      </c>
      <c r="D5046" s="2" t="s">
        <v>1173</v>
      </c>
    </row>
    <row r="5047">
      <c r="A5047" s="8">
        <v>46204.904778703705</v>
      </c>
      <c r="B5047" s="2" t="s">
        <v>832</v>
      </c>
      <c r="C5047" s="2"/>
      <c r="D5047" s="2" t="s">
        <v>1097</v>
      </c>
    </row>
    <row r="5048">
      <c r="A5048" s="8">
        <v>46204.90485208333</v>
      </c>
      <c r="B5048" s="2" t="s">
        <v>892</v>
      </c>
      <c r="C5048" s="2"/>
      <c r="D5048" s="2" t="s">
        <v>1195</v>
      </c>
    </row>
    <row r="5049">
      <c r="A5049" s="8">
        <v>46204.90487871528</v>
      </c>
      <c r="B5049" s="2" t="s">
        <v>894</v>
      </c>
      <c r="C5049" s="2"/>
      <c r="D5049" s="2" t="s">
        <v>1196</v>
      </c>
    </row>
    <row r="5050">
      <c r="A5050" s="8">
        <v>46204.917126030094</v>
      </c>
      <c r="B5050" s="2" t="s">
        <v>863</v>
      </c>
      <c r="C5050" s="2"/>
      <c r="D5050" s="2" t="s">
        <v>1199</v>
      </c>
    </row>
    <row r="5051">
      <c r="A5051" s="8">
        <v>46204.94643045139</v>
      </c>
      <c r="B5051" s="2" t="s">
        <v>834</v>
      </c>
      <c r="C5051" s="2" t="s">
        <v>794</v>
      </c>
      <c r="D5051" s="2" t="s">
        <v>1182</v>
      </c>
    </row>
    <row r="5052">
      <c r="A5052" s="8">
        <v>46204.94643399306</v>
      </c>
      <c r="B5052" s="2" t="s">
        <v>798</v>
      </c>
      <c r="C5052" s="2" t="s">
        <v>799</v>
      </c>
      <c r="D5052" s="2" t="s">
        <v>800</v>
      </c>
    </row>
    <row r="5053">
      <c r="A5053" s="8">
        <v>46204.94643930555</v>
      </c>
      <c r="B5053" s="2" t="s">
        <v>838</v>
      </c>
      <c r="C5053" s="2" t="s">
        <v>820</v>
      </c>
      <c r="D5053" s="2" t="s">
        <v>1173</v>
      </c>
    </row>
    <row r="5054">
      <c r="A5054" s="8">
        <v>46204.94645408565</v>
      </c>
      <c r="B5054" s="2" t="s">
        <v>832</v>
      </c>
      <c r="C5054" s="2"/>
      <c r="D5054" s="2" t="s">
        <v>1097</v>
      </c>
    </row>
    <row r="5055">
      <c r="A5055" s="8">
        <v>46204.946522847225</v>
      </c>
      <c r="B5055" s="2" t="s">
        <v>892</v>
      </c>
      <c r="C5055" s="2"/>
      <c r="D5055" s="2" t="s">
        <v>1195</v>
      </c>
    </row>
    <row r="5056">
      <c r="A5056" s="8">
        <v>46204.94654402778</v>
      </c>
      <c r="B5056" s="2" t="s">
        <v>894</v>
      </c>
      <c r="C5056" s="2"/>
      <c r="D5056" s="2" t="s">
        <v>1196</v>
      </c>
    </row>
    <row r="5057">
      <c r="A5057" s="8">
        <v>46204.988155960644</v>
      </c>
      <c r="B5057" s="2" t="s">
        <v>834</v>
      </c>
      <c r="C5057" s="2" t="s">
        <v>794</v>
      </c>
      <c r="D5057" s="2" t="s">
        <v>1182</v>
      </c>
    </row>
    <row r="5058">
      <c r="A5058" s="8">
        <v>46204.988160127315</v>
      </c>
      <c r="B5058" s="2" t="s">
        <v>798</v>
      </c>
      <c r="C5058" s="2" t="s">
        <v>799</v>
      </c>
      <c r="D5058" s="2" t="s">
        <v>800</v>
      </c>
    </row>
    <row r="5059">
      <c r="A5059" s="8">
        <v>46204.988167407406</v>
      </c>
      <c r="B5059" s="2" t="s">
        <v>838</v>
      </c>
      <c r="C5059" s="2" t="s">
        <v>820</v>
      </c>
      <c r="D5059" s="2" t="s">
        <v>1173</v>
      </c>
    </row>
    <row r="5060">
      <c r="A5060" s="8">
        <v>46204.9881869213</v>
      </c>
      <c r="B5060" s="2" t="s">
        <v>832</v>
      </c>
      <c r="C5060" s="2"/>
      <c r="D5060" s="2" t="s">
        <v>1097</v>
      </c>
    </row>
    <row r="5061">
      <c r="A5061" s="8">
        <v>46204.98828365741</v>
      </c>
      <c r="B5061" s="2" t="s">
        <v>892</v>
      </c>
      <c r="C5061" s="2"/>
      <c r="D5061" s="2" t="s">
        <v>1195</v>
      </c>
    </row>
    <row r="5062">
      <c r="A5062" s="8">
        <v>46204.988329687505</v>
      </c>
      <c r="B5062" s="2" t="s">
        <v>894</v>
      </c>
      <c r="C5062" s="2"/>
      <c r="D5062" s="2" t="s">
        <v>1196</v>
      </c>
    </row>
    <row r="5063">
      <c r="A5063" s="8">
        <v>46205.02976928241</v>
      </c>
      <c r="B5063" s="2" t="s">
        <v>834</v>
      </c>
      <c r="C5063" s="2" t="s">
        <v>794</v>
      </c>
      <c r="D5063" s="2" t="s">
        <v>1182</v>
      </c>
    </row>
    <row r="5064">
      <c r="A5064" s="8">
        <v>46205.029775324074</v>
      </c>
      <c r="B5064" s="2" t="s">
        <v>798</v>
      </c>
      <c r="C5064" s="2" t="s">
        <v>799</v>
      </c>
      <c r="D5064" s="2" t="s">
        <v>800</v>
      </c>
    </row>
    <row r="5065">
      <c r="A5065" s="8">
        <v>46205.029783136575</v>
      </c>
      <c r="B5065" s="2" t="s">
        <v>838</v>
      </c>
      <c r="C5065" s="2" t="s">
        <v>820</v>
      </c>
      <c r="D5065" s="2" t="s">
        <v>1173</v>
      </c>
    </row>
    <row r="5066">
      <c r="A5066" s="8">
        <v>46205.02979392361</v>
      </c>
      <c r="B5066" s="2" t="s">
        <v>832</v>
      </c>
      <c r="C5066" s="2"/>
      <c r="D5066" s="2" t="s">
        <v>1097</v>
      </c>
    </row>
    <row r="5067">
      <c r="A5067" s="8">
        <v>46205.02988472222</v>
      </c>
      <c r="B5067" s="2" t="s">
        <v>892</v>
      </c>
      <c r="C5067" s="2"/>
      <c r="D5067" s="2" t="s">
        <v>1195</v>
      </c>
    </row>
    <row r="5068">
      <c r="A5068" s="8">
        <v>46205.02991236111</v>
      </c>
      <c r="B5068" s="2" t="s">
        <v>894</v>
      </c>
      <c r="C5068" s="2"/>
      <c r="D5068" s="2" t="s">
        <v>1196</v>
      </c>
    </row>
    <row r="5069">
      <c r="A5069" s="8">
        <v>46205.07146622685</v>
      </c>
      <c r="B5069" s="2" t="s">
        <v>834</v>
      </c>
      <c r="C5069" s="2" t="s">
        <v>794</v>
      </c>
      <c r="D5069" s="2" t="s">
        <v>1182</v>
      </c>
    </row>
    <row r="5070">
      <c r="A5070" s="8">
        <v>46205.07147333333</v>
      </c>
      <c r="B5070" s="2" t="s">
        <v>798</v>
      </c>
      <c r="C5070" s="2" t="s">
        <v>799</v>
      </c>
      <c r="D5070" s="2" t="s">
        <v>800</v>
      </c>
    </row>
    <row r="5071">
      <c r="A5071" s="8">
        <v>46205.07148061343</v>
      </c>
      <c r="B5071" s="2" t="s">
        <v>838</v>
      </c>
      <c r="C5071" s="2" t="s">
        <v>820</v>
      </c>
      <c r="D5071" s="2" t="s">
        <v>1173</v>
      </c>
    </row>
    <row r="5072">
      <c r="A5072" s="8">
        <v>46205.07150019676</v>
      </c>
      <c r="B5072" s="2" t="s">
        <v>832</v>
      </c>
      <c r="C5072" s="2"/>
      <c r="D5072" s="2" t="s">
        <v>1097</v>
      </c>
    </row>
    <row r="5073">
      <c r="A5073" s="8">
        <v>46205.0715924074</v>
      </c>
      <c r="B5073" s="2" t="s">
        <v>892</v>
      </c>
      <c r="C5073" s="2"/>
      <c r="D5073" s="2" t="s">
        <v>1195</v>
      </c>
    </row>
    <row r="5074">
      <c r="A5074" s="8">
        <v>46205.07163909722</v>
      </c>
      <c r="B5074" s="2" t="s">
        <v>894</v>
      </c>
      <c r="C5074" s="2"/>
      <c r="D5074" s="2" t="s">
        <v>1196</v>
      </c>
    </row>
    <row r="5075">
      <c r="A5075" s="8">
        <v>46205.113099270835</v>
      </c>
      <c r="B5075" s="2" t="s">
        <v>834</v>
      </c>
      <c r="C5075" s="2" t="s">
        <v>794</v>
      </c>
      <c r="D5075" s="2" t="s">
        <v>1182</v>
      </c>
    </row>
    <row r="5076">
      <c r="A5076" s="8">
        <v>46205.113103564814</v>
      </c>
      <c r="B5076" s="2" t="s">
        <v>798</v>
      </c>
      <c r="C5076" s="2" t="s">
        <v>799</v>
      </c>
      <c r="D5076" s="2" t="s">
        <v>800</v>
      </c>
    </row>
    <row r="5077">
      <c r="A5077" s="8">
        <v>46205.113107604164</v>
      </c>
      <c r="B5077" s="2" t="s">
        <v>838</v>
      </c>
      <c r="C5077" s="2" t="s">
        <v>820</v>
      </c>
      <c r="D5077" s="2" t="s">
        <v>1173</v>
      </c>
    </row>
    <row r="5078">
      <c r="A5078" s="8">
        <v>46205.11312230324</v>
      </c>
      <c r="B5078" s="2" t="s">
        <v>832</v>
      </c>
      <c r="C5078" s="2"/>
      <c r="D5078" s="2" t="s">
        <v>1097</v>
      </c>
    </row>
    <row r="5079">
      <c r="A5079" s="8">
        <v>46205.11319037037</v>
      </c>
      <c r="B5079" s="2" t="s">
        <v>892</v>
      </c>
      <c r="C5079" s="2"/>
      <c r="D5079" s="2" t="s">
        <v>1195</v>
      </c>
    </row>
    <row r="5080">
      <c r="A5080" s="8">
        <v>46205.113211759264</v>
      </c>
      <c r="B5080" s="2" t="s">
        <v>991</v>
      </c>
      <c r="C5080" s="2" t="s">
        <v>539</v>
      </c>
      <c r="D5080" s="2" t="s">
        <v>1171</v>
      </c>
    </row>
    <row r="5081">
      <c r="A5081" s="8">
        <v>46205.113215254634</v>
      </c>
      <c r="B5081" s="2" t="s">
        <v>894</v>
      </c>
      <c r="C5081" s="2"/>
      <c r="D5081" s="2" t="s">
        <v>1200</v>
      </c>
    </row>
    <row r="5082">
      <c r="A5082" s="8">
        <v>46205.15478810185</v>
      </c>
      <c r="B5082" s="2" t="s">
        <v>834</v>
      </c>
      <c r="C5082" s="2" t="s">
        <v>794</v>
      </c>
      <c r="D5082" s="2" t="s">
        <v>1182</v>
      </c>
    </row>
    <row r="5083">
      <c r="A5083" s="8">
        <v>46205.15479155093</v>
      </c>
      <c r="B5083" s="2" t="s">
        <v>798</v>
      </c>
      <c r="C5083" s="2" t="s">
        <v>799</v>
      </c>
      <c r="D5083" s="2" t="s">
        <v>800</v>
      </c>
    </row>
    <row r="5084">
      <c r="A5084" s="8">
        <v>46205.15479674768</v>
      </c>
      <c r="B5084" s="2" t="s">
        <v>838</v>
      </c>
      <c r="C5084" s="2" t="s">
        <v>820</v>
      </c>
      <c r="D5084" s="2" t="s">
        <v>1173</v>
      </c>
    </row>
    <row r="5085">
      <c r="A5085" s="8">
        <v>46205.154816435184</v>
      </c>
      <c r="B5085" s="2" t="s">
        <v>832</v>
      </c>
      <c r="C5085" s="2"/>
      <c r="D5085" s="2" t="s">
        <v>1097</v>
      </c>
    </row>
    <row r="5086">
      <c r="A5086" s="8">
        <v>46205.154899189816</v>
      </c>
      <c r="B5086" s="2" t="s">
        <v>892</v>
      </c>
      <c r="C5086" s="2"/>
      <c r="D5086" s="2" t="s">
        <v>1195</v>
      </c>
    </row>
    <row r="5087">
      <c r="A5087" s="8">
        <v>46205.15492905093</v>
      </c>
      <c r="B5087" s="2" t="s">
        <v>894</v>
      </c>
      <c r="C5087" s="2"/>
      <c r="D5087" s="2" t="s">
        <v>1196</v>
      </c>
    </row>
    <row r="5088">
      <c r="A5088" s="8">
        <v>46205.196454363424</v>
      </c>
      <c r="B5088" s="2" t="s">
        <v>834</v>
      </c>
      <c r="C5088" s="2" t="s">
        <v>794</v>
      </c>
      <c r="D5088" s="2" t="s">
        <v>1182</v>
      </c>
    </row>
    <row r="5089">
      <c r="A5089" s="8">
        <v>46205.19652362268</v>
      </c>
      <c r="B5089" s="2" t="s">
        <v>798</v>
      </c>
      <c r="C5089" s="2" t="s">
        <v>799</v>
      </c>
      <c r="D5089" s="2" t="s">
        <v>800</v>
      </c>
    </row>
    <row r="5090">
      <c r="A5090" s="8">
        <v>46205.19652815972</v>
      </c>
      <c r="B5090" s="2" t="s">
        <v>838</v>
      </c>
      <c r="C5090" s="2" t="s">
        <v>820</v>
      </c>
      <c r="D5090" s="2" t="s">
        <v>1173</v>
      </c>
    </row>
    <row r="5091">
      <c r="A5091" s="8">
        <v>46205.19653449074</v>
      </c>
      <c r="B5091" s="2" t="s">
        <v>832</v>
      </c>
      <c r="C5091" s="2"/>
      <c r="D5091" s="2" t="s">
        <v>1097</v>
      </c>
    </row>
    <row r="5092">
      <c r="A5092" s="8">
        <v>46205.196609756946</v>
      </c>
      <c r="B5092" s="2" t="s">
        <v>892</v>
      </c>
      <c r="C5092" s="2"/>
      <c r="D5092" s="2" t="s">
        <v>1195</v>
      </c>
    </row>
    <row r="5093">
      <c r="A5093" s="8">
        <v>46205.196650763886</v>
      </c>
      <c r="B5093" s="2" t="s">
        <v>894</v>
      </c>
      <c r="C5093" s="2"/>
      <c r="D5093" s="2" t="s">
        <v>1196</v>
      </c>
    </row>
    <row r="5094">
      <c r="A5094" s="8">
        <v>46205.238112962965</v>
      </c>
      <c r="B5094" s="2" t="s">
        <v>834</v>
      </c>
      <c r="C5094" s="2" t="s">
        <v>794</v>
      </c>
      <c r="D5094" s="2" t="s">
        <v>1182</v>
      </c>
    </row>
    <row r="5095">
      <c r="A5095" s="8">
        <v>46205.238116504624</v>
      </c>
      <c r="B5095" s="2" t="s">
        <v>798</v>
      </c>
      <c r="C5095" s="2" t="s">
        <v>799</v>
      </c>
      <c r="D5095" s="2" t="s">
        <v>800</v>
      </c>
    </row>
    <row r="5096">
      <c r="A5096" s="8">
        <v>46205.238120925926</v>
      </c>
      <c r="B5096" s="2" t="s">
        <v>838</v>
      </c>
      <c r="C5096" s="2" t="s">
        <v>820</v>
      </c>
      <c r="D5096" s="2" t="s">
        <v>1173</v>
      </c>
    </row>
    <row r="5097">
      <c r="A5097" s="8">
        <v>46205.238137858796</v>
      </c>
      <c r="B5097" s="2" t="s">
        <v>832</v>
      </c>
      <c r="C5097" s="2"/>
      <c r="D5097" s="2" t="s">
        <v>1097</v>
      </c>
    </row>
    <row r="5098">
      <c r="A5098" s="8">
        <v>46205.23821601852</v>
      </c>
      <c r="B5098" s="2" t="s">
        <v>892</v>
      </c>
      <c r="C5098" s="2"/>
      <c r="D5098" s="2" t="s">
        <v>1195</v>
      </c>
    </row>
    <row r="5099">
      <c r="A5099" s="8">
        <v>46205.23828755787</v>
      </c>
      <c r="B5099" s="2" t="s">
        <v>894</v>
      </c>
      <c r="C5099" s="2"/>
      <c r="D5099" s="2" t="s">
        <v>1196</v>
      </c>
    </row>
    <row r="5100">
      <c r="A5100" s="8">
        <v>46205.27981126157</v>
      </c>
      <c r="B5100" s="2" t="s">
        <v>834</v>
      </c>
      <c r="C5100" s="2" t="s">
        <v>794</v>
      </c>
      <c r="D5100" s="2" t="s">
        <v>1182</v>
      </c>
    </row>
    <row r="5101">
      <c r="A5101" s="8">
        <v>46205.27981523148</v>
      </c>
      <c r="B5101" s="2" t="s">
        <v>798</v>
      </c>
      <c r="C5101" s="2" t="s">
        <v>799</v>
      </c>
      <c r="D5101" s="2" t="s">
        <v>800</v>
      </c>
    </row>
    <row r="5102">
      <c r="A5102" s="8">
        <v>46205.27982149305</v>
      </c>
      <c r="B5102" s="2" t="s">
        <v>838</v>
      </c>
      <c r="C5102" s="2" t="s">
        <v>820</v>
      </c>
      <c r="D5102" s="2" t="s">
        <v>1173</v>
      </c>
    </row>
    <row r="5103">
      <c r="A5103" s="8">
        <v>46205.279839166666</v>
      </c>
      <c r="B5103" s="2" t="s">
        <v>832</v>
      </c>
      <c r="C5103" s="2"/>
      <c r="D5103" s="2" t="s">
        <v>1097</v>
      </c>
    </row>
    <row r="5104">
      <c r="A5104" s="8">
        <v>46205.27992371528</v>
      </c>
      <c r="B5104" s="2" t="s">
        <v>892</v>
      </c>
      <c r="C5104" s="2"/>
      <c r="D5104" s="2" t="s">
        <v>1195</v>
      </c>
    </row>
    <row r="5105">
      <c r="A5105" s="8">
        <v>46205.27995931713</v>
      </c>
      <c r="B5105" s="2" t="s">
        <v>894</v>
      </c>
      <c r="C5105" s="2"/>
      <c r="D5105" s="2" t="s">
        <v>1196</v>
      </c>
    </row>
    <row r="5106">
      <c r="A5106" s="8">
        <v>46205.32147513889</v>
      </c>
      <c r="B5106" s="2" t="s">
        <v>834</v>
      </c>
      <c r="C5106" s="2" t="s">
        <v>794</v>
      </c>
      <c r="D5106" s="2" t="s">
        <v>1182</v>
      </c>
    </row>
    <row r="5107">
      <c r="A5107" s="8">
        <v>46205.32148601852</v>
      </c>
      <c r="B5107" s="2" t="s">
        <v>798</v>
      </c>
      <c r="C5107" s="2" t="s">
        <v>799</v>
      </c>
      <c r="D5107" s="2" t="s">
        <v>800</v>
      </c>
    </row>
    <row r="5108">
      <c r="A5108" s="8">
        <v>46205.32151010417</v>
      </c>
      <c r="B5108" s="2" t="s">
        <v>838</v>
      </c>
      <c r="C5108" s="2" t="s">
        <v>820</v>
      </c>
      <c r="D5108" s="2" t="s">
        <v>1173</v>
      </c>
    </row>
    <row r="5109">
      <c r="A5109" s="8">
        <v>46205.32151504629</v>
      </c>
      <c r="B5109" s="2" t="s">
        <v>832</v>
      </c>
      <c r="C5109" s="2"/>
      <c r="D5109" s="2" t="s">
        <v>1097</v>
      </c>
    </row>
    <row r="5110">
      <c r="A5110" s="8">
        <v>46205.32159502315</v>
      </c>
      <c r="B5110" s="2" t="s">
        <v>892</v>
      </c>
      <c r="C5110" s="2"/>
      <c r="D5110" s="2" t="s">
        <v>1195</v>
      </c>
    </row>
    <row r="5111">
      <c r="A5111" s="8">
        <v>46205.32162635417</v>
      </c>
      <c r="B5111" s="2" t="s">
        <v>894</v>
      </c>
      <c r="C5111" s="2"/>
      <c r="D5111" s="2" t="s">
        <v>1196</v>
      </c>
    </row>
    <row r="5112">
      <c r="A5112" s="8">
        <v>46205.3631293287</v>
      </c>
      <c r="B5112" s="2" t="s">
        <v>834</v>
      </c>
      <c r="C5112" s="2" t="s">
        <v>794</v>
      </c>
      <c r="D5112" s="2" t="s">
        <v>1182</v>
      </c>
    </row>
    <row r="5113">
      <c r="A5113" s="8">
        <v>46205.36313391203</v>
      </c>
      <c r="B5113" s="2" t="s">
        <v>798</v>
      </c>
      <c r="C5113" s="2" t="s">
        <v>799</v>
      </c>
      <c r="D5113" s="2" t="s">
        <v>800</v>
      </c>
    </row>
    <row r="5114">
      <c r="A5114" s="8">
        <v>46205.363140092595</v>
      </c>
      <c r="B5114" s="2" t="s">
        <v>838</v>
      </c>
      <c r="C5114" s="2" t="s">
        <v>820</v>
      </c>
      <c r="D5114" s="2" t="s">
        <v>1173</v>
      </c>
    </row>
    <row r="5115">
      <c r="A5115" s="8">
        <v>46205.3631600463</v>
      </c>
      <c r="B5115" s="2" t="s">
        <v>832</v>
      </c>
      <c r="C5115" s="2"/>
      <c r="D5115" s="2" t="s">
        <v>1097</v>
      </c>
    </row>
    <row r="5116">
      <c r="A5116" s="8">
        <v>46205.36324047454</v>
      </c>
      <c r="B5116" s="2" t="s">
        <v>892</v>
      </c>
      <c r="C5116" s="2"/>
      <c r="D5116" s="2" t="s">
        <v>1195</v>
      </c>
    </row>
    <row r="5117">
      <c r="A5117" s="8">
        <v>46205.363284328705</v>
      </c>
      <c r="B5117" s="2" t="s">
        <v>894</v>
      </c>
      <c r="C5117" s="2"/>
      <c r="D5117" s="2" t="s">
        <v>1196</v>
      </c>
    </row>
    <row r="5118">
      <c r="A5118" s="8">
        <v>46205.40481596065</v>
      </c>
      <c r="B5118" s="2" t="s">
        <v>834</v>
      </c>
      <c r="C5118" s="2" t="s">
        <v>794</v>
      </c>
      <c r="D5118" s="2" t="s">
        <v>1182</v>
      </c>
    </row>
    <row r="5119">
      <c r="A5119" s="8">
        <v>46205.4048190625</v>
      </c>
      <c r="B5119" s="2" t="s">
        <v>798</v>
      </c>
      <c r="C5119" s="2" t="s">
        <v>799</v>
      </c>
      <c r="D5119" s="2" t="s">
        <v>800</v>
      </c>
    </row>
    <row r="5120">
      <c r="A5120" s="8">
        <v>46205.40482575231</v>
      </c>
      <c r="B5120" s="2" t="s">
        <v>844</v>
      </c>
      <c r="C5120" s="2" t="s">
        <v>848</v>
      </c>
      <c r="D5120" s="2" t="s">
        <v>860</v>
      </c>
    </row>
    <row r="5121">
      <c r="A5121" s="8">
        <v>46205.40483388889</v>
      </c>
      <c r="B5121" s="2" t="s">
        <v>838</v>
      </c>
      <c r="C5121" s="2" t="s">
        <v>820</v>
      </c>
      <c r="D5121" s="2" t="s">
        <v>1173</v>
      </c>
    </row>
    <row r="5122">
      <c r="A5122" s="8">
        <v>46205.40483731481</v>
      </c>
      <c r="B5122" s="2" t="s">
        <v>832</v>
      </c>
      <c r="C5122" s="2"/>
      <c r="D5122" s="2" t="s">
        <v>1096</v>
      </c>
    </row>
    <row r="5123">
      <c r="A5123" s="8">
        <v>46205.40489476852</v>
      </c>
      <c r="B5123" s="2" t="s">
        <v>892</v>
      </c>
      <c r="C5123" s="2"/>
      <c r="D5123" s="2" t="s">
        <v>1195</v>
      </c>
    </row>
    <row r="5124">
      <c r="A5124" s="8">
        <v>46205.40491694445</v>
      </c>
      <c r="B5124" s="2" t="s">
        <v>894</v>
      </c>
      <c r="C5124" s="2"/>
      <c r="D5124" s="2" t="s">
        <v>1196</v>
      </c>
    </row>
    <row r="5125">
      <c r="A5125" s="8">
        <v>46205.4464708912</v>
      </c>
      <c r="B5125" s="2" t="s">
        <v>834</v>
      </c>
      <c r="C5125" s="2" t="s">
        <v>794</v>
      </c>
      <c r="D5125" s="2" t="s">
        <v>1182</v>
      </c>
    </row>
    <row r="5126">
      <c r="A5126" s="8">
        <v>46205.44647391204</v>
      </c>
      <c r="B5126" s="2" t="s">
        <v>798</v>
      </c>
      <c r="C5126" s="2" t="s">
        <v>799</v>
      </c>
      <c r="D5126" s="2" t="s">
        <v>800</v>
      </c>
    </row>
    <row r="5127">
      <c r="A5127" s="8">
        <v>46205.44647834491</v>
      </c>
      <c r="B5127" s="2" t="s">
        <v>838</v>
      </c>
      <c r="C5127" s="2" t="s">
        <v>820</v>
      </c>
      <c r="D5127" s="2" t="s">
        <v>1173</v>
      </c>
    </row>
    <row r="5128">
      <c r="A5128" s="8">
        <v>46205.44649516203</v>
      </c>
      <c r="B5128" s="2" t="s">
        <v>832</v>
      </c>
      <c r="C5128" s="2"/>
      <c r="D5128" s="2" t="s">
        <v>1097</v>
      </c>
    </row>
    <row r="5129">
      <c r="A5129" s="8">
        <v>46205.446561296296</v>
      </c>
      <c r="B5129" s="2" t="s">
        <v>892</v>
      </c>
      <c r="C5129" s="2"/>
      <c r="D5129" s="2" t="s">
        <v>1195</v>
      </c>
    </row>
    <row r="5130">
      <c r="A5130" s="8">
        <v>46205.44658939815</v>
      </c>
      <c r="B5130" s="2" t="s">
        <v>844</v>
      </c>
      <c r="C5130" s="2" t="s">
        <v>677</v>
      </c>
      <c r="D5130" s="2" t="s">
        <v>993</v>
      </c>
    </row>
    <row r="5131">
      <c r="A5131" s="8">
        <v>46205.446599849536</v>
      </c>
      <c r="B5131" s="2" t="s">
        <v>844</v>
      </c>
      <c r="C5131" s="2" t="s">
        <v>773</v>
      </c>
      <c r="D5131" s="2" t="s">
        <v>972</v>
      </c>
    </row>
    <row r="5132">
      <c r="A5132" s="8">
        <v>46205.44660458333</v>
      </c>
      <c r="B5132" s="2" t="s">
        <v>894</v>
      </c>
      <c r="C5132" s="2"/>
      <c r="D5132" s="2" t="s">
        <v>1201</v>
      </c>
    </row>
    <row r="5133">
      <c r="A5133" s="8">
        <v>46205.488123877316</v>
      </c>
      <c r="B5133" s="2" t="s">
        <v>834</v>
      </c>
      <c r="C5133" s="2" t="s">
        <v>794</v>
      </c>
      <c r="D5133" s="2" t="s">
        <v>1182</v>
      </c>
    </row>
    <row r="5134">
      <c r="A5134" s="8">
        <v>46205.48813</v>
      </c>
      <c r="B5134" s="2" t="s">
        <v>798</v>
      </c>
      <c r="C5134" s="2" t="s">
        <v>799</v>
      </c>
      <c r="D5134" s="2" t="s">
        <v>800</v>
      </c>
    </row>
    <row r="5135">
      <c r="A5135" s="8">
        <v>46205.488136238426</v>
      </c>
      <c r="B5135" s="2" t="s">
        <v>838</v>
      </c>
      <c r="C5135" s="2" t="s">
        <v>820</v>
      </c>
      <c r="D5135" s="2" t="s">
        <v>1173</v>
      </c>
    </row>
    <row r="5136">
      <c r="A5136" s="8">
        <v>46205.48814353009</v>
      </c>
      <c r="B5136" s="2" t="s">
        <v>832</v>
      </c>
      <c r="C5136" s="2"/>
      <c r="D5136" s="2" t="s">
        <v>1097</v>
      </c>
    </row>
    <row r="5137">
      <c r="A5137" s="8">
        <v>46205.488247546295</v>
      </c>
      <c r="B5137" s="2" t="s">
        <v>892</v>
      </c>
      <c r="C5137" s="2"/>
      <c r="D5137" s="2" t="s">
        <v>1195</v>
      </c>
    </row>
    <row r="5138">
      <c r="A5138" s="8">
        <v>46205.48827940972</v>
      </c>
      <c r="B5138" s="2" t="s">
        <v>894</v>
      </c>
      <c r="C5138" s="2"/>
      <c r="D5138" s="2" t="s">
        <v>1196</v>
      </c>
    </row>
    <row r="5139">
      <c r="A5139" s="8">
        <v>46205.52977622685</v>
      </c>
      <c r="B5139" s="2" t="s">
        <v>834</v>
      </c>
      <c r="C5139" s="2" t="s">
        <v>794</v>
      </c>
      <c r="D5139" s="2" t="s">
        <v>1182</v>
      </c>
    </row>
    <row r="5140">
      <c r="A5140" s="8">
        <v>46205.52977959491</v>
      </c>
      <c r="B5140" s="2" t="s">
        <v>798</v>
      </c>
      <c r="C5140" s="2" t="s">
        <v>799</v>
      </c>
      <c r="D5140" s="2" t="s">
        <v>800</v>
      </c>
    </row>
    <row r="5141">
      <c r="A5141" s="8">
        <v>46205.52978512731</v>
      </c>
      <c r="B5141" s="2" t="s">
        <v>838</v>
      </c>
      <c r="C5141" s="2" t="s">
        <v>820</v>
      </c>
      <c r="D5141" s="2" t="s">
        <v>1173</v>
      </c>
    </row>
    <row r="5142">
      <c r="A5142" s="8">
        <v>46205.52980325231</v>
      </c>
      <c r="B5142" s="2" t="s">
        <v>832</v>
      </c>
      <c r="C5142" s="2"/>
      <c r="D5142" s="2" t="s">
        <v>1097</v>
      </c>
    </row>
    <row r="5143">
      <c r="A5143" s="8">
        <v>46205.529865752316</v>
      </c>
      <c r="B5143" s="2" t="s">
        <v>892</v>
      </c>
      <c r="C5143" s="2"/>
      <c r="D5143" s="2" t="s">
        <v>1195</v>
      </c>
    </row>
    <row r="5144">
      <c r="A5144" s="8">
        <v>46205.52989572917</v>
      </c>
      <c r="B5144" s="2" t="s">
        <v>894</v>
      </c>
      <c r="C5144" s="2"/>
      <c r="D5144" s="2" t="s">
        <v>1196</v>
      </c>
    </row>
    <row r="5145">
      <c r="A5145" s="8">
        <v>46205.57143976852</v>
      </c>
      <c r="B5145" s="2" t="s">
        <v>834</v>
      </c>
      <c r="C5145" s="2" t="s">
        <v>794</v>
      </c>
      <c r="D5145" s="2" t="s">
        <v>1182</v>
      </c>
    </row>
    <row r="5146">
      <c r="A5146" s="8">
        <v>46205.5714521412</v>
      </c>
      <c r="B5146" s="2" t="s">
        <v>798</v>
      </c>
      <c r="C5146" s="2" t="s">
        <v>799</v>
      </c>
      <c r="D5146" s="2" t="s">
        <v>800</v>
      </c>
    </row>
    <row r="5147">
      <c r="A5147" s="8">
        <v>46205.57146726851</v>
      </c>
      <c r="B5147" s="2" t="s">
        <v>838</v>
      </c>
      <c r="C5147" s="2" t="s">
        <v>820</v>
      </c>
      <c r="D5147" s="2" t="s">
        <v>1173</v>
      </c>
    </row>
    <row r="5148">
      <c r="A5148" s="8">
        <v>46205.57147488426</v>
      </c>
      <c r="B5148" s="2" t="s">
        <v>844</v>
      </c>
      <c r="C5148" s="2" t="s">
        <v>822</v>
      </c>
      <c r="D5148" s="2" t="s">
        <v>1202</v>
      </c>
    </row>
    <row r="5149">
      <c r="A5149" s="8">
        <v>46205.57148028935</v>
      </c>
      <c r="B5149" s="2" t="s">
        <v>832</v>
      </c>
      <c r="C5149" s="2"/>
      <c r="D5149" s="2" t="s">
        <v>1096</v>
      </c>
    </row>
    <row r="5150">
      <c r="A5150" s="8">
        <v>46205.571543275466</v>
      </c>
      <c r="B5150" s="2" t="s">
        <v>892</v>
      </c>
      <c r="C5150" s="2"/>
      <c r="D5150" s="2" t="s">
        <v>1195</v>
      </c>
    </row>
    <row r="5151">
      <c r="A5151" s="8">
        <v>46205.57157138889</v>
      </c>
      <c r="B5151" s="2" t="s">
        <v>894</v>
      </c>
      <c r="C5151" s="2"/>
      <c r="D5151" s="2" t="s">
        <v>1196</v>
      </c>
    </row>
    <row r="5152">
      <c r="A5152" s="8">
        <v>46205.61313077546</v>
      </c>
      <c r="B5152" s="2" t="s">
        <v>834</v>
      </c>
      <c r="C5152" s="2" t="s">
        <v>794</v>
      </c>
      <c r="D5152" s="2" t="s">
        <v>1182</v>
      </c>
    </row>
    <row r="5153">
      <c r="A5153" s="8">
        <v>46205.61313484954</v>
      </c>
      <c r="B5153" s="2" t="s">
        <v>798</v>
      </c>
      <c r="C5153" s="2" t="s">
        <v>799</v>
      </c>
      <c r="D5153" s="2" t="s">
        <v>800</v>
      </c>
    </row>
    <row r="5154">
      <c r="A5154" s="8">
        <v>46205.61314094908</v>
      </c>
      <c r="B5154" s="2" t="s">
        <v>838</v>
      </c>
      <c r="C5154" s="2" t="s">
        <v>820</v>
      </c>
      <c r="D5154" s="2" t="s">
        <v>1173</v>
      </c>
    </row>
    <row r="5155">
      <c r="A5155" s="8">
        <v>46205.61314877315</v>
      </c>
      <c r="B5155" s="2" t="s">
        <v>832</v>
      </c>
      <c r="C5155" s="2"/>
      <c r="D5155" s="2" t="s">
        <v>1097</v>
      </c>
    </row>
    <row r="5156">
      <c r="A5156" s="8">
        <v>46205.61324136574</v>
      </c>
      <c r="B5156" s="2" t="s">
        <v>892</v>
      </c>
      <c r="C5156" s="2"/>
      <c r="D5156" s="2" t="s">
        <v>1195</v>
      </c>
    </row>
    <row r="5157">
      <c r="A5157" s="8">
        <v>46205.61327069445</v>
      </c>
      <c r="B5157" s="2" t="s">
        <v>991</v>
      </c>
      <c r="C5157" s="2" t="s">
        <v>509</v>
      </c>
      <c r="D5157" s="2" t="s">
        <v>1203</v>
      </c>
    </row>
    <row r="5158">
      <c r="A5158" s="8">
        <v>46205.61328532407</v>
      </c>
      <c r="B5158" s="2" t="s">
        <v>1070</v>
      </c>
      <c r="C5158" s="2" t="s">
        <v>524</v>
      </c>
      <c r="D5158" s="2" t="s">
        <v>1152</v>
      </c>
    </row>
    <row r="5159">
      <c r="A5159" s="8">
        <v>46205.6132974537</v>
      </c>
      <c r="B5159" s="2" t="s">
        <v>894</v>
      </c>
      <c r="C5159" s="2"/>
      <c r="D5159" s="2" t="s">
        <v>1204</v>
      </c>
    </row>
    <row r="5160">
      <c r="A5160" s="8">
        <v>46205.61330600694</v>
      </c>
      <c r="B5160" s="2" t="s">
        <v>1127</v>
      </c>
      <c r="C5160" s="2"/>
      <c r="D5160" s="2" t="s">
        <v>1128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7" t="s">
        <v>1205</v>
      </c>
      <c r="B1" s="7" t="s">
        <v>424</v>
      </c>
      <c r="C1" s="7" t="s">
        <v>1206</v>
      </c>
      <c r="D1" s="7" t="s">
        <v>1207</v>
      </c>
      <c r="E1" s="7" t="s">
        <v>1208</v>
      </c>
      <c r="F1" s="7" t="s">
        <v>1209</v>
      </c>
      <c r="G1" s="7" t="s">
        <v>427</v>
      </c>
      <c r="H1" s="7" t="s">
        <v>172</v>
      </c>
      <c r="I1" s="7" t="s">
        <v>428</v>
      </c>
      <c r="J1" s="7" t="s">
        <v>429</v>
      </c>
      <c r="K1" s="7" t="s">
        <v>431</v>
      </c>
    </row>
    <row r="2">
      <c r="A2" s="2" t="s">
        <v>1191</v>
      </c>
      <c r="B2" s="2" t="s">
        <v>1210</v>
      </c>
      <c r="C2" s="2" t="s">
        <v>1211</v>
      </c>
      <c r="D2" s="2" t="s">
        <v>1212</v>
      </c>
      <c r="E2" s="2" t="s">
        <v>1213</v>
      </c>
      <c r="F2" s="2" t="s">
        <v>1214</v>
      </c>
      <c r="G2" s="2" t="s">
        <v>436</v>
      </c>
      <c r="H2" s="2" t="s">
        <v>1215</v>
      </c>
      <c r="J2" s="2" t="s">
        <v>1216</v>
      </c>
      <c r="K2" s="5"/>
    </row>
    <row r="3">
      <c r="A3" s="2" t="s">
        <v>792</v>
      </c>
      <c r="B3" s="2" t="s">
        <v>1217</v>
      </c>
      <c r="C3" s="2" t="s">
        <v>1218</v>
      </c>
      <c r="D3" s="2" t="s">
        <v>1219</v>
      </c>
      <c r="E3" s="2" t="s">
        <v>1220</v>
      </c>
      <c r="F3" s="2" t="s">
        <v>1221</v>
      </c>
      <c r="G3" s="2" t="s">
        <v>436</v>
      </c>
      <c r="H3" s="2" t="s">
        <v>63</v>
      </c>
      <c r="J3" s="2" t="s">
        <v>1222</v>
      </c>
      <c r="K3" s="5">
        <v>46182.625</v>
      </c>
    </row>
    <row r="4">
      <c r="A4" s="2" t="s">
        <v>794</v>
      </c>
      <c r="B4" s="2" t="s">
        <v>1223</v>
      </c>
      <c r="C4" s="2" t="s">
        <v>1224</v>
      </c>
      <c r="D4" s="2" t="s">
        <v>1225</v>
      </c>
      <c r="E4" s="2" t="s">
        <v>1226</v>
      </c>
      <c r="F4" s="2" t="s">
        <v>1227</v>
      </c>
      <c r="G4" s="2" t="s">
        <v>436</v>
      </c>
      <c r="H4" s="2" t="s">
        <v>52</v>
      </c>
      <c r="J4" s="2" t="s">
        <v>1228</v>
      </c>
      <c r="K4" s="5"/>
    </row>
    <row r="5">
      <c r="A5" s="2" t="s">
        <v>796</v>
      </c>
      <c r="B5" s="2" t="s">
        <v>1229</v>
      </c>
      <c r="C5" s="2" t="s">
        <v>1230</v>
      </c>
      <c r="D5" s="2" t="s">
        <v>1231</v>
      </c>
      <c r="E5" s="2" t="s">
        <v>1232</v>
      </c>
      <c r="F5" s="2" t="s">
        <v>1233</v>
      </c>
      <c r="G5" s="2" t="s">
        <v>436</v>
      </c>
      <c r="H5" s="2" t="s">
        <v>271</v>
      </c>
      <c r="J5" s="2" t="s">
        <v>1234</v>
      </c>
      <c r="K5" s="5">
        <v>46182.625</v>
      </c>
    </row>
    <row r="6">
      <c r="A6" s="2" t="s">
        <v>836</v>
      </c>
      <c r="B6" s="2" t="s">
        <v>1235</v>
      </c>
      <c r="C6" s="2" t="s">
        <v>1236</v>
      </c>
      <c r="D6" s="2" t="s">
        <v>1237</v>
      </c>
      <c r="E6" s="2" t="s">
        <v>1238</v>
      </c>
      <c r="F6" s="2" t="s">
        <v>1239</v>
      </c>
      <c r="G6" s="2" t="s">
        <v>436</v>
      </c>
      <c r="H6" s="2" t="s">
        <v>385</v>
      </c>
      <c r="J6" s="2" t="s">
        <v>1240</v>
      </c>
      <c r="K6" s="5">
        <v>46182.625</v>
      </c>
    </row>
    <row r="7">
      <c r="A7" s="2" t="s">
        <v>1123</v>
      </c>
      <c r="B7" s="2" t="s">
        <v>1241</v>
      </c>
      <c r="C7" s="2" t="s">
        <v>1242</v>
      </c>
      <c r="D7" s="2" t="s">
        <v>1243</v>
      </c>
      <c r="E7" s="2" t="s">
        <v>1244</v>
      </c>
      <c r="F7" s="2" t="s">
        <v>1245</v>
      </c>
      <c r="G7" s="2" t="s">
        <v>436</v>
      </c>
      <c r="H7" s="2" t="s">
        <v>383</v>
      </c>
      <c r="J7" s="2" t="s">
        <v>1246</v>
      </c>
    </row>
    <row r="8">
      <c r="A8" s="2" t="s">
        <v>1117</v>
      </c>
      <c r="B8" s="2" t="s">
        <v>1247</v>
      </c>
      <c r="C8" s="2" t="s">
        <v>1248</v>
      </c>
      <c r="D8" s="2" t="s">
        <v>1249</v>
      </c>
      <c r="E8" s="2" t="s">
        <v>1250</v>
      </c>
      <c r="F8" s="2" t="s">
        <v>1251</v>
      </c>
      <c r="G8" s="2" t="s">
        <v>436</v>
      </c>
      <c r="H8" s="2" t="s">
        <v>391</v>
      </c>
      <c r="I8" s="2"/>
      <c r="J8" s="2" t="s">
        <v>1252</v>
      </c>
      <c r="K8" s="5"/>
    </row>
    <row r="9">
      <c r="A9" s="2" t="s">
        <v>799</v>
      </c>
      <c r="B9" s="2" t="s">
        <v>1253</v>
      </c>
      <c r="C9" s="2" t="s">
        <v>1254</v>
      </c>
      <c r="D9" s="2" t="s">
        <v>1255</v>
      </c>
      <c r="E9" s="2" t="s">
        <v>1256</v>
      </c>
      <c r="F9" s="2" t="s">
        <v>1257</v>
      </c>
      <c r="G9" s="2" t="s">
        <v>436</v>
      </c>
      <c r="H9" s="2" t="s">
        <v>1258</v>
      </c>
      <c r="J9" s="2" t="s">
        <v>1259</v>
      </c>
      <c r="K9" s="5">
        <v>46182.625</v>
      </c>
    </row>
    <row r="10">
      <c r="A10" s="2" t="s">
        <v>802</v>
      </c>
      <c r="B10" s="2" t="s">
        <v>1260</v>
      </c>
      <c r="C10" s="2" t="s">
        <v>1261</v>
      </c>
      <c r="D10" s="2" t="s">
        <v>1262</v>
      </c>
      <c r="E10" s="2" t="s">
        <v>1263</v>
      </c>
      <c r="F10" s="2" t="s">
        <v>1264</v>
      </c>
      <c r="G10" s="2" t="s">
        <v>436</v>
      </c>
      <c r="H10" s="2" t="s">
        <v>273</v>
      </c>
      <c r="I10" s="2"/>
      <c r="J10" s="2" t="s">
        <v>1265</v>
      </c>
      <c r="K10" s="5"/>
    </row>
    <row r="11">
      <c r="A11" s="2" t="s">
        <v>804</v>
      </c>
      <c r="B11" s="2" t="s">
        <v>1266</v>
      </c>
      <c r="C11" s="2" t="s">
        <v>1267</v>
      </c>
      <c r="D11" s="2" t="s">
        <v>1268</v>
      </c>
      <c r="E11" s="2" t="s">
        <v>1269</v>
      </c>
      <c r="F11" s="2" t="s">
        <v>1270</v>
      </c>
      <c r="G11" s="2" t="s">
        <v>436</v>
      </c>
      <c r="H11" s="2" t="s">
        <v>305</v>
      </c>
      <c r="I11" s="2" t="s">
        <v>1271</v>
      </c>
      <c r="J11" s="2" t="s">
        <v>1272</v>
      </c>
      <c r="K11" s="5"/>
    </row>
    <row r="12">
      <c r="A12" s="2" t="s">
        <v>842</v>
      </c>
      <c r="B12" s="2" t="s">
        <v>1273</v>
      </c>
      <c r="C12" s="2" t="s">
        <v>1274</v>
      </c>
      <c r="D12" s="2" t="s">
        <v>1275</v>
      </c>
      <c r="E12" s="2" t="s">
        <v>1276</v>
      </c>
      <c r="F12" s="2" t="s">
        <v>1277</v>
      </c>
      <c r="G12" s="2" t="s">
        <v>436</v>
      </c>
      <c r="H12" s="2" t="s">
        <v>1278</v>
      </c>
      <c r="J12" s="2" t="s">
        <v>1279</v>
      </c>
      <c r="K12" s="5">
        <v>46182.625</v>
      </c>
    </row>
    <row r="13">
      <c r="A13" s="2" t="s">
        <v>846</v>
      </c>
      <c r="B13" s="2" t="s">
        <v>1280</v>
      </c>
      <c r="C13" s="2" t="s">
        <v>1281</v>
      </c>
      <c r="D13" s="2" t="s">
        <v>1282</v>
      </c>
      <c r="E13" s="2" t="s">
        <v>1283</v>
      </c>
      <c r="F13" s="2" t="s">
        <v>1284</v>
      </c>
      <c r="G13" s="2" t="s">
        <v>436</v>
      </c>
      <c r="H13" s="2" t="s">
        <v>302</v>
      </c>
      <c r="J13" s="2" t="s">
        <v>1285</v>
      </c>
      <c r="K13" s="5">
        <v>46182.625</v>
      </c>
    </row>
    <row r="14">
      <c r="A14" s="2" t="s">
        <v>848</v>
      </c>
      <c r="B14" s="2" t="s">
        <v>1286</v>
      </c>
      <c r="C14" s="2" t="s">
        <v>1287</v>
      </c>
      <c r="D14" s="2" t="s">
        <v>1288</v>
      </c>
      <c r="E14" s="2" t="s">
        <v>1289</v>
      </c>
      <c r="F14" s="2" t="s">
        <v>1290</v>
      </c>
      <c r="G14" s="2" t="s">
        <v>436</v>
      </c>
      <c r="H14" s="2" t="s">
        <v>304</v>
      </c>
      <c r="J14" s="2" t="s">
        <v>1291</v>
      </c>
      <c r="K14" s="5">
        <v>46182.625</v>
      </c>
    </row>
    <row r="15">
      <c r="A15" s="2" t="s">
        <v>806</v>
      </c>
      <c r="B15" s="2" t="s">
        <v>1292</v>
      </c>
      <c r="C15" s="2" t="s">
        <v>1293</v>
      </c>
      <c r="D15" s="2" t="s">
        <v>1294</v>
      </c>
      <c r="E15" s="2" t="s">
        <v>1295</v>
      </c>
      <c r="F15" s="2" t="s">
        <v>1296</v>
      </c>
      <c r="G15" s="2" t="s">
        <v>436</v>
      </c>
      <c r="H15" s="2" t="s">
        <v>275</v>
      </c>
      <c r="J15" s="2" t="s">
        <v>1297</v>
      </c>
      <c r="K15" s="5">
        <v>46182.625</v>
      </c>
    </row>
    <row r="16">
      <c r="A16" s="2" t="s">
        <v>877</v>
      </c>
      <c r="B16" s="2" t="s">
        <v>1298</v>
      </c>
      <c r="C16" s="2" t="s">
        <v>1299</v>
      </c>
      <c r="D16" s="2" t="s">
        <v>1300</v>
      </c>
      <c r="E16" s="2" t="s">
        <v>1301</v>
      </c>
      <c r="F16" s="2" t="s">
        <v>1302</v>
      </c>
      <c r="G16" s="2" t="s">
        <v>436</v>
      </c>
      <c r="H16" s="2" t="s">
        <v>279</v>
      </c>
      <c r="J16" s="2" t="s">
        <v>1303</v>
      </c>
      <c r="K16" s="5"/>
    </row>
    <row r="17">
      <c r="A17" s="2" t="s">
        <v>808</v>
      </c>
      <c r="B17" s="2" t="s">
        <v>1304</v>
      </c>
      <c r="C17" s="2" t="s">
        <v>1305</v>
      </c>
      <c r="D17" s="2" t="s">
        <v>1306</v>
      </c>
      <c r="E17" s="2" t="s">
        <v>1307</v>
      </c>
      <c r="F17" s="2" t="s">
        <v>1308</v>
      </c>
      <c r="G17" s="2" t="s">
        <v>436</v>
      </c>
      <c r="H17" s="2" t="s">
        <v>281</v>
      </c>
      <c r="J17" s="2" t="s">
        <v>1309</v>
      </c>
      <c r="K17" s="5">
        <v>46182.625</v>
      </c>
    </row>
    <row r="18">
      <c r="A18" s="2" t="s">
        <v>810</v>
      </c>
      <c r="B18" s="2" t="s">
        <v>1310</v>
      </c>
      <c r="C18" s="2" t="s">
        <v>1311</v>
      </c>
      <c r="D18" s="2" t="s">
        <v>1312</v>
      </c>
      <c r="E18" s="2" t="s">
        <v>1313</v>
      </c>
      <c r="F18" s="2" t="s">
        <v>1314</v>
      </c>
      <c r="G18" s="2" t="s">
        <v>436</v>
      </c>
      <c r="H18" s="2" t="s">
        <v>258</v>
      </c>
      <c r="J18" s="2" t="s">
        <v>1315</v>
      </c>
      <c r="K18" s="5">
        <v>46182.625</v>
      </c>
    </row>
    <row r="19">
      <c r="A19" s="2" t="s">
        <v>1095</v>
      </c>
      <c r="B19" s="2" t="s">
        <v>1316</v>
      </c>
      <c r="C19" s="2" t="s">
        <v>1317</v>
      </c>
      <c r="D19" s="2" t="s">
        <v>1318</v>
      </c>
      <c r="E19" s="2" t="s">
        <v>1319</v>
      </c>
      <c r="F19" s="2" t="s">
        <v>1320</v>
      </c>
      <c r="G19" s="2" t="s">
        <v>436</v>
      </c>
      <c r="H19" s="2" t="s">
        <v>254</v>
      </c>
      <c r="J19" s="2" t="s">
        <v>1321</v>
      </c>
    </row>
    <row r="20">
      <c r="A20" s="2" t="s">
        <v>1143</v>
      </c>
      <c r="B20" s="2" t="s">
        <v>1322</v>
      </c>
      <c r="C20" s="2" t="s">
        <v>1323</v>
      </c>
      <c r="D20" s="2" t="s">
        <v>1324</v>
      </c>
      <c r="E20" s="2" t="s">
        <v>1325</v>
      </c>
      <c r="F20" s="2" t="s">
        <v>1326</v>
      </c>
      <c r="G20" s="2" t="s">
        <v>436</v>
      </c>
      <c r="H20" s="2" t="s">
        <v>387</v>
      </c>
      <c r="J20" s="2" t="s">
        <v>1327</v>
      </c>
      <c r="K20" s="5"/>
    </row>
    <row r="21">
      <c r="A21" s="2" t="s">
        <v>814</v>
      </c>
      <c r="B21" s="2" t="s">
        <v>1328</v>
      </c>
      <c r="C21" s="2" t="s">
        <v>1329</v>
      </c>
      <c r="D21" s="2" t="s">
        <v>1330</v>
      </c>
      <c r="E21" s="2" t="s">
        <v>1331</v>
      </c>
      <c r="F21" s="2" t="s">
        <v>1332</v>
      </c>
      <c r="G21" s="2" t="s">
        <v>436</v>
      </c>
      <c r="H21" s="2" t="s">
        <v>264</v>
      </c>
      <c r="J21" s="2" t="s">
        <v>1333</v>
      </c>
      <c r="K21" s="5">
        <v>46182.625</v>
      </c>
    </row>
    <row r="22">
      <c r="A22" s="2" t="s">
        <v>816</v>
      </c>
      <c r="B22" s="2" t="s">
        <v>1334</v>
      </c>
      <c r="C22" s="2" t="s">
        <v>1335</v>
      </c>
      <c r="D22" s="2" t="s">
        <v>1336</v>
      </c>
      <c r="E22" s="2" t="s">
        <v>1337</v>
      </c>
      <c r="F22" s="2" t="s">
        <v>1338</v>
      </c>
      <c r="G22" s="2" t="s">
        <v>436</v>
      </c>
      <c r="H22" s="2" t="s">
        <v>266</v>
      </c>
      <c r="J22" s="2" t="s">
        <v>1339</v>
      </c>
      <c r="K22" s="5">
        <v>46182.625</v>
      </c>
    </row>
    <row r="23">
      <c r="A23" s="2" t="s">
        <v>818</v>
      </c>
      <c r="B23" s="2" t="s">
        <v>1340</v>
      </c>
      <c r="C23" s="2" t="s">
        <v>1341</v>
      </c>
      <c r="D23" s="2" t="s">
        <v>1342</v>
      </c>
      <c r="E23" s="2" t="s">
        <v>1343</v>
      </c>
      <c r="F23" s="2" t="s">
        <v>1344</v>
      </c>
      <c r="G23" s="2" t="s">
        <v>436</v>
      </c>
      <c r="H23" s="2" t="s">
        <v>268</v>
      </c>
      <c r="J23" s="2" t="s">
        <v>1345</v>
      </c>
      <c r="K23" s="5"/>
    </row>
    <row r="24">
      <c r="A24" s="2" t="s">
        <v>820</v>
      </c>
      <c r="B24" s="2" t="s">
        <v>1346</v>
      </c>
      <c r="C24" s="2" t="s">
        <v>1347</v>
      </c>
      <c r="D24" s="2" t="s">
        <v>1348</v>
      </c>
      <c r="E24" s="2" t="s">
        <v>1349</v>
      </c>
      <c r="F24" s="2" t="s">
        <v>1350</v>
      </c>
      <c r="G24" s="2" t="s">
        <v>436</v>
      </c>
      <c r="H24" s="2" t="s">
        <v>256</v>
      </c>
      <c r="I24" s="2"/>
      <c r="J24" s="2" t="s">
        <v>1351</v>
      </c>
      <c r="K24" s="5">
        <v>46182.625</v>
      </c>
    </row>
    <row r="25">
      <c r="A25" s="2" t="s">
        <v>822</v>
      </c>
      <c r="B25" s="2" t="s">
        <v>1352</v>
      </c>
      <c r="C25" s="2" t="s">
        <v>1353</v>
      </c>
      <c r="D25" s="2" t="s">
        <v>1354</v>
      </c>
      <c r="E25" s="2" t="s">
        <v>1355</v>
      </c>
      <c r="F25" s="2" t="s">
        <v>1356</v>
      </c>
      <c r="G25" s="2" t="s">
        <v>436</v>
      </c>
      <c r="H25" s="2" t="s">
        <v>389</v>
      </c>
      <c r="J25" s="2" t="s">
        <v>1357</v>
      </c>
      <c r="K25" s="5">
        <v>46182.625</v>
      </c>
    </row>
    <row r="26">
      <c r="A26" s="2" t="s">
        <v>826</v>
      </c>
      <c r="B26" s="2" t="s">
        <v>1358</v>
      </c>
      <c r="C26" s="2" t="s">
        <v>1359</v>
      </c>
      <c r="D26" s="2" t="s">
        <v>1360</v>
      </c>
      <c r="E26" s="2" t="s">
        <v>1361</v>
      </c>
      <c r="F26" s="2" t="s">
        <v>1362</v>
      </c>
      <c r="G26" s="2" t="s">
        <v>436</v>
      </c>
      <c r="H26" s="2" t="s">
        <v>260</v>
      </c>
      <c r="J26" s="2" t="s">
        <v>1363</v>
      </c>
      <c r="K26" s="5">
        <v>46182.625</v>
      </c>
    </row>
    <row r="27">
      <c r="A27" s="2" t="s">
        <v>830</v>
      </c>
      <c r="B27" s="2" t="s">
        <v>1364</v>
      </c>
      <c r="C27" s="2" t="s">
        <v>1365</v>
      </c>
      <c r="D27" s="2" t="s">
        <v>1366</v>
      </c>
      <c r="E27" s="2" t="s">
        <v>1367</v>
      </c>
      <c r="F27" s="2" t="s">
        <v>1368</v>
      </c>
      <c r="G27" s="2" t="s">
        <v>436</v>
      </c>
      <c r="H27" s="2" t="s">
        <v>1369</v>
      </c>
      <c r="I27" s="2" t="s">
        <v>1271</v>
      </c>
      <c r="J27" s="2" t="s">
        <v>1370</v>
      </c>
      <c r="K27" s="5">
        <v>46188.625</v>
      </c>
    </row>
    <row r="28">
      <c r="A28" s="2"/>
      <c r="B28" s="2"/>
      <c r="C28" s="2"/>
      <c r="D28" s="2"/>
      <c r="E28" s="2"/>
      <c r="F28" s="2"/>
      <c r="G28" s="2"/>
      <c r="H28" s="2"/>
      <c r="I28" s="2"/>
      <c r="J28" s="2"/>
      <c r="K28"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25"/>
    <col customWidth="1" min="8" max="8" width="15.0"/>
  </cols>
  <sheetData>
    <row r="1">
      <c r="A1" s="7" t="s">
        <v>1205</v>
      </c>
      <c r="B1" s="7" t="s">
        <v>424</v>
      </c>
      <c r="C1" s="7" t="s">
        <v>1206</v>
      </c>
      <c r="D1" s="7" t="s">
        <v>1207</v>
      </c>
      <c r="E1" s="7" t="s">
        <v>1208</v>
      </c>
      <c r="F1" s="7" t="s">
        <v>1209</v>
      </c>
      <c r="G1" s="7" t="s">
        <v>427</v>
      </c>
      <c r="H1" s="7" t="s">
        <v>1371</v>
      </c>
      <c r="I1" s="7" t="s">
        <v>428</v>
      </c>
      <c r="J1" s="7" t="s">
        <v>429</v>
      </c>
    </row>
    <row r="2">
      <c r="A2" s="2" t="s">
        <v>792</v>
      </c>
      <c r="B2" s="2" t="s">
        <v>1217</v>
      </c>
      <c r="C2" s="2" t="s">
        <v>1218</v>
      </c>
      <c r="D2" s="2" t="s">
        <v>1219</v>
      </c>
      <c r="E2" s="2" t="s">
        <v>1220</v>
      </c>
      <c r="F2" s="2" t="s">
        <v>1221</v>
      </c>
      <c r="G2" s="2" t="s">
        <v>436</v>
      </c>
      <c r="H2" s="4">
        <v>1.0</v>
      </c>
      <c r="I2" s="2"/>
      <c r="J2" s="2" t="s">
        <v>1222</v>
      </c>
    </row>
    <row r="3">
      <c r="A3" s="2" t="s">
        <v>794</v>
      </c>
      <c r="B3" s="2" t="s">
        <v>1223</v>
      </c>
      <c r="C3" s="2" t="s">
        <v>1224</v>
      </c>
      <c r="D3" s="2" t="s">
        <v>1225</v>
      </c>
      <c r="E3" s="2" t="s">
        <v>1226</v>
      </c>
      <c r="F3" s="2" t="s">
        <v>1227</v>
      </c>
      <c r="G3" s="2" t="s">
        <v>436</v>
      </c>
      <c r="H3" s="4">
        <v>3.0</v>
      </c>
      <c r="I3" s="2"/>
      <c r="J3" s="2" t="s">
        <v>1228</v>
      </c>
    </row>
    <row r="4">
      <c r="A4" s="2" t="s">
        <v>796</v>
      </c>
      <c r="B4" s="2" t="s">
        <v>1229</v>
      </c>
      <c r="C4" s="2" t="s">
        <v>1230</v>
      </c>
      <c r="D4" s="2" t="s">
        <v>1231</v>
      </c>
      <c r="E4" s="2" t="s">
        <v>1232</v>
      </c>
      <c r="F4" s="2" t="s">
        <v>1233</v>
      </c>
      <c r="G4" s="2" t="s">
        <v>436</v>
      </c>
      <c r="H4" s="4">
        <v>0.0</v>
      </c>
      <c r="J4" s="2" t="s">
        <v>1234</v>
      </c>
    </row>
    <row r="5">
      <c r="A5" s="2" t="s">
        <v>836</v>
      </c>
      <c r="B5" s="2" t="s">
        <v>1235</v>
      </c>
      <c r="C5" s="2" t="s">
        <v>1236</v>
      </c>
      <c r="D5" s="2" t="s">
        <v>1237</v>
      </c>
      <c r="E5" s="2" t="s">
        <v>1238</v>
      </c>
      <c r="F5" s="2" t="s">
        <v>1239</v>
      </c>
      <c r="G5" s="2" t="s">
        <v>436</v>
      </c>
      <c r="H5" s="4">
        <v>1.0</v>
      </c>
      <c r="I5" s="2"/>
      <c r="J5" s="2" t="s">
        <v>1240</v>
      </c>
    </row>
    <row r="6">
      <c r="A6" s="2" t="s">
        <v>799</v>
      </c>
      <c r="B6" s="2" t="s">
        <v>1253</v>
      </c>
      <c r="C6" s="2" t="s">
        <v>1254</v>
      </c>
      <c r="D6" s="2" t="s">
        <v>1255</v>
      </c>
      <c r="E6" s="2" t="s">
        <v>1256</v>
      </c>
      <c r="F6" s="2" t="s">
        <v>1257</v>
      </c>
      <c r="G6" s="2" t="s">
        <v>436</v>
      </c>
      <c r="H6" s="4">
        <v>1.0</v>
      </c>
      <c r="I6" s="2"/>
      <c r="J6" s="2" t="s">
        <v>1259</v>
      </c>
    </row>
    <row r="7">
      <c r="A7" s="2" t="s">
        <v>802</v>
      </c>
      <c r="B7" s="2" t="s">
        <v>1260</v>
      </c>
      <c r="C7" s="2" t="s">
        <v>1261</v>
      </c>
      <c r="D7" s="2" t="s">
        <v>1262</v>
      </c>
      <c r="E7" s="2" t="s">
        <v>1263</v>
      </c>
      <c r="F7" s="2" t="s">
        <v>1264</v>
      </c>
      <c r="G7" s="2" t="s">
        <v>436</v>
      </c>
      <c r="H7" s="4">
        <v>0.0</v>
      </c>
      <c r="J7" s="2" t="s">
        <v>1265</v>
      </c>
    </row>
    <row r="8">
      <c r="A8" s="2" t="s">
        <v>804</v>
      </c>
      <c r="B8" s="2" t="s">
        <v>1266</v>
      </c>
      <c r="C8" s="2" t="s">
        <v>1267</v>
      </c>
      <c r="D8" s="2" t="s">
        <v>1268</v>
      </c>
      <c r="E8" s="2" t="s">
        <v>1269</v>
      </c>
      <c r="F8" s="2" t="s">
        <v>1270</v>
      </c>
      <c r="G8" s="2" t="s">
        <v>436</v>
      </c>
      <c r="H8" s="4">
        <v>1.0</v>
      </c>
      <c r="I8" s="2"/>
      <c r="J8" s="2" t="s">
        <v>1272</v>
      </c>
    </row>
    <row r="9">
      <c r="A9" s="2" t="s">
        <v>842</v>
      </c>
      <c r="B9" s="2" t="s">
        <v>1273</v>
      </c>
      <c r="C9" s="2" t="s">
        <v>1274</v>
      </c>
      <c r="D9" s="2" t="s">
        <v>1275</v>
      </c>
      <c r="E9" s="2" t="s">
        <v>1276</v>
      </c>
      <c r="F9" s="2" t="s">
        <v>1277</v>
      </c>
      <c r="G9" s="2" t="s">
        <v>436</v>
      </c>
      <c r="H9" s="18">
        <v>2.0</v>
      </c>
      <c r="I9" s="2"/>
      <c r="J9" s="2" t="s">
        <v>1279</v>
      </c>
    </row>
    <row r="10">
      <c r="A10" s="2" t="s">
        <v>846</v>
      </c>
      <c r="B10" s="2" t="s">
        <v>1280</v>
      </c>
      <c r="C10" s="2" t="s">
        <v>1281</v>
      </c>
      <c r="D10" s="2" t="s">
        <v>1282</v>
      </c>
      <c r="E10" s="2" t="s">
        <v>1283</v>
      </c>
      <c r="F10" s="2" t="s">
        <v>1284</v>
      </c>
      <c r="G10" s="2" t="s">
        <v>436</v>
      </c>
      <c r="H10" s="18">
        <v>2.0</v>
      </c>
      <c r="J10" s="2" t="s">
        <v>1285</v>
      </c>
    </row>
    <row r="11">
      <c r="A11" s="2" t="s">
        <v>848</v>
      </c>
      <c r="B11" s="2" t="s">
        <v>1286</v>
      </c>
      <c r="C11" s="2" t="s">
        <v>1287</v>
      </c>
      <c r="D11" s="2" t="s">
        <v>1288</v>
      </c>
      <c r="E11" s="2" t="s">
        <v>1289</v>
      </c>
      <c r="F11" s="2" t="s">
        <v>1290</v>
      </c>
      <c r="G11" s="2" t="s">
        <v>436</v>
      </c>
      <c r="H11" s="4">
        <v>5.0</v>
      </c>
      <c r="I11" s="2"/>
      <c r="J11" s="2" t="s">
        <v>1291</v>
      </c>
    </row>
    <row r="12">
      <c r="A12" s="2" t="s">
        <v>806</v>
      </c>
      <c r="B12" s="2" t="s">
        <v>1292</v>
      </c>
      <c r="C12" s="2" t="s">
        <v>1293</v>
      </c>
      <c r="D12" s="2" t="s">
        <v>1294</v>
      </c>
      <c r="E12" s="2" t="s">
        <v>1295</v>
      </c>
      <c r="F12" s="2" t="s">
        <v>1296</v>
      </c>
      <c r="G12" s="2" t="s">
        <v>436</v>
      </c>
      <c r="H12" s="4">
        <v>1.0</v>
      </c>
      <c r="I12" s="2"/>
      <c r="J12" s="2" t="s">
        <v>1297</v>
      </c>
    </row>
    <row r="13">
      <c r="A13" s="2" t="s">
        <v>877</v>
      </c>
      <c r="B13" s="2" t="s">
        <v>1298</v>
      </c>
      <c r="C13" s="2" t="s">
        <v>1299</v>
      </c>
      <c r="D13" s="2" t="s">
        <v>1300</v>
      </c>
      <c r="E13" s="2" t="s">
        <v>1301</v>
      </c>
      <c r="F13" s="2" t="s">
        <v>1302</v>
      </c>
      <c r="G13" s="2" t="s">
        <v>436</v>
      </c>
      <c r="H13" s="4">
        <v>0.0</v>
      </c>
      <c r="I13" s="2"/>
      <c r="J13" s="2" t="s">
        <v>1303</v>
      </c>
    </row>
    <row r="14">
      <c r="A14" s="2" t="s">
        <v>808</v>
      </c>
      <c r="B14" s="2" t="s">
        <v>1304</v>
      </c>
      <c r="C14" s="2" t="s">
        <v>1305</v>
      </c>
      <c r="D14" s="2" t="s">
        <v>1306</v>
      </c>
      <c r="E14" s="2" t="s">
        <v>1307</v>
      </c>
      <c r="F14" s="2" t="s">
        <v>1308</v>
      </c>
      <c r="G14" s="2" t="s">
        <v>436</v>
      </c>
      <c r="H14" s="4">
        <v>3.0</v>
      </c>
      <c r="I14" s="2"/>
      <c r="J14" s="2" t="s">
        <v>1309</v>
      </c>
    </row>
    <row r="15">
      <c r="A15" s="2" t="s">
        <v>810</v>
      </c>
      <c r="B15" s="2" t="s">
        <v>1310</v>
      </c>
      <c r="C15" s="2" t="s">
        <v>1311</v>
      </c>
      <c r="D15" s="2" t="s">
        <v>1312</v>
      </c>
      <c r="E15" s="2" t="s">
        <v>1313</v>
      </c>
      <c r="F15" s="2" t="s">
        <v>1314</v>
      </c>
      <c r="G15" s="2" t="s">
        <v>436</v>
      </c>
      <c r="H15" s="4">
        <v>1.0</v>
      </c>
      <c r="J15" s="2" t="s">
        <v>1315</v>
      </c>
    </row>
    <row r="16">
      <c r="A16" s="2" t="s">
        <v>812</v>
      </c>
      <c r="B16" s="2" t="s">
        <v>1372</v>
      </c>
      <c r="C16" s="2" t="s">
        <v>1373</v>
      </c>
      <c r="D16" s="2" t="s">
        <v>1374</v>
      </c>
      <c r="E16" s="2" t="s">
        <v>1375</v>
      </c>
      <c r="F16" s="2" t="s">
        <v>1376</v>
      </c>
      <c r="G16" s="2" t="s">
        <v>436</v>
      </c>
      <c r="H16" s="4">
        <v>0.0</v>
      </c>
      <c r="I16" s="2"/>
      <c r="J16" s="2" t="s">
        <v>1377</v>
      </c>
    </row>
    <row r="17">
      <c r="A17" s="2" t="s">
        <v>814</v>
      </c>
      <c r="B17" s="2" t="s">
        <v>1328</v>
      </c>
      <c r="C17" s="2" t="s">
        <v>1329</v>
      </c>
      <c r="D17" s="2" t="s">
        <v>1330</v>
      </c>
      <c r="E17" s="2" t="s">
        <v>1331</v>
      </c>
      <c r="F17" s="2" t="s">
        <v>1332</v>
      </c>
      <c r="G17" s="2" t="s">
        <v>436</v>
      </c>
      <c r="H17" s="4">
        <v>0.0</v>
      </c>
      <c r="I17" s="2"/>
      <c r="J17" s="2" t="s">
        <v>1333</v>
      </c>
    </row>
    <row r="18">
      <c r="A18" s="2" t="s">
        <v>816</v>
      </c>
      <c r="B18" s="2" t="s">
        <v>1334</v>
      </c>
      <c r="C18" s="2" t="s">
        <v>1335</v>
      </c>
      <c r="D18" s="2" t="s">
        <v>1336</v>
      </c>
      <c r="E18" s="2" t="s">
        <v>1337</v>
      </c>
      <c r="F18" s="2" t="s">
        <v>1338</v>
      </c>
      <c r="G18" s="2" t="s">
        <v>436</v>
      </c>
      <c r="H18" s="4">
        <v>0.0</v>
      </c>
      <c r="I18" s="2"/>
      <c r="J18" s="2" t="s">
        <v>1339</v>
      </c>
    </row>
    <row r="19">
      <c r="A19" s="2" t="s">
        <v>818</v>
      </c>
      <c r="B19" s="2" t="s">
        <v>1340</v>
      </c>
      <c r="C19" s="2" t="s">
        <v>1341</v>
      </c>
      <c r="D19" s="2" t="s">
        <v>1342</v>
      </c>
      <c r="E19" s="2" t="s">
        <v>1343</v>
      </c>
      <c r="F19" s="2" t="s">
        <v>1344</v>
      </c>
      <c r="G19" s="2" t="s">
        <v>436</v>
      </c>
      <c r="H19" s="4">
        <v>0.0</v>
      </c>
      <c r="I19" s="2"/>
      <c r="J19" s="2" t="s">
        <v>1345</v>
      </c>
    </row>
    <row r="20">
      <c r="A20" s="2" t="s">
        <v>820</v>
      </c>
      <c r="B20" s="2" t="s">
        <v>1346</v>
      </c>
      <c r="C20" s="2" t="s">
        <v>1347</v>
      </c>
      <c r="D20" s="2" t="s">
        <v>1348</v>
      </c>
      <c r="E20" s="2" t="s">
        <v>1349</v>
      </c>
      <c r="F20" s="2" t="s">
        <v>1350</v>
      </c>
      <c r="G20" s="2" t="s">
        <v>436</v>
      </c>
      <c r="H20" s="4">
        <v>0.0</v>
      </c>
      <c r="J20" s="2" t="s">
        <v>1351</v>
      </c>
    </row>
    <row r="21">
      <c r="A21" s="2" t="s">
        <v>822</v>
      </c>
      <c r="B21" s="2" t="s">
        <v>1352</v>
      </c>
      <c r="C21" s="2" t="s">
        <v>1353</v>
      </c>
      <c r="D21" s="2" t="s">
        <v>1354</v>
      </c>
      <c r="E21" s="2" t="s">
        <v>1355</v>
      </c>
      <c r="F21" s="2" t="s">
        <v>1356</v>
      </c>
      <c r="G21" s="2" t="s">
        <v>436</v>
      </c>
      <c r="H21" s="4">
        <v>5.0</v>
      </c>
      <c r="J21" s="2" t="s">
        <v>1357</v>
      </c>
    </row>
    <row r="22">
      <c r="A22" s="2" t="s">
        <v>824</v>
      </c>
      <c r="B22" s="2" t="s">
        <v>1378</v>
      </c>
      <c r="C22" s="2" t="s">
        <v>1379</v>
      </c>
      <c r="D22" s="2" t="s">
        <v>1380</v>
      </c>
      <c r="E22" s="2" t="s">
        <v>1381</v>
      </c>
      <c r="F22" s="2" t="s">
        <v>1382</v>
      </c>
      <c r="G22" s="2" t="s">
        <v>436</v>
      </c>
      <c r="H22" s="4">
        <v>0.0</v>
      </c>
      <c r="I22" s="2"/>
      <c r="J22" s="2" t="s">
        <v>1383</v>
      </c>
    </row>
    <row r="23">
      <c r="A23" s="2" t="s">
        <v>826</v>
      </c>
      <c r="B23" s="2" t="s">
        <v>1358</v>
      </c>
      <c r="C23" s="2" t="s">
        <v>1359</v>
      </c>
      <c r="D23" s="2" t="s">
        <v>1360</v>
      </c>
      <c r="E23" s="2" t="s">
        <v>1361</v>
      </c>
      <c r="F23" s="2" t="s">
        <v>1362</v>
      </c>
      <c r="G23" s="2" t="s">
        <v>436</v>
      </c>
      <c r="H23" s="4">
        <v>2.0</v>
      </c>
      <c r="J23" s="2" t="s">
        <v>1363</v>
      </c>
    </row>
    <row r="24">
      <c r="A24" s="2" t="s">
        <v>830</v>
      </c>
      <c r="B24" s="2" t="s">
        <v>1364</v>
      </c>
      <c r="C24" s="2" t="s">
        <v>1365</v>
      </c>
      <c r="D24" s="2" t="s">
        <v>1366</v>
      </c>
      <c r="E24" s="2" t="s">
        <v>1367</v>
      </c>
      <c r="F24" s="2" t="s">
        <v>1368</v>
      </c>
      <c r="G24" s="2" t="s">
        <v>436</v>
      </c>
      <c r="H24" s="4">
        <v>3.0</v>
      </c>
      <c r="J24" s="2" t="s">
        <v>1370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s>
  <sheetData>
    <row r="1">
      <c r="A1" s="2" t="s">
        <v>151</v>
      </c>
      <c r="B1" s="2" t="s">
        <v>1384</v>
      </c>
      <c r="C1" s="2" t="s">
        <v>1385</v>
      </c>
    </row>
    <row r="2">
      <c r="A2" s="2" t="s">
        <v>1386</v>
      </c>
      <c r="B2" s="2" t="s">
        <v>1387</v>
      </c>
      <c r="C2" s="2" t="s">
        <v>1388</v>
      </c>
    </row>
    <row r="3">
      <c r="A3" s="2" t="s">
        <v>1389</v>
      </c>
      <c r="B3" s="2" t="s">
        <v>1387</v>
      </c>
      <c r="C3" s="2" t="s">
        <v>1390</v>
      </c>
    </row>
    <row r="4">
      <c r="A4" s="2" t="s">
        <v>1391</v>
      </c>
      <c r="B4" s="2" t="s">
        <v>1387</v>
      </c>
      <c r="C4" s="2" t="s">
        <v>1392</v>
      </c>
    </row>
    <row r="5">
      <c r="A5" s="2" t="s">
        <v>1393</v>
      </c>
      <c r="B5" s="2" t="s">
        <v>1387</v>
      </c>
      <c r="C5" s="2" t="s">
        <v>1394</v>
      </c>
    </row>
    <row r="6">
      <c r="A6" s="2" t="s">
        <v>1395</v>
      </c>
      <c r="B6" s="2" t="s">
        <v>1387</v>
      </c>
      <c r="C6" s="2" t="s">
        <v>1396</v>
      </c>
    </row>
    <row r="7">
      <c r="A7" s="2" t="s">
        <v>1397</v>
      </c>
      <c r="B7" s="2" t="s">
        <v>1387</v>
      </c>
      <c r="C7" s="2" t="s">
        <v>1398</v>
      </c>
    </row>
    <row r="8">
      <c r="A8" s="2" t="s">
        <v>1399</v>
      </c>
      <c r="B8" s="2" t="s">
        <v>1387</v>
      </c>
      <c r="C8" s="2" t="s">
        <v>1400</v>
      </c>
    </row>
    <row r="9">
      <c r="A9" s="2" t="s">
        <v>1401</v>
      </c>
      <c r="B9" s="2" t="s">
        <v>1387</v>
      </c>
      <c r="C9" s="2" t="s">
        <v>1402</v>
      </c>
    </row>
    <row r="10">
      <c r="A10" s="2" t="s">
        <v>1403</v>
      </c>
      <c r="B10" s="2" t="s">
        <v>1387</v>
      </c>
      <c r="C10" s="2" t="s">
        <v>1404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9" t="s">
        <v>395</v>
      </c>
      <c r="B1" s="19" t="s">
        <v>1405</v>
      </c>
      <c r="C1" s="19" t="s">
        <v>1406</v>
      </c>
      <c r="D1" s="19" t="s">
        <v>1407</v>
      </c>
      <c r="E1" s="19" t="s">
        <v>1408</v>
      </c>
      <c r="F1" s="19" t="s">
        <v>1409</v>
      </c>
      <c r="G1" s="19" t="s">
        <v>1410</v>
      </c>
      <c r="H1" s="19" t="s">
        <v>1411</v>
      </c>
      <c r="I1" s="19" t="s">
        <v>1412</v>
      </c>
      <c r="J1" s="19" t="s">
        <v>1413</v>
      </c>
      <c r="K1" s="19" t="s">
        <v>1414</v>
      </c>
      <c r="L1" s="19" t="s">
        <v>1415</v>
      </c>
      <c r="M1" s="19" t="s">
        <v>1416</v>
      </c>
      <c r="N1" s="19" t="s">
        <v>1417</v>
      </c>
      <c r="O1" s="19" t="s">
        <v>1418</v>
      </c>
      <c r="P1" s="19" t="s">
        <v>1419</v>
      </c>
      <c r="Q1" s="19" t="s">
        <v>1420</v>
      </c>
      <c r="R1" s="19" t="s">
        <v>1421</v>
      </c>
      <c r="S1" s="19" t="s">
        <v>1422</v>
      </c>
      <c r="T1" s="19" t="s">
        <v>1423</v>
      </c>
      <c r="U1" s="19" t="s">
        <v>1424</v>
      </c>
      <c r="V1" s="19" t="s">
        <v>1425</v>
      </c>
      <c r="W1" s="19" t="s">
        <v>1426</v>
      </c>
      <c r="X1" s="19" t="s">
        <v>1427</v>
      </c>
    </row>
    <row r="2">
      <c r="A2" s="10">
        <v>46135.0</v>
      </c>
      <c r="B2" s="2" t="s">
        <v>1428</v>
      </c>
      <c r="C2" s="2" t="s">
        <v>1429</v>
      </c>
      <c r="D2" s="2" t="s">
        <v>182</v>
      </c>
      <c r="E2" s="2" t="s">
        <v>1430</v>
      </c>
      <c r="F2" s="4">
        <v>2.65</v>
      </c>
      <c r="G2" s="4">
        <v>895.0</v>
      </c>
      <c r="H2" s="4">
        <v>623.0</v>
      </c>
      <c r="I2" s="4">
        <v>1.436597</v>
      </c>
      <c r="J2" s="4">
        <v>17.0</v>
      </c>
      <c r="K2" s="4">
        <v>8.0</v>
      </c>
      <c r="L2" s="4">
        <v>1.899441</v>
      </c>
      <c r="M2" s="4">
        <v>0.155882</v>
      </c>
      <c r="N2" s="4">
        <v>2.960894</v>
      </c>
      <c r="O2" s="4">
        <v>5.0</v>
      </c>
      <c r="P2" s="4">
        <v>34.0</v>
      </c>
      <c r="Q2" s="4">
        <v>1.0</v>
      </c>
      <c r="R2" s="4">
        <v>1.0</v>
      </c>
      <c r="S2" s="4">
        <v>0.0</v>
      </c>
      <c r="T2" s="4">
        <v>0.0</v>
      </c>
      <c r="U2" s="4">
        <v>0.0</v>
      </c>
      <c r="W2" s="4">
        <v>0.0</v>
      </c>
      <c r="X2" s="2" t="s">
        <v>1431</v>
      </c>
    </row>
    <row r="3">
      <c r="A3" s="10">
        <v>46136.0</v>
      </c>
      <c r="B3" s="2" t="s">
        <v>1428</v>
      </c>
      <c r="C3" s="2" t="s">
        <v>1429</v>
      </c>
      <c r="D3" s="2" t="s">
        <v>182</v>
      </c>
      <c r="E3" s="2" t="s">
        <v>1430</v>
      </c>
      <c r="F3" s="4">
        <v>2.46</v>
      </c>
      <c r="G3" s="4">
        <v>1040.0</v>
      </c>
      <c r="H3" s="4">
        <v>801.0</v>
      </c>
      <c r="I3" s="4">
        <v>1.298377</v>
      </c>
      <c r="J3" s="4">
        <v>24.0</v>
      </c>
      <c r="K3" s="4">
        <v>13.0</v>
      </c>
      <c r="L3" s="4">
        <v>2.307692</v>
      </c>
      <c r="M3" s="4">
        <v>0.1025</v>
      </c>
      <c r="N3" s="4">
        <v>2.365385</v>
      </c>
      <c r="O3" s="4">
        <v>12.0</v>
      </c>
      <c r="P3" s="4">
        <v>37.0</v>
      </c>
      <c r="Q3" s="4">
        <v>0.0</v>
      </c>
      <c r="R3" s="4">
        <v>0.0</v>
      </c>
      <c r="S3" s="4">
        <v>0.0</v>
      </c>
      <c r="T3" s="4">
        <v>0.0</v>
      </c>
      <c r="U3" s="4">
        <v>0.0</v>
      </c>
      <c r="W3" s="4">
        <v>0.0</v>
      </c>
      <c r="X3" s="2" t="s">
        <v>1432</v>
      </c>
    </row>
    <row r="4">
      <c r="A4" s="10">
        <v>46137.0</v>
      </c>
      <c r="B4" s="2" t="s">
        <v>1428</v>
      </c>
      <c r="C4" s="2" t="s">
        <v>1429</v>
      </c>
      <c r="D4" s="2" t="s">
        <v>182</v>
      </c>
      <c r="E4" s="2" t="s">
        <v>1430</v>
      </c>
      <c r="F4" s="4">
        <v>3.19</v>
      </c>
      <c r="G4" s="4">
        <v>1156.0</v>
      </c>
      <c r="H4" s="4">
        <v>901.0</v>
      </c>
      <c r="I4" s="4">
        <v>1.283019</v>
      </c>
      <c r="J4" s="4">
        <v>27.0</v>
      </c>
      <c r="K4" s="4">
        <v>16.0</v>
      </c>
      <c r="L4" s="4">
        <v>2.33564</v>
      </c>
      <c r="M4" s="4">
        <v>0.118148</v>
      </c>
      <c r="N4" s="4">
        <v>2.759516</v>
      </c>
      <c r="O4" s="4">
        <v>8.0</v>
      </c>
      <c r="P4" s="4">
        <v>31.0</v>
      </c>
      <c r="Q4" s="4">
        <v>0.0</v>
      </c>
      <c r="R4" s="4">
        <v>0.0</v>
      </c>
      <c r="S4" s="4">
        <v>0.0</v>
      </c>
      <c r="T4" s="4">
        <v>0.0</v>
      </c>
      <c r="U4" s="4">
        <v>0.0</v>
      </c>
      <c r="W4" s="4">
        <v>0.0</v>
      </c>
      <c r="X4" s="2" t="s">
        <v>1433</v>
      </c>
    </row>
    <row r="5">
      <c r="A5" s="10">
        <v>46138.0</v>
      </c>
      <c r="B5" s="2" t="s">
        <v>1428</v>
      </c>
      <c r="C5" s="2" t="s">
        <v>1429</v>
      </c>
      <c r="D5" s="2" t="s">
        <v>182</v>
      </c>
      <c r="E5" s="2" t="s">
        <v>1430</v>
      </c>
      <c r="F5" s="4">
        <v>4.32</v>
      </c>
      <c r="G5" s="4">
        <v>1503.0</v>
      </c>
      <c r="H5" s="4">
        <v>760.0</v>
      </c>
      <c r="I5" s="4">
        <v>1.977632</v>
      </c>
      <c r="J5" s="4">
        <v>36.0</v>
      </c>
      <c r="K5" s="4">
        <v>22.0</v>
      </c>
      <c r="L5" s="4">
        <v>2.39521</v>
      </c>
      <c r="M5" s="4">
        <v>0.12</v>
      </c>
      <c r="N5" s="4">
        <v>2.874252</v>
      </c>
      <c r="O5" s="4">
        <v>8.0</v>
      </c>
      <c r="P5" s="4">
        <v>34.0</v>
      </c>
      <c r="Q5" s="4">
        <v>2.0</v>
      </c>
      <c r="R5" s="4">
        <v>1.0</v>
      </c>
      <c r="S5" s="4">
        <v>1.0</v>
      </c>
      <c r="T5" s="4">
        <v>1.0</v>
      </c>
      <c r="U5" s="4">
        <v>170.0</v>
      </c>
      <c r="V5" s="4">
        <v>4.32</v>
      </c>
      <c r="W5" s="4">
        <v>39.35185185185185</v>
      </c>
      <c r="X5" s="2" t="s">
        <v>1434</v>
      </c>
    </row>
    <row r="6">
      <c r="A6" s="10">
        <v>46139.0</v>
      </c>
      <c r="B6" s="2" t="s">
        <v>1428</v>
      </c>
      <c r="C6" s="2" t="s">
        <v>1429</v>
      </c>
      <c r="D6" s="2" t="s">
        <v>182</v>
      </c>
      <c r="E6" s="2" t="s">
        <v>1430</v>
      </c>
      <c r="F6" s="4">
        <v>2.5</v>
      </c>
      <c r="G6" s="4">
        <v>838.0</v>
      </c>
      <c r="H6" s="4">
        <v>426.0</v>
      </c>
      <c r="I6" s="4">
        <v>1.967136</v>
      </c>
      <c r="J6" s="4">
        <v>25.0</v>
      </c>
      <c r="K6" s="4">
        <v>17.0</v>
      </c>
      <c r="L6" s="4">
        <v>2.983294</v>
      </c>
      <c r="M6" s="4">
        <v>0.1</v>
      </c>
      <c r="N6" s="4">
        <v>2.983294</v>
      </c>
      <c r="O6" s="4">
        <v>10.0</v>
      </c>
      <c r="P6" s="4">
        <v>47.0</v>
      </c>
      <c r="Q6" s="4">
        <v>0.0</v>
      </c>
      <c r="R6" s="4">
        <v>0.0</v>
      </c>
      <c r="S6" s="4">
        <v>0.0</v>
      </c>
      <c r="T6" s="4">
        <v>0.0</v>
      </c>
      <c r="U6" s="4">
        <v>0.0</v>
      </c>
      <c r="W6" s="4">
        <v>0.0</v>
      </c>
      <c r="X6" s="2" t="s">
        <v>1435</v>
      </c>
    </row>
    <row r="7">
      <c r="A7" s="10">
        <v>46140.0</v>
      </c>
      <c r="B7" s="2" t="s">
        <v>1428</v>
      </c>
      <c r="C7" s="2" t="s">
        <v>1429</v>
      </c>
      <c r="D7" s="2" t="s">
        <v>182</v>
      </c>
      <c r="E7" s="2" t="s">
        <v>1430</v>
      </c>
      <c r="F7" s="4">
        <v>1.56</v>
      </c>
      <c r="G7" s="4">
        <v>526.0</v>
      </c>
      <c r="H7" s="4">
        <v>354.0</v>
      </c>
      <c r="I7" s="4">
        <v>1.485876</v>
      </c>
      <c r="J7" s="4">
        <v>9.0</v>
      </c>
      <c r="K7" s="4">
        <v>8.0</v>
      </c>
      <c r="L7" s="4">
        <v>1.711027</v>
      </c>
      <c r="M7" s="4">
        <v>0.173333</v>
      </c>
      <c r="N7" s="4">
        <v>2.965779</v>
      </c>
      <c r="O7" s="4">
        <v>6.0</v>
      </c>
      <c r="P7" s="4">
        <v>24.0</v>
      </c>
      <c r="Q7" s="4">
        <v>0.0</v>
      </c>
      <c r="R7" s="4">
        <v>0.0</v>
      </c>
      <c r="S7" s="4">
        <v>0.0</v>
      </c>
      <c r="T7" s="4">
        <v>0.0</v>
      </c>
      <c r="U7" s="4">
        <v>0.0</v>
      </c>
      <c r="W7" s="4">
        <v>0.0</v>
      </c>
      <c r="X7" s="2" t="s">
        <v>1436</v>
      </c>
    </row>
    <row r="8">
      <c r="A8" s="10">
        <v>46141.0</v>
      </c>
      <c r="B8" s="2" t="s">
        <v>1428</v>
      </c>
      <c r="C8" s="2" t="s">
        <v>1429</v>
      </c>
      <c r="D8" s="2" t="s">
        <v>182</v>
      </c>
      <c r="E8" s="2" t="s">
        <v>1430</v>
      </c>
      <c r="F8" s="4">
        <v>1.51</v>
      </c>
      <c r="G8" s="4">
        <v>534.0</v>
      </c>
      <c r="H8" s="4">
        <v>390.0</v>
      </c>
      <c r="I8" s="4">
        <v>1.369231</v>
      </c>
      <c r="J8" s="4">
        <v>14.0</v>
      </c>
      <c r="K8" s="4">
        <v>9.0</v>
      </c>
      <c r="L8" s="4">
        <v>2.621723</v>
      </c>
      <c r="M8" s="4">
        <v>0.107857</v>
      </c>
      <c r="N8" s="4">
        <v>2.827715</v>
      </c>
      <c r="O8" s="4">
        <v>2.0</v>
      </c>
      <c r="P8" s="4">
        <v>8.0</v>
      </c>
      <c r="Q8" s="4">
        <v>1.0</v>
      </c>
      <c r="R8" s="4">
        <v>2.0</v>
      </c>
      <c r="S8" s="4">
        <v>0.0</v>
      </c>
      <c r="T8" s="4">
        <v>0.0</v>
      </c>
      <c r="U8" s="4">
        <v>0.0</v>
      </c>
      <c r="W8" s="4">
        <v>0.0</v>
      </c>
      <c r="X8" s="2" t="s">
        <v>1437</v>
      </c>
    </row>
    <row r="9">
      <c r="A9" s="10">
        <v>46142.0</v>
      </c>
      <c r="B9" s="2" t="s">
        <v>1428</v>
      </c>
      <c r="C9" s="2" t="s">
        <v>1429</v>
      </c>
      <c r="D9" s="2" t="s">
        <v>182</v>
      </c>
      <c r="E9" s="2" t="s">
        <v>1430</v>
      </c>
      <c r="F9" s="4">
        <v>5.1</v>
      </c>
      <c r="G9" s="4">
        <v>1494.0</v>
      </c>
      <c r="H9" s="4">
        <v>974.0</v>
      </c>
      <c r="I9" s="4">
        <v>1.533881</v>
      </c>
      <c r="J9" s="4">
        <v>37.0</v>
      </c>
      <c r="K9" s="4">
        <v>24.0</v>
      </c>
      <c r="L9" s="4">
        <v>2.476573</v>
      </c>
      <c r="M9" s="4">
        <v>0.137838</v>
      </c>
      <c r="N9" s="4">
        <v>3.413655</v>
      </c>
      <c r="O9" s="4">
        <v>17.0</v>
      </c>
      <c r="P9" s="4">
        <v>77.0</v>
      </c>
      <c r="Q9" s="4">
        <v>1.0</v>
      </c>
      <c r="R9" s="4">
        <v>1.0</v>
      </c>
      <c r="S9" s="4">
        <v>1.0</v>
      </c>
      <c r="T9" s="4">
        <v>1.0</v>
      </c>
      <c r="U9" s="4">
        <v>120.0</v>
      </c>
      <c r="V9" s="4">
        <v>5.1</v>
      </c>
      <c r="W9" s="4">
        <v>23.529411764705884</v>
      </c>
      <c r="X9" s="2" t="s">
        <v>1438</v>
      </c>
    </row>
    <row r="10">
      <c r="A10" s="10">
        <v>46143.0</v>
      </c>
      <c r="B10" s="2" t="s">
        <v>1428</v>
      </c>
      <c r="C10" s="2" t="s">
        <v>1429</v>
      </c>
      <c r="D10" s="2" t="s">
        <v>182</v>
      </c>
      <c r="E10" s="2" t="s">
        <v>1430</v>
      </c>
      <c r="F10" s="4">
        <v>3.51</v>
      </c>
      <c r="G10" s="4">
        <v>1178.0</v>
      </c>
      <c r="H10" s="4">
        <v>628.0</v>
      </c>
      <c r="I10" s="4">
        <v>1.875796</v>
      </c>
      <c r="J10" s="4">
        <v>29.0</v>
      </c>
      <c r="K10" s="4">
        <v>17.0</v>
      </c>
      <c r="L10" s="4">
        <v>2.4618</v>
      </c>
      <c r="M10" s="4">
        <v>0.121034</v>
      </c>
      <c r="N10" s="4">
        <v>2.979626</v>
      </c>
      <c r="O10" s="4">
        <v>11.0</v>
      </c>
      <c r="P10" s="4">
        <v>23.0</v>
      </c>
      <c r="Q10" s="4">
        <v>0.0</v>
      </c>
      <c r="R10" s="4">
        <v>0.0</v>
      </c>
      <c r="S10" s="4">
        <v>0.0</v>
      </c>
      <c r="T10" s="4">
        <v>0.0</v>
      </c>
      <c r="U10" s="4">
        <v>0.0</v>
      </c>
      <c r="W10" s="4">
        <v>0.0</v>
      </c>
      <c r="X10" s="2" t="s">
        <v>1439</v>
      </c>
    </row>
    <row r="11">
      <c r="A11" s="10">
        <v>46144.0</v>
      </c>
      <c r="B11" s="2" t="s">
        <v>1428</v>
      </c>
      <c r="C11" s="2" t="s">
        <v>1429</v>
      </c>
      <c r="D11" s="2" t="s">
        <v>182</v>
      </c>
      <c r="E11" s="2" t="s">
        <v>1430</v>
      </c>
      <c r="F11" s="4">
        <v>2.46</v>
      </c>
      <c r="G11" s="4">
        <v>1138.0</v>
      </c>
      <c r="H11" s="4">
        <v>727.0</v>
      </c>
      <c r="I11" s="4">
        <v>1.565337</v>
      </c>
      <c r="J11" s="4">
        <v>13.0</v>
      </c>
      <c r="K11" s="4">
        <v>10.0</v>
      </c>
      <c r="L11" s="4">
        <v>1.142355</v>
      </c>
      <c r="M11" s="4">
        <v>0.189231</v>
      </c>
      <c r="N11" s="4">
        <v>2.161687</v>
      </c>
      <c r="O11" s="4">
        <v>8.0</v>
      </c>
      <c r="P11" s="4">
        <v>15.0</v>
      </c>
      <c r="Q11" s="4">
        <v>2.0</v>
      </c>
      <c r="R11" s="4">
        <v>2.0</v>
      </c>
      <c r="S11" s="4">
        <v>0.0</v>
      </c>
      <c r="T11" s="4">
        <v>0.0</v>
      </c>
      <c r="U11" s="4">
        <v>0.0</v>
      </c>
      <c r="W11" s="4">
        <v>0.0</v>
      </c>
      <c r="X11" s="2" t="s">
        <v>1440</v>
      </c>
    </row>
    <row r="12">
      <c r="A12" s="10">
        <v>46145.0</v>
      </c>
      <c r="B12" s="2" t="s">
        <v>1428</v>
      </c>
      <c r="C12" s="2" t="s">
        <v>1429</v>
      </c>
      <c r="D12" s="2" t="s">
        <v>182</v>
      </c>
      <c r="E12" s="2" t="s">
        <v>1430</v>
      </c>
      <c r="F12" s="4">
        <v>3.06</v>
      </c>
      <c r="G12" s="4">
        <v>1487.0</v>
      </c>
      <c r="H12" s="4">
        <v>958.0</v>
      </c>
      <c r="I12" s="4">
        <v>1.552192</v>
      </c>
      <c r="J12" s="4">
        <v>37.0</v>
      </c>
      <c r="K12" s="4">
        <v>20.0</v>
      </c>
      <c r="L12" s="4">
        <v>2.488231</v>
      </c>
      <c r="M12" s="4">
        <v>0.082703</v>
      </c>
      <c r="N12" s="4">
        <v>2.057835</v>
      </c>
      <c r="O12" s="4">
        <v>13.0</v>
      </c>
      <c r="P12" s="4">
        <v>40.0</v>
      </c>
      <c r="Q12" s="4">
        <v>2.0</v>
      </c>
      <c r="R12" s="4">
        <v>1.0</v>
      </c>
      <c r="S12" s="4">
        <v>1.0</v>
      </c>
      <c r="T12" s="4">
        <v>1.0</v>
      </c>
      <c r="U12" s="4">
        <v>75.9</v>
      </c>
      <c r="V12" s="4">
        <v>3.06</v>
      </c>
      <c r="W12" s="4">
        <v>24.80392156862745</v>
      </c>
      <c r="X12" s="2" t="s">
        <v>1441</v>
      </c>
    </row>
    <row r="13">
      <c r="A13" s="10">
        <v>46146.0</v>
      </c>
      <c r="B13" s="2" t="s">
        <v>1428</v>
      </c>
      <c r="C13" s="2" t="s">
        <v>1429</v>
      </c>
      <c r="D13" s="2" t="s">
        <v>182</v>
      </c>
      <c r="E13" s="2" t="s">
        <v>1430</v>
      </c>
      <c r="F13" s="4">
        <v>3.47</v>
      </c>
      <c r="G13" s="4">
        <v>1305.0</v>
      </c>
      <c r="H13" s="4">
        <v>781.0</v>
      </c>
      <c r="I13" s="4">
        <v>1.670935</v>
      </c>
      <c r="J13" s="4">
        <v>28.0</v>
      </c>
      <c r="K13" s="4">
        <v>19.0</v>
      </c>
      <c r="L13" s="4">
        <v>2.145594</v>
      </c>
      <c r="M13" s="4">
        <v>0.123929</v>
      </c>
      <c r="N13" s="4">
        <v>2.659004</v>
      </c>
      <c r="O13" s="4">
        <v>15.0</v>
      </c>
      <c r="P13" s="4">
        <v>38.0</v>
      </c>
      <c r="Q13" s="4">
        <v>1.0</v>
      </c>
      <c r="R13" s="4">
        <v>4.0</v>
      </c>
      <c r="S13" s="4">
        <v>1.0</v>
      </c>
      <c r="T13" s="4">
        <v>1.0</v>
      </c>
      <c r="U13" s="4">
        <v>72.0</v>
      </c>
      <c r="V13" s="4">
        <v>3.47</v>
      </c>
      <c r="W13" s="4">
        <v>20.749279538904897</v>
      </c>
      <c r="X13" s="2" t="s">
        <v>1442</v>
      </c>
    </row>
    <row r="14">
      <c r="A14" s="10">
        <v>46147.0</v>
      </c>
      <c r="B14" s="2" t="s">
        <v>1443</v>
      </c>
      <c r="C14" s="2" t="s">
        <v>1444</v>
      </c>
      <c r="D14" s="2" t="s">
        <v>182</v>
      </c>
      <c r="E14" s="2" t="s">
        <v>1430</v>
      </c>
      <c r="F14" s="4">
        <v>23.55</v>
      </c>
      <c r="G14" s="4">
        <v>8119.0</v>
      </c>
      <c r="H14" s="4">
        <v>5462.0</v>
      </c>
      <c r="I14" s="4">
        <v>1.486452</v>
      </c>
      <c r="J14" s="4">
        <v>208.0</v>
      </c>
      <c r="K14" s="4">
        <v>127.0</v>
      </c>
      <c r="L14" s="4">
        <v>2.561892</v>
      </c>
      <c r="M14" s="4">
        <v>0.113221</v>
      </c>
      <c r="N14" s="4">
        <v>2.900604</v>
      </c>
      <c r="O14" s="4">
        <v>55.0</v>
      </c>
      <c r="P14" s="4">
        <v>100.0</v>
      </c>
      <c r="Q14" s="4">
        <v>1.0</v>
      </c>
      <c r="R14" s="4">
        <v>1.0</v>
      </c>
      <c r="S14" s="4">
        <v>0.0</v>
      </c>
      <c r="T14" s="4">
        <v>0.0</v>
      </c>
      <c r="U14" s="4">
        <v>0.0</v>
      </c>
      <c r="W14" s="4">
        <v>0.0</v>
      </c>
      <c r="X14" s="2" t="s">
        <v>1445</v>
      </c>
    </row>
    <row r="15">
      <c r="A15" s="10">
        <v>46147.0</v>
      </c>
      <c r="B15" s="2" t="s">
        <v>1428</v>
      </c>
      <c r="C15" s="2" t="s">
        <v>1429</v>
      </c>
      <c r="D15" s="2" t="s">
        <v>182</v>
      </c>
      <c r="E15" s="2" t="s">
        <v>1430</v>
      </c>
      <c r="F15" s="4">
        <v>2.85</v>
      </c>
      <c r="G15" s="4">
        <v>912.0</v>
      </c>
      <c r="H15" s="4">
        <v>624.0</v>
      </c>
      <c r="I15" s="4">
        <v>1.461538</v>
      </c>
      <c r="J15" s="4">
        <v>26.0</v>
      </c>
      <c r="K15" s="4">
        <v>14.0</v>
      </c>
      <c r="L15" s="4">
        <v>2.850877</v>
      </c>
      <c r="M15" s="4">
        <v>0.109615</v>
      </c>
      <c r="N15" s="4">
        <v>3.125</v>
      </c>
      <c r="O15" s="4">
        <v>11.0</v>
      </c>
      <c r="P15" s="4">
        <v>43.0</v>
      </c>
      <c r="Q15" s="4">
        <v>1.0</v>
      </c>
      <c r="R15" s="4">
        <v>2.0</v>
      </c>
      <c r="S15" s="4">
        <v>1.0</v>
      </c>
      <c r="T15" s="4">
        <v>1.0</v>
      </c>
      <c r="U15" s="4">
        <v>84.9</v>
      </c>
      <c r="V15" s="4">
        <v>2.85</v>
      </c>
      <c r="W15" s="4">
        <v>29.789473684210527</v>
      </c>
      <c r="X15" s="2" t="s">
        <v>1446</v>
      </c>
    </row>
    <row r="16">
      <c r="A16" s="10">
        <v>46148.0</v>
      </c>
      <c r="B16" s="2" t="s">
        <v>1443</v>
      </c>
      <c r="C16" s="2" t="s">
        <v>1444</v>
      </c>
      <c r="D16" s="2" t="s">
        <v>182</v>
      </c>
      <c r="E16" s="2" t="s">
        <v>1430</v>
      </c>
      <c r="F16" s="4">
        <v>4.43</v>
      </c>
      <c r="G16" s="4">
        <v>2217.0</v>
      </c>
      <c r="H16" s="4">
        <v>1882.0</v>
      </c>
      <c r="I16" s="4">
        <v>1.178002</v>
      </c>
      <c r="J16" s="4">
        <v>61.0</v>
      </c>
      <c r="K16" s="4">
        <v>33.0</v>
      </c>
      <c r="L16" s="4">
        <v>2.751466</v>
      </c>
      <c r="M16" s="4">
        <v>0.072623</v>
      </c>
      <c r="N16" s="4">
        <v>1.998196</v>
      </c>
      <c r="O16" s="4">
        <v>14.0</v>
      </c>
      <c r="P16" s="4">
        <v>36.0</v>
      </c>
      <c r="Q16" s="4">
        <v>0.0</v>
      </c>
      <c r="R16" s="4">
        <v>0.0</v>
      </c>
      <c r="S16" s="4">
        <v>0.0</v>
      </c>
      <c r="T16" s="4">
        <v>0.0</v>
      </c>
      <c r="U16" s="4">
        <v>0.0</v>
      </c>
      <c r="W16" s="4">
        <v>0.0</v>
      </c>
      <c r="X16" s="2" t="s">
        <v>1447</v>
      </c>
    </row>
    <row r="17">
      <c r="A17" s="10">
        <v>46148.0</v>
      </c>
      <c r="B17" s="2" t="s">
        <v>1428</v>
      </c>
      <c r="C17" s="2" t="s">
        <v>1429</v>
      </c>
      <c r="D17" s="2" t="s">
        <v>182</v>
      </c>
      <c r="E17" s="2" t="s">
        <v>1430</v>
      </c>
      <c r="F17" s="4">
        <v>3.59</v>
      </c>
      <c r="G17" s="4">
        <v>1377.0</v>
      </c>
      <c r="H17" s="4">
        <v>1066.0</v>
      </c>
      <c r="I17" s="4">
        <v>1.291745</v>
      </c>
      <c r="J17" s="4">
        <v>54.0</v>
      </c>
      <c r="K17" s="4">
        <v>35.0</v>
      </c>
      <c r="L17" s="4">
        <v>3.921569</v>
      </c>
      <c r="M17" s="4">
        <v>0.066481</v>
      </c>
      <c r="N17" s="4">
        <v>2.607117</v>
      </c>
      <c r="O17" s="4">
        <v>26.0</v>
      </c>
      <c r="P17" s="4">
        <v>49.0</v>
      </c>
      <c r="Q17" s="4">
        <v>1.0</v>
      </c>
      <c r="R17" s="4">
        <v>1.0</v>
      </c>
      <c r="S17" s="4">
        <v>1.0</v>
      </c>
      <c r="T17" s="4">
        <v>1.0</v>
      </c>
      <c r="U17" s="4">
        <v>108.0</v>
      </c>
      <c r="V17" s="4">
        <v>3.59</v>
      </c>
      <c r="W17" s="4">
        <v>30.08356545961003</v>
      </c>
      <c r="X17" s="2" t="s">
        <v>1448</v>
      </c>
    </row>
    <row r="18">
      <c r="A18" s="10">
        <v>46149.0</v>
      </c>
      <c r="B18" s="2" t="s">
        <v>1428</v>
      </c>
      <c r="C18" s="2" t="s">
        <v>1429</v>
      </c>
      <c r="D18" s="2" t="s">
        <v>182</v>
      </c>
      <c r="E18" s="2" t="s">
        <v>1430</v>
      </c>
      <c r="F18" s="4">
        <v>3.17</v>
      </c>
      <c r="G18" s="4">
        <v>1147.0</v>
      </c>
      <c r="H18" s="4">
        <v>800.0</v>
      </c>
      <c r="I18" s="4">
        <v>1.43375</v>
      </c>
      <c r="J18" s="4">
        <v>44.0</v>
      </c>
      <c r="K18" s="4">
        <v>30.0</v>
      </c>
      <c r="L18" s="4">
        <v>3.836094</v>
      </c>
      <c r="M18" s="4">
        <v>0.072045</v>
      </c>
      <c r="N18" s="4">
        <v>2.763731</v>
      </c>
      <c r="O18" s="4">
        <v>31.0</v>
      </c>
      <c r="P18" s="4">
        <v>50.0</v>
      </c>
      <c r="Q18" s="4">
        <v>3.0</v>
      </c>
      <c r="R18" s="4">
        <v>2.0</v>
      </c>
      <c r="S18" s="4">
        <v>0.0</v>
      </c>
      <c r="T18" s="4">
        <v>0.0</v>
      </c>
      <c r="U18" s="4">
        <v>0.0</v>
      </c>
      <c r="W18" s="4">
        <v>0.0</v>
      </c>
      <c r="X18" s="2" t="s">
        <v>1449</v>
      </c>
    </row>
    <row r="19">
      <c r="A19" s="10">
        <v>46150.0</v>
      </c>
      <c r="B19" s="2" t="s">
        <v>1428</v>
      </c>
      <c r="C19" s="2" t="s">
        <v>1429</v>
      </c>
      <c r="D19" s="2" t="s">
        <v>182</v>
      </c>
      <c r="E19" s="2" t="s">
        <v>1430</v>
      </c>
      <c r="F19" s="4">
        <v>2.84</v>
      </c>
      <c r="G19" s="4">
        <v>963.0</v>
      </c>
      <c r="H19" s="4">
        <v>696.0</v>
      </c>
      <c r="I19" s="4">
        <v>1.383621</v>
      </c>
      <c r="J19" s="4">
        <v>25.0</v>
      </c>
      <c r="K19" s="4">
        <v>13.0</v>
      </c>
      <c r="L19" s="4">
        <v>2.596054</v>
      </c>
      <c r="M19" s="4">
        <v>0.1136</v>
      </c>
      <c r="N19" s="4">
        <v>2.949117</v>
      </c>
      <c r="O19" s="4">
        <v>8.0</v>
      </c>
      <c r="P19" s="4">
        <v>35.0</v>
      </c>
      <c r="Q19" s="4">
        <v>1.0</v>
      </c>
      <c r="R19" s="4">
        <v>1.0</v>
      </c>
      <c r="S19" s="4">
        <v>1.0</v>
      </c>
      <c r="T19" s="4">
        <v>1.0</v>
      </c>
      <c r="U19" s="4">
        <v>153.0</v>
      </c>
      <c r="V19" s="4">
        <v>2.84</v>
      </c>
      <c r="W19" s="4">
        <v>53.87323943661972</v>
      </c>
      <c r="X19" s="2" t="s">
        <v>1450</v>
      </c>
    </row>
    <row r="20">
      <c r="A20" s="10">
        <v>46151.0</v>
      </c>
      <c r="B20" s="2" t="s">
        <v>1428</v>
      </c>
      <c r="C20" s="2" t="s">
        <v>1429</v>
      </c>
      <c r="D20" s="2" t="s">
        <v>182</v>
      </c>
      <c r="E20" s="2" t="s">
        <v>1430</v>
      </c>
      <c r="F20" s="4">
        <v>1.98</v>
      </c>
      <c r="G20" s="4">
        <v>688.0</v>
      </c>
      <c r="H20" s="4">
        <v>479.0</v>
      </c>
      <c r="I20" s="4">
        <v>1.436326</v>
      </c>
      <c r="J20" s="4">
        <v>23.0</v>
      </c>
      <c r="K20" s="4">
        <v>13.0</v>
      </c>
      <c r="L20" s="4">
        <v>3.343023</v>
      </c>
      <c r="M20" s="4">
        <v>0.086087</v>
      </c>
      <c r="N20" s="4">
        <v>2.877907</v>
      </c>
      <c r="O20" s="4">
        <v>9.0</v>
      </c>
      <c r="P20" s="4">
        <v>57.0</v>
      </c>
      <c r="Q20" s="4">
        <v>0.0</v>
      </c>
      <c r="R20" s="4">
        <v>0.0</v>
      </c>
      <c r="S20" s="4">
        <v>0.0</v>
      </c>
      <c r="T20" s="4">
        <v>0.0</v>
      </c>
      <c r="U20" s="4">
        <v>0.0</v>
      </c>
      <c r="W20" s="4">
        <v>0.0</v>
      </c>
      <c r="X20" s="2" t="s">
        <v>1451</v>
      </c>
    </row>
    <row r="21">
      <c r="A21" s="10">
        <v>46152.0</v>
      </c>
      <c r="B21" s="2" t="s">
        <v>1428</v>
      </c>
      <c r="C21" s="2" t="s">
        <v>1429</v>
      </c>
      <c r="D21" s="2" t="s">
        <v>182</v>
      </c>
      <c r="E21" s="2" t="s">
        <v>1430</v>
      </c>
      <c r="F21" s="4">
        <v>3.05</v>
      </c>
      <c r="G21" s="4">
        <v>1157.0</v>
      </c>
      <c r="H21" s="4">
        <v>675.0</v>
      </c>
      <c r="I21" s="4">
        <v>1.714074</v>
      </c>
      <c r="J21" s="4">
        <v>35.0</v>
      </c>
      <c r="K21" s="4">
        <v>18.0</v>
      </c>
      <c r="L21" s="4">
        <v>3.025065</v>
      </c>
      <c r="M21" s="4">
        <v>0.087143</v>
      </c>
      <c r="N21" s="4">
        <v>2.636128</v>
      </c>
      <c r="O21" s="4">
        <v>9.0</v>
      </c>
      <c r="P21" s="4">
        <v>70.0</v>
      </c>
      <c r="Q21" s="4">
        <v>1.0</v>
      </c>
      <c r="R21" s="4">
        <v>1.0</v>
      </c>
      <c r="S21" s="4">
        <v>1.0</v>
      </c>
      <c r="T21" s="4">
        <v>1.0</v>
      </c>
      <c r="U21" s="4">
        <v>84.9</v>
      </c>
      <c r="V21" s="4">
        <v>3.05</v>
      </c>
      <c r="W21" s="4">
        <v>27.836065573770494</v>
      </c>
      <c r="X21" s="2" t="s">
        <v>1452</v>
      </c>
    </row>
    <row r="22">
      <c r="A22" s="10">
        <v>46153.0</v>
      </c>
      <c r="B22" s="2" t="s">
        <v>1443</v>
      </c>
      <c r="C22" s="2" t="s">
        <v>1444</v>
      </c>
      <c r="D22" s="2" t="s">
        <v>182</v>
      </c>
      <c r="E22" s="2" t="s">
        <v>1430</v>
      </c>
      <c r="F22" s="4">
        <v>31.73</v>
      </c>
      <c r="G22" s="4">
        <v>9488.0</v>
      </c>
      <c r="H22" s="4">
        <v>5778.0</v>
      </c>
      <c r="I22" s="4">
        <v>1.642091</v>
      </c>
      <c r="J22" s="4">
        <v>318.0</v>
      </c>
      <c r="K22" s="4">
        <v>196.0</v>
      </c>
      <c r="L22" s="4">
        <v>3.351602</v>
      </c>
      <c r="M22" s="4">
        <v>0.09978</v>
      </c>
      <c r="N22" s="4">
        <v>3.344224</v>
      </c>
      <c r="O22" s="4">
        <v>141.0</v>
      </c>
      <c r="P22" s="4">
        <v>239.0</v>
      </c>
      <c r="Q22" s="4">
        <v>3.0</v>
      </c>
      <c r="R22" s="4">
        <v>0.0</v>
      </c>
      <c r="S22" s="4">
        <v>0.0</v>
      </c>
      <c r="T22" s="4">
        <v>0.0</v>
      </c>
      <c r="U22" s="4">
        <v>0.0</v>
      </c>
      <c r="W22" s="4">
        <v>0.0</v>
      </c>
      <c r="X22" s="2" t="s">
        <v>1453</v>
      </c>
    </row>
    <row r="23">
      <c r="A23" s="10">
        <v>46153.0</v>
      </c>
      <c r="B23" s="2" t="s">
        <v>1428</v>
      </c>
      <c r="C23" s="2" t="s">
        <v>1429</v>
      </c>
      <c r="D23" s="2" t="s">
        <v>182</v>
      </c>
      <c r="E23" s="2" t="s">
        <v>1430</v>
      </c>
      <c r="F23" s="4">
        <v>1.56</v>
      </c>
      <c r="G23" s="4">
        <v>575.0</v>
      </c>
      <c r="H23" s="4">
        <v>470.0</v>
      </c>
      <c r="I23" s="4">
        <v>1.223404</v>
      </c>
      <c r="J23" s="4">
        <v>7.0</v>
      </c>
      <c r="K23" s="4">
        <v>4.0</v>
      </c>
      <c r="L23" s="4">
        <v>1.217391</v>
      </c>
      <c r="M23" s="4">
        <v>0.222857</v>
      </c>
      <c r="N23" s="4">
        <v>2.713043</v>
      </c>
      <c r="O23" s="4">
        <v>4.0</v>
      </c>
      <c r="P23" s="4">
        <v>17.0</v>
      </c>
      <c r="Q23" s="4">
        <v>3.0</v>
      </c>
      <c r="R23" s="4">
        <v>0.0</v>
      </c>
      <c r="S23" s="4">
        <v>0.0</v>
      </c>
      <c r="T23" s="4">
        <v>1.0</v>
      </c>
      <c r="U23" s="4">
        <v>120.0</v>
      </c>
      <c r="V23" s="4">
        <v>1.56</v>
      </c>
      <c r="W23" s="4">
        <v>76.92307692307692</v>
      </c>
      <c r="X23" s="2" t="s">
        <v>1454</v>
      </c>
    </row>
    <row r="24">
      <c r="A24" s="10">
        <v>46154.0</v>
      </c>
      <c r="B24" s="2" t="s">
        <v>1443</v>
      </c>
      <c r="C24" s="2" t="s">
        <v>1444</v>
      </c>
      <c r="D24" s="2" t="s">
        <v>182</v>
      </c>
      <c r="E24" s="2" t="s">
        <v>1430</v>
      </c>
      <c r="F24" s="4">
        <v>28.74</v>
      </c>
      <c r="G24" s="4">
        <v>8415.0</v>
      </c>
      <c r="H24" s="4">
        <v>4528.0</v>
      </c>
      <c r="I24" s="4">
        <v>1.858436</v>
      </c>
      <c r="J24" s="4">
        <v>259.0</v>
      </c>
      <c r="K24" s="4">
        <v>164.0</v>
      </c>
      <c r="L24" s="4">
        <v>3.077837</v>
      </c>
      <c r="M24" s="4">
        <v>0.110965</v>
      </c>
      <c r="N24" s="4">
        <v>3.41533</v>
      </c>
      <c r="O24" s="4">
        <v>101.0</v>
      </c>
      <c r="P24" s="4">
        <v>172.0</v>
      </c>
      <c r="Q24" s="4">
        <v>2.0</v>
      </c>
      <c r="R24" s="4">
        <v>1.0</v>
      </c>
      <c r="S24" s="4">
        <v>1.0</v>
      </c>
      <c r="T24" s="4">
        <v>1.0</v>
      </c>
      <c r="U24" s="4">
        <v>84.9</v>
      </c>
      <c r="V24" s="4">
        <v>28.74</v>
      </c>
      <c r="W24" s="4">
        <v>2.9540709812108563</v>
      </c>
      <c r="X24" s="2" t="s">
        <v>1455</v>
      </c>
    </row>
    <row r="25">
      <c r="A25" s="10">
        <v>46154.0</v>
      </c>
      <c r="B25" s="2" t="s">
        <v>1428</v>
      </c>
      <c r="C25" s="2" t="s">
        <v>1429</v>
      </c>
      <c r="D25" s="2" t="s">
        <v>182</v>
      </c>
      <c r="E25" s="2" t="s">
        <v>1430</v>
      </c>
      <c r="F25" s="4">
        <v>3.58</v>
      </c>
      <c r="G25" s="4">
        <v>1126.0</v>
      </c>
      <c r="H25" s="4">
        <v>757.0</v>
      </c>
      <c r="I25" s="4">
        <v>1.48745</v>
      </c>
      <c r="J25" s="4">
        <v>29.0</v>
      </c>
      <c r="K25" s="4">
        <v>18.0</v>
      </c>
      <c r="L25" s="4">
        <v>2.575488</v>
      </c>
      <c r="M25" s="4">
        <v>0.123448</v>
      </c>
      <c r="N25" s="4">
        <v>3.179396</v>
      </c>
      <c r="O25" s="4">
        <v>15.0</v>
      </c>
      <c r="P25" s="4">
        <v>34.0</v>
      </c>
      <c r="Q25" s="4">
        <v>0.0</v>
      </c>
      <c r="R25" s="4">
        <v>0.0</v>
      </c>
      <c r="S25" s="4">
        <v>0.0</v>
      </c>
      <c r="T25" s="4">
        <v>0.0</v>
      </c>
      <c r="U25" s="4">
        <v>0.0</v>
      </c>
      <c r="W25" s="4">
        <v>0.0</v>
      </c>
      <c r="X25" s="2" t="s">
        <v>1456</v>
      </c>
    </row>
    <row r="26">
      <c r="A26" s="10">
        <v>46155.0</v>
      </c>
      <c r="B26" s="2" t="s">
        <v>1443</v>
      </c>
      <c r="C26" s="2" t="s">
        <v>1444</v>
      </c>
      <c r="D26" s="2" t="s">
        <v>182</v>
      </c>
      <c r="E26" s="2" t="s">
        <v>1430</v>
      </c>
      <c r="F26" s="4">
        <v>25.8</v>
      </c>
      <c r="G26" s="4">
        <v>6061.0</v>
      </c>
      <c r="H26" s="4">
        <v>3587.0</v>
      </c>
      <c r="I26" s="4">
        <v>1.689713</v>
      </c>
      <c r="J26" s="4">
        <v>236.0</v>
      </c>
      <c r="K26" s="4">
        <v>157.0</v>
      </c>
      <c r="L26" s="4">
        <v>3.893747</v>
      </c>
      <c r="M26" s="4">
        <v>0.109322</v>
      </c>
      <c r="N26" s="4">
        <v>4.256723</v>
      </c>
      <c r="O26" s="4">
        <v>93.0</v>
      </c>
      <c r="P26" s="4">
        <v>172.0</v>
      </c>
      <c r="Q26" s="4">
        <v>2.0</v>
      </c>
      <c r="R26" s="4">
        <v>0.0</v>
      </c>
      <c r="S26" s="4">
        <v>0.0</v>
      </c>
      <c r="T26" s="4">
        <v>0.0</v>
      </c>
      <c r="U26" s="4">
        <v>0.0</v>
      </c>
      <c r="W26" s="4">
        <v>0.0</v>
      </c>
      <c r="X26" s="2" t="s">
        <v>1457</v>
      </c>
    </row>
    <row r="27">
      <c r="A27" s="10">
        <v>46155.0</v>
      </c>
      <c r="B27" s="2" t="s">
        <v>1428</v>
      </c>
      <c r="C27" s="2" t="s">
        <v>1429</v>
      </c>
      <c r="D27" s="2" t="s">
        <v>182</v>
      </c>
      <c r="E27" s="2" t="s">
        <v>1430</v>
      </c>
      <c r="F27" s="4">
        <v>3.75</v>
      </c>
      <c r="G27" s="4">
        <v>1015.0</v>
      </c>
      <c r="H27" s="4">
        <v>642.0</v>
      </c>
      <c r="I27" s="4">
        <v>1.580997</v>
      </c>
      <c r="J27" s="4">
        <v>38.0</v>
      </c>
      <c r="K27" s="4">
        <v>26.0</v>
      </c>
      <c r="L27" s="4">
        <v>3.743842</v>
      </c>
      <c r="M27" s="4">
        <v>0.098684</v>
      </c>
      <c r="N27" s="4">
        <v>3.694581</v>
      </c>
      <c r="O27" s="4">
        <v>17.0</v>
      </c>
      <c r="P27" s="4">
        <v>60.0</v>
      </c>
      <c r="Q27" s="4">
        <v>2.0</v>
      </c>
      <c r="R27" s="4">
        <v>1.0</v>
      </c>
      <c r="S27" s="4">
        <v>1.0</v>
      </c>
      <c r="T27" s="4">
        <v>1.0</v>
      </c>
      <c r="U27" s="4">
        <v>170.0</v>
      </c>
      <c r="V27" s="4">
        <v>3.75</v>
      </c>
      <c r="W27" s="4">
        <v>45.333333333333336</v>
      </c>
      <c r="X27" s="2" t="s">
        <v>1458</v>
      </c>
    </row>
    <row r="28">
      <c r="A28" s="10">
        <v>46156.0</v>
      </c>
      <c r="B28" s="2" t="s">
        <v>1443</v>
      </c>
      <c r="C28" s="2" t="s">
        <v>1444</v>
      </c>
      <c r="D28" s="2" t="s">
        <v>182</v>
      </c>
      <c r="E28" s="2" t="s">
        <v>1430</v>
      </c>
      <c r="F28" s="4">
        <v>23.34</v>
      </c>
      <c r="G28" s="4">
        <v>5073.0</v>
      </c>
      <c r="H28" s="4">
        <v>3145.0</v>
      </c>
      <c r="I28" s="4">
        <v>1.613037</v>
      </c>
      <c r="J28" s="4">
        <v>210.0</v>
      </c>
      <c r="K28" s="4">
        <v>132.0</v>
      </c>
      <c r="L28" s="4">
        <v>4.139562</v>
      </c>
      <c r="M28" s="4">
        <v>0.111143</v>
      </c>
      <c r="N28" s="4">
        <v>4.600828</v>
      </c>
      <c r="O28" s="4">
        <v>79.0</v>
      </c>
      <c r="P28" s="4">
        <v>173.0</v>
      </c>
      <c r="Q28" s="4">
        <v>3.0</v>
      </c>
      <c r="R28" s="4">
        <v>0.0</v>
      </c>
      <c r="S28" s="4">
        <v>0.0</v>
      </c>
      <c r="T28" s="4">
        <v>0.0</v>
      </c>
      <c r="U28" s="4">
        <v>0.0</v>
      </c>
      <c r="W28" s="4">
        <v>0.0</v>
      </c>
      <c r="X28" s="2" t="s">
        <v>1459</v>
      </c>
    </row>
    <row r="29">
      <c r="A29" s="10">
        <v>46156.0</v>
      </c>
      <c r="B29" s="2" t="s">
        <v>1428</v>
      </c>
      <c r="C29" s="2" t="s">
        <v>1429</v>
      </c>
      <c r="D29" s="2" t="s">
        <v>182</v>
      </c>
      <c r="E29" s="2" t="s">
        <v>1430</v>
      </c>
      <c r="F29" s="4">
        <v>3.08</v>
      </c>
      <c r="G29" s="4">
        <v>927.0</v>
      </c>
      <c r="H29" s="4">
        <v>674.0</v>
      </c>
      <c r="I29" s="4">
        <v>1.375371</v>
      </c>
      <c r="J29" s="4">
        <v>26.0</v>
      </c>
      <c r="K29" s="4">
        <v>16.0</v>
      </c>
      <c r="L29" s="4">
        <v>2.804746</v>
      </c>
      <c r="M29" s="4">
        <v>0.118462</v>
      </c>
      <c r="N29" s="4">
        <v>3.322546</v>
      </c>
      <c r="O29" s="4">
        <v>6.0</v>
      </c>
      <c r="P29" s="4">
        <v>27.0</v>
      </c>
      <c r="Q29" s="4">
        <v>0.0</v>
      </c>
      <c r="R29" s="4">
        <v>0.0</v>
      </c>
      <c r="S29" s="4">
        <v>0.0</v>
      </c>
      <c r="T29" s="4">
        <v>0.0</v>
      </c>
      <c r="U29" s="4">
        <v>0.0</v>
      </c>
      <c r="W29" s="4">
        <v>0.0</v>
      </c>
      <c r="X29" s="2" t="s">
        <v>1460</v>
      </c>
    </row>
    <row r="30">
      <c r="A30" s="10">
        <v>46157.0</v>
      </c>
      <c r="B30" s="2" t="s">
        <v>1443</v>
      </c>
      <c r="C30" s="2" t="s">
        <v>1444</v>
      </c>
      <c r="D30" s="2" t="s">
        <v>182</v>
      </c>
      <c r="E30" s="2" t="s">
        <v>1430</v>
      </c>
      <c r="F30" s="4">
        <v>22.01</v>
      </c>
      <c r="G30" s="4">
        <v>4664.0</v>
      </c>
      <c r="H30" s="4">
        <v>3016.0</v>
      </c>
      <c r="I30" s="4">
        <v>1.546419</v>
      </c>
      <c r="J30" s="4">
        <v>183.0</v>
      </c>
      <c r="K30" s="4">
        <v>104.0</v>
      </c>
      <c r="L30" s="4">
        <v>3.923671</v>
      </c>
      <c r="M30" s="4">
        <v>0.120273</v>
      </c>
      <c r="N30" s="4">
        <v>4.719125</v>
      </c>
      <c r="O30" s="4">
        <v>68.0</v>
      </c>
      <c r="P30" s="4">
        <v>158.0</v>
      </c>
      <c r="Q30" s="4">
        <v>5.0</v>
      </c>
      <c r="R30" s="4">
        <v>4.0</v>
      </c>
      <c r="S30" s="4">
        <v>3.0</v>
      </c>
      <c r="T30" s="4">
        <v>3.0</v>
      </c>
      <c r="U30" s="4">
        <v>288.8</v>
      </c>
      <c r="V30" s="4">
        <v>7.336666666666667</v>
      </c>
      <c r="W30" s="4">
        <v>13.121308496138118</v>
      </c>
      <c r="X30" s="2" t="s">
        <v>1461</v>
      </c>
    </row>
    <row r="31">
      <c r="A31" s="10">
        <v>46157.0</v>
      </c>
      <c r="B31" s="2" t="s">
        <v>1428</v>
      </c>
      <c r="C31" s="2" t="s">
        <v>1429</v>
      </c>
      <c r="D31" s="2" t="s">
        <v>182</v>
      </c>
      <c r="E31" s="2" t="s">
        <v>1430</v>
      </c>
      <c r="F31" s="4">
        <v>2.96</v>
      </c>
      <c r="G31" s="4">
        <v>668.0</v>
      </c>
      <c r="H31" s="4">
        <v>475.0</v>
      </c>
      <c r="I31" s="4">
        <v>1.406316</v>
      </c>
      <c r="J31" s="4">
        <v>20.0</v>
      </c>
      <c r="K31" s="4">
        <v>15.0</v>
      </c>
      <c r="L31" s="4">
        <v>2.994012</v>
      </c>
      <c r="M31" s="4">
        <v>0.148</v>
      </c>
      <c r="N31" s="4">
        <v>4.431138</v>
      </c>
      <c r="O31" s="4">
        <v>13.0</v>
      </c>
      <c r="P31" s="4">
        <v>15.0</v>
      </c>
      <c r="Q31" s="4">
        <v>0.0</v>
      </c>
      <c r="R31" s="4">
        <v>0.0</v>
      </c>
      <c r="S31" s="4">
        <v>0.0</v>
      </c>
      <c r="T31" s="4">
        <v>0.0</v>
      </c>
      <c r="U31" s="4">
        <v>0.0</v>
      </c>
      <c r="W31" s="4">
        <v>0.0</v>
      </c>
      <c r="X31" s="2" t="s">
        <v>1462</v>
      </c>
    </row>
    <row r="32">
      <c r="A32" s="10">
        <v>46158.0</v>
      </c>
      <c r="B32" s="2" t="s">
        <v>1443</v>
      </c>
      <c r="C32" s="2" t="s">
        <v>1444</v>
      </c>
      <c r="D32" s="2" t="s">
        <v>182</v>
      </c>
      <c r="E32" s="2" t="s">
        <v>1430</v>
      </c>
      <c r="F32" s="4">
        <v>21.84</v>
      </c>
      <c r="G32" s="4">
        <v>4776.0</v>
      </c>
      <c r="H32" s="4">
        <v>2816.0</v>
      </c>
      <c r="I32" s="4">
        <v>1.696023</v>
      </c>
      <c r="J32" s="4">
        <v>184.0</v>
      </c>
      <c r="K32" s="4">
        <v>127.0</v>
      </c>
      <c r="L32" s="4">
        <v>3.852596</v>
      </c>
      <c r="M32" s="4">
        <v>0.118696</v>
      </c>
      <c r="N32" s="4">
        <v>4.572864</v>
      </c>
      <c r="O32" s="4">
        <v>78.0</v>
      </c>
      <c r="P32" s="4">
        <v>167.0</v>
      </c>
      <c r="Q32" s="4">
        <v>3.0</v>
      </c>
      <c r="R32" s="4">
        <v>0.0</v>
      </c>
      <c r="S32" s="4">
        <v>0.0</v>
      </c>
      <c r="T32" s="4">
        <v>0.0</v>
      </c>
      <c r="U32" s="4">
        <v>0.0</v>
      </c>
      <c r="W32" s="4">
        <v>0.0</v>
      </c>
      <c r="X32" s="2" t="s">
        <v>1463</v>
      </c>
    </row>
    <row r="33">
      <c r="A33" s="10">
        <v>46158.0</v>
      </c>
      <c r="B33" s="2" t="s">
        <v>1428</v>
      </c>
      <c r="C33" s="2" t="s">
        <v>1429</v>
      </c>
      <c r="D33" s="2" t="s">
        <v>182</v>
      </c>
      <c r="E33" s="2" t="s">
        <v>1430</v>
      </c>
      <c r="F33" s="4">
        <v>2.98</v>
      </c>
      <c r="G33" s="4">
        <v>969.0</v>
      </c>
      <c r="H33" s="4">
        <v>756.0</v>
      </c>
      <c r="I33" s="4">
        <v>1.281746</v>
      </c>
      <c r="J33" s="4">
        <v>41.0</v>
      </c>
      <c r="K33" s="4">
        <v>26.0</v>
      </c>
      <c r="L33" s="4">
        <v>4.231166</v>
      </c>
      <c r="M33" s="4">
        <v>0.072683</v>
      </c>
      <c r="N33" s="4">
        <v>3.075335</v>
      </c>
      <c r="O33" s="4">
        <v>17.0</v>
      </c>
      <c r="P33" s="4">
        <v>61.0</v>
      </c>
      <c r="Q33" s="4">
        <v>0.0</v>
      </c>
      <c r="R33" s="4">
        <v>0.0</v>
      </c>
      <c r="S33" s="4">
        <v>0.0</v>
      </c>
      <c r="T33" s="4">
        <v>0.0</v>
      </c>
      <c r="U33" s="4">
        <v>0.0</v>
      </c>
      <c r="W33" s="4">
        <v>0.0</v>
      </c>
      <c r="X33" s="2" t="s">
        <v>1464</v>
      </c>
    </row>
    <row r="34">
      <c r="A34" s="10">
        <v>46159.0</v>
      </c>
      <c r="B34" s="2" t="s">
        <v>1443</v>
      </c>
      <c r="C34" s="2" t="s">
        <v>1444</v>
      </c>
      <c r="D34" s="2" t="s">
        <v>182</v>
      </c>
      <c r="E34" s="2" t="s">
        <v>1430</v>
      </c>
      <c r="F34" s="4">
        <v>21.82</v>
      </c>
      <c r="G34" s="4">
        <v>4999.0</v>
      </c>
      <c r="H34" s="4">
        <v>2851.0</v>
      </c>
      <c r="I34" s="4">
        <v>1.75342</v>
      </c>
      <c r="J34" s="4">
        <v>198.0</v>
      </c>
      <c r="K34" s="4">
        <v>130.0</v>
      </c>
      <c r="L34" s="4">
        <v>3.960792</v>
      </c>
      <c r="M34" s="4">
        <v>0.110202</v>
      </c>
      <c r="N34" s="4">
        <v>4.364873</v>
      </c>
      <c r="O34" s="4">
        <v>87.0</v>
      </c>
      <c r="P34" s="4">
        <v>188.0</v>
      </c>
      <c r="Q34" s="4">
        <v>2.0</v>
      </c>
      <c r="R34" s="4">
        <v>2.0</v>
      </c>
      <c r="S34" s="4">
        <v>4.0</v>
      </c>
      <c r="T34" s="4">
        <v>1.0</v>
      </c>
      <c r="U34" s="4">
        <v>100.0</v>
      </c>
      <c r="V34" s="4">
        <v>21.82</v>
      </c>
      <c r="W34" s="4">
        <v>4.582951420714941</v>
      </c>
      <c r="X34" s="2" t="s">
        <v>1465</v>
      </c>
    </row>
    <row r="35">
      <c r="A35" s="10">
        <v>46159.0</v>
      </c>
      <c r="B35" s="2" t="s">
        <v>1428</v>
      </c>
      <c r="C35" s="2" t="s">
        <v>1429</v>
      </c>
      <c r="D35" s="2" t="s">
        <v>182</v>
      </c>
      <c r="E35" s="2" t="s">
        <v>1430</v>
      </c>
      <c r="F35" s="4">
        <v>3.58</v>
      </c>
      <c r="G35" s="4">
        <v>1080.0</v>
      </c>
      <c r="H35" s="4">
        <v>583.0</v>
      </c>
      <c r="I35" s="4">
        <v>1.852487</v>
      </c>
      <c r="J35" s="4">
        <v>34.0</v>
      </c>
      <c r="K35" s="4">
        <v>23.0</v>
      </c>
      <c r="L35" s="4">
        <v>3.148148</v>
      </c>
      <c r="M35" s="4">
        <v>0.105294</v>
      </c>
      <c r="N35" s="4">
        <v>3.314815</v>
      </c>
      <c r="O35" s="4">
        <v>12.0</v>
      </c>
      <c r="P35" s="4">
        <v>22.0</v>
      </c>
      <c r="Q35" s="4">
        <v>3.0</v>
      </c>
      <c r="R35" s="4">
        <v>3.0</v>
      </c>
      <c r="S35" s="4">
        <v>2.0</v>
      </c>
      <c r="T35" s="4">
        <v>1.0</v>
      </c>
      <c r="U35" s="4">
        <v>108.0</v>
      </c>
      <c r="V35" s="4">
        <v>3.58</v>
      </c>
      <c r="W35" s="4">
        <v>30.167597765363126</v>
      </c>
      <c r="X35" s="2" t="s">
        <v>1466</v>
      </c>
    </row>
    <row r="36">
      <c r="A36" s="10">
        <v>46160.0</v>
      </c>
      <c r="B36" s="2" t="s">
        <v>1443</v>
      </c>
      <c r="C36" s="2" t="s">
        <v>1444</v>
      </c>
      <c r="D36" s="2" t="s">
        <v>182</v>
      </c>
      <c r="E36" s="2" t="s">
        <v>1430</v>
      </c>
      <c r="F36" s="4">
        <v>22.32</v>
      </c>
      <c r="G36" s="4">
        <v>5390.0</v>
      </c>
      <c r="H36" s="4">
        <v>3480.0</v>
      </c>
      <c r="I36" s="4">
        <v>1.548851</v>
      </c>
      <c r="J36" s="4">
        <v>198.0</v>
      </c>
      <c r="K36" s="4">
        <v>129.0</v>
      </c>
      <c r="L36" s="4">
        <v>3.673469</v>
      </c>
      <c r="M36" s="4">
        <v>0.112727</v>
      </c>
      <c r="N36" s="4">
        <v>4.141002</v>
      </c>
      <c r="O36" s="4">
        <v>76.0</v>
      </c>
      <c r="P36" s="4">
        <v>154.0</v>
      </c>
      <c r="Q36" s="4">
        <v>2.0</v>
      </c>
      <c r="R36" s="4">
        <v>3.0</v>
      </c>
      <c r="S36" s="4">
        <v>2.0</v>
      </c>
      <c r="T36" s="4">
        <v>2.0</v>
      </c>
      <c r="U36" s="4">
        <v>156.9</v>
      </c>
      <c r="V36" s="4">
        <v>11.16</v>
      </c>
      <c r="W36" s="4">
        <v>7.029569892473118</v>
      </c>
      <c r="X36" s="2" t="s">
        <v>1467</v>
      </c>
    </row>
    <row r="37">
      <c r="A37" s="10">
        <v>46160.0</v>
      </c>
      <c r="B37" s="2" t="s">
        <v>1428</v>
      </c>
      <c r="C37" s="2" t="s">
        <v>1429</v>
      </c>
      <c r="D37" s="2" t="s">
        <v>182</v>
      </c>
      <c r="E37" s="2" t="s">
        <v>1430</v>
      </c>
      <c r="F37" s="4">
        <v>3.0</v>
      </c>
      <c r="G37" s="4">
        <v>951.0</v>
      </c>
      <c r="H37" s="4">
        <v>660.0</v>
      </c>
      <c r="I37" s="4">
        <v>1.440909</v>
      </c>
      <c r="J37" s="4">
        <v>26.0</v>
      </c>
      <c r="K37" s="4">
        <v>17.0</v>
      </c>
      <c r="L37" s="4">
        <v>2.733964</v>
      </c>
      <c r="M37" s="4">
        <v>0.115385</v>
      </c>
      <c r="N37" s="4">
        <v>3.154574</v>
      </c>
      <c r="O37" s="4">
        <v>12.0</v>
      </c>
      <c r="P37" s="4">
        <v>25.0</v>
      </c>
      <c r="Q37" s="4">
        <v>0.0</v>
      </c>
      <c r="R37" s="4">
        <v>0.0</v>
      </c>
      <c r="S37" s="4">
        <v>0.0</v>
      </c>
      <c r="T37" s="4">
        <v>0.0</v>
      </c>
      <c r="U37" s="4">
        <v>0.0</v>
      </c>
      <c r="W37" s="4">
        <v>0.0</v>
      </c>
      <c r="X37" s="2" t="s">
        <v>1468</v>
      </c>
    </row>
    <row r="38">
      <c r="A38" s="10">
        <v>46161.0</v>
      </c>
      <c r="B38" s="2" t="s">
        <v>1443</v>
      </c>
      <c r="C38" s="2" t="s">
        <v>1444</v>
      </c>
      <c r="D38" s="2" t="s">
        <v>182</v>
      </c>
      <c r="E38" s="2" t="s">
        <v>1430</v>
      </c>
      <c r="F38" s="4">
        <v>22.66</v>
      </c>
      <c r="G38" s="4">
        <v>4888.0</v>
      </c>
      <c r="H38" s="4">
        <v>3238.0</v>
      </c>
      <c r="I38" s="4">
        <v>1.509574</v>
      </c>
      <c r="J38" s="4">
        <v>175.0</v>
      </c>
      <c r="K38" s="4">
        <v>116.0</v>
      </c>
      <c r="L38" s="4">
        <v>3.580196</v>
      </c>
      <c r="M38" s="4">
        <v>0.129486</v>
      </c>
      <c r="N38" s="4">
        <v>4.635843</v>
      </c>
      <c r="O38" s="4">
        <v>73.0</v>
      </c>
      <c r="P38" s="4">
        <v>131.0</v>
      </c>
      <c r="Q38" s="4">
        <v>0.0</v>
      </c>
      <c r="R38" s="4">
        <v>0.0</v>
      </c>
      <c r="S38" s="4">
        <v>0.0</v>
      </c>
      <c r="T38" s="4">
        <v>0.0</v>
      </c>
      <c r="U38" s="4">
        <v>0.0</v>
      </c>
      <c r="W38" s="4">
        <v>0.0</v>
      </c>
      <c r="X38" s="2" t="s">
        <v>1469</v>
      </c>
    </row>
    <row r="39">
      <c r="A39" s="10">
        <v>46161.0</v>
      </c>
      <c r="B39" s="2" t="s">
        <v>1428</v>
      </c>
      <c r="C39" s="2" t="s">
        <v>1429</v>
      </c>
      <c r="D39" s="2" t="s">
        <v>182</v>
      </c>
      <c r="E39" s="2" t="s">
        <v>1430</v>
      </c>
      <c r="F39" s="4">
        <v>3.31</v>
      </c>
      <c r="G39" s="4">
        <v>845.0</v>
      </c>
      <c r="H39" s="4">
        <v>524.0</v>
      </c>
      <c r="I39" s="4">
        <v>1.612595</v>
      </c>
      <c r="J39" s="4">
        <v>31.0</v>
      </c>
      <c r="K39" s="4">
        <v>20.0</v>
      </c>
      <c r="L39" s="4">
        <v>3.668639</v>
      </c>
      <c r="M39" s="4">
        <v>0.106774</v>
      </c>
      <c r="N39" s="4">
        <v>3.91716</v>
      </c>
      <c r="O39" s="4">
        <v>12.0</v>
      </c>
      <c r="P39" s="4">
        <v>40.0</v>
      </c>
      <c r="Q39" s="4">
        <v>0.0</v>
      </c>
      <c r="R39" s="4">
        <v>0.0</v>
      </c>
      <c r="S39" s="4">
        <v>0.0</v>
      </c>
      <c r="T39" s="4">
        <v>0.0</v>
      </c>
      <c r="U39" s="4">
        <v>0.0</v>
      </c>
      <c r="W39" s="4">
        <v>0.0</v>
      </c>
      <c r="X39" s="2" t="s">
        <v>1470</v>
      </c>
    </row>
    <row r="40">
      <c r="A40" s="10">
        <v>46162.0</v>
      </c>
      <c r="B40" s="2" t="s">
        <v>1443</v>
      </c>
      <c r="C40" s="2" t="s">
        <v>1444</v>
      </c>
      <c r="D40" s="2" t="s">
        <v>182</v>
      </c>
      <c r="E40" s="2" t="s">
        <v>1430</v>
      </c>
      <c r="F40" s="4">
        <v>21.28</v>
      </c>
      <c r="G40" s="4">
        <v>4154.0</v>
      </c>
      <c r="H40" s="4">
        <v>2929.0</v>
      </c>
      <c r="I40" s="4">
        <v>1.418231</v>
      </c>
      <c r="J40" s="4">
        <v>168.0</v>
      </c>
      <c r="K40" s="4">
        <v>112.0</v>
      </c>
      <c r="L40" s="4">
        <v>4.044295</v>
      </c>
      <c r="M40" s="4">
        <v>0.126667</v>
      </c>
      <c r="N40" s="4">
        <v>5.122773</v>
      </c>
      <c r="O40" s="4">
        <v>72.0</v>
      </c>
      <c r="P40" s="4">
        <v>120.0</v>
      </c>
      <c r="Q40" s="4">
        <v>2.0</v>
      </c>
      <c r="R40" s="4">
        <v>1.0</v>
      </c>
      <c r="S40" s="4">
        <v>2.0</v>
      </c>
      <c r="T40" s="4">
        <v>2.0</v>
      </c>
      <c r="U40" s="4">
        <v>275.0</v>
      </c>
      <c r="V40" s="4">
        <v>10.64</v>
      </c>
      <c r="W40" s="4">
        <v>12.922932330827066</v>
      </c>
      <c r="X40" s="2" t="s">
        <v>1471</v>
      </c>
    </row>
    <row r="41">
      <c r="A41" s="10">
        <v>46162.0</v>
      </c>
      <c r="B41" s="2" t="s">
        <v>1428</v>
      </c>
      <c r="C41" s="2" t="s">
        <v>1429</v>
      </c>
      <c r="D41" s="2" t="s">
        <v>182</v>
      </c>
      <c r="E41" s="2" t="s">
        <v>1430</v>
      </c>
      <c r="F41" s="4">
        <v>2.98</v>
      </c>
      <c r="G41" s="4">
        <v>738.0</v>
      </c>
      <c r="H41" s="4">
        <v>506.0</v>
      </c>
      <c r="I41" s="4">
        <v>1.458498</v>
      </c>
      <c r="J41" s="4">
        <v>20.0</v>
      </c>
      <c r="K41" s="4">
        <v>11.0</v>
      </c>
      <c r="L41" s="4">
        <v>2.710027</v>
      </c>
      <c r="M41" s="4">
        <v>0.149</v>
      </c>
      <c r="N41" s="4">
        <v>4.03794</v>
      </c>
      <c r="O41" s="4">
        <v>9.0</v>
      </c>
      <c r="P41" s="4">
        <v>40.0</v>
      </c>
      <c r="Q41" s="4">
        <v>1.0</v>
      </c>
      <c r="R41" s="4">
        <v>0.0</v>
      </c>
      <c r="S41" s="4">
        <v>0.0</v>
      </c>
      <c r="T41" s="4">
        <v>0.0</v>
      </c>
      <c r="U41" s="4">
        <v>0.0</v>
      </c>
      <c r="W41" s="4">
        <v>0.0</v>
      </c>
      <c r="X41" s="2" t="s">
        <v>1472</v>
      </c>
    </row>
    <row r="42">
      <c r="A42" s="10">
        <v>46163.0</v>
      </c>
      <c r="B42" s="2" t="s">
        <v>1443</v>
      </c>
      <c r="C42" s="2" t="s">
        <v>1444</v>
      </c>
      <c r="D42" s="2" t="s">
        <v>182</v>
      </c>
      <c r="E42" s="2" t="s">
        <v>1430</v>
      </c>
      <c r="F42" s="4">
        <v>20.97</v>
      </c>
      <c r="G42" s="4">
        <v>4307.0</v>
      </c>
      <c r="H42" s="4">
        <v>2878.0</v>
      </c>
      <c r="I42" s="4">
        <v>1.496525</v>
      </c>
      <c r="J42" s="4">
        <v>135.0</v>
      </c>
      <c r="K42" s="4">
        <v>85.0</v>
      </c>
      <c r="L42" s="4">
        <v>3.134432</v>
      </c>
      <c r="M42" s="4">
        <v>0.155333</v>
      </c>
      <c r="N42" s="4">
        <v>4.868818</v>
      </c>
      <c r="O42" s="4">
        <v>49.0</v>
      </c>
      <c r="P42" s="4">
        <v>139.0</v>
      </c>
      <c r="Q42" s="4">
        <v>3.0</v>
      </c>
      <c r="R42" s="4">
        <v>2.0</v>
      </c>
      <c r="S42" s="4">
        <v>0.0</v>
      </c>
      <c r="T42" s="4">
        <v>0.0</v>
      </c>
      <c r="U42" s="4">
        <v>0.0</v>
      </c>
      <c r="W42" s="4">
        <v>0.0</v>
      </c>
      <c r="X42" s="2" t="s">
        <v>1473</v>
      </c>
    </row>
    <row r="43">
      <c r="A43" s="10">
        <v>46163.0</v>
      </c>
      <c r="B43" s="2" t="s">
        <v>1428</v>
      </c>
      <c r="C43" s="2" t="s">
        <v>1429</v>
      </c>
      <c r="D43" s="2" t="s">
        <v>182</v>
      </c>
      <c r="E43" s="2" t="s">
        <v>1430</v>
      </c>
      <c r="F43" s="4">
        <v>2.92</v>
      </c>
      <c r="G43" s="4">
        <v>680.0</v>
      </c>
      <c r="H43" s="4">
        <v>455.0</v>
      </c>
      <c r="I43" s="4">
        <v>1.494505</v>
      </c>
      <c r="J43" s="4">
        <v>21.0</v>
      </c>
      <c r="K43" s="4">
        <v>12.0</v>
      </c>
      <c r="L43" s="4">
        <v>3.088235</v>
      </c>
      <c r="M43" s="4">
        <v>0.139048</v>
      </c>
      <c r="N43" s="4">
        <v>4.294118</v>
      </c>
      <c r="O43" s="4">
        <v>11.0</v>
      </c>
      <c r="P43" s="4">
        <v>60.0</v>
      </c>
      <c r="Q43" s="4">
        <v>1.0</v>
      </c>
      <c r="R43" s="4">
        <v>2.0</v>
      </c>
      <c r="S43" s="4">
        <v>1.0</v>
      </c>
      <c r="T43" s="4">
        <v>1.0</v>
      </c>
      <c r="U43" s="4">
        <v>108.0</v>
      </c>
      <c r="V43" s="4">
        <v>2.92</v>
      </c>
      <c r="W43" s="4">
        <v>36.986301369863014</v>
      </c>
      <c r="X43" s="2" t="s">
        <v>1474</v>
      </c>
    </row>
    <row r="44">
      <c r="A44" s="10">
        <v>46164.0</v>
      </c>
      <c r="B44" s="2" t="s">
        <v>1443</v>
      </c>
      <c r="C44" s="2" t="s">
        <v>1444</v>
      </c>
      <c r="D44" s="2" t="s">
        <v>182</v>
      </c>
      <c r="E44" s="2" t="s">
        <v>1430</v>
      </c>
      <c r="F44" s="4">
        <v>20.68</v>
      </c>
      <c r="G44" s="4">
        <v>4133.0</v>
      </c>
      <c r="H44" s="4">
        <v>2673.0</v>
      </c>
      <c r="I44" s="4">
        <v>1.546203</v>
      </c>
      <c r="J44" s="4">
        <v>142.0</v>
      </c>
      <c r="K44" s="4">
        <v>89.0</v>
      </c>
      <c r="L44" s="4">
        <v>3.435761</v>
      </c>
      <c r="M44" s="4">
        <v>0.145634</v>
      </c>
      <c r="N44" s="4">
        <v>5.003629</v>
      </c>
      <c r="O44" s="4">
        <v>43.0</v>
      </c>
      <c r="P44" s="4">
        <v>83.0</v>
      </c>
      <c r="Q44" s="4">
        <v>0.0</v>
      </c>
      <c r="R44" s="4">
        <v>0.0</v>
      </c>
      <c r="S44" s="4">
        <v>0.0</v>
      </c>
      <c r="T44" s="4">
        <v>0.0</v>
      </c>
      <c r="U44" s="4">
        <v>0.0</v>
      </c>
      <c r="W44" s="4">
        <v>0.0</v>
      </c>
      <c r="X44" s="2" t="s">
        <v>1475</v>
      </c>
    </row>
    <row r="45">
      <c r="A45" s="10">
        <v>46164.0</v>
      </c>
      <c r="B45" s="2" t="s">
        <v>1428</v>
      </c>
      <c r="C45" s="2" t="s">
        <v>1429</v>
      </c>
      <c r="D45" s="2" t="s">
        <v>182</v>
      </c>
      <c r="E45" s="2" t="s">
        <v>1430</v>
      </c>
      <c r="F45" s="4">
        <v>2.79</v>
      </c>
      <c r="G45" s="4">
        <v>616.0</v>
      </c>
      <c r="H45" s="4">
        <v>360.0</v>
      </c>
      <c r="I45" s="4">
        <v>1.711111</v>
      </c>
      <c r="J45" s="4">
        <v>16.0</v>
      </c>
      <c r="K45" s="4">
        <v>10.0</v>
      </c>
      <c r="L45" s="4">
        <v>2.597403</v>
      </c>
      <c r="M45" s="4">
        <v>0.174375</v>
      </c>
      <c r="N45" s="4">
        <v>4.529221</v>
      </c>
      <c r="O45" s="4">
        <v>5.0</v>
      </c>
      <c r="P45" s="4">
        <v>26.0</v>
      </c>
      <c r="Q45" s="4">
        <v>1.0</v>
      </c>
      <c r="R45" s="4">
        <v>1.0</v>
      </c>
      <c r="S45" s="4">
        <v>0.0</v>
      </c>
      <c r="T45" s="4">
        <v>0.0</v>
      </c>
      <c r="U45" s="4">
        <v>0.0</v>
      </c>
      <c r="W45" s="4">
        <v>0.0</v>
      </c>
      <c r="X45" s="2" t="s">
        <v>1476</v>
      </c>
    </row>
    <row r="46">
      <c r="A46" s="10">
        <v>46171.0</v>
      </c>
      <c r="B46" s="2" t="s">
        <v>1443</v>
      </c>
      <c r="C46" s="2" t="s">
        <v>1444</v>
      </c>
      <c r="D46" s="2" t="s">
        <v>182</v>
      </c>
      <c r="E46" s="2" t="s">
        <v>1430</v>
      </c>
      <c r="F46" s="4">
        <v>19.91</v>
      </c>
      <c r="G46" s="4">
        <v>4563.0</v>
      </c>
      <c r="H46" s="4">
        <v>3186.0</v>
      </c>
      <c r="I46" s="4">
        <v>1.432203</v>
      </c>
      <c r="J46" s="4">
        <v>146.0</v>
      </c>
      <c r="K46" s="4">
        <v>91.0</v>
      </c>
      <c r="L46" s="4">
        <v>3.199649</v>
      </c>
      <c r="M46" s="4">
        <v>0.13637</v>
      </c>
      <c r="N46" s="4">
        <v>4.363357</v>
      </c>
      <c r="O46" s="4">
        <v>52.0</v>
      </c>
      <c r="P46" s="4">
        <v>81.0</v>
      </c>
      <c r="Q46" s="4">
        <v>0.0</v>
      </c>
      <c r="R46" s="4">
        <v>0.0</v>
      </c>
      <c r="S46" s="4">
        <v>0.0</v>
      </c>
      <c r="T46" s="4">
        <v>0.0</v>
      </c>
      <c r="U46" s="4">
        <v>0.0</v>
      </c>
      <c r="W46" s="4">
        <v>0.0</v>
      </c>
      <c r="X46" s="2" t="s">
        <v>1477</v>
      </c>
    </row>
    <row r="47">
      <c r="A47" s="10">
        <v>46171.0</v>
      </c>
      <c r="B47" s="2" t="s">
        <v>1428</v>
      </c>
      <c r="C47" s="2" t="s">
        <v>1429</v>
      </c>
      <c r="D47" s="2" t="s">
        <v>182</v>
      </c>
      <c r="E47" s="2" t="s">
        <v>1430</v>
      </c>
      <c r="F47" s="4">
        <v>2.87</v>
      </c>
      <c r="G47" s="4">
        <v>552.0</v>
      </c>
      <c r="H47" s="4">
        <v>307.0</v>
      </c>
      <c r="I47" s="4">
        <v>1.798046</v>
      </c>
      <c r="J47" s="4">
        <v>13.0</v>
      </c>
      <c r="K47" s="4">
        <v>8.0</v>
      </c>
      <c r="L47" s="4">
        <v>2.355072</v>
      </c>
      <c r="M47" s="4">
        <v>0.220769</v>
      </c>
      <c r="N47" s="4">
        <v>5.199275</v>
      </c>
      <c r="O47" s="4">
        <v>5.0</v>
      </c>
      <c r="P47" s="4">
        <v>55.0</v>
      </c>
      <c r="Q47" s="4">
        <v>3.0</v>
      </c>
      <c r="R47" s="4">
        <v>2.0</v>
      </c>
      <c r="S47" s="4">
        <v>2.0</v>
      </c>
      <c r="T47" s="4">
        <v>0.0</v>
      </c>
      <c r="U47" s="4">
        <v>0.0</v>
      </c>
      <c r="W47" s="4">
        <v>0.0</v>
      </c>
      <c r="X47" s="2" t="s">
        <v>1478</v>
      </c>
    </row>
    <row r="48">
      <c r="A48" s="10">
        <v>46171.0</v>
      </c>
      <c r="B48" s="2" t="s">
        <v>1443</v>
      </c>
      <c r="C48" s="2" t="s">
        <v>1444</v>
      </c>
      <c r="D48" s="2" t="s">
        <v>182</v>
      </c>
      <c r="E48" s="2" t="s">
        <v>1430</v>
      </c>
      <c r="F48" s="4">
        <v>19.91</v>
      </c>
      <c r="G48" s="4">
        <v>4563.0</v>
      </c>
      <c r="H48" s="4">
        <v>3186.0</v>
      </c>
      <c r="I48" s="4">
        <v>1.432203</v>
      </c>
      <c r="J48" s="4">
        <v>146.0</v>
      </c>
      <c r="K48" s="4">
        <v>91.0</v>
      </c>
      <c r="L48" s="4">
        <v>3.199649</v>
      </c>
      <c r="M48" s="4">
        <v>0.13637</v>
      </c>
      <c r="N48" s="4">
        <v>4.363357</v>
      </c>
      <c r="O48" s="4">
        <v>52.0</v>
      </c>
      <c r="P48" s="4">
        <v>81.0</v>
      </c>
      <c r="Q48" s="4">
        <v>0.0</v>
      </c>
      <c r="R48" s="4">
        <v>0.0</v>
      </c>
      <c r="S48" s="4">
        <v>0.0</v>
      </c>
      <c r="T48" s="4">
        <v>0.0</v>
      </c>
      <c r="U48" s="4">
        <v>0.0</v>
      </c>
      <c r="W48" s="4">
        <v>0.0</v>
      </c>
      <c r="X48" s="2" t="s">
        <v>1479</v>
      </c>
    </row>
    <row r="49">
      <c r="A49" s="10">
        <v>46171.0</v>
      </c>
      <c r="B49" s="2" t="s">
        <v>1428</v>
      </c>
      <c r="C49" s="2" t="s">
        <v>1429</v>
      </c>
      <c r="D49" s="2" t="s">
        <v>182</v>
      </c>
      <c r="E49" s="2" t="s">
        <v>1430</v>
      </c>
      <c r="F49" s="4">
        <v>2.87</v>
      </c>
      <c r="G49" s="4">
        <v>552.0</v>
      </c>
      <c r="H49" s="4">
        <v>307.0</v>
      </c>
      <c r="I49" s="4">
        <v>1.798046</v>
      </c>
      <c r="J49" s="4">
        <v>13.0</v>
      </c>
      <c r="K49" s="4">
        <v>8.0</v>
      </c>
      <c r="L49" s="4">
        <v>2.355072</v>
      </c>
      <c r="M49" s="4">
        <v>0.220769</v>
      </c>
      <c r="N49" s="4">
        <v>5.199275</v>
      </c>
      <c r="O49" s="4">
        <v>5.0</v>
      </c>
      <c r="P49" s="4">
        <v>55.0</v>
      </c>
      <c r="Q49" s="4">
        <v>3.0</v>
      </c>
      <c r="R49" s="4">
        <v>2.0</v>
      </c>
      <c r="S49" s="4">
        <v>2.0</v>
      </c>
      <c r="T49" s="4">
        <v>0.0</v>
      </c>
      <c r="U49" s="4">
        <v>0.0</v>
      </c>
      <c r="W49" s="4">
        <v>0.0</v>
      </c>
      <c r="X49" s="2" t="s">
        <v>1480</v>
      </c>
    </row>
    <row r="50">
      <c r="A50" s="10">
        <v>46165.0</v>
      </c>
      <c r="B50" s="2" t="s">
        <v>1443</v>
      </c>
      <c r="C50" s="2" t="s">
        <v>1444</v>
      </c>
      <c r="D50" s="2" t="s">
        <v>182</v>
      </c>
      <c r="E50" s="2" t="s">
        <v>1430</v>
      </c>
      <c r="F50" s="4">
        <v>23.77</v>
      </c>
      <c r="G50" s="4">
        <v>5150.0</v>
      </c>
      <c r="H50" s="4">
        <v>3255.0</v>
      </c>
      <c r="I50" s="4">
        <v>1.582181</v>
      </c>
      <c r="J50" s="4">
        <v>185.0</v>
      </c>
      <c r="K50" s="4">
        <v>116.0</v>
      </c>
      <c r="L50" s="4">
        <v>3.592233</v>
      </c>
      <c r="M50" s="4">
        <v>0.128486</v>
      </c>
      <c r="N50" s="4">
        <v>4.615534</v>
      </c>
      <c r="O50" s="4">
        <v>75.0</v>
      </c>
      <c r="P50" s="4">
        <v>126.0</v>
      </c>
      <c r="Q50" s="4">
        <v>0.0</v>
      </c>
      <c r="R50" s="4">
        <v>0.0</v>
      </c>
      <c r="S50" s="4">
        <v>0.0</v>
      </c>
      <c r="T50" s="4">
        <v>0.0</v>
      </c>
      <c r="U50" s="4">
        <v>0.0</v>
      </c>
      <c r="W50" s="4">
        <v>0.0</v>
      </c>
      <c r="X50" s="2" t="s">
        <v>1481</v>
      </c>
    </row>
    <row r="51">
      <c r="A51" s="10">
        <v>46165.0</v>
      </c>
      <c r="B51" s="2" t="s">
        <v>1428</v>
      </c>
      <c r="C51" s="2" t="s">
        <v>1429</v>
      </c>
      <c r="D51" s="2" t="s">
        <v>182</v>
      </c>
      <c r="E51" s="2" t="s">
        <v>1430</v>
      </c>
      <c r="F51" s="4">
        <v>2.39</v>
      </c>
      <c r="G51" s="4">
        <v>617.0</v>
      </c>
      <c r="H51" s="4">
        <v>480.0</v>
      </c>
      <c r="I51" s="4">
        <v>1.285417</v>
      </c>
      <c r="J51" s="4">
        <v>16.0</v>
      </c>
      <c r="K51" s="4">
        <v>11.0</v>
      </c>
      <c r="L51" s="4">
        <v>2.593193</v>
      </c>
      <c r="M51" s="4">
        <v>0.149375</v>
      </c>
      <c r="N51" s="4">
        <v>3.873582</v>
      </c>
      <c r="O51" s="4">
        <v>6.0</v>
      </c>
      <c r="P51" s="4">
        <v>26.0</v>
      </c>
      <c r="Q51" s="4">
        <v>1.0</v>
      </c>
      <c r="R51" s="4">
        <v>1.0</v>
      </c>
      <c r="S51" s="4">
        <v>0.0</v>
      </c>
      <c r="T51" s="4">
        <v>0.0</v>
      </c>
      <c r="U51" s="4">
        <v>0.0</v>
      </c>
      <c r="W51" s="4">
        <v>0.0</v>
      </c>
      <c r="X51" s="2" t="s">
        <v>1482</v>
      </c>
    </row>
    <row r="52">
      <c r="A52" s="10">
        <v>46166.0</v>
      </c>
      <c r="B52" s="2" t="s">
        <v>1443</v>
      </c>
      <c r="C52" s="2" t="s">
        <v>1444</v>
      </c>
      <c r="D52" s="2" t="s">
        <v>182</v>
      </c>
      <c r="E52" s="2" t="s">
        <v>1430</v>
      </c>
      <c r="F52" s="4">
        <v>23.22</v>
      </c>
      <c r="G52" s="4">
        <v>5300.0</v>
      </c>
      <c r="H52" s="4">
        <v>3250.0</v>
      </c>
      <c r="I52" s="4">
        <v>1.630769</v>
      </c>
      <c r="J52" s="4">
        <v>141.0</v>
      </c>
      <c r="K52" s="4">
        <v>100.0</v>
      </c>
      <c r="L52" s="4">
        <v>2.660377</v>
      </c>
      <c r="M52" s="4">
        <v>0.164681</v>
      </c>
      <c r="N52" s="4">
        <v>4.381132</v>
      </c>
      <c r="O52" s="4">
        <v>57.0</v>
      </c>
      <c r="P52" s="4">
        <v>104.0</v>
      </c>
      <c r="Q52" s="4">
        <v>1.0</v>
      </c>
      <c r="R52" s="4">
        <v>0.0</v>
      </c>
      <c r="S52" s="4">
        <v>0.0</v>
      </c>
      <c r="T52" s="4">
        <v>0.0</v>
      </c>
      <c r="U52" s="4">
        <v>0.0</v>
      </c>
      <c r="W52" s="4">
        <v>0.0</v>
      </c>
      <c r="X52" s="2" t="s">
        <v>1483</v>
      </c>
    </row>
    <row r="53">
      <c r="A53" s="10">
        <v>46166.0</v>
      </c>
      <c r="B53" s="2" t="s">
        <v>1428</v>
      </c>
      <c r="C53" s="2" t="s">
        <v>1429</v>
      </c>
      <c r="D53" s="2" t="s">
        <v>182</v>
      </c>
      <c r="E53" s="2" t="s">
        <v>1430</v>
      </c>
      <c r="F53" s="4">
        <v>3.52</v>
      </c>
      <c r="G53" s="4">
        <v>1005.0</v>
      </c>
      <c r="H53" s="4">
        <v>548.0</v>
      </c>
      <c r="I53" s="4">
        <v>1.833942</v>
      </c>
      <c r="J53" s="4">
        <v>37.0</v>
      </c>
      <c r="K53" s="4">
        <v>18.0</v>
      </c>
      <c r="L53" s="4">
        <v>3.681592</v>
      </c>
      <c r="M53" s="4">
        <v>0.095135</v>
      </c>
      <c r="N53" s="4">
        <v>3.502488</v>
      </c>
      <c r="O53" s="4">
        <v>11.0</v>
      </c>
      <c r="P53" s="4">
        <v>36.0</v>
      </c>
      <c r="Q53" s="4">
        <v>0.0</v>
      </c>
      <c r="R53" s="4">
        <v>0.0</v>
      </c>
      <c r="S53" s="4">
        <v>0.0</v>
      </c>
      <c r="T53" s="4">
        <v>0.0</v>
      </c>
      <c r="U53" s="4">
        <v>0.0</v>
      </c>
      <c r="W53" s="4">
        <v>0.0</v>
      </c>
      <c r="X53" s="2" t="s">
        <v>1484</v>
      </c>
    </row>
    <row r="54">
      <c r="A54" s="10">
        <v>46167.0</v>
      </c>
      <c r="B54" s="2" t="s">
        <v>1443</v>
      </c>
      <c r="C54" s="2" t="s">
        <v>1444</v>
      </c>
      <c r="D54" s="2" t="s">
        <v>182</v>
      </c>
      <c r="E54" s="2" t="s">
        <v>1430</v>
      </c>
      <c r="F54" s="4">
        <v>23.3</v>
      </c>
      <c r="G54" s="4">
        <v>6079.0</v>
      </c>
      <c r="H54" s="4">
        <v>3890.0</v>
      </c>
      <c r="I54" s="4">
        <v>1.562725</v>
      </c>
      <c r="J54" s="4">
        <v>202.0</v>
      </c>
      <c r="K54" s="4">
        <v>129.0</v>
      </c>
      <c r="L54" s="4">
        <v>3.322915</v>
      </c>
      <c r="M54" s="4">
        <v>0.115347</v>
      </c>
      <c r="N54" s="4">
        <v>3.832867</v>
      </c>
      <c r="O54" s="4">
        <v>72.0</v>
      </c>
      <c r="P54" s="4">
        <v>156.0</v>
      </c>
      <c r="Q54" s="4">
        <v>1.0</v>
      </c>
      <c r="R54" s="4">
        <v>1.0</v>
      </c>
      <c r="S54" s="4">
        <v>0.0</v>
      </c>
      <c r="T54" s="4">
        <v>0.0</v>
      </c>
      <c r="U54" s="4">
        <v>0.0</v>
      </c>
      <c r="W54" s="4">
        <v>0.0</v>
      </c>
      <c r="X54" s="2" t="s">
        <v>1485</v>
      </c>
    </row>
    <row r="55">
      <c r="A55" s="10">
        <v>46167.0</v>
      </c>
      <c r="B55" s="2" t="s">
        <v>1428</v>
      </c>
      <c r="C55" s="2" t="s">
        <v>1429</v>
      </c>
      <c r="D55" s="2" t="s">
        <v>182</v>
      </c>
      <c r="E55" s="2" t="s">
        <v>1430</v>
      </c>
      <c r="F55" s="4">
        <v>3.13</v>
      </c>
      <c r="G55" s="4">
        <v>819.0</v>
      </c>
      <c r="H55" s="4">
        <v>503.0</v>
      </c>
      <c r="I55" s="4">
        <v>1.628231</v>
      </c>
      <c r="J55" s="4">
        <v>26.0</v>
      </c>
      <c r="K55" s="4">
        <v>18.0</v>
      </c>
      <c r="L55" s="4">
        <v>3.174603</v>
      </c>
      <c r="M55" s="4">
        <v>0.120385</v>
      </c>
      <c r="N55" s="4">
        <v>3.821734</v>
      </c>
      <c r="O55" s="4">
        <v>11.0</v>
      </c>
      <c r="P55" s="4">
        <v>33.0</v>
      </c>
      <c r="Q55" s="4">
        <v>0.0</v>
      </c>
      <c r="R55" s="4">
        <v>0.0</v>
      </c>
      <c r="S55" s="4">
        <v>0.0</v>
      </c>
      <c r="T55" s="4">
        <v>0.0</v>
      </c>
      <c r="U55" s="4">
        <v>0.0</v>
      </c>
      <c r="W55" s="4">
        <v>0.0</v>
      </c>
      <c r="X55" s="2" t="s">
        <v>1486</v>
      </c>
    </row>
    <row r="56">
      <c r="A56" s="10">
        <v>46168.0</v>
      </c>
      <c r="B56" s="2" t="s">
        <v>1443</v>
      </c>
      <c r="C56" s="2" t="s">
        <v>1444</v>
      </c>
      <c r="D56" s="2" t="s">
        <v>182</v>
      </c>
      <c r="E56" s="2" t="s">
        <v>1430</v>
      </c>
      <c r="F56" s="4">
        <v>22.52</v>
      </c>
      <c r="G56" s="4">
        <v>4643.0</v>
      </c>
      <c r="H56" s="4">
        <v>2802.0</v>
      </c>
      <c r="I56" s="4">
        <v>1.657031</v>
      </c>
      <c r="J56" s="4">
        <v>137.0</v>
      </c>
      <c r="K56" s="4">
        <v>79.0</v>
      </c>
      <c r="L56" s="4">
        <v>2.950678</v>
      </c>
      <c r="M56" s="4">
        <v>0.16438</v>
      </c>
      <c r="N56" s="4">
        <v>4.850312</v>
      </c>
      <c r="O56" s="4">
        <v>47.0</v>
      </c>
      <c r="P56" s="4">
        <v>108.0</v>
      </c>
      <c r="Q56" s="4">
        <v>0.0</v>
      </c>
      <c r="R56" s="4">
        <v>0.0</v>
      </c>
      <c r="S56" s="4">
        <v>0.0</v>
      </c>
      <c r="T56" s="4">
        <v>0.0</v>
      </c>
      <c r="U56" s="4">
        <v>0.0</v>
      </c>
      <c r="W56" s="4">
        <v>0.0</v>
      </c>
      <c r="X56" s="2" t="s">
        <v>1487</v>
      </c>
    </row>
    <row r="57">
      <c r="A57" s="10">
        <v>46168.0</v>
      </c>
      <c r="B57" s="2" t="s">
        <v>1428</v>
      </c>
      <c r="C57" s="2" t="s">
        <v>1429</v>
      </c>
      <c r="D57" s="2" t="s">
        <v>182</v>
      </c>
      <c r="E57" s="2" t="s">
        <v>1430</v>
      </c>
      <c r="F57" s="4">
        <v>1.66</v>
      </c>
      <c r="G57" s="4">
        <v>518.0</v>
      </c>
      <c r="H57" s="4">
        <v>417.0</v>
      </c>
      <c r="I57" s="4">
        <v>1.242206</v>
      </c>
      <c r="J57" s="4">
        <v>9.0</v>
      </c>
      <c r="K57" s="4">
        <v>5.0</v>
      </c>
      <c r="L57" s="4">
        <v>1.737452</v>
      </c>
      <c r="M57" s="4">
        <v>0.184444</v>
      </c>
      <c r="N57" s="4">
        <v>3.204633</v>
      </c>
      <c r="O57" s="4">
        <v>1.0</v>
      </c>
      <c r="P57" s="4">
        <v>14.0</v>
      </c>
      <c r="Q57" s="4">
        <v>1.0</v>
      </c>
      <c r="R57" s="4">
        <v>2.0</v>
      </c>
      <c r="S57" s="4">
        <v>1.0</v>
      </c>
      <c r="T57" s="4">
        <v>1.0</v>
      </c>
      <c r="U57" s="4">
        <v>90.0</v>
      </c>
      <c r="V57" s="4">
        <v>1.66</v>
      </c>
      <c r="W57" s="4">
        <v>54.21686746987952</v>
      </c>
      <c r="X57" s="2" t="s">
        <v>1488</v>
      </c>
    </row>
    <row r="58">
      <c r="A58" s="10">
        <v>46169.0</v>
      </c>
      <c r="B58" s="2" t="s">
        <v>1443</v>
      </c>
      <c r="C58" s="2" t="s">
        <v>1444</v>
      </c>
      <c r="D58" s="2" t="s">
        <v>182</v>
      </c>
      <c r="E58" s="2" t="s">
        <v>1430</v>
      </c>
      <c r="F58" s="4">
        <v>22.15</v>
      </c>
      <c r="G58" s="4">
        <v>5034.0</v>
      </c>
      <c r="H58" s="4">
        <v>3412.0</v>
      </c>
      <c r="I58" s="4">
        <v>1.475381</v>
      </c>
      <c r="J58" s="4">
        <v>175.0</v>
      </c>
      <c r="K58" s="4">
        <v>118.0</v>
      </c>
      <c r="L58" s="4">
        <v>3.476361</v>
      </c>
      <c r="M58" s="4">
        <v>0.126571</v>
      </c>
      <c r="N58" s="4">
        <v>4.400079</v>
      </c>
      <c r="O58" s="4">
        <v>73.0</v>
      </c>
      <c r="P58" s="4">
        <v>144.0</v>
      </c>
      <c r="Q58" s="4">
        <v>3.0</v>
      </c>
      <c r="R58" s="4">
        <v>0.0</v>
      </c>
      <c r="S58" s="4">
        <v>0.0</v>
      </c>
      <c r="T58" s="4">
        <v>0.0</v>
      </c>
      <c r="U58" s="4">
        <v>0.0</v>
      </c>
      <c r="W58" s="4">
        <v>0.0</v>
      </c>
      <c r="X58" s="2" t="s">
        <v>1489</v>
      </c>
    </row>
    <row r="59">
      <c r="A59" s="10">
        <v>46169.0</v>
      </c>
      <c r="B59" s="2" t="s">
        <v>1428</v>
      </c>
      <c r="C59" s="2" t="s">
        <v>1429</v>
      </c>
      <c r="D59" s="2" t="s">
        <v>182</v>
      </c>
      <c r="E59" s="2" t="s">
        <v>1430</v>
      </c>
      <c r="F59" s="4">
        <v>3.68</v>
      </c>
      <c r="G59" s="4">
        <v>795.0</v>
      </c>
      <c r="H59" s="4">
        <v>504.0</v>
      </c>
      <c r="I59" s="4">
        <v>1.577381</v>
      </c>
      <c r="J59" s="4">
        <v>29.0</v>
      </c>
      <c r="K59" s="4">
        <v>13.0</v>
      </c>
      <c r="L59" s="4">
        <v>3.647799</v>
      </c>
      <c r="M59" s="4">
        <v>0.126897</v>
      </c>
      <c r="N59" s="4">
        <v>4.628931</v>
      </c>
      <c r="O59" s="4">
        <v>6.0</v>
      </c>
      <c r="P59" s="4">
        <v>133.0</v>
      </c>
      <c r="Q59" s="4">
        <v>4.0</v>
      </c>
      <c r="R59" s="4">
        <v>7.0</v>
      </c>
      <c r="S59" s="4">
        <v>6.0</v>
      </c>
      <c r="T59" s="4">
        <v>3.0</v>
      </c>
      <c r="U59" s="4">
        <v>348.0</v>
      </c>
      <c r="V59" s="4">
        <v>1.2266666666666668</v>
      </c>
      <c r="W59" s="4">
        <v>94.56521739130434</v>
      </c>
      <c r="X59" s="2" t="s">
        <v>1490</v>
      </c>
    </row>
    <row r="60">
      <c r="A60" s="10">
        <v>46170.0</v>
      </c>
      <c r="B60" s="2" t="s">
        <v>1443</v>
      </c>
      <c r="C60" s="2" t="s">
        <v>1444</v>
      </c>
      <c r="D60" s="2" t="s">
        <v>182</v>
      </c>
      <c r="E60" s="2" t="s">
        <v>1430</v>
      </c>
      <c r="F60" s="4">
        <v>21.15</v>
      </c>
      <c r="G60" s="4">
        <v>4890.0</v>
      </c>
      <c r="H60" s="4">
        <v>3545.0</v>
      </c>
      <c r="I60" s="4">
        <v>1.379408</v>
      </c>
      <c r="J60" s="4">
        <v>180.0</v>
      </c>
      <c r="K60" s="4">
        <v>110.0</v>
      </c>
      <c r="L60" s="4">
        <v>3.680982</v>
      </c>
      <c r="M60" s="4">
        <v>0.1175</v>
      </c>
      <c r="N60" s="4">
        <v>4.325153</v>
      </c>
      <c r="O60" s="4">
        <v>60.0</v>
      </c>
      <c r="P60" s="4">
        <v>175.0</v>
      </c>
      <c r="Q60" s="4">
        <v>4.0</v>
      </c>
      <c r="R60" s="4">
        <v>3.0</v>
      </c>
      <c r="S60" s="4">
        <v>0.0</v>
      </c>
      <c r="T60" s="4">
        <v>0.0</v>
      </c>
      <c r="U60" s="4">
        <v>0.0</v>
      </c>
      <c r="W60" s="4">
        <v>0.0</v>
      </c>
      <c r="X60" s="2" t="s">
        <v>1491</v>
      </c>
    </row>
    <row r="61">
      <c r="A61" s="10">
        <v>46170.0</v>
      </c>
      <c r="B61" s="2" t="s">
        <v>1428</v>
      </c>
      <c r="C61" s="2" t="s">
        <v>1429</v>
      </c>
      <c r="D61" s="2" t="s">
        <v>182</v>
      </c>
      <c r="E61" s="2" t="s">
        <v>1430</v>
      </c>
      <c r="F61" s="4">
        <v>3.86</v>
      </c>
      <c r="G61" s="4">
        <v>903.0</v>
      </c>
      <c r="H61" s="4">
        <v>494.0</v>
      </c>
      <c r="I61" s="4">
        <v>1.827935</v>
      </c>
      <c r="J61" s="4">
        <v>18.0</v>
      </c>
      <c r="K61" s="4">
        <v>9.0</v>
      </c>
      <c r="L61" s="4">
        <v>1.993355</v>
      </c>
      <c r="M61" s="4">
        <v>0.214444</v>
      </c>
      <c r="N61" s="4">
        <v>4.27464</v>
      </c>
      <c r="O61" s="4">
        <v>4.0</v>
      </c>
      <c r="P61" s="4">
        <v>55.0</v>
      </c>
      <c r="Q61" s="4">
        <v>9.0</v>
      </c>
      <c r="R61" s="4">
        <v>6.0</v>
      </c>
      <c r="S61" s="4">
        <v>3.0</v>
      </c>
      <c r="T61" s="4">
        <v>2.0</v>
      </c>
      <c r="U61" s="4">
        <v>228.0</v>
      </c>
      <c r="V61" s="4">
        <v>1.93</v>
      </c>
      <c r="W61" s="4">
        <v>59.06735751295337</v>
      </c>
      <c r="X61" s="2" t="s">
        <v>1492</v>
      </c>
    </row>
    <row r="62">
      <c r="A62" s="10">
        <v>46172.0</v>
      </c>
      <c r="B62" s="2" t="s">
        <v>1443</v>
      </c>
      <c r="C62" s="2" t="s">
        <v>1444</v>
      </c>
      <c r="D62" s="2" t="s">
        <v>182</v>
      </c>
      <c r="E62" s="2" t="s">
        <v>1430</v>
      </c>
      <c r="F62" s="4">
        <v>21.72</v>
      </c>
      <c r="G62" s="4">
        <v>5888.0</v>
      </c>
      <c r="H62" s="4">
        <v>4232.0</v>
      </c>
      <c r="I62" s="4">
        <v>1.391304</v>
      </c>
      <c r="J62" s="4">
        <v>150.0</v>
      </c>
      <c r="K62" s="4">
        <v>102.0</v>
      </c>
      <c r="L62" s="4">
        <v>2.547554</v>
      </c>
      <c r="M62" s="4">
        <v>0.1448</v>
      </c>
      <c r="N62" s="4">
        <v>3.688859</v>
      </c>
      <c r="O62" s="4">
        <v>52.0</v>
      </c>
      <c r="P62" s="4">
        <v>156.0</v>
      </c>
      <c r="Q62" s="4">
        <v>3.0</v>
      </c>
      <c r="R62" s="4">
        <v>4.0</v>
      </c>
      <c r="S62" s="4">
        <v>1.0</v>
      </c>
      <c r="T62" s="4">
        <v>2.0</v>
      </c>
      <c r="U62" s="4">
        <v>297.0</v>
      </c>
      <c r="V62" s="4">
        <v>10.86</v>
      </c>
      <c r="W62" s="4">
        <v>13.67403314917127</v>
      </c>
      <c r="X62" s="2" t="s">
        <v>1493</v>
      </c>
    </row>
    <row r="63">
      <c r="A63" s="10">
        <v>46172.0</v>
      </c>
      <c r="B63" s="2" t="s">
        <v>1428</v>
      </c>
      <c r="C63" s="2" t="s">
        <v>1429</v>
      </c>
      <c r="D63" s="2" t="s">
        <v>182</v>
      </c>
      <c r="E63" s="2" t="s">
        <v>1430</v>
      </c>
      <c r="F63" s="4">
        <v>1.95</v>
      </c>
      <c r="G63" s="4">
        <v>526.0</v>
      </c>
      <c r="H63" s="4">
        <v>402.0</v>
      </c>
      <c r="I63" s="4">
        <v>1.308458</v>
      </c>
      <c r="J63" s="4">
        <v>13.0</v>
      </c>
      <c r="K63" s="4">
        <v>10.0</v>
      </c>
      <c r="L63" s="4">
        <v>2.471483</v>
      </c>
      <c r="M63" s="4">
        <v>0.15</v>
      </c>
      <c r="N63" s="4">
        <v>3.707224</v>
      </c>
      <c r="O63" s="4">
        <v>5.0</v>
      </c>
      <c r="P63" s="4">
        <v>28.0</v>
      </c>
      <c r="Q63" s="4">
        <v>2.0</v>
      </c>
      <c r="R63" s="4">
        <v>4.0</v>
      </c>
      <c r="S63" s="4">
        <v>1.0</v>
      </c>
      <c r="T63" s="4">
        <v>0.0</v>
      </c>
      <c r="U63" s="4">
        <v>0.0</v>
      </c>
      <c r="W63" s="4">
        <v>0.0</v>
      </c>
      <c r="X63" s="2" t="s">
        <v>1494</v>
      </c>
    </row>
    <row r="64">
      <c r="A64" s="10">
        <v>46173.0</v>
      </c>
      <c r="B64" s="2" t="s">
        <v>1443</v>
      </c>
      <c r="C64" s="2" t="s">
        <v>1444</v>
      </c>
      <c r="D64" s="2" t="s">
        <v>182</v>
      </c>
      <c r="E64" s="2" t="s">
        <v>1430</v>
      </c>
      <c r="F64" s="4">
        <v>27.5</v>
      </c>
      <c r="G64" s="4">
        <v>6112.0</v>
      </c>
      <c r="H64" s="4">
        <v>3522.0</v>
      </c>
      <c r="I64" s="4">
        <v>1.735378</v>
      </c>
      <c r="J64" s="4">
        <v>213.0</v>
      </c>
      <c r="K64" s="4">
        <v>133.0</v>
      </c>
      <c r="L64" s="4">
        <v>3.484948</v>
      </c>
      <c r="M64" s="4">
        <v>0.129108</v>
      </c>
      <c r="N64" s="4">
        <v>4.499346</v>
      </c>
      <c r="O64" s="4">
        <v>85.0</v>
      </c>
      <c r="P64" s="4">
        <v>227.0</v>
      </c>
      <c r="Q64" s="4">
        <v>4.0</v>
      </c>
      <c r="R64" s="4">
        <v>2.0</v>
      </c>
      <c r="S64" s="4">
        <v>1.0</v>
      </c>
      <c r="T64" s="4">
        <v>0.0</v>
      </c>
      <c r="U64" s="4">
        <v>0.0</v>
      </c>
      <c r="W64" s="4">
        <v>0.0</v>
      </c>
      <c r="X64" s="2" t="s">
        <v>1495</v>
      </c>
    </row>
    <row r="65">
      <c r="A65" s="10">
        <v>46173.0</v>
      </c>
      <c r="B65" s="2" t="s">
        <v>1428</v>
      </c>
      <c r="C65" s="2" t="s">
        <v>1429</v>
      </c>
      <c r="D65" s="2" t="s">
        <v>182</v>
      </c>
      <c r="E65" s="2" t="s">
        <v>1430</v>
      </c>
      <c r="F65" s="4">
        <v>3.32</v>
      </c>
      <c r="G65" s="4">
        <v>1017.0</v>
      </c>
      <c r="H65" s="4">
        <v>783.0</v>
      </c>
      <c r="I65" s="4">
        <v>1.298851</v>
      </c>
      <c r="J65" s="4">
        <v>43.0</v>
      </c>
      <c r="K65" s="4">
        <v>29.0</v>
      </c>
      <c r="L65" s="4">
        <v>4.228122</v>
      </c>
      <c r="M65" s="4">
        <v>0.077209</v>
      </c>
      <c r="N65" s="4">
        <v>3.264503</v>
      </c>
      <c r="O65" s="4">
        <v>16.0</v>
      </c>
      <c r="P65" s="4">
        <v>43.0</v>
      </c>
      <c r="Q65" s="4">
        <v>0.0</v>
      </c>
      <c r="R65" s="4">
        <v>1.0</v>
      </c>
      <c r="S65" s="4">
        <v>0.0</v>
      </c>
      <c r="T65" s="4">
        <v>0.0</v>
      </c>
      <c r="U65" s="4">
        <v>0.0</v>
      </c>
      <c r="W65" s="4">
        <v>0.0</v>
      </c>
      <c r="X65" s="2" t="s">
        <v>1496</v>
      </c>
    </row>
    <row r="66">
      <c r="A66" s="10">
        <v>46174.0</v>
      </c>
      <c r="B66" s="2" t="s">
        <v>1443</v>
      </c>
      <c r="C66" s="2" t="s">
        <v>1444</v>
      </c>
      <c r="D66" s="2" t="s">
        <v>182</v>
      </c>
      <c r="E66" s="2" t="s">
        <v>1430</v>
      </c>
      <c r="F66" s="4">
        <v>22.3</v>
      </c>
      <c r="G66" s="4">
        <v>5067.0</v>
      </c>
      <c r="H66" s="4">
        <v>3360.0</v>
      </c>
      <c r="I66" s="4">
        <v>1.508036</v>
      </c>
      <c r="J66" s="4">
        <v>179.0</v>
      </c>
      <c r="K66" s="4">
        <v>116.0</v>
      </c>
      <c r="L66" s="4">
        <v>3.532662</v>
      </c>
      <c r="M66" s="4">
        <v>0.124581</v>
      </c>
      <c r="N66" s="4">
        <v>4.401026</v>
      </c>
      <c r="O66" s="4">
        <v>56.0</v>
      </c>
      <c r="P66" s="4">
        <v>126.0</v>
      </c>
      <c r="Q66" s="4">
        <v>2.0</v>
      </c>
      <c r="R66" s="4">
        <v>5.0</v>
      </c>
      <c r="S66" s="4">
        <v>4.0</v>
      </c>
      <c r="T66" s="4">
        <v>0.0</v>
      </c>
      <c r="U66" s="4">
        <v>0.0</v>
      </c>
      <c r="W66" s="4">
        <v>0.0</v>
      </c>
      <c r="X66" s="2" t="s">
        <v>1497</v>
      </c>
    </row>
    <row r="67">
      <c r="A67" s="10">
        <v>46174.0</v>
      </c>
      <c r="B67" s="2" t="s">
        <v>1428</v>
      </c>
      <c r="C67" s="2" t="s">
        <v>1429</v>
      </c>
      <c r="D67" s="2" t="s">
        <v>182</v>
      </c>
      <c r="E67" s="2" t="s">
        <v>1430</v>
      </c>
      <c r="F67" s="4">
        <v>3.41</v>
      </c>
      <c r="G67" s="4">
        <v>918.0</v>
      </c>
      <c r="H67" s="4">
        <v>459.0</v>
      </c>
      <c r="I67" s="4">
        <v>2.0</v>
      </c>
      <c r="J67" s="4">
        <v>22.0</v>
      </c>
      <c r="K67" s="4">
        <v>16.0</v>
      </c>
      <c r="L67" s="4">
        <v>2.396514</v>
      </c>
      <c r="M67" s="4">
        <v>0.155</v>
      </c>
      <c r="N67" s="4">
        <v>3.714597</v>
      </c>
      <c r="O67" s="4">
        <v>11.0</v>
      </c>
      <c r="P67" s="4">
        <v>57.0</v>
      </c>
      <c r="Q67" s="4">
        <v>6.0</v>
      </c>
      <c r="R67" s="4">
        <v>7.0</v>
      </c>
      <c r="S67" s="4">
        <v>4.0</v>
      </c>
      <c r="T67" s="4">
        <v>2.0</v>
      </c>
      <c r="U67" s="4">
        <v>183.9</v>
      </c>
      <c r="V67" s="4">
        <v>1.705</v>
      </c>
      <c r="W67" s="4">
        <v>53.929618768328446</v>
      </c>
      <c r="X67" s="2" t="s">
        <v>1498</v>
      </c>
    </row>
    <row r="68">
      <c r="A68" s="10">
        <v>46175.0</v>
      </c>
      <c r="B68" s="2" t="s">
        <v>1443</v>
      </c>
      <c r="C68" s="2" t="s">
        <v>1444</v>
      </c>
      <c r="D68" s="2" t="s">
        <v>182</v>
      </c>
      <c r="E68" s="2" t="s">
        <v>1430</v>
      </c>
      <c r="F68" s="4">
        <v>28.76</v>
      </c>
      <c r="G68" s="4">
        <v>11842.0</v>
      </c>
      <c r="H68" s="4">
        <v>9049.0</v>
      </c>
      <c r="I68" s="4">
        <v>1.308653</v>
      </c>
      <c r="J68" s="4">
        <v>282.0</v>
      </c>
      <c r="K68" s="4">
        <v>167.0</v>
      </c>
      <c r="L68" s="4">
        <v>2.381355</v>
      </c>
      <c r="M68" s="4">
        <v>0.101986</v>
      </c>
      <c r="N68" s="4">
        <v>2.428644</v>
      </c>
      <c r="O68" s="4">
        <v>117.0</v>
      </c>
      <c r="P68" s="4">
        <v>255.0</v>
      </c>
      <c r="Q68" s="4">
        <v>3.0</v>
      </c>
      <c r="R68" s="4">
        <v>1.0</v>
      </c>
      <c r="S68" s="4">
        <v>1.0</v>
      </c>
      <c r="T68" s="4">
        <v>1.0</v>
      </c>
      <c r="U68" s="4">
        <v>315.0</v>
      </c>
      <c r="V68" s="4">
        <v>28.76</v>
      </c>
      <c r="W68" s="4">
        <v>10.952712100139081</v>
      </c>
      <c r="X68" s="2" t="s">
        <v>1499</v>
      </c>
    </row>
    <row r="69">
      <c r="A69" s="10">
        <v>46175.0</v>
      </c>
      <c r="B69" s="2" t="s">
        <v>1428</v>
      </c>
      <c r="C69" s="2" t="s">
        <v>1429</v>
      </c>
      <c r="D69" s="2" t="s">
        <v>182</v>
      </c>
      <c r="E69" s="2" t="s">
        <v>1430</v>
      </c>
      <c r="F69" s="4">
        <v>3.18</v>
      </c>
      <c r="G69" s="4">
        <v>1025.0</v>
      </c>
      <c r="H69" s="4">
        <v>650.0</v>
      </c>
      <c r="I69" s="4">
        <v>1.576923</v>
      </c>
      <c r="J69" s="4">
        <v>33.0</v>
      </c>
      <c r="K69" s="4">
        <v>24.0</v>
      </c>
      <c r="L69" s="4">
        <v>3.219512</v>
      </c>
      <c r="M69" s="4">
        <v>0.096364</v>
      </c>
      <c r="N69" s="4">
        <v>3.102439</v>
      </c>
      <c r="O69" s="4">
        <v>13.0</v>
      </c>
      <c r="P69" s="4">
        <v>84.0</v>
      </c>
      <c r="Q69" s="4">
        <v>0.0</v>
      </c>
      <c r="R69" s="4">
        <v>1.0</v>
      </c>
      <c r="S69" s="4">
        <v>0.0</v>
      </c>
      <c r="T69" s="4">
        <v>0.0</v>
      </c>
      <c r="U69" s="4">
        <v>0.0</v>
      </c>
      <c r="W69" s="4">
        <v>0.0</v>
      </c>
      <c r="X69" s="2" t="s">
        <v>1500</v>
      </c>
    </row>
    <row r="70">
      <c r="A70" s="10">
        <v>46176.0</v>
      </c>
      <c r="B70" s="2" t="s">
        <v>1443</v>
      </c>
      <c r="C70" s="2" t="s">
        <v>1444</v>
      </c>
      <c r="D70" s="2" t="s">
        <v>182</v>
      </c>
      <c r="E70" s="2" t="s">
        <v>1430</v>
      </c>
      <c r="F70" s="4">
        <v>28.77</v>
      </c>
      <c r="G70" s="4">
        <v>9455.0</v>
      </c>
      <c r="H70" s="4">
        <v>7233.0</v>
      </c>
      <c r="I70" s="4">
        <v>1.307203</v>
      </c>
      <c r="J70" s="4">
        <v>245.0</v>
      </c>
      <c r="K70" s="4">
        <v>138.0</v>
      </c>
      <c r="L70" s="4">
        <v>2.591222</v>
      </c>
      <c r="M70" s="4">
        <v>0.117429</v>
      </c>
      <c r="N70" s="4">
        <v>3.042834</v>
      </c>
      <c r="O70" s="4">
        <v>71.0</v>
      </c>
      <c r="P70" s="4">
        <v>213.0</v>
      </c>
      <c r="Q70" s="4">
        <v>3.0</v>
      </c>
      <c r="R70" s="4">
        <v>7.0</v>
      </c>
      <c r="S70" s="4">
        <v>5.0</v>
      </c>
      <c r="T70" s="4">
        <v>1.0</v>
      </c>
      <c r="U70" s="4">
        <v>108.0</v>
      </c>
      <c r="V70" s="4">
        <v>28.77</v>
      </c>
      <c r="W70" s="4">
        <v>3.753910323253389</v>
      </c>
      <c r="X70" s="2" t="s">
        <v>1501</v>
      </c>
    </row>
    <row r="71">
      <c r="A71" s="10">
        <v>46176.0</v>
      </c>
      <c r="B71" s="2" t="s">
        <v>1428</v>
      </c>
      <c r="C71" s="2" t="s">
        <v>1429</v>
      </c>
      <c r="D71" s="2" t="s">
        <v>182</v>
      </c>
      <c r="E71" s="2" t="s">
        <v>1430</v>
      </c>
      <c r="F71" s="4">
        <v>2.19</v>
      </c>
      <c r="G71" s="4">
        <v>624.0</v>
      </c>
      <c r="H71" s="4">
        <v>361.0</v>
      </c>
      <c r="I71" s="4">
        <v>1.728532</v>
      </c>
      <c r="J71" s="4">
        <v>11.0</v>
      </c>
      <c r="K71" s="4">
        <v>5.0</v>
      </c>
      <c r="L71" s="4">
        <v>1.762821</v>
      </c>
      <c r="M71" s="4">
        <v>0.199091</v>
      </c>
      <c r="N71" s="4">
        <v>3.509615</v>
      </c>
      <c r="O71" s="4">
        <v>2.0</v>
      </c>
      <c r="P71" s="4">
        <v>27.0</v>
      </c>
      <c r="Q71" s="4">
        <v>2.0</v>
      </c>
      <c r="R71" s="4">
        <v>3.0</v>
      </c>
      <c r="S71" s="4">
        <v>2.0</v>
      </c>
      <c r="T71" s="4">
        <v>2.0</v>
      </c>
      <c r="U71" s="4">
        <v>201.0</v>
      </c>
      <c r="V71" s="4">
        <v>1.095</v>
      </c>
      <c r="W71" s="4">
        <v>91.78082191780823</v>
      </c>
      <c r="X71" s="2" t="s">
        <v>1502</v>
      </c>
    </row>
    <row r="72">
      <c r="A72" s="10">
        <v>46177.0</v>
      </c>
      <c r="B72" s="2" t="s">
        <v>1443</v>
      </c>
      <c r="C72" s="2" t="s">
        <v>1444</v>
      </c>
      <c r="D72" s="2" t="s">
        <v>182</v>
      </c>
      <c r="E72" s="2" t="s">
        <v>1430</v>
      </c>
      <c r="F72" s="4">
        <v>21.89</v>
      </c>
      <c r="G72" s="4">
        <v>7149.0</v>
      </c>
      <c r="H72" s="4">
        <v>5536.0</v>
      </c>
      <c r="I72" s="4">
        <v>1.291366</v>
      </c>
      <c r="J72" s="4">
        <v>182.0</v>
      </c>
      <c r="K72" s="4">
        <v>84.0</v>
      </c>
      <c r="L72" s="4">
        <v>2.545811</v>
      </c>
      <c r="M72" s="4">
        <v>0.120275</v>
      </c>
      <c r="N72" s="4">
        <v>3.061967</v>
      </c>
      <c r="O72" s="4">
        <v>59.0</v>
      </c>
      <c r="P72" s="4">
        <v>186.0</v>
      </c>
      <c r="Q72" s="4">
        <v>6.0</v>
      </c>
      <c r="R72" s="4">
        <v>6.0</v>
      </c>
      <c r="S72" s="4">
        <v>0.0</v>
      </c>
      <c r="T72" s="4">
        <v>0.0</v>
      </c>
      <c r="U72" s="4">
        <v>0.0</v>
      </c>
      <c r="W72" s="4">
        <v>0.0</v>
      </c>
      <c r="X72" s="2" t="s">
        <v>1503</v>
      </c>
    </row>
    <row r="73">
      <c r="A73" s="10">
        <v>46177.0</v>
      </c>
      <c r="B73" s="2" t="s">
        <v>1428</v>
      </c>
      <c r="C73" s="2" t="s">
        <v>1429</v>
      </c>
      <c r="D73" s="2" t="s">
        <v>182</v>
      </c>
      <c r="E73" s="2" t="s">
        <v>1430</v>
      </c>
      <c r="F73" s="4">
        <v>2.93</v>
      </c>
      <c r="G73" s="4">
        <v>752.0</v>
      </c>
      <c r="H73" s="4">
        <v>401.0</v>
      </c>
      <c r="I73" s="4">
        <v>1.875312</v>
      </c>
      <c r="J73" s="4">
        <v>30.0</v>
      </c>
      <c r="K73" s="4">
        <v>18.0</v>
      </c>
      <c r="L73" s="4">
        <v>3.989362</v>
      </c>
      <c r="M73" s="4">
        <v>0.097667</v>
      </c>
      <c r="N73" s="4">
        <v>3.896277</v>
      </c>
      <c r="O73" s="4">
        <v>13.0</v>
      </c>
      <c r="P73" s="4">
        <v>34.0</v>
      </c>
      <c r="Q73" s="4">
        <v>0.0</v>
      </c>
      <c r="R73" s="4">
        <v>0.0</v>
      </c>
      <c r="S73" s="4">
        <v>2.0</v>
      </c>
      <c r="T73" s="4">
        <v>2.0</v>
      </c>
      <c r="U73" s="4">
        <v>247.5</v>
      </c>
      <c r="V73" s="4">
        <v>1.465</v>
      </c>
      <c r="W73" s="4">
        <v>84.47098976109214</v>
      </c>
      <c r="X73" s="2" t="s">
        <v>1504</v>
      </c>
    </row>
    <row r="74">
      <c r="A74" s="10">
        <v>46178.0</v>
      </c>
      <c r="B74" s="2" t="s">
        <v>1443</v>
      </c>
      <c r="C74" s="2" t="s">
        <v>1444</v>
      </c>
      <c r="D74" s="2" t="s">
        <v>182</v>
      </c>
      <c r="E74" s="2" t="s">
        <v>1430</v>
      </c>
      <c r="F74" s="4">
        <v>27.11</v>
      </c>
      <c r="G74" s="4">
        <v>6331.0</v>
      </c>
      <c r="H74" s="4">
        <v>4393.0</v>
      </c>
      <c r="I74" s="4">
        <v>1.441156</v>
      </c>
      <c r="J74" s="4">
        <v>132.0</v>
      </c>
      <c r="K74" s="4">
        <v>82.0</v>
      </c>
      <c r="L74" s="4">
        <v>2.084979</v>
      </c>
      <c r="M74" s="4">
        <v>0.205379</v>
      </c>
      <c r="N74" s="4">
        <v>4.282104</v>
      </c>
      <c r="O74" s="4">
        <v>34.0</v>
      </c>
      <c r="P74" s="4">
        <v>110.0</v>
      </c>
      <c r="Q74" s="4">
        <v>2.0</v>
      </c>
      <c r="R74" s="4">
        <v>1.0</v>
      </c>
      <c r="S74" s="4">
        <v>0.0</v>
      </c>
      <c r="T74" s="4">
        <v>0.0</v>
      </c>
      <c r="U74" s="4">
        <v>0.0</v>
      </c>
      <c r="W74" s="4">
        <v>0.0</v>
      </c>
      <c r="X74" s="2" t="s">
        <v>1505</v>
      </c>
    </row>
    <row r="75">
      <c r="A75" s="10">
        <v>46178.0</v>
      </c>
      <c r="B75" s="2" t="s">
        <v>1428</v>
      </c>
      <c r="C75" s="2" t="s">
        <v>1429</v>
      </c>
      <c r="D75" s="2" t="s">
        <v>182</v>
      </c>
      <c r="E75" s="2" t="s">
        <v>1430</v>
      </c>
      <c r="F75" s="4">
        <v>0.96</v>
      </c>
      <c r="G75" s="4">
        <v>336.0</v>
      </c>
      <c r="H75" s="4">
        <v>257.0</v>
      </c>
      <c r="I75" s="4">
        <v>1.307393</v>
      </c>
      <c r="J75" s="4">
        <v>5.0</v>
      </c>
      <c r="K75" s="4">
        <v>1.0</v>
      </c>
      <c r="L75" s="4">
        <v>1.488095</v>
      </c>
      <c r="M75" s="4">
        <v>0.192</v>
      </c>
      <c r="N75" s="4">
        <v>2.857143</v>
      </c>
      <c r="O75" s="4">
        <v>0.0</v>
      </c>
      <c r="P75" s="4">
        <v>12.0</v>
      </c>
      <c r="Q75" s="4">
        <v>1.0</v>
      </c>
      <c r="R75" s="4">
        <v>4.0</v>
      </c>
      <c r="S75" s="4">
        <v>6.0</v>
      </c>
      <c r="T75" s="4">
        <v>0.0</v>
      </c>
      <c r="U75" s="4">
        <v>0.0</v>
      </c>
      <c r="W75" s="4">
        <v>0.0</v>
      </c>
      <c r="X75" s="2" t="s">
        <v>1506</v>
      </c>
    </row>
    <row r="76">
      <c r="A76" s="10">
        <v>46178.0</v>
      </c>
      <c r="B76" s="2" t="s">
        <v>1443</v>
      </c>
      <c r="C76" s="2" t="s">
        <v>1444</v>
      </c>
      <c r="D76" s="2" t="s">
        <v>182</v>
      </c>
      <c r="E76" s="2" t="s">
        <v>1430</v>
      </c>
      <c r="F76" s="4">
        <v>27.14</v>
      </c>
      <c r="G76" s="4">
        <v>6333.0</v>
      </c>
      <c r="H76" s="4">
        <v>4393.0</v>
      </c>
      <c r="I76" s="4">
        <v>1.441612</v>
      </c>
      <c r="J76" s="4">
        <v>132.0</v>
      </c>
      <c r="K76" s="4">
        <v>82.0</v>
      </c>
      <c r="L76" s="4">
        <v>2.08432</v>
      </c>
      <c r="M76" s="4">
        <v>0.205606</v>
      </c>
      <c r="N76" s="4">
        <v>4.285489</v>
      </c>
      <c r="O76" s="4">
        <v>34.0</v>
      </c>
      <c r="P76" s="4">
        <v>110.0</v>
      </c>
      <c r="Q76" s="4">
        <v>2.0</v>
      </c>
      <c r="R76" s="4">
        <v>1.0</v>
      </c>
      <c r="S76" s="4">
        <v>0.0</v>
      </c>
      <c r="T76" s="4">
        <v>0.0</v>
      </c>
      <c r="U76" s="4">
        <v>0.0</v>
      </c>
      <c r="W76" s="4">
        <v>0.0</v>
      </c>
      <c r="X76" s="2" t="s">
        <v>1507</v>
      </c>
    </row>
    <row r="77">
      <c r="A77" s="10">
        <v>46178.0</v>
      </c>
      <c r="B77" s="2" t="s">
        <v>1428</v>
      </c>
      <c r="C77" s="2" t="s">
        <v>1429</v>
      </c>
      <c r="D77" s="2" t="s">
        <v>182</v>
      </c>
      <c r="E77" s="2" t="s">
        <v>1430</v>
      </c>
      <c r="F77" s="4">
        <v>0.98</v>
      </c>
      <c r="G77" s="4">
        <v>341.0</v>
      </c>
      <c r="H77" s="4">
        <v>260.0</v>
      </c>
      <c r="I77" s="4">
        <v>1.311538</v>
      </c>
      <c r="J77" s="4">
        <v>5.0</v>
      </c>
      <c r="K77" s="4">
        <v>1.0</v>
      </c>
      <c r="L77" s="4">
        <v>1.466276</v>
      </c>
      <c r="M77" s="4">
        <v>0.196</v>
      </c>
      <c r="N77" s="4">
        <v>2.8739</v>
      </c>
      <c r="O77" s="4">
        <v>0.0</v>
      </c>
      <c r="P77" s="4">
        <v>12.0</v>
      </c>
      <c r="Q77" s="4">
        <v>1.0</v>
      </c>
      <c r="R77" s="4">
        <v>4.0</v>
      </c>
      <c r="S77" s="4">
        <v>6.0</v>
      </c>
      <c r="T77" s="4">
        <v>0.0</v>
      </c>
      <c r="U77" s="4">
        <v>0.0</v>
      </c>
      <c r="W77" s="4">
        <v>0.0</v>
      </c>
      <c r="X77" s="2" t="s">
        <v>1508</v>
      </c>
    </row>
    <row r="78">
      <c r="A78" s="10">
        <v>46179.0</v>
      </c>
      <c r="B78" s="2" t="s">
        <v>1443</v>
      </c>
      <c r="C78" s="2" t="s">
        <v>1444</v>
      </c>
      <c r="D78" s="2" t="s">
        <v>182</v>
      </c>
      <c r="E78" s="2" t="s">
        <v>1430</v>
      </c>
      <c r="F78" s="4">
        <v>17.25</v>
      </c>
      <c r="G78" s="4">
        <v>3959.0</v>
      </c>
      <c r="H78" s="4">
        <v>2763.0</v>
      </c>
      <c r="I78" s="4">
        <v>1.432863</v>
      </c>
      <c r="J78" s="4">
        <v>112.0</v>
      </c>
      <c r="K78" s="4">
        <v>68.0</v>
      </c>
      <c r="L78" s="4">
        <v>2.828997</v>
      </c>
      <c r="M78" s="4">
        <v>0.154018</v>
      </c>
      <c r="N78" s="4">
        <v>4.357161</v>
      </c>
      <c r="O78" s="4">
        <v>43.0</v>
      </c>
      <c r="P78" s="4">
        <v>132.0</v>
      </c>
      <c r="Q78" s="4">
        <v>5.0</v>
      </c>
      <c r="R78" s="4">
        <v>4.0</v>
      </c>
      <c r="S78" s="4">
        <v>5.0</v>
      </c>
      <c r="T78" s="4">
        <v>2.0</v>
      </c>
      <c r="U78" s="4">
        <v>183.9</v>
      </c>
      <c r="V78" s="4">
        <v>8.625</v>
      </c>
      <c r="W78" s="4">
        <v>10.660869565217391</v>
      </c>
      <c r="X78" s="2" t="s">
        <v>1509</v>
      </c>
    </row>
    <row r="79">
      <c r="A79" s="10">
        <v>46179.0</v>
      </c>
      <c r="B79" s="2" t="s">
        <v>1428</v>
      </c>
      <c r="C79" s="2" t="s">
        <v>1429</v>
      </c>
      <c r="D79" s="2" t="s">
        <v>182</v>
      </c>
      <c r="E79" s="2" t="s">
        <v>1430</v>
      </c>
      <c r="F79" s="4">
        <v>4.61</v>
      </c>
      <c r="G79" s="4">
        <v>1027.0</v>
      </c>
      <c r="H79" s="4">
        <v>658.0</v>
      </c>
      <c r="I79" s="4">
        <v>1.56079</v>
      </c>
      <c r="J79" s="4">
        <v>33.0</v>
      </c>
      <c r="K79" s="4">
        <v>22.0</v>
      </c>
      <c r="L79" s="4">
        <v>3.213242</v>
      </c>
      <c r="M79" s="4">
        <v>0.139697</v>
      </c>
      <c r="N79" s="4">
        <v>4.488802</v>
      </c>
      <c r="O79" s="4">
        <v>15.0</v>
      </c>
      <c r="P79" s="4">
        <v>36.0</v>
      </c>
      <c r="Q79" s="4">
        <v>3.0</v>
      </c>
      <c r="R79" s="4">
        <v>3.0</v>
      </c>
      <c r="S79" s="4">
        <v>1.0</v>
      </c>
      <c r="T79" s="4">
        <v>1.0</v>
      </c>
      <c r="U79" s="4">
        <v>120.0</v>
      </c>
      <c r="V79" s="4">
        <v>4.61</v>
      </c>
      <c r="W79" s="4">
        <v>26.030368763557483</v>
      </c>
      <c r="X79" s="2" t="s">
        <v>1510</v>
      </c>
    </row>
    <row r="80">
      <c r="A80" s="10">
        <v>46180.0</v>
      </c>
      <c r="B80" s="2" t="s">
        <v>1443</v>
      </c>
      <c r="C80" s="2" t="s">
        <v>1444</v>
      </c>
      <c r="D80" s="2" t="s">
        <v>182</v>
      </c>
      <c r="E80" s="2" t="s">
        <v>1430</v>
      </c>
      <c r="F80" s="4">
        <v>23.79</v>
      </c>
      <c r="G80" s="4">
        <v>5521.0</v>
      </c>
      <c r="H80" s="4">
        <v>3055.0</v>
      </c>
      <c r="I80" s="4">
        <v>1.807201</v>
      </c>
      <c r="J80" s="4">
        <v>117.0</v>
      </c>
      <c r="K80" s="4">
        <v>78.0</v>
      </c>
      <c r="L80" s="4">
        <v>2.119181</v>
      </c>
      <c r="M80" s="4">
        <v>0.203333</v>
      </c>
      <c r="N80" s="4">
        <v>4.309002</v>
      </c>
      <c r="O80" s="4">
        <v>38.0</v>
      </c>
      <c r="P80" s="4">
        <v>119.0</v>
      </c>
      <c r="Q80" s="4">
        <v>1.0</v>
      </c>
      <c r="R80" s="4">
        <v>1.0</v>
      </c>
      <c r="S80" s="4">
        <v>1.0</v>
      </c>
      <c r="T80" s="4">
        <v>1.0</v>
      </c>
      <c r="U80" s="4">
        <v>75.9</v>
      </c>
      <c r="V80" s="4">
        <v>23.79</v>
      </c>
      <c r="W80" s="4">
        <v>3.1904161412358136</v>
      </c>
      <c r="X80" s="2" t="s">
        <v>1511</v>
      </c>
    </row>
    <row r="81">
      <c r="A81" s="10">
        <v>46180.0</v>
      </c>
      <c r="B81" s="2" t="s">
        <v>1428</v>
      </c>
      <c r="C81" s="2" t="s">
        <v>1429</v>
      </c>
      <c r="D81" s="2" t="s">
        <v>182</v>
      </c>
      <c r="E81" s="2" t="s">
        <v>1430</v>
      </c>
      <c r="F81" s="4">
        <v>3.87</v>
      </c>
      <c r="G81" s="4">
        <v>983.0</v>
      </c>
      <c r="H81" s="4">
        <v>511.0</v>
      </c>
      <c r="I81" s="4">
        <v>1.923679</v>
      </c>
      <c r="J81" s="4">
        <v>39.0</v>
      </c>
      <c r="K81" s="4">
        <v>17.0</v>
      </c>
      <c r="L81" s="4">
        <v>3.967447</v>
      </c>
      <c r="M81" s="4">
        <v>0.099231</v>
      </c>
      <c r="N81" s="4">
        <v>3.936928</v>
      </c>
      <c r="O81" s="4">
        <v>12.0</v>
      </c>
      <c r="P81" s="4">
        <v>82.0</v>
      </c>
      <c r="Q81" s="4">
        <v>8.0</v>
      </c>
      <c r="R81" s="4">
        <v>8.0</v>
      </c>
      <c r="S81" s="4">
        <v>2.0</v>
      </c>
      <c r="T81" s="4">
        <v>2.0</v>
      </c>
      <c r="U81" s="4">
        <v>186.9</v>
      </c>
      <c r="V81" s="4">
        <v>1.935</v>
      </c>
      <c r="W81" s="4">
        <v>48.29457364341085</v>
      </c>
      <c r="X81" s="2" t="s">
        <v>1512</v>
      </c>
    </row>
    <row r="82">
      <c r="A82" s="10">
        <v>46181.0</v>
      </c>
      <c r="B82" s="2" t="s">
        <v>1443</v>
      </c>
      <c r="C82" s="2" t="s">
        <v>1444</v>
      </c>
      <c r="D82" s="2" t="s">
        <v>182</v>
      </c>
      <c r="E82" s="2" t="s">
        <v>1430</v>
      </c>
      <c r="F82" s="4">
        <v>24.33</v>
      </c>
      <c r="G82" s="4">
        <v>6411.0</v>
      </c>
      <c r="H82" s="4">
        <v>4012.0</v>
      </c>
      <c r="I82" s="4">
        <v>1.597956</v>
      </c>
      <c r="J82" s="4">
        <v>153.0</v>
      </c>
      <c r="K82" s="4">
        <v>111.0</v>
      </c>
      <c r="L82" s="4">
        <v>2.386523</v>
      </c>
      <c r="M82" s="4">
        <v>0.15902</v>
      </c>
      <c r="N82" s="4">
        <v>3.79504</v>
      </c>
      <c r="O82" s="4">
        <v>57.0</v>
      </c>
      <c r="P82" s="4">
        <v>112.0</v>
      </c>
      <c r="Q82" s="4">
        <v>2.0</v>
      </c>
      <c r="R82" s="4">
        <v>1.0</v>
      </c>
      <c r="S82" s="4">
        <v>1.0</v>
      </c>
      <c r="T82" s="4">
        <v>1.0</v>
      </c>
      <c r="U82" s="4">
        <v>75.9</v>
      </c>
      <c r="V82" s="4">
        <v>24.33</v>
      </c>
      <c r="W82" s="4">
        <v>3.1196054254007404</v>
      </c>
      <c r="X82" s="2" t="s">
        <v>1513</v>
      </c>
    </row>
    <row r="83">
      <c r="A83" s="10">
        <v>46181.0</v>
      </c>
      <c r="B83" s="2" t="s">
        <v>1428</v>
      </c>
      <c r="C83" s="2" t="s">
        <v>1429</v>
      </c>
      <c r="D83" s="2" t="s">
        <v>182</v>
      </c>
      <c r="E83" s="2" t="s">
        <v>1430</v>
      </c>
      <c r="F83" s="4">
        <v>2.59</v>
      </c>
      <c r="G83" s="4">
        <v>622.0</v>
      </c>
      <c r="H83" s="4">
        <v>346.0</v>
      </c>
      <c r="I83" s="4">
        <v>1.797688</v>
      </c>
      <c r="J83" s="4">
        <v>20.0</v>
      </c>
      <c r="K83" s="4">
        <v>11.0</v>
      </c>
      <c r="L83" s="4">
        <v>3.215434</v>
      </c>
      <c r="M83" s="4">
        <v>0.1295</v>
      </c>
      <c r="N83" s="4">
        <v>4.163987</v>
      </c>
      <c r="O83" s="4">
        <v>11.0</v>
      </c>
      <c r="P83" s="4">
        <v>47.0</v>
      </c>
      <c r="Q83" s="4">
        <v>1.0</v>
      </c>
      <c r="R83" s="4">
        <v>3.0</v>
      </c>
      <c r="S83" s="4">
        <v>0.0</v>
      </c>
      <c r="T83" s="4">
        <v>0.0</v>
      </c>
      <c r="U83" s="4">
        <v>0.0</v>
      </c>
      <c r="W83" s="4">
        <v>0.0</v>
      </c>
      <c r="X83" s="2" t="s">
        <v>1514</v>
      </c>
    </row>
    <row r="84">
      <c r="A84" s="10">
        <v>46182.0</v>
      </c>
      <c r="B84" s="2" t="s">
        <v>1443</v>
      </c>
      <c r="C84" s="2" t="s">
        <v>1444</v>
      </c>
      <c r="D84" s="2" t="s">
        <v>182</v>
      </c>
      <c r="E84" s="2" t="s">
        <v>1430</v>
      </c>
      <c r="F84" s="4">
        <v>22.46</v>
      </c>
      <c r="G84" s="4">
        <v>6251.0</v>
      </c>
      <c r="H84" s="4">
        <v>4278.0</v>
      </c>
      <c r="I84" s="4">
        <v>1.461197</v>
      </c>
      <c r="J84" s="4">
        <v>199.0</v>
      </c>
      <c r="K84" s="4">
        <v>108.0</v>
      </c>
      <c r="L84" s="4">
        <v>3.183491</v>
      </c>
      <c r="M84" s="4">
        <v>0.112864</v>
      </c>
      <c r="N84" s="4">
        <v>3.593025</v>
      </c>
      <c r="O84" s="4">
        <v>68.0</v>
      </c>
      <c r="P84" s="4">
        <v>316.0</v>
      </c>
      <c r="Q84" s="4">
        <v>15.0</v>
      </c>
      <c r="R84" s="4">
        <v>7.0</v>
      </c>
      <c r="S84" s="4">
        <v>3.0</v>
      </c>
      <c r="T84" s="4">
        <v>2.0</v>
      </c>
      <c r="U84" s="4">
        <v>258.0</v>
      </c>
      <c r="V84" s="4">
        <v>11.23</v>
      </c>
      <c r="W84" s="4">
        <v>11.487088156723063</v>
      </c>
      <c r="X84" s="2" t="s">
        <v>1515</v>
      </c>
    </row>
    <row r="85">
      <c r="A85" s="10">
        <v>46182.0</v>
      </c>
      <c r="B85" s="2" t="s">
        <v>1428</v>
      </c>
      <c r="C85" s="2" t="s">
        <v>1429</v>
      </c>
      <c r="D85" s="2" t="s">
        <v>182</v>
      </c>
      <c r="E85" s="2" t="s">
        <v>1430</v>
      </c>
      <c r="F85" s="4">
        <v>3.74</v>
      </c>
      <c r="G85" s="4">
        <v>833.0</v>
      </c>
      <c r="H85" s="4">
        <v>460.0</v>
      </c>
      <c r="I85" s="4">
        <v>1.81087</v>
      </c>
      <c r="J85" s="4">
        <v>26.0</v>
      </c>
      <c r="K85" s="4">
        <v>13.0</v>
      </c>
      <c r="L85" s="4">
        <v>3.121249</v>
      </c>
      <c r="M85" s="4">
        <v>0.143846</v>
      </c>
      <c r="N85" s="4">
        <v>4.489796</v>
      </c>
      <c r="O85" s="4">
        <v>8.0</v>
      </c>
      <c r="P85" s="4">
        <v>49.0</v>
      </c>
      <c r="Q85" s="4">
        <v>4.0</v>
      </c>
      <c r="R85" s="4">
        <v>2.0</v>
      </c>
      <c r="S85" s="4">
        <v>1.0</v>
      </c>
      <c r="T85" s="4">
        <v>1.0</v>
      </c>
      <c r="U85" s="4">
        <v>81.0</v>
      </c>
      <c r="V85" s="4">
        <v>3.74</v>
      </c>
      <c r="W85" s="4">
        <v>21.657754010695186</v>
      </c>
      <c r="X85" s="2" t="s">
        <v>1516</v>
      </c>
    </row>
    <row r="86">
      <c r="A86" s="10">
        <v>46183.0</v>
      </c>
      <c r="B86" s="2" t="s">
        <v>1443</v>
      </c>
      <c r="C86" s="2" t="s">
        <v>1444</v>
      </c>
      <c r="D86" s="2" t="s">
        <v>182</v>
      </c>
      <c r="E86" s="2" t="s">
        <v>1430</v>
      </c>
      <c r="F86" s="4">
        <v>31.45</v>
      </c>
      <c r="G86" s="4">
        <v>5669.0</v>
      </c>
      <c r="H86" s="4">
        <v>2979.0</v>
      </c>
      <c r="I86" s="4">
        <v>1.902988</v>
      </c>
      <c r="J86" s="4">
        <v>154.0</v>
      </c>
      <c r="K86" s="4">
        <v>98.0</v>
      </c>
      <c r="L86" s="4">
        <v>2.716528</v>
      </c>
      <c r="M86" s="4">
        <v>0.204221</v>
      </c>
      <c r="N86" s="4">
        <v>5.547716</v>
      </c>
      <c r="O86" s="4">
        <v>61.0</v>
      </c>
      <c r="P86" s="4">
        <v>169.0</v>
      </c>
      <c r="Q86" s="4">
        <v>2.0</v>
      </c>
      <c r="R86" s="4">
        <v>5.0</v>
      </c>
      <c r="S86" s="4">
        <v>2.0</v>
      </c>
      <c r="T86" s="4">
        <v>2.0</v>
      </c>
      <c r="U86" s="4">
        <v>228.0</v>
      </c>
      <c r="V86" s="4">
        <v>15.725</v>
      </c>
      <c r="W86" s="4">
        <v>7.249602543720191</v>
      </c>
      <c r="X86" s="2" t="s">
        <v>1517</v>
      </c>
    </row>
    <row r="87">
      <c r="A87" s="10">
        <v>46183.0</v>
      </c>
      <c r="B87" s="2" t="s">
        <v>1428</v>
      </c>
      <c r="C87" s="2" t="s">
        <v>1429</v>
      </c>
      <c r="D87" s="2" t="s">
        <v>182</v>
      </c>
      <c r="E87" s="2" t="s">
        <v>1430</v>
      </c>
      <c r="F87" s="4">
        <v>2.42</v>
      </c>
      <c r="G87" s="4">
        <v>688.0</v>
      </c>
      <c r="H87" s="4">
        <v>531.0</v>
      </c>
      <c r="I87" s="4">
        <v>1.295669</v>
      </c>
      <c r="J87" s="4">
        <v>33.0</v>
      </c>
      <c r="K87" s="4">
        <v>23.0</v>
      </c>
      <c r="L87" s="4">
        <v>4.796512</v>
      </c>
      <c r="M87" s="4">
        <v>0.073333</v>
      </c>
      <c r="N87" s="4">
        <v>3.517442</v>
      </c>
      <c r="O87" s="4">
        <v>18.0</v>
      </c>
      <c r="P87" s="4">
        <v>70.0</v>
      </c>
      <c r="Q87" s="4">
        <v>1.0</v>
      </c>
      <c r="R87" s="4">
        <v>0.0</v>
      </c>
      <c r="S87" s="4">
        <v>0.0</v>
      </c>
      <c r="T87" s="4">
        <v>0.0</v>
      </c>
      <c r="U87" s="4">
        <v>0.0</v>
      </c>
      <c r="W87" s="4">
        <v>0.0</v>
      </c>
      <c r="X87" s="2" t="s">
        <v>1518</v>
      </c>
    </row>
    <row r="88">
      <c r="A88" s="10">
        <v>46184.0</v>
      </c>
      <c r="B88" s="2" t="s">
        <v>1443</v>
      </c>
      <c r="C88" s="2" t="s">
        <v>1444</v>
      </c>
      <c r="D88" s="2" t="s">
        <v>182</v>
      </c>
      <c r="E88" s="2" t="s">
        <v>1430</v>
      </c>
      <c r="F88" s="4">
        <v>25.55</v>
      </c>
      <c r="G88" s="4">
        <v>6585.0</v>
      </c>
      <c r="H88" s="4">
        <v>4248.0</v>
      </c>
      <c r="I88" s="4">
        <v>1.550141</v>
      </c>
      <c r="J88" s="4">
        <v>176.0</v>
      </c>
      <c r="K88" s="4">
        <v>104.0</v>
      </c>
      <c r="L88" s="4">
        <v>2.672741</v>
      </c>
      <c r="M88" s="4">
        <v>0.14517</v>
      </c>
      <c r="N88" s="4">
        <v>3.88003</v>
      </c>
      <c r="O88" s="4">
        <v>57.0</v>
      </c>
      <c r="P88" s="4">
        <v>125.0</v>
      </c>
      <c r="Q88" s="4">
        <v>4.0</v>
      </c>
      <c r="R88" s="4">
        <v>4.0</v>
      </c>
      <c r="S88" s="4">
        <v>2.0</v>
      </c>
      <c r="T88" s="4">
        <v>1.0</v>
      </c>
      <c r="U88" s="4">
        <v>21.9</v>
      </c>
      <c r="V88" s="4">
        <v>25.55</v>
      </c>
      <c r="W88" s="4">
        <v>0.8571428571428571</v>
      </c>
      <c r="X88" s="2" t="s">
        <v>1519</v>
      </c>
    </row>
    <row r="89">
      <c r="A89" s="10">
        <v>46184.0</v>
      </c>
      <c r="B89" s="2" t="s">
        <v>1428</v>
      </c>
      <c r="C89" s="2" t="s">
        <v>1429</v>
      </c>
      <c r="D89" s="2" t="s">
        <v>182</v>
      </c>
      <c r="E89" s="2" t="s">
        <v>1430</v>
      </c>
      <c r="F89" s="4">
        <v>3.24</v>
      </c>
      <c r="G89" s="4">
        <v>782.0</v>
      </c>
      <c r="H89" s="4">
        <v>417.0</v>
      </c>
      <c r="I89" s="4">
        <v>1.8753</v>
      </c>
      <c r="J89" s="4">
        <v>19.0</v>
      </c>
      <c r="K89" s="4">
        <v>14.0</v>
      </c>
      <c r="L89" s="4">
        <v>2.429668</v>
      </c>
      <c r="M89" s="4">
        <v>0.170526</v>
      </c>
      <c r="N89" s="4">
        <v>4.143223</v>
      </c>
      <c r="O89" s="4">
        <v>12.0</v>
      </c>
      <c r="P89" s="4">
        <v>42.0</v>
      </c>
      <c r="Q89" s="4">
        <v>3.0</v>
      </c>
      <c r="R89" s="4">
        <v>6.0</v>
      </c>
      <c r="S89" s="4">
        <v>3.0</v>
      </c>
      <c r="T89" s="4">
        <v>3.0</v>
      </c>
      <c r="U89" s="4">
        <v>245.7</v>
      </c>
      <c r="V89" s="4">
        <v>1.08</v>
      </c>
      <c r="W89" s="4">
        <v>75.83333333333333</v>
      </c>
      <c r="X89" s="2" t="s">
        <v>1520</v>
      </c>
    </row>
    <row r="90">
      <c r="A90" s="10">
        <v>46185.0</v>
      </c>
      <c r="B90" s="2" t="s">
        <v>1443</v>
      </c>
      <c r="C90" s="2" t="s">
        <v>1444</v>
      </c>
      <c r="D90" s="2" t="s">
        <v>182</v>
      </c>
      <c r="E90" s="2" t="s">
        <v>1430</v>
      </c>
      <c r="F90" s="4">
        <v>20.97</v>
      </c>
      <c r="G90" s="4">
        <v>4728.0</v>
      </c>
      <c r="H90" s="4">
        <v>2850.0</v>
      </c>
      <c r="I90" s="4">
        <v>1.658947</v>
      </c>
      <c r="J90" s="4">
        <v>108.0</v>
      </c>
      <c r="K90" s="4">
        <v>67.0</v>
      </c>
      <c r="L90" s="4">
        <v>2.284264</v>
      </c>
      <c r="M90" s="4">
        <v>0.194167</v>
      </c>
      <c r="N90" s="4">
        <v>4.435279</v>
      </c>
      <c r="O90" s="4">
        <v>41.0</v>
      </c>
      <c r="P90" s="4">
        <v>90.0</v>
      </c>
      <c r="Q90" s="4">
        <v>4.0</v>
      </c>
      <c r="R90" s="4">
        <v>2.0</v>
      </c>
      <c r="S90" s="4">
        <v>0.0</v>
      </c>
      <c r="T90" s="4">
        <v>0.0</v>
      </c>
      <c r="U90" s="4">
        <v>0.0</v>
      </c>
      <c r="W90" s="4">
        <v>0.0</v>
      </c>
      <c r="X90" s="2" t="s">
        <v>1521</v>
      </c>
    </row>
    <row r="91">
      <c r="A91" s="10">
        <v>46185.0</v>
      </c>
      <c r="B91" s="2" t="s">
        <v>1428</v>
      </c>
      <c r="C91" s="2" t="s">
        <v>1429</v>
      </c>
      <c r="D91" s="2" t="s">
        <v>182</v>
      </c>
      <c r="E91" s="2" t="s">
        <v>1430</v>
      </c>
      <c r="F91" s="4">
        <v>1.86</v>
      </c>
      <c r="G91" s="4">
        <v>485.0</v>
      </c>
      <c r="H91" s="4">
        <v>308.0</v>
      </c>
      <c r="I91" s="4">
        <v>1.574675</v>
      </c>
      <c r="J91" s="4">
        <v>16.0</v>
      </c>
      <c r="K91" s="4">
        <v>8.0</v>
      </c>
      <c r="L91" s="4">
        <v>3.298969</v>
      </c>
      <c r="M91" s="4">
        <v>0.11625</v>
      </c>
      <c r="N91" s="4">
        <v>3.835052</v>
      </c>
      <c r="O91" s="4">
        <v>7.0</v>
      </c>
      <c r="P91" s="4">
        <v>48.0</v>
      </c>
      <c r="Q91" s="4">
        <v>0.0</v>
      </c>
      <c r="R91" s="4">
        <v>0.0</v>
      </c>
      <c r="S91" s="4">
        <v>0.0</v>
      </c>
      <c r="T91" s="4">
        <v>0.0</v>
      </c>
      <c r="U91" s="4">
        <v>0.0</v>
      </c>
      <c r="W91" s="4">
        <v>0.0</v>
      </c>
      <c r="X91" s="2" t="s">
        <v>1522</v>
      </c>
    </row>
    <row r="92">
      <c r="A92" s="10">
        <v>46186.0</v>
      </c>
      <c r="B92" s="2" t="s">
        <v>1443</v>
      </c>
      <c r="C92" s="2" t="s">
        <v>1444</v>
      </c>
      <c r="D92" s="2" t="s">
        <v>182</v>
      </c>
      <c r="E92" s="2" t="s">
        <v>1430</v>
      </c>
      <c r="F92" s="4">
        <v>26.22</v>
      </c>
      <c r="G92" s="4">
        <v>6273.0</v>
      </c>
      <c r="H92" s="4">
        <v>3953.0</v>
      </c>
      <c r="I92" s="4">
        <v>1.586896</v>
      </c>
      <c r="J92" s="4">
        <v>145.0</v>
      </c>
      <c r="K92" s="4">
        <v>104.0</v>
      </c>
      <c r="L92" s="4">
        <v>2.311494</v>
      </c>
      <c r="M92" s="4">
        <v>0.180828</v>
      </c>
      <c r="N92" s="4">
        <v>4.179818</v>
      </c>
      <c r="O92" s="4">
        <v>48.0</v>
      </c>
      <c r="P92" s="4">
        <v>111.0</v>
      </c>
      <c r="Q92" s="4">
        <v>1.0</v>
      </c>
      <c r="R92" s="4">
        <v>1.0</v>
      </c>
      <c r="S92" s="4">
        <v>0.0</v>
      </c>
      <c r="T92" s="4">
        <v>0.0</v>
      </c>
      <c r="U92" s="4">
        <v>0.0</v>
      </c>
      <c r="W92" s="4">
        <v>0.0</v>
      </c>
      <c r="X92" s="2" t="s">
        <v>1523</v>
      </c>
    </row>
    <row r="93">
      <c r="A93" s="10">
        <v>46186.0</v>
      </c>
      <c r="B93" s="2" t="s">
        <v>1428</v>
      </c>
      <c r="C93" s="2" t="s">
        <v>1429</v>
      </c>
      <c r="D93" s="2" t="s">
        <v>182</v>
      </c>
      <c r="E93" s="2" t="s">
        <v>1430</v>
      </c>
      <c r="F93" s="4">
        <v>2.36</v>
      </c>
      <c r="G93" s="4">
        <v>606.0</v>
      </c>
      <c r="H93" s="4">
        <v>434.0</v>
      </c>
      <c r="I93" s="4">
        <v>1.396313</v>
      </c>
      <c r="J93" s="4">
        <v>10.0</v>
      </c>
      <c r="K93" s="4">
        <v>6.0</v>
      </c>
      <c r="L93" s="4">
        <v>1.650165</v>
      </c>
      <c r="M93" s="4">
        <v>0.236</v>
      </c>
      <c r="N93" s="4">
        <v>3.894389</v>
      </c>
      <c r="O93" s="4">
        <v>6.0</v>
      </c>
      <c r="P93" s="4">
        <v>27.0</v>
      </c>
      <c r="Q93" s="4">
        <v>0.0</v>
      </c>
      <c r="R93" s="4">
        <v>0.0</v>
      </c>
      <c r="S93" s="4">
        <v>0.0</v>
      </c>
      <c r="T93" s="4">
        <v>0.0</v>
      </c>
      <c r="U93" s="4">
        <v>0.0</v>
      </c>
      <c r="W93" s="4">
        <v>0.0</v>
      </c>
      <c r="X93" s="2" t="s">
        <v>1524</v>
      </c>
    </row>
    <row r="94">
      <c r="A94" s="10">
        <v>46187.0</v>
      </c>
      <c r="B94" s="2" t="s">
        <v>1443</v>
      </c>
      <c r="C94" s="2" t="s">
        <v>1444</v>
      </c>
      <c r="D94" s="2" t="s">
        <v>182</v>
      </c>
      <c r="E94" s="2" t="s">
        <v>1430</v>
      </c>
      <c r="F94" s="4">
        <v>20.54</v>
      </c>
      <c r="G94" s="4">
        <v>6284.0</v>
      </c>
      <c r="H94" s="4">
        <v>4169.0</v>
      </c>
      <c r="I94" s="4">
        <v>1.507316</v>
      </c>
      <c r="J94" s="4">
        <v>170.0</v>
      </c>
      <c r="K94" s="4">
        <v>106.0</v>
      </c>
      <c r="L94" s="4">
        <v>2.705283</v>
      </c>
      <c r="M94" s="4">
        <v>0.120824</v>
      </c>
      <c r="N94" s="4">
        <v>3.268619</v>
      </c>
      <c r="O94" s="4">
        <v>56.0</v>
      </c>
      <c r="P94" s="4">
        <v>157.0</v>
      </c>
      <c r="Q94" s="4">
        <v>0.0</v>
      </c>
      <c r="R94" s="4">
        <v>0.0</v>
      </c>
      <c r="S94" s="4">
        <v>0.0</v>
      </c>
      <c r="T94" s="4">
        <v>0.0</v>
      </c>
      <c r="U94" s="4">
        <v>0.0</v>
      </c>
      <c r="W94" s="4">
        <v>0.0</v>
      </c>
      <c r="X94" s="2" t="s">
        <v>1525</v>
      </c>
    </row>
    <row r="95">
      <c r="A95" s="10">
        <v>46187.0</v>
      </c>
      <c r="B95" s="2" t="s">
        <v>1428</v>
      </c>
      <c r="C95" s="2" t="s">
        <v>1429</v>
      </c>
      <c r="D95" s="2" t="s">
        <v>182</v>
      </c>
      <c r="E95" s="2" t="s">
        <v>1430</v>
      </c>
      <c r="F95" s="4">
        <v>4.28</v>
      </c>
      <c r="G95" s="4">
        <v>1115.0</v>
      </c>
      <c r="H95" s="4">
        <v>619.0</v>
      </c>
      <c r="I95" s="4">
        <v>1.801292</v>
      </c>
      <c r="J95" s="4">
        <v>44.0</v>
      </c>
      <c r="K95" s="4">
        <v>28.0</v>
      </c>
      <c r="L95" s="4">
        <v>3.946188</v>
      </c>
      <c r="M95" s="4">
        <v>0.097273</v>
      </c>
      <c r="N95" s="4">
        <v>3.838565</v>
      </c>
      <c r="O95" s="4">
        <v>19.0</v>
      </c>
      <c r="P95" s="4">
        <v>56.0</v>
      </c>
      <c r="Q95" s="4">
        <v>5.0</v>
      </c>
      <c r="R95" s="4">
        <v>4.0</v>
      </c>
      <c r="S95" s="4">
        <v>3.0</v>
      </c>
      <c r="T95" s="4">
        <v>3.0</v>
      </c>
      <c r="U95" s="4">
        <v>450.0</v>
      </c>
      <c r="V95" s="4">
        <v>1.4266666666666667</v>
      </c>
      <c r="W95" s="4">
        <v>105.14018691588784</v>
      </c>
      <c r="X95" s="2" t="s">
        <v>1526</v>
      </c>
    </row>
    <row r="96">
      <c r="A96" s="10">
        <v>46187.0</v>
      </c>
      <c r="B96" s="2" t="s">
        <v>1443</v>
      </c>
      <c r="C96" s="2" t="s">
        <v>1444</v>
      </c>
      <c r="D96" s="2" t="s">
        <v>182</v>
      </c>
      <c r="E96" s="2" t="s">
        <v>1430</v>
      </c>
      <c r="F96" s="4">
        <v>20.54</v>
      </c>
      <c r="G96" s="4">
        <v>6286.0</v>
      </c>
      <c r="H96" s="4">
        <v>4171.0</v>
      </c>
      <c r="I96" s="4">
        <v>1.507073</v>
      </c>
      <c r="J96" s="4">
        <v>170.0</v>
      </c>
      <c r="K96" s="4">
        <v>106.0</v>
      </c>
      <c r="L96" s="4">
        <v>2.704423</v>
      </c>
      <c r="M96" s="4">
        <v>0.120824</v>
      </c>
      <c r="N96" s="4">
        <v>3.267579</v>
      </c>
      <c r="O96" s="4">
        <v>56.0</v>
      </c>
      <c r="P96" s="4">
        <v>157.0</v>
      </c>
      <c r="Q96" s="4">
        <v>0.0</v>
      </c>
      <c r="R96" s="4">
        <v>0.0</v>
      </c>
      <c r="S96" s="4">
        <v>0.0</v>
      </c>
      <c r="T96" s="4">
        <v>0.0</v>
      </c>
      <c r="U96" s="4">
        <v>0.0</v>
      </c>
      <c r="W96" s="4">
        <v>0.0</v>
      </c>
      <c r="X96" s="2" t="s">
        <v>1527</v>
      </c>
    </row>
    <row r="97">
      <c r="A97" s="10">
        <v>46187.0</v>
      </c>
      <c r="B97" s="2" t="s">
        <v>1428</v>
      </c>
      <c r="C97" s="2" t="s">
        <v>1429</v>
      </c>
      <c r="D97" s="2" t="s">
        <v>182</v>
      </c>
      <c r="E97" s="2" t="s">
        <v>1430</v>
      </c>
      <c r="F97" s="4">
        <v>4.28</v>
      </c>
      <c r="G97" s="4">
        <v>1116.0</v>
      </c>
      <c r="H97" s="4">
        <v>619.0</v>
      </c>
      <c r="I97" s="4">
        <v>1.802908</v>
      </c>
      <c r="J97" s="4">
        <v>44.0</v>
      </c>
      <c r="K97" s="4">
        <v>28.0</v>
      </c>
      <c r="L97" s="4">
        <v>3.942652</v>
      </c>
      <c r="M97" s="4">
        <v>0.097273</v>
      </c>
      <c r="N97" s="4">
        <v>3.835125</v>
      </c>
      <c r="O97" s="4">
        <v>19.0</v>
      </c>
      <c r="P97" s="4">
        <v>56.0</v>
      </c>
      <c r="Q97" s="4">
        <v>5.0</v>
      </c>
      <c r="R97" s="4">
        <v>4.0</v>
      </c>
      <c r="S97" s="4">
        <v>3.0</v>
      </c>
      <c r="T97" s="4">
        <v>3.0</v>
      </c>
      <c r="U97" s="4">
        <v>450.0</v>
      </c>
      <c r="V97" s="4">
        <v>1.4266666666666667</v>
      </c>
      <c r="W97" s="4">
        <v>105.14018691588784</v>
      </c>
      <c r="X97" s="2" t="s">
        <v>1528</v>
      </c>
    </row>
    <row r="98">
      <c r="A98" s="10">
        <v>46188.0</v>
      </c>
      <c r="B98" s="2" t="s">
        <v>1443</v>
      </c>
      <c r="C98" s="2" t="s">
        <v>1444</v>
      </c>
      <c r="D98" s="2" t="s">
        <v>182</v>
      </c>
      <c r="E98" s="2" t="s">
        <v>1430</v>
      </c>
      <c r="F98" s="4">
        <v>29.26</v>
      </c>
      <c r="G98" s="4">
        <v>6732.0</v>
      </c>
      <c r="H98" s="4">
        <v>3766.0</v>
      </c>
      <c r="I98" s="4">
        <v>1.787573</v>
      </c>
      <c r="J98" s="4">
        <v>159.0</v>
      </c>
      <c r="K98" s="4">
        <v>99.0</v>
      </c>
      <c r="L98" s="4">
        <v>2.361854</v>
      </c>
      <c r="M98" s="4">
        <v>0.184025</v>
      </c>
      <c r="N98" s="4">
        <v>4.346405</v>
      </c>
      <c r="O98" s="4">
        <v>64.0</v>
      </c>
      <c r="P98" s="4">
        <v>126.0</v>
      </c>
      <c r="Q98" s="4">
        <v>1.0</v>
      </c>
      <c r="R98" s="4">
        <v>2.0</v>
      </c>
      <c r="S98" s="4">
        <v>0.0</v>
      </c>
      <c r="T98" s="4">
        <v>0.0</v>
      </c>
      <c r="U98" s="4">
        <v>0.0</v>
      </c>
      <c r="W98" s="4">
        <v>0.0</v>
      </c>
      <c r="X98" s="2" t="s">
        <v>1529</v>
      </c>
    </row>
    <row r="99">
      <c r="A99" s="10">
        <v>46188.0</v>
      </c>
      <c r="B99" s="2" t="s">
        <v>1428</v>
      </c>
      <c r="C99" s="2" t="s">
        <v>1429</v>
      </c>
      <c r="D99" s="2" t="s">
        <v>182</v>
      </c>
      <c r="E99" s="2" t="s">
        <v>1430</v>
      </c>
      <c r="F99" s="4">
        <v>1.93</v>
      </c>
      <c r="G99" s="4">
        <v>718.0</v>
      </c>
      <c r="H99" s="4">
        <v>589.0</v>
      </c>
      <c r="I99" s="4">
        <v>1.219015</v>
      </c>
      <c r="J99" s="4">
        <v>24.0</v>
      </c>
      <c r="K99" s="4">
        <v>13.0</v>
      </c>
      <c r="L99" s="4">
        <v>3.342618</v>
      </c>
      <c r="M99" s="4">
        <v>0.080417</v>
      </c>
      <c r="N99" s="4">
        <v>2.688022</v>
      </c>
      <c r="O99" s="4">
        <v>9.0</v>
      </c>
      <c r="P99" s="4">
        <v>38.0</v>
      </c>
      <c r="Q99" s="4">
        <v>0.0</v>
      </c>
      <c r="R99" s="4">
        <v>0.0</v>
      </c>
      <c r="S99" s="4">
        <v>0.0</v>
      </c>
      <c r="T99" s="4">
        <v>0.0</v>
      </c>
      <c r="U99" s="4">
        <v>0.0</v>
      </c>
      <c r="W99" s="4">
        <v>0.0</v>
      </c>
      <c r="X99" s="2" t="s">
        <v>1530</v>
      </c>
    </row>
    <row r="100">
      <c r="A100" s="10">
        <v>46189.0</v>
      </c>
      <c r="B100" s="2" t="s">
        <v>1443</v>
      </c>
      <c r="C100" s="2" t="s">
        <v>1444</v>
      </c>
      <c r="D100" s="2" t="s">
        <v>182</v>
      </c>
      <c r="E100" s="2" t="s">
        <v>1430</v>
      </c>
      <c r="F100" s="4">
        <v>27.24</v>
      </c>
      <c r="G100" s="4">
        <v>6992.0</v>
      </c>
      <c r="H100" s="4">
        <v>4700.0</v>
      </c>
      <c r="I100" s="4">
        <v>1.48766</v>
      </c>
      <c r="J100" s="4">
        <v>170.0</v>
      </c>
      <c r="K100" s="4">
        <v>105.0</v>
      </c>
      <c r="L100" s="4">
        <v>2.43135</v>
      </c>
      <c r="M100" s="4">
        <v>0.160235</v>
      </c>
      <c r="N100" s="4">
        <v>3.895881</v>
      </c>
      <c r="O100" s="4">
        <v>50.0</v>
      </c>
      <c r="P100" s="4">
        <v>120.0</v>
      </c>
      <c r="Q100" s="4">
        <v>0.0</v>
      </c>
      <c r="R100" s="4">
        <v>0.0</v>
      </c>
      <c r="S100" s="4">
        <v>0.0</v>
      </c>
      <c r="T100" s="4">
        <v>0.0</v>
      </c>
      <c r="U100" s="4">
        <v>0.0</v>
      </c>
      <c r="W100" s="4">
        <v>0.0</v>
      </c>
      <c r="X100" s="2" t="s">
        <v>1531</v>
      </c>
    </row>
    <row r="101">
      <c r="A101" s="10">
        <v>46189.0</v>
      </c>
      <c r="B101" s="2" t="s">
        <v>1428</v>
      </c>
      <c r="C101" s="2" t="s">
        <v>1429</v>
      </c>
      <c r="D101" s="2" t="s">
        <v>182</v>
      </c>
      <c r="E101" s="2" t="s">
        <v>1430</v>
      </c>
      <c r="F101" s="4">
        <v>3.85</v>
      </c>
      <c r="G101" s="4">
        <v>799.0</v>
      </c>
      <c r="H101" s="4">
        <v>409.0</v>
      </c>
      <c r="I101" s="4">
        <v>1.953545</v>
      </c>
      <c r="J101" s="4">
        <v>28.0</v>
      </c>
      <c r="K101" s="4">
        <v>12.0</v>
      </c>
      <c r="L101" s="4">
        <v>3.50438</v>
      </c>
      <c r="M101" s="4">
        <v>0.1375</v>
      </c>
      <c r="N101" s="4">
        <v>4.818523</v>
      </c>
      <c r="O101" s="4">
        <v>10.0</v>
      </c>
      <c r="P101" s="4">
        <v>33.0</v>
      </c>
      <c r="Q101" s="4">
        <v>3.0</v>
      </c>
      <c r="R101" s="4">
        <v>1.0</v>
      </c>
      <c r="S101" s="4">
        <v>1.0</v>
      </c>
      <c r="T101" s="4">
        <v>1.0</v>
      </c>
      <c r="U101" s="4">
        <v>83.9</v>
      </c>
      <c r="V101" s="4">
        <v>3.85</v>
      </c>
      <c r="W101" s="4">
        <v>21.792207792207794</v>
      </c>
      <c r="X101" s="2" t="s">
        <v>1532</v>
      </c>
    </row>
    <row r="102">
      <c r="A102" s="10">
        <v>46190.0</v>
      </c>
      <c r="B102" s="2" t="s">
        <v>1443</v>
      </c>
      <c r="C102" s="2" t="s">
        <v>1444</v>
      </c>
      <c r="D102" s="2" t="s">
        <v>182</v>
      </c>
      <c r="E102" s="2" t="s">
        <v>1430</v>
      </c>
      <c r="F102" s="4">
        <v>22.9</v>
      </c>
      <c r="G102" s="4">
        <v>5984.0</v>
      </c>
      <c r="H102" s="4">
        <v>3781.0</v>
      </c>
      <c r="I102" s="4">
        <v>1.58265</v>
      </c>
      <c r="J102" s="4">
        <v>111.0</v>
      </c>
      <c r="K102" s="4">
        <v>69.0</v>
      </c>
      <c r="L102" s="4">
        <v>1.854947</v>
      </c>
      <c r="M102" s="4">
        <v>0.206306</v>
      </c>
      <c r="N102" s="4">
        <v>3.826872</v>
      </c>
      <c r="O102" s="4">
        <v>42.0</v>
      </c>
      <c r="P102" s="4">
        <v>90.0</v>
      </c>
      <c r="Q102" s="4">
        <v>1.0</v>
      </c>
      <c r="R102" s="4">
        <v>1.0</v>
      </c>
      <c r="S102" s="4">
        <v>1.0</v>
      </c>
      <c r="T102" s="4">
        <v>1.0</v>
      </c>
      <c r="U102" s="4">
        <v>108.0</v>
      </c>
      <c r="V102" s="4">
        <v>22.9</v>
      </c>
      <c r="W102" s="4">
        <v>4.716157205240175</v>
      </c>
      <c r="X102" s="2" t="s">
        <v>1533</v>
      </c>
    </row>
    <row r="103">
      <c r="A103" s="10">
        <v>46190.0</v>
      </c>
      <c r="B103" s="2" t="s">
        <v>1428</v>
      </c>
      <c r="C103" s="2" t="s">
        <v>1429</v>
      </c>
      <c r="D103" s="2" t="s">
        <v>182</v>
      </c>
      <c r="E103" s="2" t="s">
        <v>1430</v>
      </c>
      <c r="F103" s="4">
        <v>3.0</v>
      </c>
      <c r="G103" s="4">
        <v>861.0</v>
      </c>
      <c r="H103" s="4">
        <v>547.0</v>
      </c>
      <c r="I103" s="4">
        <v>1.57404</v>
      </c>
      <c r="J103" s="4">
        <v>26.0</v>
      </c>
      <c r="K103" s="4">
        <v>15.0</v>
      </c>
      <c r="L103" s="4">
        <v>3.019744</v>
      </c>
      <c r="M103" s="4">
        <v>0.115385</v>
      </c>
      <c r="N103" s="4">
        <v>3.484321</v>
      </c>
      <c r="O103" s="4">
        <v>8.0</v>
      </c>
      <c r="P103" s="4">
        <v>76.0</v>
      </c>
      <c r="Q103" s="4">
        <v>4.0</v>
      </c>
      <c r="R103" s="4">
        <v>5.0</v>
      </c>
      <c r="S103" s="4">
        <v>1.0</v>
      </c>
      <c r="T103" s="4">
        <v>1.0</v>
      </c>
      <c r="U103" s="4">
        <v>80.0</v>
      </c>
      <c r="V103" s="4">
        <v>3.0</v>
      </c>
      <c r="W103" s="4">
        <v>26.666666666666668</v>
      </c>
      <c r="X103" s="2" t="s">
        <v>1534</v>
      </c>
    </row>
    <row r="104">
      <c r="A104" s="10">
        <v>46191.0</v>
      </c>
      <c r="B104" s="2" t="s">
        <v>1443</v>
      </c>
      <c r="C104" s="2" t="s">
        <v>1444</v>
      </c>
      <c r="D104" s="2" t="s">
        <v>182</v>
      </c>
      <c r="E104" s="2" t="s">
        <v>1430</v>
      </c>
      <c r="F104" s="4">
        <v>24.49</v>
      </c>
      <c r="G104" s="4">
        <v>8798.0</v>
      </c>
      <c r="H104" s="4">
        <v>5759.0</v>
      </c>
      <c r="I104" s="4">
        <v>1.527696</v>
      </c>
      <c r="J104" s="4">
        <v>213.0</v>
      </c>
      <c r="K104" s="4">
        <v>125.0</v>
      </c>
      <c r="L104" s="4">
        <v>2.421005</v>
      </c>
      <c r="M104" s="4">
        <v>0.114977</v>
      </c>
      <c r="N104" s="4">
        <v>2.783587</v>
      </c>
      <c r="O104" s="4">
        <v>68.0</v>
      </c>
      <c r="P104" s="4">
        <v>166.0</v>
      </c>
      <c r="Q104" s="4">
        <v>7.0</v>
      </c>
      <c r="R104" s="4">
        <v>3.0</v>
      </c>
      <c r="S104" s="4">
        <v>2.0</v>
      </c>
      <c r="T104" s="4">
        <v>1.0</v>
      </c>
      <c r="U104" s="4">
        <v>93.9</v>
      </c>
      <c r="V104" s="4">
        <v>24.49</v>
      </c>
      <c r="W104" s="4">
        <v>3.834218048182932</v>
      </c>
      <c r="X104" s="2" t="s">
        <v>1535</v>
      </c>
    </row>
    <row r="105">
      <c r="A105" s="10">
        <v>46191.0</v>
      </c>
      <c r="B105" s="2" t="s">
        <v>1428</v>
      </c>
      <c r="C105" s="2" t="s">
        <v>1429</v>
      </c>
      <c r="D105" s="2" t="s">
        <v>182</v>
      </c>
      <c r="E105" s="2" t="s">
        <v>1430</v>
      </c>
      <c r="F105" s="4">
        <v>2.36</v>
      </c>
      <c r="G105" s="4">
        <v>652.0</v>
      </c>
      <c r="H105" s="4">
        <v>397.0</v>
      </c>
      <c r="I105" s="4">
        <v>1.642317</v>
      </c>
      <c r="J105" s="4">
        <v>18.0</v>
      </c>
      <c r="K105" s="4">
        <v>11.0</v>
      </c>
      <c r="L105" s="4">
        <v>2.760736</v>
      </c>
      <c r="M105" s="4">
        <v>0.131111</v>
      </c>
      <c r="N105" s="4">
        <v>3.619632</v>
      </c>
      <c r="O105" s="4">
        <v>5.0</v>
      </c>
      <c r="P105" s="4">
        <v>27.0</v>
      </c>
      <c r="Q105" s="4">
        <v>2.0</v>
      </c>
      <c r="R105" s="4">
        <v>2.0</v>
      </c>
      <c r="S105" s="4">
        <v>2.0</v>
      </c>
      <c r="T105" s="4">
        <v>2.0</v>
      </c>
      <c r="U105" s="4">
        <v>169.8</v>
      </c>
      <c r="V105" s="4">
        <v>1.18</v>
      </c>
      <c r="W105" s="4">
        <v>71.94915254237289</v>
      </c>
      <c r="X105" s="2" t="s">
        <v>1536</v>
      </c>
    </row>
    <row r="106">
      <c r="A106" s="10">
        <v>46192.0</v>
      </c>
      <c r="B106" s="2" t="s">
        <v>1443</v>
      </c>
      <c r="C106" s="2" t="s">
        <v>1444</v>
      </c>
      <c r="D106" s="2" t="s">
        <v>182</v>
      </c>
      <c r="E106" s="2" t="s">
        <v>1430</v>
      </c>
      <c r="F106" s="4">
        <v>24.52</v>
      </c>
      <c r="G106" s="4">
        <v>8725.0</v>
      </c>
      <c r="H106" s="4">
        <v>6276.0</v>
      </c>
      <c r="I106" s="4">
        <v>1.390217</v>
      </c>
      <c r="J106" s="4">
        <v>244.0</v>
      </c>
      <c r="K106" s="4">
        <v>157.0</v>
      </c>
      <c r="L106" s="4">
        <v>2.796562</v>
      </c>
      <c r="M106" s="4">
        <v>0.100492</v>
      </c>
      <c r="N106" s="4">
        <v>2.810315</v>
      </c>
      <c r="O106" s="4">
        <v>72.0</v>
      </c>
      <c r="P106" s="4">
        <v>175.0</v>
      </c>
      <c r="Q106" s="4">
        <v>7.0</v>
      </c>
      <c r="R106" s="4">
        <v>6.0</v>
      </c>
      <c r="S106" s="4">
        <v>1.0</v>
      </c>
      <c r="T106" s="4">
        <v>1.0</v>
      </c>
      <c r="U106" s="4">
        <v>89.4</v>
      </c>
      <c r="V106" s="4">
        <v>24.52</v>
      </c>
      <c r="W106" s="4">
        <v>3.6460032626427408</v>
      </c>
      <c r="X106" s="2" t="s">
        <v>1537</v>
      </c>
    </row>
    <row r="107">
      <c r="A107" s="10">
        <v>46192.0</v>
      </c>
      <c r="B107" s="2" t="s">
        <v>1428</v>
      </c>
      <c r="C107" s="2" t="s">
        <v>1429</v>
      </c>
      <c r="D107" s="2" t="s">
        <v>182</v>
      </c>
      <c r="E107" s="2" t="s">
        <v>1430</v>
      </c>
      <c r="F107" s="4">
        <v>3.0</v>
      </c>
      <c r="G107" s="4">
        <v>719.0</v>
      </c>
      <c r="H107" s="4">
        <v>440.0</v>
      </c>
      <c r="I107" s="4">
        <v>1.634091</v>
      </c>
      <c r="J107" s="4">
        <v>23.0</v>
      </c>
      <c r="K107" s="4">
        <v>13.0</v>
      </c>
      <c r="L107" s="4">
        <v>3.198887</v>
      </c>
      <c r="M107" s="4">
        <v>0.130435</v>
      </c>
      <c r="N107" s="4">
        <v>4.172462</v>
      </c>
      <c r="O107" s="4">
        <v>9.0</v>
      </c>
      <c r="P107" s="4">
        <v>26.0</v>
      </c>
      <c r="Q107" s="4">
        <v>2.0</v>
      </c>
      <c r="R107" s="4">
        <v>2.0</v>
      </c>
      <c r="S107" s="4">
        <v>2.0</v>
      </c>
      <c r="T107" s="4">
        <v>2.0</v>
      </c>
      <c r="U107" s="4">
        <v>201.9</v>
      </c>
      <c r="V107" s="4">
        <v>1.5</v>
      </c>
      <c r="W107" s="4">
        <v>67.3</v>
      </c>
      <c r="X107" s="2" t="s">
        <v>1538</v>
      </c>
    </row>
    <row r="108">
      <c r="A108" s="10">
        <v>46193.0</v>
      </c>
      <c r="B108" s="2" t="s">
        <v>1443</v>
      </c>
      <c r="C108" s="2" t="s">
        <v>1444</v>
      </c>
      <c r="D108" s="2" t="s">
        <v>182</v>
      </c>
      <c r="E108" s="2" t="s">
        <v>1430</v>
      </c>
      <c r="F108" s="4">
        <v>25.56</v>
      </c>
      <c r="G108" s="4">
        <v>8813.0</v>
      </c>
      <c r="H108" s="4">
        <v>6496.0</v>
      </c>
      <c r="I108" s="4">
        <v>1.356681</v>
      </c>
      <c r="J108" s="4">
        <v>224.0</v>
      </c>
      <c r="K108" s="4">
        <v>133.0</v>
      </c>
      <c r="L108" s="4">
        <v>2.5417</v>
      </c>
      <c r="M108" s="4">
        <v>0.114107</v>
      </c>
      <c r="N108" s="4">
        <v>2.900261</v>
      </c>
      <c r="O108" s="4">
        <v>77.0</v>
      </c>
      <c r="P108" s="4">
        <v>205.0</v>
      </c>
      <c r="Q108" s="4">
        <v>6.0</v>
      </c>
      <c r="R108" s="4">
        <v>2.0</v>
      </c>
      <c r="S108" s="4">
        <v>0.0</v>
      </c>
      <c r="T108" s="4">
        <v>0.0</v>
      </c>
      <c r="U108" s="4">
        <v>0.0</v>
      </c>
      <c r="W108" s="4">
        <v>0.0</v>
      </c>
      <c r="X108" s="2" t="s">
        <v>1539</v>
      </c>
    </row>
    <row r="109">
      <c r="A109" s="10">
        <v>46193.0</v>
      </c>
      <c r="B109" s="2" t="s">
        <v>1428</v>
      </c>
      <c r="C109" s="2" t="s">
        <v>1429</v>
      </c>
      <c r="D109" s="2" t="s">
        <v>182</v>
      </c>
      <c r="E109" s="2" t="s">
        <v>1430</v>
      </c>
      <c r="F109" s="4">
        <v>2.21</v>
      </c>
      <c r="G109" s="4">
        <v>727.0</v>
      </c>
      <c r="H109" s="4">
        <v>520.0</v>
      </c>
      <c r="I109" s="4">
        <v>1.398077</v>
      </c>
      <c r="J109" s="4">
        <v>25.0</v>
      </c>
      <c r="K109" s="4">
        <v>16.0</v>
      </c>
      <c r="L109" s="4">
        <v>3.43879</v>
      </c>
      <c r="M109" s="4">
        <v>0.0884</v>
      </c>
      <c r="N109" s="4">
        <v>3.03989</v>
      </c>
      <c r="O109" s="4">
        <v>9.0</v>
      </c>
      <c r="P109" s="4">
        <v>25.0</v>
      </c>
      <c r="Q109" s="4">
        <v>1.0</v>
      </c>
      <c r="R109" s="4">
        <v>1.0</v>
      </c>
      <c r="S109" s="4">
        <v>0.0</v>
      </c>
      <c r="T109" s="4">
        <v>0.0</v>
      </c>
      <c r="U109" s="4">
        <v>0.0</v>
      </c>
      <c r="W109" s="4">
        <v>0.0</v>
      </c>
      <c r="X109" s="2" t="s">
        <v>1540</v>
      </c>
    </row>
    <row r="110">
      <c r="A110" s="10">
        <v>46194.0</v>
      </c>
      <c r="B110" s="2" t="s">
        <v>1443</v>
      </c>
      <c r="C110" s="2" t="s">
        <v>1444</v>
      </c>
      <c r="D110" s="2" t="s">
        <v>182</v>
      </c>
      <c r="E110" s="2" t="s">
        <v>1430</v>
      </c>
      <c r="F110" s="4">
        <v>25.86</v>
      </c>
      <c r="G110" s="4">
        <v>8972.0</v>
      </c>
      <c r="H110" s="4">
        <v>6224.0</v>
      </c>
      <c r="I110" s="4">
        <v>1.441517</v>
      </c>
      <c r="J110" s="4">
        <v>234.0</v>
      </c>
      <c r="K110" s="4">
        <v>127.0</v>
      </c>
      <c r="L110" s="4">
        <v>2.608114</v>
      </c>
      <c r="M110" s="4">
        <v>0.110513</v>
      </c>
      <c r="N110" s="4">
        <v>2.8823</v>
      </c>
      <c r="O110" s="4">
        <v>57.0</v>
      </c>
      <c r="P110" s="4">
        <v>131.0</v>
      </c>
      <c r="Q110" s="4">
        <v>0.0</v>
      </c>
      <c r="R110" s="4">
        <v>0.0</v>
      </c>
      <c r="S110" s="4">
        <v>0.0</v>
      </c>
      <c r="T110" s="4">
        <v>0.0</v>
      </c>
      <c r="U110" s="4">
        <v>0.0</v>
      </c>
      <c r="W110" s="4">
        <v>0.0</v>
      </c>
      <c r="X110" s="2" t="s">
        <v>1541</v>
      </c>
    </row>
    <row r="111">
      <c r="A111" s="10">
        <v>46194.0</v>
      </c>
      <c r="B111" s="2" t="s">
        <v>1428</v>
      </c>
      <c r="C111" s="2" t="s">
        <v>1429</v>
      </c>
      <c r="D111" s="2" t="s">
        <v>182</v>
      </c>
      <c r="E111" s="2" t="s">
        <v>1430</v>
      </c>
      <c r="F111" s="4">
        <v>3.93</v>
      </c>
      <c r="G111" s="4">
        <v>1106.0</v>
      </c>
      <c r="H111" s="4">
        <v>556.0</v>
      </c>
      <c r="I111" s="4">
        <v>1.989209</v>
      </c>
      <c r="J111" s="4">
        <v>42.0</v>
      </c>
      <c r="K111" s="4">
        <v>29.0</v>
      </c>
      <c r="L111" s="4">
        <v>3.797468</v>
      </c>
      <c r="M111" s="4">
        <v>0.093571</v>
      </c>
      <c r="N111" s="4">
        <v>3.553345</v>
      </c>
      <c r="O111" s="4">
        <v>24.0</v>
      </c>
      <c r="P111" s="4">
        <v>106.0</v>
      </c>
      <c r="Q111" s="4">
        <v>5.0</v>
      </c>
      <c r="R111" s="4">
        <v>4.0</v>
      </c>
      <c r="S111" s="4">
        <v>2.0</v>
      </c>
      <c r="T111" s="4">
        <v>2.0</v>
      </c>
      <c r="U111" s="4">
        <v>187.8</v>
      </c>
      <c r="V111" s="4">
        <v>1.965</v>
      </c>
      <c r="W111" s="4">
        <v>47.786259541984734</v>
      </c>
      <c r="X111" s="2" t="s">
        <v>1542</v>
      </c>
    </row>
    <row r="112">
      <c r="A112" s="10">
        <v>46195.0</v>
      </c>
      <c r="B112" s="2" t="s">
        <v>1443</v>
      </c>
      <c r="C112" s="2" t="s">
        <v>1444</v>
      </c>
      <c r="D112" s="2" t="s">
        <v>182</v>
      </c>
      <c r="E112" s="2" t="s">
        <v>1430</v>
      </c>
      <c r="F112" s="4">
        <v>24.41</v>
      </c>
      <c r="G112" s="4">
        <v>9097.0</v>
      </c>
      <c r="H112" s="4">
        <v>6101.0</v>
      </c>
      <c r="I112" s="4">
        <v>1.491067</v>
      </c>
      <c r="J112" s="4">
        <v>253.0</v>
      </c>
      <c r="K112" s="4">
        <v>166.0</v>
      </c>
      <c r="L112" s="4">
        <v>2.781137</v>
      </c>
      <c r="M112" s="4">
        <v>0.096482</v>
      </c>
      <c r="N112" s="4">
        <v>2.683302</v>
      </c>
      <c r="O112" s="4">
        <v>83.0</v>
      </c>
      <c r="P112" s="4">
        <v>212.0</v>
      </c>
      <c r="Q112" s="4">
        <v>1.0</v>
      </c>
      <c r="R112" s="4">
        <v>0.0</v>
      </c>
      <c r="S112" s="4">
        <v>0.0</v>
      </c>
      <c r="T112" s="4">
        <v>0.0</v>
      </c>
      <c r="U112" s="4">
        <v>0.0</v>
      </c>
      <c r="W112" s="4">
        <v>0.0</v>
      </c>
      <c r="X112" s="2" t="s">
        <v>1543</v>
      </c>
    </row>
    <row r="113">
      <c r="A113" s="10">
        <v>46195.0</v>
      </c>
      <c r="B113" s="2" t="s">
        <v>1428</v>
      </c>
      <c r="C113" s="2" t="s">
        <v>1429</v>
      </c>
      <c r="D113" s="2" t="s">
        <v>182</v>
      </c>
      <c r="E113" s="2" t="s">
        <v>1430</v>
      </c>
      <c r="F113" s="4">
        <v>3.83</v>
      </c>
      <c r="G113" s="4">
        <v>1154.0</v>
      </c>
      <c r="H113" s="4">
        <v>762.0</v>
      </c>
      <c r="I113" s="4">
        <v>1.514436</v>
      </c>
      <c r="J113" s="4">
        <v>52.0</v>
      </c>
      <c r="K113" s="4">
        <v>38.0</v>
      </c>
      <c r="L113" s="4">
        <v>4.506066</v>
      </c>
      <c r="M113" s="4">
        <v>0.073654</v>
      </c>
      <c r="N113" s="4">
        <v>3.318891</v>
      </c>
      <c r="O113" s="4">
        <v>22.0</v>
      </c>
      <c r="P113" s="4">
        <v>72.0</v>
      </c>
      <c r="Q113" s="4">
        <v>4.0</v>
      </c>
      <c r="R113" s="4">
        <v>2.0</v>
      </c>
      <c r="S113" s="4">
        <v>3.0</v>
      </c>
      <c r="T113" s="4">
        <v>2.0</v>
      </c>
      <c r="U113" s="4">
        <v>164.9</v>
      </c>
      <c r="V113" s="4">
        <v>1.915</v>
      </c>
      <c r="W113" s="4">
        <v>43.054830287206265</v>
      </c>
      <c r="X113" s="2" t="s">
        <v>1544</v>
      </c>
    </row>
    <row r="114">
      <c r="A114" s="10">
        <v>46196.0</v>
      </c>
      <c r="B114" s="2" t="s">
        <v>1443</v>
      </c>
      <c r="C114" s="2" t="s">
        <v>1444</v>
      </c>
      <c r="D114" s="2" t="s">
        <v>182</v>
      </c>
      <c r="E114" s="2" t="s">
        <v>1430</v>
      </c>
      <c r="F114" s="4">
        <v>24.98</v>
      </c>
      <c r="G114" s="4">
        <v>7274.0</v>
      </c>
      <c r="H114" s="4">
        <v>4504.0</v>
      </c>
      <c r="I114" s="4">
        <v>1.615009</v>
      </c>
      <c r="J114" s="4">
        <v>200.0</v>
      </c>
      <c r="K114" s="4">
        <v>118.0</v>
      </c>
      <c r="L114" s="4">
        <v>2.749519</v>
      </c>
      <c r="M114" s="4">
        <v>0.1249</v>
      </c>
      <c r="N114" s="4">
        <v>3.434149</v>
      </c>
      <c r="O114" s="4">
        <v>84.0</v>
      </c>
      <c r="P114" s="4">
        <v>217.0</v>
      </c>
      <c r="Q114" s="4">
        <v>3.0</v>
      </c>
      <c r="R114" s="4">
        <v>3.0</v>
      </c>
      <c r="S114" s="4">
        <v>0.0</v>
      </c>
      <c r="T114" s="4">
        <v>0.0</v>
      </c>
      <c r="U114" s="4">
        <v>0.0</v>
      </c>
      <c r="W114" s="4">
        <v>0.0</v>
      </c>
      <c r="X114" s="2" t="s">
        <v>1545</v>
      </c>
    </row>
    <row r="115">
      <c r="A115" s="10">
        <v>46196.0</v>
      </c>
      <c r="B115" s="2" t="s">
        <v>1428</v>
      </c>
      <c r="C115" s="2" t="s">
        <v>1429</v>
      </c>
      <c r="D115" s="2" t="s">
        <v>182</v>
      </c>
      <c r="E115" s="2" t="s">
        <v>1430</v>
      </c>
      <c r="F115" s="4">
        <v>3.27</v>
      </c>
      <c r="G115" s="4">
        <v>729.0</v>
      </c>
      <c r="H115" s="4">
        <v>415.0</v>
      </c>
      <c r="I115" s="4">
        <v>1.756627</v>
      </c>
      <c r="J115" s="4">
        <v>21.0</v>
      </c>
      <c r="K115" s="4">
        <v>12.0</v>
      </c>
      <c r="L115" s="4">
        <v>2.880658</v>
      </c>
      <c r="M115" s="4">
        <v>0.155714</v>
      </c>
      <c r="N115" s="4">
        <v>4.485597</v>
      </c>
      <c r="O115" s="4">
        <v>6.0</v>
      </c>
      <c r="P115" s="4">
        <v>94.0</v>
      </c>
      <c r="Q115" s="4">
        <v>10.0</v>
      </c>
      <c r="R115" s="4">
        <v>10.0</v>
      </c>
      <c r="S115" s="4">
        <v>5.0</v>
      </c>
      <c r="T115" s="4">
        <v>3.0</v>
      </c>
      <c r="U115" s="4">
        <v>232.2</v>
      </c>
      <c r="V115" s="4">
        <v>1.09</v>
      </c>
      <c r="W115" s="4">
        <v>71.0091743119266</v>
      </c>
      <c r="X115" s="2" t="s">
        <v>1546</v>
      </c>
    </row>
    <row r="116">
      <c r="A116" s="10">
        <v>46197.0</v>
      </c>
      <c r="B116" s="2" t="s">
        <v>1443</v>
      </c>
      <c r="C116" s="2" t="s">
        <v>1444</v>
      </c>
      <c r="D116" s="2" t="s">
        <v>182</v>
      </c>
      <c r="E116" s="2" t="s">
        <v>1430</v>
      </c>
      <c r="F116" s="4">
        <v>25.53</v>
      </c>
      <c r="G116" s="4">
        <v>8047.0</v>
      </c>
      <c r="H116" s="4">
        <v>5323.0</v>
      </c>
      <c r="I116" s="4">
        <v>1.511742</v>
      </c>
      <c r="J116" s="4">
        <v>174.0</v>
      </c>
      <c r="K116" s="4">
        <v>106.0</v>
      </c>
      <c r="L116" s="4">
        <v>2.162297</v>
      </c>
      <c r="M116" s="4">
        <v>0.146724</v>
      </c>
      <c r="N116" s="4">
        <v>3.172611</v>
      </c>
      <c r="O116" s="4">
        <v>59.0</v>
      </c>
      <c r="P116" s="4">
        <v>172.0</v>
      </c>
      <c r="Q116" s="4">
        <v>5.0</v>
      </c>
      <c r="R116" s="4">
        <v>3.0</v>
      </c>
      <c r="S116" s="4">
        <v>5.0</v>
      </c>
      <c r="T116" s="4">
        <v>3.0</v>
      </c>
      <c r="U116" s="4">
        <v>187.8</v>
      </c>
      <c r="V116" s="4">
        <v>8.51</v>
      </c>
      <c r="W116" s="4">
        <v>7.356051703877791</v>
      </c>
      <c r="X116" s="2" t="s">
        <v>1547</v>
      </c>
    </row>
    <row r="117">
      <c r="A117" s="10">
        <v>46197.0</v>
      </c>
      <c r="B117" s="2" t="s">
        <v>1428</v>
      </c>
      <c r="C117" s="2" t="s">
        <v>1429</v>
      </c>
      <c r="D117" s="2" t="s">
        <v>182</v>
      </c>
      <c r="E117" s="2" t="s">
        <v>1430</v>
      </c>
      <c r="F117" s="4">
        <v>3.2</v>
      </c>
      <c r="G117" s="4">
        <v>826.0</v>
      </c>
      <c r="H117" s="4">
        <v>455.0</v>
      </c>
      <c r="I117" s="4">
        <v>1.815385</v>
      </c>
      <c r="J117" s="4">
        <v>33.0</v>
      </c>
      <c r="K117" s="4">
        <v>21.0</v>
      </c>
      <c r="L117" s="4">
        <v>3.995157</v>
      </c>
      <c r="M117" s="4">
        <v>0.09697</v>
      </c>
      <c r="N117" s="4">
        <v>3.874092</v>
      </c>
      <c r="O117" s="4">
        <v>16.0</v>
      </c>
      <c r="P117" s="4">
        <v>63.0</v>
      </c>
      <c r="Q117" s="4">
        <v>1.0</v>
      </c>
      <c r="R117" s="4">
        <v>0.0</v>
      </c>
      <c r="S117" s="4">
        <v>0.0</v>
      </c>
      <c r="T117" s="4">
        <v>0.0</v>
      </c>
      <c r="U117" s="4">
        <v>0.0</v>
      </c>
      <c r="W117" s="4">
        <v>0.0</v>
      </c>
      <c r="X117" s="2" t="s">
        <v>1548</v>
      </c>
    </row>
    <row r="118">
      <c r="A118" s="10">
        <v>46198.0</v>
      </c>
      <c r="B118" s="2" t="s">
        <v>1443</v>
      </c>
      <c r="C118" s="2" t="s">
        <v>1444</v>
      </c>
      <c r="D118" s="2" t="s">
        <v>182</v>
      </c>
      <c r="E118" s="2" t="s">
        <v>1430</v>
      </c>
      <c r="F118" s="4">
        <v>24.6</v>
      </c>
      <c r="G118" s="4">
        <v>8081.0</v>
      </c>
      <c r="H118" s="4">
        <v>5249.0</v>
      </c>
      <c r="I118" s="4">
        <v>1.539531</v>
      </c>
      <c r="J118" s="4">
        <v>210.0</v>
      </c>
      <c r="K118" s="4">
        <v>124.0</v>
      </c>
      <c r="L118" s="4">
        <v>2.598688</v>
      </c>
      <c r="M118" s="4">
        <v>0.117143</v>
      </c>
      <c r="N118" s="4">
        <v>3.044178</v>
      </c>
      <c r="O118" s="4">
        <v>63.0</v>
      </c>
      <c r="P118" s="4">
        <v>217.0</v>
      </c>
      <c r="Q118" s="4">
        <v>4.0</v>
      </c>
      <c r="R118" s="4">
        <v>1.0</v>
      </c>
      <c r="S118" s="4">
        <v>2.0</v>
      </c>
      <c r="T118" s="4">
        <v>2.0</v>
      </c>
      <c r="U118" s="4">
        <v>219.9</v>
      </c>
      <c r="V118" s="4">
        <v>12.3</v>
      </c>
      <c r="W118" s="4">
        <v>8.939024390243903</v>
      </c>
      <c r="X118" s="2" t="s">
        <v>1549</v>
      </c>
    </row>
    <row r="119">
      <c r="A119" s="10">
        <v>46198.0</v>
      </c>
      <c r="B119" s="2" t="s">
        <v>1428</v>
      </c>
      <c r="C119" s="2" t="s">
        <v>1429</v>
      </c>
      <c r="D119" s="2" t="s">
        <v>182</v>
      </c>
      <c r="E119" s="2" t="s">
        <v>1430</v>
      </c>
      <c r="F119" s="4">
        <v>2.17</v>
      </c>
      <c r="G119" s="4">
        <v>643.0</v>
      </c>
      <c r="H119" s="4">
        <v>450.0</v>
      </c>
      <c r="I119" s="4">
        <v>1.428889</v>
      </c>
      <c r="J119" s="4">
        <v>24.0</v>
      </c>
      <c r="K119" s="4">
        <v>15.0</v>
      </c>
      <c r="L119" s="4">
        <v>3.732504</v>
      </c>
      <c r="M119" s="4">
        <v>0.090417</v>
      </c>
      <c r="N119" s="4">
        <v>3.374806</v>
      </c>
      <c r="O119" s="4">
        <v>11.0</v>
      </c>
      <c r="P119" s="4">
        <v>56.0</v>
      </c>
      <c r="Q119" s="4">
        <v>6.0</v>
      </c>
      <c r="R119" s="4">
        <v>4.0</v>
      </c>
      <c r="S119" s="4">
        <v>4.0</v>
      </c>
      <c r="T119" s="4">
        <v>3.0</v>
      </c>
      <c r="U119" s="4">
        <v>363.0</v>
      </c>
      <c r="V119" s="4">
        <v>0.7233333333333333</v>
      </c>
      <c r="W119" s="4">
        <v>167.2811059907834</v>
      </c>
      <c r="X119" s="2" t="s">
        <v>1550</v>
      </c>
    </row>
    <row r="120">
      <c r="A120" s="10">
        <v>46199.0</v>
      </c>
      <c r="B120" s="2" t="s">
        <v>1443</v>
      </c>
      <c r="C120" s="2" t="s">
        <v>1444</v>
      </c>
      <c r="D120" s="2" t="s">
        <v>182</v>
      </c>
      <c r="E120" s="2" t="s">
        <v>1430</v>
      </c>
      <c r="F120" s="4">
        <v>23.3</v>
      </c>
      <c r="G120" s="4">
        <v>6822.0</v>
      </c>
      <c r="H120" s="4">
        <v>4220.0</v>
      </c>
      <c r="I120" s="4">
        <v>1.616588</v>
      </c>
      <c r="J120" s="4">
        <v>141.0</v>
      </c>
      <c r="K120" s="4">
        <v>93.0</v>
      </c>
      <c r="L120" s="4">
        <v>2.066843</v>
      </c>
      <c r="M120" s="4">
        <v>0.165248</v>
      </c>
      <c r="N120" s="4">
        <v>3.415421</v>
      </c>
      <c r="O120" s="4">
        <v>52.0</v>
      </c>
      <c r="P120" s="4">
        <v>193.0</v>
      </c>
      <c r="Q120" s="4">
        <v>4.0</v>
      </c>
      <c r="R120" s="4">
        <v>0.0</v>
      </c>
      <c r="S120" s="4">
        <v>0.0</v>
      </c>
      <c r="T120" s="4">
        <v>0.0</v>
      </c>
      <c r="U120" s="4">
        <v>0.0</v>
      </c>
      <c r="W120" s="4">
        <v>0.0</v>
      </c>
      <c r="X120" s="2" t="s">
        <v>1551</v>
      </c>
    </row>
    <row r="121">
      <c r="A121" s="10">
        <v>46199.0</v>
      </c>
      <c r="B121" s="2" t="s">
        <v>1428</v>
      </c>
      <c r="C121" s="2" t="s">
        <v>1429</v>
      </c>
      <c r="D121" s="2" t="s">
        <v>182</v>
      </c>
      <c r="E121" s="2" t="s">
        <v>1430</v>
      </c>
      <c r="F121" s="4">
        <v>2.92</v>
      </c>
      <c r="G121" s="4">
        <v>692.0</v>
      </c>
      <c r="H121" s="4">
        <v>367.0</v>
      </c>
      <c r="I121" s="4">
        <v>1.885559</v>
      </c>
      <c r="J121" s="4">
        <v>29.0</v>
      </c>
      <c r="K121" s="4">
        <v>18.0</v>
      </c>
      <c r="L121" s="4">
        <v>4.190751</v>
      </c>
      <c r="M121" s="4">
        <v>0.10069</v>
      </c>
      <c r="N121" s="4">
        <v>4.219653</v>
      </c>
      <c r="O121" s="4">
        <v>18.0</v>
      </c>
      <c r="P121" s="4">
        <v>65.0</v>
      </c>
      <c r="Q121" s="4">
        <v>3.0</v>
      </c>
      <c r="R121" s="4">
        <v>3.0</v>
      </c>
      <c r="S121" s="4">
        <v>3.0</v>
      </c>
      <c r="T121" s="4">
        <v>3.0</v>
      </c>
      <c r="U121" s="4">
        <v>378.0</v>
      </c>
      <c r="V121" s="4">
        <v>0.9733333333333333</v>
      </c>
      <c r="W121" s="4">
        <v>129.45205479452056</v>
      </c>
      <c r="X121" s="2" t="s">
        <v>1552</v>
      </c>
    </row>
    <row r="122">
      <c r="A122" s="10">
        <v>46200.0</v>
      </c>
      <c r="B122" s="2" t="s">
        <v>1443</v>
      </c>
      <c r="C122" s="2" t="s">
        <v>1444</v>
      </c>
      <c r="D122" s="2" t="s">
        <v>182</v>
      </c>
      <c r="E122" s="2" t="s">
        <v>1430</v>
      </c>
      <c r="F122" s="4">
        <v>26.02</v>
      </c>
      <c r="G122" s="4">
        <v>8381.0</v>
      </c>
      <c r="H122" s="4">
        <v>5360.0</v>
      </c>
      <c r="I122" s="4">
        <v>1.563619</v>
      </c>
      <c r="J122" s="4">
        <v>196.0</v>
      </c>
      <c r="K122" s="4">
        <v>109.0</v>
      </c>
      <c r="L122" s="4">
        <v>2.338623</v>
      </c>
      <c r="M122" s="4">
        <v>0.132755</v>
      </c>
      <c r="N122" s="4">
        <v>3.104641</v>
      </c>
      <c r="O122" s="4">
        <v>52.0</v>
      </c>
      <c r="P122" s="4">
        <v>149.0</v>
      </c>
      <c r="Q122" s="4">
        <v>5.0</v>
      </c>
      <c r="R122" s="4">
        <v>2.0</v>
      </c>
      <c r="S122" s="4">
        <v>2.0</v>
      </c>
      <c r="T122" s="4">
        <v>2.0</v>
      </c>
      <c r="U122" s="4">
        <v>237.9</v>
      </c>
      <c r="V122" s="4">
        <v>13.01</v>
      </c>
      <c r="W122" s="4">
        <v>9.142966948501153</v>
      </c>
      <c r="X122" s="2" t="s">
        <v>1553</v>
      </c>
    </row>
    <row r="123">
      <c r="A123" s="10">
        <v>46200.0</v>
      </c>
      <c r="B123" s="2" t="s">
        <v>1428</v>
      </c>
      <c r="C123" s="2" t="s">
        <v>1429</v>
      </c>
      <c r="D123" s="2" t="s">
        <v>182</v>
      </c>
      <c r="E123" s="2" t="s">
        <v>1430</v>
      </c>
      <c r="F123" s="4">
        <v>1.67</v>
      </c>
      <c r="G123" s="4">
        <v>468.0</v>
      </c>
      <c r="H123" s="4">
        <v>383.0</v>
      </c>
      <c r="I123" s="4">
        <v>1.221932</v>
      </c>
      <c r="J123" s="4">
        <v>6.0</v>
      </c>
      <c r="K123" s="4">
        <v>6.0</v>
      </c>
      <c r="L123" s="4">
        <v>1.282051</v>
      </c>
      <c r="M123" s="4">
        <v>0.278333</v>
      </c>
      <c r="N123" s="4">
        <v>3.568376</v>
      </c>
      <c r="O123" s="4">
        <v>4.0</v>
      </c>
      <c r="P123" s="4">
        <v>18.0</v>
      </c>
      <c r="Q123" s="4">
        <v>1.0</v>
      </c>
      <c r="R123" s="4">
        <v>2.0</v>
      </c>
      <c r="S123" s="4">
        <v>2.0</v>
      </c>
      <c r="T123" s="4">
        <v>0.0</v>
      </c>
      <c r="U123" s="4">
        <v>0.0</v>
      </c>
      <c r="W123" s="4">
        <v>0.0</v>
      </c>
      <c r="X123" s="2" t="s">
        <v>1554</v>
      </c>
    </row>
    <row r="124">
      <c r="A124" s="10">
        <v>46201.0</v>
      </c>
      <c r="B124" s="2" t="s">
        <v>1443</v>
      </c>
      <c r="C124" s="2" t="s">
        <v>1444</v>
      </c>
      <c r="D124" s="2" t="s">
        <v>182</v>
      </c>
      <c r="E124" s="2" t="s">
        <v>1430</v>
      </c>
      <c r="F124" s="4">
        <v>26.67</v>
      </c>
      <c r="G124" s="4">
        <v>10009.0</v>
      </c>
      <c r="H124" s="4">
        <v>6079.0</v>
      </c>
      <c r="I124" s="4">
        <v>1.646488</v>
      </c>
      <c r="J124" s="4">
        <v>198.0</v>
      </c>
      <c r="K124" s="4">
        <v>112.0</v>
      </c>
      <c r="L124" s="4">
        <v>1.97822</v>
      </c>
      <c r="M124" s="4">
        <v>0.134697</v>
      </c>
      <c r="N124" s="4">
        <v>2.664602</v>
      </c>
      <c r="O124" s="4">
        <v>50.0</v>
      </c>
      <c r="P124" s="4">
        <v>146.0</v>
      </c>
      <c r="Q124" s="4">
        <v>2.0</v>
      </c>
      <c r="R124" s="4">
        <v>2.0</v>
      </c>
      <c r="S124" s="4">
        <v>0.0</v>
      </c>
      <c r="T124" s="4">
        <v>0.0</v>
      </c>
      <c r="U124" s="4">
        <v>0.0</v>
      </c>
      <c r="W124" s="4">
        <v>0.0</v>
      </c>
      <c r="X124" s="2" t="s">
        <v>1555</v>
      </c>
    </row>
    <row r="125">
      <c r="A125" s="10">
        <v>46201.0</v>
      </c>
      <c r="B125" s="2" t="s">
        <v>1428</v>
      </c>
      <c r="C125" s="2" t="s">
        <v>1429</v>
      </c>
      <c r="D125" s="2" t="s">
        <v>182</v>
      </c>
      <c r="E125" s="2" t="s">
        <v>1430</v>
      </c>
      <c r="F125" s="4">
        <v>2.97</v>
      </c>
      <c r="G125" s="4">
        <v>895.0</v>
      </c>
      <c r="H125" s="4">
        <v>529.0</v>
      </c>
      <c r="I125" s="4">
        <v>1.691871</v>
      </c>
      <c r="J125" s="4">
        <v>29.0</v>
      </c>
      <c r="K125" s="4">
        <v>12.0</v>
      </c>
      <c r="L125" s="4">
        <v>3.240223</v>
      </c>
      <c r="M125" s="4">
        <v>0.102414</v>
      </c>
      <c r="N125" s="4">
        <v>3.318436</v>
      </c>
      <c r="O125" s="4">
        <v>8.0</v>
      </c>
      <c r="P125" s="4">
        <v>46.0</v>
      </c>
      <c r="Q125" s="4">
        <v>1.0</v>
      </c>
      <c r="R125" s="4">
        <v>4.0</v>
      </c>
      <c r="S125" s="4">
        <v>2.0</v>
      </c>
      <c r="T125" s="4">
        <v>2.0</v>
      </c>
      <c r="U125" s="4">
        <v>203.9</v>
      </c>
      <c r="V125" s="4">
        <v>1.485</v>
      </c>
      <c r="W125" s="4">
        <v>68.65319865319866</v>
      </c>
      <c r="X125" s="2" t="s">
        <v>1556</v>
      </c>
    </row>
    <row r="126">
      <c r="A126" s="10">
        <v>46202.0</v>
      </c>
      <c r="B126" s="2" t="s">
        <v>1443</v>
      </c>
      <c r="C126" s="2" t="s">
        <v>1444</v>
      </c>
      <c r="D126" s="2" t="s">
        <v>182</v>
      </c>
      <c r="E126" s="2" t="s">
        <v>1430</v>
      </c>
      <c r="F126" s="4">
        <v>23.23</v>
      </c>
      <c r="G126" s="4">
        <v>9256.0</v>
      </c>
      <c r="H126" s="4">
        <v>5451.0</v>
      </c>
      <c r="I126" s="4">
        <v>1.698037</v>
      </c>
      <c r="J126" s="4">
        <v>156.0</v>
      </c>
      <c r="K126" s="4">
        <v>86.0</v>
      </c>
      <c r="L126" s="4">
        <v>1.685393</v>
      </c>
      <c r="M126" s="4">
        <v>0.14891</v>
      </c>
      <c r="N126" s="4">
        <v>2.509723</v>
      </c>
      <c r="O126" s="4">
        <v>60.0</v>
      </c>
      <c r="P126" s="4">
        <v>123.0</v>
      </c>
      <c r="Q126" s="4">
        <v>0.0</v>
      </c>
      <c r="R126" s="4">
        <v>1.0</v>
      </c>
      <c r="S126" s="4">
        <v>1.0</v>
      </c>
      <c r="T126" s="4">
        <v>1.0</v>
      </c>
      <c r="U126" s="4">
        <v>108.0</v>
      </c>
      <c r="V126" s="4">
        <v>23.23</v>
      </c>
      <c r="W126" s="4">
        <v>4.649160568230736</v>
      </c>
      <c r="X126" s="2" t="s">
        <v>1557</v>
      </c>
    </row>
    <row r="127">
      <c r="A127" s="10">
        <v>46202.0</v>
      </c>
      <c r="B127" s="2" t="s">
        <v>1428</v>
      </c>
      <c r="C127" s="2" t="s">
        <v>1429</v>
      </c>
      <c r="D127" s="2" t="s">
        <v>182</v>
      </c>
      <c r="E127" s="2" t="s">
        <v>1430</v>
      </c>
      <c r="F127" s="4">
        <v>4.61</v>
      </c>
      <c r="G127" s="4">
        <v>1457.0</v>
      </c>
      <c r="H127" s="4">
        <v>939.0</v>
      </c>
      <c r="I127" s="4">
        <v>1.551651</v>
      </c>
      <c r="J127" s="4">
        <v>36.0</v>
      </c>
      <c r="K127" s="4">
        <v>25.0</v>
      </c>
      <c r="L127" s="4">
        <v>2.47083</v>
      </c>
      <c r="M127" s="4">
        <v>0.128056</v>
      </c>
      <c r="N127" s="4">
        <v>3.164036</v>
      </c>
      <c r="O127" s="4">
        <v>22.0</v>
      </c>
      <c r="P127" s="4">
        <v>74.0</v>
      </c>
      <c r="Q127" s="4">
        <v>1.0</v>
      </c>
      <c r="R127" s="4">
        <v>1.0</v>
      </c>
      <c r="S127" s="4">
        <v>0.0</v>
      </c>
      <c r="T127" s="4">
        <v>0.0</v>
      </c>
      <c r="U127" s="4">
        <v>0.0</v>
      </c>
      <c r="W127" s="4">
        <v>0.0</v>
      </c>
      <c r="X127" s="2" t="s">
        <v>1558</v>
      </c>
    </row>
    <row r="128">
      <c r="A128" s="10">
        <v>46203.0</v>
      </c>
      <c r="B128" s="2" t="s">
        <v>1443</v>
      </c>
      <c r="C128" s="2" t="s">
        <v>1444</v>
      </c>
      <c r="D128" s="2" t="s">
        <v>182</v>
      </c>
      <c r="E128" s="2" t="s">
        <v>1430</v>
      </c>
      <c r="F128" s="4">
        <v>27.34</v>
      </c>
      <c r="G128" s="4">
        <v>9685.0</v>
      </c>
      <c r="H128" s="4">
        <v>5869.0</v>
      </c>
      <c r="I128" s="4">
        <v>1.650196</v>
      </c>
      <c r="J128" s="4">
        <v>171.0</v>
      </c>
      <c r="K128" s="4">
        <v>109.0</v>
      </c>
      <c r="L128" s="4">
        <v>1.765617</v>
      </c>
      <c r="M128" s="4">
        <v>0.159883</v>
      </c>
      <c r="N128" s="4">
        <v>2.822922</v>
      </c>
      <c r="O128" s="4">
        <v>47.0</v>
      </c>
      <c r="P128" s="4">
        <v>134.0</v>
      </c>
      <c r="Q128" s="4">
        <v>0.0</v>
      </c>
      <c r="R128" s="4">
        <v>0.0</v>
      </c>
      <c r="S128" s="4">
        <v>0.0</v>
      </c>
      <c r="T128" s="4">
        <v>0.0</v>
      </c>
      <c r="U128" s="4">
        <v>0.0</v>
      </c>
      <c r="W128" s="4">
        <v>0.0</v>
      </c>
      <c r="X128" s="2" t="s">
        <v>1559</v>
      </c>
    </row>
    <row r="129">
      <c r="A129" s="10">
        <v>46203.0</v>
      </c>
      <c r="B129" s="2" t="s">
        <v>1428</v>
      </c>
      <c r="C129" s="2" t="s">
        <v>1429</v>
      </c>
      <c r="D129" s="2" t="s">
        <v>182</v>
      </c>
      <c r="E129" s="2" t="s">
        <v>1430</v>
      </c>
      <c r="F129" s="4">
        <v>2.02</v>
      </c>
      <c r="G129" s="4">
        <v>699.0</v>
      </c>
      <c r="H129" s="4">
        <v>513.0</v>
      </c>
      <c r="I129" s="4">
        <v>1.362573</v>
      </c>
      <c r="J129" s="4">
        <v>17.0</v>
      </c>
      <c r="K129" s="4">
        <v>12.0</v>
      </c>
      <c r="L129" s="4">
        <v>2.432046</v>
      </c>
      <c r="M129" s="4">
        <v>0.118824</v>
      </c>
      <c r="N129" s="4">
        <v>2.889843</v>
      </c>
      <c r="O129" s="4">
        <v>8.0</v>
      </c>
      <c r="P129" s="4">
        <v>32.0</v>
      </c>
      <c r="Q129" s="4">
        <v>0.0</v>
      </c>
      <c r="R129" s="4">
        <v>0.0</v>
      </c>
      <c r="S129" s="4">
        <v>0.0</v>
      </c>
      <c r="T129" s="4">
        <v>0.0</v>
      </c>
      <c r="U129" s="4">
        <v>0.0</v>
      </c>
      <c r="W129" s="4">
        <v>0.0</v>
      </c>
      <c r="X129" s="2" t="s">
        <v>1560</v>
      </c>
    </row>
    <row r="130">
      <c r="A130" s="10">
        <v>46204.0</v>
      </c>
      <c r="B130" s="2" t="s">
        <v>1443</v>
      </c>
      <c r="C130" s="2" t="s">
        <v>1444</v>
      </c>
      <c r="D130" s="2" t="s">
        <v>182</v>
      </c>
      <c r="E130" s="2" t="s">
        <v>1430</v>
      </c>
      <c r="F130" s="4">
        <v>26.8</v>
      </c>
      <c r="G130" s="4">
        <v>9223.0</v>
      </c>
      <c r="H130" s="4">
        <v>5305.0</v>
      </c>
      <c r="I130" s="4">
        <v>1.738549</v>
      </c>
      <c r="J130" s="4">
        <v>165.0</v>
      </c>
      <c r="K130" s="4">
        <v>98.0</v>
      </c>
      <c r="L130" s="4">
        <v>1.789006</v>
      </c>
      <c r="M130" s="4">
        <v>0.162424</v>
      </c>
      <c r="N130" s="4">
        <v>2.905779</v>
      </c>
      <c r="O130" s="4">
        <v>45.0</v>
      </c>
      <c r="P130" s="4">
        <v>99.0</v>
      </c>
      <c r="Q130" s="4">
        <v>2.0</v>
      </c>
      <c r="R130" s="4">
        <v>2.0</v>
      </c>
      <c r="S130" s="4">
        <v>0.0</v>
      </c>
      <c r="T130" s="4">
        <v>0.0</v>
      </c>
      <c r="U130" s="4">
        <v>0.0</v>
      </c>
      <c r="W130" s="4">
        <v>0.0</v>
      </c>
      <c r="X130" s="2" t="s">
        <v>1561</v>
      </c>
    </row>
    <row r="131">
      <c r="A131" s="10">
        <v>46204.0</v>
      </c>
      <c r="B131" s="2" t="s">
        <v>1428</v>
      </c>
      <c r="C131" s="2" t="s">
        <v>1429</v>
      </c>
      <c r="D131" s="2" t="s">
        <v>182</v>
      </c>
      <c r="E131" s="2" t="s">
        <v>1430</v>
      </c>
      <c r="F131" s="4">
        <v>3.93</v>
      </c>
      <c r="G131" s="4">
        <v>1091.0</v>
      </c>
      <c r="H131" s="4">
        <v>567.0</v>
      </c>
      <c r="I131" s="4">
        <v>1.924162</v>
      </c>
      <c r="J131" s="4">
        <v>28.0</v>
      </c>
      <c r="K131" s="4">
        <v>18.0</v>
      </c>
      <c r="L131" s="4">
        <v>2.566453</v>
      </c>
      <c r="M131" s="4">
        <v>0.140357</v>
      </c>
      <c r="N131" s="4">
        <v>3.6022</v>
      </c>
      <c r="O131" s="4">
        <v>14.0</v>
      </c>
      <c r="P131" s="4">
        <v>33.0</v>
      </c>
      <c r="Q131" s="4">
        <v>0.0</v>
      </c>
      <c r="R131" s="4">
        <v>0.0</v>
      </c>
      <c r="S131" s="4">
        <v>0.0</v>
      </c>
      <c r="T131" s="4">
        <v>0.0</v>
      </c>
      <c r="U131" s="4">
        <v>0.0</v>
      </c>
      <c r="W131" s="4">
        <v>0.0</v>
      </c>
      <c r="X131" s="2" t="s">
        <v>1562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63"/>
    <col customWidth="1" min="2" max="2" width="35.13"/>
    <col customWidth="1" min="3" max="3" width="10.13"/>
    <col customWidth="1" min="4" max="4" width="50.13"/>
    <col customWidth="1" min="5" max="5" width="20.13"/>
    <col customWidth="1" min="6" max="6" width="31.38"/>
  </cols>
  <sheetData>
    <row r="1">
      <c r="A1" s="20" t="s">
        <v>1563</v>
      </c>
      <c r="B1" s="20" t="s">
        <v>1564</v>
      </c>
      <c r="C1" s="21" t="s">
        <v>1565</v>
      </c>
      <c r="D1" s="22" t="s">
        <v>1566</v>
      </c>
      <c r="E1" s="20" t="s">
        <v>1567</v>
      </c>
      <c r="F1" s="23"/>
    </row>
    <row r="2">
      <c r="A2" s="24" t="s">
        <v>1568</v>
      </c>
      <c r="B2" s="25"/>
      <c r="C2" s="26"/>
      <c r="D2" s="27"/>
      <c r="E2" s="28"/>
    </row>
    <row r="3">
      <c r="A3" s="29"/>
      <c r="B3" s="30" t="s">
        <v>1569</v>
      </c>
      <c r="C3" s="31" t="s">
        <v>1570</v>
      </c>
      <c r="D3" s="32" t="s">
        <v>1571</v>
      </c>
      <c r="E3" s="29"/>
    </row>
    <row r="4">
      <c r="A4" s="29"/>
      <c r="B4" s="30" t="s">
        <v>1572</v>
      </c>
      <c r="C4" s="33" t="str">
        <f>IF(COUNTIFS('PRODUCT_COGS&amp;PRICE'!A2:A526,"&lt;&gt;",'PRODUCT_COGS&amp;PRICE'!E2:E526,0)+COUNTIFS('PRODUCT_COGS&amp;PRICE'!A2:A526,"&lt;&gt;",'PRODUCT_COGS&amp;PRICE'!E2:E526,"")=0,"✅","❌")</f>
        <v>✅</v>
      </c>
      <c r="D4" s="34" t="str">
        <f>"Products with COGS=0 or blank: "&amp;COUNTIFS('PRODUCT_COGS&amp;PRICE'!A2:A526,"&lt;&gt;",'PRODUCT_COGS&amp;PRICE'!E2:E526,0)+COUNTIFS('PRODUCT_COGS&amp;PRICE'!A2:A526,"&lt;&gt;",'PRODUCT_COGS&amp;PRICE'!E2:E526,"")</f>
        <v>Products with COGS=0 or blank: 0</v>
      </c>
      <c r="E4" s="29"/>
    </row>
    <row r="5">
      <c r="A5" s="29"/>
      <c r="B5" s="30" t="s">
        <v>1573</v>
      </c>
      <c r="C5" s="33" t="str">
        <f>IF(COUNTIFS('PRODUCT_COGS&amp;PRICE'!A2:A526,"&lt;&gt;",'PRODUCT_COGS&amp;PRICE'!D2:D526,0)+COUNTIFS('PRODUCT_COGS&amp;PRICE'!A2:A526,"&lt;&gt;",'PRODUCT_COGS&amp;PRICE'!D2:D526,"")=0,"✅","❌")</f>
        <v>✅</v>
      </c>
      <c r="D5" s="34" t="str">
        <f>"Products with Price=0 or blank: "&amp;COUNTIFS('PRODUCT_COGS&amp;PRICE'!A2:A526,"&lt;&gt;",'PRODUCT_COGS&amp;PRICE'!D2:D526,0)+COUNTIFS('PRODUCT_COGS&amp;PRICE'!A2:A526,"&lt;&gt;",'PRODUCT_COGS&amp;PRICE'!D2:D526,"")</f>
        <v>Products with Price=0 or blank: 0</v>
      </c>
      <c r="E5" s="29"/>
    </row>
    <row r="6">
      <c r="A6" s="29"/>
      <c r="B6" s="30" t="s">
        <v>1574</v>
      </c>
      <c r="C6" s="31" t="s">
        <v>1575</v>
      </c>
      <c r="D6" s="32" t="s">
        <v>1576</v>
      </c>
      <c r="E6" s="29"/>
    </row>
    <row r="7">
      <c r="A7" s="35" t="s">
        <v>1577</v>
      </c>
      <c r="B7" s="36"/>
      <c r="C7" s="33"/>
      <c r="D7" s="34"/>
      <c r="E7" s="29"/>
    </row>
    <row r="8">
      <c r="A8" s="29"/>
      <c r="B8" s="30" t="s">
        <v>1578</v>
      </c>
      <c r="C8" s="33" t="str">
        <f>IF(COUNTA('DB Shopify'!A2:A500)&gt;0,"✅","❌")</f>
        <v>✅</v>
      </c>
      <c r="D8" s="34" t="str">
        <f>"Shopify rows: "&amp;COUNTA('DB Shopify'!A2:A500)</f>
        <v>Shopify rows: 466</v>
      </c>
      <c r="E8" s="29"/>
    </row>
    <row r="9">
      <c r="A9" s="29"/>
      <c r="B9" s="30" t="s">
        <v>1579</v>
      </c>
      <c r="C9" s="33" t="str">
        <f>IF(COUNTA(DB_QROMO!A2:A594)&gt;0,"✅","❌")</f>
        <v>✅</v>
      </c>
      <c r="D9" s="34" t="str">
        <f>"Qromo rows: "&amp;COUNTA(DB_QROMO!A2:A594)</f>
        <v>Qromo rows: 149</v>
      </c>
      <c r="E9" s="29"/>
    </row>
    <row r="10">
      <c r="A10" s="29"/>
      <c r="B10" s="30" t="s">
        <v>1580</v>
      </c>
      <c r="C10" s="33" t="str">
        <f>IF(COUNTIF(Import!A2:A347,"*2025*")=0,"✅","❌")</f>
        <v>✅</v>
      </c>
      <c r="D10" s="34" t="str">
        <f>"Rows with 2025 dates: "&amp;COUNTIF(Import!A2:A347,"*2025*")</f>
        <v>Rows with 2025 dates: 0</v>
      </c>
      <c r="E10" s="29"/>
    </row>
    <row r="11">
      <c r="A11" s="29"/>
      <c r="B11" s="30" t="s">
        <v>1581</v>
      </c>
      <c r="C11" s="33" t="str">
        <f>IF(COUNTIF(DB_QROMO!A2:A594,2025)=0,"✅","❌")</f>
        <v>✅</v>
      </c>
      <c r="D11" s="34" t="str">
        <f>"Rows with YEAR=2025: "&amp;COUNTIF(DB_QROMO!A2:A594,2025)</f>
        <v>Rows with YEAR=2025: 0</v>
      </c>
      <c r="E11" s="29"/>
    </row>
    <row r="12">
      <c r="A12" s="37" t="s">
        <v>1582</v>
      </c>
      <c r="B12" s="36"/>
      <c r="C12" s="33"/>
      <c r="D12" s="34"/>
      <c r="E12" s="29"/>
    </row>
    <row r="13">
      <c r="A13" s="29"/>
      <c r="B13" s="30" t="s">
        <v>1583</v>
      </c>
      <c r="C13" s="33" t="str">
        <f>IF(COUNTIFS('EXPENSES MASTER'!I2:I532,"&lt;&gt;",'EXPENSES MASTER'!I2:I532,"&lt;&gt;Si",'EXPENSES MASTER'!I2:I532,"&lt;&gt;No")=0,"✅","❌")</f>
        <v>✅</v>
      </c>
      <c r="D13" s="34" t="str">
        <f>"Invalid Amimi? values: "&amp;COUNTIFS('EXPENSES MASTER'!I2:I532,"&lt;&gt;",'EXPENSES MASTER'!I2:I532,"&lt;&gt;Si",'EXPENSES MASTER'!I2:I532,"&lt;&gt;No")</f>
        <v>Invalid Amimi? values: 0</v>
      </c>
      <c r="E13" s="29"/>
    </row>
    <row r="14">
      <c r="A14" s="29"/>
      <c r="B14" s="30" t="s">
        <v>1584</v>
      </c>
      <c r="C14" s="33" t="str">
        <f>IF(COUNTIFS('EXPENSES MASTER'!G2:G532,"&lt;&gt;",'EXPENSES MASTER'!G2:G532,"&lt;&gt;COGS",'EXPENSES MASTER'!G2:G532,"&lt;&gt;LOGISTICA",'EXPENSES MASTER'!G2:G532,"&lt;&gt;MARKETING",'EXPENSES MASTER'!G2:G532,"&lt;&gt;OPEX",'EXPENSES MASTER'!G2:G532,"&lt;&gt;PACKAGING",'EXPENSES MASTER'!G2:G532,"&lt;&gt;SALARI",'EXPENSES MASTER'!G2:G532,"&lt;&gt;TASSE")=0,"✅","❌")</f>
        <v>✅</v>
      </c>
      <c r="D14" s="34" t="str">
        <f>"Invalid CATEGORIA values: "&amp;COUNTIFS('EXPENSES MASTER'!G2:G532,"&lt;&gt;",'EXPENSES MASTER'!G2:G532,"&lt;&gt;COGS",'EXPENSES MASTER'!G2:G532,"&lt;&gt;LOGISTICA",'EXPENSES MASTER'!G2:G532,"&lt;&gt;MARKETING",'EXPENSES MASTER'!G2:G532,"&lt;&gt;OPEX",'EXPENSES MASTER'!G2:G532,"&lt;&gt;PACKAGING",'EXPENSES MASTER'!G2:G532,"&lt;&gt;SALARI",'EXPENSES MASTER'!G2:G532,"&lt;&gt;TASSE")</f>
        <v>Invalid CATEGORIA values: 0</v>
      </c>
      <c r="E14" s="29"/>
    </row>
    <row r="15">
      <c r="A15" s="29"/>
      <c r="B15" s="30" t="s">
        <v>1585</v>
      </c>
      <c r="C15" s="33" t="str">
        <f>IF(COUNTIFS(ACQUISTI!D2:D615,"&lt;&gt;",ACQUISTI!D2:D615,"&lt;&gt;Prodotto Finito",ACQUISTI!D2:D615,"&lt;&gt;Materia Prima")=0,"✅","❌")</f>
        <v>✅</v>
      </c>
      <c r="D15" s="34" t="str">
        <f>"Invalid Tipologia: "&amp;COUNTIFS(ACQUISTI!D2:D615,"&lt;&gt;",ACQUISTI!D2:D615,"&lt;&gt;Prodotto Finito",ACQUISTI!D2:D615,"&lt;&gt;Materia Prima")</f>
        <v>Invalid Tipologia: 0</v>
      </c>
      <c r="E15" s="29"/>
    </row>
    <row r="16">
      <c r="A16" s="29"/>
      <c r="B16" s="30" t="s">
        <v>1586</v>
      </c>
      <c r="C16" s="33" t="str">
        <f>IF(COUNTIFS('EXPENSES MASTER'!A2:A532,"&lt;&gt;",'EXPENSES MASTER'!G2:G532,"")=0,"✅","❌")</f>
        <v>✅</v>
      </c>
      <c r="D16" s="34" t="str">
        <f>"Expenses missing CATEGORIA: "&amp;COUNTIFS('EXPENSES MASTER'!A2:A532,"&lt;&gt;",'EXPENSES MASTER'!G2:G532,"")</f>
        <v>Expenses missing CATEGORIA: 0</v>
      </c>
      <c r="E16" s="29"/>
    </row>
    <row r="17">
      <c r="A17" s="38" t="s">
        <v>1587</v>
      </c>
      <c r="B17" s="36"/>
      <c r="C17" s="33"/>
      <c r="D17" s="34"/>
      <c r="E17" s="29"/>
    </row>
    <row r="18">
      <c r="A18" s="29"/>
      <c r="B18" s="30" t="s">
        <v>1588</v>
      </c>
      <c r="C18" s="33" t="str">
        <f>IF(SUMPRODUCT((CE_AMIMI!G28:R28&lt;&gt;0)*1)&gt;0,"✅","❌")</f>
        <v>✅</v>
      </c>
      <c r="D18" s="34" t="str">
        <f>"Months with revenue (Fatturato Lordo row 24): "&amp;SUMPRODUCT((CE_AMIMI!G28:R28&lt;&gt;0)*1)&amp;" of 12"</f>
        <v>Months with revenue (Fatturato Lordo row 24): 6 of 12</v>
      </c>
      <c r="E18" s="29"/>
    </row>
    <row r="19">
      <c r="A19" s="29"/>
      <c r="B19" s="30" t="s">
        <v>1589</v>
      </c>
      <c r="C19" s="33" t="str">
        <f>IF(SUMPRODUCT((CE_AMIMI!G31:R31&lt;&gt;0)*1)&gt;0,"✅","❌")</f>
        <v>✅</v>
      </c>
      <c r="D19" s="34" t="str">
        <f>"Months with COGS (row 27): "&amp;SUMPRODUCT((CE_AMIMI!G31:R31&lt;&gt;0)*1)&amp;" of 12"</f>
        <v>Months with COGS (row 27): 6 of 12</v>
      </c>
      <c r="E19" s="29"/>
    </row>
    <row r="20">
      <c r="A20" s="29"/>
      <c r="B20" s="30" t="s">
        <v>1590</v>
      </c>
      <c r="C20" s="33" t="str">
        <f>IF(COUNTIF(GIFT_OFFLINE!A2:A201,2025)=0,"✅","❌")</f>
        <v>✅</v>
      </c>
      <c r="D20" s="34" t="str">
        <f>"GIFT_OFFLINE rows with YEAR=2025: "&amp;COUNTIF(GIFT_OFFLINE!A2:A201,2025)</f>
        <v>GIFT_OFFLINE rows with YEAR=2025: 0</v>
      </c>
      <c r="E20" s="29"/>
    </row>
    <row r="21">
      <c r="A21" s="29"/>
      <c r="B21" s="30" t="s">
        <v>1591</v>
      </c>
      <c r="C21" s="31" t="s">
        <v>1575</v>
      </c>
      <c r="D21" s="34" t="str">
        <f>"ACQUISTI: "&amp;COUNTA(ACQUISTI!A2:A615)&amp;" | EXPENSES: "&amp;COUNTA('EXPENSES MASTER'!A2:A532)&amp;" | Shopify: "&amp;COUNTA('DB Shopify'!A2:A500)&amp;" | Qromo: "&amp;COUNTA(DB_QROMO!A2:A594)&amp;" | Gifts: "&amp;COUNTA(GIFT_OFFLINE!A2:A201)</f>
        <v>ACQUISTI: 231 | EXPENSES: 278 | Shopify: 466 | Qromo: 149 | Gifts: 125</v>
      </c>
      <c r="E21" s="29"/>
    </row>
    <row r="22">
      <c r="A22" s="29"/>
      <c r="B22" s="29"/>
      <c r="C22" s="33"/>
      <c r="D22" s="34"/>
      <c r="E22" s="29"/>
    </row>
    <row r="23">
      <c r="A23" s="39" t="s">
        <v>1592</v>
      </c>
      <c r="B23" s="36"/>
      <c r="C23" s="33" t="str">
        <f>IF(COUNTIF(C3:C21,"❌")=0,"✅","❌")</f>
        <v>✅</v>
      </c>
      <c r="D23" s="34" t="str">
        <f>IF(C23="✅","All checks passed!","⚠️ "&amp;COUNTIF(C3:C21,"❌")&amp;" check(s) need attention - scroll up to see ❌ items")</f>
        <v>All checks passed!</v>
      </c>
      <c r="E23" s="29"/>
    </row>
    <row r="24">
      <c r="A24" s="40" t="s">
        <v>1593</v>
      </c>
      <c r="B24" s="36"/>
      <c r="C24" s="33"/>
      <c r="D24" s="41">
        <f>NOW()</f>
        <v>46205.62163</v>
      </c>
      <c r="E24" s="29"/>
    </row>
  </sheetData>
  <mergeCells count="6">
    <mergeCell ref="A2:B2"/>
    <mergeCell ref="A7:B7"/>
    <mergeCell ref="A12:B12"/>
    <mergeCell ref="A17:B17"/>
    <mergeCell ref="A23:B23"/>
    <mergeCell ref="A24:B24"/>
  </mergeCells>
  <conditionalFormatting sqref="C3:C21">
    <cfRule type="cellIs" dxfId="0" priority="1" stopIfTrue="1" operator="equal">
      <formula>"✅"</formula>
    </cfRule>
  </conditionalFormatting>
  <conditionalFormatting sqref="C3:C21">
    <cfRule type="cellIs" dxfId="1" priority="2" stopIfTrue="1" operator="equal">
      <formula>"❌"</formula>
    </cfRule>
  </conditionalFormatting>
  <conditionalFormatting sqref="C3:C21">
    <cfRule type="cellIs" dxfId="2" priority="3" stopIfTrue="1" operator="equal">
      <formula>"ℹ️"</formula>
    </cfRule>
  </conditionalFormatting>
  <conditionalFormatting sqref="C23">
    <cfRule type="cellIs" dxfId="0" priority="4" stopIfTrue="1" operator="equal">
      <formula>"✅"</formula>
    </cfRule>
  </conditionalFormatting>
  <conditionalFormatting sqref="C23">
    <cfRule type="cellIs" dxfId="1" priority="5" stopIfTrue="1" operator="equal">
      <formula>"❌"</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2.63" defaultRowHeight="15.0" outlineLevelCol="1" outlineLevelRow="1"/>
  <cols>
    <col customWidth="1" hidden="1" min="1" max="1" width="13.13"/>
    <col customWidth="1" min="2" max="2" width="12.25"/>
    <col customWidth="1" min="3" max="4" width="15.38"/>
    <col customWidth="1" min="5" max="5" width="20.75"/>
    <col customWidth="1" min="6" max="6" width="28.13"/>
    <col customWidth="1" min="7" max="18" width="12.5" outlineLevel="1"/>
    <col customWidth="1" min="19" max="19" width="2.0" outlineLevel="1"/>
    <col customWidth="1" min="20" max="20" width="19.88"/>
  </cols>
  <sheetData>
    <row r="1">
      <c r="A1" s="42"/>
      <c r="B1" s="43" t="s">
        <v>1594</v>
      </c>
      <c r="C1" s="44"/>
      <c r="D1" s="44"/>
      <c r="E1" s="44"/>
      <c r="F1" s="44"/>
      <c r="G1" s="44" t="str">
        <f t="shared" ref="G1:R1" si="1">G2&amp;G3</f>
        <v>20261</v>
      </c>
      <c r="H1" s="44" t="str">
        <f t="shared" si="1"/>
        <v>20262</v>
      </c>
      <c r="I1" s="44" t="str">
        <f t="shared" si="1"/>
        <v>20263</v>
      </c>
      <c r="J1" s="44" t="str">
        <f t="shared" si="1"/>
        <v>20264</v>
      </c>
      <c r="K1" s="44" t="str">
        <f t="shared" si="1"/>
        <v>20265</v>
      </c>
      <c r="L1" s="44" t="str">
        <f t="shared" si="1"/>
        <v>20266</v>
      </c>
      <c r="M1" s="44" t="str">
        <f t="shared" si="1"/>
        <v>20267</v>
      </c>
      <c r="N1" s="44" t="str">
        <f t="shared" si="1"/>
        <v>20268</v>
      </c>
      <c r="O1" s="44" t="str">
        <f t="shared" si="1"/>
        <v>20269</v>
      </c>
      <c r="P1" s="44" t="str">
        <f t="shared" si="1"/>
        <v>202610</v>
      </c>
      <c r="Q1" s="44" t="str">
        <f t="shared" si="1"/>
        <v>202611</v>
      </c>
      <c r="R1" s="44" t="str">
        <f t="shared" si="1"/>
        <v>202612</v>
      </c>
      <c r="S1" s="45"/>
      <c r="T1" s="45"/>
    </row>
    <row r="2">
      <c r="A2" s="45"/>
      <c r="B2" s="46"/>
      <c r="C2" s="45"/>
      <c r="D2" s="45"/>
      <c r="E2" s="45"/>
      <c r="F2" s="47" t="s">
        <v>1595</v>
      </c>
      <c r="G2" s="48">
        <v>2026.0</v>
      </c>
      <c r="H2" s="48">
        <v>2026.0</v>
      </c>
      <c r="I2" s="48">
        <v>2026.0</v>
      </c>
      <c r="J2" s="48">
        <v>2026.0</v>
      </c>
      <c r="K2" s="48">
        <v>2026.0</v>
      </c>
      <c r="L2" s="48">
        <v>2026.0</v>
      </c>
      <c r="M2" s="48">
        <v>2026.0</v>
      </c>
      <c r="N2" s="48">
        <v>2026.0</v>
      </c>
      <c r="O2" s="48">
        <v>2026.0</v>
      </c>
      <c r="P2" s="48">
        <v>2026.0</v>
      </c>
      <c r="Q2" s="48">
        <v>2026.0</v>
      </c>
      <c r="R2" s="48">
        <v>2026.0</v>
      </c>
      <c r="S2" s="45"/>
      <c r="T2" s="45"/>
    </row>
    <row r="3">
      <c r="A3" s="45"/>
      <c r="B3" s="46"/>
      <c r="C3" s="45"/>
      <c r="D3" s="45"/>
      <c r="E3" s="45"/>
      <c r="F3" s="47" t="s">
        <v>1596</v>
      </c>
      <c r="G3" s="48">
        <v>1.0</v>
      </c>
      <c r="H3" s="48">
        <v>2.0</v>
      </c>
      <c r="I3" s="48">
        <v>3.0</v>
      </c>
      <c r="J3" s="48">
        <v>4.0</v>
      </c>
      <c r="K3" s="48">
        <v>5.0</v>
      </c>
      <c r="L3" s="48">
        <v>6.0</v>
      </c>
      <c r="M3" s="48">
        <v>7.0</v>
      </c>
      <c r="N3" s="48">
        <v>8.0</v>
      </c>
      <c r="O3" s="48">
        <v>9.0</v>
      </c>
      <c r="P3" s="48">
        <v>10.0</v>
      </c>
      <c r="Q3" s="48">
        <v>11.0</v>
      </c>
      <c r="R3" s="48">
        <v>12.0</v>
      </c>
      <c r="S3" s="45"/>
      <c r="T3" s="45"/>
    </row>
    <row r="4">
      <c r="A4" s="45"/>
      <c r="B4" s="46"/>
      <c r="C4" s="45"/>
      <c r="D4" s="45"/>
      <c r="E4" s="45"/>
      <c r="F4" s="49" t="s">
        <v>1597</v>
      </c>
      <c r="G4" s="48">
        <v>1.0</v>
      </c>
      <c r="H4" s="48">
        <v>1.0</v>
      </c>
      <c r="I4" s="48">
        <v>1.0</v>
      </c>
      <c r="J4" s="48">
        <v>2.0</v>
      </c>
      <c r="K4" s="48">
        <v>2.0</v>
      </c>
      <c r="L4" s="48">
        <v>2.0</v>
      </c>
      <c r="M4" s="48">
        <v>3.0</v>
      </c>
      <c r="N4" s="48">
        <v>3.0</v>
      </c>
      <c r="O4" s="48">
        <v>3.0</v>
      </c>
      <c r="P4" s="48">
        <v>4.0</v>
      </c>
      <c r="Q4" s="48">
        <v>4.0</v>
      </c>
      <c r="R4" s="48">
        <v>4.0</v>
      </c>
      <c r="S4" s="45"/>
      <c r="T4" s="45"/>
    </row>
    <row r="5">
      <c r="A5" s="45"/>
      <c r="B5" s="46"/>
      <c r="C5" s="45"/>
      <c r="D5" s="45"/>
      <c r="E5" s="45"/>
      <c r="F5" s="49" t="s">
        <v>1598</v>
      </c>
      <c r="G5" s="48" t="s">
        <v>1598</v>
      </c>
      <c r="H5" s="48" t="s">
        <v>1598</v>
      </c>
      <c r="I5" s="48" t="s">
        <v>1598</v>
      </c>
      <c r="J5" s="48" t="s">
        <v>1598</v>
      </c>
      <c r="K5" s="48" t="s">
        <v>1598</v>
      </c>
      <c r="L5" s="48" t="s">
        <v>1598</v>
      </c>
      <c r="M5" s="48" t="s">
        <v>1598</v>
      </c>
      <c r="N5" s="48" t="s">
        <v>1598</v>
      </c>
      <c r="O5" s="48" t="s">
        <v>1598</v>
      </c>
      <c r="P5" s="48" t="s">
        <v>1598</v>
      </c>
      <c r="Q5" s="48"/>
      <c r="R5" s="48"/>
      <c r="S5" s="45"/>
      <c r="T5" s="45"/>
    </row>
    <row r="6" ht="24.0" customHeight="1">
      <c r="A6" s="50"/>
      <c r="B6" s="51"/>
      <c r="C6" s="52" t="s">
        <v>1599</v>
      </c>
      <c r="D6" s="52" t="s">
        <v>1600</v>
      </c>
      <c r="E6" s="53" t="s">
        <v>1601</v>
      </c>
      <c r="F6" s="54" t="s">
        <v>1602</v>
      </c>
      <c r="G6" s="55" t="s">
        <v>1603</v>
      </c>
      <c r="H6" s="55" t="s">
        <v>1604</v>
      </c>
      <c r="I6" s="55" t="s">
        <v>1605</v>
      </c>
      <c r="J6" s="55" t="s">
        <v>1606</v>
      </c>
      <c r="K6" s="55" t="s">
        <v>1607</v>
      </c>
      <c r="L6" s="55" t="s">
        <v>1608</v>
      </c>
      <c r="M6" s="55" t="s">
        <v>1609</v>
      </c>
      <c r="N6" s="55" t="s">
        <v>1610</v>
      </c>
      <c r="O6" s="55" t="s">
        <v>1611</v>
      </c>
      <c r="P6" s="55" t="s">
        <v>1612</v>
      </c>
      <c r="Q6" s="55" t="s">
        <v>1613</v>
      </c>
      <c r="R6" s="55" t="s">
        <v>1614</v>
      </c>
      <c r="S6" s="50"/>
      <c r="T6" s="56" t="s">
        <v>1615</v>
      </c>
    </row>
    <row r="7">
      <c r="A7" s="45"/>
      <c r="B7" s="46"/>
      <c r="C7" s="45"/>
      <c r="D7" s="45"/>
      <c r="E7" s="45"/>
      <c r="F7" s="45"/>
      <c r="G7" s="45"/>
      <c r="H7" s="45"/>
      <c r="I7" s="45"/>
      <c r="J7" s="45"/>
      <c r="K7" s="45"/>
      <c r="L7" s="45"/>
      <c r="M7" s="45"/>
      <c r="N7" s="45"/>
      <c r="O7" s="45"/>
      <c r="P7" s="45"/>
      <c r="Q7" s="45"/>
      <c r="R7" s="45"/>
      <c r="S7" s="45"/>
      <c r="T7" s="45"/>
    </row>
    <row r="8">
      <c r="A8" s="57">
        <v>15.0</v>
      </c>
      <c r="B8" s="46" t="str">
        <f t="shared" ref="B8:B22" si="2">E8&amp;F8</f>
        <v>OnlineOrdini</v>
      </c>
      <c r="C8" s="58" t="s">
        <v>1616</v>
      </c>
      <c r="D8" s="58" t="s">
        <v>1617</v>
      </c>
      <c r="E8" s="59" t="s">
        <v>1618</v>
      </c>
      <c r="F8" s="58" t="s">
        <v>1619</v>
      </c>
      <c r="G8" s="60">
        <v>49.0</v>
      </c>
      <c r="H8" s="61">
        <f>SUMIFS('DB Shopify'!$CE:$CE,'DB Shopify'!$CC:$CC,CE_TOTALE!H$2,'DB Shopify'!$CD:$CD,CE_TOTALE!H$3)+A8</f>
        <v>32</v>
      </c>
      <c r="I8" s="61">
        <f>SUMIFS('DB Shopify'!$CE:$CE,'DB Shopify'!$CC:$CC,CE_TOTALE!I$2,'DB Shopify'!$CD:$CD,CE_TOTALE!I$3)</f>
        <v>71</v>
      </c>
      <c r="J8" s="61">
        <f>SUMIFS('DB Shopify'!$CE:$CE,'DB Shopify'!$CC:$CC,CE_TOTALE!J$2,'DB Shopify'!$CD:$CD,CE_TOTALE!J$3)</f>
        <v>69</v>
      </c>
      <c r="K8" s="61">
        <f>SUMIFS('DB Shopify'!$CE:$CE,'DB Shopify'!$CC:$CC,CE_TOTALE!K$2,'DB Shopify'!$CD:$CD,CE_TOTALE!K$3)</f>
        <v>102</v>
      </c>
      <c r="L8" s="61">
        <f>SUMIFS('DB Shopify'!$CE:$CE,'DB Shopify'!$CC:$CC,CE_TOTALE!L$2,'DB Shopify'!$CD:$CD,CE_TOTALE!L$3)</f>
        <v>168</v>
      </c>
      <c r="M8" s="61">
        <f>SUMIFS('DB Shopify'!$CE:$CE,'DB Shopify'!$CC:$CC,CE_TOTALE!M$2,'DB Shopify'!$CD:$CD,CE_TOTALE!M$3)</f>
        <v>5</v>
      </c>
      <c r="N8" s="61">
        <f>SUMIFS('DB Shopify'!$CE:$CE,'DB Shopify'!$CC:$CC,CE_TOTALE!N$2,'DB Shopify'!$CD:$CD,CE_TOTALE!N$3)</f>
        <v>0</v>
      </c>
      <c r="O8" s="61">
        <f>SUMIFS('DB Shopify'!$CE:$CE,'DB Shopify'!$CC:$CC,CE_TOTALE!O$2,'DB Shopify'!$CD:$CD,CE_TOTALE!O$3)</f>
        <v>0</v>
      </c>
      <c r="P8" s="61">
        <f>SUMIFS('DB Shopify'!$CE:$CE,'DB Shopify'!$CC:$CC,CE_TOTALE!P$2,'DB Shopify'!$CD:$CD,CE_TOTALE!P$3)</f>
        <v>0</v>
      </c>
      <c r="Q8" s="61">
        <f>SUMIFS('DB Shopify'!$CE:$CE,'DB Shopify'!$CC:$CC,CE_TOTALE!Q$2,'DB Shopify'!$CD:$CD,CE_TOTALE!Q$3)</f>
        <v>0</v>
      </c>
      <c r="R8" s="61">
        <f>SUMIFS('DB Shopify'!$CE:$CE,'DB Shopify'!$CC:$CC,CE_TOTALE!R$2,'DB Shopify'!$CD:$CD,CE_TOTALE!R$3)</f>
        <v>0</v>
      </c>
      <c r="S8" s="45"/>
      <c r="T8" s="61">
        <f>SUM(G8:R8)</f>
        <v>496</v>
      </c>
    </row>
    <row r="9" outlineLevel="1">
      <c r="A9" s="62"/>
      <c r="B9" s="46" t="str">
        <f t="shared" si="2"/>
        <v>OnlinePezzi/Ordine</v>
      </c>
      <c r="C9" s="63"/>
      <c r="D9" s="63"/>
      <c r="E9" s="59" t="s">
        <v>1618</v>
      </c>
      <c r="F9" s="64" t="s">
        <v>1620</v>
      </c>
      <c r="G9" s="65">
        <v>1.2</v>
      </c>
      <c r="H9" s="66">
        <f t="shared" ref="H9:R9" si="3">iferror(H10/H8,0)</f>
        <v>1.0625</v>
      </c>
      <c r="I9" s="66">
        <f t="shared" si="3"/>
        <v>1</v>
      </c>
      <c r="J9" s="66">
        <f t="shared" si="3"/>
        <v>1.072463768</v>
      </c>
      <c r="K9" s="66">
        <f t="shared" si="3"/>
        <v>1.078431373</v>
      </c>
      <c r="L9" s="66">
        <f t="shared" si="3"/>
        <v>1.095238095</v>
      </c>
      <c r="M9" s="66">
        <f t="shared" si="3"/>
        <v>1</v>
      </c>
      <c r="N9" s="66">
        <f t="shared" si="3"/>
        <v>0</v>
      </c>
      <c r="O9" s="66">
        <f t="shared" si="3"/>
        <v>0</v>
      </c>
      <c r="P9" s="66">
        <f t="shared" si="3"/>
        <v>0</v>
      </c>
      <c r="Q9" s="66">
        <f t="shared" si="3"/>
        <v>0</v>
      </c>
      <c r="R9" s="66">
        <f t="shared" si="3"/>
        <v>0</v>
      </c>
      <c r="S9" s="45"/>
      <c r="T9" s="67">
        <f>T10/T8</f>
        <v>1.080645161</v>
      </c>
    </row>
    <row r="10" outlineLevel="1">
      <c r="A10" s="57">
        <v>17.0</v>
      </c>
      <c r="B10" s="46" t="str">
        <f t="shared" si="2"/>
        <v>OnlinePezzi</v>
      </c>
      <c r="C10" s="63"/>
      <c r="D10" s="63"/>
      <c r="E10" s="59" t="s">
        <v>1618</v>
      </c>
      <c r="F10" s="68" t="s">
        <v>1621</v>
      </c>
      <c r="G10" s="60">
        <v>58.0</v>
      </c>
      <c r="H10" s="61">
        <f>SUMIFS('DB Shopify'!$CF:$CF,'DB Shopify'!$CC:$CC,CE_TOTALE!H$2,'DB Shopify'!$CD:$CD,CE_TOTALE!H$3)+A10</f>
        <v>34</v>
      </c>
      <c r="I10" s="61">
        <f>SUMIFS('DB Shopify'!$CF:$CF,'DB Shopify'!$CC:$CC,CE_TOTALE!I$2,'DB Shopify'!$CD:$CD,CE_TOTALE!I$3)</f>
        <v>71</v>
      </c>
      <c r="J10" s="61">
        <f>SUMIFS('DB Shopify'!$CF:$CF,'DB Shopify'!$CC:$CC,CE_TOTALE!J$2,'DB Shopify'!$CD:$CD,CE_TOTALE!J$3)</f>
        <v>74</v>
      </c>
      <c r="K10" s="61">
        <f>SUMIFS('DB Shopify'!$CF:$CF,'DB Shopify'!$CC:$CC,CE_TOTALE!K$2,'DB Shopify'!$CD:$CD,CE_TOTALE!K$3)</f>
        <v>110</v>
      </c>
      <c r="L10" s="61">
        <f>SUMIFS('DB Shopify'!$CF:$CF,'DB Shopify'!$CC:$CC,CE_TOTALE!L$2,'DB Shopify'!$CD:$CD,CE_TOTALE!L$3)</f>
        <v>184</v>
      </c>
      <c r="M10" s="61">
        <f>SUMIFS('DB Shopify'!$CF:$CF,'DB Shopify'!$CC:$CC,CE_TOTALE!M$2,'DB Shopify'!$CD:$CD,CE_TOTALE!M$3)</f>
        <v>5</v>
      </c>
      <c r="N10" s="61">
        <f>SUMIFS('DB Shopify'!$CF:$CF,'DB Shopify'!$CC:$CC,CE_TOTALE!N$2,'DB Shopify'!$CD:$CD,CE_TOTALE!N$3)</f>
        <v>0</v>
      </c>
      <c r="O10" s="61">
        <f>SUMIFS('DB Shopify'!$CF:$CF,'DB Shopify'!$CC:$CC,CE_TOTALE!O$2,'DB Shopify'!$CD:$CD,CE_TOTALE!O$3)</f>
        <v>0</v>
      </c>
      <c r="P10" s="61">
        <f>SUMIFS('DB Shopify'!$CF:$CF,'DB Shopify'!$CC:$CC,CE_TOTALE!P$2,'DB Shopify'!$CD:$CD,CE_TOTALE!P$3)</f>
        <v>0</v>
      </c>
      <c r="Q10" s="61">
        <f>SUMIFS('DB Shopify'!$CF:$CF,'DB Shopify'!$CC:$CC,CE_TOTALE!Q$2,'DB Shopify'!$CD:$CD,CE_TOTALE!Q$3)</f>
        <v>0</v>
      </c>
      <c r="R10" s="61">
        <f>SUMIFS('DB Shopify'!$CF:$CF,'DB Shopify'!$CC:$CC,CE_TOTALE!R$2,'DB Shopify'!$CD:$CD,CE_TOTALE!R$3)</f>
        <v>0</v>
      </c>
      <c r="S10" s="45"/>
      <c r="T10" s="61">
        <f>SUM(G10:R10)</f>
        <v>536</v>
      </c>
    </row>
    <row r="11">
      <c r="A11" s="69">
        <v>124.0</v>
      </c>
      <c r="B11" s="46" t="str">
        <f t="shared" si="2"/>
        <v>OnlineCarrello medio</v>
      </c>
      <c r="C11" s="58" t="s">
        <v>1616</v>
      </c>
      <c r="D11" s="58" t="s">
        <v>1617</v>
      </c>
      <c r="E11" s="59" t="s">
        <v>1618</v>
      </c>
      <c r="F11" s="58" t="s">
        <v>1622</v>
      </c>
      <c r="G11" s="60">
        <v>119.0</v>
      </c>
      <c r="H11" s="61">
        <f t="shared" ref="H11:R11" si="4">iferror(H16/H8,0)</f>
        <v>114.91875</v>
      </c>
      <c r="I11" s="61">
        <f t="shared" si="4"/>
        <v>121.4859155</v>
      </c>
      <c r="J11" s="61">
        <f t="shared" si="4"/>
        <v>115.4304348</v>
      </c>
      <c r="K11" s="61">
        <f t="shared" si="4"/>
        <v>119.0303922</v>
      </c>
      <c r="L11" s="61">
        <f t="shared" si="4"/>
        <v>104.7311905</v>
      </c>
      <c r="M11" s="61">
        <f t="shared" si="4"/>
        <v>104.16</v>
      </c>
      <c r="N11" s="61">
        <f t="shared" si="4"/>
        <v>0</v>
      </c>
      <c r="O11" s="61">
        <f t="shared" si="4"/>
        <v>0</v>
      </c>
      <c r="P11" s="61">
        <f t="shared" si="4"/>
        <v>0</v>
      </c>
      <c r="Q11" s="61">
        <f t="shared" si="4"/>
        <v>0</v>
      </c>
      <c r="R11" s="61">
        <f t="shared" si="4"/>
        <v>0</v>
      </c>
      <c r="S11" s="45"/>
      <c r="T11" s="70">
        <f>T12/T8</f>
        <v>122.4866935</v>
      </c>
    </row>
    <row r="12">
      <c r="A12" s="69">
        <v>1856.0</v>
      </c>
      <c r="B12" s="46" t="str">
        <f t="shared" si="2"/>
        <v>OnlineVendite</v>
      </c>
      <c r="C12" s="58" t="s">
        <v>1616</v>
      </c>
      <c r="D12" s="58" t="s">
        <v>1617</v>
      </c>
      <c r="E12" s="59" t="s">
        <v>1618</v>
      </c>
      <c r="F12" s="58" t="s">
        <v>1623</v>
      </c>
      <c r="G12" s="71">
        <v>5852.0</v>
      </c>
      <c r="H12" s="72">
        <f>SUMIFS('DB Shopify'!$S:$S,'DB Shopify'!$CC:$CC,CE_TOTALE!H$2,'DB Shopify'!$CD:$CD,CE_TOTALE!H$3)+A12</f>
        <v>4201</v>
      </c>
      <c r="I12" s="72">
        <f>SUMIFS('DB Shopify'!$S:$S,'DB Shopify'!$CC:$CC,CE_TOTALE!I$2,'DB Shopify'!$CD:$CD,CE_TOTALE!I$3)</f>
        <v>9463</v>
      </c>
      <c r="J12" s="72">
        <f>SUMIFS('DB Shopify'!$S:$S,'DB Shopify'!$CC:$CC,CE_TOTALE!J$2,'DB Shopify'!$CD:$CD,CE_TOTALE!J$3)</f>
        <v>8632</v>
      </c>
      <c r="K12" s="72">
        <f>SUMIFS('DB Shopify'!$S:$S,'DB Shopify'!$CC:$CC,CE_TOTALE!K$2,'DB Shopify'!$CD:$CD,CE_TOTALE!K$3)</f>
        <v>12907</v>
      </c>
      <c r="L12" s="72">
        <f>SUMIFS('DB Shopify'!$S:$S,'DB Shopify'!$CC:$CC,CE_TOTALE!L$2,'DB Shopify'!$CD:$CD,CE_TOTALE!L$3)</f>
        <v>19138.4</v>
      </c>
      <c r="M12" s="72">
        <f>SUMIFS('DB Shopify'!$S:$S,'DB Shopify'!$CC:$CC,CE_TOTALE!M$2,'DB Shopify'!$CD:$CD,CE_TOTALE!M$3)</f>
        <v>560</v>
      </c>
      <c r="N12" s="72">
        <f>SUMIFS('DB Shopify'!$S:$S,'DB Shopify'!$CC:$CC,CE_TOTALE!N$2,'DB Shopify'!$CD:$CD,CE_TOTALE!N$3)</f>
        <v>0</v>
      </c>
      <c r="O12" s="72">
        <f>SUMIFS('DB Shopify'!$S:$S,'DB Shopify'!$CC:$CC,CE_TOTALE!O$2,'DB Shopify'!$CD:$CD,CE_TOTALE!O$3)</f>
        <v>0</v>
      </c>
      <c r="P12" s="72">
        <f>SUMIFS('DB Shopify'!$S:$S,'DB Shopify'!$CC:$CC,CE_TOTALE!P$2,'DB Shopify'!$CD:$CD,CE_TOTALE!P$3)</f>
        <v>0</v>
      </c>
      <c r="Q12" s="72">
        <f>SUMIFS('DB Shopify'!$S:$S,'DB Shopify'!$CC:$CC,CE_TOTALE!Q$2,'DB Shopify'!$CD:$CD,CE_TOTALE!Q$3)</f>
        <v>0</v>
      </c>
      <c r="R12" s="72">
        <f>SUMIFS('DB Shopify'!$S:$S,'DB Shopify'!$CC:$CC,CE_TOTALE!R$2,'DB Shopify'!$CD:$CD,CE_TOTALE!R$3)</f>
        <v>0</v>
      </c>
      <c r="S12" s="45"/>
      <c r="T12" s="72">
        <f t="shared" ref="T12:T17" si="5">SUM(G12:R12)</f>
        <v>60753.4</v>
      </c>
    </row>
    <row r="13">
      <c r="A13" s="69">
        <v>-419.0</v>
      </c>
      <c r="B13" s="46" t="str">
        <f t="shared" si="2"/>
        <v>OnlineSconti</v>
      </c>
      <c r="C13" s="58" t="s">
        <v>1616</v>
      </c>
      <c r="D13" s="58" t="s">
        <v>1617</v>
      </c>
      <c r="E13" s="59" t="s">
        <v>1618</v>
      </c>
      <c r="F13" s="58" t="s">
        <v>1624</v>
      </c>
      <c r="G13" s="71">
        <v>-1012.0</v>
      </c>
      <c r="H13" s="72">
        <f>-SUMIFS('DB Shopify'!$CK:$CK,'DB Shopify'!$CC:$CC,CE_TOTALE!H$2,'DB Shopify'!$CD:$CD,CE_TOTALE!H$3)+A13</f>
        <v>-544</v>
      </c>
      <c r="I13" s="72">
        <f>-SUMIFS('DB Shopify'!$CK:$CK,'DB Shopify'!$CC:$CC,CE_TOTALE!I$2,'DB Shopify'!$CD:$CD,CE_TOTALE!I$3)</f>
        <v>-547</v>
      </c>
      <c r="J13" s="72">
        <f>-SUMIFS('DB Shopify'!$CK:$CK,'DB Shopify'!$CC:$CC,CE_TOTALE!J$2,'DB Shopify'!$CD:$CD,CE_TOTALE!J$3)</f>
        <v>-457.5</v>
      </c>
      <c r="K13" s="72">
        <f>-SUMIFS('DB Shopify'!$CK:$CK,'DB Shopify'!$CC:$CC,CE_TOTALE!K$2,'DB Shopify'!$CD:$CD,CE_TOTALE!K$3)</f>
        <v>-790</v>
      </c>
      <c r="L13" s="72">
        <f>-SUMIFS('DB Shopify'!$CK:$CK,'DB Shopify'!$CC:$CC,CE_TOTALE!L$2,'DB Shopify'!$CD:$CD,CE_TOTALE!L$3)</f>
        <v>-1294.14</v>
      </c>
      <c r="M13" s="72">
        <f>-SUMIFS('DB Shopify'!$CK:$CK,'DB Shopify'!$CC:$CC,CE_TOTALE!M$2,'DB Shopify'!$CD:$CD,CE_TOTALE!M$3)</f>
        <v>-32</v>
      </c>
      <c r="N13" s="72">
        <f>-SUMIFS('DB Shopify'!$CK:$CK,'DB Shopify'!$CC:$CC,CE_TOTALE!N$2,'DB Shopify'!$CD:$CD,CE_TOTALE!N$3)</f>
        <v>0</v>
      </c>
      <c r="O13" s="72">
        <f>-SUMIFS('DB Shopify'!$CK:$CK,'DB Shopify'!$CC:$CC,CE_TOTALE!O$2,'DB Shopify'!$CD:$CD,CE_TOTALE!O$3)</f>
        <v>0</v>
      </c>
      <c r="P13" s="72">
        <f>-SUMIFS('DB Shopify'!$CK:$CK,'DB Shopify'!$CC:$CC,CE_TOTALE!P$2,'DB Shopify'!$CD:$CD,CE_TOTALE!P$3)</f>
        <v>0</v>
      </c>
      <c r="Q13" s="72">
        <f>-SUMIFS('DB Shopify'!$CK:$CK,'DB Shopify'!$CC:$CC,CE_TOTALE!Q$2,'DB Shopify'!$CD:$CD,CE_TOTALE!Q$3)</f>
        <v>0</v>
      </c>
      <c r="R13" s="72">
        <f>-SUMIFS('DB Shopify'!$CK:$CK,'DB Shopify'!$CC:$CC,CE_TOTALE!R$2,'DB Shopify'!$CD:$CD,CE_TOTALE!R$3)</f>
        <v>0</v>
      </c>
      <c r="S13" s="45"/>
      <c r="T13" s="72">
        <f t="shared" si="5"/>
        <v>-4676.64</v>
      </c>
    </row>
    <row r="14">
      <c r="A14" s="69">
        <v>-35.0</v>
      </c>
      <c r="B14" s="46" t="str">
        <f t="shared" si="2"/>
        <v>OnlineFree Shipping</v>
      </c>
      <c r="C14" s="58" t="s">
        <v>1616</v>
      </c>
      <c r="D14" s="58" t="s">
        <v>1617</v>
      </c>
      <c r="E14" s="59" t="s">
        <v>1618</v>
      </c>
      <c r="F14" s="58" t="s">
        <v>1625</v>
      </c>
      <c r="G14" s="71">
        <v>-160.0</v>
      </c>
      <c r="H14" s="72">
        <f>SUMIFS('DB Shopify'!$CG:$CG,'DB Shopify'!$CC:$CC,CE_TOTALE!H$2,'DB Shopify'!$CD:$CD,CE_TOTALE!H$3)+A14</f>
        <v>-90</v>
      </c>
      <c r="I14" s="72">
        <f>SUMIFS('DB Shopify'!$CG:$CG,'DB Shopify'!$CC:$CC,CE_TOTALE!I$2,'DB Shopify'!$CD:$CD,CE_TOTALE!I$3)</f>
        <v>-325</v>
      </c>
      <c r="J14" s="72">
        <f>SUMIFS('DB Shopify'!$CG:$CG,'DB Shopify'!$CC:$CC,CE_TOTALE!J$2,'DB Shopify'!$CD:$CD,CE_TOTALE!J$3)</f>
        <v>-280</v>
      </c>
      <c r="K14" s="72">
        <f>SUMIFS('DB Shopify'!$CG:$CG,'DB Shopify'!$CC:$CC,CE_TOTALE!K$2,'DB Shopify'!$CD:$CD,CE_TOTALE!K$3)</f>
        <v>-355</v>
      </c>
      <c r="L14" s="72">
        <f>SUMIFS('DB Shopify'!$CG:$CG,'DB Shopify'!$CC:$CC,CE_TOTALE!L$2,'DB Shopify'!$CD:$CD,CE_TOTALE!L$3)</f>
        <v>-560</v>
      </c>
      <c r="M14" s="72">
        <f>SUMIFS('DB Shopify'!$CG:$CG,'DB Shopify'!$CC:$CC,CE_TOTALE!M$2,'DB Shopify'!$CD:$CD,CE_TOTALE!M$3)</f>
        <v>-15</v>
      </c>
      <c r="N14" s="72">
        <f>SUMIFS('DB Shopify'!$CG:$CG,'DB Shopify'!$CC:$CC,CE_TOTALE!N$2,'DB Shopify'!$CD:$CD,CE_TOTALE!N$3)</f>
        <v>0</v>
      </c>
      <c r="O14" s="72">
        <f>SUMIFS('DB Shopify'!$CG:$CG,'DB Shopify'!$CC:$CC,CE_TOTALE!O$2,'DB Shopify'!$CD:$CD,CE_TOTALE!O$3)</f>
        <v>0</v>
      </c>
      <c r="P14" s="72">
        <f>SUMIFS('DB Shopify'!$CG:$CG,'DB Shopify'!$CC:$CC,CE_TOTALE!P$2,'DB Shopify'!$CD:$CD,CE_TOTALE!P$3)</f>
        <v>0</v>
      </c>
      <c r="Q14" s="72">
        <f>SUMIFS('DB Shopify'!$CG:$CG,'DB Shopify'!$CC:$CC,CE_TOTALE!Q$2,'DB Shopify'!$CD:$CD,CE_TOTALE!Q$3)</f>
        <v>0</v>
      </c>
      <c r="R14" s="72">
        <f>SUMIFS('DB Shopify'!$CG:$CG,'DB Shopify'!$CC:$CC,CE_TOTALE!R$2,'DB Shopify'!$CD:$CD,CE_TOTALE!R$3)</f>
        <v>0</v>
      </c>
      <c r="S14" s="45"/>
      <c r="T14" s="72">
        <f t="shared" si="5"/>
        <v>-1785</v>
      </c>
    </row>
    <row r="15">
      <c r="A15" s="69">
        <v>69.0</v>
      </c>
      <c r="B15" s="46" t="str">
        <f t="shared" si="2"/>
        <v>OnlineSpedizioni</v>
      </c>
      <c r="C15" s="58" t="s">
        <v>1616</v>
      </c>
      <c r="D15" s="58" t="s">
        <v>1617</v>
      </c>
      <c r="E15" s="59" t="s">
        <v>1618</v>
      </c>
      <c r="F15" s="58" t="s">
        <v>1626</v>
      </c>
      <c r="G15" s="71">
        <v>222.0</v>
      </c>
      <c r="H15" s="72">
        <f>SUMIFS('DB Shopify'!$J:$J,'DB Shopify'!$CC:$CC,CE_TOTALE!H$2,'DB Shopify'!$CD:$CD,CE_TOTALE!H$3)+A15</f>
        <v>110.4</v>
      </c>
      <c r="I15" s="72">
        <f>SUMIFS('DB Shopify'!$J:$J,'DB Shopify'!$CC:$CC,CE_TOTALE!I$2,'DB Shopify'!$CD:$CD,CE_TOTALE!I$3)</f>
        <v>34.5</v>
      </c>
      <c r="J15" s="72">
        <f>SUMIFS('DB Shopify'!$J:$J,'DB Shopify'!$CC:$CC,CE_TOTALE!J$2,'DB Shopify'!$CD:$CD,CE_TOTALE!J$3)</f>
        <v>70.2</v>
      </c>
      <c r="K15" s="72">
        <f>SUMIFS('DB Shopify'!$J:$J,'DB Shopify'!$CC:$CC,CE_TOTALE!K$2,'DB Shopify'!$CD:$CD,CE_TOTALE!K$3)</f>
        <v>379.1</v>
      </c>
      <c r="L15" s="72">
        <f>SUMIFS('DB Shopify'!$J:$J,'DB Shopify'!$CC:$CC,CE_TOTALE!L$2,'DB Shopify'!$CD:$CD,CE_TOTALE!L$3)</f>
        <v>310.58</v>
      </c>
      <c r="M15" s="72">
        <f>SUMIFS('DB Shopify'!$J:$J,'DB Shopify'!$CC:$CC,CE_TOTALE!M$2,'DB Shopify'!$CD:$CD,CE_TOTALE!M$3)</f>
        <v>7.8</v>
      </c>
      <c r="N15" s="72">
        <f>SUMIFS('DB Shopify'!$J:$J,'DB Shopify'!$CC:$CC,CE_TOTALE!N$2,'DB Shopify'!$CD:$CD,CE_TOTALE!N$3)</f>
        <v>0</v>
      </c>
      <c r="O15" s="72">
        <f>SUMIFS('DB Shopify'!$J:$J,'DB Shopify'!$CC:$CC,CE_TOTALE!O$2,'DB Shopify'!$CD:$CD,CE_TOTALE!O$3)</f>
        <v>0</v>
      </c>
      <c r="P15" s="72">
        <f>SUMIFS('DB Shopify'!$J:$J,'DB Shopify'!$CC:$CC,CE_TOTALE!P$2,'DB Shopify'!$CD:$CD,CE_TOTALE!P$3)</f>
        <v>0</v>
      </c>
      <c r="Q15" s="72">
        <f>SUMIFS('DB Shopify'!$J:$J,'DB Shopify'!$CC:$CC,CE_TOTALE!Q$2,'DB Shopify'!$CD:$CD,CE_TOTALE!Q$3)</f>
        <v>0</v>
      </c>
      <c r="R15" s="72">
        <f>SUMIFS('DB Shopify'!$J:$J,'DB Shopify'!$CC:$CC,CE_TOTALE!R$2,'DB Shopify'!$CD:$CD,CE_TOTALE!R$3)</f>
        <v>0</v>
      </c>
      <c r="S15" s="45"/>
      <c r="T15" s="72">
        <f t="shared" si="5"/>
        <v>1134.58</v>
      </c>
    </row>
    <row r="16">
      <c r="A16" s="69">
        <v>1471.0</v>
      </c>
      <c r="B16" s="46" t="str">
        <f t="shared" si="2"/>
        <v>OnlineFatturato Lordo</v>
      </c>
      <c r="C16" s="58" t="s">
        <v>1616</v>
      </c>
      <c r="D16" s="58" t="s">
        <v>1617</v>
      </c>
      <c r="E16" s="59" t="s">
        <v>1618</v>
      </c>
      <c r="F16" s="58" t="s">
        <v>1627</v>
      </c>
      <c r="G16" s="71">
        <v>4902.0</v>
      </c>
      <c r="H16" s="72">
        <f t="shared" ref="H16:R16" si="6">H15+H13+H12+H14</f>
        <v>3677.4</v>
      </c>
      <c r="I16" s="72">
        <f t="shared" si="6"/>
        <v>8625.5</v>
      </c>
      <c r="J16" s="72">
        <f t="shared" si="6"/>
        <v>7964.7</v>
      </c>
      <c r="K16" s="72">
        <f t="shared" si="6"/>
        <v>12141.1</v>
      </c>
      <c r="L16" s="72">
        <f t="shared" si="6"/>
        <v>17594.84</v>
      </c>
      <c r="M16" s="72">
        <f t="shared" si="6"/>
        <v>520.8</v>
      </c>
      <c r="N16" s="72">
        <f t="shared" si="6"/>
        <v>0</v>
      </c>
      <c r="O16" s="72">
        <f t="shared" si="6"/>
        <v>0</v>
      </c>
      <c r="P16" s="72">
        <f t="shared" si="6"/>
        <v>0</v>
      </c>
      <c r="Q16" s="72">
        <f t="shared" si="6"/>
        <v>0</v>
      </c>
      <c r="R16" s="72">
        <f t="shared" si="6"/>
        <v>0</v>
      </c>
      <c r="S16" s="45"/>
      <c r="T16" s="72">
        <f t="shared" si="5"/>
        <v>55426.34</v>
      </c>
    </row>
    <row r="17">
      <c r="A17" s="73">
        <v>1206.0</v>
      </c>
      <c r="B17" s="46" t="str">
        <f t="shared" si="2"/>
        <v>OnlineFatturato Netto</v>
      </c>
      <c r="C17" s="74" t="s">
        <v>1628</v>
      </c>
      <c r="D17" s="74" t="s">
        <v>1617</v>
      </c>
      <c r="E17" s="74" t="s">
        <v>1618</v>
      </c>
      <c r="F17" s="74" t="s">
        <v>1629</v>
      </c>
      <c r="G17" s="75">
        <v>4018.0</v>
      </c>
      <c r="H17" s="76">
        <f t="shared" ref="H17:R17" si="7">H16/1.22</f>
        <v>3014.262295</v>
      </c>
      <c r="I17" s="76">
        <f t="shared" si="7"/>
        <v>7070.081967</v>
      </c>
      <c r="J17" s="76">
        <f t="shared" si="7"/>
        <v>6528.442623</v>
      </c>
      <c r="K17" s="76">
        <f t="shared" si="7"/>
        <v>9951.721311</v>
      </c>
      <c r="L17" s="76">
        <f t="shared" si="7"/>
        <v>14422</v>
      </c>
      <c r="M17" s="76">
        <f t="shared" si="7"/>
        <v>426.8852459</v>
      </c>
      <c r="N17" s="76">
        <f t="shared" si="7"/>
        <v>0</v>
      </c>
      <c r="O17" s="76">
        <f t="shared" si="7"/>
        <v>0</v>
      </c>
      <c r="P17" s="76">
        <f t="shared" si="7"/>
        <v>0</v>
      </c>
      <c r="Q17" s="76">
        <f t="shared" si="7"/>
        <v>0</v>
      </c>
      <c r="R17" s="76">
        <f t="shared" si="7"/>
        <v>0</v>
      </c>
      <c r="S17" s="45"/>
      <c r="T17" s="76">
        <f t="shared" si="5"/>
        <v>45431.39344</v>
      </c>
    </row>
    <row r="18">
      <c r="A18" s="77"/>
      <c r="B18" s="46" t="str">
        <f t="shared" si="2"/>
        <v/>
      </c>
      <c r="C18" s="45"/>
      <c r="D18" s="45"/>
      <c r="E18" s="45"/>
      <c r="F18" s="45"/>
      <c r="G18" s="45"/>
      <c r="H18" s="45"/>
      <c r="I18" s="45"/>
      <c r="J18" s="45"/>
      <c r="K18" s="45"/>
      <c r="L18" s="45"/>
      <c r="M18" s="45"/>
      <c r="N18" s="45"/>
      <c r="O18" s="45"/>
      <c r="P18" s="45"/>
      <c r="Q18" s="45"/>
      <c r="R18" s="45"/>
      <c r="S18" s="45"/>
      <c r="T18" s="45"/>
    </row>
    <row r="19">
      <c r="A19" s="78"/>
      <c r="B19" s="46" t="str">
        <f t="shared" si="2"/>
        <v>Offline Pezzi</v>
      </c>
      <c r="C19" s="58" t="s">
        <v>1616</v>
      </c>
      <c r="D19" s="58" t="s">
        <v>1617</v>
      </c>
      <c r="E19" s="59" t="s">
        <v>1630</v>
      </c>
      <c r="F19" s="58" t="s">
        <v>1621</v>
      </c>
      <c r="G19" s="60">
        <v>6.0</v>
      </c>
      <c r="H19" s="60">
        <f>SUMIFS(DB_QROMO!$I:$I, DB_QROMO!$A:$A, H$2, DB_QROMO!$B:$B, H$3) + SUMIFS(GIFT_OFFLINE!$G:$G, GIFT_OFFLINE!$A:$A, H$2, GIFT_OFFLINE!$B:$B, H$3)+A19</f>
        <v>9</v>
      </c>
      <c r="I19" s="60">
        <f>SUMIFS(DB_QROMO!$I:$I, DB_QROMO!$A:$A, I$2, DB_QROMO!$B:$B, I$3) + SUMIFS(GIFT_OFFLINE!$G:$G, GIFT_OFFLINE!$A:$A, I$2, GIFT_OFFLINE!$B:$B, I$3)</f>
        <v>35</v>
      </c>
      <c r="J19" s="60">
        <f>SUMIFS(DB_QROMO!$I:$I, DB_QROMO!$A:$A, J$2, DB_QROMO!$B:$B, J$3) + SUMIFS(GIFT_OFFLINE!$G:$G, GIFT_OFFLINE!$A:$A, J$2, GIFT_OFFLINE!$B:$B, J$3)</f>
        <v>51</v>
      </c>
      <c r="K19" s="60">
        <f>SUMIFS(DB_QROMO!$I:$I, DB_QROMO!$A:$A, K$2, DB_QROMO!$B:$B, K$3) + SUMIFS(GIFT_OFFLINE!$G:$G, GIFT_OFFLINE!$A:$A, K$2, GIFT_OFFLINE!$B:$B, K$3)</f>
        <v>30</v>
      </c>
      <c r="L19" s="60">
        <f>SUMIFS(DB_QROMO!$I:$I, DB_QROMO!$A:$A, L$2, DB_QROMO!$B:$B, L$3) + SUMIFS(GIFT_OFFLINE!$G:$G, GIFT_OFFLINE!$A:$A, L$2, GIFT_OFFLINE!$B:$B, L$3)</f>
        <v>134</v>
      </c>
      <c r="M19" s="60">
        <f>SUMIFS(DB_QROMO!$I:$I, DB_QROMO!$A:$A, M$2, DB_QROMO!$B:$B, M$3) + SUMIFS(GIFT_OFFLINE!$G:$G, GIFT_OFFLINE!$A:$A, M$2, GIFT_OFFLINE!$B:$B, M$3)</f>
        <v>10</v>
      </c>
      <c r="N19" s="60">
        <f>SUMIFS(DB_QROMO!$I:$I, DB_QROMO!$A:$A, N$2, DB_QROMO!$B:$B, N$3) + SUMIFS(GIFT_OFFLINE!$G:$G, GIFT_OFFLINE!$A:$A, N$2, GIFT_OFFLINE!$B:$B, N$3)</f>
        <v>0</v>
      </c>
      <c r="O19" s="60">
        <f>SUMIFS(DB_QROMO!$I:$I, DB_QROMO!$A:$A, O$2, DB_QROMO!$B:$B, O$3) + SUMIFS(GIFT_OFFLINE!$G:$G, GIFT_OFFLINE!$A:$A, O$2, GIFT_OFFLINE!$B:$B, O$3)</f>
        <v>0</v>
      </c>
      <c r="P19" s="60">
        <f>SUMIFS(DB_QROMO!$I:$I, DB_QROMO!$A:$A, P$2, DB_QROMO!$B:$B, P$3) + SUMIFS(GIFT_OFFLINE!$G:$G, GIFT_OFFLINE!$A:$A, P$2, GIFT_OFFLINE!$B:$B, P$3)</f>
        <v>0</v>
      </c>
      <c r="Q19" s="60">
        <f>SUMIFS(DB_QROMO!$I:$I, DB_QROMO!$A:$A, Q$2, DB_QROMO!$B:$B, Q$3) + SUMIFS(GIFT_OFFLINE!$G:$G, GIFT_OFFLINE!$A:$A, Q$2, GIFT_OFFLINE!$B:$B, Q$3)</f>
        <v>0</v>
      </c>
      <c r="R19" s="72">
        <f>SUMIFS(DB_QROMO!$I:$I, DB_QROMO!$A:$A, R$2, DB_QROMO!$B:$B, R$3) + SUMIFS(GIFT_OFFLINE!$G:$G, GIFT_OFFLINE!$A:$A, R$2, GIFT_OFFLINE!$B:$B, R$3)</f>
        <v>0</v>
      </c>
      <c r="S19" s="45"/>
      <c r="T19" s="61">
        <f t="shared" ref="T19:T21" si="8">SUM(G19:R19)</f>
        <v>275</v>
      </c>
    </row>
    <row r="20">
      <c r="A20" s="69"/>
      <c r="B20" s="46" t="str">
        <f t="shared" si="2"/>
        <v>Offline Fatturato Lordo</v>
      </c>
      <c r="C20" s="58" t="s">
        <v>1616</v>
      </c>
      <c r="D20" s="58" t="s">
        <v>1617</v>
      </c>
      <c r="E20" s="59" t="s">
        <v>1630</v>
      </c>
      <c r="F20" s="58" t="s">
        <v>1627</v>
      </c>
      <c r="G20" s="71">
        <v>524.0</v>
      </c>
      <c r="H20" s="72">
        <f>SUMIFS(DB_QROMO!$K:$K, DB_QROMO!$A:$A, H$2, DB_QROMO!$B:$B, H$3) + SUMIFS(GIFT_OFFLINE!$I:$I, GIFT_OFFLINE!$A:$A, H$2, GIFT_OFFLINE!$B:$B, H$3)+A20</f>
        <v>997</v>
      </c>
      <c r="I20" s="72">
        <f>SUMIFS(DB_QROMO!$K:$K, DB_QROMO!$A:$A, I$2, DB_QROMO!$B:$B, I$3) + SUMIFS(GIFT_OFFLINE!$I:$I, GIFT_OFFLINE!$A:$A, I$2, GIFT_OFFLINE!$B:$B, I$3)</f>
        <v>2407</v>
      </c>
      <c r="J20" s="72">
        <f>SUMIFS(DB_QROMO!$K:$K, DB_QROMO!$A:$A, J$2, DB_QROMO!$B:$B, J$3) + SUMIFS(GIFT_OFFLINE!$I:$I, GIFT_OFFLINE!$A:$A, J$2, GIFT_OFFLINE!$B:$B, J$3)</f>
        <v>4383</v>
      </c>
      <c r="K20" s="72">
        <f>SUMIFS(DB_QROMO!$K:$K, DB_QROMO!$A:$A, K$2, DB_QROMO!$B:$B, K$3) + SUMIFS(GIFT_OFFLINE!$I:$I, GIFT_OFFLINE!$A:$A, K$2, GIFT_OFFLINE!$B:$B, K$3)</f>
        <v>2848.5</v>
      </c>
      <c r="L20" s="72">
        <f>SUMIFS(DB_QROMO!$K:$K, DB_QROMO!$A:$A, L$2, DB_QROMO!$B:$B, L$3) + SUMIFS(GIFT_OFFLINE!$I:$I, GIFT_OFFLINE!$A:$A, L$2, GIFT_OFFLINE!$B:$B, L$3)</f>
        <v>7306.5</v>
      </c>
      <c r="M20" s="72">
        <f>SUMIFS(DB_QROMO!$K:$K, DB_QROMO!$A:$A, M$2, DB_QROMO!$B:$B, M$3) + SUMIFS(GIFT_OFFLINE!$I:$I, GIFT_OFFLINE!$A:$A, M$2, GIFT_OFFLINE!$B:$B, M$3)</f>
        <v>1047</v>
      </c>
      <c r="N20" s="72">
        <f>SUMIFS(DB_QROMO!$K:$K, DB_QROMO!$A:$A, N$2, DB_QROMO!$B:$B, N$3) + SUMIFS(GIFT_OFFLINE!$I:$I, GIFT_OFFLINE!$A:$A, N$2, GIFT_OFFLINE!$B:$B, N$3)</f>
        <v>0</v>
      </c>
      <c r="O20" s="72">
        <f>SUMIFS(DB_QROMO!$K:$K, DB_QROMO!$A:$A, O$2, DB_QROMO!$B:$B, O$3) + SUMIFS(GIFT_OFFLINE!$I:$I, GIFT_OFFLINE!$A:$A, O$2, GIFT_OFFLINE!$B:$B, O$3)</f>
        <v>0</v>
      </c>
      <c r="P20" s="72">
        <f>SUMIFS(DB_QROMO!$K:$K, DB_QROMO!$A:$A, P$2, DB_QROMO!$B:$B, P$3) + SUMIFS(GIFT_OFFLINE!$I:$I, GIFT_OFFLINE!$A:$A, P$2, GIFT_OFFLINE!$B:$B, P$3)</f>
        <v>0</v>
      </c>
      <c r="Q20" s="72">
        <f>SUMIFS(DB_QROMO!$K:$K, DB_QROMO!$A:$A, Q$2, DB_QROMO!$B:$B, Q$3) + SUMIFS(GIFT_OFFLINE!$I:$I, GIFT_OFFLINE!$A:$A, Q$2, GIFT_OFFLINE!$B:$B, Q$3)</f>
        <v>0</v>
      </c>
      <c r="R20" s="72">
        <f>SUMIFS(DB_QROMO!$K:$K, DB_QROMO!$A:$A, R$2, DB_QROMO!$B:$B, R$3) + SUMIFS(GIFT_OFFLINE!$I:$I, GIFT_OFFLINE!$A:$A, R$2, GIFT_OFFLINE!$B:$B, R$3)</f>
        <v>0</v>
      </c>
      <c r="S20" s="45"/>
      <c r="T20" s="72">
        <f t="shared" si="8"/>
        <v>19513</v>
      </c>
    </row>
    <row r="21" ht="15.75" customHeight="1">
      <c r="A21" s="73"/>
      <c r="B21" s="46" t="str">
        <f t="shared" si="2"/>
        <v>Offline Fatturato Netto</v>
      </c>
      <c r="C21" s="74" t="s">
        <v>1628</v>
      </c>
      <c r="D21" s="74" t="s">
        <v>1617</v>
      </c>
      <c r="E21" s="74" t="s">
        <v>1630</v>
      </c>
      <c r="F21" s="74" t="s">
        <v>1629</v>
      </c>
      <c r="G21" s="75">
        <v>430.0</v>
      </c>
      <c r="H21" s="76">
        <f t="shared" ref="H21:R21" si="9">H20/1.22</f>
        <v>817.2131148</v>
      </c>
      <c r="I21" s="76">
        <f t="shared" si="9"/>
        <v>1972.95082</v>
      </c>
      <c r="J21" s="76">
        <f t="shared" si="9"/>
        <v>3592.622951</v>
      </c>
      <c r="K21" s="76">
        <f t="shared" si="9"/>
        <v>2334.836066</v>
      </c>
      <c r="L21" s="76">
        <f t="shared" si="9"/>
        <v>5988.934426</v>
      </c>
      <c r="M21" s="76">
        <f t="shared" si="9"/>
        <v>858.1967213</v>
      </c>
      <c r="N21" s="76">
        <f t="shared" si="9"/>
        <v>0</v>
      </c>
      <c r="O21" s="76">
        <f t="shared" si="9"/>
        <v>0</v>
      </c>
      <c r="P21" s="76">
        <f t="shared" si="9"/>
        <v>0</v>
      </c>
      <c r="Q21" s="76">
        <f t="shared" si="9"/>
        <v>0</v>
      </c>
      <c r="R21" s="76">
        <f t="shared" si="9"/>
        <v>0</v>
      </c>
      <c r="S21" s="45"/>
      <c r="T21" s="76">
        <f t="shared" si="8"/>
        <v>15994.7541</v>
      </c>
    </row>
    <row r="22" ht="15.75" customHeight="1">
      <c r="A22" s="77"/>
      <c r="B22" s="46" t="str">
        <f t="shared" si="2"/>
        <v/>
      </c>
      <c r="C22" s="45"/>
      <c r="D22" s="45"/>
      <c r="E22" s="45"/>
      <c r="F22" s="45"/>
      <c r="G22" s="45"/>
      <c r="H22" s="45"/>
      <c r="I22" s="45"/>
      <c r="J22" s="45"/>
      <c r="K22" s="45"/>
      <c r="L22" s="45"/>
      <c r="M22" s="45"/>
      <c r="N22" s="45"/>
      <c r="O22" s="45"/>
      <c r="P22" s="45"/>
      <c r="Q22" s="45"/>
      <c r="R22" s="45"/>
      <c r="S22" s="45"/>
      <c r="T22" s="79">
        <f>T21/T29</f>
        <v>0.2596278068</v>
      </c>
    </row>
    <row r="23" ht="15.75" customHeight="1">
      <c r="A23" s="78"/>
      <c r="B23" s="46"/>
      <c r="C23" s="58"/>
      <c r="D23" s="80" t="s">
        <v>1617</v>
      </c>
      <c r="E23" s="81" t="s">
        <v>1631</v>
      </c>
      <c r="F23" s="80" t="s">
        <v>1621</v>
      </c>
      <c r="G23" s="60">
        <f>SUMIFS(DB_B2B!$E:$E,DB_B2B!$B:$B,G$2,DB_B2B!$C:$C,G$3,DB_B2B!$G:$G,"venduto",DB_B2B!$Q:$Q,"&lt;&gt;annullato")</f>
        <v>0</v>
      </c>
      <c r="H23" s="60">
        <f>SUMIFS(DB_B2B!$E:$E,DB_B2B!$B:$B,H$2,DB_B2B!$C:$C,H$3,DB_B2B!$G:$G,"venduto",DB_B2B!$Q:$Q,"&lt;&gt;annullato")</f>
        <v>0</v>
      </c>
      <c r="I23" s="60">
        <f>SUMIFS(DB_B2B!$E:$E,DB_B2B!$B:$B,I$2,DB_B2B!$C:$C,I$3,DB_B2B!$G:$G,"venduto",DB_B2B!$Q:$Q,"&lt;&gt;annullato")</f>
        <v>0</v>
      </c>
      <c r="J23" s="60">
        <f>SUMIFS(DB_B2B!$E:$E,DB_B2B!$B:$B,J$2,DB_B2B!$C:$C,J$3,DB_B2B!$G:$G,"venduto",DB_B2B!$Q:$Q,"&lt;&gt;annullato")</f>
        <v>0</v>
      </c>
      <c r="K23" s="60">
        <f>SUMIFS(DB_B2B!$E:$E,DB_B2B!$B:$B,K$2,DB_B2B!$C:$C,K$3,DB_B2B!$G:$G,"venduto",DB_B2B!$Q:$Q,"&lt;&gt;annullato")</f>
        <v>0</v>
      </c>
      <c r="L23" s="60">
        <f>SUMIFS(DB_B2B!$E:$E,DB_B2B!$B:$B,L$2,DB_B2B!$C:$C,L$3,DB_B2B!$G:$G,"venduto",DB_B2B!$Q:$Q,"&lt;&gt;annullato")</f>
        <v>5</v>
      </c>
      <c r="M23" s="60">
        <f>SUMIFS(DB_B2B!$E:$E,DB_B2B!$B:$B,M$2,DB_B2B!$C:$C,M$3,DB_B2B!$G:$G,"venduto",DB_B2B!$Q:$Q,"&lt;&gt;annullato")</f>
        <v>0</v>
      </c>
      <c r="N23" s="60">
        <f>SUMIFS(DB_B2B!$E:$E,DB_B2B!$B:$B,N$2,DB_B2B!$C:$C,N$3,DB_B2B!$G:$G,"venduto",DB_B2B!$Q:$Q,"&lt;&gt;annullato")</f>
        <v>0</v>
      </c>
      <c r="O23" s="60">
        <f>SUMIFS(DB_B2B!$E:$E,DB_B2B!$B:$B,O$2,DB_B2B!$C:$C,O$3,DB_B2B!$G:$G,"venduto",DB_B2B!$Q:$Q,"&lt;&gt;annullato")</f>
        <v>0</v>
      </c>
      <c r="P23" s="60">
        <f>SUMIFS(DB_B2B!$E:$E,DB_B2B!$B:$B,P$2,DB_B2B!$C:$C,P$3,DB_B2B!$G:$G,"venduto",DB_B2B!$Q:$Q,"&lt;&gt;annullato")</f>
        <v>0</v>
      </c>
      <c r="Q23" s="60">
        <f>SUMIFS(DB_B2B!$E:$E,DB_B2B!$B:$B,Q$2,DB_B2B!$C:$C,Q$3,DB_B2B!$G:$G,"venduto",DB_B2B!$Q:$Q,"&lt;&gt;annullato")</f>
        <v>0</v>
      </c>
      <c r="R23" s="72">
        <f>SUMIFS(DB_B2B!$E:$E,DB_B2B!$B:$B,R$2,DB_B2B!$C:$C,R$3,DB_B2B!$G:$G,"venduto",DB_B2B!$Q:$Q,"&lt;&gt;annullato")</f>
        <v>0</v>
      </c>
      <c r="S23" s="45"/>
      <c r="T23" s="82"/>
    </row>
    <row r="24" ht="15.75" customHeight="1">
      <c r="A24" s="69"/>
      <c r="B24" s="46"/>
      <c r="C24" s="58"/>
      <c r="D24" s="80" t="s">
        <v>1617</v>
      </c>
      <c r="E24" s="81" t="s">
        <v>1631</v>
      </c>
      <c r="F24" s="80" t="s">
        <v>1627</v>
      </c>
      <c r="G24" s="71">
        <f>SUMIFS(DB_B2B!$M:$M,DB_B2B!$B:$B,G$2,DB_B2B!$C:$C,G$3,DB_B2B!$G:$G,"venduto",DB_B2B!$Q:$Q,"&lt;&gt;annullato")</f>
        <v>0</v>
      </c>
      <c r="H24" s="72">
        <f>SUMIFS(DB_B2B!$M:$M,DB_B2B!$B:$B,H$2,DB_B2B!$C:$C,H$3,DB_B2B!$G:$G,"venduto",DB_B2B!$Q:$Q,"&lt;&gt;annullato")</f>
        <v>0</v>
      </c>
      <c r="I24" s="72">
        <f>SUMIFS(DB_B2B!$M:$M,DB_B2B!$B:$B,I$2,DB_B2B!$C:$C,I$3,DB_B2B!$G:$G,"venduto",DB_B2B!$Q:$Q,"&lt;&gt;annullato")</f>
        <v>0</v>
      </c>
      <c r="J24" s="72">
        <f>SUMIFS(DB_B2B!$M:$M,DB_B2B!$B:$B,J$2,DB_B2B!$C:$C,J$3,DB_B2B!$G:$G,"venduto",DB_B2B!$Q:$Q,"&lt;&gt;annullato")</f>
        <v>0</v>
      </c>
      <c r="K24" s="72">
        <f>SUMIFS(DB_B2B!$M:$M,DB_B2B!$B:$B,K$2,DB_B2B!$C:$C,K$3,DB_B2B!$G:$G,"venduto",DB_B2B!$Q:$Q,"&lt;&gt;annullato")</f>
        <v>0</v>
      </c>
      <c r="L24" s="72">
        <f>SUMIFS(DB_B2B!$M:$M,DB_B2B!$B:$B,L$2,DB_B2B!$C:$C,L$3,DB_B2B!$G:$G,"venduto",DB_B2B!$Q:$Q,"&lt;&gt;annullato")</f>
        <v>220</v>
      </c>
      <c r="M24" s="72">
        <f>SUMIFS(DB_B2B!$M:$M,DB_B2B!$B:$B,M$2,DB_B2B!$C:$C,M$3,DB_B2B!$G:$G,"venduto",DB_B2B!$Q:$Q,"&lt;&gt;annullato")</f>
        <v>0</v>
      </c>
      <c r="N24" s="72">
        <f>SUMIFS(DB_B2B!$M:$M,DB_B2B!$B:$B,N$2,DB_B2B!$C:$C,N$3,DB_B2B!$G:$G,"venduto",DB_B2B!$Q:$Q,"&lt;&gt;annullato")</f>
        <v>0</v>
      </c>
      <c r="O24" s="72">
        <f>SUMIFS(DB_B2B!$M:$M,DB_B2B!$B:$B,O$2,DB_B2B!$C:$C,O$3,DB_B2B!$G:$G,"venduto",DB_B2B!$Q:$Q,"&lt;&gt;annullato")</f>
        <v>0</v>
      </c>
      <c r="P24" s="72">
        <f>SUMIFS(DB_B2B!$M:$M,DB_B2B!$B:$B,P$2,DB_B2B!$C:$C,P$3,DB_B2B!$G:$G,"venduto",DB_B2B!$Q:$Q,"&lt;&gt;annullato")</f>
        <v>0</v>
      </c>
      <c r="Q24" s="72">
        <f>SUMIFS(DB_B2B!$M:$M,DB_B2B!$B:$B,Q$2,DB_B2B!$C:$C,Q$3,DB_B2B!$G:$G,"venduto",DB_B2B!$Q:$Q,"&lt;&gt;annullato")</f>
        <v>0</v>
      </c>
      <c r="R24" s="72">
        <f>SUMIFS(DB_B2B!$M:$M,DB_B2B!$B:$B,R$2,DB_B2B!$C:$C,R$3,DB_B2B!$G:$G,"venduto",DB_B2B!$Q:$Q,"&lt;&gt;annullato")</f>
        <v>0</v>
      </c>
      <c r="S24" s="45"/>
      <c r="T24" s="82"/>
    </row>
    <row r="25" ht="15.75" customHeight="1">
      <c r="A25" s="73"/>
      <c r="B25" s="46"/>
      <c r="C25" s="74"/>
      <c r="D25" s="83" t="s">
        <v>1617</v>
      </c>
      <c r="E25" s="83" t="s">
        <v>1631</v>
      </c>
      <c r="F25" s="83" t="s">
        <v>1629</v>
      </c>
      <c r="G25" s="75">
        <f t="shared" ref="G25:R25" si="10">G24/1.22</f>
        <v>0</v>
      </c>
      <c r="H25" s="76">
        <f t="shared" si="10"/>
        <v>0</v>
      </c>
      <c r="I25" s="76">
        <f t="shared" si="10"/>
        <v>0</v>
      </c>
      <c r="J25" s="76">
        <f t="shared" si="10"/>
        <v>0</v>
      </c>
      <c r="K25" s="76">
        <f t="shared" si="10"/>
        <v>0</v>
      </c>
      <c r="L25" s="76">
        <f t="shared" si="10"/>
        <v>180.3278689</v>
      </c>
      <c r="M25" s="76">
        <f t="shared" si="10"/>
        <v>0</v>
      </c>
      <c r="N25" s="76">
        <f t="shared" si="10"/>
        <v>0</v>
      </c>
      <c r="O25" s="76">
        <f t="shared" si="10"/>
        <v>0</v>
      </c>
      <c r="P25" s="76">
        <f t="shared" si="10"/>
        <v>0</v>
      </c>
      <c r="Q25" s="76">
        <f t="shared" si="10"/>
        <v>0</v>
      </c>
      <c r="R25" s="76">
        <f t="shared" si="10"/>
        <v>0</v>
      </c>
      <c r="S25" s="45"/>
      <c r="T25" s="82"/>
    </row>
    <row r="26" ht="15.75" customHeight="1">
      <c r="A26" s="84"/>
      <c r="B26" s="46"/>
      <c r="C26" s="45"/>
      <c r="D26" s="45"/>
      <c r="E26" s="85"/>
      <c r="F26" s="85"/>
      <c r="G26" s="86"/>
      <c r="H26" s="82"/>
      <c r="I26" s="82"/>
      <c r="J26" s="82"/>
      <c r="K26" s="82"/>
      <c r="L26" s="82"/>
      <c r="M26" s="82"/>
      <c r="N26" s="82"/>
      <c r="O26" s="82"/>
      <c r="P26" s="82"/>
      <c r="Q26" s="82"/>
      <c r="R26" s="82"/>
      <c r="S26" s="45"/>
      <c r="T26" s="82"/>
    </row>
    <row r="27" ht="15.75" customHeight="1">
      <c r="A27" s="57">
        <v>19.0</v>
      </c>
      <c r="B27" s="46" t="str">
        <f t="shared" ref="B27:B51" si="12">E27&amp;F27</f>
        <v>OmnichannelPezzi</v>
      </c>
      <c r="C27" s="45"/>
      <c r="D27" s="45"/>
      <c r="E27" s="87" t="s">
        <v>1632</v>
      </c>
      <c r="F27" s="87" t="s">
        <v>1621</v>
      </c>
      <c r="G27" s="60">
        <v>64.0</v>
      </c>
      <c r="H27" s="61">
        <f t="shared" ref="H27:R27" si="11">H19+H10+H23</f>
        <v>43</v>
      </c>
      <c r="I27" s="61">
        <f t="shared" si="11"/>
        <v>106</v>
      </c>
      <c r="J27" s="61">
        <f t="shared" si="11"/>
        <v>125</v>
      </c>
      <c r="K27" s="61">
        <f t="shared" si="11"/>
        <v>140</v>
      </c>
      <c r="L27" s="61">
        <f t="shared" si="11"/>
        <v>323</v>
      </c>
      <c r="M27" s="61">
        <f t="shared" si="11"/>
        <v>15</v>
      </c>
      <c r="N27" s="61">
        <f t="shared" si="11"/>
        <v>0</v>
      </c>
      <c r="O27" s="61">
        <f t="shared" si="11"/>
        <v>0</v>
      </c>
      <c r="P27" s="61">
        <f t="shared" si="11"/>
        <v>0</v>
      </c>
      <c r="Q27" s="61">
        <f t="shared" si="11"/>
        <v>0</v>
      </c>
      <c r="R27" s="61">
        <f t="shared" si="11"/>
        <v>0</v>
      </c>
      <c r="S27" s="45"/>
      <c r="T27" s="61">
        <f>T19+T10</f>
        <v>811</v>
      </c>
    </row>
    <row r="28" ht="15.75" customHeight="1">
      <c r="A28" s="69">
        <v>1595.0</v>
      </c>
      <c r="B28" s="46" t="str">
        <f t="shared" si="12"/>
        <v>OmnichannelFatturato Lordo</v>
      </c>
      <c r="C28" s="45"/>
      <c r="D28" s="45"/>
      <c r="E28" s="87" t="s">
        <v>1632</v>
      </c>
      <c r="F28" s="87" t="s">
        <v>1627</v>
      </c>
      <c r="G28" s="71">
        <v>5426.0</v>
      </c>
      <c r="H28" s="72">
        <f t="shared" ref="H28:R28" si="13">H20+H16+H24</f>
        <v>4674.4</v>
      </c>
      <c r="I28" s="72">
        <f t="shared" si="13"/>
        <v>11032.5</v>
      </c>
      <c r="J28" s="72">
        <f t="shared" si="13"/>
        <v>12347.7</v>
      </c>
      <c r="K28" s="72">
        <f t="shared" si="13"/>
        <v>14989.6</v>
      </c>
      <c r="L28" s="72">
        <f t="shared" si="13"/>
        <v>25121.34</v>
      </c>
      <c r="M28" s="72">
        <f t="shared" si="13"/>
        <v>1567.8</v>
      </c>
      <c r="N28" s="72">
        <f t="shared" si="13"/>
        <v>0</v>
      </c>
      <c r="O28" s="72">
        <f t="shared" si="13"/>
        <v>0</v>
      </c>
      <c r="P28" s="72">
        <f t="shared" si="13"/>
        <v>0</v>
      </c>
      <c r="Q28" s="72">
        <f t="shared" si="13"/>
        <v>0</v>
      </c>
      <c r="R28" s="72">
        <f t="shared" si="13"/>
        <v>0</v>
      </c>
      <c r="S28" s="45"/>
      <c r="T28" s="72">
        <f>T20+T16</f>
        <v>74939.34</v>
      </c>
    </row>
    <row r="29" ht="15.75" customHeight="1">
      <c r="A29" s="88">
        <v>1307.0</v>
      </c>
      <c r="B29" s="46" t="str">
        <f t="shared" si="12"/>
        <v>OmnichannelFatturato Netto</v>
      </c>
      <c r="C29" s="89"/>
      <c r="D29" s="89"/>
      <c r="E29" s="90" t="s">
        <v>1632</v>
      </c>
      <c r="F29" s="90" t="s">
        <v>1629</v>
      </c>
      <c r="G29" s="91">
        <v>4448.0</v>
      </c>
      <c r="H29" s="92">
        <f t="shared" ref="H29:R29" si="14">H28/1.22</f>
        <v>3831.47541</v>
      </c>
      <c r="I29" s="92">
        <f t="shared" si="14"/>
        <v>9043.032787</v>
      </c>
      <c r="J29" s="92">
        <f t="shared" si="14"/>
        <v>10121.06557</v>
      </c>
      <c r="K29" s="92">
        <f t="shared" si="14"/>
        <v>12286.55738</v>
      </c>
      <c r="L29" s="92">
        <f t="shared" si="14"/>
        <v>20591.2623</v>
      </c>
      <c r="M29" s="92">
        <f t="shared" si="14"/>
        <v>1285.081967</v>
      </c>
      <c r="N29" s="92">
        <f t="shared" si="14"/>
        <v>0</v>
      </c>
      <c r="O29" s="92">
        <f t="shared" si="14"/>
        <v>0</v>
      </c>
      <c r="P29" s="92">
        <f t="shared" si="14"/>
        <v>0</v>
      </c>
      <c r="Q29" s="92">
        <f t="shared" si="14"/>
        <v>0</v>
      </c>
      <c r="R29" s="92">
        <f t="shared" si="14"/>
        <v>0</v>
      </c>
      <c r="S29" s="45"/>
      <c r="T29" s="92">
        <f>SUM(G29:R29)</f>
        <v>61606.47541</v>
      </c>
    </row>
    <row r="30" ht="15.75" customHeight="1">
      <c r="A30" s="93"/>
      <c r="B30" s="46" t="str">
        <f t="shared" si="12"/>
        <v/>
      </c>
      <c r="C30" s="45"/>
      <c r="D30" s="45"/>
      <c r="E30" s="45"/>
      <c r="F30" s="45"/>
      <c r="G30" s="94"/>
      <c r="H30" s="94"/>
      <c r="I30" s="94"/>
      <c r="J30" s="94"/>
      <c r="K30" s="94"/>
      <c r="L30" s="94"/>
      <c r="M30" s="94"/>
      <c r="N30" s="94"/>
      <c r="O30" s="94"/>
      <c r="P30" s="94"/>
      <c r="Q30" s="94"/>
      <c r="R30" s="94"/>
      <c r="S30" s="45"/>
      <c r="T30" s="94"/>
    </row>
    <row r="31" ht="15.75" customHeight="1">
      <c r="A31" s="69">
        <v>-611.0</v>
      </c>
      <c r="B31" s="46" t="str">
        <f t="shared" si="12"/>
        <v>VariabiliCOGS (Cost of goods sold)</v>
      </c>
      <c r="C31" s="58" t="s">
        <v>1628</v>
      </c>
      <c r="D31" s="58" t="s">
        <v>1633</v>
      </c>
      <c r="E31" s="59" t="s">
        <v>1634</v>
      </c>
      <c r="F31" s="58" t="s">
        <v>1635</v>
      </c>
      <c r="G31" s="69">
        <v>-1802.0</v>
      </c>
      <c r="H31" s="72">
        <f>-SUMIFS(DB_QROMO!$L:$L, DB_QROMO!$A:$A, H$2, DB_QROMO!$B:$B, H$3) - SUMIFS(GIFT_OFFLINE!$J:$J, GIFT_OFFLINE!$A:$A, H$2, GIFT_OFFLINE!$B:$B, H$3)+A31 - SUMIFS('DB Shopify'!$CH:$CH, 'DB Shopify'!$CC:$CC, H$2, 'DB Shopify'!$CD:$CD, H$3)-SUMIFS(DB_B2B!$N:$N,DB_B2B!$B:$B,H$2,DB_B2B!$C:$C,H$3,DB_B2B!$G:$G,"venduto",DB_B2B!$Q:$Q,"&lt;&gt;annullato")</f>
        <v>-1365.41</v>
      </c>
      <c r="I31" s="72">
        <f>-SUMIFS(DB_QROMO!$L:$L, DB_QROMO!$A:$A, I$2, DB_QROMO!$B:$B, I$3) - SUMIFS(GIFT_OFFLINE!$J:$J, GIFT_OFFLINE!$A:$A, I$2, GIFT_OFFLINE!$B:$B, I$3) - SUMIFS('DB Shopify'!$CH:$CH, 'DB Shopify'!$CC:$CC, I$2, 'DB Shopify'!$CD:$CD, I$3)-SUMIFS(DB_B2B!$N:$N,DB_B2B!$B:$B,I$2,DB_B2B!$C:$C,I$3,DB_B2B!$G:$G,"venduto",DB_B2B!$Q:$Q,"&lt;&gt;annullato")</f>
        <v>-2832.42</v>
      </c>
      <c r="J31" s="72">
        <f>-SUMIFS(DB_QROMO!$L:$L, DB_QROMO!$A:$A, J$2, DB_QROMO!$B:$B, J$3) - SUMIFS(GIFT_OFFLINE!$J:$J, GIFT_OFFLINE!$A:$A, J$2, GIFT_OFFLINE!$B:$B, J$3) - SUMIFS('DB Shopify'!$CH:$CH, 'DB Shopify'!$CC:$CC, J$2, 'DB Shopify'!$CD:$CD, J$3)-SUMIFS(DB_B2B!$N:$N,DB_B2B!$B:$B,J$2,DB_B2B!$C:$C,J$3,DB_B2B!$G:$G,"venduto",DB_B2B!$Q:$Q,"&lt;&gt;annullato")</f>
        <v>-3023.65</v>
      </c>
      <c r="K31" s="72">
        <f>-SUMIFS(DB_QROMO!$L:$L, DB_QROMO!$A:$A, K$2, DB_QROMO!$B:$B, K$3) - SUMIFS(GIFT_OFFLINE!$J:$J, GIFT_OFFLINE!$A:$A, K$2, GIFT_OFFLINE!$B:$B, K$3) - SUMIFS('DB Shopify'!$CH:$CH, 'DB Shopify'!$CC:$CC, K$2, 'DB Shopify'!$CD:$CD, K$3)-SUMIFS(DB_B2B!$N:$N,DB_B2B!$B:$B,K$2,DB_B2B!$C:$C,K$3,DB_B2B!$G:$G,"venduto",DB_B2B!$Q:$Q,"&lt;&gt;annullato")</f>
        <v>-3282.36</v>
      </c>
      <c r="L31" s="72">
        <f>-SUMIFS(DB_QROMO!$L:$L, DB_QROMO!$A:$A, L$2, DB_QROMO!$B:$B, L$3) - SUMIFS(GIFT_OFFLINE!$J:$J, GIFT_OFFLINE!$A:$A, L$2, GIFT_OFFLINE!$B:$B, L$3) - SUMIFS('DB Shopify'!$CH:$CH, 'DB Shopify'!$CC:$CC, L$2, 'DB Shopify'!$CD:$CD, L$3)-SUMIFS(DB_B2B!$N:$N,DB_B2B!$B:$B,L$2,DB_B2B!$C:$C,L$3,DB_B2B!$G:$G,"venduto",DB_B2B!$Q:$Q,"&lt;&gt;annullato")</f>
        <v>-6701.86</v>
      </c>
      <c r="M31" s="72">
        <f>-SUMIFS(DB_QROMO!$L:$L, DB_QROMO!$A:$A, M$2, DB_QROMO!$B:$B, M$3) - SUMIFS(GIFT_OFFLINE!$J:$J, GIFT_OFFLINE!$A:$A, M$2, GIFT_OFFLINE!$B:$B, M$3) - SUMIFS('DB Shopify'!$CH:$CH, 'DB Shopify'!$CC:$CC, M$2, 'DB Shopify'!$CD:$CD, M$3)-SUMIFS(DB_B2B!$N:$N,DB_B2B!$B:$B,M$2,DB_B2B!$C:$C,M$3,DB_B2B!$G:$G,"venduto",DB_B2B!$Q:$Q,"&lt;&gt;annullato")</f>
        <v>-131</v>
      </c>
      <c r="N31" s="72">
        <f>-SUMIFS(DB_QROMO!$L:$L, DB_QROMO!$A:$A, N$2, DB_QROMO!$B:$B, N$3) - SUMIFS(GIFT_OFFLINE!$J:$J, GIFT_OFFLINE!$A:$A, N$2, GIFT_OFFLINE!$B:$B, N$3) - SUMIFS('DB Shopify'!$CH:$CH, 'DB Shopify'!$CC:$CC, N$2, 'DB Shopify'!$CD:$CD, N$3)-SUMIFS(DB_B2B!$N:$N,DB_B2B!$B:$B,N$2,DB_B2B!$C:$C,N$3,DB_B2B!$G:$G,"venduto",DB_B2B!$Q:$Q,"&lt;&gt;annullato")</f>
        <v>0</v>
      </c>
      <c r="O31" s="72">
        <f>-SUMIFS(DB_QROMO!$L:$L, DB_QROMO!$A:$A, O$2, DB_QROMO!$B:$B, O$3) - SUMIFS(GIFT_OFFLINE!$J:$J, GIFT_OFFLINE!$A:$A, O$2, GIFT_OFFLINE!$B:$B, O$3) - SUMIFS('DB Shopify'!$CH:$CH, 'DB Shopify'!$CC:$CC, O$2, 'DB Shopify'!$CD:$CD, O$3)-SUMIFS(DB_B2B!$N:$N,DB_B2B!$B:$B,O$2,DB_B2B!$C:$C,O$3,DB_B2B!$G:$G,"venduto",DB_B2B!$Q:$Q,"&lt;&gt;annullato")</f>
        <v>0</v>
      </c>
      <c r="P31" s="72">
        <f>-SUMIFS(DB_QROMO!$L:$L, DB_QROMO!$A:$A, P$2, DB_QROMO!$B:$B, P$3) - SUMIFS(GIFT_OFFLINE!$J:$J, GIFT_OFFLINE!$A:$A, P$2, GIFT_OFFLINE!$B:$B, P$3) - SUMIFS('DB Shopify'!$CH:$CH, 'DB Shopify'!$CC:$CC, P$2, 'DB Shopify'!$CD:$CD, P$3)-SUMIFS(DB_B2B!$N:$N,DB_B2B!$B:$B,P$2,DB_B2B!$C:$C,P$3,DB_B2B!$G:$G,"venduto",DB_B2B!$Q:$Q,"&lt;&gt;annullato")</f>
        <v>0</v>
      </c>
      <c r="Q31" s="72">
        <f>-SUMIFS(DB_QROMO!$L:$L, DB_QROMO!$A:$A, Q$2, DB_QROMO!$B:$B, Q$3) - SUMIFS(GIFT_OFFLINE!$J:$J, GIFT_OFFLINE!$A:$A, Q$2, GIFT_OFFLINE!$B:$B, Q$3) - SUMIFS('DB Shopify'!$CH:$CH, 'DB Shopify'!$CC:$CC, Q$2, 'DB Shopify'!$CD:$CD, Q$3)-SUMIFS(DB_B2B!$N:$N,DB_B2B!$B:$B,Q$2,DB_B2B!$C:$C,Q$3,DB_B2B!$G:$G,"venduto",DB_B2B!$Q:$Q,"&lt;&gt;annullato")</f>
        <v>0</v>
      </c>
      <c r="R31" s="72">
        <f>-SUMIFS(DB_QROMO!$L:$L, DB_QROMO!$A:$A, R$2, DB_QROMO!$B:$B, R$3) - SUMIFS(GIFT_OFFLINE!$J:$J, GIFT_OFFLINE!$A:$A, R$2, GIFT_OFFLINE!$B:$B, R$3) - SUMIFS('DB Shopify'!$CH:$CH, 'DB Shopify'!$CC:$CC, R$2, 'DB Shopify'!$CD:$CD, R$3)-SUMIFS(DB_B2B!$N:$N,DB_B2B!$B:$B,R$2,DB_B2B!$C:$C,R$3,DB_B2B!$G:$G,"venduto",DB_B2B!$Q:$Q,"&lt;&gt;annullato")</f>
        <v>0</v>
      </c>
      <c r="S31" s="45"/>
      <c r="T31" s="72">
        <f t="shared" ref="T31:T42" si="16">SUM(G31:R31)</f>
        <v>-19138.7</v>
      </c>
    </row>
    <row r="32" ht="15.75" customHeight="1">
      <c r="A32" s="95">
        <v>-75.3</v>
      </c>
      <c r="B32" s="46" t="str">
        <f t="shared" si="12"/>
        <v>VariabiliPackaging</v>
      </c>
      <c r="C32" s="87" t="s">
        <v>1628</v>
      </c>
      <c r="D32" s="87" t="s">
        <v>1633</v>
      </c>
      <c r="E32" s="96" t="s">
        <v>1634</v>
      </c>
      <c r="F32" s="87" t="s">
        <v>1636</v>
      </c>
      <c r="G32" s="95">
        <v>-250.6</v>
      </c>
      <c r="H32" s="97">
        <f>SUM(H33:H38)+A32</f>
        <v>-266.83</v>
      </c>
      <c r="I32" s="97">
        <f t="shared" ref="I32:R32" si="15">SUM(I33:I38)</f>
        <v>-464.26</v>
      </c>
      <c r="J32" s="97">
        <f t="shared" si="15"/>
        <v>-532.75</v>
      </c>
      <c r="K32" s="97">
        <f t="shared" si="15"/>
        <v>-621.4</v>
      </c>
      <c r="L32" s="97">
        <f t="shared" si="15"/>
        <v>-1347.78</v>
      </c>
      <c r="M32" s="97">
        <f t="shared" si="15"/>
        <v>-60.65</v>
      </c>
      <c r="N32" s="97">
        <f t="shared" si="15"/>
        <v>0</v>
      </c>
      <c r="O32" s="97">
        <f t="shared" si="15"/>
        <v>0</v>
      </c>
      <c r="P32" s="97">
        <f t="shared" si="15"/>
        <v>0</v>
      </c>
      <c r="Q32" s="97">
        <f t="shared" si="15"/>
        <v>0</v>
      </c>
      <c r="R32" s="97">
        <f t="shared" si="15"/>
        <v>0</v>
      </c>
      <c r="S32" s="45"/>
      <c r="T32" s="72">
        <f t="shared" si="16"/>
        <v>-3544.27</v>
      </c>
    </row>
    <row r="33" ht="15.75" hidden="1" customHeight="1" outlineLevel="1">
      <c r="A33" s="69">
        <v>-4.0</v>
      </c>
      <c r="B33" s="46" t="str">
        <f t="shared" si="12"/>
        <v>0.5Cartolina</v>
      </c>
      <c r="C33" s="63"/>
      <c r="D33" s="63"/>
      <c r="E33" s="98">
        <v>0.5</v>
      </c>
      <c r="F33" s="64" t="s">
        <v>1637</v>
      </c>
      <c r="G33" s="69">
        <v>-13.0</v>
      </c>
      <c r="H33" s="72">
        <f t="shared" ref="H33:R33" si="17">-$E33*(H$19+H$10)</f>
        <v>-21.5</v>
      </c>
      <c r="I33" s="72">
        <f t="shared" si="17"/>
        <v>-53</v>
      </c>
      <c r="J33" s="72">
        <f t="shared" si="17"/>
        <v>-62.5</v>
      </c>
      <c r="K33" s="72">
        <f t="shared" si="17"/>
        <v>-70</v>
      </c>
      <c r="L33" s="72">
        <f t="shared" si="17"/>
        <v>-159</v>
      </c>
      <c r="M33" s="72">
        <f t="shared" si="17"/>
        <v>-7.5</v>
      </c>
      <c r="N33" s="72">
        <f t="shared" si="17"/>
        <v>0</v>
      </c>
      <c r="O33" s="72">
        <f t="shared" si="17"/>
        <v>0</v>
      </c>
      <c r="P33" s="72">
        <f t="shared" si="17"/>
        <v>0</v>
      </c>
      <c r="Q33" s="72">
        <f t="shared" si="17"/>
        <v>0</v>
      </c>
      <c r="R33" s="72">
        <f t="shared" si="17"/>
        <v>0</v>
      </c>
      <c r="S33" s="45"/>
      <c r="T33" s="72">
        <f t="shared" si="16"/>
        <v>-386.5</v>
      </c>
    </row>
    <row r="34" ht="15.75" hidden="1" customHeight="1" outlineLevel="1">
      <c r="A34" s="69">
        <v>-6.0</v>
      </c>
      <c r="B34" s="46" t="str">
        <f t="shared" si="12"/>
        <v>0.5Adesivi</v>
      </c>
      <c r="C34" s="63"/>
      <c r="D34" s="63"/>
      <c r="E34" s="98">
        <v>0.5</v>
      </c>
      <c r="F34" s="64" t="s">
        <v>1638</v>
      </c>
      <c r="G34" s="69">
        <v>-19.0</v>
      </c>
      <c r="H34" s="72">
        <f t="shared" ref="H34:R34" si="18">-$E34*(H$19+H$10)</f>
        <v>-21.5</v>
      </c>
      <c r="I34" s="72">
        <f t="shared" si="18"/>
        <v>-53</v>
      </c>
      <c r="J34" s="72">
        <f t="shared" si="18"/>
        <v>-62.5</v>
      </c>
      <c r="K34" s="72">
        <f t="shared" si="18"/>
        <v>-70</v>
      </c>
      <c r="L34" s="72">
        <f t="shared" si="18"/>
        <v>-159</v>
      </c>
      <c r="M34" s="72">
        <f t="shared" si="18"/>
        <v>-7.5</v>
      </c>
      <c r="N34" s="72">
        <f t="shared" si="18"/>
        <v>0</v>
      </c>
      <c r="O34" s="72">
        <f t="shared" si="18"/>
        <v>0</v>
      </c>
      <c r="P34" s="72">
        <f t="shared" si="18"/>
        <v>0</v>
      </c>
      <c r="Q34" s="72">
        <f t="shared" si="18"/>
        <v>0</v>
      </c>
      <c r="R34" s="72">
        <f t="shared" si="18"/>
        <v>0</v>
      </c>
      <c r="S34" s="45"/>
      <c r="T34" s="72">
        <f t="shared" si="16"/>
        <v>-392.5</v>
      </c>
    </row>
    <row r="35" ht="15.75" hidden="1" customHeight="1" outlineLevel="1">
      <c r="A35" s="69">
        <v>-30.0</v>
      </c>
      <c r="B35" s="46" t="str">
        <f t="shared" si="12"/>
        <v>1E-Commerce Box</v>
      </c>
      <c r="C35" s="63"/>
      <c r="D35" s="63"/>
      <c r="E35" s="99">
        <v>1.0</v>
      </c>
      <c r="F35" s="64" t="s">
        <v>1639</v>
      </c>
      <c r="G35" s="69">
        <v>-97.0</v>
      </c>
      <c r="H35" s="72">
        <f t="shared" ref="H35:R35" si="19">-$E35*H$8</f>
        <v>-32</v>
      </c>
      <c r="I35" s="72">
        <f t="shared" si="19"/>
        <v>-71</v>
      </c>
      <c r="J35" s="72">
        <f t="shared" si="19"/>
        <v>-69</v>
      </c>
      <c r="K35" s="72">
        <f t="shared" si="19"/>
        <v>-102</v>
      </c>
      <c r="L35" s="72">
        <f t="shared" si="19"/>
        <v>-168</v>
      </c>
      <c r="M35" s="72">
        <f t="shared" si="19"/>
        <v>-5</v>
      </c>
      <c r="N35" s="72">
        <f t="shared" si="19"/>
        <v>0</v>
      </c>
      <c r="O35" s="72">
        <f t="shared" si="19"/>
        <v>0</v>
      </c>
      <c r="P35" s="72">
        <f t="shared" si="19"/>
        <v>0</v>
      </c>
      <c r="Q35" s="72">
        <f t="shared" si="19"/>
        <v>0</v>
      </c>
      <c r="R35" s="72">
        <f t="shared" si="19"/>
        <v>0</v>
      </c>
      <c r="S35" s="45"/>
      <c r="T35" s="72">
        <f t="shared" si="16"/>
        <v>-544</v>
      </c>
    </row>
    <row r="36" ht="15.75" hidden="1" customHeight="1" outlineLevel="1">
      <c r="A36" s="69">
        <v>-10.0</v>
      </c>
      <c r="B36" s="46" t="str">
        <f t="shared" si="12"/>
        <v>0.1Carta Velina</v>
      </c>
      <c r="C36" s="63"/>
      <c r="D36" s="63"/>
      <c r="E36" s="98">
        <v>0.1</v>
      </c>
      <c r="F36" s="64" t="s">
        <v>1640</v>
      </c>
      <c r="G36" s="69">
        <v>-32.0</v>
      </c>
      <c r="H36" s="72">
        <f t="shared" ref="H36:R36" si="20">-$E36*(H$19+H$10)</f>
        <v>-4.3</v>
      </c>
      <c r="I36" s="72">
        <f t="shared" si="20"/>
        <v>-10.6</v>
      </c>
      <c r="J36" s="72">
        <f t="shared" si="20"/>
        <v>-12.5</v>
      </c>
      <c r="K36" s="72">
        <f t="shared" si="20"/>
        <v>-14</v>
      </c>
      <c r="L36" s="72">
        <f t="shared" si="20"/>
        <v>-31.8</v>
      </c>
      <c r="M36" s="72">
        <f t="shared" si="20"/>
        <v>-1.5</v>
      </c>
      <c r="N36" s="72">
        <f t="shared" si="20"/>
        <v>0</v>
      </c>
      <c r="O36" s="72">
        <f t="shared" si="20"/>
        <v>0</v>
      </c>
      <c r="P36" s="72">
        <f t="shared" si="20"/>
        <v>0</v>
      </c>
      <c r="Q36" s="72">
        <f t="shared" si="20"/>
        <v>0</v>
      </c>
      <c r="R36" s="72">
        <f t="shared" si="20"/>
        <v>0</v>
      </c>
      <c r="S36" s="45"/>
      <c r="T36" s="72">
        <f t="shared" si="16"/>
        <v>-106.7</v>
      </c>
    </row>
    <row r="37" ht="15.75" hidden="1" customHeight="1" outlineLevel="1">
      <c r="A37" s="69">
        <v>-24.0</v>
      </c>
      <c r="B37" s="46" t="str">
        <f t="shared" si="12"/>
        <v>1.85Sachetto di Cotone</v>
      </c>
      <c r="C37" s="63"/>
      <c r="D37" s="63"/>
      <c r="E37" s="99">
        <v>1.85</v>
      </c>
      <c r="F37" s="64" t="s">
        <v>1641</v>
      </c>
      <c r="G37" s="69">
        <v>-80.0</v>
      </c>
      <c r="H37" s="72">
        <f t="shared" ref="H37:R37" si="21">-$E37*(H$19+H$10)</f>
        <v>-79.55</v>
      </c>
      <c r="I37" s="72">
        <f t="shared" si="21"/>
        <v>-196.1</v>
      </c>
      <c r="J37" s="72">
        <f t="shared" si="21"/>
        <v>-231.25</v>
      </c>
      <c r="K37" s="72">
        <f t="shared" si="21"/>
        <v>-259</v>
      </c>
      <c r="L37" s="72">
        <f t="shared" si="21"/>
        <v>-588.3</v>
      </c>
      <c r="M37" s="72">
        <f t="shared" si="21"/>
        <v>-27.75</v>
      </c>
      <c r="N37" s="72">
        <f t="shared" si="21"/>
        <v>0</v>
      </c>
      <c r="O37" s="72">
        <f t="shared" si="21"/>
        <v>0</v>
      </c>
      <c r="P37" s="72">
        <f t="shared" si="21"/>
        <v>0</v>
      </c>
      <c r="Q37" s="72">
        <f t="shared" si="21"/>
        <v>0</v>
      </c>
      <c r="R37" s="72">
        <f t="shared" si="21"/>
        <v>0</v>
      </c>
      <c r="S37" s="45"/>
      <c r="T37" s="72">
        <f t="shared" si="16"/>
        <v>-1461.95</v>
      </c>
    </row>
    <row r="38" ht="15.75" hidden="1" customHeight="1" outlineLevel="1">
      <c r="A38" s="69">
        <v>-3.0</v>
      </c>
      <c r="B38" s="46" t="str">
        <f t="shared" si="12"/>
        <v>0.76Nastro Sigillante</v>
      </c>
      <c r="C38" s="63"/>
      <c r="D38" s="63"/>
      <c r="E38" s="98">
        <v>0.76</v>
      </c>
      <c r="F38" s="68" t="s">
        <v>1642</v>
      </c>
      <c r="G38" s="69">
        <v>-10.0</v>
      </c>
      <c r="H38" s="72">
        <f t="shared" ref="H38:R38" si="22">-$E38*(H$19+H$10)</f>
        <v>-32.68</v>
      </c>
      <c r="I38" s="72">
        <f t="shared" si="22"/>
        <v>-80.56</v>
      </c>
      <c r="J38" s="72">
        <f t="shared" si="22"/>
        <v>-95</v>
      </c>
      <c r="K38" s="72">
        <f t="shared" si="22"/>
        <v>-106.4</v>
      </c>
      <c r="L38" s="72">
        <f t="shared" si="22"/>
        <v>-241.68</v>
      </c>
      <c r="M38" s="72">
        <f t="shared" si="22"/>
        <v>-11.4</v>
      </c>
      <c r="N38" s="72">
        <f t="shared" si="22"/>
        <v>0</v>
      </c>
      <c r="O38" s="72">
        <f t="shared" si="22"/>
        <v>0</v>
      </c>
      <c r="P38" s="72">
        <f t="shared" si="22"/>
        <v>0</v>
      </c>
      <c r="Q38" s="72">
        <f t="shared" si="22"/>
        <v>0</v>
      </c>
      <c r="R38" s="72">
        <f t="shared" si="22"/>
        <v>0</v>
      </c>
      <c r="S38" s="45"/>
      <c r="T38" s="72">
        <f t="shared" si="16"/>
        <v>-577.72</v>
      </c>
    </row>
    <row r="39" ht="15.75" customHeight="1" collapsed="1">
      <c r="A39" s="69">
        <v>-71.0</v>
      </c>
      <c r="B39" s="46" t="str">
        <f t="shared" si="12"/>
        <v>VariabiliCommissioni sui pagamenti</v>
      </c>
      <c r="C39" s="58" t="s">
        <v>1628</v>
      </c>
      <c r="D39" s="58" t="s">
        <v>1633</v>
      </c>
      <c r="E39" s="59" t="s">
        <v>1634</v>
      </c>
      <c r="F39" s="58" t="s">
        <v>1643</v>
      </c>
      <c r="G39" s="69">
        <v>-212.0</v>
      </c>
      <c r="H39" s="72">
        <f>SUMIFS('DB Shopify'!$CI:$CI,'DB Shopify'!$CC:$CC,CE_TOTALE!H$2,'DB Shopify'!$CD:$CD,CE_TOTALE!H$3)+A39</f>
        <v>-128.66523</v>
      </c>
      <c r="I39" s="72">
        <f>SUMIFS('DB Shopify'!$CI:$CI,'DB Shopify'!$CC:$CC,CE_TOTALE!I$2,'DB Shopify'!$CD:$CD,CE_TOTALE!I$3)</f>
        <v>-237.07651</v>
      </c>
      <c r="J39" s="72">
        <f>SUMIFS('DB Shopify'!$CI:$CI,'DB Shopify'!$CC:$CC,CE_TOTALE!J$2,'DB Shopify'!$CD:$CD,CE_TOTALE!J$3)</f>
        <v>-264.11422</v>
      </c>
      <c r="K39" s="72">
        <f>SUMIFS('DB Shopify'!$CI:$CI,'DB Shopify'!$CC:$CC,CE_TOTALE!K$2,'DB Shopify'!$CD:$CD,CE_TOTALE!K$3)</f>
        <v>-397.02702</v>
      </c>
      <c r="L39" s="72">
        <f>SUMIFS('DB Shopify'!$CI:$CI,'DB Shopify'!$CC:$CC,CE_TOTALE!L$2,'DB Shopify'!$CD:$CD,CE_TOTALE!L$3)</f>
        <v>-577.142606</v>
      </c>
      <c r="M39" s="72">
        <f>SUMIFS('DB Shopify'!$CI:$CI,'DB Shopify'!$CC:$CC,CE_TOTALE!M$2,'DB Shopify'!$CD:$CD,CE_TOTALE!M$3)</f>
        <v>-13.4382</v>
      </c>
      <c r="N39" s="72">
        <f>SUMIFS('DB Shopify'!$CI:$CI,'DB Shopify'!$CC:$CC,CE_TOTALE!N$2,'DB Shopify'!$CD:$CD,CE_TOTALE!N$3)</f>
        <v>0</v>
      </c>
      <c r="O39" s="72">
        <f>SUMIFS('DB Shopify'!$CI:$CI,'DB Shopify'!$CC:$CC,CE_TOTALE!O$2,'DB Shopify'!$CD:$CD,CE_TOTALE!O$3)</f>
        <v>0</v>
      </c>
      <c r="P39" s="72">
        <f>SUMIFS('DB Shopify'!$CI:$CI,'DB Shopify'!$CC:$CC,CE_TOTALE!P$2,'DB Shopify'!$CD:$CD,CE_TOTALE!P$3)</f>
        <v>0</v>
      </c>
      <c r="Q39" s="72">
        <f>SUMIFS('DB Shopify'!$CI:$CI,'DB Shopify'!$CC:$CC,CE_TOTALE!Q$2,'DB Shopify'!$CD:$CD,CE_TOTALE!Q$3)</f>
        <v>0</v>
      </c>
      <c r="R39" s="72">
        <f>SUMIFS('DB Shopify'!$CI:$CI,'DB Shopify'!$CC:$CC,CE_TOTALE!R$2,'DB Shopify'!$CD:$CD,CE_TOTALE!R$3)</f>
        <v>0</v>
      </c>
      <c r="S39" s="45"/>
      <c r="T39" s="72">
        <f t="shared" si="16"/>
        <v>-1829.463786</v>
      </c>
    </row>
    <row r="40" ht="15.75" customHeight="1">
      <c r="A40" s="69">
        <v>-207.0</v>
      </c>
      <c r="B40" s="46" t="str">
        <f t="shared" si="12"/>
        <v>VariabiliLogistica</v>
      </c>
      <c r="C40" s="100" t="s">
        <v>1628</v>
      </c>
      <c r="D40" s="100" t="s">
        <v>1633</v>
      </c>
      <c r="E40" s="96" t="s">
        <v>1634</v>
      </c>
      <c r="F40" s="87" t="s">
        <v>1644</v>
      </c>
      <c r="G40" s="69">
        <v>-1172.0</v>
      </c>
      <c r="H40" s="72">
        <f>A40+ SUMIFS('EXPENSES MASTER'!$F:$F,'EXPENSES MASTER'!$G:$G,CE_TOTALE!$F$48,'EXPENSES MASTER'!$A:$A,CE_TOTALE!H$2,'EXPENSES MASTER'!$B:$B,CE_TOTALE!H$3,'EXPENSES MASTER'!$H:$H,CE_TOTALE!$A40)</f>
        <v>-207</v>
      </c>
      <c r="I40" s="72">
        <f>SUMIFS('EXPENSES MASTER'!$F:$F,'EXPENSES MASTER'!$G:$G,CE_TOTALE!$F$48,'EXPENSES MASTER'!$A:$A,CE_TOTALE!I$2,'EXPENSES MASTER'!$B:$B,CE_TOTALE!I$3,'EXPENSES MASTER'!$H:$H,CE_TOTALE!$A40)</f>
        <v>0</v>
      </c>
      <c r="J40" s="72">
        <f>SUMIFS('EXPENSES MASTER'!$F:$F,'EXPENSES MASTER'!$G:$G,CE_TOTALE!$F$48,'EXPENSES MASTER'!$A:$A,CE_TOTALE!J$2,'EXPENSES MASTER'!$B:$B,CE_TOTALE!J$3,'EXPENSES MASTER'!$H:$H,CE_TOTALE!$A40)</f>
        <v>0</v>
      </c>
      <c r="K40" s="72">
        <f>SUMIFS('EXPENSES MASTER'!$F:$F,'EXPENSES MASTER'!$G:$G,CE_TOTALE!$F$48,'EXPENSES MASTER'!$A:$A,CE_TOTALE!K$2,'EXPENSES MASTER'!$B:$B,CE_TOTALE!K$3,'EXPENSES MASTER'!$H:$H,CE_TOTALE!$A40)</f>
        <v>0</v>
      </c>
      <c r="L40" s="72">
        <f>SUMIFS('EXPENSES MASTER'!$F:$F,'EXPENSES MASTER'!$G:$G,CE_TOTALE!$F$48,'EXPENSES MASTER'!$A:$A,CE_TOTALE!L$2,'EXPENSES MASTER'!$B:$B,CE_TOTALE!L$3,'EXPENSES MASTER'!$H:$H,CE_TOTALE!$A40)</f>
        <v>0</v>
      </c>
      <c r="M40" s="72">
        <f>SUMIFS('EXPENSES MASTER'!$F:$F,'EXPENSES MASTER'!$G:$G,CE_TOTALE!$F$48,'EXPENSES MASTER'!$A:$A,CE_TOTALE!M$2,'EXPENSES MASTER'!$B:$B,CE_TOTALE!M$3,'EXPENSES MASTER'!$H:$H,CE_TOTALE!$A40)</f>
        <v>0</v>
      </c>
      <c r="N40" s="72">
        <f>SUMIFS('EXPENSES MASTER'!$F:$F,'EXPENSES MASTER'!$G:$G,CE_TOTALE!$F$48,'EXPENSES MASTER'!$A:$A,CE_TOTALE!N$2,'EXPENSES MASTER'!$B:$B,CE_TOTALE!N$3,'EXPENSES MASTER'!$H:$H,CE_TOTALE!$A40)</f>
        <v>0</v>
      </c>
      <c r="O40" s="72">
        <f>SUMIFS('EXPENSES MASTER'!$F:$F,'EXPENSES MASTER'!$G:$G,CE_TOTALE!$F$48,'EXPENSES MASTER'!$A:$A,CE_TOTALE!O$2,'EXPENSES MASTER'!$B:$B,CE_TOTALE!O$3,'EXPENSES MASTER'!$H:$H,CE_TOTALE!$A40)</f>
        <v>0</v>
      </c>
      <c r="P40" s="72">
        <f>SUMIFS('EXPENSES MASTER'!$F:$F,'EXPENSES MASTER'!$G:$G,CE_TOTALE!$F$48,'EXPENSES MASTER'!$A:$A,CE_TOTALE!P$2,'EXPENSES MASTER'!$B:$B,CE_TOTALE!P$3,'EXPENSES MASTER'!$H:$H,CE_TOTALE!$A40)</f>
        <v>0</v>
      </c>
      <c r="Q40" s="72">
        <f>SUMIFS('EXPENSES MASTER'!$F:$F,'EXPENSES MASTER'!$G:$G,CE_TOTALE!$F$48,'EXPENSES MASTER'!$A:$A,CE_TOTALE!Q$2,'EXPENSES MASTER'!$B:$B,CE_TOTALE!Q$3,'EXPENSES MASTER'!$H:$H,CE_TOTALE!$A40)</f>
        <v>0</v>
      </c>
      <c r="R40" s="72">
        <f>SUMIFS('EXPENSES MASTER'!$F:$F,'EXPENSES MASTER'!$G:$G,CE_TOTALE!$F$48,'EXPENSES MASTER'!$A:$A,CE_TOTALE!R$2,'EXPENSES MASTER'!$B:$B,CE_TOTALE!R$3,'EXPENSES MASTER'!$H:$H,CE_TOTALE!$A40)</f>
        <v>0</v>
      </c>
      <c r="S40" s="45"/>
      <c r="T40" s="72">
        <f t="shared" si="16"/>
        <v>-1379</v>
      </c>
    </row>
    <row r="41" ht="15.75" customHeight="1">
      <c r="A41" s="69">
        <v>-220.0</v>
      </c>
      <c r="B41" s="46" t="str">
        <f t="shared" si="12"/>
        <v>VariabiliResi</v>
      </c>
      <c r="C41" s="58" t="s">
        <v>1628</v>
      </c>
      <c r="D41" s="58" t="s">
        <v>1633</v>
      </c>
      <c r="E41" s="59" t="s">
        <v>1634</v>
      </c>
      <c r="F41" s="58" t="s">
        <v>1645</v>
      </c>
      <c r="G41" s="69">
        <v>-209.0</v>
      </c>
      <c r="H41" s="72">
        <f>A41-SUMIFS('DB Shopify'!$AX:$AX,'DB Shopify'!$CC:$CC,CE_TOTALE!H$2,'DB Shopify'!$CD:$CD,CE_TOTALE!H$3)</f>
        <v>-226.9</v>
      </c>
      <c r="I41" s="72">
        <f>-SUMIFS('DB Shopify'!$AX:$AX,'DB Shopify'!$CC:$CC,CE_TOTALE!I$2,'DB Shopify'!$CD:$CD,CE_TOTALE!I$3)</f>
        <v>0</v>
      </c>
      <c r="J41" s="72">
        <f>-SUMIFS('DB Shopify'!$AX:$AX,'DB Shopify'!$CC:$CC,CE_TOTALE!J$2,'DB Shopify'!$CD:$CD,CE_TOTALE!J$3)</f>
        <v>0</v>
      </c>
      <c r="K41" s="72">
        <f>-SUMIFS('DB Shopify'!$AX:$AX,'DB Shopify'!$CC:$CC,CE_TOTALE!K$2,'DB Shopify'!$CD:$CD,CE_TOTALE!K$3)</f>
        <v>-336</v>
      </c>
      <c r="L41" s="72">
        <f>-SUMIFS('DB Shopify'!$AX:$AX,'DB Shopify'!$CC:$CC,CE_TOTALE!L$2,'DB Shopify'!$CD:$CD,CE_TOTALE!L$3)</f>
        <v>-530.5</v>
      </c>
      <c r="M41" s="72">
        <f>-SUMIFS('DB Shopify'!$AX:$AX,'DB Shopify'!$CC:$CC,CE_TOTALE!M$2,'DB Shopify'!$CD:$CD,CE_TOTALE!M$3)</f>
        <v>0</v>
      </c>
      <c r="N41" s="72">
        <f>-SUMIFS('DB Shopify'!$AX:$AX,'DB Shopify'!$CC:$CC,CE_TOTALE!N$2,'DB Shopify'!$CD:$CD,CE_TOTALE!N$3)</f>
        <v>0</v>
      </c>
      <c r="O41" s="72">
        <f>-SUMIFS('DB Shopify'!$AX:$AX,'DB Shopify'!$CC:$CC,CE_TOTALE!O$2,'DB Shopify'!$CD:$CD,CE_TOTALE!O$3)</f>
        <v>0</v>
      </c>
      <c r="P41" s="72">
        <f>-SUMIFS('DB Shopify'!$AX:$AX,'DB Shopify'!$CC:$CC,CE_TOTALE!P$2,'DB Shopify'!$CD:$CD,CE_TOTALE!P$3)</f>
        <v>0</v>
      </c>
      <c r="Q41" s="72">
        <f>-SUMIFS('DB Shopify'!$AX:$AX,'DB Shopify'!$CC:$CC,CE_TOTALE!Q$2,'DB Shopify'!$CD:$CD,CE_TOTALE!Q$3)</f>
        <v>0</v>
      </c>
      <c r="R41" s="72">
        <f>-SUMIFS('DB Shopify'!$AX:$AX,'DB Shopify'!$CC:$CC,CE_TOTALE!R$2,'DB Shopify'!$CD:$CD,CE_TOTALE!R$3)</f>
        <v>0</v>
      </c>
      <c r="S41" s="45"/>
      <c r="T41" s="72">
        <f t="shared" si="16"/>
        <v>-1302.4</v>
      </c>
    </row>
    <row r="42" ht="15.75" customHeight="1">
      <c r="A42" s="73">
        <v>-1185.0</v>
      </c>
      <c r="B42" s="46" t="str">
        <f t="shared" si="12"/>
        <v>VariabiliTotal</v>
      </c>
      <c r="C42" s="74" t="s">
        <v>1628</v>
      </c>
      <c r="D42" s="74" t="s">
        <v>1633</v>
      </c>
      <c r="E42" s="101" t="s">
        <v>1634</v>
      </c>
      <c r="F42" s="74" t="s">
        <v>1646</v>
      </c>
      <c r="G42" s="73">
        <v>-3646.0</v>
      </c>
      <c r="H42" s="76">
        <f t="shared" ref="H42:R42" si="23">H31+H32+H39+H40+H41</f>
        <v>-2194.80523</v>
      </c>
      <c r="I42" s="76">
        <f t="shared" si="23"/>
        <v>-3533.75651</v>
      </c>
      <c r="J42" s="76">
        <f t="shared" si="23"/>
        <v>-3820.51422</v>
      </c>
      <c r="K42" s="76">
        <f t="shared" si="23"/>
        <v>-4636.78702</v>
      </c>
      <c r="L42" s="76">
        <f t="shared" si="23"/>
        <v>-9157.282606</v>
      </c>
      <c r="M42" s="76">
        <f t="shared" si="23"/>
        <v>-205.0882</v>
      </c>
      <c r="N42" s="76">
        <f t="shared" si="23"/>
        <v>0</v>
      </c>
      <c r="O42" s="76">
        <f t="shared" si="23"/>
        <v>0</v>
      </c>
      <c r="P42" s="76">
        <f t="shared" si="23"/>
        <v>0</v>
      </c>
      <c r="Q42" s="76">
        <f t="shared" si="23"/>
        <v>0</v>
      </c>
      <c r="R42" s="76">
        <f t="shared" si="23"/>
        <v>0</v>
      </c>
      <c r="S42" s="45"/>
      <c r="T42" s="76">
        <f t="shared" si="16"/>
        <v>-27194.23379</v>
      </c>
    </row>
    <row r="43" ht="15.75" customHeight="1">
      <c r="A43" s="93"/>
      <c r="B43" s="46" t="str">
        <f t="shared" si="12"/>
        <v/>
      </c>
      <c r="C43" s="102"/>
      <c r="D43" s="45"/>
      <c r="E43" s="45"/>
      <c r="F43" s="45"/>
      <c r="G43" s="94"/>
      <c r="H43" s="94"/>
      <c r="I43" s="94"/>
      <c r="J43" s="94"/>
      <c r="K43" s="94"/>
      <c r="L43" s="94"/>
      <c r="M43" s="94"/>
      <c r="N43" s="94"/>
      <c r="O43" s="94"/>
      <c r="P43" s="94"/>
      <c r="Q43" s="94"/>
      <c r="R43" s="94"/>
      <c r="S43" s="45"/>
      <c r="T43" s="103">
        <f>1+T42/T29</f>
        <v>0.5585815678</v>
      </c>
    </row>
    <row r="44" ht="15.75" customHeight="1">
      <c r="A44" s="104">
        <v>123.0</v>
      </c>
      <c r="B44" s="46" t="str">
        <f t="shared" si="12"/>
        <v>OmnichannelMargine di Contribuzione_1</v>
      </c>
      <c r="C44" s="45"/>
      <c r="D44" s="45"/>
      <c r="E44" s="90" t="s">
        <v>1632</v>
      </c>
      <c r="F44" s="105" t="s">
        <v>1647</v>
      </c>
      <c r="G44" s="106">
        <f t="shared" ref="G44:R44" si="24">G29+G42</f>
        <v>802</v>
      </c>
      <c r="H44" s="106">
        <f t="shared" si="24"/>
        <v>1636.67018</v>
      </c>
      <c r="I44" s="106">
        <f t="shared" si="24"/>
        <v>5509.276277</v>
      </c>
      <c r="J44" s="106">
        <f t="shared" si="24"/>
        <v>6300.551354</v>
      </c>
      <c r="K44" s="106">
        <f t="shared" si="24"/>
        <v>7649.770357</v>
      </c>
      <c r="L44" s="106">
        <f t="shared" si="24"/>
        <v>11433.97969</v>
      </c>
      <c r="M44" s="106">
        <f t="shared" si="24"/>
        <v>1079.993767</v>
      </c>
      <c r="N44" s="106">
        <f t="shared" si="24"/>
        <v>0</v>
      </c>
      <c r="O44" s="106">
        <f t="shared" si="24"/>
        <v>0</v>
      </c>
      <c r="P44" s="106">
        <f t="shared" si="24"/>
        <v>0</v>
      </c>
      <c r="Q44" s="106">
        <f t="shared" si="24"/>
        <v>0</v>
      </c>
      <c r="R44" s="106">
        <f t="shared" si="24"/>
        <v>0</v>
      </c>
      <c r="S44" s="45"/>
      <c r="T44" s="106">
        <f>SUM(G44:R44)</f>
        <v>34412.24162</v>
      </c>
    </row>
    <row r="45" ht="15.75" customHeight="1">
      <c r="A45" s="45"/>
      <c r="B45" s="46" t="str">
        <f t="shared" si="12"/>
        <v/>
      </c>
      <c r="C45" s="45"/>
      <c r="D45" s="45"/>
      <c r="E45" s="45"/>
      <c r="F45" s="45"/>
      <c r="G45" s="107">
        <f t="shared" ref="G45:R45" si="25">IFERROR(G44/G29, 0)</f>
        <v>0.1803057554</v>
      </c>
      <c r="H45" s="107">
        <f t="shared" si="25"/>
        <v>0.4271644745</v>
      </c>
      <c r="I45" s="107">
        <f t="shared" si="25"/>
        <v>0.6092288292</v>
      </c>
      <c r="J45" s="107">
        <f t="shared" si="25"/>
        <v>0.6225185785</v>
      </c>
      <c r="K45" s="107">
        <f t="shared" si="25"/>
        <v>0.6226130007</v>
      </c>
      <c r="L45" s="107">
        <f t="shared" si="25"/>
        <v>0.5552830868</v>
      </c>
      <c r="M45" s="107">
        <f t="shared" si="25"/>
        <v>0.8404084679</v>
      </c>
      <c r="N45" s="107">
        <f t="shared" si="25"/>
        <v>0</v>
      </c>
      <c r="O45" s="107">
        <f t="shared" si="25"/>
        <v>0</v>
      </c>
      <c r="P45" s="107">
        <f t="shared" si="25"/>
        <v>0</v>
      </c>
      <c r="Q45" s="107">
        <f t="shared" si="25"/>
        <v>0</v>
      </c>
      <c r="R45" s="107">
        <f t="shared" si="25"/>
        <v>0</v>
      </c>
      <c r="S45" s="45"/>
      <c r="T45" s="107">
        <f>T44/T29</f>
        <v>0.5585815678</v>
      </c>
    </row>
    <row r="46" ht="15.75" customHeight="1">
      <c r="A46" s="45"/>
      <c r="B46" s="46" t="str">
        <f t="shared" si="12"/>
        <v>FissiSALARI</v>
      </c>
      <c r="C46" s="58" t="s">
        <v>1628</v>
      </c>
      <c r="D46" s="58" t="s">
        <v>1633</v>
      </c>
      <c r="E46" s="59" t="s">
        <v>1648</v>
      </c>
      <c r="F46" s="108" t="s">
        <v>1649</v>
      </c>
      <c r="G46" s="72">
        <f>SUMIFS('EXPENSES MASTER'!$F:$F,'EXPENSES MASTER'!$G:$G,CE_TOTALE!$F46,'EXPENSES MASTER'!$B:$B,CE_TOTALE!G$3,'EXPENSES MASTER'!$A:$A,CE_TOTALE!G$2)</f>
        <v>0</v>
      </c>
      <c r="H46" s="72">
        <f>SUMIFS('EXPENSES MASTER'!$F:$F,'EXPENSES MASTER'!$G:$G,CE_TOTALE!$F46,'EXPENSES MASTER'!$B:$B,CE_TOTALE!H$3,'EXPENSES MASTER'!$A:$A,CE_TOTALE!H$2)</f>
        <v>-270</v>
      </c>
      <c r="I46" s="72">
        <f>SUMIFS('EXPENSES MASTER'!$F:$F,'EXPENSES MASTER'!$G:$G,CE_TOTALE!$F46,'EXPENSES MASTER'!$B:$B,CE_TOTALE!I$3,'EXPENSES MASTER'!$A:$A,CE_TOTALE!I$2)</f>
        <v>-1630</v>
      </c>
      <c r="J46" s="72">
        <f>SUMIFS('EXPENSES MASTER'!$F:$F,'EXPENSES MASTER'!$G:$G,CE_TOTALE!$F46,'EXPENSES MASTER'!$B:$B,CE_TOTALE!J$3,'EXPENSES MASTER'!$A:$A,CE_TOTALE!J$2)</f>
        <v>-1552</v>
      </c>
      <c r="K46" s="72">
        <f>SUMIFS('EXPENSES MASTER'!$F:$F,'EXPENSES MASTER'!$G:$G,CE_TOTALE!$F46,'EXPENSES MASTER'!$B:$B,CE_TOTALE!K$3,'EXPENSES MASTER'!$A:$A,CE_TOTALE!K$2)</f>
        <v>0</v>
      </c>
      <c r="L46" s="72">
        <f>SUMIFS('EXPENSES MASTER'!$F:$F,'EXPENSES MASTER'!$G:$G,CE_TOTALE!$F46,'EXPENSES MASTER'!$B:$B,CE_TOTALE!L$3,'EXPENSES MASTER'!$A:$A,CE_TOTALE!L$2)</f>
        <v>0</v>
      </c>
      <c r="M46" s="72">
        <f>SUMIFS('EXPENSES MASTER'!$F:$F,'EXPENSES MASTER'!$G:$G,CE_TOTALE!$F46,'EXPENSES MASTER'!$B:$B,CE_TOTALE!M$3,'EXPENSES MASTER'!$A:$A,CE_TOTALE!M$2)</f>
        <v>0</v>
      </c>
      <c r="N46" s="72">
        <f>SUMIFS('EXPENSES MASTER'!$F:$F,'EXPENSES MASTER'!$G:$G,CE_TOTALE!$F46,'EXPENSES MASTER'!$B:$B,CE_TOTALE!N$3,'EXPENSES MASTER'!$A:$A,CE_TOTALE!N$2)</f>
        <v>0</v>
      </c>
      <c r="O46" s="72">
        <f>SUMIFS('EXPENSES MASTER'!$F:$F,'EXPENSES MASTER'!$G:$G,CE_TOTALE!$F46,'EXPENSES MASTER'!$B:$B,CE_TOTALE!O$3,'EXPENSES MASTER'!$A:$A,CE_TOTALE!O$2)</f>
        <v>0</v>
      </c>
      <c r="P46" s="72">
        <f>SUMIFS('EXPENSES MASTER'!$F:$F,'EXPENSES MASTER'!$G:$G,CE_TOTALE!$F46,'EXPENSES MASTER'!$B:$B,CE_TOTALE!P$3,'EXPENSES MASTER'!$A:$A,CE_TOTALE!P$2)</f>
        <v>0</v>
      </c>
      <c r="Q46" s="72">
        <f>SUMIFS('EXPENSES MASTER'!$F:$F,'EXPENSES MASTER'!$G:$G,CE_TOTALE!$F46,'EXPENSES MASTER'!$B:$B,CE_TOTALE!Q$3,'EXPENSES MASTER'!$A:$A,CE_TOTALE!Q$2)</f>
        <v>0</v>
      </c>
      <c r="R46" s="72">
        <f>SUMIFS('EXPENSES MASTER'!$F:$F,'EXPENSES MASTER'!$G:$G,CE_TOTALE!$F46,'EXPENSES MASTER'!$B:$B,CE_TOTALE!R$3,'EXPENSES MASTER'!$A:$A,CE_TOTALE!R$2)</f>
        <v>0</v>
      </c>
      <c r="S46" s="45"/>
      <c r="T46" s="72">
        <f t="shared" ref="T46:T60" si="26">SUM(G46:R46)</f>
        <v>-3452</v>
      </c>
    </row>
    <row r="47" ht="15.75" customHeight="1">
      <c r="A47" s="109"/>
      <c r="B47" s="46" t="str">
        <f t="shared" si="12"/>
        <v>FissiTASSE</v>
      </c>
      <c r="C47" s="58" t="s">
        <v>1628</v>
      </c>
      <c r="D47" s="58" t="s">
        <v>1633</v>
      </c>
      <c r="E47" s="59" t="s">
        <v>1648</v>
      </c>
      <c r="F47" s="108" t="s">
        <v>1650</v>
      </c>
      <c r="G47" s="72">
        <f>SUMIFS('EXPENSES MASTER'!$F:$F,'EXPENSES MASTER'!$G:$G,CE_TOTALE!$F47,'EXPENSES MASTER'!$B:$B,CE_TOTALE!G$3,'EXPENSES MASTER'!$A:$A,CE_TOTALE!G$2)</f>
        <v>0</v>
      </c>
      <c r="H47" s="72">
        <f>SUMIFS('EXPENSES MASTER'!$F:$F,'EXPENSES MASTER'!$G:$G,CE_TOTALE!$F47,'EXPENSES MASTER'!$B:$B,CE_TOTALE!H$3,'EXPENSES MASTER'!$A:$A,CE_TOTALE!H$2)</f>
        <v>0</v>
      </c>
      <c r="I47" s="72">
        <f>SUMIFS('EXPENSES MASTER'!$F:$F,'EXPENSES MASTER'!$G:$G,CE_TOTALE!$F47,'EXPENSES MASTER'!$B:$B,CE_TOTALE!I$3,'EXPENSES MASTER'!$A:$A,CE_TOTALE!I$2)</f>
        <v>-1321.87</v>
      </c>
      <c r="J47" s="72">
        <f>SUMIFS('EXPENSES MASTER'!$F:$F,'EXPENSES MASTER'!$G:$G,CE_TOTALE!$F47,'EXPENSES MASTER'!$B:$B,CE_TOTALE!J$3,'EXPENSES MASTER'!$A:$A,CE_TOTALE!J$2)</f>
        <v>-236.57</v>
      </c>
      <c r="K47" s="72">
        <f>SUMIFS('EXPENSES MASTER'!$F:$F,'EXPENSES MASTER'!$G:$G,CE_TOTALE!$F47,'EXPENSES MASTER'!$B:$B,CE_TOTALE!K$3,'EXPENSES MASTER'!$A:$A,CE_TOTALE!K$2)</f>
        <v>-800.41</v>
      </c>
      <c r="L47" s="72">
        <f>SUMIFS('EXPENSES MASTER'!$F:$F,'EXPENSES MASTER'!$G:$G,CE_TOTALE!$F47,'EXPENSES MASTER'!$B:$B,CE_TOTALE!L$3,'EXPENSES MASTER'!$A:$A,CE_TOTALE!L$2)</f>
        <v>-1848.99</v>
      </c>
      <c r="M47" s="72">
        <f>SUMIFS('EXPENSES MASTER'!$F:$F,'EXPENSES MASTER'!$G:$G,CE_TOTALE!$F47,'EXPENSES MASTER'!$B:$B,CE_TOTALE!M$3,'EXPENSES MASTER'!$A:$A,CE_TOTALE!M$2)</f>
        <v>0</v>
      </c>
      <c r="N47" s="72">
        <f>SUMIFS('EXPENSES MASTER'!$F:$F,'EXPENSES MASTER'!$G:$G,CE_TOTALE!$F47,'EXPENSES MASTER'!$B:$B,CE_TOTALE!N$3,'EXPENSES MASTER'!$A:$A,CE_TOTALE!N$2)</f>
        <v>0</v>
      </c>
      <c r="O47" s="72">
        <f>SUMIFS('EXPENSES MASTER'!$F:$F,'EXPENSES MASTER'!$G:$G,CE_TOTALE!$F47,'EXPENSES MASTER'!$B:$B,CE_TOTALE!O$3,'EXPENSES MASTER'!$A:$A,CE_TOTALE!O$2)</f>
        <v>0</v>
      </c>
      <c r="P47" s="72">
        <f>SUMIFS('EXPENSES MASTER'!$F:$F,'EXPENSES MASTER'!$G:$G,CE_TOTALE!$F47,'EXPENSES MASTER'!$B:$B,CE_TOTALE!P$3,'EXPENSES MASTER'!$A:$A,CE_TOTALE!P$2)</f>
        <v>0</v>
      </c>
      <c r="Q47" s="72">
        <f>SUMIFS('EXPENSES MASTER'!$F:$F,'EXPENSES MASTER'!$G:$G,CE_TOTALE!$F47,'EXPENSES MASTER'!$B:$B,CE_TOTALE!Q$3,'EXPENSES MASTER'!$A:$A,CE_TOTALE!Q$2)</f>
        <v>0</v>
      </c>
      <c r="R47" s="72">
        <f>SUMIFS('EXPENSES MASTER'!$F:$F,'EXPENSES MASTER'!$G:$G,CE_TOTALE!$F47,'EXPENSES MASTER'!$B:$B,CE_TOTALE!R$3,'EXPENSES MASTER'!$A:$A,CE_TOTALE!R$2)</f>
        <v>0</v>
      </c>
      <c r="S47" s="45"/>
      <c r="T47" s="72">
        <f t="shared" si="26"/>
        <v>-4207.84</v>
      </c>
    </row>
    <row r="48" ht="15.75" customHeight="1">
      <c r="A48" s="102" t="s">
        <v>1651</v>
      </c>
      <c r="B48" s="46" t="str">
        <f t="shared" si="12"/>
        <v>FissiLOGISTICA</v>
      </c>
      <c r="C48" s="58" t="s">
        <v>1628</v>
      </c>
      <c r="D48" s="58" t="s">
        <v>1633</v>
      </c>
      <c r="E48" s="59" t="s">
        <v>1648</v>
      </c>
      <c r="F48" s="110" t="s">
        <v>1652</v>
      </c>
      <c r="G48" s="72">
        <f>SUMIFS('EXPENSES MASTER'!$F:$F,'EXPENSES MASTER'!$G:$G,CE_TOTALE!$F$48,'EXPENSES MASTER'!$A:$A,CE_TOTALE!G$2,'EXPENSES MASTER'!$B:$B,CE_TOTALE!G$3,'EXPENSES MASTER'!$H:$H,CE_TOTALE!$A48)</f>
        <v>0</v>
      </c>
      <c r="H48" s="72">
        <f>SUMIFS('EXPENSES MASTER'!$F:$F,'EXPENSES MASTER'!$G:$G,CE_TOTALE!$F$48,'EXPENSES MASTER'!$A:$A,CE_TOTALE!H$2,'EXPENSES MASTER'!$B:$B,CE_TOTALE!H$3,'EXPENSES MASTER'!$H:$H,CE_TOTALE!$A48)</f>
        <v>0</v>
      </c>
      <c r="I48" s="72">
        <f>SUMIFS('EXPENSES MASTER'!$F:$F,'EXPENSES MASTER'!$G:$G,CE_TOTALE!$F$48,'EXPENSES MASTER'!$A:$A,CE_TOTALE!I$2,'EXPENSES MASTER'!$B:$B,CE_TOTALE!I$3,'EXPENSES MASTER'!$H:$H,CE_TOTALE!$A48)</f>
        <v>0</v>
      </c>
      <c r="J48" s="72">
        <f>SUMIFS('EXPENSES MASTER'!$F:$F,'EXPENSES MASTER'!$G:$G,CE_TOTALE!$F$48,'EXPENSES MASTER'!$A:$A,CE_TOTALE!J$2,'EXPENSES MASTER'!$B:$B,CE_TOTALE!J$3,'EXPENSES MASTER'!$H:$H,CE_TOTALE!$A48)</f>
        <v>-555.06</v>
      </c>
      <c r="K48" s="72">
        <f>SUMIFS('EXPENSES MASTER'!$F:$F,'EXPENSES MASTER'!$G:$G,CE_TOTALE!$F$48,'EXPENSES MASTER'!$A:$A,CE_TOTALE!K$2,'EXPENSES MASTER'!$B:$B,CE_TOTALE!K$3,'EXPENSES MASTER'!$H:$H,CE_TOTALE!$A48)</f>
        <v>-355.23</v>
      </c>
      <c r="L48" s="72">
        <f>SUMIFS('EXPENSES MASTER'!$F:$F,'EXPENSES MASTER'!$G:$G,CE_TOTALE!$F$48,'EXPENSES MASTER'!$A:$A,CE_TOTALE!L$2,'EXPENSES MASTER'!$B:$B,CE_TOTALE!L$3,'EXPENSES MASTER'!$H:$H,CE_TOTALE!$A48)</f>
        <v>0</v>
      </c>
      <c r="M48" s="72">
        <f>SUMIFS('EXPENSES MASTER'!$F:$F,'EXPENSES MASTER'!$G:$G,CE_TOTALE!$F$48,'EXPENSES MASTER'!$A:$A,CE_TOTALE!M$2,'EXPENSES MASTER'!$B:$B,CE_TOTALE!M$3,'EXPENSES MASTER'!$H:$H,CE_TOTALE!$A48)</f>
        <v>0</v>
      </c>
      <c r="N48" s="72">
        <f>SUMIFS('EXPENSES MASTER'!$F:$F,'EXPENSES MASTER'!$G:$G,CE_TOTALE!$F$48,'EXPENSES MASTER'!$A:$A,CE_TOTALE!N$2,'EXPENSES MASTER'!$B:$B,CE_TOTALE!N$3,'EXPENSES MASTER'!$H:$H,CE_TOTALE!$A48)</f>
        <v>0</v>
      </c>
      <c r="O48" s="72">
        <f>SUMIFS('EXPENSES MASTER'!$F:$F,'EXPENSES MASTER'!$G:$G,CE_TOTALE!$F$48,'EXPENSES MASTER'!$A:$A,CE_TOTALE!O$2,'EXPENSES MASTER'!$B:$B,CE_TOTALE!O$3,'EXPENSES MASTER'!$H:$H,CE_TOTALE!$A48)</f>
        <v>0</v>
      </c>
      <c r="P48" s="72">
        <f>SUMIFS('EXPENSES MASTER'!$F:$F,'EXPENSES MASTER'!$G:$G,CE_TOTALE!$F$48,'EXPENSES MASTER'!$A:$A,CE_TOTALE!P$2,'EXPENSES MASTER'!$B:$B,CE_TOTALE!P$3,'EXPENSES MASTER'!$H:$H,CE_TOTALE!$A48)</f>
        <v>0</v>
      </c>
      <c r="Q48" s="72">
        <f>SUMIFS('EXPENSES MASTER'!$F:$F,'EXPENSES MASTER'!$G:$G,CE_TOTALE!$F$48,'EXPENSES MASTER'!$A:$A,CE_TOTALE!Q$2,'EXPENSES MASTER'!$B:$B,CE_TOTALE!Q$3,'EXPENSES MASTER'!$H:$H,CE_TOTALE!$A48)</f>
        <v>0</v>
      </c>
      <c r="R48" s="72">
        <f>SUMIFS('EXPENSES MASTER'!$F:$F,'EXPENSES MASTER'!$G:$G,CE_TOTALE!$F$48,'EXPENSES MASTER'!$A:$A,CE_TOTALE!R$2,'EXPENSES MASTER'!$B:$B,CE_TOTALE!R$3,'EXPENSES MASTER'!$H:$H,CE_TOTALE!$A48)</f>
        <v>0</v>
      </c>
      <c r="S48" s="45"/>
      <c r="T48" s="72">
        <f t="shared" si="26"/>
        <v>-910.29</v>
      </c>
    </row>
    <row r="49" ht="15.75" customHeight="1">
      <c r="A49" s="45"/>
      <c r="B49" s="46" t="str">
        <f t="shared" si="12"/>
        <v>FissiOPEX</v>
      </c>
      <c r="C49" s="58" t="s">
        <v>1628</v>
      </c>
      <c r="D49" s="58" t="s">
        <v>1633</v>
      </c>
      <c r="E49" s="59" t="s">
        <v>1648</v>
      </c>
      <c r="F49" s="110" t="s">
        <v>1653</v>
      </c>
      <c r="G49" s="72">
        <f t="shared" ref="G49:R49" si="27">SUM(G50:G54)</f>
        <v>-1410.15</v>
      </c>
      <c r="H49" s="72">
        <f t="shared" si="27"/>
        <v>-926.53</v>
      </c>
      <c r="I49" s="72">
        <f t="shared" si="27"/>
        <v>-2410.54</v>
      </c>
      <c r="J49" s="72">
        <f t="shared" si="27"/>
        <v>-1294.31</v>
      </c>
      <c r="K49" s="72">
        <f t="shared" si="27"/>
        <v>-3289.47</v>
      </c>
      <c r="L49" s="72">
        <f t="shared" si="27"/>
        <v>-1288.96</v>
      </c>
      <c r="M49" s="72">
        <f t="shared" si="27"/>
        <v>0</v>
      </c>
      <c r="N49" s="72">
        <f t="shared" si="27"/>
        <v>0</v>
      </c>
      <c r="O49" s="72">
        <f t="shared" si="27"/>
        <v>0</v>
      </c>
      <c r="P49" s="72">
        <f t="shared" si="27"/>
        <v>0</v>
      </c>
      <c r="Q49" s="72">
        <f t="shared" si="27"/>
        <v>0</v>
      </c>
      <c r="R49" s="72">
        <f t="shared" si="27"/>
        <v>0</v>
      </c>
      <c r="S49" s="45"/>
      <c r="T49" s="72">
        <f t="shared" si="26"/>
        <v>-10619.96</v>
      </c>
    </row>
    <row r="50" ht="15.75" customHeight="1" outlineLevel="1">
      <c r="A50" s="45"/>
      <c r="B50" s="46" t="str">
        <f t="shared" si="12"/>
        <v>Legale_Commercialista</v>
      </c>
      <c r="C50" s="111"/>
      <c r="D50" s="63"/>
      <c r="E50" s="112"/>
      <c r="F50" s="64" t="s">
        <v>1654</v>
      </c>
      <c r="G50" s="72">
        <f>SUMIFS('EXPENSES MASTER'!$F:$F,'EXPENSES MASTER'!$G:$G,CE_TOTALE!$F$49,'EXPENSES MASTER'!$A:$A,CE_TOTALE!G$2,'EXPENSES MASTER'!$B:$B,CE_TOTALE!G$3,'EXPENSES MASTER'!$H:$H,CE_TOTALE!$F50)</f>
        <v>0</v>
      </c>
      <c r="H50" s="72">
        <f>SUMIFS('EXPENSES MASTER'!$F:$F,'EXPENSES MASTER'!$G:$G,CE_TOTALE!$F$49,'EXPENSES MASTER'!$A:$A,CE_TOTALE!H$2,'EXPENSES MASTER'!$B:$B,CE_TOTALE!H$3,'EXPENSES MASTER'!$H:$H,CE_TOTALE!$F50)</f>
        <v>0</v>
      </c>
      <c r="I50" s="72">
        <f>SUMIFS('EXPENSES MASTER'!$F:$F,'EXPENSES MASTER'!$G:$G,CE_TOTALE!$F$49,'EXPENSES MASTER'!$A:$A,CE_TOTALE!I$2,'EXPENSES MASTER'!$B:$B,CE_TOTALE!I$3,'EXPENSES MASTER'!$H:$H,CE_TOTALE!$F50)</f>
        <v>0</v>
      </c>
      <c r="J50" s="72">
        <f>SUMIFS('EXPENSES MASTER'!$F:$F,'EXPENSES MASTER'!$G:$G,CE_TOTALE!$F$49,'EXPENSES MASTER'!$A:$A,CE_TOTALE!J$2,'EXPENSES MASTER'!$B:$B,CE_TOTALE!J$3,'EXPENSES MASTER'!$H:$H,CE_TOTALE!$F50)</f>
        <v>-1020.68</v>
      </c>
      <c r="K50" s="72">
        <f>SUMIFS('EXPENSES MASTER'!$F:$F,'EXPENSES MASTER'!$G:$G,CE_TOTALE!$F$49,'EXPENSES MASTER'!$A:$A,CE_TOTALE!K$2,'EXPENSES MASTER'!$B:$B,CE_TOTALE!K$3,'EXPENSES MASTER'!$H:$H,CE_TOTALE!$F50)</f>
        <v>-2341</v>
      </c>
      <c r="L50" s="72">
        <f>SUMIFS('EXPENSES MASTER'!$F:$F,'EXPENSES MASTER'!$G:$G,CE_TOTALE!$F$49,'EXPENSES MASTER'!$A:$A,CE_TOTALE!L$2,'EXPENSES MASTER'!$B:$B,CE_TOTALE!L$3,'EXPENSES MASTER'!$H:$H,CE_TOTALE!$F50)</f>
        <v>0</v>
      </c>
      <c r="M50" s="72">
        <f>SUMIFS('EXPENSES MASTER'!$F:$F,'EXPENSES MASTER'!$G:$G,CE_TOTALE!$F$49,'EXPENSES MASTER'!$A:$A,CE_TOTALE!M$2,'EXPENSES MASTER'!$B:$B,CE_TOTALE!M$3,'EXPENSES MASTER'!$H:$H,CE_TOTALE!$F50)</f>
        <v>0</v>
      </c>
      <c r="N50" s="72">
        <f>SUMIFS('EXPENSES MASTER'!$F:$F,'EXPENSES MASTER'!$G:$G,CE_TOTALE!$F$49,'EXPENSES MASTER'!$A:$A,CE_TOTALE!N$2,'EXPENSES MASTER'!$B:$B,CE_TOTALE!N$3,'EXPENSES MASTER'!$H:$H,CE_TOTALE!$F50)</f>
        <v>0</v>
      </c>
      <c r="O50" s="72">
        <f>SUMIFS('EXPENSES MASTER'!$F:$F,'EXPENSES MASTER'!$G:$G,CE_TOTALE!$F$49,'EXPENSES MASTER'!$A:$A,CE_TOTALE!O$2,'EXPENSES MASTER'!$B:$B,CE_TOTALE!O$3,'EXPENSES MASTER'!$H:$H,CE_TOTALE!$F50)</f>
        <v>0</v>
      </c>
      <c r="P50" s="72">
        <f>SUMIFS('EXPENSES MASTER'!$F:$F,'EXPENSES MASTER'!$G:$G,CE_TOTALE!$F$49,'EXPENSES MASTER'!$A:$A,CE_TOTALE!P$2,'EXPENSES MASTER'!$B:$B,CE_TOTALE!P$3,'EXPENSES MASTER'!$H:$H,CE_TOTALE!$F50)</f>
        <v>0</v>
      </c>
      <c r="Q50" s="72">
        <f>SUMIFS('EXPENSES MASTER'!$F:$F,'EXPENSES MASTER'!$G:$G,CE_TOTALE!$F$49,'EXPENSES MASTER'!$A:$A,CE_TOTALE!Q$2,'EXPENSES MASTER'!$B:$B,CE_TOTALE!Q$3,'EXPENSES MASTER'!$H:$H,CE_TOTALE!$F50)</f>
        <v>0</v>
      </c>
      <c r="R50" s="72">
        <f>SUMIFS('EXPENSES MASTER'!$F:$F,'EXPENSES MASTER'!$G:$G,CE_TOTALE!$F$49,'EXPENSES MASTER'!$A:$A,CE_TOTALE!R$2,'EXPENSES MASTER'!$B:$B,CE_TOTALE!R$3,'EXPENSES MASTER'!$H:$H,CE_TOTALE!$F50)</f>
        <v>0</v>
      </c>
      <c r="S50" s="45"/>
      <c r="T50" s="72">
        <f t="shared" si="26"/>
        <v>-3361.68</v>
      </c>
    </row>
    <row r="51" ht="15.0" customHeight="1" outlineLevel="1">
      <c r="A51" s="45"/>
      <c r="B51" s="46" t="str">
        <f t="shared" si="12"/>
        <v>Campionatura</v>
      </c>
      <c r="C51" s="111"/>
      <c r="D51" s="63"/>
      <c r="E51" s="112"/>
      <c r="F51" s="64" t="s">
        <v>1655</v>
      </c>
      <c r="G51" s="72">
        <f>SUMIFS('EXPENSES MASTER'!$F:$F,'EXPENSES MASTER'!$G:$G,CE_TOTALE!$F$49,'EXPENSES MASTER'!$A:$A,CE_TOTALE!G$2,'EXPENSES MASTER'!$B:$B,CE_TOTALE!G$3,'EXPENSES MASTER'!$H:$H,CE_TOTALE!$F51)</f>
        <v>0</v>
      </c>
      <c r="H51" s="72">
        <f>SUMIFS('EXPENSES MASTER'!$F:$F,'EXPENSES MASTER'!$G:$G,CE_TOTALE!$F$49,'EXPENSES MASTER'!$A:$A,CE_TOTALE!H$2,'EXPENSES MASTER'!$B:$B,CE_TOTALE!H$3,'EXPENSES MASTER'!$H:$H,CE_TOTALE!$F51)</f>
        <v>0</v>
      </c>
      <c r="I51" s="72">
        <f>SUMIFS('EXPENSES MASTER'!$F:$F,'EXPENSES MASTER'!$G:$G,CE_TOTALE!$F$49,'EXPENSES MASTER'!$A:$A,CE_TOTALE!I$2,'EXPENSES MASTER'!$B:$B,CE_TOTALE!I$3,'EXPENSES MASTER'!$H:$H,CE_TOTALE!$F51)</f>
        <v>0</v>
      </c>
      <c r="J51" s="72">
        <f>SUMIFS('EXPENSES MASTER'!$F:$F,'EXPENSES MASTER'!$G:$G,CE_TOTALE!$F$49,'EXPENSES MASTER'!$A:$A,CE_TOTALE!J$2,'EXPENSES MASTER'!$B:$B,CE_TOTALE!J$3,'EXPENSES MASTER'!$H:$H,CE_TOTALE!$F51)</f>
        <v>0</v>
      </c>
      <c r="K51" s="72">
        <f>SUMIFS('EXPENSES MASTER'!$F:$F,'EXPENSES MASTER'!$G:$G,CE_TOTALE!$F$49,'EXPENSES MASTER'!$A:$A,CE_TOTALE!K$2,'EXPENSES MASTER'!$B:$B,CE_TOTALE!K$3,'EXPENSES MASTER'!$H:$H,CE_TOTALE!$F51)</f>
        <v>0</v>
      </c>
      <c r="L51" s="72">
        <f>SUMIFS('EXPENSES MASTER'!$F:$F,'EXPENSES MASTER'!$G:$G,CE_TOTALE!$F$49,'EXPENSES MASTER'!$A:$A,CE_TOTALE!L$2,'EXPENSES MASTER'!$B:$B,CE_TOTALE!L$3,'EXPENSES MASTER'!$H:$H,CE_TOTALE!$F51)</f>
        <v>0</v>
      </c>
      <c r="M51" s="72">
        <f>SUMIFS('EXPENSES MASTER'!$F:$F,'EXPENSES MASTER'!$G:$G,CE_TOTALE!$F$49,'EXPENSES MASTER'!$A:$A,CE_TOTALE!M$2,'EXPENSES MASTER'!$B:$B,CE_TOTALE!M$3,'EXPENSES MASTER'!$H:$H,CE_TOTALE!$F51)</f>
        <v>0</v>
      </c>
      <c r="N51" s="72">
        <f>SUMIFS('EXPENSES MASTER'!$F:$F,'EXPENSES MASTER'!$G:$G,CE_TOTALE!$F$49,'EXPENSES MASTER'!$A:$A,CE_TOTALE!N$2,'EXPENSES MASTER'!$B:$B,CE_TOTALE!N$3,'EXPENSES MASTER'!$H:$H,CE_TOTALE!$F51)</f>
        <v>0</v>
      </c>
      <c r="O51" s="72">
        <f>SUMIFS('EXPENSES MASTER'!$F:$F,'EXPENSES MASTER'!$G:$G,CE_TOTALE!$F$49,'EXPENSES MASTER'!$A:$A,CE_TOTALE!O$2,'EXPENSES MASTER'!$B:$B,CE_TOTALE!O$3,'EXPENSES MASTER'!$H:$H,CE_TOTALE!$F51)</f>
        <v>0</v>
      </c>
      <c r="P51" s="72">
        <f>SUMIFS('EXPENSES MASTER'!$F:$F,'EXPENSES MASTER'!$G:$G,CE_TOTALE!$F$49,'EXPENSES MASTER'!$A:$A,CE_TOTALE!P$2,'EXPENSES MASTER'!$B:$B,CE_TOTALE!P$3,'EXPENSES MASTER'!$H:$H,CE_TOTALE!$F51)</f>
        <v>0</v>
      </c>
      <c r="Q51" s="72">
        <f>SUMIFS('EXPENSES MASTER'!$F:$F,'EXPENSES MASTER'!$G:$G,CE_TOTALE!$F$49,'EXPENSES MASTER'!$A:$A,CE_TOTALE!Q$2,'EXPENSES MASTER'!$B:$B,CE_TOTALE!Q$3,'EXPENSES MASTER'!$H:$H,CE_TOTALE!$F51)</f>
        <v>0</v>
      </c>
      <c r="R51" s="72">
        <f>SUMIFS('EXPENSES MASTER'!$F:$F,'EXPENSES MASTER'!$G:$G,CE_TOTALE!$F$49,'EXPENSES MASTER'!$A:$A,CE_TOTALE!R$2,'EXPENSES MASTER'!$B:$B,CE_TOTALE!R$3,'EXPENSES MASTER'!$H:$H,CE_TOTALE!$F51)</f>
        <v>0</v>
      </c>
      <c r="S51" s="45"/>
      <c r="T51" s="72">
        <f t="shared" si="26"/>
        <v>0</v>
      </c>
    </row>
    <row r="52" ht="15.75" customHeight="1" outlineLevel="1">
      <c r="A52" s="102"/>
      <c r="B52" s="46" t="s">
        <v>1656</v>
      </c>
      <c r="C52" s="111"/>
      <c r="D52" s="63"/>
      <c r="E52" s="112"/>
      <c r="F52" s="68" t="s">
        <v>1656</v>
      </c>
      <c r="G52" s="72">
        <f>SUMIFS('EXPENSES MASTER'!$F:$F,'EXPENSES MASTER'!$G:$G,CE_TOTALE!$F$49,'EXPENSES MASTER'!$A:$A,CE_TOTALE!G$2,'EXPENSES MASTER'!$B:$B,CE_TOTALE!G$3,'EXPENSES MASTER'!$H:$H,CE_TOTALE!$F52)</f>
        <v>0</v>
      </c>
      <c r="H52" s="72">
        <f>SUMIFS('EXPENSES MASTER'!$F:$F,'EXPENSES MASTER'!$G:$G,CE_TOTALE!$F$49,'EXPENSES MASTER'!$A:$A,CE_TOTALE!H$2,'EXPENSES MASTER'!$B:$B,CE_TOTALE!H$3,'EXPENSES MASTER'!$H:$H,CE_TOTALE!$F52)</f>
        <v>-400</v>
      </c>
      <c r="I52" s="72">
        <f>SUMIFS('EXPENSES MASTER'!$F:$F,'EXPENSES MASTER'!$G:$G,CE_TOTALE!$F$49,'EXPENSES MASTER'!$A:$A,CE_TOTALE!I$2,'EXPENSES MASTER'!$B:$B,CE_TOTALE!I$3,'EXPENSES MASTER'!$H:$H,CE_TOTALE!$F52)</f>
        <v>-400</v>
      </c>
      <c r="J52" s="72">
        <f>SUMIFS('EXPENSES MASTER'!$F:$F,'EXPENSES MASTER'!$G:$G,CE_TOTALE!$F$49,'EXPENSES MASTER'!$A:$A,CE_TOTALE!J$2,'EXPENSES MASTER'!$B:$B,CE_TOTALE!J$3,'EXPENSES MASTER'!$H:$H,CE_TOTALE!$F52)</f>
        <v>0</v>
      </c>
      <c r="K52" s="72">
        <f>SUMIFS('EXPENSES MASTER'!$F:$F,'EXPENSES MASTER'!$G:$G,CE_TOTALE!$F$49,'EXPENSES MASTER'!$A:$A,CE_TOTALE!K$2,'EXPENSES MASTER'!$B:$B,CE_TOTALE!K$3,'EXPENSES MASTER'!$H:$H,CE_TOTALE!$F52)</f>
        <v>-19.76</v>
      </c>
      <c r="L52" s="72">
        <f>SUMIFS('EXPENSES MASTER'!$F:$F,'EXPENSES MASTER'!$G:$G,CE_TOTALE!$F$49,'EXPENSES MASTER'!$A:$A,CE_TOTALE!L$2,'EXPENSES MASTER'!$B:$B,CE_TOTALE!L$3,'EXPENSES MASTER'!$H:$H,CE_TOTALE!$F52)</f>
        <v>-23.59</v>
      </c>
      <c r="M52" s="72">
        <f>SUMIFS('EXPENSES MASTER'!$F:$F,'EXPENSES MASTER'!$G:$G,CE_TOTALE!$F$49,'EXPENSES MASTER'!$A:$A,CE_TOTALE!M$2,'EXPENSES MASTER'!$B:$B,CE_TOTALE!M$3,'EXPENSES MASTER'!$H:$H,CE_TOTALE!$F52)</f>
        <v>0</v>
      </c>
      <c r="N52" s="72">
        <f>SUMIFS('EXPENSES MASTER'!$F:$F,'EXPENSES MASTER'!$G:$G,CE_TOTALE!$F$49,'EXPENSES MASTER'!$A:$A,CE_TOTALE!N$2,'EXPENSES MASTER'!$B:$B,CE_TOTALE!N$3,'EXPENSES MASTER'!$H:$H,CE_TOTALE!$F52)</f>
        <v>0</v>
      </c>
      <c r="O52" s="72">
        <f>SUMIFS('EXPENSES MASTER'!$F:$F,'EXPENSES MASTER'!$G:$G,CE_TOTALE!$F$49,'EXPENSES MASTER'!$A:$A,CE_TOTALE!O$2,'EXPENSES MASTER'!$B:$B,CE_TOTALE!O$3,'EXPENSES MASTER'!$H:$H,CE_TOTALE!$F52)</f>
        <v>0</v>
      </c>
      <c r="P52" s="72">
        <f>SUMIFS('EXPENSES MASTER'!$F:$F,'EXPENSES MASTER'!$G:$G,CE_TOTALE!$F$49,'EXPENSES MASTER'!$A:$A,CE_TOTALE!P$2,'EXPENSES MASTER'!$B:$B,CE_TOTALE!P$3,'EXPENSES MASTER'!$H:$H,CE_TOTALE!$F52)</f>
        <v>0</v>
      </c>
      <c r="Q52" s="72">
        <f>SUMIFS('EXPENSES MASTER'!$F:$F,'EXPENSES MASTER'!$G:$G,CE_TOTALE!$F$49,'EXPENSES MASTER'!$A:$A,CE_TOTALE!Q$2,'EXPENSES MASTER'!$B:$B,CE_TOTALE!Q$3,'EXPENSES MASTER'!$H:$H,CE_TOTALE!$F52)</f>
        <v>0</v>
      </c>
      <c r="R52" s="72">
        <f>SUMIFS('EXPENSES MASTER'!$F:$F,'EXPENSES MASTER'!$G:$G,CE_TOTALE!$F$49,'EXPENSES MASTER'!$A:$A,CE_TOTALE!R$2,'EXPENSES MASTER'!$B:$B,CE_TOTALE!R$3,'EXPENSES MASTER'!$H:$H,CE_TOTALE!$F52)</f>
        <v>0</v>
      </c>
      <c r="S52" s="72"/>
      <c r="T52" s="72">
        <f t="shared" si="26"/>
        <v>-843.35</v>
      </c>
    </row>
    <row r="53" ht="15.75" customHeight="1" outlineLevel="1">
      <c r="A53" s="102"/>
      <c r="B53" s="46" t="str">
        <f t="shared" ref="B53:B62" si="28">E53&amp;F53</f>
        <v>Vivaio</v>
      </c>
      <c r="C53" s="111"/>
      <c r="D53" s="63"/>
      <c r="E53" s="112"/>
      <c r="F53" s="64" t="s">
        <v>1657</v>
      </c>
      <c r="G53" s="72">
        <f>SUMIFS('EXPENSES MASTER'!$F:$F,'EXPENSES MASTER'!$G:$G,CE_TOTALE!$F$49,'EXPENSES MASTER'!$A:$A,CE_TOTALE!G$2,'EXPENSES MASTER'!$B:$B,CE_TOTALE!G$3,'EXPENSES MASTER'!$H:$H,CE_TOTALE!$F53)</f>
        <v>0</v>
      </c>
      <c r="H53" s="72">
        <f>SUMIFS('EXPENSES MASTER'!$F:$F,'EXPENSES MASTER'!$G:$G,CE_TOTALE!$F$49,'EXPENSES MASTER'!$A:$A,CE_TOTALE!H$2,'EXPENSES MASTER'!$B:$B,CE_TOTALE!H$3,'EXPENSES MASTER'!$H:$H,CE_TOTALE!$F53)</f>
        <v>0</v>
      </c>
      <c r="I53" s="72">
        <f>SUMIFS('EXPENSES MASTER'!$F:$F,'EXPENSES MASTER'!$G:$G,CE_TOTALE!$F$49,'EXPENSES MASTER'!$A:$A,CE_TOTALE!I$2,'EXPENSES MASTER'!$B:$B,CE_TOTALE!I$3,'EXPENSES MASTER'!$H:$H,CE_TOTALE!$F53)</f>
        <v>0</v>
      </c>
      <c r="J53" s="72">
        <f>SUMIFS('EXPENSES MASTER'!$F:$F,'EXPENSES MASTER'!$G:$G,CE_TOTALE!$F$49,'EXPENSES MASTER'!$A:$A,CE_TOTALE!J$2,'EXPENSES MASTER'!$B:$B,CE_TOTALE!J$3,'EXPENSES MASTER'!$H:$H,CE_TOTALE!$F53)</f>
        <v>0</v>
      </c>
      <c r="K53" s="72">
        <f>SUMIFS('EXPENSES MASTER'!$F:$F,'EXPENSES MASTER'!$G:$G,CE_TOTALE!$F$49,'EXPENSES MASTER'!$A:$A,CE_TOTALE!K$2,'EXPENSES MASTER'!$B:$B,CE_TOTALE!K$3,'EXPENSES MASTER'!$H:$H,CE_TOTALE!$F53)</f>
        <v>0</v>
      </c>
      <c r="L53" s="72">
        <f>SUMIFS('EXPENSES MASTER'!$F:$F,'EXPENSES MASTER'!$G:$G,CE_TOTALE!$F$49,'EXPENSES MASTER'!$A:$A,CE_TOTALE!L$2,'EXPENSES MASTER'!$B:$B,CE_TOTALE!L$3,'EXPENSES MASTER'!$H:$H,CE_TOTALE!$F53)</f>
        <v>0</v>
      </c>
      <c r="M53" s="72">
        <f>SUMIFS('EXPENSES MASTER'!$F:$F,'EXPENSES MASTER'!$G:$G,CE_TOTALE!$F$49,'EXPENSES MASTER'!$A:$A,CE_TOTALE!M$2,'EXPENSES MASTER'!$B:$B,CE_TOTALE!M$3,'EXPENSES MASTER'!$H:$H,CE_TOTALE!$F53)</f>
        <v>0</v>
      </c>
      <c r="N53" s="72">
        <f>SUMIFS('EXPENSES MASTER'!$F:$F,'EXPENSES MASTER'!$G:$G,CE_TOTALE!$F$49,'EXPENSES MASTER'!$A:$A,CE_TOTALE!N$2,'EXPENSES MASTER'!$B:$B,CE_TOTALE!N$3,'EXPENSES MASTER'!$H:$H,CE_TOTALE!$F53)</f>
        <v>0</v>
      </c>
      <c r="O53" s="72">
        <f>SUMIFS('EXPENSES MASTER'!$F:$F,'EXPENSES MASTER'!$G:$G,CE_TOTALE!$F$49,'EXPENSES MASTER'!$A:$A,CE_TOTALE!O$2,'EXPENSES MASTER'!$B:$B,CE_TOTALE!O$3,'EXPENSES MASTER'!$H:$H,CE_TOTALE!$F53)</f>
        <v>0</v>
      </c>
      <c r="P53" s="72">
        <f>SUMIFS('EXPENSES MASTER'!$F:$F,'EXPENSES MASTER'!$G:$G,CE_TOTALE!$F$49,'EXPENSES MASTER'!$A:$A,CE_TOTALE!P$2,'EXPENSES MASTER'!$B:$B,CE_TOTALE!P$3,'EXPENSES MASTER'!$H:$H,CE_TOTALE!$F53)</f>
        <v>0</v>
      </c>
      <c r="Q53" s="72">
        <f>SUMIFS('EXPENSES MASTER'!$F:$F,'EXPENSES MASTER'!$G:$G,CE_TOTALE!$F$49,'EXPENSES MASTER'!$A:$A,CE_TOTALE!Q$2,'EXPENSES MASTER'!$B:$B,CE_TOTALE!Q$3,'EXPENSES MASTER'!$H:$H,CE_TOTALE!$F53)</f>
        <v>0</v>
      </c>
      <c r="R53" s="72">
        <f>SUMIFS('EXPENSES MASTER'!$F:$F,'EXPENSES MASTER'!$G:$G,CE_TOTALE!$F$49,'EXPENSES MASTER'!$A:$A,CE_TOTALE!R$2,'EXPENSES MASTER'!$B:$B,CE_TOTALE!R$3,'EXPENSES MASTER'!$H:$H,CE_TOTALE!$F53)</f>
        <v>0</v>
      </c>
      <c r="S53" s="45"/>
      <c r="T53" s="72">
        <f t="shared" si="26"/>
        <v>0</v>
      </c>
    </row>
    <row r="54" ht="15.75" customHeight="1" outlineLevel="1">
      <c r="A54" s="45"/>
      <c r="B54" s="46" t="str">
        <f t="shared" si="28"/>
        <v>Others</v>
      </c>
      <c r="C54" s="111"/>
      <c r="D54" s="63"/>
      <c r="E54" s="112"/>
      <c r="F54" s="64" t="s">
        <v>1658</v>
      </c>
      <c r="G54" s="72">
        <f>SUMIFS('EXPENSES MASTER'!$F:$F,'EXPENSES MASTER'!$G:$G,CE_TOTALE!$F$49,'EXPENSES MASTER'!$A:$A,CE_TOTALE!G$2,'EXPENSES MASTER'!$B:$B,CE_TOTALE!G$3,'EXPENSES MASTER'!$H:$H,CE_TOTALE!$F54)</f>
        <v>-1410.15</v>
      </c>
      <c r="H54" s="72">
        <f>SUMIFS('EXPENSES MASTER'!$F:$F,'EXPENSES MASTER'!$G:$G,CE_TOTALE!$F$49,'EXPENSES MASTER'!$A:$A,CE_TOTALE!H$2,'EXPENSES MASTER'!$B:$B,CE_TOTALE!H$3,'EXPENSES MASTER'!$H:$H,CE_TOTALE!$F54)</f>
        <v>-526.53</v>
      </c>
      <c r="I54" s="72">
        <f>SUMIFS('EXPENSES MASTER'!$F:$F,'EXPENSES MASTER'!$G:$G,CE_TOTALE!$F$49,'EXPENSES MASTER'!$A:$A,CE_TOTALE!I$2,'EXPENSES MASTER'!$B:$B,CE_TOTALE!I$3,'EXPENSES MASTER'!$H:$H,CE_TOTALE!$F54)</f>
        <v>-2010.54</v>
      </c>
      <c r="J54" s="72">
        <f>SUMIFS('EXPENSES MASTER'!$F:$F,'EXPENSES MASTER'!$G:$G,CE_TOTALE!$F$49,'EXPENSES MASTER'!$A:$A,CE_TOTALE!J$2,'EXPENSES MASTER'!$B:$B,CE_TOTALE!J$3,'EXPENSES MASTER'!$H:$H,CE_TOTALE!$F54)</f>
        <v>-273.63</v>
      </c>
      <c r="K54" s="72">
        <f>SUMIFS('EXPENSES MASTER'!$F:$F,'EXPENSES MASTER'!$G:$G,CE_TOTALE!$F$49,'EXPENSES MASTER'!$A:$A,CE_TOTALE!K$2,'EXPENSES MASTER'!$B:$B,CE_TOTALE!K$3,'EXPENSES MASTER'!$H:$H,CE_TOTALE!$F54)</f>
        <v>-928.71</v>
      </c>
      <c r="L54" s="72">
        <f>SUMIFS('EXPENSES MASTER'!$F:$F,'EXPENSES MASTER'!$G:$G,CE_TOTALE!$F$49,'EXPENSES MASTER'!$A:$A,CE_TOTALE!L$2,'EXPENSES MASTER'!$B:$B,CE_TOTALE!L$3,'EXPENSES MASTER'!$H:$H,CE_TOTALE!$F54)</f>
        <v>-1265.37</v>
      </c>
      <c r="M54" s="72">
        <f>SUMIFS('EXPENSES MASTER'!$F:$F,'EXPENSES MASTER'!$G:$G,CE_TOTALE!$F$49,'EXPENSES MASTER'!$A:$A,CE_TOTALE!M$2,'EXPENSES MASTER'!$B:$B,CE_TOTALE!M$3,'EXPENSES MASTER'!$H:$H,CE_TOTALE!$F54)</f>
        <v>0</v>
      </c>
      <c r="N54" s="72">
        <f>SUMIFS('EXPENSES MASTER'!$F:$F,'EXPENSES MASTER'!$G:$G,CE_TOTALE!$F$49,'EXPENSES MASTER'!$A:$A,CE_TOTALE!N$2,'EXPENSES MASTER'!$B:$B,CE_TOTALE!N$3,'EXPENSES MASTER'!$H:$H,CE_TOTALE!$F54)</f>
        <v>0</v>
      </c>
      <c r="O54" s="72">
        <f>SUMIFS('EXPENSES MASTER'!$F:$F,'EXPENSES MASTER'!$G:$G,CE_TOTALE!$F$49,'EXPENSES MASTER'!$A:$A,CE_TOTALE!O$2,'EXPENSES MASTER'!$B:$B,CE_TOTALE!O$3,'EXPENSES MASTER'!$H:$H,CE_TOTALE!$F54)</f>
        <v>0</v>
      </c>
      <c r="P54" s="72">
        <f>SUMIFS('EXPENSES MASTER'!$F:$F,'EXPENSES MASTER'!$G:$G,CE_TOTALE!$F$49,'EXPENSES MASTER'!$A:$A,CE_TOTALE!P$2,'EXPENSES MASTER'!$B:$B,CE_TOTALE!P$3,'EXPENSES MASTER'!$H:$H,CE_TOTALE!$F54)</f>
        <v>0</v>
      </c>
      <c r="Q54" s="72">
        <f>SUMIFS('EXPENSES MASTER'!$F:$F,'EXPENSES MASTER'!$G:$G,CE_TOTALE!$F$49,'EXPENSES MASTER'!$A:$A,CE_TOTALE!Q$2,'EXPENSES MASTER'!$B:$B,CE_TOTALE!Q$3,'EXPENSES MASTER'!$H:$H,CE_TOTALE!$F54)</f>
        <v>0</v>
      </c>
      <c r="R54" s="72">
        <f>SUMIFS('EXPENSES MASTER'!$F:$F,'EXPENSES MASTER'!$G:$G,CE_TOTALE!$F$49,'EXPENSES MASTER'!$A:$A,CE_TOTALE!R$2,'EXPENSES MASTER'!$B:$B,CE_TOTALE!R$3,'EXPENSES MASTER'!$H:$H,CE_TOTALE!$F54)</f>
        <v>0</v>
      </c>
      <c r="S54" s="45"/>
      <c r="T54" s="72">
        <f t="shared" si="26"/>
        <v>-6414.93</v>
      </c>
    </row>
    <row r="55" ht="15.75" customHeight="1">
      <c r="A55" s="45"/>
      <c r="B55" s="46" t="str">
        <f t="shared" si="28"/>
        <v>FissiEVENTI</v>
      </c>
      <c r="C55" s="58" t="s">
        <v>1628</v>
      </c>
      <c r="D55" s="58" t="s">
        <v>1633</v>
      </c>
      <c r="E55" s="59" t="s">
        <v>1648</v>
      </c>
      <c r="F55" s="108" t="s">
        <v>1659</v>
      </c>
      <c r="G55" s="72">
        <f>SUMIFS('EXPENSES MASTER'!$F:$F,'EXPENSES MASTER'!$G:$G,CE_TOTALE!$F$55,'EXPENSES MASTER'!$A:$A,CE_TOTALE!G$2,'EXPENSES MASTER'!$B:$B,CE_TOTALE!G$3)</f>
        <v>0</v>
      </c>
      <c r="H55" s="72">
        <f>SUMIFS('EXPENSES MASTER'!$F:$F,'EXPENSES MASTER'!$G:$G,CE_TOTALE!$F$55,'EXPENSES MASTER'!$A:$A,CE_TOTALE!H$2,'EXPENSES MASTER'!$B:$B,CE_TOTALE!H$3)</f>
        <v>0</v>
      </c>
      <c r="I55" s="72">
        <f>SUMIFS('EXPENSES MASTER'!$F:$F,'EXPENSES MASTER'!$G:$G,CE_TOTALE!$F$55,'EXPENSES MASTER'!$A:$A,CE_TOTALE!I$2,'EXPENSES MASTER'!$B:$B,CE_TOTALE!I$3)</f>
        <v>0</v>
      </c>
      <c r="J55" s="72">
        <f>SUMIFS('EXPENSES MASTER'!$F:$F,'EXPENSES MASTER'!$G:$G,CE_TOTALE!$F$55,'EXPENSES MASTER'!$A:$A,CE_TOTALE!J$2,'EXPENSES MASTER'!$B:$B,CE_TOTALE!J$3)</f>
        <v>0</v>
      </c>
      <c r="K55" s="72">
        <f>SUMIFS('EXPENSES MASTER'!$F:$F,'EXPENSES MASTER'!$G:$G,CE_TOTALE!$F$55,'EXPENSES MASTER'!$A:$A,CE_TOTALE!K$2,'EXPENSES MASTER'!$B:$B,CE_TOTALE!K$3)</f>
        <v>0</v>
      </c>
      <c r="L55" s="72">
        <f>SUMIFS('EXPENSES MASTER'!$F:$F,'EXPENSES MASTER'!$G:$G,CE_TOTALE!$F$55,'EXPENSES MASTER'!$A:$A,CE_TOTALE!L$2,'EXPENSES MASTER'!$B:$B,CE_TOTALE!L$3)</f>
        <v>0</v>
      </c>
      <c r="M55" s="72">
        <f>SUMIFS('EXPENSES MASTER'!$F:$F,'EXPENSES MASTER'!$G:$G,CE_TOTALE!$F$55,'EXPENSES MASTER'!$A:$A,CE_TOTALE!M$2,'EXPENSES MASTER'!$B:$B,CE_TOTALE!M$3)</f>
        <v>0</v>
      </c>
      <c r="N55" s="72">
        <f>SUMIFS('EXPENSES MASTER'!$F:$F,'EXPENSES MASTER'!$G:$G,CE_TOTALE!$F$55,'EXPENSES MASTER'!$A:$A,CE_TOTALE!N$2,'EXPENSES MASTER'!$B:$B,CE_TOTALE!N$3)</f>
        <v>0</v>
      </c>
      <c r="O55" s="72">
        <f>SUMIFS('EXPENSES MASTER'!$F:$F,'EXPENSES MASTER'!$G:$G,CE_TOTALE!$F$55,'EXPENSES MASTER'!$A:$A,CE_TOTALE!O$2,'EXPENSES MASTER'!$B:$B,CE_TOTALE!O$3)</f>
        <v>0</v>
      </c>
      <c r="P55" s="72">
        <f>SUMIFS('EXPENSES MASTER'!$F:$F,'EXPENSES MASTER'!$G:$G,CE_TOTALE!$F$55,'EXPENSES MASTER'!$A:$A,CE_TOTALE!P$2,'EXPENSES MASTER'!$B:$B,CE_TOTALE!P$3)</f>
        <v>0</v>
      </c>
      <c r="Q55" s="72">
        <f>SUMIFS('EXPENSES MASTER'!$F:$F,'EXPENSES MASTER'!$G:$G,CE_TOTALE!$F$55,'EXPENSES MASTER'!$A:$A,CE_TOTALE!Q$2,'EXPENSES MASTER'!$B:$B,CE_TOTALE!Q$3)</f>
        <v>0</v>
      </c>
      <c r="R55" s="72">
        <f>SUMIFS('EXPENSES MASTER'!$F:$F,'EXPENSES MASTER'!$G:$G,CE_TOTALE!$F$55,'EXPENSES MASTER'!$A:$A,CE_TOTALE!R$2,'EXPENSES MASTER'!$B:$B,CE_TOTALE!R$3)</f>
        <v>0</v>
      </c>
      <c r="S55" s="45"/>
      <c r="T55" s="72">
        <f t="shared" si="26"/>
        <v>0</v>
      </c>
    </row>
    <row r="56" ht="15.75" customHeight="1">
      <c r="A56" s="45"/>
      <c r="B56" s="46" t="str">
        <f t="shared" si="28"/>
        <v>FissiMARKETING</v>
      </c>
      <c r="C56" s="58" t="s">
        <v>1628</v>
      </c>
      <c r="D56" s="58" t="s">
        <v>1633</v>
      </c>
      <c r="E56" s="59" t="s">
        <v>1648</v>
      </c>
      <c r="F56" s="108" t="s">
        <v>1660</v>
      </c>
      <c r="G56" s="72">
        <f t="shared" ref="G56:R56" si="29">SUM(G57:G59)</f>
        <v>-1461.66</v>
      </c>
      <c r="H56" s="72">
        <f t="shared" si="29"/>
        <v>-707.47</v>
      </c>
      <c r="I56" s="72">
        <f t="shared" si="29"/>
        <v>-596.96</v>
      </c>
      <c r="J56" s="72">
        <f t="shared" si="29"/>
        <v>-3236.3</v>
      </c>
      <c r="K56" s="72">
        <f t="shared" si="29"/>
        <v>-1742.97</v>
      </c>
      <c r="L56" s="72">
        <f t="shared" si="29"/>
        <v>-795.18</v>
      </c>
      <c r="M56" s="72">
        <f t="shared" si="29"/>
        <v>0</v>
      </c>
      <c r="N56" s="72">
        <f t="shared" si="29"/>
        <v>0</v>
      </c>
      <c r="O56" s="72">
        <f t="shared" si="29"/>
        <v>0</v>
      </c>
      <c r="P56" s="72">
        <f t="shared" si="29"/>
        <v>0</v>
      </c>
      <c r="Q56" s="72">
        <f t="shared" si="29"/>
        <v>0</v>
      </c>
      <c r="R56" s="72">
        <f t="shared" si="29"/>
        <v>0</v>
      </c>
      <c r="S56" s="45"/>
      <c r="T56" s="72">
        <f t="shared" si="26"/>
        <v>-8540.54</v>
      </c>
    </row>
    <row r="57" ht="15.75" customHeight="1" outlineLevel="1">
      <c r="A57" s="45"/>
      <c r="B57" s="46" t="str">
        <f t="shared" si="28"/>
        <v>Shooting</v>
      </c>
      <c r="C57" s="111"/>
      <c r="D57" s="63"/>
      <c r="E57" s="112"/>
      <c r="F57" s="64" t="s">
        <v>1661</v>
      </c>
      <c r="G57" s="72">
        <f>SUMIFS('EXPENSES MASTER'!$F:$F,'EXPENSES MASTER'!$G:$G,CE_TOTALE!$F$56,'EXPENSES MASTER'!$A:$A,CE_TOTALE!G$2,'EXPENSES MASTER'!$B:$B,CE_TOTALE!G$3,'EXPENSES MASTER'!$H:$H,CE_TOTALE!$F57)</f>
        <v>-324.48</v>
      </c>
      <c r="H57" s="72">
        <f>SUMIFS('EXPENSES MASTER'!$F:$F,'EXPENSES MASTER'!$G:$G,CE_TOTALE!$F$56,'EXPENSES MASTER'!$A:$A,CE_TOTALE!H$2,'EXPENSES MASTER'!$B:$B,CE_TOTALE!H$3,'EXPENSES MASTER'!$H:$H,CE_TOTALE!$F57)</f>
        <v>0</v>
      </c>
      <c r="I57" s="72">
        <f>SUMIFS('EXPENSES MASTER'!$F:$F,'EXPENSES MASTER'!$G:$G,CE_TOTALE!$F$56,'EXPENSES MASTER'!$A:$A,CE_TOTALE!I$2,'EXPENSES MASTER'!$B:$B,CE_TOTALE!I$3,'EXPENSES MASTER'!$H:$H,CE_TOTALE!$F57)</f>
        <v>0</v>
      </c>
      <c r="J57" s="72">
        <f>SUMIFS('EXPENSES MASTER'!$F:$F,'EXPENSES MASTER'!$G:$G,CE_TOTALE!$F$56,'EXPENSES MASTER'!$A:$A,CE_TOTALE!J$2,'EXPENSES MASTER'!$B:$B,CE_TOTALE!J$3,'EXPENSES MASTER'!$H:$H,CE_TOTALE!$F57)</f>
        <v>-1366.4</v>
      </c>
      <c r="K57" s="72">
        <f>SUMIFS('EXPENSES MASTER'!$F:$F,'EXPENSES MASTER'!$G:$G,CE_TOTALE!$F$56,'EXPENSES MASTER'!$A:$A,CE_TOTALE!K$2,'EXPENSES MASTER'!$B:$B,CE_TOTALE!K$3,'EXPENSES MASTER'!$H:$H,CE_TOTALE!$F57)</f>
        <v>0</v>
      </c>
      <c r="L57" s="72">
        <f>SUMIFS('EXPENSES MASTER'!$F:$F,'EXPENSES MASTER'!$G:$G,CE_TOTALE!$F$56,'EXPENSES MASTER'!$A:$A,CE_TOTALE!L$2,'EXPENSES MASTER'!$B:$B,CE_TOTALE!L$3,'EXPENSES MASTER'!$H:$H,CE_TOTALE!$F57)</f>
        <v>-707.6</v>
      </c>
      <c r="M57" s="72">
        <f>SUMIFS('EXPENSES MASTER'!$F:$F,'EXPENSES MASTER'!$G:$G,CE_TOTALE!$F$56,'EXPENSES MASTER'!$A:$A,CE_TOTALE!M$2,'EXPENSES MASTER'!$B:$B,CE_TOTALE!M$3,'EXPENSES MASTER'!$H:$H,CE_TOTALE!$F57)</f>
        <v>0</v>
      </c>
      <c r="N57" s="72">
        <f>SUMIFS('EXPENSES MASTER'!$F:$F,'EXPENSES MASTER'!$G:$G,CE_TOTALE!$F$56,'EXPENSES MASTER'!$A:$A,CE_TOTALE!N$2,'EXPENSES MASTER'!$B:$B,CE_TOTALE!N$3,'EXPENSES MASTER'!$H:$H,CE_TOTALE!$F57)</f>
        <v>0</v>
      </c>
      <c r="O57" s="72">
        <f>SUMIFS('EXPENSES MASTER'!$F:$F,'EXPENSES MASTER'!$G:$G,CE_TOTALE!$F$56,'EXPENSES MASTER'!$A:$A,CE_TOTALE!O$2,'EXPENSES MASTER'!$B:$B,CE_TOTALE!O$3,'EXPENSES MASTER'!$H:$H,CE_TOTALE!$F57)</f>
        <v>0</v>
      </c>
      <c r="P57" s="72">
        <f>SUMIFS('EXPENSES MASTER'!$F:$F,'EXPENSES MASTER'!$G:$G,CE_TOTALE!$F$56,'EXPENSES MASTER'!$A:$A,CE_TOTALE!P$2,'EXPENSES MASTER'!$B:$B,CE_TOTALE!P$3,'EXPENSES MASTER'!$H:$H,CE_TOTALE!$F57)</f>
        <v>0</v>
      </c>
      <c r="Q57" s="72">
        <f>SUMIFS('EXPENSES MASTER'!$F:$F,'EXPENSES MASTER'!$G:$G,CE_TOTALE!$F$56,'EXPENSES MASTER'!$A:$A,CE_TOTALE!Q$2,'EXPENSES MASTER'!$B:$B,CE_TOTALE!Q$3,'EXPENSES MASTER'!$H:$H,CE_TOTALE!$F57)</f>
        <v>0</v>
      </c>
      <c r="R57" s="72">
        <f>SUMIFS('EXPENSES MASTER'!$F:$F,'EXPENSES MASTER'!$G:$G,CE_TOTALE!$F$56,'EXPENSES MASTER'!$A:$A,CE_TOTALE!R$2,'EXPENSES MASTER'!$B:$B,CE_TOTALE!R$3,'EXPENSES MASTER'!$H:$H,CE_TOTALE!$F57)</f>
        <v>0</v>
      </c>
      <c r="S57" s="45"/>
      <c r="T57" s="72">
        <f t="shared" si="26"/>
        <v>-2398.48</v>
      </c>
    </row>
    <row r="58" ht="15.75" customHeight="1" outlineLevel="1">
      <c r="A58" s="45"/>
      <c r="B58" s="46" t="str">
        <f t="shared" si="28"/>
        <v>Meta Ads</v>
      </c>
      <c r="C58" s="111"/>
      <c r="D58" s="63"/>
      <c r="E58" s="112"/>
      <c r="F58" s="64" t="s">
        <v>1662</v>
      </c>
      <c r="G58" s="72">
        <f>SUMIFS('EXPENSES MASTER'!$F:$F,'EXPENSES MASTER'!$G:$G,CE_TOTALE!$F$56,'EXPENSES MASTER'!$A:$A,CE_TOTALE!G$2,'EXPENSES MASTER'!$B:$B,CE_TOTALE!G$3,'EXPENSES MASTER'!$H:$H,CE_TOTALE!$F58)</f>
        <v>-1077.49</v>
      </c>
      <c r="H58" s="72">
        <f>SUMIFS('EXPENSES MASTER'!$F:$F,'EXPENSES MASTER'!$G:$G,CE_TOTALE!$F$56,'EXPENSES MASTER'!$A:$A,CE_TOTALE!H$2,'EXPENSES MASTER'!$B:$B,CE_TOTALE!H$3,'EXPENSES MASTER'!$H:$H,CE_TOTALE!$F58)</f>
        <v>0</v>
      </c>
      <c r="I58" s="72">
        <f>SUMIFS('EXPENSES MASTER'!$F:$F,'EXPENSES MASTER'!$G:$G,CE_TOTALE!$F$56,'EXPENSES MASTER'!$A:$A,CE_TOTALE!I$2,'EXPENSES MASTER'!$B:$B,CE_TOTALE!I$3,'EXPENSES MASTER'!$H:$H,CE_TOTALE!$F58)</f>
        <v>-527.54</v>
      </c>
      <c r="J58" s="72">
        <f>SUMIFS('EXPENSES MASTER'!$F:$F,'EXPENSES MASTER'!$G:$G,CE_TOTALE!$F$56,'EXPENSES MASTER'!$A:$A,CE_TOTALE!J$2,'EXPENSES MASTER'!$B:$B,CE_TOTALE!J$3,'EXPENSES MASTER'!$H:$H,CE_TOTALE!$F58)</f>
        <v>-43.46</v>
      </c>
      <c r="K58" s="72">
        <f>SUMIFS('EXPENSES MASTER'!$F:$F,'EXPENSES MASTER'!$G:$G,CE_TOTALE!$F$56,'EXPENSES MASTER'!$A:$A,CE_TOTALE!K$2,'EXPENSES MASTER'!$B:$B,CE_TOTALE!K$3,'EXPENSES MASTER'!$H:$H,CE_TOTALE!$F58)</f>
        <v>-649.71</v>
      </c>
      <c r="L58" s="72">
        <f>SUMIFS('EXPENSES MASTER'!$F:$F,'EXPENSES MASTER'!$G:$G,CE_TOTALE!$F$56,'EXPENSES MASTER'!$A:$A,CE_TOTALE!L$2,'EXPENSES MASTER'!$B:$B,CE_TOTALE!L$3,'EXPENSES MASTER'!$H:$H,CE_TOTALE!$F58)</f>
        <v>0</v>
      </c>
      <c r="M58" s="72">
        <f>SUMIFS('EXPENSES MASTER'!$F:$F,'EXPENSES MASTER'!$G:$G,CE_TOTALE!$F$56,'EXPENSES MASTER'!$A:$A,CE_TOTALE!M$2,'EXPENSES MASTER'!$B:$B,CE_TOTALE!M$3,'EXPENSES MASTER'!$H:$H,CE_TOTALE!$F58)</f>
        <v>0</v>
      </c>
      <c r="N58" s="72">
        <f>SUMIFS('EXPENSES MASTER'!$F:$F,'EXPENSES MASTER'!$G:$G,CE_TOTALE!$F$56,'EXPENSES MASTER'!$A:$A,CE_TOTALE!N$2,'EXPENSES MASTER'!$B:$B,CE_TOTALE!N$3,'EXPENSES MASTER'!$H:$H,CE_TOTALE!$F58)</f>
        <v>0</v>
      </c>
      <c r="O58" s="72">
        <f>SUMIFS('EXPENSES MASTER'!$F:$F,'EXPENSES MASTER'!$G:$G,CE_TOTALE!$F$56,'EXPENSES MASTER'!$A:$A,CE_TOTALE!O$2,'EXPENSES MASTER'!$B:$B,CE_TOTALE!O$3,'EXPENSES MASTER'!$H:$H,CE_TOTALE!$F58)</f>
        <v>0</v>
      </c>
      <c r="P58" s="72">
        <f>SUMIFS('EXPENSES MASTER'!$F:$F,'EXPENSES MASTER'!$G:$G,CE_TOTALE!$F$56,'EXPENSES MASTER'!$A:$A,CE_TOTALE!P$2,'EXPENSES MASTER'!$B:$B,CE_TOTALE!P$3,'EXPENSES MASTER'!$H:$H,CE_TOTALE!$F58)</f>
        <v>0</v>
      </c>
      <c r="Q58" s="72">
        <f>SUMIFS('EXPENSES MASTER'!$F:$F,'EXPENSES MASTER'!$G:$G,CE_TOTALE!$F$56,'EXPENSES MASTER'!$A:$A,CE_TOTALE!Q$2,'EXPENSES MASTER'!$B:$B,CE_TOTALE!Q$3,'EXPENSES MASTER'!$H:$H,CE_TOTALE!$F58)</f>
        <v>0</v>
      </c>
      <c r="R58" s="72">
        <f>SUMIFS('EXPENSES MASTER'!$F:$F,'EXPENSES MASTER'!$G:$G,CE_TOTALE!$F$56,'EXPENSES MASTER'!$A:$A,CE_TOTALE!R$2,'EXPENSES MASTER'!$B:$B,CE_TOTALE!R$3,'EXPENSES MASTER'!$H:$H,CE_TOTALE!$F58)</f>
        <v>0</v>
      </c>
      <c r="S58" s="45"/>
      <c r="T58" s="72">
        <f t="shared" si="26"/>
        <v>-2298.2</v>
      </c>
    </row>
    <row r="59" ht="15.75" customHeight="1" outlineLevel="1">
      <c r="A59" s="45"/>
      <c r="B59" s="46" t="str">
        <f t="shared" si="28"/>
        <v>Others</v>
      </c>
      <c r="C59" s="111"/>
      <c r="D59" s="63"/>
      <c r="E59" s="112"/>
      <c r="F59" s="64" t="s">
        <v>1658</v>
      </c>
      <c r="G59" s="72">
        <f>SUMIFS('EXPENSES MASTER'!$F:$F,'EXPENSES MASTER'!$G:$G,CE_TOTALE!$F$56,'EXPENSES MASTER'!$A:$A,CE_TOTALE!G$2,'EXPENSES MASTER'!$B:$B,CE_TOTALE!G$3,'EXPENSES MASTER'!$H:$H,CE_TOTALE!$F59)</f>
        <v>-59.69</v>
      </c>
      <c r="H59" s="72">
        <f>SUMIFS('EXPENSES MASTER'!$F:$F,'EXPENSES MASTER'!$G:$G,CE_TOTALE!$F$56,'EXPENSES MASTER'!$A:$A,CE_TOTALE!H$2,'EXPENSES MASTER'!$B:$B,CE_TOTALE!H$3,'EXPENSES MASTER'!$H:$H,CE_TOTALE!$F59)</f>
        <v>-707.47</v>
      </c>
      <c r="I59" s="72">
        <f>SUMIFS('EXPENSES MASTER'!$F:$F,'EXPENSES MASTER'!$G:$G,CE_TOTALE!$F$56,'EXPENSES MASTER'!$A:$A,CE_TOTALE!I$2,'EXPENSES MASTER'!$B:$B,CE_TOTALE!I$3,'EXPENSES MASTER'!$H:$H,CE_TOTALE!$F59)</f>
        <v>-69.42</v>
      </c>
      <c r="J59" s="72">
        <f>SUMIFS('EXPENSES MASTER'!$F:$F,'EXPENSES MASTER'!$G:$G,CE_TOTALE!$F$56,'EXPENSES MASTER'!$A:$A,CE_TOTALE!J$2,'EXPENSES MASTER'!$B:$B,CE_TOTALE!J$3,'EXPENSES MASTER'!$H:$H,CE_TOTALE!$F59)</f>
        <v>-1826.44</v>
      </c>
      <c r="K59" s="72">
        <f>SUMIFS('EXPENSES MASTER'!$F:$F,'EXPENSES MASTER'!$G:$G,CE_TOTALE!$F$56,'EXPENSES MASTER'!$A:$A,CE_TOTALE!K$2,'EXPENSES MASTER'!$B:$B,CE_TOTALE!K$3,'EXPENSES MASTER'!$H:$H,CE_TOTALE!$F59)</f>
        <v>-1093.26</v>
      </c>
      <c r="L59" s="72">
        <f>SUMIFS('EXPENSES MASTER'!$F:$F,'EXPENSES MASTER'!$G:$G,CE_TOTALE!$F$56,'EXPENSES MASTER'!$A:$A,CE_TOTALE!L$2,'EXPENSES MASTER'!$B:$B,CE_TOTALE!L$3,'EXPENSES MASTER'!$H:$H,CE_TOTALE!$F59)</f>
        <v>-87.58</v>
      </c>
      <c r="M59" s="72">
        <f>SUMIFS('EXPENSES MASTER'!$F:$F,'EXPENSES MASTER'!$G:$G,CE_TOTALE!$F$56,'EXPENSES MASTER'!$A:$A,CE_TOTALE!M$2,'EXPENSES MASTER'!$B:$B,CE_TOTALE!M$3,'EXPENSES MASTER'!$H:$H,CE_TOTALE!$F59)</f>
        <v>0</v>
      </c>
      <c r="N59" s="72">
        <f>SUMIFS('EXPENSES MASTER'!$F:$F,'EXPENSES MASTER'!$G:$G,CE_TOTALE!$F$56,'EXPENSES MASTER'!$A:$A,CE_TOTALE!N$2,'EXPENSES MASTER'!$B:$B,CE_TOTALE!N$3,'EXPENSES MASTER'!$H:$H,CE_TOTALE!$F59)</f>
        <v>0</v>
      </c>
      <c r="O59" s="72">
        <f>SUMIFS('EXPENSES MASTER'!$F:$F,'EXPENSES MASTER'!$G:$G,CE_TOTALE!$F$56,'EXPENSES MASTER'!$A:$A,CE_TOTALE!O$2,'EXPENSES MASTER'!$B:$B,CE_TOTALE!O$3,'EXPENSES MASTER'!$H:$H,CE_TOTALE!$F59)</f>
        <v>0</v>
      </c>
      <c r="P59" s="72">
        <f>SUMIFS('EXPENSES MASTER'!$F:$F,'EXPENSES MASTER'!$G:$G,CE_TOTALE!$F$56,'EXPENSES MASTER'!$A:$A,CE_TOTALE!P$2,'EXPENSES MASTER'!$B:$B,CE_TOTALE!P$3,'EXPENSES MASTER'!$H:$H,CE_TOTALE!$F59)</f>
        <v>0</v>
      </c>
      <c r="Q59" s="72">
        <f>SUMIFS('EXPENSES MASTER'!$F:$F,'EXPENSES MASTER'!$G:$G,CE_TOTALE!$F$56,'EXPENSES MASTER'!$A:$A,CE_TOTALE!Q$2,'EXPENSES MASTER'!$B:$B,CE_TOTALE!Q$3,'EXPENSES MASTER'!$H:$H,CE_TOTALE!$F59)</f>
        <v>0</v>
      </c>
      <c r="R59" s="72">
        <f>SUMIFS('EXPENSES MASTER'!$F:$F,'EXPENSES MASTER'!$G:$G,CE_TOTALE!$F$56,'EXPENSES MASTER'!$A:$A,CE_TOTALE!R$2,'EXPENSES MASTER'!$B:$B,CE_TOTALE!R$3,'EXPENSES MASTER'!$H:$H,CE_TOTALE!$F59)</f>
        <v>0</v>
      </c>
      <c r="S59" s="45"/>
      <c r="T59" s="72">
        <f t="shared" si="26"/>
        <v>-3843.86</v>
      </c>
    </row>
    <row r="60" ht="15.75" customHeight="1">
      <c r="A60" s="45"/>
      <c r="B60" s="46" t="str">
        <f t="shared" si="28"/>
        <v>FissiTotal </v>
      </c>
      <c r="C60" s="74" t="s">
        <v>1628</v>
      </c>
      <c r="D60" s="74" t="s">
        <v>1633</v>
      </c>
      <c r="E60" s="101" t="s">
        <v>1648</v>
      </c>
      <c r="F60" s="74" t="s">
        <v>1663</v>
      </c>
      <c r="G60" s="76">
        <f t="shared" ref="G60:R60" si="30">G55+G49+G48+G47+G46+G56</f>
        <v>-2871.81</v>
      </c>
      <c r="H60" s="76">
        <f t="shared" si="30"/>
        <v>-1904</v>
      </c>
      <c r="I60" s="76">
        <f t="shared" si="30"/>
        <v>-5959.37</v>
      </c>
      <c r="J60" s="76">
        <f t="shared" si="30"/>
        <v>-6874.24</v>
      </c>
      <c r="K60" s="76">
        <f t="shared" si="30"/>
        <v>-6188.08</v>
      </c>
      <c r="L60" s="76">
        <f t="shared" si="30"/>
        <v>-3933.13</v>
      </c>
      <c r="M60" s="76">
        <f t="shared" si="30"/>
        <v>0</v>
      </c>
      <c r="N60" s="76">
        <f t="shared" si="30"/>
        <v>0</v>
      </c>
      <c r="O60" s="76">
        <f t="shared" si="30"/>
        <v>0</v>
      </c>
      <c r="P60" s="76">
        <f t="shared" si="30"/>
        <v>0</v>
      </c>
      <c r="Q60" s="76">
        <f t="shared" si="30"/>
        <v>0</v>
      </c>
      <c r="R60" s="76">
        <f t="shared" si="30"/>
        <v>0</v>
      </c>
      <c r="S60" s="45"/>
      <c r="T60" s="76">
        <f t="shared" si="26"/>
        <v>-27730.63</v>
      </c>
    </row>
    <row r="61" ht="15.75" customHeight="1">
      <c r="A61" s="45"/>
      <c r="B61" s="46" t="str">
        <f t="shared" si="28"/>
        <v/>
      </c>
      <c r="C61" s="45"/>
      <c r="D61" s="45"/>
      <c r="E61" s="45"/>
      <c r="F61" s="45"/>
      <c r="G61" s="94"/>
      <c r="H61" s="94"/>
      <c r="I61" s="94"/>
      <c r="J61" s="94"/>
      <c r="K61" s="94"/>
      <c r="L61" s="94"/>
      <c r="M61" s="94"/>
      <c r="N61" s="94"/>
      <c r="O61" s="94"/>
      <c r="P61" s="94"/>
      <c r="Q61" s="94"/>
      <c r="R61" s="94"/>
      <c r="S61" s="45"/>
      <c r="T61" s="94"/>
    </row>
    <row r="62" ht="15.75" customHeight="1">
      <c r="A62" s="45"/>
      <c r="B62" s="46" t="str">
        <f t="shared" si="28"/>
        <v>OmnichannelMargine di Contribuzione_2</v>
      </c>
      <c r="C62" s="45"/>
      <c r="D62" s="45"/>
      <c r="E62" s="90" t="s">
        <v>1632</v>
      </c>
      <c r="F62" s="105" t="s">
        <v>1664</v>
      </c>
      <c r="G62" s="106">
        <f t="shared" ref="G62:R62" si="31">G44+G60</f>
        <v>-2069.81</v>
      </c>
      <c r="H62" s="106">
        <f t="shared" si="31"/>
        <v>-267.3298202</v>
      </c>
      <c r="I62" s="106">
        <f t="shared" si="31"/>
        <v>-450.0937231</v>
      </c>
      <c r="J62" s="106">
        <f t="shared" si="31"/>
        <v>-573.6886462</v>
      </c>
      <c r="K62" s="106">
        <f t="shared" si="31"/>
        <v>1461.690357</v>
      </c>
      <c r="L62" s="106">
        <f t="shared" si="31"/>
        <v>7500.849689</v>
      </c>
      <c r="M62" s="106">
        <f t="shared" si="31"/>
        <v>1079.993767</v>
      </c>
      <c r="N62" s="106">
        <f t="shared" si="31"/>
        <v>0</v>
      </c>
      <c r="O62" s="106">
        <f t="shared" si="31"/>
        <v>0</v>
      </c>
      <c r="P62" s="106">
        <f t="shared" si="31"/>
        <v>0</v>
      </c>
      <c r="Q62" s="106">
        <f t="shared" si="31"/>
        <v>0</v>
      </c>
      <c r="R62" s="106">
        <f t="shared" si="31"/>
        <v>0</v>
      </c>
      <c r="S62" s="45"/>
      <c r="T62" s="106">
        <f>SUM(G62:R62)</f>
        <v>6681.611624</v>
      </c>
    </row>
    <row r="63" ht="15.75" customHeight="1">
      <c r="A63" s="45"/>
      <c r="B63" s="46"/>
      <c r="C63" s="45"/>
      <c r="D63" s="45"/>
      <c r="E63" s="45"/>
      <c r="F63" s="45"/>
      <c r="G63" s="107">
        <f t="shared" ref="G63:R63" si="32">IFERROR(G62/G29, 0)</f>
        <v>-0.465334982</v>
      </c>
      <c r="H63" s="107">
        <f t="shared" si="32"/>
        <v>-0.06977203076</v>
      </c>
      <c r="I63" s="107">
        <f t="shared" si="32"/>
        <v>-0.04977243075</v>
      </c>
      <c r="J63" s="107">
        <f t="shared" si="32"/>
        <v>-0.05668263307</v>
      </c>
      <c r="K63" s="107">
        <f t="shared" si="32"/>
        <v>0.1189666326</v>
      </c>
      <c r="L63" s="107">
        <f t="shared" si="32"/>
        <v>0.3642734273</v>
      </c>
      <c r="M63" s="107">
        <f t="shared" si="32"/>
        <v>0.8404084679</v>
      </c>
      <c r="N63" s="107">
        <f t="shared" si="32"/>
        <v>0</v>
      </c>
      <c r="O63" s="107">
        <f t="shared" si="32"/>
        <v>0</v>
      </c>
      <c r="P63" s="107">
        <f t="shared" si="32"/>
        <v>0</v>
      </c>
      <c r="Q63" s="107">
        <f t="shared" si="32"/>
        <v>0</v>
      </c>
      <c r="R63" s="107">
        <f t="shared" si="32"/>
        <v>0</v>
      </c>
      <c r="S63" s="45"/>
      <c r="T63" s="107">
        <f>T62/T29</f>
        <v>0.1084563202</v>
      </c>
    </row>
    <row r="64" ht="15.75" customHeight="1">
      <c r="A64" s="45"/>
      <c r="B64" s="46"/>
      <c r="C64" s="45"/>
      <c r="D64" s="45"/>
      <c r="E64" s="45"/>
      <c r="F64" s="45"/>
      <c r="G64" s="107"/>
      <c r="H64" s="107"/>
      <c r="I64" s="107"/>
      <c r="J64" s="107"/>
      <c r="K64" s="107"/>
      <c r="L64" s="107"/>
      <c r="M64" s="107"/>
      <c r="N64" s="107"/>
      <c r="O64" s="107"/>
      <c r="P64" s="107"/>
      <c r="Q64" s="107"/>
      <c r="R64" s="107"/>
      <c r="S64" s="45"/>
      <c r="T64" s="107"/>
    </row>
    <row r="65" ht="15.75" customHeight="1">
      <c r="A65" s="45"/>
      <c r="B65" s="46"/>
      <c r="C65" s="45"/>
      <c r="D65" s="45"/>
      <c r="E65" s="45"/>
      <c r="F65" s="113" t="s">
        <v>1599</v>
      </c>
      <c r="G65" s="114">
        <f>SUMIFS('EXPENSES MASTER'!$F:$F, 'EXPENSES MASTER'!$G:$G, AC!$F$61, 'EXPENSES MASTER'!$B:$B, AC!H$3)</f>
        <v>0</v>
      </c>
      <c r="H65" s="114">
        <f>SUMIFS('EXPENSES MASTER'!$F:$F, 'EXPENSES MASTER'!$G:$G, AC!$F$61, 'EXPENSES MASTER'!$B:$B, AC!I$3)</f>
        <v>0</v>
      </c>
      <c r="I65" s="114">
        <f>SUMIFS('EXPENSES MASTER'!$F:$F, 'EXPENSES MASTER'!$G:$G, AC!$F$61, 'EXPENSES MASTER'!$B:$B, AC!J$3)</f>
        <v>0</v>
      </c>
      <c r="J65" s="114">
        <f>SUMIFS('EXPENSES MASTER'!$F:$F, 'EXPENSES MASTER'!$G:$G, AC!$F$61, 'EXPENSES MASTER'!$B:$B, AC!K$3)</f>
        <v>0</v>
      </c>
      <c r="K65" s="114">
        <f>SUMIFS('EXPENSES MASTER'!$F:$F, 'EXPENSES MASTER'!$G:$G, AC!$F$61, 'EXPENSES MASTER'!$B:$B, AC!L$3)</f>
        <v>0</v>
      </c>
      <c r="L65" s="114">
        <f>SUMIFS('EXPENSES MASTER'!$F:$F, 'EXPENSES MASTER'!$G:$G, AC!$F$61, 'EXPENSES MASTER'!$B:$B, AC!M$3)</f>
        <v>0</v>
      </c>
      <c r="M65" s="114">
        <f>SUMIFS('EXPENSES MASTER'!$F:$F, 'EXPENSES MASTER'!$G:$G, AC!$F$61, 'EXPENSES MASTER'!$B:$B, AC!N$3)</f>
        <v>0</v>
      </c>
      <c r="N65" s="114">
        <f>SUMIFS('EXPENSES MASTER'!$F:$F, 'EXPENSES MASTER'!$G:$G, AC!$F$61, 'EXPENSES MASTER'!$B:$B, AC!O$3)</f>
        <v>0</v>
      </c>
      <c r="O65" s="114">
        <f>SUMIFS('EXPENSES MASTER'!$F:$F, 'EXPENSES MASTER'!$G:$G, AC!$F$61, 'EXPENSES MASTER'!$B:$B, AC!P$3)</f>
        <v>0</v>
      </c>
      <c r="P65" s="114">
        <f>SUMIFS('EXPENSES MASTER'!$F:$F, 'EXPENSES MASTER'!$G:$G, AC!$F$61, 'EXPENSES MASTER'!$B:$B, AC!Q$3)</f>
        <v>0</v>
      </c>
      <c r="Q65" s="114">
        <f>SUMIFS('EXPENSES MASTER'!$F:$F, 'EXPENSES MASTER'!$G:$G, AC!$F$61, 'EXPENSES MASTER'!$B:$B, AC!R$3)</f>
        <v>0</v>
      </c>
      <c r="R65" s="114">
        <f>SUMIFS('EXPENSES MASTER'!$F:$F, 'EXPENSES MASTER'!$G:$G, AC!$F$61, 'EXPENSES MASTER'!$B:$B, AC!S$3)</f>
        <v>0</v>
      </c>
      <c r="S65" s="114">
        <f>SUMIFS('EXPENSES MASTER'!$F:$F, 'EXPENSES MASTER'!$G:$G, AC!$F$61, 'EXPENSES MASTER'!$B:$B, AC!T$3)</f>
        <v>0</v>
      </c>
      <c r="T65" s="114">
        <f>SUMIFS('EXPENSES MASTER'!$F:$F, 'EXPENSES MASTER'!$G:$G, AC!$F$61, 'EXPENSES MASTER'!$B:$B, AC!U$3)</f>
        <v>0</v>
      </c>
    </row>
    <row r="66" ht="15.75" customHeight="1">
      <c r="A66" s="45"/>
      <c r="B66" s="46"/>
      <c r="C66" s="45"/>
      <c r="D66" s="45"/>
      <c r="E66" s="45"/>
      <c r="F66" s="113"/>
      <c r="G66" s="114"/>
      <c r="H66" s="114"/>
      <c r="I66" s="114"/>
      <c r="J66" s="114"/>
      <c r="K66" s="114"/>
      <c r="L66" s="114"/>
      <c r="M66" s="114"/>
      <c r="N66" s="114"/>
      <c r="O66" s="114"/>
      <c r="P66" s="114"/>
      <c r="Q66" s="114"/>
      <c r="R66" s="114"/>
      <c r="S66" s="114"/>
      <c r="T66" s="114"/>
    </row>
    <row r="67" ht="15.75" customHeight="1">
      <c r="A67" s="45"/>
      <c r="B67" s="46"/>
      <c r="C67" s="45"/>
      <c r="D67" s="45"/>
      <c r="E67" s="45"/>
      <c r="F67" s="113"/>
      <c r="G67" s="114"/>
      <c r="H67" s="114"/>
      <c r="I67" s="114"/>
      <c r="J67" s="114"/>
      <c r="K67" s="114"/>
      <c r="L67" s="114"/>
      <c r="M67" s="114"/>
      <c r="N67" s="114"/>
      <c r="O67" s="114"/>
      <c r="P67" s="114"/>
      <c r="Q67" s="114"/>
      <c r="R67" s="114"/>
      <c r="S67" s="114"/>
      <c r="T67" s="114"/>
    </row>
    <row r="68" ht="15.75" customHeight="1">
      <c r="A68" s="45"/>
      <c r="B68" s="46"/>
      <c r="C68" s="45"/>
      <c r="D68" s="45"/>
      <c r="E68" s="42"/>
      <c r="F68" s="113"/>
      <c r="G68" s="114"/>
      <c r="H68" s="114"/>
      <c r="I68" s="114"/>
      <c r="J68" s="114"/>
      <c r="K68" s="114"/>
      <c r="L68" s="114"/>
      <c r="M68" s="114"/>
      <c r="N68" s="114"/>
      <c r="O68" s="114"/>
      <c r="P68" s="114"/>
      <c r="Q68" s="114"/>
      <c r="R68" s="114"/>
      <c r="S68" s="114"/>
      <c r="T68" s="114"/>
    </row>
    <row r="69" ht="15.75" customHeight="1">
      <c r="A69" s="45"/>
      <c r="B69" s="46"/>
      <c r="C69" s="45"/>
      <c r="D69" s="42"/>
      <c r="E69" s="42"/>
      <c r="F69" s="115"/>
      <c r="G69" s="114"/>
      <c r="H69" s="114"/>
      <c r="I69" s="114"/>
      <c r="J69" s="114"/>
      <c r="K69" s="114"/>
      <c r="L69" s="114"/>
      <c r="M69" s="114"/>
      <c r="N69" s="114"/>
      <c r="O69" s="114"/>
      <c r="P69" s="114"/>
      <c r="Q69" s="114"/>
      <c r="R69" s="114"/>
      <c r="S69" s="114"/>
      <c r="T69" s="114"/>
    </row>
    <row r="70" ht="15.75" customHeight="1">
      <c r="A70" s="45"/>
      <c r="B70" s="46"/>
      <c r="C70" s="45"/>
      <c r="D70" s="42"/>
      <c r="E70" s="42"/>
      <c r="F70" s="115"/>
      <c r="G70" s="114"/>
      <c r="H70" s="114"/>
      <c r="I70" s="114"/>
      <c r="J70" s="114"/>
      <c r="K70" s="114"/>
      <c r="L70" s="114"/>
      <c r="M70" s="114"/>
      <c r="N70" s="114"/>
      <c r="O70" s="114"/>
      <c r="P70" s="114"/>
      <c r="Q70" s="114"/>
      <c r="R70" s="114"/>
      <c r="S70" s="114"/>
      <c r="T70" s="114"/>
    </row>
    <row r="71" ht="15.75" customHeight="1">
      <c r="A71" s="45"/>
      <c r="B71" s="46"/>
      <c r="C71" s="45"/>
      <c r="D71" s="42"/>
      <c r="E71" s="42"/>
      <c r="F71" s="115"/>
      <c r="G71" s="114"/>
      <c r="H71" s="114"/>
      <c r="I71" s="114"/>
      <c r="J71" s="114"/>
      <c r="K71" s="114"/>
      <c r="L71" s="114"/>
      <c r="M71" s="114"/>
      <c r="N71" s="114"/>
      <c r="O71" s="114"/>
      <c r="P71" s="114"/>
      <c r="Q71" s="114"/>
      <c r="R71" s="114"/>
      <c r="S71" s="114"/>
      <c r="T71" s="114"/>
    </row>
    <row r="72" ht="15.75" customHeight="1">
      <c r="A72" s="45"/>
      <c r="B72" s="46"/>
      <c r="C72" s="45"/>
      <c r="D72" s="42"/>
      <c r="E72" s="42"/>
      <c r="F72" s="115"/>
      <c r="G72" s="114"/>
      <c r="H72" s="114"/>
      <c r="I72" s="114"/>
      <c r="J72" s="114"/>
      <c r="K72" s="114"/>
      <c r="L72" s="114"/>
      <c r="M72" s="114"/>
      <c r="N72" s="114"/>
      <c r="O72" s="114"/>
      <c r="P72" s="114"/>
      <c r="Q72" s="114"/>
      <c r="R72" s="114"/>
      <c r="S72" s="114"/>
      <c r="T72" s="114"/>
    </row>
    <row r="73" ht="15.75" customHeight="1">
      <c r="A73" s="45"/>
      <c r="B73" s="46"/>
      <c r="C73" s="45"/>
      <c r="D73" s="42"/>
      <c r="E73" s="42"/>
      <c r="F73" s="115"/>
      <c r="G73" s="114"/>
      <c r="H73" s="114"/>
      <c r="I73" s="114"/>
      <c r="J73" s="114"/>
      <c r="K73" s="114"/>
      <c r="L73" s="114"/>
      <c r="M73" s="114"/>
      <c r="N73" s="114"/>
      <c r="O73" s="114"/>
      <c r="P73" s="114"/>
      <c r="Q73" s="114"/>
      <c r="R73" s="114"/>
      <c r="S73" s="114"/>
      <c r="T73" s="114"/>
    </row>
    <row r="74" ht="15.75" customHeight="1">
      <c r="A74" s="45"/>
      <c r="B74" s="46"/>
      <c r="C74" s="45"/>
      <c r="D74" s="42"/>
      <c r="E74" s="42"/>
      <c r="F74" s="115"/>
      <c r="G74" s="114"/>
      <c r="H74" s="114"/>
      <c r="I74" s="114"/>
      <c r="J74" s="114"/>
      <c r="K74" s="114"/>
      <c r="L74" s="114"/>
      <c r="M74" s="114"/>
      <c r="N74" s="114"/>
      <c r="O74" s="114"/>
      <c r="P74" s="114"/>
      <c r="Q74" s="114"/>
      <c r="R74" s="114"/>
      <c r="S74" s="114"/>
      <c r="T74" s="114"/>
    </row>
    <row r="75" ht="15.75" customHeight="1">
      <c r="A75" s="45"/>
      <c r="B75" s="46"/>
      <c r="C75" s="45"/>
      <c r="D75" s="42"/>
      <c r="E75" s="42"/>
      <c r="F75" s="115"/>
      <c r="G75" s="114"/>
      <c r="H75" s="114"/>
      <c r="I75" s="114"/>
      <c r="J75" s="114"/>
      <c r="K75" s="114"/>
      <c r="L75" s="114"/>
      <c r="M75" s="114"/>
      <c r="N75" s="114"/>
      <c r="O75" s="114"/>
      <c r="P75" s="114"/>
      <c r="Q75" s="114"/>
      <c r="R75" s="114"/>
      <c r="S75" s="114"/>
      <c r="T75" s="114"/>
    </row>
  </sheetData>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2.63" defaultRowHeight="15.0" outlineLevelCol="1" outlineLevelRow="1"/>
  <cols>
    <col customWidth="1" min="1" max="1" width="13.13"/>
    <col customWidth="1" min="2" max="2" width="12.25"/>
    <col customWidth="1" min="3" max="4" width="15.38"/>
    <col customWidth="1" min="5" max="5" width="20.75"/>
    <col customWidth="1" min="6" max="6" width="28.13"/>
    <col customWidth="1" min="7" max="18" width="12.5" outlineLevel="1"/>
    <col customWidth="1" min="19" max="19" width="2.0" outlineLevel="1"/>
    <col customWidth="1" min="20" max="20" width="19.88"/>
  </cols>
  <sheetData>
    <row r="1">
      <c r="A1" s="45"/>
      <c r="B1" s="43" t="s">
        <v>1594</v>
      </c>
      <c r="C1" s="44"/>
      <c r="D1" s="44"/>
      <c r="E1" s="44"/>
      <c r="F1" s="44"/>
      <c r="G1" s="44" t="str">
        <f t="shared" ref="G1:R1" si="1">G2&amp;G3</f>
        <v>20261</v>
      </c>
      <c r="H1" s="44" t="str">
        <f t="shared" si="1"/>
        <v>20262</v>
      </c>
      <c r="I1" s="44" t="str">
        <f t="shared" si="1"/>
        <v>20263</v>
      </c>
      <c r="J1" s="44" t="str">
        <f t="shared" si="1"/>
        <v>20264</v>
      </c>
      <c r="K1" s="44" t="str">
        <f t="shared" si="1"/>
        <v>20265</v>
      </c>
      <c r="L1" s="44" t="str">
        <f t="shared" si="1"/>
        <v>20266</v>
      </c>
      <c r="M1" s="44" t="str">
        <f t="shared" si="1"/>
        <v>20267</v>
      </c>
      <c r="N1" s="44" t="str">
        <f t="shared" si="1"/>
        <v>20268</v>
      </c>
      <c r="O1" s="44" t="str">
        <f t="shared" si="1"/>
        <v>20269</v>
      </c>
      <c r="P1" s="44" t="str">
        <f t="shared" si="1"/>
        <v>202610</v>
      </c>
      <c r="Q1" s="44" t="str">
        <f t="shared" si="1"/>
        <v>202611</v>
      </c>
      <c r="R1" s="44" t="str">
        <f t="shared" si="1"/>
        <v>202612</v>
      </c>
      <c r="S1" s="45"/>
      <c r="T1" s="45"/>
    </row>
    <row r="2">
      <c r="A2" s="45"/>
      <c r="B2" s="46"/>
      <c r="C2" s="45"/>
      <c r="D2" s="45"/>
      <c r="E2" s="45"/>
      <c r="F2" s="47" t="s">
        <v>1595</v>
      </c>
      <c r="G2" s="48">
        <v>2026.0</v>
      </c>
      <c r="H2" s="48">
        <v>2026.0</v>
      </c>
      <c r="I2" s="48">
        <v>2026.0</v>
      </c>
      <c r="J2" s="48">
        <v>2026.0</v>
      </c>
      <c r="K2" s="48">
        <v>2026.0</v>
      </c>
      <c r="L2" s="48">
        <v>2026.0</v>
      </c>
      <c r="M2" s="48">
        <v>2026.0</v>
      </c>
      <c r="N2" s="48">
        <v>2026.0</v>
      </c>
      <c r="O2" s="48">
        <v>2026.0</v>
      </c>
      <c r="P2" s="48">
        <v>2026.0</v>
      </c>
      <c r="Q2" s="48">
        <v>2026.0</v>
      </c>
      <c r="R2" s="48">
        <v>2026.0</v>
      </c>
      <c r="S2" s="45"/>
      <c r="T2" s="45"/>
    </row>
    <row r="3">
      <c r="A3" s="45"/>
      <c r="B3" s="46"/>
      <c r="C3" s="45"/>
      <c r="D3" s="45"/>
      <c r="E3" s="45"/>
      <c r="F3" s="47" t="s">
        <v>1596</v>
      </c>
      <c r="G3" s="48">
        <v>1.0</v>
      </c>
      <c r="H3" s="48">
        <v>2.0</v>
      </c>
      <c r="I3" s="48">
        <v>3.0</v>
      </c>
      <c r="J3" s="48">
        <v>4.0</v>
      </c>
      <c r="K3" s="48">
        <v>5.0</v>
      </c>
      <c r="L3" s="48">
        <v>6.0</v>
      </c>
      <c r="M3" s="48">
        <v>7.0</v>
      </c>
      <c r="N3" s="48">
        <v>8.0</v>
      </c>
      <c r="O3" s="48">
        <v>9.0</v>
      </c>
      <c r="P3" s="48">
        <v>10.0</v>
      </c>
      <c r="Q3" s="48">
        <v>11.0</v>
      </c>
      <c r="R3" s="48">
        <v>12.0</v>
      </c>
      <c r="S3" s="45"/>
      <c r="T3" s="45"/>
    </row>
    <row r="4">
      <c r="A4" s="45"/>
      <c r="B4" s="46"/>
      <c r="C4" s="45"/>
      <c r="D4" s="45"/>
      <c r="E4" s="45"/>
      <c r="F4" s="49" t="s">
        <v>1597</v>
      </c>
      <c r="G4" s="48">
        <v>1.0</v>
      </c>
      <c r="H4" s="48">
        <v>1.0</v>
      </c>
      <c r="I4" s="48">
        <v>1.0</v>
      </c>
      <c r="J4" s="48">
        <v>2.0</v>
      </c>
      <c r="K4" s="48">
        <v>2.0</v>
      </c>
      <c r="L4" s="48">
        <v>2.0</v>
      </c>
      <c r="M4" s="48">
        <v>3.0</v>
      </c>
      <c r="N4" s="48">
        <v>3.0</v>
      </c>
      <c r="O4" s="48">
        <v>3.0</v>
      </c>
      <c r="P4" s="48">
        <v>4.0</v>
      </c>
      <c r="Q4" s="48">
        <v>4.0</v>
      </c>
      <c r="R4" s="48">
        <v>4.0</v>
      </c>
      <c r="S4" s="45"/>
      <c r="T4" s="45"/>
    </row>
    <row r="5">
      <c r="A5" s="45"/>
      <c r="B5" s="46"/>
      <c r="C5" s="45"/>
      <c r="D5" s="45"/>
      <c r="E5" s="45"/>
      <c r="F5" s="49" t="s">
        <v>1598</v>
      </c>
      <c r="G5" s="48" t="s">
        <v>1598</v>
      </c>
      <c r="H5" s="48" t="s">
        <v>1598</v>
      </c>
      <c r="I5" s="48" t="s">
        <v>1598</v>
      </c>
      <c r="J5" s="48" t="s">
        <v>1598</v>
      </c>
      <c r="K5" s="48" t="s">
        <v>1598</v>
      </c>
      <c r="L5" s="48" t="s">
        <v>1598</v>
      </c>
      <c r="M5" s="48" t="s">
        <v>1598</v>
      </c>
      <c r="N5" s="48" t="s">
        <v>1598</v>
      </c>
      <c r="O5" s="48" t="s">
        <v>1598</v>
      </c>
      <c r="P5" s="48" t="s">
        <v>1598</v>
      </c>
      <c r="Q5" s="48"/>
      <c r="R5" s="48"/>
      <c r="S5" s="45"/>
      <c r="T5" s="45"/>
    </row>
    <row r="6" ht="24.0" customHeight="1">
      <c r="A6" s="50"/>
      <c r="B6" s="51"/>
      <c r="C6" s="52" t="s">
        <v>1599</v>
      </c>
      <c r="D6" s="52" t="s">
        <v>1600</v>
      </c>
      <c r="E6" s="53" t="s">
        <v>1601</v>
      </c>
      <c r="F6" s="54" t="s">
        <v>1602</v>
      </c>
      <c r="G6" s="55" t="s">
        <v>1603</v>
      </c>
      <c r="H6" s="55" t="s">
        <v>1604</v>
      </c>
      <c r="I6" s="55" t="s">
        <v>1605</v>
      </c>
      <c r="J6" s="55" t="s">
        <v>1606</v>
      </c>
      <c r="K6" s="55" t="s">
        <v>1607</v>
      </c>
      <c r="L6" s="55" t="s">
        <v>1608</v>
      </c>
      <c r="M6" s="55" t="s">
        <v>1609</v>
      </c>
      <c r="N6" s="55" t="s">
        <v>1610</v>
      </c>
      <c r="O6" s="55" t="s">
        <v>1611</v>
      </c>
      <c r="P6" s="55" t="s">
        <v>1612</v>
      </c>
      <c r="Q6" s="55" t="s">
        <v>1613</v>
      </c>
      <c r="R6" s="55" t="s">
        <v>1614</v>
      </c>
      <c r="S6" s="50"/>
      <c r="T6" s="56" t="s">
        <v>1615</v>
      </c>
    </row>
    <row r="7">
      <c r="A7" s="45"/>
      <c r="B7" s="46"/>
      <c r="C7" s="45"/>
      <c r="D7" s="45"/>
      <c r="E7" s="45"/>
      <c r="F7" s="45"/>
      <c r="G7" s="45"/>
      <c r="H7" s="45"/>
      <c r="I7" s="45"/>
      <c r="J7" s="45"/>
      <c r="K7" s="45"/>
      <c r="L7" s="45"/>
      <c r="M7" s="45"/>
      <c r="N7" s="45"/>
      <c r="O7" s="45"/>
      <c r="P7" s="45"/>
      <c r="Q7" s="45"/>
      <c r="R7" s="45"/>
      <c r="S7" s="45"/>
      <c r="T7" s="45"/>
    </row>
    <row r="8">
      <c r="A8" s="45"/>
      <c r="B8" s="46" t="str">
        <f t="shared" ref="B8:B22" si="2">E8&amp;F8</f>
        <v>OnlineOrdini</v>
      </c>
      <c r="C8" s="58" t="s">
        <v>1616</v>
      </c>
      <c r="D8" s="58" t="s">
        <v>1617</v>
      </c>
      <c r="E8" s="59" t="s">
        <v>1618</v>
      </c>
      <c r="F8" s="58" t="s">
        <v>1619</v>
      </c>
      <c r="G8" s="61">
        <f>SUMIFS('DB Shopify'!$CE:$CE,'DB Shopify'!$CC:$CC,CE_AMIMI!G$2,'DB Shopify'!$CD:$CD,CE_AMIMI!G$3)</f>
        <v>0</v>
      </c>
      <c r="H8" s="61">
        <f>SUMIFS('DB Shopify'!$CE:$CE,'DB Shopify'!$CC:$CC,CE_AMIMI!H$2,'DB Shopify'!$CD:$CD,CE_AMIMI!H$3)</f>
        <v>17</v>
      </c>
      <c r="I8" s="61">
        <f>SUMIFS('DB Shopify'!$CE:$CE,'DB Shopify'!$CC:$CC,CE_AMIMI!I$2,'DB Shopify'!$CD:$CD,CE_AMIMI!I$3)</f>
        <v>71</v>
      </c>
      <c r="J8" s="61">
        <f>SUMIFS('DB Shopify'!$CE:$CE,'DB Shopify'!$CC:$CC,CE_AMIMI!J$2,'DB Shopify'!$CD:$CD,CE_AMIMI!J$3)</f>
        <v>69</v>
      </c>
      <c r="K8" s="61">
        <f>SUMIFS('DB Shopify'!$CE:$CE,'DB Shopify'!$CC:$CC,CE_AMIMI!K$2,'DB Shopify'!$CD:$CD,CE_AMIMI!K$3)</f>
        <v>102</v>
      </c>
      <c r="L8" s="61">
        <f>SUMIFS('DB Shopify'!$CE:$CE,'DB Shopify'!$CC:$CC,CE_AMIMI!L$2,'DB Shopify'!$CD:$CD,CE_AMIMI!L$3)</f>
        <v>168</v>
      </c>
      <c r="M8" s="61">
        <f>SUMIFS('DB Shopify'!$CE:$CE,'DB Shopify'!$CC:$CC,CE_AMIMI!M$2,'DB Shopify'!$CD:$CD,CE_AMIMI!M$3)</f>
        <v>5</v>
      </c>
      <c r="N8" s="61">
        <f>SUMIFS('DB Shopify'!$CE:$CE,'DB Shopify'!$CC:$CC,CE_AMIMI!N$2,'DB Shopify'!$CD:$CD,CE_AMIMI!N$3)</f>
        <v>0</v>
      </c>
      <c r="O8" s="61">
        <f>SUMIFS('DB Shopify'!$CE:$CE,'DB Shopify'!$CC:$CC,CE_AMIMI!O$2,'DB Shopify'!$CD:$CD,CE_AMIMI!O$3)</f>
        <v>0</v>
      </c>
      <c r="P8" s="61">
        <f>SUMIFS('DB Shopify'!$CE:$CE,'DB Shopify'!$CC:$CC,CE_AMIMI!P$2,'DB Shopify'!$CD:$CD,CE_AMIMI!P$3)</f>
        <v>0</v>
      </c>
      <c r="Q8" s="61">
        <f>SUMIFS('DB Shopify'!$CE:$CE,'DB Shopify'!$CC:$CC,CE_AMIMI!Q$2,'DB Shopify'!$CD:$CD,CE_AMIMI!Q$3)</f>
        <v>0</v>
      </c>
      <c r="R8" s="61">
        <f>SUMIFS('DB Shopify'!$CE:$CE,'DB Shopify'!$CC:$CC,CE_AMIMI!R$2,'DB Shopify'!$CD:$CD,CE_AMIMI!R$3)</f>
        <v>0</v>
      </c>
      <c r="S8" s="45"/>
      <c r="T8" s="61">
        <f>SUM(G8:R8)</f>
        <v>432</v>
      </c>
    </row>
    <row r="9" outlineLevel="1">
      <c r="A9" s="45"/>
      <c r="B9" s="46" t="str">
        <f t="shared" si="2"/>
        <v>OnlinePezzi/Ordine</v>
      </c>
      <c r="C9" s="63"/>
      <c r="D9" s="63"/>
      <c r="E9" s="59" t="s">
        <v>1618</v>
      </c>
      <c r="F9" s="64" t="s">
        <v>1620</v>
      </c>
      <c r="G9" s="66">
        <f t="shared" ref="G9:R9" si="3">iferror(G10/G8,0)</f>
        <v>0</v>
      </c>
      <c r="H9" s="66">
        <f t="shared" si="3"/>
        <v>1</v>
      </c>
      <c r="I9" s="66">
        <f t="shared" si="3"/>
        <v>1</v>
      </c>
      <c r="J9" s="66">
        <f t="shared" si="3"/>
        <v>1.072463768</v>
      </c>
      <c r="K9" s="66">
        <f t="shared" si="3"/>
        <v>1.078431373</v>
      </c>
      <c r="L9" s="66">
        <f t="shared" si="3"/>
        <v>1.095238095</v>
      </c>
      <c r="M9" s="66">
        <f t="shared" si="3"/>
        <v>1</v>
      </c>
      <c r="N9" s="66">
        <f t="shared" si="3"/>
        <v>0</v>
      </c>
      <c r="O9" s="66">
        <f t="shared" si="3"/>
        <v>0</v>
      </c>
      <c r="P9" s="66">
        <f t="shared" si="3"/>
        <v>0</v>
      </c>
      <c r="Q9" s="66">
        <f t="shared" si="3"/>
        <v>0</v>
      </c>
      <c r="R9" s="66">
        <f t="shared" si="3"/>
        <v>0</v>
      </c>
      <c r="S9" s="45"/>
      <c r="T9" s="67">
        <f>T10/T8</f>
        <v>1.06712963</v>
      </c>
    </row>
    <row r="10" outlineLevel="1">
      <c r="A10" s="45"/>
      <c r="B10" s="46" t="str">
        <f t="shared" si="2"/>
        <v>OnlinePezzi</v>
      </c>
      <c r="C10" s="63"/>
      <c r="D10" s="63"/>
      <c r="E10" s="59" t="s">
        <v>1618</v>
      </c>
      <c r="F10" s="68" t="s">
        <v>1621</v>
      </c>
      <c r="G10" s="61">
        <f>SUMIFS('DB Shopify'!$CF:$CF,'DB Shopify'!$CC:$CC,CE_AMIMI!G$2,'DB Shopify'!$CD:$CD,CE_AMIMI!G$3)</f>
        <v>0</v>
      </c>
      <c r="H10" s="61">
        <f>SUMIFS('DB Shopify'!$CF:$CF,'DB Shopify'!$CC:$CC,CE_AMIMI!H$2,'DB Shopify'!$CD:$CD,CE_AMIMI!H$3)</f>
        <v>17</v>
      </c>
      <c r="I10" s="61">
        <f>SUMIFS('DB Shopify'!$CF:$CF,'DB Shopify'!$CC:$CC,CE_AMIMI!I$2,'DB Shopify'!$CD:$CD,CE_AMIMI!I$3)</f>
        <v>71</v>
      </c>
      <c r="J10" s="61">
        <f>SUMIFS('DB Shopify'!$CF:$CF,'DB Shopify'!$CC:$CC,CE_AMIMI!J$2,'DB Shopify'!$CD:$CD,CE_AMIMI!J$3)</f>
        <v>74</v>
      </c>
      <c r="K10" s="61">
        <f>SUMIFS('DB Shopify'!$CF:$CF,'DB Shopify'!$CC:$CC,CE_AMIMI!K$2,'DB Shopify'!$CD:$CD,CE_AMIMI!K$3)</f>
        <v>110</v>
      </c>
      <c r="L10" s="61">
        <f>SUMIFS('DB Shopify'!$CF:$CF,'DB Shopify'!$CC:$CC,CE_AMIMI!L$2,'DB Shopify'!$CD:$CD,CE_AMIMI!L$3)</f>
        <v>184</v>
      </c>
      <c r="M10" s="61">
        <f>SUMIFS('DB Shopify'!$CF:$CF,'DB Shopify'!$CC:$CC,CE_AMIMI!M$2,'DB Shopify'!$CD:$CD,CE_AMIMI!M$3)</f>
        <v>5</v>
      </c>
      <c r="N10" s="61">
        <f>SUMIFS('DB Shopify'!$CF:$CF,'DB Shopify'!$CC:$CC,CE_AMIMI!N$2,'DB Shopify'!$CD:$CD,CE_AMIMI!N$3)</f>
        <v>0</v>
      </c>
      <c r="O10" s="61">
        <f>SUMIFS('DB Shopify'!$CF:$CF,'DB Shopify'!$CC:$CC,CE_AMIMI!O$2,'DB Shopify'!$CD:$CD,CE_AMIMI!O$3)</f>
        <v>0</v>
      </c>
      <c r="P10" s="61">
        <f>SUMIFS('DB Shopify'!$CF:$CF,'DB Shopify'!$CC:$CC,CE_AMIMI!P$2,'DB Shopify'!$CD:$CD,CE_AMIMI!P$3)</f>
        <v>0</v>
      </c>
      <c r="Q10" s="61">
        <f>SUMIFS('DB Shopify'!$CF:$CF,'DB Shopify'!$CC:$CC,CE_AMIMI!Q$2,'DB Shopify'!$CD:$CD,CE_AMIMI!Q$3)</f>
        <v>0</v>
      </c>
      <c r="R10" s="61">
        <f>SUMIFS('DB Shopify'!$CF:$CF,'DB Shopify'!$CC:$CC,CE_AMIMI!R$2,'DB Shopify'!$CD:$CD,CE_AMIMI!R$3)</f>
        <v>0</v>
      </c>
      <c r="S10" s="45"/>
      <c r="T10" s="61">
        <f>SUM(G10:R10)</f>
        <v>461</v>
      </c>
    </row>
    <row r="11">
      <c r="A11" s="45"/>
      <c r="B11" s="46" t="str">
        <f t="shared" si="2"/>
        <v>OnlineCarrello medio</v>
      </c>
      <c r="C11" s="58" t="s">
        <v>1616</v>
      </c>
      <c r="D11" s="58" t="s">
        <v>1617</v>
      </c>
      <c r="E11" s="59" t="s">
        <v>1618</v>
      </c>
      <c r="F11" s="58" t="s">
        <v>1622</v>
      </c>
      <c r="G11" s="61">
        <f t="shared" ref="G11:R11" si="4">iferror(G16/G8,0)</f>
        <v>0</v>
      </c>
      <c r="H11" s="61">
        <f t="shared" si="4"/>
        <v>129.7882353</v>
      </c>
      <c r="I11" s="61">
        <f t="shared" si="4"/>
        <v>121.4859155</v>
      </c>
      <c r="J11" s="61">
        <f t="shared" si="4"/>
        <v>115.4304348</v>
      </c>
      <c r="K11" s="61">
        <f t="shared" si="4"/>
        <v>119.0303922</v>
      </c>
      <c r="L11" s="61">
        <f t="shared" si="4"/>
        <v>104.7311905</v>
      </c>
      <c r="M11" s="61">
        <f t="shared" si="4"/>
        <v>104.16</v>
      </c>
      <c r="N11" s="61">
        <f t="shared" si="4"/>
        <v>0</v>
      </c>
      <c r="O11" s="61">
        <f t="shared" si="4"/>
        <v>0</v>
      </c>
      <c r="P11" s="61">
        <f t="shared" si="4"/>
        <v>0</v>
      </c>
      <c r="Q11" s="61">
        <f t="shared" si="4"/>
        <v>0</v>
      </c>
      <c r="R11" s="61">
        <f t="shared" si="4"/>
        <v>0</v>
      </c>
      <c r="S11" s="45"/>
      <c r="T11" s="70">
        <f>T12/T8</f>
        <v>122.7902778</v>
      </c>
    </row>
    <row r="12">
      <c r="A12" s="45"/>
      <c r="B12" s="46" t="str">
        <f t="shared" si="2"/>
        <v>OnlineVendite</v>
      </c>
      <c r="C12" s="58" t="s">
        <v>1616</v>
      </c>
      <c r="D12" s="58" t="s">
        <v>1617</v>
      </c>
      <c r="E12" s="59" t="s">
        <v>1618</v>
      </c>
      <c r="F12" s="58" t="s">
        <v>1623</v>
      </c>
      <c r="G12" s="72">
        <f>SUMIFS('DB Shopify'!$S:$S,'DB Shopify'!$CC:$CC,CE_AMIMI!G$2,'DB Shopify'!$CD:$CD,CE_AMIMI!G$3)</f>
        <v>0</v>
      </c>
      <c r="H12" s="72">
        <f>SUMIFS('DB Shopify'!$S:$S,'DB Shopify'!$CC:$CC,CE_AMIMI!H$2,'DB Shopify'!$CD:$CD,CE_AMIMI!H$3)</f>
        <v>2345</v>
      </c>
      <c r="I12" s="72">
        <f>SUMIFS('DB Shopify'!$S:$S,'DB Shopify'!$CC:$CC,CE_AMIMI!I$2,'DB Shopify'!$CD:$CD,CE_AMIMI!I$3)</f>
        <v>9463</v>
      </c>
      <c r="J12" s="72">
        <f>SUMIFS('DB Shopify'!$S:$S,'DB Shopify'!$CC:$CC,CE_AMIMI!J$2,'DB Shopify'!$CD:$CD,CE_AMIMI!J$3)</f>
        <v>8632</v>
      </c>
      <c r="K12" s="72">
        <f>SUMIFS('DB Shopify'!$S:$S,'DB Shopify'!$CC:$CC,CE_AMIMI!K$2,'DB Shopify'!$CD:$CD,CE_AMIMI!K$3)</f>
        <v>12907</v>
      </c>
      <c r="L12" s="72">
        <f>SUMIFS('DB Shopify'!$S:$S,'DB Shopify'!$CC:$CC,CE_AMIMI!L$2,'DB Shopify'!$CD:$CD,CE_AMIMI!L$3)</f>
        <v>19138.4</v>
      </c>
      <c r="M12" s="72">
        <f>SUMIFS('DB Shopify'!$S:$S,'DB Shopify'!$CC:$CC,CE_AMIMI!M$2,'DB Shopify'!$CD:$CD,CE_AMIMI!M$3)</f>
        <v>560</v>
      </c>
      <c r="N12" s="72">
        <f>SUMIFS('DB Shopify'!$S:$S,'DB Shopify'!$CC:$CC,CE_AMIMI!N$2,'DB Shopify'!$CD:$CD,CE_AMIMI!N$3)</f>
        <v>0</v>
      </c>
      <c r="O12" s="72">
        <f>SUMIFS('DB Shopify'!$S:$S,'DB Shopify'!$CC:$CC,CE_AMIMI!O$2,'DB Shopify'!$CD:$CD,CE_AMIMI!O$3)</f>
        <v>0</v>
      </c>
      <c r="P12" s="72">
        <f>SUMIFS('DB Shopify'!$S:$S,'DB Shopify'!$CC:$CC,CE_AMIMI!P$2,'DB Shopify'!$CD:$CD,CE_AMIMI!P$3)</f>
        <v>0</v>
      </c>
      <c r="Q12" s="72">
        <f>SUMIFS('DB Shopify'!$S:$S,'DB Shopify'!$CC:$CC,CE_AMIMI!Q$2,'DB Shopify'!$CD:$CD,CE_AMIMI!Q$3)</f>
        <v>0</v>
      </c>
      <c r="R12" s="72">
        <f>SUMIFS('DB Shopify'!$S:$S,'DB Shopify'!$CC:$CC,CE_AMIMI!R$2,'DB Shopify'!$CD:$CD,CE_AMIMI!R$3)</f>
        <v>0</v>
      </c>
      <c r="S12" s="45"/>
      <c r="T12" s="72">
        <f t="shared" ref="T12:T17" si="5">SUM(G12:R12)</f>
        <v>53045.4</v>
      </c>
    </row>
    <row r="13">
      <c r="A13" s="45"/>
      <c r="B13" s="46" t="str">
        <f t="shared" si="2"/>
        <v>OnlineOnline</v>
      </c>
      <c r="C13" s="58" t="s">
        <v>1616</v>
      </c>
      <c r="D13" s="58" t="s">
        <v>1617</v>
      </c>
      <c r="E13" s="59" t="s">
        <v>1618</v>
      </c>
      <c r="F13" s="59" t="s">
        <v>1618</v>
      </c>
      <c r="G13" s="72">
        <f>-SUMIFS('DB Shopify'!$CK:$CK,'DB Shopify'!$CC:$CC,CE_AMIMI!G$2,'DB Shopify'!$CD:$CD,CE_AMIMI!G$3)</f>
        <v>0</v>
      </c>
      <c r="H13" s="72">
        <f>-SUMIFS('DB Shopify'!$CK:$CK,'DB Shopify'!$CC:$CC,CE_AMIMI!H$2,'DB Shopify'!$CD:$CD,CE_AMIMI!H$3)</f>
        <v>-125</v>
      </c>
      <c r="I13" s="72">
        <f>-SUMIFS('DB Shopify'!$CK:$CK,'DB Shopify'!$CC:$CC,CE_AMIMI!I$2,'DB Shopify'!$CD:$CD,CE_AMIMI!I$3)</f>
        <v>-547</v>
      </c>
      <c r="J13" s="72">
        <f>-SUMIFS('DB Shopify'!$CK:$CK,'DB Shopify'!$CC:$CC,CE_AMIMI!J$2,'DB Shopify'!$CD:$CD,CE_AMIMI!J$3)</f>
        <v>-457.5</v>
      </c>
      <c r="K13" s="72">
        <f>-SUMIFS('DB Shopify'!$CK:$CK,'DB Shopify'!$CC:$CC,CE_AMIMI!K$2,'DB Shopify'!$CD:$CD,CE_AMIMI!K$3)</f>
        <v>-790</v>
      </c>
      <c r="L13" s="72">
        <f>-SUMIFS('DB Shopify'!$CK:$CK,'DB Shopify'!$CC:$CC,CE_AMIMI!L$2,'DB Shopify'!$CD:$CD,CE_AMIMI!L$3)</f>
        <v>-1294.14</v>
      </c>
      <c r="M13" s="72">
        <f>-SUMIFS('DB Shopify'!$CK:$CK,'DB Shopify'!$CC:$CC,CE_AMIMI!M$2,'DB Shopify'!$CD:$CD,CE_AMIMI!M$3)</f>
        <v>-32</v>
      </c>
      <c r="N13" s="72">
        <f>-SUMIFS('DB Shopify'!$CK:$CK,'DB Shopify'!$CC:$CC,CE_AMIMI!N$2,'DB Shopify'!$CD:$CD,CE_AMIMI!N$3)</f>
        <v>0</v>
      </c>
      <c r="O13" s="72">
        <f>-SUMIFS('DB Shopify'!$CK:$CK,'DB Shopify'!$CC:$CC,CE_AMIMI!O$2,'DB Shopify'!$CD:$CD,CE_AMIMI!O$3)</f>
        <v>0</v>
      </c>
      <c r="P13" s="72">
        <f>-SUMIFS('DB Shopify'!$CK:$CK,'DB Shopify'!$CC:$CC,CE_AMIMI!P$2,'DB Shopify'!$CD:$CD,CE_AMIMI!P$3)</f>
        <v>0</v>
      </c>
      <c r="Q13" s="72">
        <f>-SUMIFS('DB Shopify'!$CK:$CK,'DB Shopify'!$CC:$CC,CE_AMIMI!Q$2,'DB Shopify'!$CD:$CD,CE_AMIMI!Q$3)</f>
        <v>0</v>
      </c>
      <c r="R13" s="72">
        <f>-SUMIFS('DB Shopify'!$CK:$CK,'DB Shopify'!$CC:$CC,CE_AMIMI!R$2,'DB Shopify'!$CD:$CD,CE_AMIMI!R$3)</f>
        <v>0</v>
      </c>
      <c r="S13" s="45"/>
      <c r="T13" s="72">
        <f t="shared" si="5"/>
        <v>-3245.64</v>
      </c>
    </row>
    <row r="14">
      <c r="A14" s="45"/>
      <c r="B14" s="46" t="str">
        <f t="shared" si="2"/>
        <v>OnlineFree Shipping</v>
      </c>
      <c r="C14" s="58" t="s">
        <v>1616</v>
      </c>
      <c r="D14" s="58" t="s">
        <v>1617</v>
      </c>
      <c r="E14" s="59" t="s">
        <v>1618</v>
      </c>
      <c r="F14" s="58" t="s">
        <v>1625</v>
      </c>
      <c r="G14" s="72">
        <f>SUMIFS('DB Shopify'!$CG:$CG,'DB Shopify'!$CC:$CC,CE_AMIMI!G$2,'DB Shopify'!$CD:$CD,CE_AMIMI!G$3)</f>
        <v>0</v>
      </c>
      <c r="H14" s="72">
        <f>SUMIFS('DB Shopify'!$CG:$CG,'DB Shopify'!$CC:$CC,CE_AMIMI!H$2,'DB Shopify'!$CD:$CD,CE_AMIMI!H$3)</f>
        <v>-55</v>
      </c>
      <c r="I14" s="72">
        <f>SUMIFS('DB Shopify'!$CG:$CG,'DB Shopify'!$CC:$CC,CE_AMIMI!I$2,'DB Shopify'!$CD:$CD,CE_AMIMI!I$3)</f>
        <v>-325</v>
      </c>
      <c r="J14" s="72">
        <f>SUMIFS('DB Shopify'!$CG:$CG,'DB Shopify'!$CC:$CC,CE_AMIMI!J$2,'DB Shopify'!$CD:$CD,CE_AMIMI!J$3)</f>
        <v>-280</v>
      </c>
      <c r="K14" s="72">
        <f>SUMIFS('DB Shopify'!$CG:$CG,'DB Shopify'!$CC:$CC,CE_AMIMI!K$2,'DB Shopify'!$CD:$CD,CE_AMIMI!K$3)</f>
        <v>-355</v>
      </c>
      <c r="L14" s="72">
        <f>SUMIFS('DB Shopify'!$CG:$CG,'DB Shopify'!$CC:$CC,CE_AMIMI!L$2,'DB Shopify'!$CD:$CD,CE_AMIMI!L$3)</f>
        <v>-560</v>
      </c>
      <c r="M14" s="72">
        <f>SUMIFS('DB Shopify'!$CG:$CG,'DB Shopify'!$CC:$CC,CE_AMIMI!M$2,'DB Shopify'!$CD:$CD,CE_AMIMI!M$3)</f>
        <v>-15</v>
      </c>
      <c r="N14" s="72">
        <f>SUMIFS('DB Shopify'!$CG:$CG,'DB Shopify'!$CC:$CC,CE_AMIMI!N$2,'DB Shopify'!$CD:$CD,CE_AMIMI!N$3)</f>
        <v>0</v>
      </c>
      <c r="O14" s="72">
        <f>SUMIFS('DB Shopify'!$CG:$CG,'DB Shopify'!$CC:$CC,CE_AMIMI!O$2,'DB Shopify'!$CD:$CD,CE_AMIMI!O$3)</f>
        <v>0</v>
      </c>
      <c r="P14" s="72">
        <f>SUMIFS('DB Shopify'!$CG:$CG,'DB Shopify'!$CC:$CC,CE_AMIMI!P$2,'DB Shopify'!$CD:$CD,CE_AMIMI!P$3)</f>
        <v>0</v>
      </c>
      <c r="Q14" s="72">
        <f>SUMIFS('DB Shopify'!$CG:$CG,'DB Shopify'!$CC:$CC,CE_AMIMI!Q$2,'DB Shopify'!$CD:$CD,CE_AMIMI!Q$3)</f>
        <v>0</v>
      </c>
      <c r="R14" s="72">
        <f>SUMIFS('DB Shopify'!$CG:$CG,'DB Shopify'!$CC:$CC,CE_AMIMI!R$2,'DB Shopify'!$CD:$CD,CE_AMIMI!R$3)</f>
        <v>0</v>
      </c>
      <c r="S14" s="45"/>
      <c r="T14" s="72">
        <f t="shared" si="5"/>
        <v>-1590</v>
      </c>
    </row>
    <row r="15">
      <c r="A15" s="116"/>
      <c r="B15" s="46" t="str">
        <f t="shared" si="2"/>
        <v>OnlineSpedizioni</v>
      </c>
      <c r="C15" s="58" t="s">
        <v>1616</v>
      </c>
      <c r="D15" s="58" t="s">
        <v>1617</v>
      </c>
      <c r="E15" s="59" t="s">
        <v>1618</v>
      </c>
      <c r="F15" s="58" t="s">
        <v>1626</v>
      </c>
      <c r="G15" s="72">
        <f>SUMIFS('DB Shopify'!$J:$J,'DB Shopify'!$CC:$CC,CE_AMIMI!G$2,'DB Shopify'!$CD:$CD,CE_AMIMI!G$3)</f>
        <v>0</v>
      </c>
      <c r="H15" s="72">
        <f>SUMIFS('DB Shopify'!$J:$J,'DB Shopify'!$CC:$CC,CE_AMIMI!H$2,'DB Shopify'!$CD:$CD,CE_AMIMI!H$3)</f>
        <v>41.4</v>
      </c>
      <c r="I15" s="72">
        <f>SUMIFS('DB Shopify'!$J:$J,'DB Shopify'!$CC:$CC,CE_AMIMI!I$2,'DB Shopify'!$CD:$CD,CE_AMIMI!I$3)</f>
        <v>34.5</v>
      </c>
      <c r="J15" s="72">
        <f>SUMIFS('DB Shopify'!$J:$J,'DB Shopify'!$CC:$CC,CE_AMIMI!J$2,'DB Shopify'!$CD:$CD,CE_AMIMI!J$3)</f>
        <v>70.2</v>
      </c>
      <c r="K15" s="72">
        <f>SUMIFS('DB Shopify'!$J:$J,'DB Shopify'!$CC:$CC,CE_AMIMI!K$2,'DB Shopify'!$CD:$CD,CE_AMIMI!K$3)</f>
        <v>379.1</v>
      </c>
      <c r="L15" s="72">
        <f>SUMIFS('DB Shopify'!$J:$J,'DB Shopify'!$CC:$CC,CE_AMIMI!L$2,'DB Shopify'!$CD:$CD,CE_AMIMI!L$3)</f>
        <v>310.58</v>
      </c>
      <c r="M15" s="72">
        <f>SUMIFS('DB Shopify'!$J:$J,'DB Shopify'!$CC:$CC,CE_AMIMI!M$2,'DB Shopify'!$CD:$CD,CE_AMIMI!M$3)</f>
        <v>7.8</v>
      </c>
      <c r="N15" s="72">
        <f>SUMIFS('DB Shopify'!$J:$J,'DB Shopify'!$CC:$CC,CE_AMIMI!N$2,'DB Shopify'!$CD:$CD,CE_AMIMI!N$3)</f>
        <v>0</v>
      </c>
      <c r="O15" s="72">
        <f>SUMIFS('DB Shopify'!$J:$J,'DB Shopify'!$CC:$CC,CE_AMIMI!O$2,'DB Shopify'!$CD:$CD,CE_AMIMI!O$3)</f>
        <v>0</v>
      </c>
      <c r="P15" s="72">
        <f>SUMIFS('DB Shopify'!$J:$J,'DB Shopify'!$CC:$CC,CE_AMIMI!P$2,'DB Shopify'!$CD:$CD,CE_AMIMI!P$3)</f>
        <v>0</v>
      </c>
      <c r="Q15" s="72">
        <f>SUMIFS('DB Shopify'!$J:$J,'DB Shopify'!$CC:$CC,CE_AMIMI!Q$2,'DB Shopify'!$CD:$CD,CE_AMIMI!Q$3)</f>
        <v>0</v>
      </c>
      <c r="R15" s="72">
        <f>SUMIFS('DB Shopify'!$J:$J,'DB Shopify'!$CC:$CC,CE_AMIMI!R$2,'DB Shopify'!$CD:$CD,CE_AMIMI!R$3)</f>
        <v>0</v>
      </c>
      <c r="S15" s="45"/>
      <c r="T15" s="72">
        <f t="shared" si="5"/>
        <v>843.58</v>
      </c>
    </row>
    <row r="16">
      <c r="A16" s="45"/>
      <c r="B16" s="46" t="str">
        <f t="shared" si="2"/>
        <v>OnlineFatturato Lordo</v>
      </c>
      <c r="C16" s="58" t="s">
        <v>1616</v>
      </c>
      <c r="D16" s="58" t="s">
        <v>1617</v>
      </c>
      <c r="E16" s="59" t="s">
        <v>1618</v>
      </c>
      <c r="F16" s="58" t="s">
        <v>1627</v>
      </c>
      <c r="G16" s="72">
        <f t="shared" ref="G16:R16" si="6">G15+G13+G12+G14</f>
        <v>0</v>
      </c>
      <c r="H16" s="72">
        <f t="shared" si="6"/>
        <v>2206.4</v>
      </c>
      <c r="I16" s="72">
        <f t="shared" si="6"/>
        <v>8625.5</v>
      </c>
      <c r="J16" s="72">
        <f t="shared" si="6"/>
        <v>7964.7</v>
      </c>
      <c r="K16" s="72">
        <f t="shared" si="6"/>
        <v>12141.1</v>
      </c>
      <c r="L16" s="72">
        <f t="shared" si="6"/>
        <v>17594.84</v>
      </c>
      <c r="M16" s="72">
        <f t="shared" si="6"/>
        <v>520.8</v>
      </c>
      <c r="N16" s="72">
        <f t="shared" si="6"/>
        <v>0</v>
      </c>
      <c r="O16" s="72">
        <f t="shared" si="6"/>
        <v>0</v>
      </c>
      <c r="P16" s="72">
        <f t="shared" si="6"/>
        <v>0</v>
      </c>
      <c r="Q16" s="72">
        <f t="shared" si="6"/>
        <v>0</v>
      </c>
      <c r="R16" s="72">
        <f t="shared" si="6"/>
        <v>0</v>
      </c>
      <c r="S16" s="45"/>
      <c r="T16" s="72">
        <f t="shared" si="5"/>
        <v>49053.34</v>
      </c>
    </row>
    <row r="17">
      <c r="A17" s="45"/>
      <c r="B17" s="46" t="str">
        <f t="shared" si="2"/>
        <v>OnlineFatturato Netto</v>
      </c>
      <c r="C17" s="74" t="s">
        <v>1628</v>
      </c>
      <c r="D17" s="74" t="s">
        <v>1617</v>
      </c>
      <c r="E17" s="74" t="s">
        <v>1618</v>
      </c>
      <c r="F17" s="74" t="s">
        <v>1629</v>
      </c>
      <c r="G17" s="76">
        <f t="shared" ref="G17:R17" si="7">G16/1.22</f>
        <v>0</v>
      </c>
      <c r="H17" s="76">
        <f t="shared" si="7"/>
        <v>1808.52459</v>
      </c>
      <c r="I17" s="76">
        <f t="shared" si="7"/>
        <v>7070.081967</v>
      </c>
      <c r="J17" s="76">
        <f t="shared" si="7"/>
        <v>6528.442623</v>
      </c>
      <c r="K17" s="76">
        <f t="shared" si="7"/>
        <v>9951.721311</v>
      </c>
      <c r="L17" s="76">
        <f t="shared" si="7"/>
        <v>14422</v>
      </c>
      <c r="M17" s="76">
        <f t="shared" si="7"/>
        <v>426.8852459</v>
      </c>
      <c r="N17" s="76">
        <f t="shared" si="7"/>
        <v>0</v>
      </c>
      <c r="O17" s="76">
        <f t="shared" si="7"/>
        <v>0</v>
      </c>
      <c r="P17" s="76">
        <f t="shared" si="7"/>
        <v>0</v>
      </c>
      <c r="Q17" s="76">
        <f t="shared" si="7"/>
        <v>0</v>
      </c>
      <c r="R17" s="76">
        <f t="shared" si="7"/>
        <v>0</v>
      </c>
      <c r="S17" s="45"/>
      <c r="T17" s="76">
        <f t="shared" si="5"/>
        <v>40207.65574</v>
      </c>
    </row>
    <row r="18">
      <c r="A18" s="45"/>
      <c r="B18" s="46" t="str">
        <f t="shared" si="2"/>
        <v/>
      </c>
      <c r="C18" s="45"/>
      <c r="D18" s="45"/>
      <c r="E18" s="45"/>
      <c r="F18" s="45"/>
      <c r="G18" s="45"/>
      <c r="H18" s="45"/>
      <c r="I18" s="45"/>
      <c r="J18" s="45"/>
      <c r="K18" s="45"/>
      <c r="L18" s="45"/>
      <c r="M18" s="45"/>
      <c r="N18" s="45"/>
      <c r="O18" s="45"/>
      <c r="P18" s="45"/>
      <c r="Q18" s="45"/>
      <c r="R18" s="45"/>
      <c r="S18" s="45"/>
      <c r="T18" s="45"/>
    </row>
    <row r="19">
      <c r="A19" s="45"/>
      <c r="B19" s="46" t="str">
        <f t="shared" si="2"/>
        <v>Offline Pezzi</v>
      </c>
      <c r="C19" s="58" t="s">
        <v>1616</v>
      </c>
      <c r="D19" s="58" t="s">
        <v>1617</v>
      </c>
      <c r="E19" s="59" t="s">
        <v>1630</v>
      </c>
      <c r="F19" s="58" t="s">
        <v>1621</v>
      </c>
      <c r="G19" s="117">
        <f>SUMIFS(DB_QROMO!$I:$I,DB_QROMO!$A:$A,CE_AMIMI!G$2,DB_QROMO!$B:$B,CE_AMIMI!G$3)</f>
        <v>0</v>
      </c>
      <c r="H19" s="117">
        <f>SUMIFS(DB_QROMO!$I:$I,DB_QROMO!$A:$A,CE_AMIMI!H$2,DB_QROMO!$B:$B,CE_AMIMI!H$3)</f>
        <v>6</v>
      </c>
      <c r="I19" s="117">
        <f>SUMIFS(DB_QROMO!$I:$I,DB_QROMO!$A:$A,CE_AMIMI!I$2,DB_QROMO!$B:$B,CE_AMIMI!I$3)</f>
        <v>15</v>
      </c>
      <c r="J19" s="117">
        <f>SUMIFS(DB_QROMO!$I:$I,DB_QROMO!$A:$A,CE_AMIMI!J$2,DB_QROMO!$B:$B,CE_AMIMI!J$3)</f>
        <v>40</v>
      </c>
      <c r="K19" s="117">
        <f>SUMIFS(DB_QROMO!$I:$I,DB_QROMO!$A:$A,CE_AMIMI!K$2,DB_QROMO!$B:$B,CE_AMIMI!K$3)</f>
        <v>26</v>
      </c>
      <c r="L19" s="117">
        <f>SUMIFS(DB_QROMO!$I:$I,DB_QROMO!$A:$A,CE_AMIMI!L$2,DB_QROMO!$B:$B,CE_AMIMI!L$3)</f>
        <v>52</v>
      </c>
      <c r="M19" s="117">
        <f>SUMIFS(DB_QROMO!$I:$I,DB_QROMO!$A:$A,CE_AMIMI!M$2,DB_QROMO!$B:$B,CE_AMIMI!M$3)</f>
        <v>8</v>
      </c>
      <c r="N19" s="117">
        <f>SUMIFS(DB_QROMO!$I:$I,DB_QROMO!$A:$A,CE_AMIMI!N$2,DB_QROMO!$B:$B,CE_AMIMI!N$3)</f>
        <v>0</v>
      </c>
      <c r="O19" s="117">
        <f>SUMIFS(DB_QROMO!$I:$I,DB_QROMO!$A:$A,CE_AMIMI!O$2,DB_QROMO!$B:$B,CE_AMIMI!O$3)</f>
        <v>0</v>
      </c>
      <c r="P19" s="117">
        <f>SUMIFS(DB_QROMO!$I:$I,DB_QROMO!$A:$A,CE_AMIMI!P$2,DB_QROMO!$B:$B,CE_AMIMI!P$3)</f>
        <v>0</v>
      </c>
      <c r="Q19" s="117">
        <f>SUMIFS(DB_QROMO!$I:$I,DB_QROMO!$A:$A,CE_AMIMI!Q$2,DB_QROMO!$B:$B,CE_AMIMI!Q$3)</f>
        <v>0</v>
      </c>
      <c r="R19" s="117">
        <f>SUMIFS(DB_QROMO!$I:$I,DB_QROMO!$A:$A,CE_AMIMI!R$2,DB_QROMO!$B:$B,CE_AMIMI!R$3)</f>
        <v>0</v>
      </c>
      <c r="S19" s="45"/>
      <c r="T19" s="61">
        <f t="shared" ref="T19:T21" si="8">SUM(G19:R19)</f>
        <v>147</v>
      </c>
    </row>
    <row r="20">
      <c r="A20" s="45"/>
      <c r="B20" s="46" t="str">
        <f t="shared" si="2"/>
        <v>Offline Fatturato Lordo</v>
      </c>
      <c r="C20" s="58" t="s">
        <v>1616</v>
      </c>
      <c r="D20" s="58" t="s">
        <v>1617</v>
      </c>
      <c r="E20" s="59" t="s">
        <v>1630</v>
      </c>
      <c r="F20" s="58" t="s">
        <v>1627</v>
      </c>
      <c r="G20" s="72">
        <f>SUMIFS(DB_QROMO!$K:$K,DB_QROMO!$A:$A,CE_AMIMI!G$2,DB_QROMO!$B:$B,CE_AMIMI!G$3)</f>
        <v>0</v>
      </c>
      <c r="H20" s="72">
        <f>SUMIFS(DB_QROMO!$K:$K,DB_QROMO!$A:$A,CE_AMIMI!H$2,DB_QROMO!$B:$B,CE_AMIMI!H$3)</f>
        <v>803</v>
      </c>
      <c r="I20" s="72">
        <f>SUMIFS(DB_QROMO!$K:$K,DB_QROMO!$A:$A,CE_AMIMI!I$2,DB_QROMO!$B:$B,CE_AMIMI!I$3)</f>
        <v>1425</v>
      </c>
      <c r="J20" s="72">
        <f>SUMIFS(DB_QROMO!$K:$K,DB_QROMO!$A:$A,CE_AMIMI!J$2,DB_QROMO!$B:$B,CE_AMIMI!J$3)</f>
        <v>3776</v>
      </c>
      <c r="K20" s="72">
        <f>SUMIFS(DB_QROMO!$K:$K,DB_QROMO!$A:$A,CE_AMIMI!K$2,DB_QROMO!$B:$B,CE_AMIMI!K$3)</f>
        <v>2459.5</v>
      </c>
      <c r="L20" s="72">
        <f>SUMIFS(DB_QROMO!$K:$K,DB_QROMO!$A:$A,CE_AMIMI!L$2,DB_QROMO!$B:$B,CE_AMIMI!L$3)</f>
        <v>4145.5</v>
      </c>
      <c r="M20" s="72">
        <f>SUMIFS(DB_QROMO!$K:$K,DB_QROMO!$A:$A,CE_AMIMI!M$2,DB_QROMO!$B:$B,CE_AMIMI!M$3)</f>
        <v>807</v>
      </c>
      <c r="N20" s="72">
        <f>SUMIFS(DB_QROMO!$K:$K,DB_QROMO!$A:$A,CE_AMIMI!N$2,DB_QROMO!$B:$B,CE_AMIMI!N$3)</f>
        <v>0</v>
      </c>
      <c r="O20" s="72">
        <f>SUMIFS(DB_QROMO!$K:$K,DB_QROMO!$A:$A,CE_AMIMI!O$2,DB_QROMO!$B:$B,CE_AMIMI!O$3)</f>
        <v>0</v>
      </c>
      <c r="P20" s="72">
        <f>SUMIFS(DB_QROMO!$K:$K,DB_QROMO!$A:$A,CE_AMIMI!P$2,DB_QROMO!$B:$B,CE_AMIMI!P$3)</f>
        <v>0</v>
      </c>
      <c r="Q20" s="72">
        <f>SUMIFS(DB_QROMO!$K:$K,DB_QROMO!$A:$A,CE_AMIMI!Q$2,DB_QROMO!$B:$B,CE_AMIMI!Q$3)</f>
        <v>0</v>
      </c>
      <c r="R20" s="72">
        <f>SUMIFS(DB_QROMO!$K:$K,DB_QROMO!$A:$A,CE_AMIMI!R$2,DB_QROMO!$B:$B,CE_AMIMI!R$3)</f>
        <v>0</v>
      </c>
      <c r="S20" s="45"/>
      <c r="T20" s="72">
        <f t="shared" si="8"/>
        <v>13416</v>
      </c>
    </row>
    <row r="21" ht="15.75" customHeight="1">
      <c r="A21" s="45"/>
      <c r="B21" s="46" t="str">
        <f t="shared" si="2"/>
        <v>Offline Fatturato Netto</v>
      </c>
      <c r="C21" s="74" t="s">
        <v>1628</v>
      </c>
      <c r="D21" s="74" t="s">
        <v>1617</v>
      </c>
      <c r="E21" s="74" t="s">
        <v>1630</v>
      </c>
      <c r="F21" s="74" t="s">
        <v>1629</v>
      </c>
      <c r="G21" s="76">
        <f t="shared" ref="G21:R21" si="9">G20/1.22</f>
        <v>0</v>
      </c>
      <c r="H21" s="76">
        <f t="shared" si="9"/>
        <v>658.1967213</v>
      </c>
      <c r="I21" s="76">
        <f t="shared" si="9"/>
        <v>1168.032787</v>
      </c>
      <c r="J21" s="76">
        <f t="shared" si="9"/>
        <v>3095.081967</v>
      </c>
      <c r="K21" s="76">
        <f t="shared" si="9"/>
        <v>2015.983607</v>
      </c>
      <c r="L21" s="76">
        <f t="shared" si="9"/>
        <v>3397.95082</v>
      </c>
      <c r="M21" s="76">
        <f t="shared" si="9"/>
        <v>661.4754098</v>
      </c>
      <c r="N21" s="76">
        <f t="shared" si="9"/>
        <v>0</v>
      </c>
      <c r="O21" s="76">
        <f t="shared" si="9"/>
        <v>0</v>
      </c>
      <c r="P21" s="76">
        <f t="shared" si="9"/>
        <v>0</v>
      </c>
      <c r="Q21" s="76">
        <f t="shared" si="9"/>
        <v>0</v>
      </c>
      <c r="R21" s="76">
        <f t="shared" si="9"/>
        <v>0</v>
      </c>
      <c r="S21" s="45"/>
      <c r="T21" s="76">
        <f t="shared" si="8"/>
        <v>10996.72131</v>
      </c>
    </row>
    <row r="22" ht="15.75" customHeight="1">
      <c r="A22" s="45"/>
      <c r="B22" s="46" t="str">
        <f t="shared" si="2"/>
        <v/>
      </c>
      <c r="C22" s="45"/>
      <c r="D22" s="45"/>
      <c r="E22" s="45"/>
      <c r="F22" s="45"/>
      <c r="G22" s="45"/>
      <c r="H22" s="45"/>
      <c r="I22" s="45"/>
      <c r="J22" s="45"/>
      <c r="K22" s="45"/>
      <c r="L22" s="45"/>
      <c r="M22" s="45"/>
      <c r="N22" s="45"/>
      <c r="O22" s="45"/>
      <c r="P22" s="45"/>
      <c r="Q22" s="45"/>
      <c r="R22" s="45"/>
      <c r="S22" s="45"/>
      <c r="T22" s="79">
        <f>T21/T29</f>
        <v>0.2140076766</v>
      </c>
    </row>
    <row r="23" ht="15.75" customHeight="1">
      <c r="A23" s="45"/>
      <c r="B23" s="46"/>
      <c r="C23" s="58"/>
      <c r="D23" s="80" t="s">
        <v>1617</v>
      </c>
      <c r="E23" s="81" t="s">
        <v>1631</v>
      </c>
      <c r="F23" s="80" t="s">
        <v>1621</v>
      </c>
      <c r="G23" s="117">
        <f>SUMIFS(DB_B2B!$E:$E,DB_B2B!$B:$B,G$2,DB_B2B!$C:$C,G$3,DB_B2B!$G:$G,"venduto",DB_B2B!$Q:$Q,"&lt;&gt;annullato")</f>
        <v>0</v>
      </c>
      <c r="H23" s="117">
        <f>SUMIFS(DB_B2B!$E:$E,DB_B2B!$B:$B,H$2,DB_B2B!$C:$C,H$3,DB_B2B!$G:$G,"venduto",DB_B2B!$Q:$Q,"&lt;&gt;annullato")</f>
        <v>0</v>
      </c>
      <c r="I23" s="117">
        <f>SUMIFS(DB_B2B!$E:$E,DB_B2B!$B:$B,I$2,DB_B2B!$C:$C,I$3,DB_B2B!$G:$G,"venduto",DB_B2B!$Q:$Q,"&lt;&gt;annullato")</f>
        <v>0</v>
      </c>
      <c r="J23" s="117">
        <f>SUMIFS(DB_B2B!$E:$E,DB_B2B!$B:$B,J$2,DB_B2B!$C:$C,J$3,DB_B2B!$G:$G,"venduto",DB_B2B!$Q:$Q,"&lt;&gt;annullato")</f>
        <v>0</v>
      </c>
      <c r="K23" s="117">
        <f>SUMIFS(DB_B2B!$E:$E,DB_B2B!$B:$B,K$2,DB_B2B!$C:$C,K$3,DB_B2B!$G:$G,"venduto",DB_B2B!$Q:$Q,"&lt;&gt;annullato")</f>
        <v>0</v>
      </c>
      <c r="L23" s="117">
        <f>SUMIFS(DB_B2B!$E:$E,DB_B2B!$B:$B,L$2,DB_B2B!$C:$C,L$3,DB_B2B!$G:$G,"venduto",DB_B2B!$Q:$Q,"&lt;&gt;annullato")</f>
        <v>5</v>
      </c>
      <c r="M23" s="117">
        <f>SUMIFS(DB_B2B!$E:$E,DB_B2B!$B:$B,M$2,DB_B2B!$C:$C,M$3,DB_B2B!$G:$G,"venduto",DB_B2B!$Q:$Q,"&lt;&gt;annullato")</f>
        <v>0</v>
      </c>
      <c r="N23" s="117">
        <f>SUMIFS(DB_B2B!$E:$E,DB_B2B!$B:$B,N$2,DB_B2B!$C:$C,N$3,DB_B2B!$G:$G,"venduto",DB_B2B!$Q:$Q,"&lt;&gt;annullato")</f>
        <v>0</v>
      </c>
      <c r="O23" s="117">
        <f>SUMIFS(DB_B2B!$E:$E,DB_B2B!$B:$B,O$2,DB_B2B!$C:$C,O$3,DB_B2B!$G:$G,"venduto",DB_B2B!$Q:$Q,"&lt;&gt;annullato")</f>
        <v>0</v>
      </c>
      <c r="P23" s="117">
        <f>SUMIFS(DB_B2B!$E:$E,DB_B2B!$B:$B,P$2,DB_B2B!$C:$C,P$3,DB_B2B!$G:$G,"venduto",DB_B2B!$Q:$Q,"&lt;&gt;annullato")</f>
        <v>0</v>
      </c>
      <c r="Q23" s="117">
        <f>SUMIFS(DB_B2B!$E:$E,DB_B2B!$B:$B,Q$2,DB_B2B!$C:$C,Q$3,DB_B2B!$G:$G,"venduto",DB_B2B!$Q:$Q,"&lt;&gt;annullato")</f>
        <v>0</v>
      </c>
      <c r="R23" s="117">
        <f>SUMIFS(DB_B2B!$E:$E,DB_B2B!$B:$B,R$2,DB_B2B!$C:$C,R$3,DB_B2B!$G:$G,"venduto",DB_B2B!$Q:$Q,"&lt;&gt;annullato")</f>
        <v>0</v>
      </c>
      <c r="S23" s="45"/>
      <c r="T23" s="82"/>
    </row>
    <row r="24" ht="15.75" customHeight="1">
      <c r="A24" s="45"/>
      <c r="B24" s="46"/>
      <c r="C24" s="58"/>
      <c r="D24" s="80" t="s">
        <v>1617</v>
      </c>
      <c r="E24" s="81" t="s">
        <v>1631</v>
      </c>
      <c r="F24" s="80" t="s">
        <v>1627</v>
      </c>
      <c r="G24" s="72">
        <f>SUMIFS(DB_B2B!$M:$M,DB_B2B!$B:$B,G$2,DB_B2B!$C:$C,G$3,DB_B2B!$G:$G,"venduto",DB_B2B!$Q:$Q,"&lt;&gt;annullato")</f>
        <v>0</v>
      </c>
      <c r="H24" s="72">
        <f>SUMIFS(DB_B2B!$M:$M,DB_B2B!$B:$B,H$2,DB_B2B!$C:$C,H$3,DB_B2B!$G:$G,"venduto",DB_B2B!$Q:$Q,"&lt;&gt;annullato")</f>
        <v>0</v>
      </c>
      <c r="I24" s="72">
        <f>SUMIFS(DB_B2B!$M:$M,DB_B2B!$B:$B,I$2,DB_B2B!$C:$C,I$3,DB_B2B!$G:$G,"venduto",DB_B2B!$Q:$Q,"&lt;&gt;annullato")</f>
        <v>0</v>
      </c>
      <c r="J24" s="72">
        <f>SUMIFS(DB_B2B!$M:$M,DB_B2B!$B:$B,J$2,DB_B2B!$C:$C,J$3,DB_B2B!$G:$G,"venduto",DB_B2B!$Q:$Q,"&lt;&gt;annullato")</f>
        <v>0</v>
      </c>
      <c r="K24" s="72">
        <f>SUMIFS(DB_B2B!$M:$M,DB_B2B!$B:$B,K$2,DB_B2B!$C:$C,K$3,DB_B2B!$G:$G,"venduto",DB_B2B!$Q:$Q,"&lt;&gt;annullato")</f>
        <v>0</v>
      </c>
      <c r="L24" s="72">
        <f>SUMIFS(DB_B2B!$M:$M,DB_B2B!$B:$B,L$2,DB_B2B!$C:$C,L$3,DB_B2B!$G:$G,"venduto",DB_B2B!$Q:$Q,"&lt;&gt;annullato")</f>
        <v>220</v>
      </c>
      <c r="M24" s="72">
        <f>SUMIFS(DB_B2B!$M:$M,DB_B2B!$B:$B,M$2,DB_B2B!$C:$C,M$3,DB_B2B!$G:$G,"venduto",DB_B2B!$Q:$Q,"&lt;&gt;annullato")</f>
        <v>0</v>
      </c>
      <c r="N24" s="72">
        <f>SUMIFS(DB_B2B!$M:$M,DB_B2B!$B:$B,N$2,DB_B2B!$C:$C,N$3,DB_B2B!$G:$G,"venduto",DB_B2B!$Q:$Q,"&lt;&gt;annullato")</f>
        <v>0</v>
      </c>
      <c r="O24" s="72">
        <f>SUMIFS(DB_B2B!$M:$M,DB_B2B!$B:$B,O$2,DB_B2B!$C:$C,O$3,DB_B2B!$G:$G,"venduto",DB_B2B!$Q:$Q,"&lt;&gt;annullato")</f>
        <v>0</v>
      </c>
      <c r="P24" s="72">
        <f>SUMIFS(DB_B2B!$M:$M,DB_B2B!$B:$B,P$2,DB_B2B!$C:$C,P$3,DB_B2B!$G:$G,"venduto",DB_B2B!$Q:$Q,"&lt;&gt;annullato")</f>
        <v>0</v>
      </c>
      <c r="Q24" s="72">
        <f>SUMIFS(DB_B2B!$M:$M,DB_B2B!$B:$B,Q$2,DB_B2B!$C:$C,Q$3,DB_B2B!$G:$G,"venduto",DB_B2B!$Q:$Q,"&lt;&gt;annullato")</f>
        <v>0</v>
      </c>
      <c r="R24" s="72">
        <f>SUMIFS(DB_B2B!$M:$M,DB_B2B!$B:$B,R$2,DB_B2B!$C:$C,R$3,DB_B2B!$G:$G,"venduto",DB_B2B!$Q:$Q,"&lt;&gt;annullato")</f>
        <v>0</v>
      </c>
      <c r="S24" s="45"/>
      <c r="T24" s="82"/>
    </row>
    <row r="25" ht="15.75" customHeight="1">
      <c r="A25" s="45"/>
      <c r="B25" s="46"/>
      <c r="C25" s="74"/>
      <c r="D25" s="83" t="s">
        <v>1617</v>
      </c>
      <c r="E25" s="83" t="s">
        <v>1631</v>
      </c>
      <c r="F25" s="83" t="s">
        <v>1629</v>
      </c>
      <c r="G25" s="76">
        <f t="shared" ref="G25:R25" si="10">G24/1.22</f>
        <v>0</v>
      </c>
      <c r="H25" s="76">
        <f t="shared" si="10"/>
        <v>0</v>
      </c>
      <c r="I25" s="76">
        <f t="shared" si="10"/>
        <v>0</v>
      </c>
      <c r="J25" s="76">
        <f t="shared" si="10"/>
        <v>0</v>
      </c>
      <c r="K25" s="76">
        <f t="shared" si="10"/>
        <v>0</v>
      </c>
      <c r="L25" s="76">
        <f t="shared" si="10"/>
        <v>180.3278689</v>
      </c>
      <c r="M25" s="76">
        <f t="shared" si="10"/>
        <v>0</v>
      </c>
      <c r="N25" s="76">
        <f t="shared" si="10"/>
        <v>0</v>
      </c>
      <c r="O25" s="76">
        <f t="shared" si="10"/>
        <v>0</v>
      </c>
      <c r="P25" s="76">
        <f t="shared" si="10"/>
        <v>0</v>
      </c>
      <c r="Q25" s="76">
        <f t="shared" si="10"/>
        <v>0</v>
      </c>
      <c r="R25" s="76">
        <f t="shared" si="10"/>
        <v>0</v>
      </c>
      <c r="S25" s="45"/>
      <c r="T25" s="82"/>
    </row>
    <row r="26" ht="15.75" customHeight="1">
      <c r="A26" s="45"/>
      <c r="B26" s="46"/>
      <c r="C26" s="45"/>
      <c r="D26" s="45"/>
      <c r="E26" s="85"/>
      <c r="F26" s="85"/>
      <c r="G26" s="82"/>
      <c r="H26" s="82"/>
      <c r="I26" s="82"/>
      <c r="J26" s="82"/>
      <c r="K26" s="82"/>
      <c r="L26" s="82"/>
      <c r="M26" s="82"/>
      <c r="N26" s="82"/>
      <c r="O26" s="82"/>
      <c r="P26" s="82"/>
      <c r="Q26" s="82"/>
      <c r="R26" s="82"/>
      <c r="S26" s="45"/>
      <c r="T26" s="82"/>
    </row>
    <row r="27" ht="15.75" customHeight="1">
      <c r="A27" s="45"/>
      <c r="B27" s="46" t="str">
        <f t="shared" ref="B27:B51" si="12">E27&amp;F27</f>
        <v>OmnichannelPezzi</v>
      </c>
      <c r="C27" s="45"/>
      <c r="D27" s="45"/>
      <c r="E27" s="87" t="s">
        <v>1632</v>
      </c>
      <c r="F27" s="87" t="s">
        <v>1621</v>
      </c>
      <c r="G27" s="61">
        <f t="shared" ref="G27:R27" si="11">G19+G10+G23</f>
        <v>0</v>
      </c>
      <c r="H27" s="61">
        <f t="shared" si="11"/>
        <v>23</v>
      </c>
      <c r="I27" s="61">
        <f t="shared" si="11"/>
        <v>86</v>
      </c>
      <c r="J27" s="61">
        <f t="shared" si="11"/>
        <v>114</v>
      </c>
      <c r="K27" s="61">
        <f t="shared" si="11"/>
        <v>136</v>
      </c>
      <c r="L27" s="61">
        <f t="shared" si="11"/>
        <v>241</v>
      </c>
      <c r="M27" s="61">
        <f t="shared" si="11"/>
        <v>13</v>
      </c>
      <c r="N27" s="61">
        <f t="shared" si="11"/>
        <v>0</v>
      </c>
      <c r="O27" s="61">
        <f t="shared" si="11"/>
        <v>0</v>
      </c>
      <c r="P27" s="61">
        <f t="shared" si="11"/>
        <v>0</v>
      </c>
      <c r="Q27" s="61">
        <f t="shared" si="11"/>
        <v>0</v>
      </c>
      <c r="R27" s="61">
        <f t="shared" si="11"/>
        <v>0</v>
      </c>
      <c r="S27" s="45"/>
      <c r="T27" s="61">
        <f>T19+T10</f>
        <v>608</v>
      </c>
    </row>
    <row r="28" ht="15.75" customHeight="1">
      <c r="A28" s="45"/>
      <c r="B28" s="46" t="str">
        <f t="shared" si="12"/>
        <v>OmnichannelFatturato Lordo</v>
      </c>
      <c r="C28" s="45"/>
      <c r="D28" s="45"/>
      <c r="E28" s="87" t="s">
        <v>1632</v>
      </c>
      <c r="F28" s="87" t="s">
        <v>1627</v>
      </c>
      <c r="G28" s="72">
        <f t="shared" ref="G28:R28" si="13">G20+G16+G24</f>
        <v>0</v>
      </c>
      <c r="H28" s="72">
        <f t="shared" si="13"/>
        <v>3009.4</v>
      </c>
      <c r="I28" s="72">
        <f t="shared" si="13"/>
        <v>10050.5</v>
      </c>
      <c r="J28" s="72">
        <f t="shared" si="13"/>
        <v>11740.7</v>
      </c>
      <c r="K28" s="72">
        <f t="shared" si="13"/>
        <v>14600.6</v>
      </c>
      <c r="L28" s="72">
        <f t="shared" si="13"/>
        <v>21960.34</v>
      </c>
      <c r="M28" s="72">
        <f t="shared" si="13"/>
        <v>1327.8</v>
      </c>
      <c r="N28" s="72">
        <f t="shared" si="13"/>
        <v>0</v>
      </c>
      <c r="O28" s="72">
        <f t="shared" si="13"/>
        <v>0</v>
      </c>
      <c r="P28" s="72">
        <f t="shared" si="13"/>
        <v>0</v>
      </c>
      <c r="Q28" s="72">
        <f t="shared" si="13"/>
        <v>0</v>
      </c>
      <c r="R28" s="72">
        <f t="shared" si="13"/>
        <v>0</v>
      </c>
      <c r="S28" s="45"/>
      <c r="T28" s="72">
        <f>T20+T16</f>
        <v>62469.34</v>
      </c>
    </row>
    <row r="29" ht="15.75" customHeight="1">
      <c r="A29" s="45"/>
      <c r="B29" s="46" t="str">
        <f t="shared" si="12"/>
        <v>OmnichannelFatturato Netto</v>
      </c>
      <c r="C29" s="89"/>
      <c r="D29" s="89"/>
      <c r="E29" s="90" t="s">
        <v>1632</v>
      </c>
      <c r="F29" s="90" t="s">
        <v>1629</v>
      </c>
      <c r="G29" s="92">
        <f t="shared" ref="G29:R29" si="14">G28/1.22</f>
        <v>0</v>
      </c>
      <c r="H29" s="92">
        <f t="shared" si="14"/>
        <v>2466.721311</v>
      </c>
      <c r="I29" s="92">
        <f t="shared" si="14"/>
        <v>8238.114754</v>
      </c>
      <c r="J29" s="92">
        <f t="shared" si="14"/>
        <v>9623.52459</v>
      </c>
      <c r="K29" s="92">
        <f t="shared" si="14"/>
        <v>11967.70492</v>
      </c>
      <c r="L29" s="92">
        <f t="shared" si="14"/>
        <v>18000.27869</v>
      </c>
      <c r="M29" s="92">
        <f t="shared" si="14"/>
        <v>1088.360656</v>
      </c>
      <c r="N29" s="92">
        <f t="shared" si="14"/>
        <v>0</v>
      </c>
      <c r="O29" s="92">
        <f t="shared" si="14"/>
        <v>0</v>
      </c>
      <c r="P29" s="92">
        <f t="shared" si="14"/>
        <v>0</v>
      </c>
      <c r="Q29" s="92">
        <f t="shared" si="14"/>
        <v>0</v>
      </c>
      <c r="R29" s="92">
        <f t="shared" si="14"/>
        <v>0</v>
      </c>
      <c r="S29" s="45"/>
      <c r="T29" s="92">
        <f>SUM(G29:R29)</f>
        <v>51384.70492</v>
      </c>
    </row>
    <row r="30" ht="15.75" customHeight="1">
      <c r="A30" s="45"/>
      <c r="B30" s="46" t="str">
        <f t="shared" si="12"/>
        <v/>
      </c>
      <c r="C30" s="45"/>
      <c r="D30" s="45"/>
      <c r="E30" s="45"/>
      <c r="F30" s="45"/>
      <c r="G30" s="94"/>
      <c r="H30" s="94"/>
      <c r="I30" s="94"/>
      <c r="J30" s="94"/>
      <c r="K30" s="94"/>
      <c r="L30" s="94"/>
      <c r="M30" s="94"/>
      <c r="N30" s="94"/>
      <c r="O30" s="94"/>
      <c r="P30" s="94"/>
      <c r="Q30" s="94"/>
      <c r="R30" s="94"/>
      <c r="S30" s="45"/>
      <c r="T30" s="94"/>
    </row>
    <row r="31" ht="15.75" customHeight="1">
      <c r="A31" s="45"/>
      <c r="B31" s="46" t="str">
        <f t="shared" si="12"/>
        <v>VariabiliCOGS (Cost of goods sold)</v>
      </c>
      <c r="C31" s="58" t="s">
        <v>1628</v>
      </c>
      <c r="D31" s="58" t="s">
        <v>1633</v>
      </c>
      <c r="E31" s="59" t="s">
        <v>1634</v>
      </c>
      <c r="F31" s="58" t="s">
        <v>1635</v>
      </c>
      <c r="G31" s="72">
        <f>-SUMIFS('DB Shopify'!$CH:$CH,'DB Shopify'!$CC:$CC,CE_AMIMI!G$2,'DB Shopify'!$CD:$CD,CE_AMIMI!G$3)-SUMIFS(DB_QROMO!$L:$L,DB_QROMO!$A:$A,CE_AMIMI!G$2,DB_QROMO!$B:$B,CE_AMIMI!G$3)-SUMIFS(DB_B2B!$N:$N,DB_B2B!$B:$B,G$2,DB_B2B!$C:$C,G$3,DB_B2B!$G:$G,"venduto",DB_B2B!$Q:$Q,"&lt;&gt;annullato")</f>
        <v>0</v>
      </c>
      <c r="H31" s="72">
        <f>-SUMIFS('DB Shopify'!$CH:$CH,'DB Shopify'!$CC:$CC,CE_AMIMI!H$2,'DB Shopify'!$CD:$CD,CE_AMIMI!H$3)-SUMIFS(DB_QROMO!$L:$L,DB_QROMO!$A:$A,CE_AMIMI!H$2,DB_QROMO!$B:$B,CE_AMIMI!H$3)-SUMIFS(DB_B2B!$N:$N,DB_B2B!$B:$B,H$2,DB_B2B!$C:$C,H$3,DB_B2B!$G:$G,"venduto",DB_B2B!$Q:$Q,"&lt;&gt;annullato")</f>
        <v>-688.81</v>
      </c>
      <c r="I31" s="72">
        <f>-SUMIFS('DB Shopify'!$CH:$CH,'DB Shopify'!$CC:$CC,CE_AMIMI!I$2,'DB Shopify'!$CD:$CD,CE_AMIMI!I$3)-SUMIFS(DB_QROMO!$L:$L,DB_QROMO!$A:$A,CE_AMIMI!I$2,DB_QROMO!$B:$B,CE_AMIMI!I$3)-SUMIFS(DB_B2B!$N:$N,DB_B2B!$B:$B,I$2,DB_B2B!$C:$C,I$3,DB_B2B!$G:$G,"venduto",DB_B2B!$Q:$Q,"&lt;&gt;annullato")</f>
        <v>-2319.25</v>
      </c>
      <c r="J31" s="72">
        <f>-SUMIFS('DB Shopify'!$CH:$CH,'DB Shopify'!$CC:$CC,CE_AMIMI!J$2,'DB Shopify'!$CD:$CD,CE_AMIMI!J$3)-SUMIFS(DB_QROMO!$L:$L,DB_QROMO!$A:$A,CE_AMIMI!J$2,DB_QROMO!$B:$B,CE_AMIMI!J$3)-SUMIFS(DB_B2B!$N:$N,DB_B2B!$B:$B,J$2,DB_B2B!$C:$C,J$3,DB_B2B!$G:$G,"venduto",DB_B2B!$Q:$Q,"&lt;&gt;annullato")</f>
        <v>-2759.35</v>
      </c>
      <c r="K31" s="72">
        <f>-SUMIFS('DB Shopify'!$CH:$CH,'DB Shopify'!$CC:$CC,CE_AMIMI!K$2,'DB Shopify'!$CD:$CD,CE_AMIMI!K$3)-SUMIFS(DB_QROMO!$L:$L,DB_QROMO!$A:$A,CE_AMIMI!K$2,DB_QROMO!$B:$B,CE_AMIMI!K$3)-SUMIFS(DB_B2B!$N:$N,DB_B2B!$B:$B,K$2,DB_B2B!$C:$C,K$3,DB_B2B!$G:$G,"venduto",DB_B2B!$Q:$Q,"&lt;&gt;annullato")</f>
        <v>-3172.73</v>
      </c>
      <c r="L31" s="72">
        <f>-SUMIFS('DB Shopify'!$CH:$CH,'DB Shopify'!$CC:$CC,CE_AMIMI!L$2,'DB Shopify'!$CD:$CD,CE_AMIMI!L$3)-SUMIFS(DB_QROMO!$L:$L,DB_QROMO!$A:$A,CE_AMIMI!L$2,DB_QROMO!$B:$B,CE_AMIMI!L$3)-SUMIFS(DB_B2B!$N:$N,DB_B2B!$B:$B,L$2,DB_B2B!$C:$C,L$3,DB_B2B!$G:$G,"venduto",DB_B2B!$Q:$Q,"&lt;&gt;annullato")</f>
        <v>-4716</v>
      </c>
      <c r="M31" s="72">
        <f>-SUMIFS('DB Shopify'!$CH:$CH,'DB Shopify'!$CC:$CC,CE_AMIMI!M$2,'DB Shopify'!$CD:$CD,CE_AMIMI!M$3)-SUMIFS(DB_QROMO!$L:$L,DB_QROMO!$A:$A,CE_AMIMI!M$2,DB_QROMO!$B:$B,CE_AMIMI!M$3)-SUMIFS(DB_B2B!$N:$N,DB_B2B!$B:$B,M$2,DB_B2B!$C:$C,M$3,DB_B2B!$G:$G,"venduto",DB_B2B!$Q:$Q,"&lt;&gt;annullato")</f>
        <v>-112</v>
      </c>
      <c r="N31" s="72">
        <f>-SUMIFS('DB Shopify'!$CH:$CH,'DB Shopify'!$CC:$CC,CE_AMIMI!N$2,'DB Shopify'!$CD:$CD,CE_AMIMI!N$3)-SUMIFS(DB_QROMO!$L:$L,DB_QROMO!$A:$A,CE_AMIMI!N$2,DB_QROMO!$B:$B,CE_AMIMI!N$3)-SUMIFS(DB_B2B!$N:$N,DB_B2B!$B:$B,N$2,DB_B2B!$C:$C,N$3,DB_B2B!$G:$G,"venduto",DB_B2B!$Q:$Q,"&lt;&gt;annullato")</f>
        <v>0</v>
      </c>
      <c r="O31" s="72">
        <f>-SUMIFS('DB Shopify'!$CH:$CH,'DB Shopify'!$CC:$CC,CE_AMIMI!O$2,'DB Shopify'!$CD:$CD,CE_AMIMI!O$3)-SUMIFS(DB_QROMO!$L:$L,DB_QROMO!$A:$A,CE_AMIMI!O$2,DB_QROMO!$B:$B,CE_AMIMI!O$3)-SUMIFS(DB_B2B!$N:$N,DB_B2B!$B:$B,O$2,DB_B2B!$C:$C,O$3,DB_B2B!$G:$G,"venduto",DB_B2B!$Q:$Q,"&lt;&gt;annullato")</f>
        <v>0</v>
      </c>
      <c r="P31" s="72">
        <f>-SUMIFS('DB Shopify'!$CH:$CH,'DB Shopify'!$CC:$CC,CE_AMIMI!P$2,'DB Shopify'!$CD:$CD,CE_AMIMI!P$3)-SUMIFS(DB_QROMO!$L:$L,DB_QROMO!$A:$A,CE_AMIMI!P$2,DB_QROMO!$B:$B,CE_AMIMI!P$3)-SUMIFS(DB_B2B!$N:$N,DB_B2B!$B:$B,P$2,DB_B2B!$C:$C,P$3,DB_B2B!$G:$G,"venduto",DB_B2B!$Q:$Q,"&lt;&gt;annullato")</f>
        <v>0</v>
      </c>
      <c r="Q31" s="72">
        <f>-SUMIFS('DB Shopify'!$CH:$CH,'DB Shopify'!$CC:$CC,CE_AMIMI!Q$2,'DB Shopify'!$CD:$CD,CE_AMIMI!Q$3)-SUMIFS(DB_QROMO!$L:$L,DB_QROMO!$A:$A,CE_AMIMI!Q$2,DB_QROMO!$B:$B,CE_AMIMI!Q$3)-SUMIFS(DB_B2B!$N:$N,DB_B2B!$B:$B,Q$2,DB_B2B!$C:$C,Q$3,DB_B2B!$G:$G,"venduto",DB_B2B!$Q:$Q,"&lt;&gt;annullato")</f>
        <v>0</v>
      </c>
      <c r="R31" s="72">
        <f>-SUMIFS('DB Shopify'!$CH:$CH,'DB Shopify'!$CC:$CC,CE_AMIMI!R$2,'DB Shopify'!$CD:$CD,CE_AMIMI!R$3)-SUMIFS(DB_QROMO!$L:$L,DB_QROMO!$A:$A,CE_AMIMI!R$2,DB_QROMO!$B:$B,CE_AMIMI!R$3)-SUMIFS(DB_B2B!$N:$N,DB_B2B!$B:$B,R$2,DB_B2B!$C:$C,R$3,DB_B2B!$G:$G,"venduto",DB_B2B!$Q:$Q,"&lt;&gt;annullato")</f>
        <v>0</v>
      </c>
      <c r="S31" s="45"/>
      <c r="T31" s="72">
        <f t="shared" ref="T31:T42" si="16">SUM(G31:R31)</f>
        <v>-13768.14</v>
      </c>
    </row>
    <row r="32" ht="15.75" customHeight="1">
      <c r="A32" s="45"/>
      <c r="B32" s="46" t="str">
        <f t="shared" si="12"/>
        <v>VariabiliPackaging</v>
      </c>
      <c r="C32" s="87" t="s">
        <v>1628</v>
      </c>
      <c r="D32" s="87" t="s">
        <v>1633</v>
      </c>
      <c r="E32" s="96" t="s">
        <v>1634</v>
      </c>
      <c r="F32" s="87" t="s">
        <v>1636</v>
      </c>
      <c r="G32" s="97">
        <f t="shared" ref="G32:R32" si="15">SUM(G33:G38)</f>
        <v>0</v>
      </c>
      <c r="H32" s="97">
        <f t="shared" si="15"/>
        <v>-102.33</v>
      </c>
      <c r="I32" s="97">
        <f t="shared" si="15"/>
        <v>-390.06</v>
      </c>
      <c r="J32" s="97">
        <f t="shared" si="15"/>
        <v>-491.94</v>
      </c>
      <c r="K32" s="97">
        <f t="shared" si="15"/>
        <v>-606.56</v>
      </c>
      <c r="L32" s="97">
        <f t="shared" si="15"/>
        <v>-1043.56</v>
      </c>
      <c r="M32" s="97">
        <f t="shared" si="15"/>
        <v>-53.23</v>
      </c>
      <c r="N32" s="97">
        <f t="shared" si="15"/>
        <v>0</v>
      </c>
      <c r="O32" s="97">
        <f t="shared" si="15"/>
        <v>0</v>
      </c>
      <c r="P32" s="97">
        <f t="shared" si="15"/>
        <v>0</v>
      </c>
      <c r="Q32" s="97">
        <f t="shared" si="15"/>
        <v>0</v>
      </c>
      <c r="R32" s="97">
        <f t="shared" si="15"/>
        <v>0</v>
      </c>
      <c r="S32" s="45"/>
      <c r="T32" s="72">
        <f t="shared" si="16"/>
        <v>-2687.68</v>
      </c>
    </row>
    <row r="33" ht="15.75" customHeight="1" outlineLevel="1">
      <c r="A33" s="45"/>
      <c r="B33" s="46" t="str">
        <f t="shared" si="12"/>
        <v>0.5Cartolina</v>
      </c>
      <c r="C33" s="63"/>
      <c r="D33" s="63"/>
      <c r="E33" s="98">
        <v>0.5</v>
      </c>
      <c r="F33" s="64" t="s">
        <v>1637</v>
      </c>
      <c r="G33" s="72">
        <f t="shared" ref="G33:R33" si="17">-$E33*(G$19+G$10)</f>
        <v>0</v>
      </c>
      <c r="H33" s="72">
        <f t="shared" si="17"/>
        <v>-11.5</v>
      </c>
      <c r="I33" s="72">
        <f t="shared" si="17"/>
        <v>-43</v>
      </c>
      <c r="J33" s="72">
        <f t="shared" si="17"/>
        <v>-57</v>
      </c>
      <c r="K33" s="72">
        <f t="shared" si="17"/>
        <v>-68</v>
      </c>
      <c r="L33" s="72">
        <f t="shared" si="17"/>
        <v>-118</v>
      </c>
      <c r="M33" s="72">
        <f t="shared" si="17"/>
        <v>-6.5</v>
      </c>
      <c r="N33" s="72">
        <f t="shared" si="17"/>
        <v>0</v>
      </c>
      <c r="O33" s="72">
        <f t="shared" si="17"/>
        <v>0</v>
      </c>
      <c r="P33" s="72">
        <f t="shared" si="17"/>
        <v>0</v>
      </c>
      <c r="Q33" s="72">
        <f t="shared" si="17"/>
        <v>0</v>
      </c>
      <c r="R33" s="72">
        <f t="shared" si="17"/>
        <v>0</v>
      </c>
      <c r="S33" s="45"/>
      <c r="T33" s="72">
        <f t="shared" si="16"/>
        <v>-304</v>
      </c>
    </row>
    <row r="34" ht="15.75" customHeight="1" outlineLevel="1">
      <c r="A34" s="45"/>
      <c r="B34" s="46" t="str">
        <f t="shared" si="12"/>
        <v>0.5Adesivi</v>
      </c>
      <c r="C34" s="63"/>
      <c r="D34" s="63"/>
      <c r="E34" s="98">
        <v>0.5</v>
      </c>
      <c r="F34" s="64" t="s">
        <v>1638</v>
      </c>
      <c r="G34" s="72">
        <f t="shared" ref="G34:R34" si="18">-$E34*(G$19+G$10)</f>
        <v>0</v>
      </c>
      <c r="H34" s="72">
        <f t="shared" si="18"/>
        <v>-11.5</v>
      </c>
      <c r="I34" s="72">
        <f t="shared" si="18"/>
        <v>-43</v>
      </c>
      <c r="J34" s="72">
        <f t="shared" si="18"/>
        <v>-57</v>
      </c>
      <c r="K34" s="72">
        <f t="shared" si="18"/>
        <v>-68</v>
      </c>
      <c r="L34" s="72">
        <f t="shared" si="18"/>
        <v>-118</v>
      </c>
      <c r="M34" s="72">
        <f t="shared" si="18"/>
        <v>-6.5</v>
      </c>
      <c r="N34" s="72">
        <f t="shared" si="18"/>
        <v>0</v>
      </c>
      <c r="O34" s="72">
        <f t="shared" si="18"/>
        <v>0</v>
      </c>
      <c r="P34" s="72">
        <f t="shared" si="18"/>
        <v>0</v>
      </c>
      <c r="Q34" s="72">
        <f t="shared" si="18"/>
        <v>0</v>
      </c>
      <c r="R34" s="72">
        <f t="shared" si="18"/>
        <v>0</v>
      </c>
      <c r="S34" s="45"/>
      <c r="T34" s="72">
        <f t="shared" si="16"/>
        <v>-304</v>
      </c>
    </row>
    <row r="35" ht="15.75" customHeight="1" outlineLevel="1">
      <c r="A35" s="45"/>
      <c r="B35" s="46" t="str">
        <f t="shared" si="12"/>
        <v>1E-Commerce Box</v>
      </c>
      <c r="C35" s="63"/>
      <c r="D35" s="63"/>
      <c r="E35" s="99">
        <v>1.0</v>
      </c>
      <c r="F35" s="64" t="s">
        <v>1639</v>
      </c>
      <c r="G35" s="72">
        <f t="shared" ref="G35:R35" si="19">-$E35*G$8</f>
        <v>0</v>
      </c>
      <c r="H35" s="72">
        <f t="shared" si="19"/>
        <v>-17</v>
      </c>
      <c r="I35" s="72">
        <f t="shared" si="19"/>
        <v>-71</v>
      </c>
      <c r="J35" s="72">
        <f t="shared" si="19"/>
        <v>-69</v>
      </c>
      <c r="K35" s="72">
        <f t="shared" si="19"/>
        <v>-102</v>
      </c>
      <c r="L35" s="72">
        <f t="shared" si="19"/>
        <v>-168</v>
      </c>
      <c r="M35" s="72">
        <f t="shared" si="19"/>
        <v>-5</v>
      </c>
      <c r="N35" s="72">
        <f t="shared" si="19"/>
        <v>0</v>
      </c>
      <c r="O35" s="72">
        <f t="shared" si="19"/>
        <v>0</v>
      </c>
      <c r="P35" s="72">
        <f t="shared" si="19"/>
        <v>0</v>
      </c>
      <c r="Q35" s="72">
        <f t="shared" si="19"/>
        <v>0</v>
      </c>
      <c r="R35" s="72">
        <f t="shared" si="19"/>
        <v>0</v>
      </c>
      <c r="S35" s="45"/>
      <c r="T35" s="72">
        <f t="shared" si="16"/>
        <v>-432</v>
      </c>
    </row>
    <row r="36" ht="15.75" customHeight="1" outlineLevel="1">
      <c r="A36" s="45"/>
      <c r="B36" s="46" t="str">
        <f t="shared" si="12"/>
        <v>0.1Carta Velina</v>
      </c>
      <c r="C36" s="63"/>
      <c r="D36" s="63"/>
      <c r="E36" s="98">
        <v>0.1</v>
      </c>
      <c r="F36" s="64" t="s">
        <v>1640</v>
      </c>
      <c r="G36" s="72">
        <f t="shared" ref="G36:R36" si="20">-$E36*(G$19+G$10)</f>
        <v>0</v>
      </c>
      <c r="H36" s="72">
        <f t="shared" si="20"/>
        <v>-2.3</v>
      </c>
      <c r="I36" s="72">
        <f t="shared" si="20"/>
        <v>-8.6</v>
      </c>
      <c r="J36" s="72">
        <f t="shared" si="20"/>
        <v>-11.4</v>
      </c>
      <c r="K36" s="72">
        <f t="shared" si="20"/>
        <v>-13.6</v>
      </c>
      <c r="L36" s="72">
        <f t="shared" si="20"/>
        <v>-23.6</v>
      </c>
      <c r="M36" s="72">
        <f t="shared" si="20"/>
        <v>-1.3</v>
      </c>
      <c r="N36" s="72">
        <f t="shared" si="20"/>
        <v>0</v>
      </c>
      <c r="O36" s="72">
        <f t="shared" si="20"/>
        <v>0</v>
      </c>
      <c r="P36" s="72">
        <f t="shared" si="20"/>
        <v>0</v>
      </c>
      <c r="Q36" s="72">
        <f t="shared" si="20"/>
        <v>0</v>
      </c>
      <c r="R36" s="72">
        <f t="shared" si="20"/>
        <v>0</v>
      </c>
      <c r="S36" s="45"/>
      <c r="T36" s="72">
        <f t="shared" si="16"/>
        <v>-60.8</v>
      </c>
    </row>
    <row r="37" ht="15.75" customHeight="1" outlineLevel="1">
      <c r="A37" s="45"/>
      <c r="B37" s="46" t="str">
        <f t="shared" si="12"/>
        <v>1.85Sachetto di Cotone</v>
      </c>
      <c r="C37" s="63"/>
      <c r="D37" s="63"/>
      <c r="E37" s="99">
        <v>1.85</v>
      </c>
      <c r="F37" s="64" t="s">
        <v>1641</v>
      </c>
      <c r="G37" s="72">
        <f t="shared" ref="G37:R37" si="21">-$E37*(G$19+G$10)</f>
        <v>0</v>
      </c>
      <c r="H37" s="72">
        <f t="shared" si="21"/>
        <v>-42.55</v>
      </c>
      <c r="I37" s="72">
        <f t="shared" si="21"/>
        <v>-159.1</v>
      </c>
      <c r="J37" s="72">
        <f t="shared" si="21"/>
        <v>-210.9</v>
      </c>
      <c r="K37" s="72">
        <f t="shared" si="21"/>
        <v>-251.6</v>
      </c>
      <c r="L37" s="72">
        <f t="shared" si="21"/>
        <v>-436.6</v>
      </c>
      <c r="M37" s="72">
        <f t="shared" si="21"/>
        <v>-24.05</v>
      </c>
      <c r="N37" s="72">
        <f t="shared" si="21"/>
        <v>0</v>
      </c>
      <c r="O37" s="72">
        <f t="shared" si="21"/>
        <v>0</v>
      </c>
      <c r="P37" s="72">
        <f t="shared" si="21"/>
        <v>0</v>
      </c>
      <c r="Q37" s="72">
        <f t="shared" si="21"/>
        <v>0</v>
      </c>
      <c r="R37" s="72">
        <f t="shared" si="21"/>
        <v>0</v>
      </c>
      <c r="S37" s="45"/>
      <c r="T37" s="72">
        <f t="shared" si="16"/>
        <v>-1124.8</v>
      </c>
    </row>
    <row r="38" ht="15.75" customHeight="1" outlineLevel="1">
      <c r="A38" s="45"/>
      <c r="B38" s="46" t="str">
        <f t="shared" si="12"/>
        <v>0.76Nastro Sigillante</v>
      </c>
      <c r="C38" s="63"/>
      <c r="D38" s="63"/>
      <c r="E38" s="98">
        <v>0.76</v>
      </c>
      <c r="F38" s="68" t="s">
        <v>1642</v>
      </c>
      <c r="G38" s="72">
        <f t="shared" ref="G38:R38" si="22">-$E38*(G$19+G$10)</f>
        <v>0</v>
      </c>
      <c r="H38" s="72">
        <f t="shared" si="22"/>
        <v>-17.48</v>
      </c>
      <c r="I38" s="72">
        <f t="shared" si="22"/>
        <v>-65.36</v>
      </c>
      <c r="J38" s="72">
        <f t="shared" si="22"/>
        <v>-86.64</v>
      </c>
      <c r="K38" s="72">
        <f t="shared" si="22"/>
        <v>-103.36</v>
      </c>
      <c r="L38" s="72">
        <f t="shared" si="22"/>
        <v>-179.36</v>
      </c>
      <c r="M38" s="72">
        <f t="shared" si="22"/>
        <v>-9.88</v>
      </c>
      <c r="N38" s="72">
        <f t="shared" si="22"/>
        <v>0</v>
      </c>
      <c r="O38" s="72">
        <f t="shared" si="22"/>
        <v>0</v>
      </c>
      <c r="P38" s="72">
        <f t="shared" si="22"/>
        <v>0</v>
      </c>
      <c r="Q38" s="72">
        <f t="shared" si="22"/>
        <v>0</v>
      </c>
      <c r="R38" s="72">
        <f t="shared" si="22"/>
        <v>0</v>
      </c>
      <c r="S38" s="45"/>
      <c r="T38" s="72">
        <f t="shared" si="16"/>
        <v>-462.08</v>
      </c>
    </row>
    <row r="39" ht="15.75" customHeight="1">
      <c r="A39" s="45"/>
      <c r="B39" s="46" t="str">
        <f t="shared" si="12"/>
        <v>VariabiliCommissioni sui pagamenti</v>
      </c>
      <c r="C39" s="58" t="s">
        <v>1628</v>
      </c>
      <c r="D39" s="58" t="s">
        <v>1633</v>
      </c>
      <c r="E39" s="59" t="s">
        <v>1634</v>
      </c>
      <c r="F39" s="58" t="s">
        <v>1643</v>
      </c>
      <c r="G39" s="72">
        <f>SUMIFS('DB Shopify'!$CI:$CI,'DB Shopify'!$CC:$CC,CE_AMIMI!G$2,'DB Shopify'!$CD:$CD,CE_AMIMI!G$3)</f>
        <v>0</v>
      </c>
      <c r="H39" s="72">
        <f>SUMIFS('DB Shopify'!$CI:$CI,'DB Shopify'!$CC:$CC,CE_AMIMI!H$2,'DB Shopify'!$CD:$CD,CE_AMIMI!H$3)</f>
        <v>-57.66523</v>
      </c>
      <c r="I39" s="72">
        <f>SUMIFS('DB Shopify'!$CI:$CI,'DB Shopify'!$CC:$CC,CE_AMIMI!I$2,'DB Shopify'!$CD:$CD,CE_AMIMI!I$3)</f>
        <v>-237.07651</v>
      </c>
      <c r="J39" s="72">
        <f>SUMIFS('DB Shopify'!$CI:$CI,'DB Shopify'!$CC:$CC,CE_AMIMI!J$2,'DB Shopify'!$CD:$CD,CE_AMIMI!J$3)</f>
        <v>-264.11422</v>
      </c>
      <c r="K39" s="72">
        <f>SUMIFS('DB Shopify'!$CI:$CI,'DB Shopify'!$CC:$CC,CE_AMIMI!K$2,'DB Shopify'!$CD:$CD,CE_AMIMI!K$3)</f>
        <v>-397.02702</v>
      </c>
      <c r="L39" s="72">
        <f>SUMIFS('DB Shopify'!$CI:$CI,'DB Shopify'!$CC:$CC,CE_AMIMI!L$2,'DB Shopify'!$CD:$CD,CE_AMIMI!L$3)</f>
        <v>-577.142606</v>
      </c>
      <c r="M39" s="72">
        <f>SUMIFS('DB Shopify'!$CI:$CI,'DB Shopify'!$CC:$CC,CE_AMIMI!M$2,'DB Shopify'!$CD:$CD,CE_AMIMI!M$3)</f>
        <v>-13.4382</v>
      </c>
      <c r="N39" s="72">
        <f>SUMIFS('DB Shopify'!$CI:$CI,'DB Shopify'!$CC:$CC,CE_AMIMI!N$2,'DB Shopify'!$CD:$CD,CE_AMIMI!N$3)</f>
        <v>0</v>
      </c>
      <c r="O39" s="72">
        <f>SUMIFS('DB Shopify'!$CI:$CI,'DB Shopify'!$CC:$CC,CE_AMIMI!O$2,'DB Shopify'!$CD:$CD,CE_AMIMI!O$3)</f>
        <v>0</v>
      </c>
      <c r="P39" s="72">
        <f>SUMIFS('DB Shopify'!$CI:$CI,'DB Shopify'!$CC:$CC,CE_AMIMI!P$2,'DB Shopify'!$CD:$CD,CE_AMIMI!P$3)</f>
        <v>0</v>
      </c>
      <c r="Q39" s="72">
        <f>SUMIFS('DB Shopify'!$CI:$CI,'DB Shopify'!$CC:$CC,CE_AMIMI!Q$2,'DB Shopify'!$CD:$CD,CE_AMIMI!Q$3)</f>
        <v>0</v>
      </c>
      <c r="R39" s="72">
        <f>SUMIFS('DB Shopify'!$CI:$CI,'DB Shopify'!$CC:$CC,CE_AMIMI!R$2,'DB Shopify'!$CD:$CD,CE_AMIMI!R$3)</f>
        <v>0</v>
      </c>
      <c r="S39" s="45"/>
      <c r="T39" s="72">
        <f t="shared" si="16"/>
        <v>-1546.463786</v>
      </c>
    </row>
    <row r="40" ht="15.75" customHeight="1">
      <c r="A40" s="118" t="s">
        <v>1665</v>
      </c>
      <c r="B40" s="46" t="str">
        <f t="shared" si="12"/>
        <v>VariabiliLogistica</v>
      </c>
      <c r="C40" s="100" t="s">
        <v>1628</v>
      </c>
      <c r="D40" s="100" t="s">
        <v>1633</v>
      </c>
      <c r="E40" s="96" t="s">
        <v>1634</v>
      </c>
      <c r="F40" s="87" t="s">
        <v>1644</v>
      </c>
      <c r="G40" s="72">
        <f>SUMIFS('EXPENSES MASTER'!$F:$F,
  'EXPENSES MASTER'!$G:$G, "LOGISTICA",
  'EXPENSES MASTER'!$A:$A, G$2,
  'EXPENSES MASTER'!$B:$B, G$3,
  'EXPENSES MASTER'!$H:$H, "Spedizioni",
  'EXPENSES MASTER'!$I:$I, "Si")</f>
        <v>0</v>
      </c>
      <c r="H40" s="72">
        <f>SUMIFS('EXPENSES MASTER'!$F:$F,
  'EXPENSES MASTER'!$G:$G, "LOGISTICA",
  'EXPENSES MASTER'!$A:$A, H$2,
  'EXPENSES MASTER'!$B:$B, H$3,
  'EXPENSES MASTER'!$H:$H, "Spedizioni",
  'EXPENSES MASTER'!$I:$I, "Si")</f>
        <v>0</v>
      </c>
      <c r="I40" s="72">
        <f>SUMIFS('EXPENSES MASTER'!$F:$F,
  'EXPENSES MASTER'!$G:$G, "LOGISTICA",
  'EXPENSES MASTER'!$A:$A, I$2,
  'EXPENSES MASTER'!$B:$B, I$3,
  'EXPENSES MASTER'!$H:$H, "Spedizioni",
  'EXPENSES MASTER'!$I:$I, "Si")</f>
        <v>-425.07</v>
      </c>
      <c r="J40" s="72">
        <f>SUMIFS('EXPENSES MASTER'!$F:$F,
  'EXPENSES MASTER'!$G:$G, "LOGISTICA",
  'EXPENSES MASTER'!$A:$A, J$2,
  'EXPENSES MASTER'!$B:$B, J$3,
  'EXPENSES MASTER'!$H:$H, "Spedizioni",
  'EXPENSES MASTER'!$I:$I, "Si")</f>
        <v>0</v>
      </c>
      <c r="K40" s="72">
        <f>SUMIFS('EXPENSES MASTER'!$F:$F,
  'EXPENSES MASTER'!$G:$G, "LOGISTICA",
  'EXPENSES MASTER'!$A:$A, K$2,
  'EXPENSES MASTER'!$B:$B, K$3,
  'EXPENSES MASTER'!$H:$H, "Spedizioni",
  'EXPENSES MASTER'!$I:$I, "Si")</f>
        <v>-1015.42</v>
      </c>
      <c r="L40" s="72">
        <f>SUMIFS('EXPENSES MASTER'!$F:$F,
  'EXPENSES MASTER'!$G:$G, "LOGISTICA",
  'EXPENSES MASTER'!$A:$A, L$2,
  'EXPENSES MASTER'!$B:$B, L$3,
  'EXPENSES MASTER'!$H:$H, "Spedizioni",
  'EXPENSES MASTER'!$I:$I, "Si")</f>
        <v>0</v>
      </c>
      <c r="M40" s="72">
        <f>SUMIFS('EXPENSES MASTER'!$F:$F,
  'EXPENSES MASTER'!$G:$G, "LOGISTICA",
  'EXPENSES MASTER'!$A:$A, M$2,
  'EXPENSES MASTER'!$B:$B, M$3,
  'EXPENSES MASTER'!$H:$H, "Spedizioni",
  'EXPENSES MASTER'!$I:$I, "Si")</f>
        <v>0</v>
      </c>
      <c r="N40" s="72">
        <f>SUMIFS('EXPENSES MASTER'!$F:$F,
  'EXPENSES MASTER'!$G:$G, "LOGISTICA",
  'EXPENSES MASTER'!$A:$A, N$2,
  'EXPENSES MASTER'!$B:$B, N$3,
  'EXPENSES MASTER'!$H:$H, "Spedizioni",
  'EXPENSES MASTER'!$I:$I, "Si")</f>
        <v>0</v>
      </c>
      <c r="O40" s="72">
        <f>SUMIFS('EXPENSES MASTER'!$F:$F,
  'EXPENSES MASTER'!$G:$G, "LOGISTICA",
  'EXPENSES MASTER'!$A:$A, O$2,
  'EXPENSES MASTER'!$B:$B, O$3,
  'EXPENSES MASTER'!$H:$H, "Spedizioni",
  'EXPENSES MASTER'!$I:$I, "Si")</f>
        <v>0</v>
      </c>
      <c r="P40" s="72">
        <f>SUMIFS('EXPENSES MASTER'!$F:$F,
  'EXPENSES MASTER'!$G:$G, "LOGISTICA",
  'EXPENSES MASTER'!$A:$A, P$2,
  'EXPENSES MASTER'!$B:$B, P$3,
  'EXPENSES MASTER'!$H:$H, "Spedizioni",
  'EXPENSES MASTER'!$I:$I, "Si")</f>
        <v>0</v>
      </c>
      <c r="Q40" s="72">
        <f>SUMIFS('EXPENSES MASTER'!$F:$F,
  'EXPENSES MASTER'!$G:$G, "LOGISTICA",
  'EXPENSES MASTER'!$A:$A, Q$2,
  'EXPENSES MASTER'!$B:$B, Q$3,
  'EXPENSES MASTER'!$H:$H, "Spedizioni",
  'EXPENSES MASTER'!$I:$I, "Si")</f>
        <v>0</v>
      </c>
      <c r="R40" s="72">
        <f>SUMIFS('EXPENSES MASTER'!$F:$F,
  'EXPENSES MASTER'!$G:$G, "LOGISTICA",
  'EXPENSES MASTER'!$A:$A, R$2,
  'EXPENSES MASTER'!$B:$B, R$3,
  'EXPENSES MASTER'!$H:$H, "Spedizioni",
  'EXPENSES MASTER'!$I:$I, "Si")</f>
        <v>0</v>
      </c>
      <c r="S40" s="45"/>
      <c r="T40" s="72">
        <f t="shared" si="16"/>
        <v>-1440.49</v>
      </c>
    </row>
    <row r="41" ht="15.75" customHeight="1">
      <c r="A41" s="45"/>
      <c r="B41" s="46" t="str">
        <f t="shared" si="12"/>
        <v>VariabiliResi</v>
      </c>
      <c r="C41" s="58" t="s">
        <v>1628</v>
      </c>
      <c r="D41" s="58" t="s">
        <v>1633</v>
      </c>
      <c r="E41" s="59" t="s">
        <v>1634</v>
      </c>
      <c r="F41" s="58" t="s">
        <v>1645</v>
      </c>
      <c r="G41" s="72">
        <f>-SUMIFS('DB Shopify'!$AX:$AX,'DB Shopify'!$CC:$CC,CE_AMIMI!G$2,'DB Shopify'!$CD:$CD,CE_AMIMI!G$3)</f>
        <v>0</v>
      </c>
      <c r="H41" s="72">
        <f>-SUMIFS('DB Shopify'!$AX:$AX,'DB Shopify'!$CC:$CC,CE_AMIMI!H$2,'DB Shopify'!$CD:$CD,CE_AMIMI!H$3)</f>
        <v>-6.9</v>
      </c>
      <c r="I41" s="72">
        <f>-SUMIFS('DB Shopify'!$AX:$AX,'DB Shopify'!$CC:$CC,CE_AMIMI!I$2,'DB Shopify'!$CD:$CD,CE_AMIMI!I$3)</f>
        <v>0</v>
      </c>
      <c r="J41" s="72">
        <f>-SUMIFS('DB Shopify'!$AX:$AX,'DB Shopify'!$CC:$CC,CE_AMIMI!J$2,'DB Shopify'!$CD:$CD,CE_AMIMI!J$3)</f>
        <v>0</v>
      </c>
      <c r="K41" s="72">
        <f>-SUMIFS('DB Shopify'!$AX:$AX,'DB Shopify'!$CC:$CC,CE_AMIMI!K$2,'DB Shopify'!$CD:$CD,CE_AMIMI!K$3)</f>
        <v>-336</v>
      </c>
      <c r="L41" s="72">
        <f>-SUMIFS('DB Shopify'!$AX:$AX,'DB Shopify'!$CC:$CC,CE_AMIMI!L$2,'DB Shopify'!$CD:$CD,CE_AMIMI!L$3)</f>
        <v>-530.5</v>
      </c>
      <c r="M41" s="72">
        <f>-SUMIFS('DB Shopify'!$AX:$AX,'DB Shopify'!$CC:$CC,CE_AMIMI!M$2,'DB Shopify'!$CD:$CD,CE_AMIMI!M$3)</f>
        <v>0</v>
      </c>
      <c r="N41" s="72">
        <f>-SUMIFS('DB Shopify'!$AX:$AX,'DB Shopify'!$CC:$CC,CE_AMIMI!N$2,'DB Shopify'!$CD:$CD,CE_AMIMI!N$3)</f>
        <v>0</v>
      </c>
      <c r="O41" s="72">
        <f>-SUMIFS('DB Shopify'!$AX:$AX,'DB Shopify'!$CC:$CC,CE_AMIMI!O$2,'DB Shopify'!$CD:$CD,CE_AMIMI!O$3)</f>
        <v>0</v>
      </c>
      <c r="P41" s="72">
        <f>-SUMIFS('DB Shopify'!$AX:$AX,'DB Shopify'!$CC:$CC,CE_AMIMI!P$2,'DB Shopify'!$CD:$CD,CE_AMIMI!P$3)</f>
        <v>0</v>
      </c>
      <c r="Q41" s="72">
        <f>-SUMIFS('DB Shopify'!$AX:$AX,'DB Shopify'!$CC:$CC,CE_AMIMI!Q$2,'DB Shopify'!$CD:$CD,CE_AMIMI!Q$3)</f>
        <v>0</v>
      </c>
      <c r="R41" s="72">
        <f>-SUMIFS('DB Shopify'!$AX:$AX,'DB Shopify'!$CC:$CC,CE_AMIMI!R$2,'DB Shopify'!$CD:$CD,CE_AMIMI!R$3)</f>
        <v>0</v>
      </c>
      <c r="S41" s="45"/>
      <c r="T41" s="72">
        <f t="shared" si="16"/>
        <v>-873.4</v>
      </c>
    </row>
    <row r="42" ht="15.75" customHeight="1">
      <c r="A42" s="45"/>
      <c r="B42" s="46" t="str">
        <f t="shared" si="12"/>
        <v>VariabiliTotal</v>
      </c>
      <c r="C42" s="74" t="s">
        <v>1628</v>
      </c>
      <c r="D42" s="74" t="s">
        <v>1633</v>
      </c>
      <c r="E42" s="101" t="s">
        <v>1634</v>
      </c>
      <c r="F42" s="74" t="s">
        <v>1646</v>
      </c>
      <c r="G42" s="76">
        <f t="shared" ref="G42:R42" si="23">G31+G32+G39+G40+G41</f>
        <v>0</v>
      </c>
      <c r="H42" s="76">
        <f t="shared" si="23"/>
        <v>-855.70523</v>
      </c>
      <c r="I42" s="76">
        <f t="shared" si="23"/>
        <v>-3371.45651</v>
      </c>
      <c r="J42" s="76">
        <f t="shared" si="23"/>
        <v>-3515.40422</v>
      </c>
      <c r="K42" s="76">
        <f t="shared" si="23"/>
        <v>-5527.73702</v>
      </c>
      <c r="L42" s="76">
        <f t="shared" si="23"/>
        <v>-6867.202606</v>
      </c>
      <c r="M42" s="76">
        <f t="shared" si="23"/>
        <v>-178.6682</v>
      </c>
      <c r="N42" s="76">
        <f t="shared" si="23"/>
        <v>0</v>
      </c>
      <c r="O42" s="76">
        <f t="shared" si="23"/>
        <v>0</v>
      </c>
      <c r="P42" s="76">
        <f t="shared" si="23"/>
        <v>0</v>
      </c>
      <c r="Q42" s="76">
        <f t="shared" si="23"/>
        <v>0</v>
      </c>
      <c r="R42" s="76">
        <f t="shared" si="23"/>
        <v>0</v>
      </c>
      <c r="S42" s="45"/>
      <c r="T42" s="76">
        <f t="shared" si="16"/>
        <v>-20316.17379</v>
      </c>
    </row>
    <row r="43" ht="15.75" customHeight="1">
      <c r="A43" s="45"/>
      <c r="B43" s="46" t="str">
        <f t="shared" si="12"/>
        <v/>
      </c>
      <c r="C43" s="102"/>
      <c r="D43" s="45"/>
      <c r="E43" s="45"/>
      <c r="F43" s="45"/>
      <c r="G43" s="94"/>
      <c r="H43" s="94"/>
      <c r="I43" s="94"/>
      <c r="J43" s="94"/>
      <c r="K43" s="94"/>
      <c r="L43" s="94"/>
      <c r="M43" s="94"/>
      <c r="N43" s="94"/>
      <c r="O43" s="94"/>
      <c r="P43" s="94"/>
      <c r="Q43" s="94"/>
      <c r="R43" s="94"/>
      <c r="S43" s="45"/>
      <c r="T43" s="103">
        <f>1+T42/T29</f>
        <v>0.6046260494</v>
      </c>
    </row>
    <row r="44" ht="15.75" customHeight="1">
      <c r="A44" s="45"/>
      <c r="B44" s="46" t="str">
        <f t="shared" si="12"/>
        <v>OmnichannelMargine di Contribuzione_1</v>
      </c>
      <c r="C44" s="45"/>
      <c r="D44" s="45"/>
      <c r="E44" s="90" t="s">
        <v>1632</v>
      </c>
      <c r="F44" s="105" t="s">
        <v>1647</v>
      </c>
      <c r="G44" s="106">
        <f t="shared" ref="G44:R44" si="24">G29+G42</f>
        <v>0</v>
      </c>
      <c r="H44" s="106">
        <f t="shared" si="24"/>
        <v>1611.016081</v>
      </c>
      <c r="I44" s="106">
        <f t="shared" si="24"/>
        <v>4866.658244</v>
      </c>
      <c r="J44" s="106">
        <f t="shared" si="24"/>
        <v>6108.12037</v>
      </c>
      <c r="K44" s="106">
        <f t="shared" si="24"/>
        <v>6439.967898</v>
      </c>
      <c r="L44" s="106">
        <f t="shared" si="24"/>
        <v>11133.07608</v>
      </c>
      <c r="M44" s="106">
        <f t="shared" si="24"/>
        <v>909.6924557</v>
      </c>
      <c r="N44" s="106">
        <f t="shared" si="24"/>
        <v>0</v>
      </c>
      <c r="O44" s="106">
        <f t="shared" si="24"/>
        <v>0</v>
      </c>
      <c r="P44" s="106">
        <f t="shared" si="24"/>
        <v>0</v>
      </c>
      <c r="Q44" s="106">
        <f t="shared" si="24"/>
        <v>0</v>
      </c>
      <c r="R44" s="106">
        <f t="shared" si="24"/>
        <v>0</v>
      </c>
      <c r="S44" s="45"/>
      <c r="T44" s="106">
        <f>SUM(G44:R44)</f>
        <v>31068.53113</v>
      </c>
    </row>
    <row r="45" ht="15.75" customHeight="1">
      <c r="A45" s="50"/>
      <c r="B45" s="51" t="str">
        <f t="shared" si="12"/>
        <v/>
      </c>
      <c r="C45" s="50"/>
      <c r="D45" s="50"/>
      <c r="E45" s="50"/>
      <c r="F45" s="50"/>
      <c r="G45" s="119" t="str">
        <f t="shared" ref="G45:R45" si="25">iferror(G44/G29,"")</f>
        <v/>
      </c>
      <c r="H45" s="119">
        <f t="shared" si="25"/>
        <v>0.6531001593</v>
      </c>
      <c r="I45" s="119">
        <f t="shared" si="25"/>
        <v>0.5907490232</v>
      </c>
      <c r="J45" s="119">
        <f t="shared" si="25"/>
        <v>0.6347072024</v>
      </c>
      <c r="K45" s="119">
        <f t="shared" si="25"/>
        <v>0.5381121896</v>
      </c>
      <c r="L45" s="119">
        <f t="shared" si="25"/>
        <v>0.6184946508</v>
      </c>
      <c r="M45" s="119">
        <f t="shared" si="25"/>
        <v>0.8358373219</v>
      </c>
      <c r="N45" s="119" t="str">
        <f t="shared" si="25"/>
        <v/>
      </c>
      <c r="O45" s="119" t="str">
        <f t="shared" si="25"/>
        <v/>
      </c>
      <c r="P45" s="119" t="str">
        <f t="shared" si="25"/>
        <v/>
      </c>
      <c r="Q45" s="119" t="str">
        <f t="shared" si="25"/>
        <v/>
      </c>
      <c r="R45" s="119" t="str">
        <f t="shared" si="25"/>
        <v/>
      </c>
      <c r="S45" s="50"/>
      <c r="T45" s="119">
        <f>T44/T29</f>
        <v>0.6046260494</v>
      </c>
    </row>
    <row r="46" ht="15.75" customHeight="1">
      <c r="A46" s="45"/>
      <c r="B46" s="46" t="str">
        <f t="shared" si="12"/>
        <v>FissiSALARI</v>
      </c>
      <c r="C46" s="58" t="s">
        <v>1628</v>
      </c>
      <c r="D46" s="58" t="s">
        <v>1633</v>
      </c>
      <c r="E46" s="59" t="s">
        <v>1648</v>
      </c>
      <c r="F46" s="108" t="s">
        <v>1649</v>
      </c>
      <c r="G46" s="72">
        <f>SUMIFS('EXPENSES MASTER'!$F:$F, 'EXPENSES MASTER'!$A:$A, G$2, 'EXPENSES MASTER'!$B:$B, G$3, 'EXPENSES MASTER'!$G:$G, $F46, 'EXPENSES MASTER'!$I:$I, "Si")</f>
        <v>0</v>
      </c>
      <c r="H46" s="72">
        <f>SUMIFS('EXPENSES MASTER'!$F:$F, 'EXPENSES MASTER'!$A:$A, H$2, 'EXPENSES MASTER'!$B:$B, H$3, 'EXPENSES MASTER'!$G:$G, $F46, 'EXPENSES MASTER'!$I:$I, "Si")</f>
        <v>-270</v>
      </c>
      <c r="I46" s="72">
        <f>SUMIFS('EXPENSES MASTER'!$F:$F, 'EXPENSES MASTER'!$A:$A, I$2, 'EXPENSES MASTER'!$B:$B, I$3, 'EXPENSES MASTER'!$G:$G, $F46, 'EXPENSES MASTER'!$I:$I, "Si")</f>
        <v>0</v>
      </c>
      <c r="J46" s="72">
        <f>SUMIFS('EXPENSES MASTER'!$F:$F, 'EXPENSES MASTER'!$A:$A, J$2, 'EXPENSES MASTER'!$B:$B, J$3, 'EXPENSES MASTER'!$G:$G, $F46, 'EXPENSES MASTER'!$I:$I, "Si")</f>
        <v>0</v>
      </c>
      <c r="K46" s="72">
        <f>SUMIFS('EXPENSES MASTER'!$F:$F, 'EXPENSES MASTER'!$A:$A, K$2, 'EXPENSES MASTER'!$B:$B, K$3, 'EXPENSES MASTER'!$G:$G, $F46, 'EXPENSES MASTER'!$I:$I, "Si")</f>
        <v>0</v>
      </c>
      <c r="L46" s="72">
        <f>SUMIFS('EXPENSES MASTER'!$F:$F, 'EXPENSES MASTER'!$A:$A, L$2, 'EXPENSES MASTER'!$B:$B, L$3, 'EXPENSES MASTER'!$G:$G, $F46, 'EXPENSES MASTER'!$I:$I, "Si")</f>
        <v>0</v>
      </c>
      <c r="M46" s="72">
        <f>SUMIFS('EXPENSES MASTER'!$F:$F, 'EXPENSES MASTER'!$A:$A, M$2, 'EXPENSES MASTER'!$B:$B, M$3, 'EXPENSES MASTER'!$G:$G, $F46, 'EXPENSES MASTER'!$I:$I, "Si")</f>
        <v>0</v>
      </c>
      <c r="N46" s="72">
        <f>SUMIFS('EXPENSES MASTER'!$F:$F, 'EXPENSES MASTER'!$A:$A, N$2, 'EXPENSES MASTER'!$B:$B, N$3, 'EXPENSES MASTER'!$G:$G, $F46, 'EXPENSES MASTER'!$I:$I, "Si")</f>
        <v>0</v>
      </c>
      <c r="O46" s="72">
        <f>SUMIFS('EXPENSES MASTER'!$F:$F, 'EXPENSES MASTER'!$A:$A, O$2, 'EXPENSES MASTER'!$B:$B, O$3, 'EXPENSES MASTER'!$G:$G, $F46, 'EXPENSES MASTER'!$I:$I, "Si")</f>
        <v>0</v>
      </c>
      <c r="P46" s="72">
        <f>SUMIFS('EXPENSES MASTER'!$F:$F, 'EXPENSES MASTER'!$A:$A, P$2, 'EXPENSES MASTER'!$B:$B, P$3, 'EXPENSES MASTER'!$G:$G, $F46, 'EXPENSES MASTER'!$I:$I, "Si")</f>
        <v>0</v>
      </c>
      <c r="Q46" s="72">
        <f>SUMIFS('EXPENSES MASTER'!$F:$F, 'EXPENSES MASTER'!$A:$A, Q$2, 'EXPENSES MASTER'!$B:$B, Q$3, 'EXPENSES MASTER'!$G:$G, $F46, 'EXPENSES MASTER'!$I:$I, "Si")</f>
        <v>0</v>
      </c>
      <c r="R46" s="72">
        <f>SUMIFS('EXPENSES MASTER'!$F:$F, 'EXPENSES MASTER'!$A:$A, R$2, 'EXPENSES MASTER'!$B:$B, R$3, 'EXPENSES MASTER'!$G:$G, $F46, 'EXPENSES MASTER'!$I:$I, "Si")</f>
        <v>0</v>
      </c>
      <c r="S46" s="45"/>
      <c r="T46" s="72">
        <f t="shared" ref="T46:T60" si="26">SUM(G46:R46)</f>
        <v>-270</v>
      </c>
    </row>
    <row r="47" ht="15.75" customHeight="1">
      <c r="A47" s="109"/>
      <c r="B47" s="46" t="str">
        <f t="shared" si="12"/>
        <v>FissiTASSE</v>
      </c>
      <c r="C47" s="58" t="s">
        <v>1628</v>
      </c>
      <c r="D47" s="58" t="s">
        <v>1633</v>
      </c>
      <c r="E47" s="59" t="s">
        <v>1648</v>
      </c>
      <c r="F47" s="108" t="s">
        <v>1650</v>
      </c>
      <c r="G47" s="72">
        <f>SUMIFS('EXPENSES MASTER'!$F:$F, 'EXPENSES MASTER'!$A:$A, G$2, 'EXPENSES MASTER'!$B:$B, G$3, 'EXPENSES MASTER'!$G:$G, $F47, 'EXPENSES MASTER'!$I:$I, "Si")</f>
        <v>0</v>
      </c>
      <c r="H47" s="72">
        <f>SUMIFS('EXPENSES MASTER'!$F:$F, 'EXPENSES MASTER'!$A:$A, H$2, 'EXPENSES MASTER'!$B:$B, H$3, 'EXPENSES MASTER'!$G:$G, $F47, 'EXPENSES MASTER'!$I:$I, "Si")</f>
        <v>0</v>
      </c>
      <c r="I47" s="72">
        <f>SUMIFS('EXPENSES MASTER'!$F:$F, 'EXPENSES MASTER'!$A:$A, I$2, 'EXPENSES MASTER'!$B:$B, I$3, 'EXPENSES MASTER'!$G:$G, $F47, 'EXPENSES MASTER'!$I:$I, "Si")</f>
        <v>-309.87</v>
      </c>
      <c r="J47" s="72">
        <f>SUMIFS('EXPENSES MASTER'!$F:$F, 'EXPENSES MASTER'!$A:$A, J$2, 'EXPENSES MASTER'!$B:$B, J$3, 'EXPENSES MASTER'!$G:$G, $F47, 'EXPENSES MASTER'!$I:$I, "Si")</f>
        <v>-236.57</v>
      </c>
      <c r="K47" s="72">
        <f>SUMIFS('EXPENSES MASTER'!$F:$F, 'EXPENSES MASTER'!$A:$A, K$2, 'EXPENSES MASTER'!$B:$B, K$3, 'EXPENSES MASTER'!$G:$G, $F47, 'EXPENSES MASTER'!$I:$I, "Si")</f>
        <v>-800.41</v>
      </c>
      <c r="L47" s="72">
        <f>SUMIFS('EXPENSES MASTER'!$F:$F, 'EXPENSES MASTER'!$A:$A, L$2, 'EXPENSES MASTER'!$B:$B, L$3, 'EXPENSES MASTER'!$G:$G, $F47, 'EXPENSES MASTER'!$I:$I, "Si")</f>
        <v>-1848.99</v>
      </c>
      <c r="M47" s="72">
        <f>SUMIFS('EXPENSES MASTER'!$F:$F, 'EXPENSES MASTER'!$A:$A, M$2, 'EXPENSES MASTER'!$B:$B, M$3, 'EXPENSES MASTER'!$G:$G, $F47, 'EXPENSES MASTER'!$I:$I, "Si")</f>
        <v>0</v>
      </c>
      <c r="N47" s="72">
        <f>SUMIFS('EXPENSES MASTER'!$F:$F, 'EXPENSES MASTER'!$A:$A, N$2, 'EXPENSES MASTER'!$B:$B, N$3, 'EXPENSES MASTER'!$G:$G, $F47, 'EXPENSES MASTER'!$I:$I, "Si")</f>
        <v>0</v>
      </c>
      <c r="O47" s="72">
        <f>SUMIFS('EXPENSES MASTER'!$F:$F, 'EXPENSES MASTER'!$A:$A, O$2, 'EXPENSES MASTER'!$B:$B, O$3, 'EXPENSES MASTER'!$G:$G, $F47, 'EXPENSES MASTER'!$I:$I, "Si")</f>
        <v>0</v>
      </c>
      <c r="P47" s="72">
        <f>SUMIFS('EXPENSES MASTER'!$F:$F, 'EXPENSES MASTER'!$A:$A, P$2, 'EXPENSES MASTER'!$B:$B, P$3, 'EXPENSES MASTER'!$G:$G, $F47, 'EXPENSES MASTER'!$I:$I, "Si")</f>
        <v>0</v>
      </c>
      <c r="Q47" s="72">
        <f>SUMIFS('EXPENSES MASTER'!$F:$F, 'EXPENSES MASTER'!$A:$A, Q$2, 'EXPENSES MASTER'!$B:$B, Q$3, 'EXPENSES MASTER'!$G:$G, $F47, 'EXPENSES MASTER'!$I:$I, "Si")</f>
        <v>0</v>
      </c>
      <c r="R47" s="72">
        <f>SUMIFS('EXPENSES MASTER'!$F:$F, 'EXPENSES MASTER'!$A:$A, R$2, 'EXPENSES MASTER'!$B:$B, R$3, 'EXPENSES MASTER'!$G:$G, $F47, 'EXPENSES MASTER'!$I:$I, "Si")</f>
        <v>0</v>
      </c>
      <c r="S47" s="45"/>
      <c r="T47" s="72">
        <f t="shared" si="26"/>
        <v>-3195.84</v>
      </c>
    </row>
    <row r="48" ht="15.75" customHeight="1">
      <c r="A48" s="102" t="s">
        <v>1651</v>
      </c>
      <c r="B48" s="46" t="str">
        <f t="shared" si="12"/>
        <v>FissiLOGISTICA</v>
      </c>
      <c r="C48" s="58" t="s">
        <v>1628</v>
      </c>
      <c r="D48" s="58" t="s">
        <v>1633</v>
      </c>
      <c r="E48" s="59" t="s">
        <v>1648</v>
      </c>
      <c r="F48" s="110" t="s">
        <v>1652</v>
      </c>
      <c r="G48" s="72">
        <f>SUMIFS('EXPENSES MASTER'!$F:$F,
  'EXPENSES MASTER'!$G:$G, "LOGISTICA",
  'EXPENSES MASTER'!$A:$A, G$2,
  'EXPENSES MASTER'!$B:$B, G$3,
  'EXPENSES MASTER'!$H:$H, "Magazzino",
  'EXPENSES MASTER'!$I:$I, "Si")</f>
        <v>0</v>
      </c>
      <c r="H48" s="72">
        <f>SUMIFS('EXPENSES MASTER'!$F:$F,
  'EXPENSES MASTER'!$G:$G, "LOGISTICA",
  'EXPENSES MASTER'!$A:$A, H$2,
  'EXPENSES MASTER'!$B:$B, H$3,
  'EXPENSES MASTER'!$H:$H, "Magazzino",
  'EXPENSES MASTER'!$I:$I, "Si")</f>
        <v>0</v>
      </c>
      <c r="I48" s="72">
        <f>SUMIFS('EXPENSES MASTER'!$F:$F,
  'EXPENSES MASTER'!$G:$G, "LOGISTICA",
  'EXPENSES MASTER'!$A:$A, I$2,
  'EXPENSES MASTER'!$B:$B, I$3,
  'EXPENSES MASTER'!$H:$H, "Magazzino",
  'EXPENSES MASTER'!$I:$I, "Si")</f>
        <v>0</v>
      </c>
      <c r="J48" s="72">
        <f>SUMIFS('EXPENSES MASTER'!$F:$F,
  'EXPENSES MASTER'!$G:$G, "LOGISTICA",
  'EXPENSES MASTER'!$A:$A, J$2,
  'EXPENSES MASTER'!$B:$B, J$3,
  'EXPENSES MASTER'!$H:$H, "Magazzino",
  'EXPENSES MASTER'!$I:$I, "Si")</f>
        <v>-555.06</v>
      </c>
      <c r="K48" s="72">
        <f>SUMIFS('EXPENSES MASTER'!$F:$F,
  'EXPENSES MASTER'!$G:$G, "LOGISTICA",
  'EXPENSES MASTER'!$A:$A, K$2,
  'EXPENSES MASTER'!$B:$B, K$3,
  'EXPENSES MASTER'!$H:$H, "Magazzino",
  'EXPENSES MASTER'!$I:$I, "Si")</f>
        <v>-355.23</v>
      </c>
      <c r="L48" s="72">
        <f>SUMIFS('EXPENSES MASTER'!$F:$F,
  'EXPENSES MASTER'!$G:$G, "LOGISTICA",
  'EXPENSES MASTER'!$A:$A, L$2,
  'EXPENSES MASTER'!$B:$B, L$3,
  'EXPENSES MASTER'!$H:$H, "Magazzino",
  'EXPENSES MASTER'!$I:$I, "Si")</f>
        <v>0</v>
      </c>
      <c r="M48" s="72">
        <f>SUMIFS('EXPENSES MASTER'!$F:$F,
  'EXPENSES MASTER'!$G:$G, "LOGISTICA",
  'EXPENSES MASTER'!$A:$A, M$2,
  'EXPENSES MASTER'!$B:$B, M$3,
  'EXPENSES MASTER'!$H:$H, "Magazzino",
  'EXPENSES MASTER'!$I:$I, "Si")</f>
        <v>0</v>
      </c>
      <c r="N48" s="72">
        <f>SUMIFS('EXPENSES MASTER'!$F:$F,
  'EXPENSES MASTER'!$G:$G, "LOGISTICA",
  'EXPENSES MASTER'!$A:$A, N$2,
  'EXPENSES MASTER'!$B:$B, N$3,
  'EXPENSES MASTER'!$H:$H, "Magazzino",
  'EXPENSES MASTER'!$I:$I, "Si")</f>
        <v>0</v>
      </c>
      <c r="O48" s="72">
        <f>SUMIFS('EXPENSES MASTER'!$F:$F,
  'EXPENSES MASTER'!$G:$G, "LOGISTICA",
  'EXPENSES MASTER'!$A:$A, O$2,
  'EXPENSES MASTER'!$B:$B, O$3,
  'EXPENSES MASTER'!$H:$H, "Magazzino",
  'EXPENSES MASTER'!$I:$I, "Si")</f>
        <v>0</v>
      </c>
      <c r="P48" s="72">
        <f>SUMIFS('EXPENSES MASTER'!$F:$F,
  'EXPENSES MASTER'!$G:$G, "LOGISTICA",
  'EXPENSES MASTER'!$A:$A, P$2,
  'EXPENSES MASTER'!$B:$B, P$3,
  'EXPENSES MASTER'!$H:$H, "Magazzino",
  'EXPENSES MASTER'!$I:$I, "Si")</f>
        <v>0</v>
      </c>
      <c r="Q48" s="72">
        <f>SUMIFS('EXPENSES MASTER'!$F:$F,
  'EXPENSES MASTER'!$G:$G, "LOGISTICA",
  'EXPENSES MASTER'!$A:$A, Q$2,
  'EXPENSES MASTER'!$B:$B, Q$3,
  'EXPENSES MASTER'!$H:$H, "Magazzino",
  'EXPENSES MASTER'!$I:$I, "Si")</f>
        <v>0</v>
      </c>
      <c r="R48" s="72">
        <f>SUMIFS('EXPENSES MASTER'!$F:$F,
  'EXPENSES MASTER'!$G:$G, "LOGISTICA",
  'EXPENSES MASTER'!$A:$A, R$2,
  'EXPENSES MASTER'!$B:$B, R$3,
  'EXPENSES MASTER'!$H:$H, "Magazzino",
  'EXPENSES MASTER'!$I:$I, "Si")</f>
        <v>0</v>
      </c>
      <c r="S48" s="45"/>
      <c r="T48" s="72">
        <f t="shared" si="26"/>
        <v>-910.29</v>
      </c>
    </row>
    <row r="49" ht="15.75" customHeight="1">
      <c r="A49" s="45"/>
      <c r="B49" s="46" t="str">
        <f t="shared" si="12"/>
        <v>FissiOPEX</v>
      </c>
      <c r="C49" s="58" t="s">
        <v>1628</v>
      </c>
      <c r="D49" s="58" t="s">
        <v>1633</v>
      </c>
      <c r="E49" s="59" t="s">
        <v>1648</v>
      </c>
      <c r="F49" s="110" t="s">
        <v>1653</v>
      </c>
      <c r="G49" s="72">
        <f t="shared" ref="G49:R49" si="27">SUM(G50:G54)</f>
        <v>0</v>
      </c>
      <c r="H49" s="72">
        <f t="shared" si="27"/>
        <v>-2.32</v>
      </c>
      <c r="I49" s="72">
        <f t="shared" si="27"/>
        <v>-1995.04</v>
      </c>
      <c r="J49" s="72">
        <f t="shared" si="27"/>
        <v>-1212.36</v>
      </c>
      <c r="K49" s="72">
        <f t="shared" si="27"/>
        <v>-3289.47</v>
      </c>
      <c r="L49" s="72">
        <f t="shared" si="27"/>
        <v>-1288.96</v>
      </c>
      <c r="M49" s="72">
        <f t="shared" si="27"/>
        <v>0</v>
      </c>
      <c r="N49" s="72">
        <f t="shared" si="27"/>
        <v>0</v>
      </c>
      <c r="O49" s="72">
        <f t="shared" si="27"/>
        <v>0</v>
      </c>
      <c r="P49" s="72">
        <f t="shared" si="27"/>
        <v>0</v>
      </c>
      <c r="Q49" s="72">
        <f t="shared" si="27"/>
        <v>0</v>
      </c>
      <c r="R49" s="72">
        <f t="shared" si="27"/>
        <v>0</v>
      </c>
      <c r="S49" s="45"/>
      <c r="T49" s="72">
        <f t="shared" si="26"/>
        <v>-7788.15</v>
      </c>
    </row>
    <row r="50" ht="15.75" customHeight="1" outlineLevel="1">
      <c r="A50" s="45"/>
      <c r="B50" s="46" t="str">
        <f t="shared" si="12"/>
        <v>Legale_Commercialista</v>
      </c>
      <c r="C50" s="111"/>
      <c r="D50" s="63"/>
      <c r="E50" s="112"/>
      <c r="F50" s="64" t="s">
        <v>1654</v>
      </c>
      <c r="G50" s="72">
        <f>SUMIFS('EXPENSES MASTER'!$F:$F,'EXPENSES MASTER'!$G:$G,CE_TOTALE!$F$49,'EXPENSES MASTER'!$A:$A,CE_TOTALE!G$2,'EXPENSES MASTER'!$B:$B,CE_TOTALE!G$3,'EXPENSES MASTER'!$H:$H,CE_TOTALE!$F50,'EXPENSES MASTER'!$I:$I, "Si")</f>
        <v>0</v>
      </c>
      <c r="H50" s="72">
        <f>SUMIFS('EXPENSES MASTER'!$F:$F,'EXPENSES MASTER'!$G:$G,CE_TOTALE!$F$49,'EXPENSES MASTER'!$A:$A,CE_TOTALE!H$2,'EXPENSES MASTER'!$B:$B,CE_TOTALE!H$3,'EXPENSES MASTER'!$H:$H,CE_TOTALE!$F50,'EXPENSES MASTER'!$I:$I, "Si")</f>
        <v>0</v>
      </c>
      <c r="I50" s="72">
        <f>SUMIFS('EXPENSES MASTER'!$F:$F,'EXPENSES MASTER'!$G:$G,CE_TOTALE!$F$49,'EXPENSES MASTER'!$A:$A,CE_TOTALE!I$2,'EXPENSES MASTER'!$B:$B,CE_TOTALE!I$3,'EXPENSES MASTER'!$H:$H,CE_TOTALE!$F50,'EXPENSES MASTER'!$I:$I, "Si")</f>
        <v>0</v>
      </c>
      <c r="J50" s="72">
        <f>SUMIFS('EXPENSES MASTER'!$F:$F,'EXPENSES MASTER'!$G:$G,CE_TOTALE!$F$49,'EXPENSES MASTER'!$A:$A,CE_TOTALE!J$2,'EXPENSES MASTER'!$B:$B,CE_TOTALE!J$3,'EXPENSES MASTER'!$H:$H,CE_TOTALE!$F50,'EXPENSES MASTER'!$I:$I, "Si")</f>
        <v>-1020.68</v>
      </c>
      <c r="K50" s="72">
        <f>SUMIFS('EXPENSES MASTER'!$F:$F,'EXPENSES MASTER'!$G:$G,CE_TOTALE!$F$49,'EXPENSES MASTER'!$A:$A,CE_TOTALE!K$2,'EXPENSES MASTER'!$B:$B,CE_TOTALE!K$3,'EXPENSES MASTER'!$H:$H,CE_TOTALE!$F50,'EXPENSES MASTER'!$I:$I, "Si")</f>
        <v>-2341</v>
      </c>
      <c r="L50" s="72">
        <f>SUMIFS('EXPENSES MASTER'!$F:$F,'EXPENSES MASTER'!$G:$G,CE_TOTALE!$F$49,'EXPENSES MASTER'!$A:$A,CE_TOTALE!L$2,'EXPENSES MASTER'!$B:$B,CE_TOTALE!L$3,'EXPENSES MASTER'!$H:$H,CE_TOTALE!$F50,'EXPENSES MASTER'!$I:$I, "Si")</f>
        <v>0</v>
      </c>
      <c r="M50" s="72">
        <f>SUMIFS('EXPENSES MASTER'!$F:$F,'EXPENSES MASTER'!$G:$G,CE_TOTALE!$F$49,'EXPENSES MASTER'!$A:$A,CE_TOTALE!M$2,'EXPENSES MASTER'!$B:$B,CE_TOTALE!M$3,'EXPENSES MASTER'!$H:$H,CE_TOTALE!$F50,'EXPENSES MASTER'!$I:$I, "Si")</f>
        <v>0</v>
      </c>
      <c r="N50" s="72">
        <f>SUMIFS('EXPENSES MASTER'!$F:$F,'EXPENSES MASTER'!$G:$G,CE_TOTALE!$F$49,'EXPENSES MASTER'!$A:$A,CE_TOTALE!N$2,'EXPENSES MASTER'!$B:$B,CE_TOTALE!N$3,'EXPENSES MASTER'!$H:$H,CE_TOTALE!$F50,'EXPENSES MASTER'!$I:$I, "Si")</f>
        <v>0</v>
      </c>
      <c r="O50" s="72">
        <f>SUMIFS('EXPENSES MASTER'!$F:$F,'EXPENSES MASTER'!$G:$G,CE_TOTALE!$F$49,'EXPENSES MASTER'!$A:$A,CE_TOTALE!O$2,'EXPENSES MASTER'!$B:$B,CE_TOTALE!O$3,'EXPENSES MASTER'!$H:$H,CE_TOTALE!$F50,'EXPENSES MASTER'!$I:$I, "Si")</f>
        <v>0</v>
      </c>
      <c r="P50" s="72">
        <f>SUMIFS('EXPENSES MASTER'!$F:$F,'EXPENSES MASTER'!$G:$G,CE_TOTALE!$F$49,'EXPENSES MASTER'!$A:$A,CE_TOTALE!P$2,'EXPENSES MASTER'!$B:$B,CE_TOTALE!P$3,'EXPENSES MASTER'!$H:$H,CE_TOTALE!$F50,'EXPENSES MASTER'!$I:$I, "Si")</f>
        <v>0</v>
      </c>
      <c r="Q50" s="72">
        <f>SUMIFS('EXPENSES MASTER'!$F:$F,'EXPENSES MASTER'!$G:$G,CE_TOTALE!$F$49,'EXPENSES MASTER'!$A:$A,CE_TOTALE!Q$2,'EXPENSES MASTER'!$B:$B,CE_TOTALE!Q$3,'EXPENSES MASTER'!$H:$H,CE_TOTALE!$F50,'EXPENSES MASTER'!$I:$I, "Si")</f>
        <v>0</v>
      </c>
      <c r="R50" s="72">
        <f>SUMIFS('EXPENSES MASTER'!$F:$F,'EXPENSES MASTER'!$G:$G,CE_TOTALE!$F$49,'EXPENSES MASTER'!$A:$A,CE_TOTALE!R$2,'EXPENSES MASTER'!$B:$B,CE_TOTALE!R$3,'EXPENSES MASTER'!$H:$H,CE_TOTALE!$F50,'EXPENSES MASTER'!$I:$I, "Si")</f>
        <v>0</v>
      </c>
      <c r="S50" s="45"/>
      <c r="T50" s="72">
        <f t="shared" si="26"/>
        <v>-3361.68</v>
      </c>
    </row>
    <row r="51" ht="15.0" customHeight="1" outlineLevel="1">
      <c r="A51" s="45"/>
      <c r="B51" s="46" t="str">
        <f t="shared" si="12"/>
        <v>Campionatura</v>
      </c>
      <c r="C51" s="111"/>
      <c r="D51" s="63"/>
      <c r="E51" s="112"/>
      <c r="F51" s="64" t="s">
        <v>1655</v>
      </c>
      <c r="G51" s="72">
        <f>SUMIFS('EXPENSES MASTER'!$F:$F,'EXPENSES MASTER'!$G:$G,CE_TOTALE!$F$49,'EXPENSES MASTER'!$A:$A,CE_TOTALE!G$2,'EXPENSES MASTER'!$B:$B,CE_TOTALE!G$3,'EXPENSES MASTER'!$H:$H,CE_TOTALE!$F51,'EXPENSES MASTER'!$I:$I, "Si")</f>
        <v>0</v>
      </c>
      <c r="H51" s="72">
        <f>SUMIFS('EXPENSES MASTER'!$F:$F,'EXPENSES MASTER'!$G:$G,CE_TOTALE!$F$49,'EXPENSES MASTER'!$A:$A,CE_TOTALE!H$2,'EXPENSES MASTER'!$B:$B,CE_TOTALE!H$3,'EXPENSES MASTER'!$H:$H,CE_TOTALE!$F51,'EXPENSES MASTER'!$I:$I, "Si")</f>
        <v>0</v>
      </c>
      <c r="I51" s="72">
        <f>SUMIFS('EXPENSES MASTER'!$F:$F,'EXPENSES MASTER'!$G:$G,CE_TOTALE!$F$49,'EXPENSES MASTER'!$A:$A,CE_TOTALE!I$2,'EXPENSES MASTER'!$B:$B,CE_TOTALE!I$3,'EXPENSES MASTER'!$H:$H,CE_TOTALE!$F51,'EXPENSES MASTER'!$I:$I, "Si")</f>
        <v>0</v>
      </c>
      <c r="J51" s="72">
        <f>SUMIFS('EXPENSES MASTER'!$F:$F,'EXPENSES MASTER'!$G:$G,CE_TOTALE!$F$49,'EXPENSES MASTER'!$A:$A,CE_TOTALE!J$2,'EXPENSES MASTER'!$B:$B,CE_TOTALE!J$3,'EXPENSES MASTER'!$H:$H,CE_TOTALE!$F51,'EXPENSES MASTER'!$I:$I, "Si")</f>
        <v>0</v>
      </c>
      <c r="K51" s="72">
        <f>SUMIFS('EXPENSES MASTER'!$F:$F,'EXPENSES MASTER'!$G:$G,CE_TOTALE!$F$49,'EXPENSES MASTER'!$A:$A,CE_TOTALE!K$2,'EXPENSES MASTER'!$B:$B,CE_TOTALE!K$3,'EXPENSES MASTER'!$H:$H,CE_TOTALE!$F51,'EXPENSES MASTER'!$I:$I, "Si")</f>
        <v>0</v>
      </c>
      <c r="L51" s="72">
        <f>SUMIFS('EXPENSES MASTER'!$F:$F,'EXPENSES MASTER'!$G:$G,CE_TOTALE!$F$49,'EXPENSES MASTER'!$A:$A,CE_TOTALE!L$2,'EXPENSES MASTER'!$B:$B,CE_TOTALE!L$3,'EXPENSES MASTER'!$H:$H,CE_TOTALE!$F51,'EXPENSES MASTER'!$I:$I, "Si")</f>
        <v>0</v>
      </c>
      <c r="M51" s="72">
        <f>SUMIFS('EXPENSES MASTER'!$F:$F,'EXPENSES MASTER'!$G:$G,CE_TOTALE!$F$49,'EXPENSES MASTER'!$A:$A,CE_TOTALE!M$2,'EXPENSES MASTER'!$B:$B,CE_TOTALE!M$3,'EXPENSES MASTER'!$H:$H,CE_TOTALE!$F51,'EXPENSES MASTER'!$I:$I, "Si")</f>
        <v>0</v>
      </c>
      <c r="N51" s="72">
        <f>SUMIFS('EXPENSES MASTER'!$F:$F,'EXPENSES MASTER'!$G:$G,CE_TOTALE!$F$49,'EXPENSES MASTER'!$A:$A,CE_TOTALE!N$2,'EXPENSES MASTER'!$B:$B,CE_TOTALE!N$3,'EXPENSES MASTER'!$H:$H,CE_TOTALE!$F51,'EXPENSES MASTER'!$I:$I, "Si")</f>
        <v>0</v>
      </c>
      <c r="O51" s="72">
        <f>SUMIFS('EXPENSES MASTER'!$F:$F,'EXPENSES MASTER'!$G:$G,CE_TOTALE!$F$49,'EXPENSES MASTER'!$A:$A,CE_TOTALE!O$2,'EXPENSES MASTER'!$B:$B,CE_TOTALE!O$3,'EXPENSES MASTER'!$H:$H,CE_TOTALE!$F51,'EXPENSES MASTER'!$I:$I, "Si")</f>
        <v>0</v>
      </c>
      <c r="P51" s="72">
        <f>SUMIFS('EXPENSES MASTER'!$F:$F,'EXPENSES MASTER'!$G:$G,CE_TOTALE!$F$49,'EXPENSES MASTER'!$A:$A,CE_TOTALE!P$2,'EXPENSES MASTER'!$B:$B,CE_TOTALE!P$3,'EXPENSES MASTER'!$H:$H,CE_TOTALE!$F51,'EXPENSES MASTER'!$I:$I, "Si")</f>
        <v>0</v>
      </c>
      <c r="Q51" s="72">
        <f>SUMIFS('EXPENSES MASTER'!$F:$F,'EXPENSES MASTER'!$G:$G,CE_TOTALE!$F$49,'EXPENSES MASTER'!$A:$A,CE_TOTALE!Q$2,'EXPENSES MASTER'!$B:$B,CE_TOTALE!Q$3,'EXPENSES MASTER'!$H:$H,CE_TOTALE!$F51,'EXPENSES MASTER'!$I:$I, "Si")</f>
        <v>0</v>
      </c>
      <c r="R51" s="72">
        <f>SUMIFS('EXPENSES MASTER'!$F:$F,'EXPENSES MASTER'!$G:$G,CE_TOTALE!$F$49,'EXPENSES MASTER'!$A:$A,CE_TOTALE!R$2,'EXPENSES MASTER'!$B:$B,CE_TOTALE!R$3,'EXPENSES MASTER'!$H:$H,CE_TOTALE!$F51,'EXPENSES MASTER'!$I:$I, "Si")</f>
        <v>0</v>
      </c>
      <c r="S51" s="45"/>
      <c r="T51" s="72">
        <f t="shared" si="26"/>
        <v>0</v>
      </c>
    </row>
    <row r="52" ht="15.75" customHeight="1" outlineLevel="1">
      <c r="A52" s="102"/>
      <c r="B52" s="46" t="s">
        <v>1656</v>
      </c>
      <c r="C52" s="111"/>
      <c r="D52" s="63"/>
      <c r="E52" s="112"/>
      <c r="F52" s="68" t="s">
        <v>1656</v>
      </c>
      <c r="G52" s="72">
        <f>SUMIFS('EXPENSES MASTER'!$F:$F,'EXPENSES MASTER'!$G:$G,CE_TOTALE!$F$49,'EXPENSES MASTER'!$A:$A,CE_TOTALE!G$2,'EXPENSES MASTER'!$B:$B,CE_TOTALE!G$3,'EXPENSES MASTER'!$H:$H,CE_TOTALE!$F52,'EXPENSES MASTER'!$I:$I, "Si")</f>
        <v>0</v>
      </c>
      <c r="H52" s="72">
        <f>SUMIFS('EXPENSES MASTER'!$F:$F,'EXPENSES MASTER'!$G:$G,CE_TOTALE!$F$49,'EXPENSES MASTER'!$A:$A,CE_TOTALE!H$2,'EXPENSES MASTER'!$B:$B,CE_TOTALE!H$3,'EXPENSES MASTER'!$H:$H,CE_TOTALE!$F52,'EXPENSES MASTER'!$I:$I, "Si")</f>
        <v>0</v>
      </c>
      <c r="I52" s="72">
        <f>SUMIFS('EXPENSES MASTER'!$F:$F,'EXPENSES MASTER'!$G:$G,CE_TOTALE!$F$49,'EXPENSES MASTER'!$A:$A,CE_TOTALE!I$2,'EXPENSES MASTER'!$B:$B,CE_TOTALE!I$3,'EXPENSES MASTER'!$H:$H,CE_TOTALE!$F52,'EXPENSES MASTER'!$I:$I, "Si")</f>
        <v>0</v>
      </c>
      <c r="J52" s="72">
        <f>SUMIFS('EXPENSES MASTER'!$F:$F,'EXPENSES MASTER'!$G:$G,CE_TOTALE!$F$49,'EXPENSES MASTER'!$A:$A,CE_TOTALE!J$2,'EXPENSES MASTER'!$B:$B,CE_TOTALE!J$3,'EXPENSES MASTER'!$H:$H,CE_TOTALE!$F52,'EXPENSES MASTER'!$I:$I, "Si")</f>
        <v>0</v>
      </c>
      <c r="K52" s="72">
        <f>SUMIFS('EXPENSES MASTER'!$F:$F,'EXPENSES MASTER'!$G:$G,CE_TOTALE!$F$49,'EXPENSES MASTER'!$A:$A,CE_TOTALE!K$2,'EXPENSES MASTER'!$B:$B,CE_TOTALE!K$3,'EXPENSES MASTER'!$H:$H,CE_TOTALE!$F52,'EXPENSES MASTER'!$I:$I, "Si")</f>
        <v>-19.76</v>
      </c>
      <c r="L52" s="72">
        <f>SUMIFS('EXPENSES MASTER'!$F:$F,'EXPENSES MASTER'!$G:$G,CE_TOTALE!$F$49,'EXPENSES MASTER'!$A:$A,CE_TOTALE!L$2,'EXPENSES MASTER'!$B:$B,CE_TOTALE!L$3,'EXPENSES MASTER'!$H:$H,CE_TOTALE!$F52,'EXPENSES MASTER'!$I:$I, "Si")</f>
        <v>-23.59</v>
      </c>
      <c r="M52" s="72">
        <f>SUMIFS('EXPENSES MASTER'!$F:$F,'EXPENSES MASTER'!$G:$G,CE_TOTALE!$F$49,'EXPENSES MASTER'!$A:$A,CE_TOTALE!M$2,'EXPENSES MASTER'!$B:$B,CE_TOTALE!M$3,'EXPENSES MASTER'!$H:$H,CE_TOTALE!$F52,'EXPENSES MASTER'!$I:$I, "Si")</f>
        <v>0</v>
      </c>
      <c r="N52" s="72">
        <f>SUMIFS('EXPENSES MASTER'!$F:$F,'EXPENSES MASTER'!$G:$G,CE_TOTALE!$F$49,'EXPENSES MASTER'!$A:$A,CE_TOTALE!N$2,'EXPENSES MASTER'!$B:$B,CE_TOTALE!N$3,'EXPENSES MASTER'!$H:$H,CE_TOTALE!$F52,'EXPENSES MASTER'!$I:$I, "Si")</f>
        <v>0</v>
      </c>
      <c r="O52" s="72">
        <f>SUMIFS('EXPENSES MASTER'!$F:$F,'EXPENSES MASTER'!$G:$G,CE_TOTALE!$F$49,'EXPENSES MASTER'!$A:$A,CE_TOTALE!O$2,'EXPENSES MASTER'!$B:$B,CE_TOTALE!O$3,'EXPENSES MASTER'!$H:$H,CE_TOTALE!$F52,'EXPENSES MASTER'!$I:$I, "Si")</f>
        <v>0</v>
      </c>
      <c r="P52" s="72">
        <f>SUMIFS('EXPENSES MASTER'!$F:$F,'EXPENSES MASTER'!$G:$G,CE_TOTALE!$F$49,'EXPENSES MASTER'!$A:$A,CE_TOTALE!P$2,'EXPENSES MASTER'!$B:$B,CE_TOTALE!P$3,'EXPENSES MASTER'!$H:$H,CE_TOTALE!$F52,'EXPENSES MASTER'!$I:$I, "Si")</f>
        <v>0</v>
      </c>
      <c r="Q52" s="72">
        <f>SUMIFS('EXPENSES MASTER'!$F:$F,'EXPENSES MASTER'!$G:$G,CE_TOTALE!$F$49,'EXPENSES MASTER'!$A:$A,CE_TOTALE!Q$2,'EXPENSES MASTER'!$B:$B,CE_TOTALE!Q$3,'EXPENSES MASTER'!$H:$H,CE_TOTALE!$F52,'EXPENSES MASTER'!$I:$I, "Si")</f>
        <v>0</v>
      </c>
      <c r="R52" s="72">
        <f>SUMIFS('EXPENSES MASTER'!$F:$F,'EXPENSES MASTER'!$G:$G,CE_TOTALE!$F$49,'EXPENSES MASTER'!$A:$A,CE_TOTALE!R$2,'EXPENSES MASTER'!$B:$B,CE_TOTALE!R$3,'EXPENSES MASTER'!$H:$H,CE_TOTALE!$F52,'EXPENSES MASTER'!$I:$I, "Si")</f>
        <v>0</v>
      </c>
      <c r="S52" s="72"/>
      <c r="T52" s="72">
        <f t="shared" si="26"/>
        <v>-43.35</v>
      </c>
    </row>
    <row r="53" ht="15.75" customHeight="1" outlineLevel="1">
      <c r="A53" s="102"/>
      <c r="B53" s="46" t="str">
        <f t="shared" ref="B53:B62" si="28">E53&amp;F53</f>
        <v>Vivaio</v>
      </c>
      <c r="C53" s="111"/>
      <c r="D53" s="63"/>
      <c r="E53" s="112"/>
      <c r="F53" s="64" t="s">
        <v>1657</v>
      </c>
      <c r="G53" s="72">
        <f>SUMIFS('EXPENSES MASTER'!$F:$F,'EXPENSES MASTER'!$G:$G,CE_TOTALE!$F$49,'EXPENSES MASTER'!$A:$A,CE_TOTALE!G$2,'EXPENSES MASTER'!$B:$B,CE_TOTALE!G$3,'EXPENSES MASTER'!$H:$H,CE_TOTALE!$F53,'EXPENSES MASTER'!$I:$I, "Si")</f>
        <v>0</v>
      </c>
      <c r="H53" s="72">
        <f>SUMIFS('EXPENSES MASTER'!$F:$F,'EXPENSES MASTER'!$G:$G,CE_TOTALE!$F$49,'EXPENSES MASTER'!$A:$A,CE_TOTALE!H$2,'EXPENSES MASTER'!$B:$B,CE_TOTALE!H$3,'EXPENSES MASTER'!$H:$H,CE_TOTALE!$F53,'EXPENSES MASTER'!$I:$I, "Si")</f>
        <v>0</v>
      </c>
      <c r="I53" s="72">
        <f>SUMIFS('EXPENSES MASTER'!$F:$F,'EXPENSES MASTER'!$G:$G,CE_TOTALE!$F$49,'EXPENSES MASTER'!$A:$A,CE_TOTALE!I$2,'EXPENSES MASTER'!$B:$B,CE_TOTALE!I$3,'EXPENSES MASTER'!$H:$H,CE_TOTALE!$F53,'EXPENSES MASTER'!$I:$I, "Si")</f>
        <v>0</v>
      </c>
      <c r="J53" s="72">
        <f>SUMIFS('EXPENSES MASTER'!$F:$F,'EXPENSES MASTER'!$G:$G,CE_TOTALE!$F$49,'EXPENSES MASTER'!$A:$A,CE_TOTALE!J$2,'EXPENSES MASTER'!$B:$B,CE_TOTALE!J$3,'EXPENSES MASTER'!$H:$H,CE_TOTALE!$F53,'EXPENSES MASTER'!$I:$I, "Si")</f>
        <v>0</v>
      </c>
      <c r="K53" s="72">
        <f>SUMIFS('EXPENSES MASTER'!$F:$F,'EXPENSES MASTER'!$G:$G,CE_TOTALE!$F$49,'EXPENSES MASTER'!$A:$A,CE_TOTALE!K$2,'EXPENSES MASTER'!$B:$B,CE_TOTALE!K$3,'EXPENSES MASTER'!$H:$H,CE_TOTALE!$F53,'EXPENSES MASTER'!$I:$I, "Si")</f>
        <v>0</v>
      </c>
      <c r="L53" s="120" t="s">
        <v>51</v>
      </c>
      <c r="M53" s="72">
        <f>SUMIFS('EXPENSES MASTER'!$F:$F,'EXPENSES MASTER'!$G:$G,CE_TOTALE!$F$49,'EXPENSES MASTER'!$A:$A,CE_TOTALE!M$2,'EXPENSES MASTER'!$B:$B,CE_TOTALE!M$3,'EXPENSES MASTER'!$H:$H,CE_TOTALE!$F53,'EXPENSES MASTER'!$I:$I, "Si")</f>
        <v>0</v>
      </c>
      <c r="N53" s="72">
        <f>SUMIFS('EXPENSES MASTER'!$F:$F,'EXPENSES MASTER'!$G:$G,CE_TOTALE!$F$49,'EXPENSES MASTER'!$A:$A,CE_TOTALE!N$2,'EXPENSES MASTER'!$B:$B,CE_TOTALE!N$3,'EXPENSES MASTER'!$H:$H,CE_TOTALE!$F53,'EXPENSES MASTER'!$I:$I, "Si")</f>
        <v>0</v>
      </c>
      <c r="O53" s="72">
        <f>SUMIFS('EXPENSES MASTER'!$F:$F,'EXPENSES MASTER'!$G:$G,CE_TOTALE!$F$49,'EXPENSES MASTER'!$A:$A,CE_TOTALE!O$2,'EXPENSES MASTER'!$B:$B,CE_TOTALE!O$3,'EXPENSES MASTER'!$H:$H,CE_TOTALE!$F53,'EXPENSES MASTER'!$I:$I, "Si")</f>
        <v>0</v>
      </c>
      <c r="P53" s="72">
        <f>SUMIFS('EXPENSES MASTER'!$F:$F,'EXPENSES MASTER'!$G:$G,CE_TOTALE!$F$49,'EXPENSES MASTER'!$A:$A,CE_TOTALE!P$2,'EXPENSES MASTER'!$B:$B,CE_TOTALE!P$3,'EXPENSES MASTER'!$H:$H,CE_TOTALE!$F53,'EXPENSES MASTER'!$I:$I, "Si")</f>
        <v>0</v>
      </c>
      <c r="Q53" s="72">
        <f>SUMIFS('EXPENSES MASTER'!$F:$F,'EXPENSES MASTER'!$G:$G,CE_TOTALE!$F$49,'EXPENSES MASTER'!$A:$A,CE_TOTALE!Q$2,'EXPENSES MASTER'!$B:$B,CE_TOTALE!Q$3,'EXPENSES MASTER'!$H:$H,CE_TOTALE!$F53,'EXPENSES MASTER'!$I:$I, "Si")</f>
        <v>0</v>
      </c>
      <c r="R53" s="72">
        <f>SUMIFS('EXPENSES MASTER'!$F:$F,'EXPENSES MASTER'!$G:$G,CE_TOTALE!$F$49,'EXPENSES MASTER'!$A:$A,CE_TOTALE!R$2,'EXPENSES MASTER'!$B:$B,CE_TOTALE!R$3,'EXPENSES MASTER'!$H:$H,CE_TOTALE!$F53,'EXPENSES MASTER'!$I:$I, "Si")</f>
        <v>0</v>
      </c>
      <c r="S53" s="45"/>
      <c r="T53" s="72">
        <f t="shared" si="26"/>
        <v>0</v>
      </c>
    </row>
    <row r="54" ht="15.75" customHeight="1" outlineLevel="1">
      <c r="A54" s="45"/>
      <c r="B54" s="46" t="str">
        <f t="shared" si="28"/>
        <v>Others</v>
      </c>
      <c r="C54" s="111"/>
      <c r="D54" s="63"/>
      <c r="E54" s="112"/>
      <c r="F54" s="64" t="s">
        <v>1658</v>
      </c>
      <c r="G54" s="72">
        <f>SUMIFS('EXPENSES MASTER'!$F:$F,'EXPENSES MASTER'!$G:$G,CE_TOTALE!$F$49,'EXPENSES MASTER'!$A:$A,CE_TOTALE!G$2,'EXPENSES MASTER'!$B:$B,CE_TOTALE!G$3,'EXPENSES MASTER'!$H:$H,CE_TOTALE!$F54,'EXPENSES MASTER'!$I:$I, "Si")</f>
        <v>0</v>
      </c>
      <c r="H54" s="72">
        <f>SUMIFS('EXPENSES MASTER'!$F:$F,'EXPENSES MASTER'!$G:$G,CE_TOTALE!$F$49,'EXPENSES MASTER'!$A:$A,CE_TOTALE!H$2,'EXPENSES MASTER'!$B:$B,CE_TOTALE!H$3,'EXPENSES MASTER'!$H:$H,CE_TOTALE!$F54,'EXPENSES MASTER'!$I:$I, "Si")</f>
        <v>-2.32</v>
      </c>
      <c r="I54" s="72">
        <f>SUMIFS('EXPENSES MASTER'!$F:$F,'EXPENSES MASTER'!$G:$G,CE_TOTALE!$F$49,'EXPENSES MASTER'!$A:$A,CE_TOTALE!I$2,'EXPENSES MASTER'!$B:$B,CE_TOTALE!I$3,'EXPENSES MASTER'!$H:$H,CE_TOTALE!$F54,'EXPENSES MASTER'!$I:$I, "Si")</f>
        <v>-1995.04</v>
      </c>
      <c r="J54" s="72">
        <f>SUMIFS('EXPENSES MASTER'!$F:$F,'EXPENSES MASTER'!$G:$G,CE_TOTALE!$F$49,'EXPENSES MASTER'!$A:$A,CE_TOTALE!J$2,'EXPENSES MASTER'!$B:$B,CE_TOTALE!J$3,'EXPENSES MASTER'!$H:$H,CE_TOTALE!$F54,'EXPENSES MASTER'!$I:$I, "Si")</f>
        <v>-191.68</v>
      </c>
      <c r="K54" s="72">
        <f>SUMIFS('EXPENSES MASTER'!$F:$F,'EXPENSES MASTER'!$G:$G,CE_TOTALE!$F$49,'EXPENSES MASTER'!$A:$A,CE_TOTALE!K$2,'EXPENSES MASTER'!$B:$B,CE_TOTALE!K$3,'EXPENSES MASTER'!$H:$H,CE_TOTALE!$F54,'EXPENSES MASTER'!$I:$I, "Si")</f>
        <v>-928.71</v>
      </c>
      <c r="L54" s="72">
        <f>SUMIFS('EXPENSES MASTER'!$F:$F,'EXPENSES MASTER'!$G:$G,CE_TOTALE!$F$49,'EXPENSES MASTER'!$A:$A,CE_TOTALE!L$2,'EXPENSES MASTER'!$B:$B,CE_TOTALE!L$3,'EXPENSES MASTER'!$H:$H,CE_TOTALE!$F54,'EXPENSES MASTER'!$I:$I, "Si")</f>
        <v>-1265.37</v>
      </c>
      <c r="M54" s="72">
        <f>SUMIFS('EXPENSES MASTER'!$F:$F,'EXPENSES MASTER'!$G:$G,CE_TOTALE!$F$49,'EXPENSES MASTER'!$A:$A,CE_TOTALE!M$2,'EXPENSES MASTER'!$B:$B,CE_TOTALE!M$3,'EXPENSES MASTER'!$H:$H,CE_TOTALE!$F54,'EXPENSES MASTER'!$I:$I, "Si")</f>
        <v>0</v>
      </c>
      <c r="N54" s="72">
        <f>SUMIFS('EXPENSES MASTER'!$F:$F,'EXPENSES MASTER'!$G:$G,CE_TOTALE!$F$49,'EXPENSES MASTER'!$A:$A,CE_TOTALE!N$2,'EXPENSES MASTER'!$B:$B,CE_TOTALE!N$3,'EXPENSES MASTER'!$H:$H,CE_TOTALE!$F54,'EXPENSES MASTER'!$I:$I, "Si")</f>
        <v>0</v>
      </c>
      <c r="O54" s="72">
        <f>SUMIFS('EXPENSES MASTER'!$F:$F,'EXPENSES MASTER'!$G:$G,CE_TOTALE!$F$49,'EXPENSES MASTER'!$A:$A,CE_TOTALE!O$2,'EXPENSES MASTER'!$B:$B,CE_TOTALE!O$3,'EXPENSES MASTER'!$H:$H,CE_TOTALE!$F54,'EXPENSES MASTER'!$I:$I, "Si")</f>
        <v>0</v>
      </c>
      <c r="P54" s="72">
        <f>SUMIFS('EXPENSES MASTER'!$F:$F,'EXPENSES MASTER'!$G:$G,CE_TOTALE!$F$49,'EXPENSES MASTER'!$A:$A,CE_TOTALE!P$2,'EXPENSES MASTER'!$B:$B,CE_TOTALE!P$3,'EXPENSES MASTER'!$H:$H,CE_TOTALE!$F54,'EXPENSES MASTER'!$I:$I, "Si")</f>
        <v>0</v>
      </c>
      <c r="Q54" s="72">
        <f>SUMIFS('EXPENSES MASTER'!$F:$F,'EXPENSES MASTER'!$G:$G,CE_TOTALE!$F$49,'EXPENSES MASTER'!$A:$A,CE_TOTALE!Q$2,'EXPENSES MASTER'!$B:$B,CE_TOTALE!Q$3,'EXPENSES MASTER'!$H:$H,CE_TOTALE!$F54,'EXPENSES MASTER'!$I:$I, "Si")</f>
        <v>0</v>
      </c>
      <c r="R54" s="72">
        <f>SUMIFS('EXPENSES MASTER'!$F:$F,'EXPENSES MASTER'!$G:$G,CE_TOTALE!$F$49,'EXPENSES MASTER'!$A:$A,CE_TOTALE!R$2,'EXPENSES MASTER'!$B:$B,CE_TOTALE!R$3,'EXPENSES MASTER'!$H:$H,CE_TOTALE!$F54,'EXPENSES MASTER'!$I:$I, "Si")</f>
        <v>0</v>
      </c>
      <c r="S54" s="45"/>
      <c r="T54" s="72">
        <f t="shared" si="26"/>
        <v>-4383.12</v>
      </c>
    </row>
    <row r="55" ht="15.75" customHeight="1">
      <c r="A55" s="45"/>
      <c r="B55" s="46" t="str">
        <f t="shared" si="28"/>
        <v>FissiEVENTI</v>
      </c>
      <c r="C55" s="58" t="s">
        <v>1628</v>
      </c>
      <c r="D55" s="58" t="s">
        <v>1633</v>
      </c>
      <c r="E55" s="59" t="s">
        <v>1648</v>
      </c>
      <c r="F55" s="110" t="s">
        <v>1659</v>
      </c>
      <c r="G55" s="72">
        <f>SUMIFS('EXPENSES MASTER'!$F:$F,'EXPENSES MASTER'!$G:$G,CE_TOTALE!$F$55,'EXPENSES MASTER'!$A:$A,CE_TOTALE!G$2,'EXPENSES MASTER'!$B:$B,CE_TOTALE!G$3,'EXPENSES MASTER'!$I:$I, "Si")</f>
        <v>0</v>
      </c>
      <c r="H55" s="72">
        <f>SUMIFS('EXPENSES MASTER'!$F:$F,'EXPENSES MASTER'!$G:$G,CE_TOTALE!$F$55,'EXPENSES MASTER'!$A:$A,CE_TOTALE!H$2,'EXPENSES MASTER'!$B:$B,CE_TOTALE!H$3,'EXPENSES MASTER'!$I:$I, "Si")</f>
        <v>0</v>
      </c>
      <c r="I55" s="72">
        <f>SUMIFS('EXPENSES MASTER'!$F:$F,'EXPENSES MASTER'!$G:$G,CE_TOTALE!$F$55,'EXPENSES MASTER'!$A:$A,CE_TOTALE!I$2,'EXPENSES MASTER'!$B:$B,CE_TOTALE!I$3,'EXPENSES MASTER'!$I:$I, "Si")</f>
        <v>0</v>
      </c>
      <c r="J55" s="72">
        <f>SUMIFS('EXPENSES MASTER'!$F:$F,'EXPENSES MASTER'!$G:$G,CE_TOTALE!$F$55,'EXPENSES MASTER'!$A:$A,CE_TOTALE!J$2,'EXPENSES MASTER'!$B:$B,CE_TOTALE!J$3,'EXPENSES MASTER'!$I:$I, "Si")</f>
        <v>0</v>
      </c>
      <c r="K55" s="72">
        <f>SUMIFS('EXPENSES MASTER'!$F:$F,'EXPENSES MASTER'!$G:$G,CE_TOTALE!$F$55,'EXPENSES MASTER'!$A:$A,CE_TOTALE!K$2,'EXPENSES MASTER'!$B:$B,CE_TOTALE!K$3,'EXPENSES MASTER'!$I:$I, "Si")</f>
        <v>0</v>
      </c>
      <c r="L55" s="72">
        <f>SUMIFS('EXPENSES MASTER'!$F:$F,'EXPENSES MASTER'!$G:$G,CE_TOTALE!$F$55,'EXPENSES MASTER'!$A:$A,CE_TOTALE!L$2,'EXPENSES MASTER'!$B:$B,CE_TOTALE!L$3,'EXPENSES MASTER'!$I:$I, "Si")</f>
        <v>0</v>
      </c>
      <c r="M55" s="72">
        <f>SUMIFS('EXPENSES MASTER'!$F:$F,'EXPENSES MASTER'!$G:$G,CE_TOTALE!$F$55,'EXPENSES MASTER'!$A:$A,CE_TOTALE!M$2,'EXPENSES MASTER'!$B:$B,CE_TOTALE!M$3,'EXPENSES MASTER'!$I:$I, "Si")</f>
        <v>0</v>
      </c>
      <c r="N55" s="72">
        <f>SUMIFS('EXPENSES MASTER'!$F:$F,'EXPENSES MASTER'!$G:$G,CE_TOTALE!$F$55,'EXPENSES MASTER'!$A:$A,CE_TOTALE!N$2,'EXPENSES MASTER'!$B:$B,CE_TOTALE!N$3,'EXPENSES MASTER'!$I:$I, "Si")</f>
        <v>0</v>
      </c>
      <c r="O55" s="72">
        <f>SUMIFS('EXPENSES MASTER'!$F:$F,'EXPENSES MASTER'!$G:$G,CE_TOTALE!$F$55,'EXPENSES MASTER'!$A:$A,CE_TOTALE!O$2,'EXPENSES MASTER'!$B:$B,CE_TOTALE!O$3,'EXPENSES MASTER'!$I:$I, "Si")</f>
        <v>0</v>
      </c>
      <c r="P55" s="72">
        <f>SUMIFS('EXPENSES MASTER'!$F:$F,'EXPENSES MASTER'!$G:$G,CE_TOTALE!$F$55,'EXPENSES MASTER'!$A:$A,CE_TOTALE!P$2,'EXPENSES MASTER'!$B:$B,CE_TOTALE!P$3,'EXPENSES MASTER'!$I:$I, "Si")</f>
        <v>0</v>
      </c>
      <c r="Q55" s="72">
        <f>SUMIFS('EXPENSES MASTER'!$F:$F,'EXPENSES MASTER'!$G:$G,CE_TOTALE!$F$55,'EXPENSES MASTER'!$A:$A,CE_TOTALE!Q$2,'EXPENSES MASTER'!$B:$B,CE_TOTALE!Q$3,'EXPENSES MASTER'!$I:$I, "Si")</f>
        <v>0</v>
      </c>
      <c r="R55" s="72">
        <f>SUMIFS('EXPENSES MASTER'!$F:$F,'EXPENSES MASTER'!$G:$G,CE_TOTALE!$F$55,'EXPENSES MASTER'!$A:$A,CE_TOTALE!R$2,'EXPENSES MASTER'!$B:$B,CE_TOTALE!R$3,'EXPENSES MASTER'!$I:$I, "Si")</f>
        <v>0</v>
      </c>
      <c r="S55" s="45"/>
      <c r="T55" s="72">
        <f t="shared" si="26"/>
        <v>0</v>
      </c>
    </row>
    <row r="56" ht="15.75" customHeight="1">
      <c r="A56" s="45"/>
      <c r="B56" s="46" t="str">
        <f t="shared" si="28"/>
        <v>FissiMARKETING</v>
      </c>
      <c r="C56" s="58" t="s">
        <v>1628</v>
      </c>
      <c r="D56" s="58" t="s">
        <v>1633</v>
      </c>
      <c r="E56" s="59" t="s">
        <v>1648</v>
      </c>
      <c r="F56" s="108" t="s">
        <v>1660</v>
      </c>
      <c r="G56" s="72">
        <f t="shared" ref="G56:R56" si="29">SUM(G57:G59)</f>
        <v>0</v>
      </c>
      <c r="H56" s="72">
        <f t="shared" si="29"/>
        <v>-68.13</v>
      </c>
      <c r="I56" s="72">
        <f t="shared" si="29"/>
        <v>-444.47</v>
      </c>
      <c r="J56" s="72">
        <f t="shared" si="29"/>
        <v>-3088.14</v>
      </c>
      <c r="K56" s="72">
        <f t="shared" si="29"/>
        <v>-1742.97</v>
      </c>
      <c r="L56" s="72">
        <f t="shared" si="29"/>
        <v>-795.18</v>
      </c>
      <c r="M56" s="72">
        <f t="shared" si="29"/>
        <v>0</v>
      </c>
      <c r="N56" s="72">
        <f t="shared" si="29"/>
        <v>0</v>
      </c>
      <c r="O56" s="72">
        <f t="shared" si="29"/>
        <v>0</v>
      </c>
      <c r="P56" s="72">
        <f t="shared" si="29"/>
        <v>0</v>
      </c>
      <c r="Q56" s="72">
        <f t="shared" si="29"/>
        <v>0</v>
      </c>
      <c r="R56" s="72">
        <f t="shared" si="29"/>
        <v>0</v>
      </c>
      <c r="S56" s="45"/>
      <c r="T56" s="72">
        <f t="shared" si="26"/>
        <v>-6138.89</v>
      </c>
    </row>
    <row r="57" ht="15.75" customHeight="1" outlineLevel="1">
      <c r="A57" s="45"/>
      <c r="B57" s="46" t="str">
        <f t="shared" si="28"/>
        <v>Shooting</v>
      </c>
      <c r="C57" s="111"/>
      <c r="D57" s="63"/>
      <c r="E57" s="112"/>
      <c r="F57" s="64" t="s">
        <v>1661</v>
      </c>
      <c r="G57" s="72">
        <f>SUMIFS('EXPENSES MASTER'!$F:$F,'EXPENSES MASTER'!$G:$G,CE_TOTALE!$F$56,'EXPENSES MASTER'!$A:$A,CE_TOTALE!G$2,'EXPENSES MASTER'!$B:$B,CE_TOTALE!G$3,'EXPENSES MASTER'!$H:$H,CE_TOTALE!$F57,'EXPENSES MASTER'!$I:$I, "Si")</f>
        <v>0</v>
      </c>
      <c r="H57" s="72">
        <f>SUMIFS('EXPENSES MASTER'!$F:$F,'EXPENSES MASTER'!$G:$G,CE_TOTALE!$F$56,'EXPENSES MASTER'!$A:$A,CE_TOTALE!H$2,'EXPENSES MASTER'!$B:$B,CE_TOTALE!H$3,'EXPENSES MASTER'!$H:$H,CE_TOTALE!$F57,'EXPENSES MASTER'!$I:$I, "Si")</f>
        <v>0</v>
      </c>
      <c r="I57" s="72">
        <f>SUMIFS('EXPENSES MASTER'!$F:$F,'EXPENSES MASTER'!$G:$G,CE_TOTALE!$F$56,'EXPENSES MASTER'!$A:$A,CE_TOTALE!I$2,'EXPENSES MASTER'!$B:$B,CE_TOTALE!I$3,'EXPENSES MASTER'!$H:$H,CE_TOTALE!$F57,'EXPENSES MASTER'!$I:$I, "Si")</f>
        <v>0</v>
      </c>
      <c r="J57" s="72">
        <f>SUMIFS('EXPENSES MASTER'!$F:$F,'EXPENSES MASTER'!$G:$G,CE_TOTALE!$F$56,'EXPENSES MASTER'!$A:$A,CE_TOTALE!J$2,'EXPENSES MASTER'!$B:$B,CE_TOTALE!J$3,'EXPENSES MASTER'!$H:$H,CE_TOTALE!$F57,'EXPENSES MASTER'!$I:$I, "Si")</f>
        <v>-1366.4</v>
      </c>
      <c r="K57" s="72">
        <f>SUMIFS('EXPENSES MASTER'!$F:$F,'EXPENSES MASTER'!$G:$G,CE_TOTALE!$F$56,'EXPENSES MASTER'!$A:$A,CE_TOTALE!K$2,'EXPENSES MASTER'!$B:$B,CE_TOTALE!K$3,'EXPENSES MASTER'!$H:$H,CE_TOTALE!$F57,'EXPENSES MASTER'!$I:$I, "Si")</f>
        <v>0</v>
      </c>
      <c r="L57" s="72">
        <f>SUMIFS('EXPENSES MASTER'!$F:$F,'EXPENSES MASTER'!$G:$G,CE_TOTALE!$F$56,'EXPENSES MASTER'!$A:$A,CE_TOTALE!L$2,'EXPENSES MASTER'!$B:$B,CE_TOTALE!L$3,'EXPENSES MASTER'!$H:$H,CE_TOTALE!$F57,'EXPENSES MASTER'!$I:$I, "Si")</f>
        <v>-707.6</v>
      </c>
      <c r="M57" s="72">
        <f>SUMIFS('EXPENSES MASTER'!$F:$F,'EXPENSES MASTER'!$G:$G,CE_TOTALE!$F$56,'EXPENSES MASTER'!$A:$A,CE_TOTALE!M$2,'EXPENSES MASTER'!$B:$B,CE_TOTALE!M$3,'EXPENSES MASTER'!$H:$H,CE_TOTALE!$F57,'EXPENSES MASTER'!$I:$I, "Si")</f>
        <v>0</v>
      </c>
      <c r="N57" s="72">
        <f>SUMIFS('EXPENSES MASTER'!$F:$F,'EXPENSES MASTER'!$G:$G,CE_TOTALE!$F$56,'EXPENSES MASTER'!$A:$A,CE_TOTALE!N$2,'EXPENSES MASTER'!$B:$B,CE_TOTALE!N$3,'EXPENSES MASTER'!$H:$H,CE_TOTALE!$F57,'EXPENSES MASTER'!$I:$I, "Si")</f>
        <v>0</v>
      </c>
      <c r="O57" s="72">
        <f>SUMIFS('EXPENSES MASTER'!$F:$F,'EXPENSES MASTER'!$G:$G,CE_TOTALE!$F$56,'EXPENSES MASTER'!$A:$A,CE_TOTALE!O$2,'EXPENSES MASTER'!$B:$B,CE_TOTALE!O$3,'EXPENSES MASTER'!$H:$H,CE_TOTALE!$F57,'EXPENSES MASTER'!$I:$I, "Si")</f>
        <v>0</v>
      </c>
      <c r="P57" s="72">
        <f>SUMIFS('EXPENSES MASTER'!$F:$F,'EXPENSES MASTER'!$G:$G,CE_TOTALE!$F$56,'EXPENSES MASTER'!$A:$A,CE_TOTALE!P$2,'EXPENSES MASTER'!$B:$B,CE_TOTALE!P$3,'EXPENSES MASTER'!$H:$H,CE_TOTALE!$F57,'EXPENSES MASTER'!$I:$I, "Si")</f>
        <v>0</v>
      </c>
      <c r="Q57" s="72">
        <f>SUMIFS('EXPENSES MASTER'!$F:$F,'EXPENSES MASTER'!$G:$G,CE_TOTALE!$F$56,'EXPENSES MASTER'!$A:$A,CE_TOTALE!Q$2,'EXPENSES MASTER'!$B:$B,CE_TOTALE!Q$3,'EXPENSES MASTER'!$H:$H,CE_TOTALE!$F57,'EXPENSES MASTER'!$I:$I, "Si")</f>
        <v>0</v>
      </c>
      <c r="R57" s="72">
        <f>SUMIFS('EXPENSES MASTER'!$F:$F,'EXPENSES MASTER'!$G:$G,CE_TOTALE!$F$56,'EXPENSES MASTER'!$A:$A,CE_TOTALE!R$2,'EXPENSES MASTER'!$B:$B,CE_TOTALE!R$3,'EXPENSES MASTER'!$H:$H,CE_TOTALE!$F57,'EXPENSES MASTER'!$I:$I, "Si")</f>
        <v>0</v>
      </c>
      <c r="S57" s="45"/>
      <c r="T57" s="72">
        <f t="shared" si="26"/>
        <v>-2074</v>
      </c>
    </row>
    <row r="58" ht="15.75" customHeight="1" outlineLevel="1">
      <c r="A58" s="45"/>
      <c r="B58" s="46" t="str">
        <f t="shared" si="28"/>
        <v>Meta Ads</v>
      </c>
      <c r="C58" s="111"/>
      <c r="D58" s="63"/>
      <c r="E58" s="112"/>
      <c r="F58" s="64" t="s">
        <v>1662</v>
      </c>
      <c r="G58" s="72">
        <f>SUMIFS('EXPENSES MASTER'!$F:$F,'EXPENSES MASTER'!$G:$G,CE_TOTALE!$F$56,'EXPENSES MASTER'!$A:$A,CE_TOTALE!G$2,'EXPENSES MASTER'!$B:$B,CE_TOTALE!G$3,'EXPENSES MASTER'!$H:$H,CE_TOTALE!$F58,'EXPENSES MASTER'!$I:$I, "Si")</f>
        <v>0</v>
      </c>
      <c r="H58" s="72">
        <f>SUMIFS('EXPENSES MASTER'!$F:$F,'EXPENSES MASTER'!$G:$G,CE_TOTALE!$F$56,'EXPENSES MASTER'!$A:$A,CE_TOTALE!H$2,'EXPENSES MASTER'!$B:$B,CE_TOTALE!H$3,'EXPENSES MASTER'!$H:$H,CE_TOTALE!$F58,'EXPENSES MASTER'!$I:$I, "Si")</f>
        <v>0</v>
      </c>
      <c r="I58" s="72">
        <f>SUMIFS('EXPENSES MASTER'!$F:$F,'EXPENSES MASTER'!$G:$G,CE_TOTALE!$F$56,'EXPENSES MASTER'!$A:$A,CE_TOTALE!I$2,'EXPENSES MASTER'!$B:$B,CE_TOTALE!I$3,'EXPENSES MASTER'!$H:$H,CE_TOTALE!$F58,'EXPENSES MASTER'!$I:$I, "Si")</f>
        <v>-375.05</v>
      </c>
      <c r="J58" s="72">
        <f>SUMIFS('EXPENSES MASTER'!$F:$F,'EXPENSES MASTER'!$G:$G,CE_TOTALE!$F$56,'EXPENSES MASTER'!$A:$A,CE_TOTALE!J$2,'EXPENSES MASTER'!$B:$B,CE_TOTALE!J$3,'EXPENSES MASTER'!$H:$H,CE_TOTALE!$F58,'EXPENSES MASTER'!$I:$I, "Si")</f>
        <v>-43.46</v>
      </c>
      <c r="K58" s="72">
        <f>SUMIFS('EXPENSES MASTER'!$F:$F,'EXPENSES MASTER'!$G:$G,CE_TOTALE!$F$56,'EXPENSES MASTER'!$A:$A,CE_TOTALE!K$2,'EXPENSES MASTER'!$B:$B,CE_TOTALE!K$3,'EXPENSES MASTER'!$H:$H,CE_TOTALE!$F58,'EXPENSES MASTER'!$I:$I, "Si")</f>
        <v>-649.71</v>
      </c>
      <c r="L58" s="72">
        <f>SUMIFS('EXPENSES MASTER'!$F:$F,'EXPENSES MASTER'!$G:$G,CE_TOTALE!$F$56,'EXPENSES MASTER'!$A:$A,CE_TOTALE!L$2,'EXPENSES MASTER'!$B:$B,CE_TOTALE!L$3,'EXPENSES MASTER'!$H:$H,CE_TOTALE!$F58,'EXPENSES MASTER'!$I:$I, "Si")</f>
        <v>0</v>
      </c>
      <c r="M58" s="72">
        <f>SUMIFS('EXPENSES MASTER'!$F:$F,'EXPENSES MASTER'!$G:$G,CE_TOTALE!$F$56,'EXPENSES MASTER'!$A:$A,CE_TOTALE!M$2,'EXPENSES MASTER'!$B:$B,CE_TOTALE!M$3,'EXPENSES MASTER'!$H:$H,CE_TOTALE!$F58,'EXPENSES MASTER'!$I:$I, "Si")</f>
        <v>0</v>
      </c>
      <c r="N58" s="72">
        <f>SUMIFS('EXPENSES MASTER'!$F:$F,'EXPENSES MASTER'!$G:$G,CE_TOTALE!$F$56,'EXPENSES MASTER'!$A:$A,CE_TOTALE!N$2,'EXPENSES MASTER'!$B:$B,CE_TOTALE!N$3,'EXPENSES MASTER'!$H:$H,CE_TOTALE!$F58,'EXPENSES MASTER'!$I:$I, "Si")</f>
        <v>0</v>
      </c>
      <c r="O58" s="72">
        <f>SUMIFS('EXPENSES MASTER'!$F:$F,'EXPENSES MASTER'!$G:$G,CE_TOTALE!$F$56,'EXPENSES MASTER'!$A:$A,CE_TOTALE!O$2,'EXPENSES MASTER'!$B:$B,CE_TOTALE!O$3,'EXPENSES MASTER'!$H:$H,CE_TOTALE!$F58,'EXPENSES MASTER'!$I:$I, "Si")</f>
        <v>0</v>
      </c>
      <c r="P58" s="72">
        <f>SUMIFS('EXPENSES MASTER'!$F:$F,'EXPENSES MASTER'!$G:$G,CE_TOTALE!$F$56,'EXPENSES MASTER'!$A:$A,CE_TOTALE!P$2,'EXPENSES MASTER'!$B:$B,CE_TOTALE!P$3,'EXPENSES MASTER'!$H:$H,CE_TOTALE!$F58,'EXPENSES MASTER'!$I:$I, "Si")</f>
        <v>0</v>
      </c>
      <c r="Q58" s="72">
        <f>SUMIFS('EXPENSES MASTER'!$F:$F,'EXPENSES MASTER'!$G:$G,CE_TOTALE!$F$56,'EXPENSES MASTER'!$A:$A,CE_TOTALE!Q$2,'EXPENSES MASTER'!$B:$B,CE_TOTALE!Q$3,'EXPENSES MASTER'!$H:$H,CE_TOTALE!$F58,'EXPENSES MASTER'!$I:$I, "Si")</f>
        <v>0</v>
      </c>
      <c r="R58" s="72">
        <f>SUMIFS('EXPENSES MASTER'!$F:$F,'EXPENSES MASTER'!$G:$G,CE_TOTALE!$F$56,'EXPENSES MASTER'!$A:$A,CE_TOTALE!R$2,'EXPENSES MASTER'!$B:$B,CE_TOTALE!R$3,'EXPENSES MASTER'!$H:$H,CE_TOTALE!$F58,'EXPENSES MASTER'!$I:$I, "Si")</f>
        <v>0</v>
      </c>
      <c r="S58" s="45"/>
      <c r="T58" s="72">
        <f t="shared" si="26"/>
        <v>-1068.22</v>
      </c>
    </row>
    <row r="59" ht="15.75" customHeight="1" outlineLevel="1">
      <c r="A59" s="45"/>
      <c r="B59" s="46" t="str">
        <f t="shared" si="28"/>
        <v>Others</v>
      </c>
      <c r="C59" s="111"/>
      <c r="D59" s="63"/>
      <c r="E59" s="112"/>
      <c r="F59" s="64" t="s">
        <v>1658</v>
      </c>
      <c r="G59" s="72">
        <f>SUMIFS('EXPENSES MASTER'!$F:$F,'EXPENSES MASTER'!$G:$G,CE_TOTALE!$F$56,'EXPENSES MASTER'!$A:$A,CE_TOTALE!G$2,'EXPENSES MASTER'!$B:$B,CE_TOTALE!G$3,'EXPENSES MASTER'!$H:$H,CE_TOTALE!$F59,'EXPENSES MASTER'!$I:$I, "Si")</f>
        <v>0</v>
      </c>
      <c r="H59" s="72">
        <f>SUMIFS('EXPENSES MASTER'!$F:$F,'EXPENSES MASTER'!$G:$G,CE_TOTALE!$F$56,'EXPENSES MASTER'!$A:$A,CE_TOTALE!H$2,'EXPENSES MASTER'!$B:$B,CE_TOTALE!H$3,'EXPENSES MASTER'!$H:$H,CE_TOTALE!$F59,'EXPENSES MASTER'!$I:$I, "Si")</f>
        <v>-68.13</v>
      </c>
      <c r="I59" s="72">
        <f>SUMIFS('EXPENSES MASTER'!$F:$F,'EXPENSES MASTER'!$G:$G,CE_TOTALE!$F$56,'EXPENSES MASTER'!$A:$A,CE_TOTALE!I$2,'EXPENSES MASTER'!$B:$B,CE_TOTALE!I$3,'EXPENSES MASTER'!$H:$H,CE_TOTALE!$F59,'EXPENSES MASTER'!$I:$I, "Si")</f>
        <v>-69.42</v>
      </c>
      <c r="J59" s="72">
        <f>SUMIFS('EXPENSES MASTER'!$F:$F,'EXPENSES MASTER'!$G:$G,CE_TOTALE!$F$56,'EXPENSES MASTER'!$A:$A,CE_TOTALE!J$2,'EXPENSES MASTER'!$B:$B,CE_TOTALE!J$3,'EXPENSES MASTER'!$H:$H,CE_TOTALE!$F59,'EXPENSES MASTER'!$I:$I, "Si")</f>
        <v>-1678.28</v>
      </c>
      <c r="K59" s="72">
        <f>SUMIFS('EXPENSES MASTER'!$F:$F,'EXPENSES MASTER'!$G:$G,CE_TOTALE!$F$56,'EXPENSES MASTER'!$A:$A,CE_TOTALE!K$2,'EXPENSES MASTER'!$B:$B,CE_TOTALE!K$3,'EXPENSES MASTER'!$H:$H,CE_TOTALE!$F59,'EXPENSES MASTER'!$I:$I, "Si")</f>
        <v>-1093.26</v>
      </c>
      <c r="L59" s="72">
        <f>SUMIFS('EXPENSES MASTER'!$F:$F,'EXPENSES MASTER'!$G:$G,CE_TOTALE!$F$56,'EXPENSES MASTER'!$A:$A,CE_TOTALE!L$2,'EXPENSES MASTER'!$B:$B,CE_TOTALE!L$3,'EXPENSES MASTER'!$H:$H,CE_TOTALE!$F59,'EXPENSES MASTER'!$I:$I, "Si")</f>
        <v>-87.58</v>
      </c>
      <c r="M59" s="72">
        <f>SUMIFS('EXPENSES MASTER'!$F:$F,'EXPENSES MASTER'!$G:$G,CE_TOTALE!$F$56,'EXPENSES MASTER'!$A:$A,CE_TOTALE!M$2,'EXPENSES MASTER'!$B:$B,CE_TOTALE!M$3,'EXPENSES MASTER'!$H:$H,CE_TOTALE!$F59,'EXPENSES MASTER'!$I:$I, "Si")</f>
        <v>0</v>
      </c>
      <c r="N59" s="72">
        <f>SUMIFS('EXPENSES MASTER'!$F:$F,'EXPENSES MASTER'!$G:$G,CE_TOTALE!$F$56,'EXPENSES MASTER'!$A:$A,CE_TOTALE!N$2,'EXPENSES MASTER'!$B:$B,CE_TOTALE!N$3,'EXPENSES MASTER'!$H:$H,CE_TOTALE!$F59,'EXPENSES MASTER'!$I:$I, "Si")</f>
        <v>0</v>
      </c>
      <c r="O59" s="72">
        <f>SUMIFS('EXPENSES MASTER'!$F:$F,'EXPENSES MASTER'!$G:$G,CE_TOTALE!$F$56,'EXPENSES MASTER'!$A:$A,CE_TOTALE!O$2,'EXPENSES MASTER'!$B:$B,CE_TOTALE!O$3,'EXPENSES MASTER'!$H:$H,CE_TOTALE!$F59,'EXPENSES MASTER'!$I:$I, "Si")</f>
        <v>0</v>
      </c>
      <c r="P59" s="72">
        <f>SUMIFS('EXPENSES MASTER'!$F:$F,'EXPENSES MASTER'!$G:$G,CE_TOTALE!$F$56,'EXPENSES MASTER'!$A:$A,CE_TOTALE!P$2,'EXPENSES MASTER'!$B:$B,CE_TOTALE!P$3,'EXPENSES MASTER'!$H:$H,CE_TOTALE!$F59,'EXPENSES MASTER'!$I:$I, "Si")</f>
        <v>0</v>
      </c>
      <c r="Q59" s="72">
        <f>SUMIFS('EXPENSES MASTER'!$F:$F,'EXPENSES MASTER'!$G:$G,CE_TOTALE!$F$56,'EXPENSES MASTER'!$A:$A,CE_TOTALE!Q$2,'EXPENSES MASTER'!$B:$B,CE_TOTALE!Q$3,'EXPENSES MASTER'!$H:$H,CE_TOTALE!$F59,'EXPENSES MASTER'!$I:$I, "Si")</f>
        <v>0</v>
      </c>
      <c r="R59" s="72">
        <f>SUMIFS('EXPENSES MASTER'!$F:$F,'EXPENSES MASTER'!$G:$G,CE_TOTALE!$F$56,'EXPENSES MASTER'!$A:$A,CE_TOTALE!R$2,'EXPENSES MASTER'!$B:$B,CE_TOTALE!R$3,'EXPENSES MASTER'!$H:$H,CE_TOTALE!$F59,'EXPENSES MASTER'!$I:$I, "Si")</f>
        <v>0</v>
      </c>
      <c r="S59" s="45"/>
      <c r="T59" s="72">
        <f t="shared" si="26"/>
        <v>-2996.67</v>
      </c>
    </row>
    <row r="60" ht="15.75" customHeight="1">
      <c r="A60" s="45"/>
      <c r="B60" s="46" t="str">
        <f t="shared" si="28"/>
        <v>FissiTotal </v>
      </c>
      <c r="C60" s="74" t="s">
        <v>1628</v>
      </c>
      <c r="D60" s="74" t="s">
        <v>1633</v>
      </c>
      <c r="E60" s="101" t="s">
        <v>1648</v>
      </c>
      <c r="F60" s="74" t="s">
        <v>1663</v>
      </c>
      <c r="G60" s="76">
        <f t="shared" ref="G60:R60" si="30">G55+G49+G48+G47+G46+G56</f>
        <v>0</v>
      </c>
      <c r="H60" s="76">
        <f t="shared" si="30"/>
        <v>-340.45</v>
      </c>
      <c r="I60" s="76">
        <f t="shared" si="30"/>
        <v>-2749.38</v>
      </c>
      <c r="J60" s="76">
        <f t="shared" si="30"/>
        <v>-5092.13</v>
      </c>
      <c r="K60" s="76">
        <f t="shared" si="30"/>
        <v>-6188.08</v>
      </c>
      <c r="L60" s="76">
        <f t="shared" si="30"/>
        <v>-3933.13</v>
      </c>
      <c r="M60" s="76">
        <f t="shared" si="30"/>
        <v>0</v>
      </c>
      <c r="N60" s="76">
        <f t="shared" si="30"/>
        <v>0</v>
      </c>
      <c r="O60" s="76">
        <f t="shared" si="30"/>
        <v>0</v>
      </c>
      <c r="P60" s="76">
        <f t="shared" si="30"/>
        <v>0</v>
      </c>
      <c r="Q60" s="76">
        <f t="shared" si="30"/>
        <v>0</v>
      </c>
      <c r="R60" s="76">
        <f t="shared" si="30"/>
        <v>0</v>
      </c>
      <c r="S60" s="45"/>
      <c r="T60" s="76">
        <f t="shared" si="26"/>
        <v>-18303.17</v>
      </c>
    </row>
    <row r="61" ht="15.75" customHeight="1">
      <c r="A61" s="45"/>
      <c r="B61" s="46" t="str">
        <f t="shared" si="28"/>
        <v/>
      </c>
      <c r="C61" s="45"/>
      <c r="D61" s="45"/>
      <c r="E61" s="45"/>
      <c r="F61" s="45"/>
      <c r="G61" s="94"/>
      <c r="H61" s="94"/>
      <c r="I61" s="94"/>
      <c r="J61" s="94"/>
      <c r="K61" s="94"/>
      <c r="L61" s="94"/>
      <c r="M61" s="94"/>
      <c r="N61" s="94"/>
      <c r="O61" s="94"/>
      <c r="P61" s="94"/>
      <c r="Q61" s="94"/>
      <c r="R61" s="94"/>
      <c r="S61" s="45"/>
      <c r="T61" s="94"/>
    </row>
    <row r="62" ht="15.75" customHeight="1">
      <c r="A62" s="45"/>
      <c r="B62" s="46" t="str">
        <f t="shared" si="28"/>
        <v>OmnichannelMargine di Contribuzione_2</v>
      </c>
      <c r="C62" s="45"/>
      <c r="D62" s="45"/>
      <c r="E62" s="90" t="s">
        <v>1632</v>
      </c>
      <c r="F62" s="105" t="s">
        <v>1664</v>
      </c>
      <c r="G62" s="106">
        <f t="shared" ref="G62:R62" si="31">G44+G60</f>
        <v>0</v>
      </c>
      <c r="H62" s="106">
        <f t="shared" si="31"/>
        <v>1270.566081</v>
      </c>
      <c r="I62" s="106">
        <f t="shared" si="31"/>
        <v>2117.278244</v>
      </c>
      <c r="J62" s="106">
        <f t="shared" si="31"/>
        <v>1015.99037</v>
      </c>
      <c r="K62" s="106">
        <f t="shared" si="31"/>
        <v>251.887898</v>
      </c>
      <c r="L62" s="106">
        <f t="shared" si="31"/>
        <v>7199.946083</v>
      </c>
      <c r="M62" s="106">
        <f t="shared" si="31"/>
        <v>909.6924557</v>
      </c>
      <c r="N62" s="106">
        <f t="shared" si="31"/>
        <v>0</v>
      </c>
      <c r="O62" s="106">
        <f t="shared" si="31"/>
        <v>0</v>
      </c>
      <c r="P62" s="106">
        <f t="shared" si="31"/>
        <v>0</v>
      </c>
      <c r="Q62" s="106">
        <f t="shared" si="31"/>
        <v>0</v>
      </c>
      <c r="R62" s="106">
        <f t="shared" si="31"/>
        <v>0</v>
      </c>
      <c r="S62" s="45"/>
      <c r="T62" s="106">
        <f>SUM(G62:R62)</f>
        <v>12765.36113</v>
      </c>
    </row>
    <row r="63" ht="15.75" customHeight="1">
      <c r="A63" s="45"/>
      <c r="B63" s="46"/>
      <c r="C63" s="45"/>
      <c r="D63" s="45"/>
      <c r="E63" s="45"/>
      <c r="F63" s="45"/>
      <c r="G63" s="107">
        <f t="shared" ref="G63:R63" si="32">IFERROR(G62/G29, 0)</f>
        <v>0</v>
      </c>
      <c r="H63" s="107">
        <f t="shared" si="32"/>
        <v>0.5150829466</v>
      </c>
      <c r="I63" s="107">
        <f t="shared" si="32"/>
        <v>0.2570100451</v>
      </c>
      <c r="J63" s="107">
        <f t="shared" si="32"/>
        <v>0.1055736244</v>
      </c>
      <c r="K63" s="107">
        <f t="shared" si="32"/>
        <v>0.02104730186</v>
      </c>
      <c r="L63" s="107">
        <f t="shared" si="32"/>
        <v>0.3999908116</v>
      </c>
      <c r="M63" s="107">
        <f t="shared" si="32"/>
        <v>0.8358373219</v>
      </c>
      <c r="N63" s="107">
        <f t="shared" si="32"/>
        <v>0</v>
      </c>
      <c r="O63" s="107">
        <f t="shared" si="32"/>
        <v>0</v>
      </c>
      <c r="P63" s="107">
        <f t="shared" si="32"/>
        <v>0</v>
      </c>
      <c r="Q63" s="107">
        <f t="shared" si="32"/>
        <v>0</v>
      </c>
      <c r="R63" s="107">
        <f t="shared" si="32"/>
        <v>0</v>
      </c>
      <c r="S63" s="45"/>
      <c r="T63" s="107">
        <f>T62/T29</f>
        <v>0.2484272538</v>
      </c>
    </row>
    <row r="64" ht="15.75" customHeight="1">
      <c r="A64" s="45"/>
      <c r="B64" s="46"/>
      <c r="C64" s="45"/>
      <c r="D64" s="45"/>
      <c r="E64" s="45"/>
      <c r="F64" s="45"/>
      <c r="G64" s="107"/>
      <c r="H64" s="107"/>
      <c r="I64" s="107"/>
      <c r="J64" s="107"/>
      <c r="K64" s="107"/>
      <c r="L64" s="107"/>
      <c r="M64" s="107"/>
      <c r="N64" s="107"/>
      <c r="O64" s="107"/>
      <c r="P64" s="107"/>
      <c r="Q64" s="107"/>
      <c r="R64" s="107"/>
      <c r="S64" s="45"/>
      <c r="T64" s="107"/>
    </row>
    <row r="65" ht="15.75" customHeight="1">
      <c r="A65" s="45"/>
      <c r="B65" s="46"/>
      <c r="C65" s="45"/>
      <c r="D65" s="45"/>
      <c r="E65" s="45"/>
      <c r="F65" s="113" t="s">
        <v>1599</v>
      </c>
      <c r="G65" s="114">
        <f>SUMIFS('EXPENSES MASTER'!$F:$F, 'EXPENSES MASTER'!$G:$G, AC!$F$61, 'EXPENSES MASTER'!$B:$B, AC!H$3)</f>
        <v>0</v>
      </c>
      <c r="H65" s="114">
        <f>SUMIFS('EXPENSES MASTER'!$F:$F, 'EXPENSES MASTER'!$G:$G, AC!$F$61, 'EXPENSES MASTER'!$B:$B, AC!I$3)</f>
        <v>0</v>
      </c>
      <c r="I65" s="114">
        <f>SUMIFS('EXPENSES MASTER'!$F:$F, 'EXPENSES MASTER'!$G:$G, AC!$F$61, 'EXPENSES MASTER'!$B:$B, AC!J$3)</f>
        <v>0</v>
      </c>
      <c r="J65" s="114">
        <f>SUMIFS('EXPENSES MASTER'!$F:$F, 'EXPENSES MASTER'!$G:$G, AC!$F$61, 'EXPENSES MASTER'!$B:$B, AC!K$3)</f>
        <v>0</v>
      </c>
      <c r="K65" s="114">
        <f>SUMIFS('EXPENSES MASTER'!$F:$F, 'EXPENSES MASTER'!$G:$G, AC!$F$61, 'EXPENSES MASTER'!$B:$B, AC!L$3)</f>
        <v>0</v>
      </c>
      <c r="L65" s="114">
        <f>SUMIFS('EXPENSES MASTER'!$F:$F, 'EXPENSES MASTER'!$G:$G, AC!$F$61, 'EXPENSES MASTER'!$B:$B, AC!M$3)</f>
        <v>0</v>
      </c>
      <c r="M65" s="114">
        <f>SUMIFS('EXPENSES MASTER'!$F:$F, 'EXPENSES MASTER'!$G:$G, AC!$F$61, 'EXPENSES MASTER'!$B:$B, AC!N$3)</f>
        <v>0</v>
      </c>
      <c r="N65" s="114">
        <f>SUMIFS('EXPENSES MASTER'!$F:$F, 'EXPENSES MASTER'!$G:$G, AC!$F$61, 'EXPENSES MASTER'!$B:$B, AC!O$3)</f>
        <v>0</v>
      </c>
      <c r="O65" s="114">
        <f>SUMIFS('EXPENSES MASTER'!$F:$F, 'EXPENSES MASTER'!$G:$G, AC!$F$61, 'EXPENSES MASTER'!$B:$B, AC!P$3)</f>
        <v>0</v>
      </c>
      <c r="P65" s="114">
        <f>SUMIFS('EXPENSES MASTER'!$F:$F, 'EXPENSES MASTER'!$G:$G, AC!$F$61, 'EXPENSES MASTER'!$B:$B, AC!Q$3)</f>
        <v>0</v>
      </c>
      <c r="Q65" s="114">
        <f>SUMIFS('EXPENSES MASTER'!$F:$F, 'EXPENSES MASTER'!$G:$G, AC!$F$61, 'EXPENSES MASTER'!$B:$B, AC!R$3)</f>
        <v>0</v>
      </c>
      <c r="R65" s="114">
        <f>SUMIFS('EXPENSES MASTER'!$F:$F, 'EXPENSES MASTER'!$G:$G, AC!$F$61, 'EXPENSES MASTER'!$B:$B, AC!S$3)</f>
        <v>0</v>
      </c>
      <c r="S65" s="114">
        <f>SUMIFS('EXPENSES MASTER'!$F:$F, 'EXPENSES MASTER'!$G:$G, AC!$F$61, 'EXPENSES MASTER'!$B:$B, AC!T$3)</f>
        <v>0</v>
      </c>
      <c r="T65" s="114">
        <f>SUMIFS('EXPENSES MASTER'!$F:$F, 'EXPENSES MASTER'!$G:$G, AC!$F$61, 'EXPENSES MASTER'!$B:$B, AC!U$3)</f>
        <v>0</v>
      </c>
    </row>
    <row r="66" ht="15.75" customHeight="1">
      <c r="A66" s="45"/>
      <c r="B66" s="46"/>
      <c r="C66" s="45"/>
      <c r="D66" s="45"/>
      <c r="E66" s="45"/>
      <c r="F66" s="45"/>
      <c r="G66" s="45"/>
      <c r="H66" s="45"/>
      <c r="I66" s="45"/>
      <c r="J66" s="45"/>
      <c r="K66" s="45"/>
      <c r="L66" s="45"/>
      <c r="M66" s="45"/>
      <c r="N66" s="45"/>
      <c r="O66" s="45"/>
      <c r="P66" s="45"/>
      <c r="Q66" s="45"/>
      <c r="R66" s="45"/>
      <c r="S66" s="45"/>
      <c r="T66" s="45"/>
    </row>
    <row r="67" ht="15.75" customHeight="1">
      <c r="A67" s="45"/>
      <c r="B67" s="46"/>
      <c r="C67" s="45"/>
      <c r="D67" s="45"/>
      <c r="E67" s="45"/>
      <c r="F67" s="45"/>
      <c r="G67" s="45"/>
      <c r="H67" s="45"/>
      <c r="I67" s="45"/>
      <c r="J67" s="45"/>
      <c r="K67" s="45"/>
      <c r="L67" s="45"/>
      <c r="M67" s="45"/>
      <c r="N67" s="45"/>
      <c r="O67" s="45"/>
      <c r="P67" s="45"/>
      <c r="Q67" s="45"/>
      <c r="R67" s="45"/>
      <c r="S67" s="45"/>
      <c r="T67" s="45"/>
    </row>
    <row r="68" ht="15.75" customHeight="1">
      <c r="A68" s="45"/>
      <c r="B68" s="46"/>
      <c r="C68" s="45"/>
      <c r="D68" s="45"/>
      <c r="E68" s="42"/>
      <c r="F68" s="45"/>
      <c r="G68" s="45"/>
      <c r="H68" s="45"/>
      <c r="I68" s="45"/>
      <c r="J68" s="45"/>
      <c r="K68" s="45"/>
      <c r="L68" s="45"/>
      <c r="M68" s="45"/>
      <c r="N68" s="45"/>
      <c r="O68" s="45"/>
      <c r="P68" s="45"/>
      <c r="Q68" s="45"/>
      <c r="R68" s="45"/>
      <c r="S68" s="45"/>
      <c r="T68" s="45"/>
    </row>
    <row r="69" ht="15.75" customHeight="1">
      <c r="A69" s="45"/>
      <c r="B69" s="46"/>
      <c r="C69" s="45"/>
      <c r="D69" s="42"/>
      <c r="E69" s="42"/>
      <c r="F69" s="42"/>
      <c r="G69" s="45"/>
      <c r="H69" s="45"/>
      <c r="I69" s="45"/>
      <c r="J69" s="45"/>
      <c r="K69" s="45"/>
      <c r="L69" s="45"/>
      <c r="M69" s="45"/>
      <c r="N69" s="45"/>
      <c r="O69" s="45"/>
      <c r="P69" s="45"/>
      <c r="Q69" s="45"/>
      <c r="R69" s="45"/>
      <c r="S69" s="45"/>
      <c r="T69" s="45"/>
    </row>
    <row r="70" ht="15.75" customHeight="1">
      <c r="A70" s="45"/>
      <c r="B70" s="46"/>
      <c r="C70" s="45"/>
      <c r="D70" s="42"/>
      <c r="E70" s="42"/>
      <c r="F70" s="42"/>
      <c r="G70" s="45"/>
      <c r="H70" s="45"/>
      <c r="I70" s="45"/>
      <c r="J70" s="45"/>
      <c r="K70" s="45"/>
      <c r="L70" s="45"/>
      <c r="M70" s="45"/>
      <c r="N70" s="45"/>
      <c r="O70" s="45"/>
      <c r="P70" s="45"/>
      <c r="Q70" s="45"/>
      <c r="R70" s="45"/>
      <c r="S70" s="45"/>
      <c r="T70" s="45"/>
    </row>
    <row r="71" ht="15.75" customHeight="1">
      <c r="A71" s="45"/>
      <c r="B71" s="46"/>
      <c r="C71" s="45"/>
      <c r="D71" s="42"/>
      <c r="E71" s="42"/>
      <c r="F71" s="42"/>
      <c r="G71" s="45"/>
      <c r="H71" s="45"/>
      <c r="I71" s="45"/>
      <c r="J71" s="45"/>
      <c r="K71" s="45"/>
      <c r="L71" s="45"/>
      <c r="M71" s="45"/>
      <c r="N71" s="45"/>
      <c r="O71" s="45"/>
      <c r="P71" s="45"/>
      <c r="Q71" s="45"/>
      <c r="R71" s="45"/>
      <c r="S71" s="45"/>
      <c r="T71" s="45"/>
    </row>
    <row r="72" ht="15.75" customHeight="1">
      <c r="A72" s="45"/>
      <c r="B72" s="46"/>
      <c r="C72" s="45"/>
      <c r="D72" s="42"/>
      <c r="E72" s="42"/>
      <c r="F72" s="42"/>
      <c r="G72" s="45"/>
      <c r="H72" s="45"/>
      <c r="I72" s="45"/>
      <c r="J72" s="45"/>
      <c r="K72" s="45"/>
      <c r="L72" s="45"/>
      <c r="M72" s="45"/>
      <c r="N72" s="45"/>
      <c r="O72" s="45"/>
      <c r="P72" s="45"/>
      <c r="Q72" s="45"/>
      <c r="R72" s="45"/>
      <c r="S72" s="45"/>
      <c r="T72" s="45"/>
    </row>
    <row r="73" ht="15.75" customHeight="1">
      <c r="A73" s="45"/>
      <c r="B73" s="46"/>
      <c r="C73" s="45"/>
      <c r="D73" s="42"/>
      <c r="E73" s="42"/>
      <c r="F73" s="42"/>
      <c r="G73" s="45"/>
      <c r="H73" s="45"/>
      <c r="I73" s="45"/>
      <c r="J73" s="45"/>
      <c r="K73" s="45"/>
      <c r="L73" s="45"/>
      <c r="M73" s="45"/>
      <c r="N73" s="45"/>
      <c r="O73" s="45"/>
      <c r="P73" s="45"/>
      <c r="Q73" s="45"/>
      <c r="R73" s="45"/>
      <c r="S73" s="45"/>
      <c r="T73" s="45"/>
    </row>
    <row r="74" ht="15.75" customHeight="1">
      <c r="A74" s="45"/>
      <c r="B74" s="46"/>
      <c r="C74" s="45"/>
      <c r="D74" s="42"/>
      <c r="E74" s="42"/>
      <c r="F74" s="42"/>
      <c r="G74" s="45"/>
      <c r="H74" s="45"/>
      <c r="I74" s="45"/>
      <c r="J74" s="45"/>
      <c r="K74" s="45"/>
      <c r="L74" s="45"/>
      <c r="M74" s="45"/>
      <c r="N74" s="45"/>
      <c r="O74" s="45"/>
      <c r="P74" s="45"/>
      <c r="Q74" s="45"/>
      <c r="R74" s="45"/>
      <c r="S74" s="45"/>
      <c r="T74" s="45"/>
    </row>
    <row r="75" ht="15.75" customHeight="1">
      <c r="A75" s="45"/>
      <c r="B75" s="46"/>
      <c r="C75" s="45"/>
      <c r="D75" s="45"/>
      <c r="E75" s="42"/>
      <c r="F75" s="42"/>
      <c r="G75" s="45"/>
      <c r="H75" s="45"/>
      <c r="I75" s="45"/>
      <c r="J75" s="45"/>
      <c r="K75" s="45"/>
      <c r="L75" s="45"/>
      <c r="M75" s="45"/>
      <c r="N75" s="45"/>
      <c r="O75" s="45"/>
      <c r="P75" s="45"/>
      <c r="Q75" s="45"/>
      <c r="R75" s="45"/>
      <c r="S75" s="45"/>
      <c r="T75" s="45"/>
    </row>
    <row r="76" ht="15.75" customHeight="1">
      <c r="A76" s="45"/>
      <c r="B76" s="46"/>
      <c r="C76" s="45"/>
      <c r="D76" s="45"/>
      <c r="E76" s="45"/>
      <c r="F76" s="45"/>
      <c r="G76" s="45"/>
      <c r="H76" s="45"/>
      <c r="I76" s="45"/>
      <c r="J76" s="45"/>
      <c r="K76" s="45"/>
      <c r="L76" s="45"/>
      <c r="M76" s="45"/>
      <c r="N76" s="45"/>
      <c r="O76" s="45"/>
      <c r="P76" s="45"/>
      <c r="Q76" s="45"/>
      <c r="R76" s="45"/>
      <c r="S76" s="45"/>
      <c r="T76" s="45"/>
    </row>
    <row r="77" ht="15.75" customHeight="1">
      <c r="A77" s="45"/>
      <c r="B77" s="46"/>
      <c r="C77" s="45"/>
      <c r="D77" s="45"/>
      <c r="E77" s="45"/>
      <c r="F77" s="45"/>
      <c r="G77" s="45"/>
      <c r="H77" s="45"/>
      <c r="I77" s="45"/>
      <c r="J77" s="45"/>
      <c r="K77" s="45"/>
      <c r="L77" s="45"/>
      <c r="M77" s="45"/>
      <c r="N77" s="45"/>
      <c r="O77" s="45"/>
      <c r="P77" s="45"/>
      <c r="Q77" s="45"/>
      <c r="R77" s="45"/>
      <c r="S77" s="45"/>
      <c r="T77" s="45"/>
    </row>
    <row r="78" ht="15.75" customHeight="1">
      <c r="A78" s="45"/>
      <c r="B78" s="46"/>
      <c r="C78" s="45"/>
      <c r="D78" s="45"/>
      <c r="E78" s="45"/>
      <c r="F78" s="45"/>
      <c r="G78" s="45"/>
      <c r="H78" s="45"/>
      <c r="I78" s="45"/>
      <c r="J78" s="45"/>
      <c r="K78" s="45"/>
      <c r="L78" s="45"/>
      <c r="M78" s="45"/>
      <c r="N78" s="45"/>
      <c r="O78" s="45"/>
      <c r="P78" s="45"/>
      <c r="Q78" s="45"/>
      <c r="R78" s="45"/>
      <c r="S78" s="45"/>
      <c r="T78" s="45"/>
    </row>
    <row r="79" ht="15.75" customHeight="1">
      <c r="A79" s="45"/>
      <c r="B79" s="46"/>
      <c r="C79" s="45"/>
      <c r="D79" s="45"/>
      <c r="E79" s="45"/>
      <c r="F79" s="45"/>
      <c r="G79" s="45"/>
      <c r="H79" s="45"/>
      <c r="I79" s="45"/>
      <c r="J79" s="45"/>
      <c r="K79" s="45"/>
      <c r="L79" s="45"/>
      <c r="M79" s="45"/>
      <c r="N79" s="45"/>
      <c r="O79" s="45"/>
      <c r="P79" s="45"/>
      <c r="Q79" s="45"/>
      <c r="R79" s="45"/>
      <c r="S79" s="45"/>
      <c r="T79" s="45"/>
    </row>
    <row r="80" ht="15.75" customHeight="1">
      <c r="A80" s="45"/>
      <c r="B80" s="46"/>
      <c r="C80" s="45"/>
      <c r="D80" s="45"/>
      <c r="E80" s="45"/>
      <c r="F80" s="45"/>
      <c r="G80" s="45"/>
      <c r="H80" s="45"/>
      <c r="I80" s="45"/>
      <c r="J80" s="45"/>
      <c r="K80" s="45"/>
      <c r="L80" s="45"/>
      <c r="M80" s="45"/>
      <c r="N80" s="45"/>
      <c r="O80" s="45"/>
      <c r="P80" s="45"/>
      <c r="Q80" s="45"/>
      <c r="R80" s="45"/>
      <c r="S80" s="45"/>
      <c r="T80" s="45"/>
    </row>
    <row r="81" ht="15.75" customHeight="1">
      <c r="A81" s="45"/>
      <c r="B81" s="46"/>
      <c r="C81" s="45"/>
      <c r="D81" s="45"/>
      <c r="E81" s="45"/>
      <c r="F81" s="45"/>
      <c r="G81" s="45"/>
      <c r="H81" s="45"/>
      <c r="I81" s="45"/>
      <c r="J81" s="45"/>
      <c r="K81" s="45"/>
      <c r="L81" s="45"/>
      <c r="M81" s="45"/>
      <c r="N81" s="45"/>
      <c r="O81" s="45"/>
      <c r="P81" s="45"/>
      <c r="Q81" s="45"/>
      <c r="R81" s="45"/>
      <c r="S81" s="45"/>
      <c r="T81" s="45"/>
    </row>
    <row r="82" ht="15.75" customHeight="1">
      <c r="A82" s="45"/>
      <c r="B82" s="46"/>
      <c r="C82" s="45"/>
      <c r="D82" s="45"/>
      <c r="E82" s="45"/>
      <c r="F82" s="45"/>
      <c r="G82" s="45"/>
      <c r="H82" s="45"/>
      <c r="I82" s="45"/>
      <c r="J82" s="45"/>
      <c r="K82" s="45"/>
      <c r="L82" s="45"/>
      <c r="M82" s="45"/>
      <c r="N82" s="45"/>
      <c r="O82" s="45"/>
      <c r="P82" s="45"/>
      <c r="Q82" s="45"/>
      <c r="R82" s="45"/>
      <c r="S82" s="45"/>
      <c r="T82" s="45"/>
    </row>
    <row r="83" ht="15.75" customHeight="1">
      <c r="A83" s="45"/>
      <c r="B83" s="46"/>
      <c r="C83" s="45"/>
      <c r="D83" s="45"/>
      <c r="E83" s="45"/>
      <c r="F83" s="45"/>
      <c r="G83" s="45"/>
      <c r="H83" s="45"/>
      <c r="I83" s="45"/>
      <c r="J83" s="45"/>
      <c r="K83" s="45"/>
      <c r="L83" s="45"/>
      <c r="M83" s="45"/>
      <c r="N83" s="45"/>
      <c r="O83" s="45"/>
      <c r="P83" s="45"/>
      <c r="Q83" s="45"/>
      <c r="R83" s="45"/>
      <c r="S83" s="45"/>
      <c r="T83" s="45"/>
    </row>
    <row r="84" ht="15.75" customHeight="1">
      <c r="A84" s="45"/>
      <c r="B84" s="46"/>
      <c r="C84" s="45"/>
      <c r="D84" s="45"/>
      <c r="E84" s="45"/>
      <c r="F84" s="45"/>
      <c r="G84" s="45"/>
      <c r="H84" s="45"/>
      <c r="I84" s="45"/>
      <c r="J84" s="45"/>
      <c r="K84" s="45"/>
      <c r="L84" s="45"/>
      <c r="M84" s="45"/>
      <c r="N84" s="45"/>
      <c r="O84" s="45"/>
      <c r="P84" s="45"/>
      <c r="Q84" s="45"/>
      <c r="R84" s="45"/>
      <c r="S84" s="45"/>
      <c r="T84" s="45"/>
    </row>
    <row r="85" ht="15.75" customHeight="1">
      <c r="A85" s="45"/>
      <c r="B85" s="46"/>
      <c r="C85" s="45"/>
      <c r="D85" s="45"/>
      <c r="E85" s="45"/>
      <c r="F85" s="45"/>
      <c r="G85" s="45"/>
      <c r="H85" s="45"/>
      <c r="I85" s="45"/>
      <c r="J85" s="45"/>
      <c r="K85" s="45"/>
      <c r="L85" s="45"/>
      <c r="M85" s="45"/>
      <c r="N85" s="45"/>
      <c r="O85" s="45"/>
      <c r="P85" s="45"/>
      <c r="Q85" s="45"/>
      <c r="R85" s="45"/>
      <c r="S85" s="45"/>
      <c r="T85" s="45"/>
    </row>
    <row r="86" ht="15.75" customHeight="1">
      <c r="A86" s="45"/>
      <c r="B86" s="46"/>
      <c r="C86" s="45"/>
      <c r="D86" s="45"/>
      <c r="E86" s="45"/>
      <c r="F86" s="45"/>
      <c r="G86" s="45"/>
      <c r="H86" s="45"/>
      <c r="I86" s="45"/>
      <c r="J86" s="45"/>
      <c r="K86" s="45"/>
      <c r="L86" s="45"/>
      <c r="M86" s="45"/>
      <c r="N86" s="45"/>
      <c r="O86" s="45"/>
      <c r="P86" s="45"/>
      <c r="Q86" s="45"/>
      <c r="R86" s="45"/>
      <c r="S86" s="45"/>
      <c r="T86" s="45"/>
    </row>
    <row r="87" ht="15.75" customHeight="1">
      <c r="A87" s="45"/>
      <c r="B87" s="46"/>
      <c r="C87" s="45"/>
      <c r="D87" s="45"/>
      <c r="E87" s="45"/>
      <c r="F87" s="45"/>
      <c r="G87" s="45"/>
      <c r="H87" s="45"/>
      <c r="I87" s="45"/>
      <c r="J87" s="45"/>
      <c r="K87" s="45"/>
      <c r="L87" s="45"/>
      <c r="M87" s="45"/>
      <c r="N87" s="45"/>
      <c r="O87" s="45"/>
      <c r="P87" s="45"/>
      <c r="Q87" s="45"/>
      <c r="R87" s="45"/>
      <c r="S87" s="45"/>
      <c r="T87" s="45"/>
    </row>
    <row r="88" ht="15.75" customHeight="1">
      <c r="A88" s="45"/>
      <c r="B88" s="46"/>
      <c r="C88" s="45"/>
      <c r="D88" s="45"/>
      <c r="E88" s="45"/>
      <c r="F88" s="45"/>
      <c r="G88" s="45"/>
      <c r="H88" s="45"/>
      <c r="I88" s="45"/>
      <c r="J88" s="45"/>
      <c r="K88" s="45"/>
      <c r="L88" s="45"/>
      <c r="M88" s="45"/>
      <c r="N88" s="45"/>
      <c r="O88" s="45"/>
      <c r="P88" s="45"/>
      <c r="Q88" s="45"/>
      <c r="R88" s="45"/>
      <c r="S88" s="45"/>
      <c r="T88" s="45"/>
    </row>
    <row r="89" ht="15.75" customHeight="1">
      <c r="A89" s="45"/>
      <c r="B89" s="46"/>
      <c r="C89" s="45"/>
      <c r="D89" s="45"/>
      <c r="E89" s="45"/>
      <c r="F89" s="45"/>
      <c r="G89" s="45"/>
      <c r="H89" s="45"/>
      <c r="I89" s="45"/>
      <c r="J89" s="45"/>
      <c r="K89" s="45"/>
      <c r="L89" s="45"/>
      <c r="M89" s="45"/>
      <c r="N89" s="45"/>
      <c r="O89" s="45"/>
      <c r="P89" s="45"/>
      <c r="Q89" s="45"/>
      <c r="R89" s="45"/>
      <c r="S89" s="45"/>
      <c r="T89" s="45"/>
    </row>
    <row r="90" ht="15.75" customHeight="1">
      <c r="A90" s="45"/>
      <c r="B90" s="46"/>
      <c r="C90" s="45"/>
      <c r="D90" s="45"/>
      <c r="E90" s="45"/>
      <c r="F90" s="45"/>
      <c r="G90" s="45"/>
      <c r="H90" s="45"/>
      <c r="I90" s="45"/>
      <c r="J90" s="45"/>
      <c r="K90" s="45"/>
      <c r="L90" s="45"/>
      <c r="M90" s="45"/>
      <c r="N90" s="45"/>
      <c r="O90" s="45"/>
      <c r="P90" s="45"/>
      <c r="Q90" s="45"/>
      <c r="R90" s="45"/>
      <c r="S90" s="45"/>
      <c r="T90" s="45"/>
    </row>
    <row r="91" ht="15.75" customHeight="1">
      <c r="A91" s="45"/>
      <c r="B91" s="46"/>
      <c r="C91" s="45"/>
      <c r="D91" s="45"/>
      <c r="E91" s="45"/>
      <c r="F91" s="45"/>
      <c r="G91" s="45"/>
      <c r="H91" s="45"/>
      <c r="I91" s="45"/>
      <c r="J91" s="45"/>
      <c r="K91" s="45"/>
      <c r="L91" s="45"/>
      <c r="M91" s="45"/>
      <c r="N91" s="45"/>
      <c r="O91" s="45"/>
      <c r="P91" s="45"/>
      <c r="Q91" s="45"/>
      <c r="R91" s="45"/>
      <c r="S91" s="45"/>
      <c r="T91" s="45"/>
    </row>
    <row r="92" ht="15.75" customHeight="1">
      <c r="A92" s="45"/>
      <c r="B92" s="46"/>
      <c r="C92" s="45"/>
      <c r="D92" s="45"/>
      <c r="E92" s="45"/>
      <c r="F92" s="45"/>
      <c r="G92" s="45"/>
      <c r="H92" s="45"/>
      <c r="I92" s="45"/>
      <c r="J92" s="45"/>
      <c r="K92" s="45"/>
      <c r="L92" s="45"/>
      <c r="M92" s="45"/>
      <c r="N92" s="45"/>
      <c r="O92" s="45"/>
      <c r="P92" s="45"/>
      <c r="Q92" s="45"/>
      <c r="R92" s="45"/>
      <c r="S92" s="45"/>
      <c r="T92" s="45"/>
    </row>
    <row r="93" ht="15.75" customHeight="1">
      <c r="A93" s="45"/>
      <c r="B93" s="46"/>
      <c r="C93" s="45"/>
      <c r="D93" s="45"/>
      <c r="E93" s="45"/>
      <c r="F93" s="45"/>
      <c r="G93" s="45"/>
      <c r="H93" s="45"/>
      <c r="I93" s="45"/>
      <c r="J93" s="45"/>
      <c r="K93" s="45"/>
      <c r="L93" s="45"/>
      <c r="M93" s="45"/>
      <c r="N93" s="45"/>
      <c r="O93" s="45"/>
      <c r="P93" s="45"/>
      <c r="Q93" s="45"/>
      <c r="R93" s="45"/>
      <c r="S93" s="45"/>
      <c r="T93" s="45"/>
    </row>
    <row r="94" ht="15.75" customHeight="1">
      <c r="A94" s="45"/>
      <c r="B94" s="46"/>
      <c r="C94" s="45"/>
      <c r="D94" s="45"/>
      <c r="E94" s="45"/>
      <c r="F94" s="45"/>
      <c r="G94" s="45"/>
      <c r="H94" s="45"/>
      <c r="I94" s="45"/>
      <c r="J94" s="45"/>
      <c r="K94" s="45"/>
      <c r="L94" s="45"/>
      <c r="M94" s="45"/>
      <c r="N94" s="45"/>
      <c r="O94" s="45"/>
      <c r="P94" s="45"/>
      <c r="Q94" s="45"/>
      <c r="R94" s="45"/>
      <c r="S94" s="45"/>
      <c r="T94" s="45"/>
    </row>
    <row r="95" ht="15.75" customHeight="1">
      <c r="A95" s="45"/>
      <c r="B95" s="46"/>
      <c r="C95" s="45"/>
      <c r="D95" s="45"/>
      <c r="E95" s="45"/>
      <c r="F95" s="45"/>
      <c r="G95" s="45"/>
      <c r="H95" s="45"/>
      <c r="I95" s="45"/>
      <c r="J95" s="45"/>
      <c r="K95" s="45"/>
      <c r="L95" s="45"/>
      <c r="M95" s="45"/>
      <c r="N95" s="45"/>
      <c r="O95" s="45"/>
      <c r="P95" s="45"/>
      <c r="Q95" s="45"/>
      <c r="R95" s="45"/>
      <c r="S95" s="45"/>
      <c r="T95" s="45"/>
    </row>
    <row r="96" ht="15.75" customHeight="1">
      <c r="A96" s="45"/>
      <c r="B96" s="46"/>
      <c r="C96" s="45"/>
      <c r="D96" s="45"/>
      <c r="E96" s="45"/>
      <c r="F96" s="45"/>
      <c r="G96" s="45"/>
      <c r="H96" s="45"/>
      <c r="I96" s="45"/>
      <c r="J96" s="45"/>
      <c r="K96" s="45"/>
      <c r="L96" s="45"/>
      <c r="M96" s="45"/>
      <c r="N96" s="45"/>
      <c r="O96" s="45"/>
      <c r="P96" s="45"/>
      <c r="Q96" s="45"/>
      <c r="R96" s="45"/>
      <c r="S96" s="45"/>
      <c r="T96" s="45"/>
    </row>
    <row r="97" ht="15.75" customHeight="1">
      <c r="A97" s="45"/>
      <c r="B97" s="46"/>
      <c r="C97" s="45"/>
      <c r="D97" s="45"/>
      <c r="E97" s="45"/>
      <c r="F97" s="45"/>
      <c r="G97" s="45"/>
      <c r="H97" s="45"/>
      <c r="I97" s="45"/>
      <c r="J97" s="45"/>
      <c r="K97" s="45"/>
      <c r="L97" s="45"/>
      <c r="M97" s="45"/>
      <c r="N97" s="45"/>
      <c r="O97" s="45"/>
      <c r="P97" s="45"/>
      <c r="Q97" s="45"/>
      <c r="R97" s="45"/>
      <c r="S97" s="45"/>
      <c r="T97" s="45"/>
    </row>
    <row r="98" ht="15.75" customHeight="1">
      <c r="A98" s="45"/>
      <c r="B98" s="46"/>
      <c r="C98" s="45"/>
      <c r="D98" s="45"/>
      <c r="E98" s="45"/>
      <c r="F98" s="45"/>
      <c r="G98" s="45"/>
      <c r="H98" s="45"/>
      <c r="I98" s="45"/>
      <c r="J98" s="45"/>
      <c r="K98" s="45"/>
      <c r="L98" s="45"/>
      <c r="M98" s="45"/>
      <c r="N98" s="45"/>
      <c r="O98" s="45"/>
      <c r="P98" s="45"/>
      <c r="Q98" s="45"/>
      <c r="R98" s="45"/>
      <c r="S98" s="45"/>
      <c r="T98" s="45"/>
    </row>
    <row r="99" ht="15.75" customHeight="1">
      <c r="A99" s="45"/>
      <c r="B99" s="46"/>
      <c r="C99" s="45"/>
      <c r="D99" s="45"/>
      <c r="E99" s="45"/>
      <c r="F99" s="45"/>
      <c r="G99" s="45"/>
      <c r="H99" s="45"/>
      <c r="I99" s="45"/>
      <c r="J99" s="45"/>
      <c r="K99" s="45"/>
      <c r="L99" s="45"/>
      <c r="M99" s="45"/>
      <c r="N99" s="45"/>
      <c r="O99" s="45"/>
      <c r="P99" s="45"/>
      <c r="Q99" s="45"/>
      <c r="R99" s="45"/>
      <c r="S99" s="45"/>
      <c r="T99" s="45"/>
    </row>
    <row r="100" ht="15.75" customHeight="1">
      <c r="A100" s="45"/>
      <c r="B100" s="46"/>
      <c r="C100" s="45"/>
      <c r="D100" s="45"/>
      <c r="E100" s="45"/>
      <c r="F100" s="45"/>
      <c r="G100" s="45"/>
      <c r="H100" s="45"/>
      <c r="I100" s="45"/>
      <c r="J100" s="45"/>
      <c r="K100" s="45"/>
      <c r="L100" s="45"/>
      <c r="M100" s="45"/>
      <c r="N100" s="45"/>
      <c r="O100" s="45"/>
      <c r="P100" s="45"/>
      <c r="Q100" s="45"/>
      <c r="R100" s="45"/>
      <c r="S100" s="45"/>
      <c r="T100" s="45"/>
    </row>
    <row r="101" ht="15.75" customHeight="1">
      <c r="A101" s="45"/>
      <c r="B101" s="46"/>
      <c r="C101" s="45"/>
      <c r="D101" s="45"/>
      <c r="E101" s="45"/>
      <c r="F101" s="45"/>
      <c r="G101" s="45"/>
      <c r="H101" s="45"/>
      <c r="I101" s="45"/>
      <c r="J101" s="45"/>
      <c r="K101" s="45"/>
      <c r="L101" s="45"/>
      <c r="M101" s="45"/>
      <c r="N101" s="45"/>
      <c r="O101" s="45"/>
      <c r="P101" s="45"/>
      <c r="Q101" s="45"/>
      <c r="R101" s="45"/>
      <c r="S101" s="45"/>
      <c r="T101" s="45"/>
    </row>
    <row r="102" ht="15.75" customHeight="1">
      <c r="A102" s="45"/>
      <c r="B102" s="46"/>
      <c r="C102" s="45"/>
      <c r="D102" s="45"/>
      <c r="E102" s="45"/>
      <c r="F102" s="45"/>
      <c r="G102" s="45"/>
      <c r="H102" s="45"/>
      <c r="I102" s="45"/>
      <c r="J102" s="45"/>
      <c r="K102" s="45"/>
      <c r="L102" s="45"/>
      <c r="M102" s="45"/>
      <c r="N102" s="45"/>
      <c r="O102" s="45"/>
      <c r="P102" s="45"/>
      <c r="Q102" s="45"/>
      <c r="R102" s="45"/>
      <c r="S102" s="45"/>
      <c r="T102" s="45"/>
    </row>
    <row r="103" ht="15.75" customHeight="1">
      <c r="A103" s="45"/>
      <c r="B103" s="46"/>
      <c r="C103" s="45"/>
      <c r="D103" s="45"/>
      <c r="E103" s="45"/>
      <c r="F103" s="45"/>
      <c r="G103" s="45"/>
      <c r="H103" s="45"/>
      <c r="I103" s="45"/>
      <c r="J103" s="45"/>
      <c r="K103" s="45"/>
      <c r="L103" s="45"/>
      <c r="M103" s="45"/>
      <c r="N103" s="45"/>
      <c r="O103" s="45"/>
      <c r="P103" s="45"/>
      <c r="Q103" s="45"/>
      <c r="R103" s="45"/>
      <c r="S103" s="45"/>
      <c r="T103" s="45"/>
    </row>
    <row r="104" ht="15.75" customHeight="1">
      <c r="A104" s="45"/>
      <c r="B104" s="46"/>
      <c r="C104" s="45"/>
      <c r="D104" s="45"/>
      <c r="E104" s="45"/>
      <c r="F104" s="45"/>
      <c r="G104" s="45"/>
      <c r="H104" s="45"/>
      <c r="I104" s="45"/>
      <c r="J104" s="45"/>
      <c r="K104" s="45"/>
      <c r="L104" s="45"/>
      <c r="M104" s="45"/>
      <c r="N104" s="45"/>
      <c r="O104" s="45"/>
      <c r="P104" s="45"/>
      <c r="Q104" s="45"/>
      <c r="R104" s="45"/>
      <c r="S104" s="45"/>
      <c r="T104" s="45"/>
    </row>
    <row r="105" ht="15.75" customHeight="1">
      <c r="A105" s="45"/>
      <c r="B105" s="46"/>
      <c r="C105" s="45"/>
      <c r="D105" s="45"/>
      <c r="E105" s="45"/>
      <c r="F105" s="45"/>
      <c r="G105" s="45"/>
      <c r="H105" s="45"/>
      <c r="I105" s="45"/>
      <c r="J105" s="45"/>
      <c r="K105" s="45"/>
      <c r="L105" s="45"/>
      <c r="M105" s="45"/>
      <c r="N105" s="45"/>
      <c r="O105" s="45"/>
      <c r="P105" s="45"/>
      <c r="Q105" s="45"/>
      <c r="R105" s="45"/>
      <c r="S105" s="45"/>
      <c r="T105" s="45"/>
    </row>
    <row r="106" ht="15.75" customHeight="1">
      <c r="A106" s="45"/>
      <c r="B106" s="46"/>
      <c r="C106" s="45"/>
      <c r="D106" s="45"/>
      <c r="E106" s="45"/>
      <c r="F106" s="45"/>
      <c r="G106" s="45"/>
      <c r="H106" s="45"/>
      <c r="I106" s="45"/>
      <c r="J106" s="45"/>
      <c r="K106" s="45"/>
      <c r="L106" s="45"/>
      <c r="M106" s="45"/>
      <c r="N106" s="45"/>
      <c r="O106" s="45"/>
      <c r="P106" s="45"/>
      <c r="Q106" s="45"/>
      <c r="R106" s="45"/>
      <c r="S106" s="45"/>
      <c r="T106" s="45"/>
    </row>
    <row r="107" ht="15.75" customHeight="1">
      <c r="A107" s="45"/>
      <c r="B107" s="46"/>
      <c r="C107" s="45"/>
      <c r="D107" s="45"/>
      <c r="E107" s="45"/>
      <c r="F107" s="45"/>
      <c r="G107" s="45"/>
      <c r="H107" s="45"/>
      <c r="I107" s="45"/>
      <c r="J107" s="45"/>
      <c r="K107" s="45"/>
      <c r="L107" s="45"/>
      <c r="M107" s="45"/>
      <c r="N107" s="45"/>
      <c r="O107" s="45"/>
      <c r="P107" s="45"/>
      <c r="Q107" s="45"/>
      <c r="R107" s="45"/>
      <c r="S107" s="45"/>
      <c r="T107" s="45"/>
    </row>
    <row r="108" ht="15.75" customHeight="1">
      <c r="A108" s="45"/>
      <c r="B108" s="46"/>
      <c r="C108" s="45"/>
      <c r="D108" s="45"/>
      <c r="E108" s="45"/>
      <c r="F108" s="45"/>
      <c r="G108" s="45"/>
      <c r="H108" s="45"/>
      <c r="I108" s="45"/>
      <c r="J108" s="45"/>
      <c r="K108" s="45"/>
      <c r="L108" s="45"/>
      <c r="M108" s="45"/>
      <c r="N108" s="45"/>
      <c r="O108" s="45"/>
      <c r="P108" s="45"/>
      <c r="Q108" s="45"/>
      <c r="R108" s="45"/>
      <c r="S108" s="45"/>
      <c r="T108" s="45"/>
    </row>
    <row r="109" ht="15.75" customHeight="1">
      <c r="A109" s="45"/>
      <c r="B109" s="46"/>
      <c r="C109" s="45"/>
      <c r="D109" s="45"/>
      <c r="E109" s="45"/>
      <c r="F109" s="45"/>
      <c r="G109" s="45"/>
      <c r="H109" s="45"/>
      <c r="I109" s="45"/>
      <c r="J109" s="45"/>
      <c r="K109" s="45"/>
      <c r="L109" s="45"/>
      <c r="M109" s="45"/>
      <c r="N109" s="45"/>
      <c r="O109" s="45"/>
      <c r="P109" s="45"/>
      <c r="Q109" s="45"/>
      <c r="R109" s="45"/>
      <c r="S109" s="45"/>
      <c r="T109" s="45"/>
    </row>
    <row r="110" ht="15.75" customHeight="1">
      <c r="A110" s="45"/>
      <c r="B110" s="46"/>
      <c r="C110" s="45"/>
      <c r="D110" s="45"/>
      <c r="E110" s="45"/>
      <c r="F110" s="45"/>
      <c r="G110" s="45"/>
      <c r="H110" s="45"/>
      <c r="I110" s="45"/>
      <c r="J110" s="45"/>
      <c r="K110" s="45"/>
      <c r="L110" s="45"/>
      <c r="M110" s="45"/>
      <c r="N110" s="45"/>
      <c r="O110" s="45"/>
      <c r="P110" s="45"/>
      <c r="Q110" s="45"/>
      <c r="R110" s="45"/>
      <c r="S110" s="45"/>
      <c r="T110" s="45"/>
    </row>
    <row r="111" ht="15.75" customHeight="1">
      <c r="A111" s="45"/>
      <c r="B111" s="46"/>
      <c r="C111" s="45"/>
      <c r="D111" s="45"/>
      <c r="E111" s="45"/>
      <c r="F111" s="45"/>
      <c r="G111" s="45"/>
      <c r="H111" s="45"/>
      <c r="I111" s="45"/>
      <c r="J111" s="45"/>
      <c r="K111" s="45"/>
      <c r="L111" s="45"/>
      <c r="M111" s="45"/>
      <c r="N111" s="45"/>
      <c r="O111" s="45"/>
      <c r="P111" s="45"/>
      <c r="Q111" s="45"/>
      <c r="R111" s="45"/>
      <c r="S111" s="45"/>
      <c r="T111" s="45"/>
    </row>
    <row r="112" ht="15.75" customHeight="1">
      <c r="A112" s="45"/>
      <c r="B112" s="46"/>
      <c r="C112" s="45"/>
      <c r="D112" s="45"/>
      <c r="E112" s="45"/>
      <c r="F112" s="45"/>
      <c r="G112" s="45"/>
      <c r="H112" s="45"/>
      <c r="I112" s="45"/>
      <c r="J112" s="45"/>
      <c r="K112" s="45"/>
      <c r="L112" s="45"/>
      <c r="M112" s="45"/>
      <c r="N112" s="45"/>
      <c r="O112" s="45"/>
      <c r="P112" s="45"/>
      <c r="Q112" s="45"/>
      <c r="R112" s="45"/>
      <c r="S112" s="45"/>
      <c r="T112" s="45"/>
    </row>
    <row r="113" ht="15.75" customHeight="1">
      <c r="A113" s="45"/>
      <c r="B113" s="46"/>
      <c r="C113" s="45"/>
      <c r="D113" s="45"/>
      <c r="E113" s="45"/>
      <c r="F113" s="45"/>
      <c r="G113" s="45"/>
      <c r="H113" s="45"/>
      <c r="I113" s="45"/>
      <c r="J113" s="45"/>
      <c r="K113" s="45"/>
      <c r="L113" s="45"/>
      <c r="M113" s="45"/>
      <c r="N113" s="45"/>
      <c r="O113" s="45"/>
      <c r="P113" s="45"/>
      <c r="Q113" s="45"/>
      <c r="R113" s="45"/>
      <c r="S113" s="45"/>
      <c r="T113" s="45"/>
    </row>
    <row r="114" ht="15.75" customHeight="1">
      <c r="A114" s="45"/>
      <c r="B114" s="46"/>
      <c r="C114" s="45"/>
      <c r="D114" s="45"/>
      <c r="E114" s="45"/>
      <c r="F114" s="45"/>
      <c r="G114" s="45"/>
      <c r="H114" s="45"/>
      <c r="I114" s="45"/>
      <c r="J114" s="45"/>
      <c r="K114" s="45"/>
      <c r="L114" s="45"/>
      <c r="M114" s="45"/>
      <c r="N114" s="45"/>
      <c r="O114" s="45"/>
      <c r="P114" s="45"/>
      <c r="Q114" s="45"/>
      <c r="R114" s="45"/>
      <c r="S114" s="45"/>
      <c r="T114" s="45"/>
    </row>
    <row r="115" ht="15.75" customHeight="1">
      <c r="A115" s="45"/>
      <c r="B115" s="46"/>
      <c r="C115" s="45"/>
      <c r="D115" s="45"/>
      <c r="E115" s="45"/>
      <c r="F115" s="45"/>
      <c r="G115" s="45"/>
      <c r="H115" s="45"/>
      <c r="I115" s="45"/>
      <c r="J115" s="45"/>
      <c r="K115" s="45"/>
      <c r="L115" s="45"/>
      <c r="M115" s="45"/>
      <c r="N115" s="45"/>
      <c r="O115" s="45"/>
      <c r="P115" s="45"/>
      <c r="Q115" s="45"/>
      <c r="R115" s="45"/>
      <c r="S115" s="45"/>
      <c r="T115" s="45"/>
    </row>
    <row r="116" ht="15.75" customHeight="1">
      <c r="A116" s="45"/>
      <c r="B116" s="46"/>
      <c r="C116" s="45"/>
      <c r="D116" s="45"/>
      <c r="E116" s="45"/>
      <c r="F116" s="45"/>
      <c r="G116" s="45"/>
      <c r="H116" s="45"/>
      <c r="I116" s="45"/>
      <c r="J116" s="45"/>
      <c r="K116" s="45"/>
      <c r="L116" s="45"/>
      <c r="M116" s="45"/>
      <c r="N116" s="45"/>
      <c r="O116" s="45"/>
      <c r="P116" s="45"/>
      <c r="Q116" s="45"/>
      <c r="R116" s="45"/>
      <c r="S116" s="45"/>
      <c r="T116" s="45"/>
    </row>
    <row r="117" ht="15.75" customHeight="1">
      <c r="A117" s="45"/>
      <c r="B117" s="46"/>
      <c r="C117" s="45"/>
      <c r="D117" s="45"/>
      <c r="E117" s="45"/>
      <c r="F117" s="45"/>
      <c r="G117" s="45"/>
      <c r="H117" s="45"/>
      <c r="I117" s="45"/>
      <c r="J117" s="45"/>
      <c r="K117" s="45"/>
      <c r="L117" s="45"/>
      <c r="M117" s="45"/>
      <c r="N117" s="45"/>
      <c r="O117" s="45"/>
      <c r="P117" s="45"/>
      <c r="Q117" s="45"/>
      <c r="R117" s="45"/>
      <c r="S117" s="45"/>
      <c r="T117" s="45"/>
    </row>
    <row r="118" ht="15.75" customHeight="1">
      <c r="A118" s="45"/>
      <c r="B118" s="46"/>
      <c r="C118" s="45"/>
      <c r="D118" s="45"/>
      <c r="E118" s="45"/>
      <c r="F118" s="45"/>
      <c r="G118" s="45"/>
      <c r="H118" s="45"/>
      <c r="I118" s="45"/>
      <c r="J118" s="45"/>
      <c r="K118" s="45"/>
      <c r="L118" s="45"/>
      <c r="M118" s="45"/>
      <c r="N118" s="45"/>
      <c r="O118" s="45"/>
      <c r="P118" s="45"/>
      <c r="Q118" s="45"/>
      <c r="R118" s="45"/>
      <c r="S118" s="45"/>
      <c r="T118" s="45"/>
    </row>
    <row r="119" ht="15.75" customHeight="1">
      <c r="A119" s="45"/>
      <c r="B119" s="46"/>
      <c r="C119" s="45"/>
      <c r="D119" s="45"/>
      <c r="E119" s="45"/>
      <c r="F119" s="45"/>
      <c r="G119" s="45"/>
      <c r="H119" s="45"/>
      <c r="I119" s="45"/>
      <c r="J119" s="45"/>
      <c r="K119" s="45"/>
      <c r="L119" s="45"/>
      <c r="M119" s="45"/>
      <c r="N119" s="45"/>
      <c r="O119" s="45"/>
      <c r="P119" s="45"/>
      <c r="Q119" s="45"/>
      <c r="R119" s="45"/>
      <c r="S119" s="45"/>
      <c r="T119" s="45"/>
    </row>
    <row r="120" ht="15.75" customHeight="1">
      <c r="A120" s="45"/>
      <c r="B120" s="46"/>
      <c r="C120" s="45"/>
      <c r="D120" s="45"/>
      <c r="E120" s="45"/>
      <c r="F120" s="45"/>
      <c r="G120" s="45"/>
      <c r="H120" s="45"/>
      <c r="I120" s="45"/>
      <c r="J120" s="45"/>
      <c r="K120" s="45"/>
      <c r="L120" s="45"/>
      <c r="M120" s="45"/>
      <c r="N120" s="45"/>
      <c r="O120" s="45"/>
      <c r="P120" s="45"/>
      <c r="Q120" s="45"/>
      <c r="R120" s="45"/>
      <c r="S120" s="45"/>
      <c r="T120" s="45"/>
    </row>
    <row r="121" ht="15.75" customHeight="1">
      <c r="A121" s="45"/>
      <c r="B121" s="46"/>
      <c r="C121" s="45"/>
      <c r="D121" s="45"/>
      <c r="E121" s="45"/>
      <c r="F121" s="45"/>
      <c r="G121" s="45"/>
      <c r="H121" s="45"/>
      <c r="I121" s="45"/>
      <c r="J121" s="45"/>
      <c r="K121" s="45"/>
      <c r="L121" s="45"/>
      <c r="M121" s="45"/>
      <c r="N121" s="45"/>
      <c r="O121" s="45"/>
      <c r="P121" s="45"/>
      <c r="Q121" s="45"/>
      <c r="R121" s="45"/>
      <c r="S121" s="45"/>
      <c r="T121" s="45"/>
    </row>
    <row r="122" ht="15.75" customHeight="1">
      <c r="A122" s="45"/>
      <c r="B122" s="46"/>
      <c r="C122" s="45"/>
      <c r="D122" s="45"/>
      <c r="E122" s="45"/>
      <c r="F122" s="45"/>
      <c r="G122" s="45"/>
      <c r="H122" s="45"/>
      <c r="I122" s="45"/>
      <c r="J122" s="45"/>
      <c r="K122" s="45"/>
      <c r="L122" s="45"/>
      <c r="M122" s="45"/>
      <c r="N122" s="45"/>
      <c r="O122" s="45"/>
      <c r="P122" s="45"/>
      <c r="Q122" s="45"/>
      <c r="R122" s="45"/>
      <c r="S122" s="45"/>
      <c r="T122" s="45"/>
    </row>
    <row r="123" ht="15.75" customHeight="1">
      <c r="A123" s="45"/>
      <c r="B123" s="46"/>
      <c r="C123" s="45"/>
      <c r="D123" s="45"/>
      <c r="E123" s="45"/>
      <c r="F123" s="45"/>
      <c r="G123" s="45"/>
      <c r="H123" s="45"/>
      <c r="I123" s="45"/>
      <c r="J123" s="45"/>
      <c r="K123" s="45"/>
      <c r="L123" s="45"/>
      <c r="M123" s="45"/>
      <c r="N123" s="45"/>
      <c r="O123" s="45"/>
      <c r="P123" s="45"/>
      <c r="Q123" s="45"/>
      <c r="R123" s="45"/>
      <c r="S123" s="45"/>
      <c r="T123" s="45"/>
    </row>
    <row r="124" ht="15.75" customHeight="1">
      <c r="A124" s="45"/>
      <c r="B124" s="46"/>
      <c r="C124" s="45"/>
      <c r="D124" s="45"/>
      <c r="E124" s="45"/>
      <c r="F124" s="45"/>
      <c r="G124" s="45"/>
      <c r="H124" s="45"/>
      <c r="I124" s="45"/>
      <c r="J124" s="45"/>
      <c r="K124" s="45"/>
      <c r="L124" s="45"/>
      <c r="M124" s="45"/>
      <c r="N124" s="45"/>
      <c r="O124" s="45"/>
      <c r="P124" s="45"/>
      <c r="Q124" s="45"/>
      <c r="R124" s="45"/>
      <c r="S124" s="45"/>
      <c r="T124" s="45"/>
    </row>
    <row r="125" ht="15.75" customHeight="1">
      <c r="A125" s="45"/>
      <c r="B125" s="46"/>
      <c r="C125" s="45"/>
      <c r="D125" s="45"/>
      <c r="E125" s="45"/>
      <c r="F125" s="45"/>
      <c r="G125" s="45"/>
      <c r="H125" s="45"/>
      <c r="I125" s="45"/>
      <c r="J125" s="45"/>
      <c r="K125" s="45"/>
      <c r="L125" s="45"/>
      <c r="M125" s="45"/>
      <c r="N125" s="45"/>
      <c r="O125" s="45"/>
      <c r="P125" s="45"/>
      <c r="Q125" s="45"/>
      <c r="R125" s="45"/>
      <c r="S125" s="45"/>
      <c r="T125" s="45"/>
    </row>
    <row r="126" ht="15.75" customHeight="1">
      <c r="A126" s="45"/>
      <c r="B126" s="46"/>
      <c r="C126" s="45"/>
      <c r="D126" s="45"/>
      <c r="E126" s="45"/>
      <c r="F126" s="45"/>
      <c r="G126" s="45"/>
      <c r="H126" s="45"/>
      <c r="I126" s="45"/>
      <c r="J126" s="45"/>
      <c r="K126" s="45"/>
      <c r="L126" s="45"/>
      <c r="M126" s="45"/>
      <c r="N126" s="45"/>
      <c r="O126" s="45"/>
      <c r="P126" s="45"/>
      <c r="Q126" s="45"/>
      <c r="R126" s="45"/>
      <c r="S126" s="45"/>
      <c r="T126" s="45"/>
    </row>
    <row r="127" ht="15.75" customHeight="1">
      <c r="A127" s="45"/>
      <c r="B127" s="46"/>
      <c r="C127" s="45"/>
      <c r="D127" s="45"/>
      <c r="E127" s="45"/>
      <c r="F127" s="45"/>
      <c r="G127" s="45"/>
      <c r="H127" s="45"/>
      <c r="I127" s="45"/>
      <c r="J127" s="45"/>
      <c r="K127" s="45"/>
      <c r="L127" s="45"/>
      <c r="M127" s="45"/>
      <c r="N127" s="45"/>
      <c r="O127" s="45"/>
      <c r="P127" s="45"/>
      <c r="Q127" s="45"/>
      <c r="R127" s="45"/>
      <c r="S127" s="45"/>
      <c r="T127" s="45"/>
    </row>
    <row r="128" ht="15.75" customHeight="1">
      <c r="A128" s="45"/>
      <c r="B128" s="46"/>
      <c r="C128" s="45"/>
      <c r="D128" s="45"/>
      <c r="E128" s="45"/>
      <c r="F128" s="45"/>
      <c r="G128" s="45"/>
      <c r="H128" s="45"/>
      <c r="I128" s="45"/>
      <c r="J128" s="45"/>
      <c r="K128" s="45"/>
      <c r="L128" s="45"/>
      <c r="M128" s="45"/>
      <c r="N128" s="45"/>
      <c r="O128" s="45"/>
      <c r="P128" s="45"/>
      <c r="Q128" s="45"/>
      <c r="R128" s="45"/>
      <c r="S128" s="45"/>
      <c r="T128" s="45"/>
    </row>
    <row r="129" ht="15.75" customHeight="1">
      <c r="A129" s="45"/>
      <c r="B129" s="46"/>
      <c r="C129" s="45"/>
      <c r="D129" s="45"/>
      <c r="E129" s="45"/>
      <c r="F129" s="45"/>
      <c r="G129" s="45"/>
      <c r="H129" s="45"/>
      <c r="I129" s="45"/>
      <c r="J129" s="45"/>
      <c r="K129" s="45"/>
      <c r="L129" s="45"/>
      <c r="M129" s="45"/>
      <c r="N129" s="45"/>
      <c r="O129" s="45"/>
      <c r="P129" s="45"/>
      <c r="Q129" s="45"/>
      <c r="R129" s="45"/>
      <c r="S129" s="45"/>
      <c r="T129" s="45"/>
    </row>
    <row r="130" ht="15.75" customHeight="1">
      <c r="A130" s="45"/>
      <c r="B130" s="46"/>
      <c r="C130" s="45"/>
      <c r="D130" s="45"/>
      <c r="E130" s="45"/>
      <c r="F130" s="45"/>
      <c r="G130" s="45"/>
      <c r="H130" s="45"/>
      <c r="I130" s="45"/>
      <c r="J130" s="45"/>
      <c r="K130" s="45"/>
      <c r="L130" s="45"/>
      <c r="M130" s="45"/>
      <c r="N130" s="45"/>
      <c r="O130" s="45"/>
      <c r="P130" s="45"/>
      <c r="Q130" s="45"/>
      <c r="R130" s="45"/>
      <c r="S130" s="45"/>
      <c r="T130" s="45"/>
    </row>
    <row r="131" ht="15.75" customHeight="1">
      <c r="A131" s="45"/>
      <c r="B131" s="46"/>
      <c r="C131" s="45"/>
      <c r="D131" s="45"/>
      <c r="E131" s="45"/>
      <c r="F131" s="45"/>
      <c r="G131" s="45"/>
      <c r="H131" s="45"/>
      <c r="I131" s="45"/>
      <c r="J131" s="45"/>
      <c r="K131" s="45"/>
      <c r="L131" s="45"/>
      <c r="M131" s="45"/>
      <c r="N131" s="45"/>
      <c r="O131" s="45"/>
      <c r="P131" s="45"/>
      <c r="Q131" s="45"/>
      <c r="R131" s="45"/>
      <c r="S131" s="45"/>
      <c r="T131" s="45"/>
    </row>
    <row r="132" ht="15.75" customHeight="1">
      <c r="A132" s="45"/>
      <c r="B132" s="46"/>
      <c r="C132" s="45"/>
      <c r="D132" s="45"/>
      <c r="E132" s="45"/>
      <c r="F132" s="45"/>
      <c r="G132" s="45"/>
      <c r="H132" s="45"/>
      <c r="I132" s="45"/>
      <c r="J132" s="45"/>
      <c r="K132" s="45"/>
      <c r="L132" s="45"/>
      <c r="M132" s="45"/>
      <c r="N132" s="45"/>
      <c r="O132" s="45"/>
      <c r="P132" s="45"/>
      <c r="Q132" s="45"/>
      <c r="R132" s="45"/>
      <c r="S132" s="45"/>
      <c r="T132" s="45"/>
    </row>
    <row r="133" ht="15.75" customHeight="1">
      <c r="A133" s="45"/>
      <c r="B133" s="46"/>
      <c r="C133" s="45"/>
      <c r="D133" s="45"/>
      <c r="E133" s="45"/>
      <c r="F133" s="45"/>
      <c r="G133" s="45"/>
      <c r="H133" s="45"/>
      <c r="I133" s="45"/>
      <c r="J133" s="45"/>
      <c r="K133" s="45"/>
      <c r="L133" s="45"/>
      <c r="M133" s="45"/>
      <c r="N133" s="45"/>
      <c r="O133" s="45"/>
      <c r="P133" s="45"/>
      <c r="Q133" s="45"/>
      <c r="R133" s="45"/>
      <c r="S133" s="45"/>
      <c r="T133" s="45"/>
    </row>
    <row r="134" ht="15.75" customHeight="1">
      <c r="A134" s="45"/>
      <c r="B134" s="46"/>
      <c r="C134" s="45"/>
      <c r="D134" s="45"/>
      <c r="E134" s="45"/>
      <c r="F134" s="45"/>
      <c r="G134" s="45"/>
      <c r="H134" s="45"/>
      <c r="I134" s="45"/>
      <c r="J134" s="45"/>
      <c r="K134" s="45"/>
      <c r="L134" s="45"/>
      <c r="M134" s="45"/>
      <c r="N134" s="45"/>
      <c r="O134" s="45"/>
      <c r="P134" s="45"/>
      <c r="Q134" s="45"/>
      <c r="R134" s="45"/>
      <c r="S134" s="45"/>
      <c r="T134" s="45"/>
    </row>
    <row r="135" ht="15.75" customHeight="1">
      <c r="A135" s="45"/>
      <c r="B135" s="46"/>
      <c r="C135" s="45"/>
      <c r="D135" s="45"/>
      <c r="E135" s="45"/>
      <c r="F135" s="45"/>
      <c r="G135" s="45"/>
      <c r="H135" s="45"/>
      <c r="I135" s="45"/>
      <c r="J135" s="45"/>
      <c r="K135" s="45"/>
      <c r="L135" s="45"/>
      <c r="M135" s="45"/>
      <c r="N135" s="45"/>
      <c r="O135" s="45"/>
      <c r="P135" s="45"/>
      <c r="Q135" s="45"/>
      <c r="R135" s="45"/>
      <c r="S135" s="45"/>
      <c r="T135" s="45"/>
    </row>
    <row r="136" ht="15.75" customHeight="1">
      <c r="A136" s="45"/>
      <c r="B136" s="46"/>
      <c r="C136" s="45"/>
      <c r="D136" s="45"/>
      <c r="E136" s="45"/>
      <c r="F136" s="45"/>
      <c r="G136" s="45"/>
      <c r="H136" s="45"/>
      <c r="I136" s="45"/>
      <c r="J136" s="45"/>
      <c r="K136" s="45"/>
      <c r="L136" s="45"/>
      <c r="M136" s="45"/>
      <c r="N136" s="45"/>
      <c r="O136" s="45"/>
      <c r="P136" s="45"/>
      <c r="Q136" s="45"/>
      <c r="R136" s="45"/>
      <c r="S136" s="45"/>
      <c r="T136" s="45"/>
    </row>
    <row r="137" ht="15.75" customHeight="1">
      <c r="A137" s="45"/>
      <c r="B137" s="46"/>
      <c r="C137" s="45"/>
      <c r="D137" s="45"/>
      <c r="E137" s="45"/>
      <c r="F137" s="45"/>
      <c r="G137" s="45"/>
      <c r="H137" s="45"/>
      <c r="I137" s="45"/>
      <c r="J137" s="45"/>
      <c r="K137" s="45"/>
      <c r="L137" s="45"/>
      <c r="M137" s="45"/>
      <c r="N137" s="45"/>
      <c r="O137" s="45"/>
      <c r="P137" s="45"/>
      <c r="Q137" s="45"/>
      <c r="R137" s="45"/>
      <c r="S137" s="45"/>
      <c r="T137" s="45"/>
    </row>
    <row r="138" ht="15.75" customHeight="1">
      <c r="A138" s="45"/>
      <c r="B138" s="46"/>
      <c r="C138" s="45"/>
      <c r="D138" s="45"/>
      <c r="E138" s="45"/>
      <c r="F138" s="45"/>
      <c r="G138" s="45"/>
      <c r="H138" s="45"/>
      <c r="I138" s="45"/>
      <c r="J138" s="45"/>
      <c r="K138" s="45"/>
      <c r="L138" s="45"/>
      <c r="M138" s="45"/>
      <c r="N138" s="45"/>
      <c r="O138" s="45"/>
      <c r="P138" s="45"/>
      <c r="Q138" s="45"/>
      <c r="R138" s="45"/>
      <c r="S138" s="45"/>
      <c r="T138" s="45"/>
    </row>
    <row r="139" ht="15.75" customHeight="1">
      <c r="A139" s="45"/>
      <c r="B139" s="46"/>
      <c r="C139" s="45"/>
      <c r="D139" s="45"/>
      <c r="E139" s="45"/>
      <c r="F139" s="45"/>
      <c r="G139" s="45"/>
      <c r="H139" s="45"/>
      <c r="I139" s="45"/>
      <c r="J139" s="45"/>
      <c r="K139" s="45"/>
      <c r="L139" s="45"/>
      <c r="M139" s="45"/>
      <c r="N139" s="45"/>
      <c r="O139" s="45"/>
      <c r="P139" s="45"/>
      <c r="Q139" s="45"/>
      <c r="R139" s="45"/>
      <c r="S139" s="45"/>
      <c r="T139" s="45"/>
    </row>
    <row r="140" ht="15.75" customHeight="1">
      <c r="A140" s="45"/>
      <c r="B140" s="46"/>
      <c r="C140" s="45"/>
      <c r="D140" s="45"/>
      <c r="E140" s="45"/>
      <c r="F140" s="45"/>
      <c r="G140" s="45"/>
      <c r="H140" s="45"/>
      <c r="I140" s="45"/>
      <c r="J140" s="45"/>
      <c r="K140" s="45"/>
      <c r="L140" s="45"/>
      <c r="M140" s="45"/>
      <c r="N140" s="45"/>
      <c r="O140" s="45"/>
      <c r="P140" s="45"/>
      <c r="Q140" s="45"/>
      <c r="R140" s="45"/>
      <c r="S140" s="45"/>
      <c r="T140" s="45"/>
    </row>
    <row r="141" ht="15.75" customHeight="1">
      <c r="A141" s="45"/>
      <c r="B141" s="46"/>
      <c r="C141" s="45"/>
      <c r="D141" s="45"/>
      <c r="E141" s="45"/>
      <c r="F141" s="45"/>
      <c r="G141" s="45"/>
      <c r="H141" s="45"/>
      <c r="I141" s="45"/>
      <c r="J141" s="45"/>
      <c r="K141" s="45"/>
      <c r="L141" s="45"/>
      <c r="M141" s="45"/>
      <c r="N141" s="45"/>
      <c r="O141" s="45"/>
      <c r="P141" s="45"/>
      <c r="Q141" s="45"/>
      <c r="R141" s="45"/>
      <c r="S141" s="45"/>
      <c r="T141" s="45"/>
    </row>
    <row r="142" ht="15.75" customHeight="1">
      <c r="A142" s="45"/>
      <c r="B142" s="46"/>
      <c r="C142" s="45"/>
      <c r="D142" s="45"/>
      <c r="E142" s="45"/>
      <c r="F142" s="45"/>
      <c r="G142" s="45"/>
      <c r="H142" s="45"/>
      <c r="I142" s="45"/>
      <c r="J142" s="45"/>
      <c r="K142" s="45"/>
      <c r="L142" s="45"/>
      <c r="M142" s="45"/>
      <c r="N142" s="45"/>
      <c r="O142" s="45"/>
      <c r="P142" s="45"/>
      <c r="Q142" s="45"/>
      <c r="R142" s="45"/>
      <c r="S142" s="45"/>
      <c r="T142" s="45"/>
    </row>
    <row r="143" ht="15.75" customHeight="1">
      <c r="A143" s="45"/>
      <c r="B143" s="46"/>
      <c r="C143" s="45"/>
      <c r="D143" s="45"/>
      <c r="E143" s="45"/>
      <c r="F143" s="45"/>
      <c r="G143" s="45"/>
      <c r="H143" s="45"/>
      <c r="I143" s="45"/>
      <c r="J143" s="45"/>
      <c r="K143" s="45"/>
      <c r="L143" s="45"/>
      <c r="M143" s="45"/>
      <c r="N143" s="45"/>
      <c r="O143" s="45"/>
      <c r="P143" s="45"/>
      <c r="Q143" s="45"/>
      <c r="R143" s="45"/>
      <c r="S143" s="45"/>
      <c r="T143" s="45"/>
    </row>
    <row r="144" ht="15.75" customHeight="1">
      <c r="A144" s="45"/>
      <c r="B144" s="46"/>
      <c r="C144" s="45"/>
      <c r="D144" s="45"/>
      <c r="E144" s="45"/>
      <c r="F144" s="45"/>
      <c r="G144" s="45"/>
      <c r="H144" s="45"/>
      <c r="I144" s="45"/>
      <c r="J144" s="45"/>
      <c r="K144" s="45"/>
      <c r="L144" s="45"/>
      <c r="M144" s="45"/>
      <c r="N144" s="45"/>
      <c r="O144" s="45"/>
      <c r="P144" s="45"/>
      <c r="Q144" s="45"/>
      <c r="R144" s="45"/>
      <c r="S144" s="45"/>
      <c r="T144" s="45"/>
    </row>
    <row r="145" ht="15.75" customHeight="1">
      <c r="A145" s="45"/>
      <c r="B145" s="46"/>
      <c r="C145" s="45"/>
      <c r="D145" s="45"/>
      <c r="E145" s="45"/>
      <c r="F145" s="45"/>
      <c r="G145" s="45"/>
      <c r="H145" s="45"/>
      <c r="I145" s="45"/>
      <c r="J145" s="45"/>
      <c r="K145" s="45"/>
      <c r="L145" s="45"/>
      <c r="M145" s="45"/>
      <c r="N145" s="45"/>
      <c r="O145" s="45"/>
      <c r="P145" s="45"/>
      <c r="Q145" s="45"/>
      <c r="R145" s="45"/>
      <c r="S145" s="45"/>
      <c r="T145" s="45"/>
    </row>
    <row r="146" ht="15.75" customHeight="1">
      <c r="A146" s="45"/>
      <c r="B146" s="46"/>
      <c r="C146" s="45"/>
      <c r="D146" s="45"/>
      <c r="E146" s="45"/>
      <c r="F146" s="45"/>
      <c r="G146" s="45"/>
      <c r="H146" s="45"/>
      <c r="I146" s="45"/>
      <c r="J146" s="45"/>
      <c r="K146" s="45"/>
      <c r="L146" s="45"/>
      <c r="M146" s="45"/>
      <c r="N146" s="45"/>
      <c r="O146" s="45"/>
      <c r="P146" s="45"/>
      <c r="Q146" s="45"/>
      <c r="R146" s="45"/>
      <c r="S146" s="45"/>
      <c r="T146" s="45"/>
    </row>
    <row r="147" ht="15.75" customHeight="1">
      <c r="A147" s="45"/>
      <c r="B147" s="46"/>
      <c r="C147" s="45"/>
      <c r="D147" s="45"/>
      <c r="E147" s="45"/>
      <c r="F147" s="45"/>
      <c r="G147" s="45"/>
      <c r="H147" s="45"/>
      <c r="I147" s="45"/>
      <c r="J147" s="45"/>
      <c r="K147" s="45"/>
      <c r="L147" s="45"/>
      <c r="M147" s="45"/>
      <c r="N147" s="45"/>
      <c r="O147" s="45"/>
      <c r="P147" s="45"/>
      <c r="Q147" s="45"/>
      <c r="R147" s="45"/>
      <c r="S147" s="45"/>
      <c r="T147" s="45"/>
    </row>
    <row r="148" ht="15.75" customHeight="1">
      <c r="A148" s="45"/>
      <c r="B148" s="46"/>
      <c r="C148" s="45"/>
      <c r="D148" s="45"/>
      <c r="E148" s="45"/>
      <c r="F148" s="45"/>
      <c r="G148" s="45"/>
      <c r="H148" s="45"/>
      <c r="I148" s="45"/>
      <c r="J148" s="45"/>
      <c r="K148" s="45"/>
      <c r="L148" s="45"/>
      <c r="M148" s="45"/>
      <c r="N148" s="45"/>
      <c r="O148" s="45"/>
      <c r="P148" s="45"/>
      <c r="Q148" s="45"/>
      <c r="R148" s="45"/>
      <c r="S148" s="45"/>
      <c r="T148" s="45"/>
    </row>
    <row r="149" ht="15.75" customHeight="1">
      <c r="A149" s="45"/>
      <c r="B149" s="46"/>
      <c r="C149" s="45"/>
      <c r="D149" s="45"/>
      <c r="E149" s="45"/>
      <c r="F149" s="45"/>
      <c r="G149" s="45"/>
      <c r="H149" s="45"/>
      <c r="I149" s="45"/>
      <c r="J149" s="45"/>
      <c r="K149" s="45"/>
      <c r="L149" s="45"/>
      <c r="M149" s="45"/>
      <c r="N149" s="45"/>
      <c r="O149" s="45"/>
      <c r="P149" s="45"/>
      <c r="Q149" s="45"/>
      <c r="R149" s="45"/>
      <c r="S149" s="45"/>
      <c r="T149" s="45"/>
    </row>
    <row r="150" ht="15.75" customHeight="1">
      <c r="A150" s="45"/>
      <c r="B150" s="46"/>
      <c r="C150" s="45"/>
      <c r="D150" s="45"/>
      <c r="E150" s="45"/>
      <c r="F150" s="45"/>
      <c r="G150" s="45"/>
      <c r="H150" s="45"/>
      <c r="I150" s="45"/>
      <c r="J150" s="45"/>
      <c r="K150" s="45"/>
      <c r="L150" s="45"/>
      <c r="M150" s="45"/>
      <c r="N150" s="45"/>
      <c r="O150" s="45"/>
      <c r="P150" s="45"/>
      <c r="Q150" s="45"/>
      <c r="R150" s="45"/>
      <c r="S150" s="45"/>
      <c r="T150" s="45"/>
    </row>
    <row r="151" ht="15.75" customHeight="1">
      <c r="A151" s="45"/>
      <c r="B151" s="46"/>
      <c r="C151" s="45"/>
      <c r="D151" s="45"/>
      <c r="E151" s="45"/>
      <c r="F151" s="45"/>
      <c r="G151" s="45"/>
      <c r="H151" s="45"/>
      <c r="I151" s="45"/>
      <c r="J151" s="45"/>
      <c r="K151" s="45"/>
      <c r="L151" s="45"/>
      <c r="M151" s="45"/>
      <c r="N151" s="45"/>
      <c r="O151" s="45"/>
      <c r="P151" s="45"/>
      <c r="Q151" s="45"/>
      <c r="R151" s="45"/>
      <c r="S151" s="45"/>
      <c r="T151" s="45"/>
    </row>
    <row r="152" ht="15.75" customHeight="1">
      <c r="A152" s="45"/>
      <c r="B152" s="46"/>
      <c r="C152" s="45"/>
      <c r="D152" s="45"/>
      <c r="E152" s="45"/>
      <c r="F152" s="45"/>
      <c r="G152" s="45"/>
      <c r="H152" s="45"/>
      <c r="I152" s="45"/>
      <c r="J152" s="45"/>
      <c r="K152" s="45"/>
      <c r="L152" s="45"/>
      <c r="M152" s="45"/>
      <c r="N152" s="45"/>
      <c r="O152" s="45"/>
      <c r="P152" s="45"/>
      <c r="Q152" s="45"/>
      <c r="R152" s="45"/>
      <c r="S152" s="45"/>
      <c r="T152" s="45"/>
    </row>
    <row r="153" ht="15.75" customHeight="1">
      <c r="A153" s="45"/>
      <c r="B153" s="46"/>
      <c r="C153" s="45"/>
      <c r="D153" s="45"/>
      <c r="E153" s="45"/>
      <c r="F153" s="45"/>
      <c r="G153" s="45"/>
      <c r="H153" s="45"/>
      <c r="I153" s="45"/>
      <c r="J153" s="45"/>
      <c r="K153" s="45"/>
      <c r="L153" s="45"/>
      <c r="M153" s="45"/>
      <c r="N153" s="45"/>
      <c r="O153" s="45"/>
      <c r="P153" s="45"/>
      <c r="Q153" s="45"/>
      <c r="R153" s="45"/>
      <c r="S153" s="45"/>
      <c r="T153" s="45"/>
    </row>
    <row r="154" ht="15.75" customHeight="1">
      <c r="A154" s="45"/>
      <c r="B154" s="46"/>
      <c r="C154" s="45"/>
      <c r="D154" s="45"/>
      <c r="E154" s="45"/>
      <c r="F154" s="45"/>
      <c r="G154" s="45"/>
      <c r="H154" s="45"/>
      <c r="I154" s="45"/>
      <c r="J154" s="45"/>
      <c r="K154" s="45"/>
      <c r="L154" s="45"/>
      <c r="M154" s="45"/>
      <c r="N154" s="45"/>
      <c r="O154" s="45"/>
      <c r="P154" s="45"/>
      <c r="Q154" s="45"/>
      <c r="R154" s="45"/>
      <c r="S154" s="45"/>
      <c r="T154" s="45"/>
    </row>
    <row r="155" ht="15.75" customHeight="1">
      <c r="A155" s="45"/>
      <c r="B155" s="46"/>
      <c r="C155" s="45"/>
      <c r="D155" s="45"/>
      <c r="E155" s="45"/>
      <c r="F155" s="45"/>
      <c r="G155" s="45"/>
      <c r="H155" s="45"/>
      <c r="I155" s="45"/>
      <c r="J155" s="45"/>
      <c r="K155" s="45"/>
      <c r="L155" s="45"/>
      <c r="M155" s="45"/>
      <c r="N155" s="45"/>
      <c r="O155" s="45"/>
      <c r="P155" s="45"/>
      <c r="Q155" s="45"/>
      <c r="R155" s="45"/>
      <c r="S155" s="45"/>
      <c r="T155" s="45"/>
    </row>
    <row r="156" ht="15.75" customHeight="1">
      <c r="A156" s="45"/>
      <c r="B156" s="46"/>
      <c r="C156" s="45"/>
      <c r="D156" s="45"/>
      <c r="E156" s="45"/>
      <c r="F156" s="45"/>
      <c r="G156" s="45"/>
      <c r="H156" s="45"/>
      <c r="I156" s="45"/>
      <c r="J156" s="45"/>
      <c r="K156" s="45"/>
      <c r="L156" s="45"/>
      <c r="M156" s="45"/>
      <c r="N156" s="45"/>
      <c r="O156" s="45"/>
      <c r="P156" s="45"/>
      <c r="Q156" s="45"/>
      <c r="R156" s="45"/>
      <c r="S156" s="45"/>
      <c r="T156" s="45"/>
    </row>
    <row r="157" ht="15.75" customHeight="1">
      <c r="A157" s="45"/>
      <c r="B157" s="46"/>
      <c r="C157" s="45"/>
      <c r="D157" s="45"/>
      <c r="E157" s="45"/>
      <c r="F157" s="45"/>
      <c r="G157" s="45"/>
      <c r="H157" s="45"/>
      <c r="I157" s="45"/>
      <c r="J157" s="45"/>
      <c r="K157" s="45"/>
      <c r="L157" s="45"/>
      <c r="M157" s="45"/>
      <c r="N157" s="45"/>
      <c r="O157" s="45"/>
      <c r="P157" s="45"/>
      <c r="Q157" s="45"/>
      <c r="R157" s="45"/>
      <c r="S157" s="45"/>
      <c r="T157" s="45"/>
    </row>
    <row r="158" ht="15.75" customHeight="1">
      <c r="A158" s="45"/>
      <c r="B158" s="46"/>
      <c r="C158" s="45"/>
      <c r="D158" s="45"/>
      <c r="E158" s="45"/>
      <c r="F158" s="45"/>
      <c r="G158" s="45"/>
      <c r="H158" s="45"/>
      <c r="I158" s="45"/>
      <c r="J158" s="45"/>
      <c r="K158" s="45"/>
      <c r="L158" s="45"/>
      <c r="M158" s="45"/>
      <c r="N158" s="45"/>
      <c r="O158" s="45"/>
      <c r="P158" s="45"/>
      <c r="Q158" s="45"/>
      <c r="R158" s="45"/>
      <c r="S158" s="45"/>
      <c r="T158" s="45"/>
    </row>
    <row r="159" ht="15.75" customHeight="1">
      <c r="A159" s="45"/>
      <c r="B159" s="46"/>
      <c r="C159" s="45"/>
      <c r="D159" s="45"/>
      <c r="E159" s="45"/>
      <c r="F159" s="45"/>
      <c r="G159" s="45"/>
      <c r="H159" s="45"/>
      <c r="I159" s="45"/>
      <c r="J159" s="45"/>
      <c r="K159" s="45"/>
      <c r="L159" s="45"/>
      <c r="M159" s="45"/>
      <c r="N159" s="45"/>
      <c r="O159" s="45"/>
      <c r="P159" s="45"/>
      <c r="Q159" s="45"/>
      <c r="R159" s="45"/>
      <c r="S159" s="45"/>
      <c r="T159" s="45"/>
    </row>
    <row r="160" ht="15.75" customHeight="1">
      <c r="A160" s="45"/>
      <c r="B160" s="46"/>
      <c r="C160" s="45"/>
      <c r="D160" s="45"/>
      <c r="E160" s="45"/>
      <c r="F160" s="45"/>
      <c r="G160" s="45"/>
      <c r="H160" s="45"/>
      <c r="I160" s="45"/>
      <c r="J160" s="45"/>
      <c r="K160" s="45"/>
      <c r="L160" s="45"/>
      <c r="M160" s="45"/>
      <c r="N160" s="45"/>
      <c r="O160" s="45"/>
      <c r="P160" s="45"/>
      <c r="Q160" s="45"/>
      <c r="R160" s="45"/>
      <c r="S160" s="45"/>
      <c r="T160" s="45"/>
    </row>
    <row r="161" ht="15.75" customHeight="1">
      <c r="A161" s="45"/>
      <c r="B161" s="46"/>
      <c r="C161" s="45"/>
      <c r="D161" s="45"/>
      <c r="E161" s="45"/>
      <c r="F161" s="45"/>
      <c r="G161" s="45"/>
      <c r="H161" s="45"/>
      <c r="I161" s="45"/>
      <c r="J161" s="45"/>
      <c r="K161" s="45"/>
      <c r="L161" s="45"/>
      <c r="M161" s="45"/>
      <c r="N161" s="45"/>
      <c r="O161" s="45"/>
      <c r="P161" s="45"/>
      <c r="Q161" s="45"/>
      <c r="R161" s="45"/>
      <c r="S161" s="45"/>
      <c r="T161" s="45"/>
    </row>
    <row r="162" ht="15.75" customHeight="1">
      <c r="A162" s="45"/>
      <c r="B162" s="46"/>
      <c r="C162" s="45"/>
      <c r="D162" s="45"/>
      <c r="E162" s="45"/>
      <c r="F162" s="45"/>
      <c r="G162" s="45"/>
      <c r="H162" s="45"/>
      <c r="I162" s="45"/>
      <c r="J162" s="45"/>
      <c r="K162" s="45"/>
      <c r="L162" s="45"/>
      <c r="M162" s="45"/>
      <c r="N162" s="45"/>
      <c r="O162" s="45"/>
      <c r="P162" s="45"/>
      <c r="Q162" s="45"/>
      <c r="R162" s="45"/>
      <c r="S162" s="45"/>
      <c r="T162" s="45"/>
    </row>
    <row r="163" ht="15.75" customHeight="1">
      <c r="A163" s="45"/>
      <c r="B163" s="46"/>
      <c r="C163" s="45"/>
      <c r="D163" s="45"/>
      <c r="E163" s="45"/>
      <c r="F163" s="45"/>
      <c r="G163" s="45"/>
      <c r="H163" s="45"/>
      <c r="I163" s="45"/>
      <c r="J163" s="45"/>
      <c r="K163" s="45"/>
      <c r="L163" s="45"/>
      <c r="M163" s="45"/>
      <c r="N163" s="45"/>
      <c r="O163" s="45"/>
      <c r="P163" s="45"/>
      <c r="Q163" s="45"/>
      <c r="R163" s="45"/>
      <c r="S163" s="45"/>
      <c r="T163" s="45"/>
    </row>
    <row r="164" ht="15.75" customHeight="1">
      <c r="A164" s="45"/>
      <c r="B164" s="46"/>
      <c r="C164" s="45"/>
      <c r="D164" s="45"/>
      <c r="E164" s="45"/>
      <c r="F164" s="45"/>
      <c r="G164" s="45"/>
      <c r="H164" s="45"/>
      <c r="I164" s="45"/>
      <c r="J164" s="45"/>
      <c r="K164" s="45"/>
      <c r="L164" s="45"/>
      <c r="M164" s="45"/>
      <c r="N164" s="45"/>
      <c r="O164" s="45"/>
      <c r="P164" s="45"/>
      <c r="Q164" s="45"/>
      <c r="R164" s="45"/>
      <c r="S164" s="45"/>
      <c r="T164" s="45"/>
    </row>
    <row r="165" ht="15.75" customHeight="1">
      <c r="A165" s="45"/>
      <c r="B165" s="46"/>
      <c r="C165" s="45"/>
      <c r="D165" s="45"/>
      <c r="E165" s="45"/>
      <c r="F165" s="45"/>
      <c r="G165" s="45"/>
      <c r="H165" s="45"/>
      <c r="I165" s="45"/>
      <c r="J165" s="45"/>
      <c r="K165" s="45"/>
      <c r="L165" s="45"/>
      <c r="M165" s="45"/>
      <c r="N165" s="45"/>
      <c r="O165" s="45"/>
      <c r="P165" s="45"/>
      <c r="Q165" s="45"/>
      <c r="R165" s="45"/>
      <c r="S165" s="45"/>
      <c r="T165" s="45"/>
    </row>
    <row r="166" ht="15.75" customHeight="1">
      <c r="A166" s="45"/>
      <c r="B166" s="46"/>
      <c r="C166" s="45"/>
      <c r="D166" s="45"/>
      <c r="E166" s="45"/>
      <c r="F166" s="45"/>
      <c r="G166" s="45"/>
      <c r="H166" s="45"/>
      <c r="I166" s="45"/>
      <c r="J166" s="45"/>
      <c r="K166" s="45"/>
      <c r="L166" s="45"/>
      <c r="M166" s="45"/>
      <c r="N166" s="45"/>
      <c r="O166" s="45"/>
      <c r="P166" s="45"/>
      <c r="Q166" s="45"/>
      <c r="R166" s="45"/>
      <c r="S166" s="45"/>
      <c r="T166" s="45"/>
    </row>
    <row r="167" ht="15.75" customHeight="1">
      <c r="A167" s="45"/>
      <c r="B167" s="46"/>
      <c r="C167" s="45"/>
      <c r="D167" s="45"/>
      <c r="E167" s="45"/>
      <c r="F167" s="45"/>
      <c r="G167" s="45"/>
      <c r="H167" s="45"/>
      <c r="I167" s="45"/>
      <c r="J167" s="45"/>
      <c r="K167" s="45"/>
      <c r="L167" s="45"/>
      <c r="M167" s="45"/>
      <c r="N167" s="45"/>
      <c r="O167" s="45"/>
      <c r="P167" s="45"/>
      <c r="Q167" s="45"/>
      <c r="R167" s="45"/>
      <c r="S167" s="45"/>
      <c r="T167" s="45"/>
    </row>
    <row r="168" ht="15.75" customHeight="1">
      <c r="A168" s="45"/>
      <c r="B168" s="46"/>
      <c r="C168" s="45"/>
      <c r="D168" s="45"/>
      <c r="E168" s="45"/>
      <c r="F168" s="45"/>
      <c r="G168" s="45"/>
      <c r="H168" s="45"/>
      <c r="I168" s="45"/>
      <c r="J168" s="45"/>
      <c r="K168" s="45"/>
      <c r="L168" s="45"/>
      <c r="M168" s="45"/>
      <c r="N168" s="45"/>
      <c r="O168" s="45"/>
      <c r="P168" s="45"/>
      <c r="Q168" s="45"/>
      <c r="R168" s="45"/>
      <c r="S168" s="45"/>
      <c r="T168" s="45"/>
    </row>
    <row r="169" ht="15.75" customHeight="1">
      <c r="A169" s="45"/>
      <c r="B169" s="46"/>
      <c r="C169" s="45"/>
      <c r="D169" s="45"/>
      <c r="E169" s="45"/>
      <c r="F169" s="45"/>
      <c r="G169" s="45"/>
      <c r="H169" s="45"/>
      <c r="I169" s="45"/>
      <c r="J169" s="45"/>
      <c r="K169" s="45"/>
      <c r="L169" s="45"/>
      <c r="M169" s="45"/>
      <c r="N169" s="45"/>
      <c r="O169" s="45"/>
      <c r="P169" s="45"/>
      <c r="Q169" s="45"/>
      <c r="R169" s="45"/>
      <c r="S169" s="45"/>
      <c r="T169" s="45"/>
    </row>
    <row r="170" ht="15.75" customHeight="1">
      <c r="A170" s="45"/>
      <c r="B170" s="46"/>
      <c r="C170" s="45"/>
      <c r="D170" s="45"/>
      <c r="E170" s="45"/>
      <c r="F170" s="45"/>
      <c r="G170" s="45"/>
      <c r="H170" s="45"/>
      <c r="I170" s="45"/>
      <c r="J170" s="45"/>
      <c r="K170" s="45"/>
      <c r="L170" s="45"/>
      <c r="M170" s="45"/>
      <c r="N170" s="45"/>
      <c r="O170" s="45"/>
      <c r="P170" s="45"/>
      <c r="Q170" s="45"/>
      <c r="R170" s="45"/>
      <c r="S170" s="45"/>
      <c r="T170" s="45"/>
    </row>
    <row r="171" ht="15.75" customHeight="1">
      <c r="A171" s="45"/>
      <c r="B171" s="46"/>
      <c r="C171" s="45"/>
      <c r="D171" s="45"/>
      <c r="E171" s="45"/>
      <c r="F171" s="45"/>
      <c r="G171" s="45"/>
      <c r="H171" s="45"/>
      <c r="I171" s="45"/>
      <c r="J171" s="45"/>
      <c r="K171" s="45"/>
      <c r="L171" s="45"/>
      <c r="M171" s="45"/>
      <c r="N171" s="45"/>
      <c r="O171" s="45"/>
      <c r="P171" s="45"/>
      <c r="Q171" s="45"/>
      <c r="R171" s="45"/>
      <c r="S171" s="45"/>
      <c r="T171" s="45"/>
    </row>
    <row r="172" ht="15.75" customHeight="1">
      <c r="A172" s="45"/>
      <c r="B172" s="46"/>
      <c r="C172" s="45"/>
      <c r="D172" s="45"/>
      <c r="E172" s="45"/>
      <c r="F172" s="45"/>
      <c r="G172" s="45"/>
      <c r="H172" s="45"/>
      <c r="I172" s="45"/>
      <c r="J172" s="45"/>
      <c r="K172" s="45"/>
      <c r="L172" s="45"/>
      <c r="M172" s="45"/>
      <c r="N172" s="45"/>
      <c r="O172" s="45"/>
      <c r="P172" s="45"/>
      <c r="Q172" s="45"/>
      <c r="R172" s="45"/>
      <c r="S172" s="45"/>
      <c r="T172" s="45"/>
    </row>
    <row r="173" ht="15.75" customHeight="1">
      <c r="A173" s="45"/>
      <c r="B173" s="46"/>
      <c r="C173" s="45"/>
      <c r="D173" s="45"/>
      <c r="E173" s="45"/>
      <c r="F173" s="45"/>
      <c r="G173" s="45"/>
      <c r="H173" s="45"/>
      <c r="I173" s="45"/>
      <c r="J173" s="45"/>
      <c r="K173" s="45"/>
      <c r="L173" s="45"/>
      <c r="M173" s="45"/>
      <c r="N173" s="45"/>
      <c r="O173" s="45"/>
      <c r="P173" s="45"/>
      <c r="Q173" s="45"/>
      <c r="R173" s="45"/>
      <c r="S173" s="45"/>
      <c r="T173" s="45"/>
    </row>
    <row r="174" ht="15.75" customHeight="1">
      <c r="A174" s="45"/>
      <c r="B174" s="46"/>
      <c r="C174" s="45"/>
      <c r="D174" s="45"/>
      <c r="E174" s="45"/>
      <c r="F174" s="45"/>
      <c r="G174" s="45"/>
      <c r="H174" s="45"/>
      <c r="I174" s="45"/>
      <c r="J174" s="45"/>
      <c r="K174" s="45"/>
      <c r="L174" s="45"/>
      <c r="M174" s="45"/>
      <c r="N174" s="45"/>
      <c r="O174" s="45"/>
      <c r="P174" s="45"/>
      <c r="Q174" s="45"/>
      <c r="R174" s="45"/>
      <c r="S174" s="45"/>
      <c r="T174" s="45"/>
    </row>
    <row r="175" ht="15.75" customHeight="1">
      <c r="A175" s="45"/>
      <c r="B175" s="46"/>
      <c r="C175" s="45"/>
      <c r="D175" s="45"/>
      <c r="E175" s="45"/>
      <c r="F175" s="45"/>
      <c r="G175" s="45"/>
      <c r="H175" s="45"/>
      <c r="I175" s="45"/>
      <c r="J175" s="45"/>
      <c r="K175" s="45"/>
      <c r="L175" s="45"/>
      <c r="M175" s="45"/>
      <c r="N175" s="45"/>
      <c r="O175" s="45"/>
      <c r="P175" s="45"/>
      <c r="Q175" s="45"/>
      <c r="R175" s="45"/>
      <c r="S175" s="45"/>
      <c r="T175" s="45"/>
    </row>
    <row r="176" ht="15.75" customHeight="1">
      <c r="A176" s="45"/>
      <c r="B176" s="46"/>
      <c r="C176" s="45"/>
      <c r="D176" s="45"/>
      <c r="E176" s="45"/>
      <c r="F176" s="45"/>
      <c r="G176" s="45"/>
      <c r="H176" s="45"/>
      <c r="I176" s="45"/>
      <c r="J176" s="45"/>
      <c r="K176" s="45"/>
      <c r="L176" s="45"/>
      <c r="M176" s="45"/>
      <c r="N176" s="45"/>
      <c r="O176" s="45"/>
      <c r="P176" s="45"/>
      <c r="Q176" s="45"/>
      <c r="R176" s="45"/>
      <c r="S176" s="45"/>
      <c r="T176" s="45"/>
    </row>
    <row r="177" ht="15.75" customHeight="1">
      <c r="A177" s="45"/>
      <c r="B177" s="46"/>
      <c r="C177" s="45"/>
      <c r="D177" s="45"/>
      <c r="E177" s="45"/>
      <c r="F177" s="45"/>
      <c r="G177" s="45"/>
      <c r="H177" s="45"/>
      <c r="I177" s="45"/>
      <c r="J177" s="45"/>
      <c r="K177" s="45"/>
      <c r="L177" s="45"/>
      <c r="M177" s="45"/>
      <c r="N177" s="45"/>
      <c r="O177" s="45"/>
      <c r="P177" s="45"/>
      <c r="Q177" s="45"/>
      <c r="R177" s="45"/>
      <c r="S177" s="45"/>
      <c r="T177" s="45"/>
    </row>
    <row r="178" ht="15.75" customHeight="1">
      <c r="A178" s="45"/>
      <c r="B178" s="46"/>
      <c r="C178" s="45"/>
      <c r="D178" s="45"/>
      <c r="E178" s="45"/>
      <c r="F178" s="45"/>
      <c r="G178" s="45"/>
      <c r="H178" s="45"/>
      <c r="I178" s="45"/>
      <c r="J178" s="45"/>
      <c r="K178" s="45"/>
      <c r="L178" s="45"/>
      <c r="M178" s="45"/>
      <c r="N178" s="45"/>
      <c r="O178" s="45"/>
      <c r="P178" s="45"/>
      <c r="Q178" s="45"/>
      <c r="R178" s="45"/>
      <c r="S178" s="45"/>
      <c r="T178" s="45"/>
    </row>
    <row r="179" ht="15.75" customHeight="1">
      <c r="A179" s="45"/>
      <c r="B179" s="46"/>
      <c r="C179" s="45"/>
      <c r="D179" s="45"/>
      <c r="E179" s="45"/>
      <c r="F179" s="45"/>
      <c r="G179" s="45"/>
      <c r="H179" s="45"/>
      <c r="I179" s="45"/>
      <c r="J179" s="45"/>
      <c r="K179" s="45"/>
      <c r="L179" s="45"/>
      <c r="M179" s="45"/>
      <c r="N179" s="45"/>
      <c r="O179" s="45"/>
      <c r="P179" s="45"/>
      <c r="Q179" s="45"/>
      <c r="R179" s="45"/>
      <c r="S179" s="45"/>
      <c r="T179" s="45"/>
    </row>
    <row r="180" ht="15.75" customHeight="1">
      <c r="A180" s="45"/>
      <c r="B180" s="46"/>
      <c r="C180" s="45"/>
      <c r="D180" s="45"/>
      <c r="E180" s="45"/>
      <c r="F180" s="45"/>
      <c r="G180" s="45"/>
      <c r="H180" s="45"/>
      <c r="I180" s="45"/>
      <c r="J180" s="45"/>
      <c r="K180" s="45"/>
      <c r="L180" s="45"/>
      <c r="M180" s="45"/>
      <c r="N180" s="45"/>
      <c r="O180" s="45"/>
      <c r="P180" s="45"/>
      <c r="Q180" s="45"/>
      <c r="R180" s="45"/>
      <c r="S180" s="45"/>
      <c r="T180" s="45"/>
    </row>
    <row r="181" ht="15.75" customHeight="1">
      <c r="A181" s="45"/>
      <c r="B181" s="46"/>
      <c r="C181" s="45"/>
      <c r="D181" s="45"/>
      <c r="E181" s="45"/>
      <c r="F181" s="45"/>
      <c r="G181" s="45"/>
      <c r="H181" s="45"/>
      <c r="I181" s="45"/>
      <c r="J181" s="45"/>
      <c r="K181" s="45"/>
      <c r="L181" s="45"/>
      <c r="M181" s="45"/>
      <c r="N181" s="45"/>
      <c r="O181" s="45"/>
      <c r="P181" s="45"/>
      <c r="Q181" s="45"/>
      <c r="R181" s="45"/>
      <c r="S181" s="45"/>
      <c r="T181" s="45"/>
    </row>
    <row r="182" ht="15.75" customHeight="1">
      <c r="A182" s="45"/>
      <c r="B182" s="46"/>
      <c r="C182" s="45"/>
      <c r="D182" s="45"/>
      <c r="E182" s="45"/>
      <c r="F182" s="45"/>
      <c r="G182" s="45"/>
      <c r="H182" s="45"/>
      <c r="I182" s="45"/>
      <c r="J182" s="45"/>
      <c r="K182" s="45"/>
      <c r="L182" s="45"/>
      <c r="M182" s="45"/>
      <c r="N182" s="45"/>
      <c r="O182" s="45"/>
      <c r="P182" s="45"/>
      <c r="Q182" s="45"/>
      <c r="R182" s="45"/>
      <c r="S182" s="45"/>
      <c r="T182" s="45"/>
    </row>
    <row r="183" ht="15.75" customHeight="1">
      <c r="A183" s="45"/>
      <c r="B183" s="46"/>
      <c r="C183" s="45"/>
      <c r="D183" s="45"/>
      <c r="E183" s="45"/>
      <c r="F183" s="45"/>
      <c r="G183" s="45"/>
      <c r="H183" s="45"/>
      <c r="I183" s="45"/>
      <c r="J183" s="45"/>
      <c r="K183" s="45"/>
      <c r="L183" s="45"/>
      <c r="M183" s="45"/>
      <c r="N183" s="45"/>
      <c r="O183" s="45"/>
      <c r="P183" s="45"/>
      <c r="Q183" s="45"/>
      <c r="R183" s="45"/>
      <c r="S183" s="45"/>
      <c r="T183" s="45"/>
    </row>
    <row r="184" ht="15.75" customHeight="1">
      <c r="A184" s="45"/>
      <c r="B184" s="46"/>
      <c r="C184" s="45"/>
      <c r="D184" s="45"/>
      <c r="E184" s="45"/>
      <c r="F184" s="45"/>
      <c r="G184" s="45"/>
      <c r="H184" s="45"/>
      <c r="I184" s="45"/>
      <c r="J184" s="45"/>
      <c r="K184" s="45"/>
      <c r="L184" s="45"/>
      <c r="M184" s="45"/>
      <c r="N184" s="45"/>
      <c r="O184" s="45"/>
      <c r="P184" s="45"/>
      <c r="Q184" s="45"/>
      <c r="R184" s="45"/>
      <c r="S184" s="45"/>
      <c r="T184" s="45"/>
    </row>
    <row r="185" ht="15.75" customHeight="1">
      <c r="A185" s="45"/>
      <c r="B185" s="46"/>
      <c r="C185" s="45"/>
      <c r="D185" s="45"/>
      <c r="E185" s="45"/>
      <c r="F185" s="45"/>
      <c r="G185" s="45"/>
      <c r="H185" s="45"/>
      <c r="I185" s="45"/>
      <c r="J185" s="45"/>
      <c r="K185" s="45"/>
      <c r="L185" s="45"/>
      <c r="M185" s="45"/>
      <c r="N185" s="45"/>
      <c r="O185" s="45"/>
      <c r="P185" s="45"/>
      <c r="Q185" s="45"/>
      <c r="R185" s="45"/>
      <c r="S185" s="45"/>
      <c r="T185" s="45"/>
    </row>
    <row r="186" ht="15.75" customHeight="1">
      <c r="A186" s="45"/>
      <c r="B186" s="46"/>
      <c r="C186" s="45"/>
      <c r="D186" s="45"/>
      <c r="E186" s="45"/>
      <c r="F186" s="45"/>
      <c r="G186" s="45"/>
      <c r="H186" s="45"/>
      <c r="I186" s="45"/>
      <c r="J186" s="45"/>
      <c r="K186" s="45"/>
      <c r="L186" s="45"/>
      <c r="M186" s="45"/>
      <c r="N186" s="45"/>
      <c r="O186" s="45"/>
      <c r="P186" s="45"/>
      <c r="Q186" s="45"/>
      <c r="R186" s="45"/>
      <c r="S186" s="45"/>
      <c r="T186" s="45"/>
    </row>
    <row r="187" ht="15.75" customHeight="1">
      <c r="A187" s="45"/>
      <c r="B187" s="46"/>
      <c r="C187" s="45"/>
      <c r="D187" s="45"/>
      <c r="E187" s="45"/>
      <c r="F187" s="45"/>
      <c r="G187" s="45"/>
      <c r="H187" s="45"/>
      <c r="I187" s="45"/>
      <c r="J187" s="45"/>
      <c r="K187" s="45"/>
      <c r="L187" s="45"/>
      <c r="M187" s="45"/>
      <c r="N187" s="45"/>
      <c r="O187" s="45"/>
      <c r="P187" s="45"/>
      <c r="Q187" s="45"/>
      <c r="R187" s="45"/>
      <c r="S187" s="45"/>
      <c r="T187" s="45"/>
    </row>
    <row r="188" ht="15.75" customHeight="1">
      <c r="A188" s="45"/>
      <c r="B188" s="46"/>
      <c r="C188" s="45"/>
      <c r="D188" s="45"/>
      <c r="E188" s="45"/>
      <c r="F188" s="45"/>
      <c r="G188" s="45"/>
      <c r="H188" s="45"/>
      <c r="I188" s="45"/>
      <c r="J188" s="45"/>
      <c r="K188" s="45"/>
      <c r="L188" s="45"/>
      <c r="M188" s="45"/>
      <c r="N188" s="45"/>
      <c r="O188" s="45"/>
      <c r="P188" s="45"/>
      <c r="Q188" s="45"/>
      <c r="R188" s="45"/>
      <c r="S188" s="45"/>
      <c r="T188" s="45"/>
    </row>
    <row r="189" ht="15.75" customHeight="1">
      <c r="A189" s="45"/>
      <c r="B189" s="46"/>
      <c r="C189" s="45"/>
      <c r="D189" s="45"/>
      <c r="E189" s="45"/>
      <c r="F189" s="45"/>
      <c r="G189" s="45"/>
      <c r="H189" s="45"/>
      <c r="I189" s="45"/>
      <c r="J189" s="45"/>
      <c r="K189" s="45"/>
      <c r="L189" s="45"/>
      <c r="M189" s="45"/>
      <c r="N189" s="45"/>
      <c r="O189" s="45"/>
      <c r="P189" s="45"/>
      <c r="Q189" s="45"/>
      <c r="R189" s="45"/>
      <c r="S189" s="45"/>
      <c r="T189" s="45"/>
    </row>
    <row r="190" ht="15.75" customHeight="1">
      <c r="A190" s="45"/>
      <c r="B190" s="46"/>
      <c r="C190" s="45"/>
      <c r="D190" s="45"/>
      <c r="E190" s="45"/>
      <c r="F190" s="45"/>
      <c r="G190" s="45"/>
      <c r="H190" s="45"/>
      <c r="I190" s="45"/>
      <c r="J190" s="45"/>
      <c r="K190" s="45"/>
      <c r="L190" s="45"/>
      <c r="M190" s="45"/>
      <c r="N190" s="45"/>
      <c r="O190" s="45"/>
      <c r="P190" s="45"/>
      <c r="Q190" s="45"/>
      <c r="R190" s="45"/>
      <c r="S190" s="45"/>
      <c r="T190" s="45"/>
    </row>
    <row r="191" ht="15.75" customHeight="1">
      <c r="A191" s="45"/>
      <c r="B191" s="46"/>
      <c r="C191" s="45"/>
      <c r="D191" s="45"/>
      <c r="E191" s="45"/>
      <c r="F191" s="45"/>
      <c r="G191" s="45"/>
      <c r="H191" s="45"/>
      <c r="I191" s="45"/>
      <c r="J191" s="45"/>
      <c r="K191" s="45"/>
      <c r="L191" s="45"/>
      <c r="M191" s="45"/>
      <c r="N191" s="45"/>
      <c r="O191" s="45"/>
      <c r="P191" s="45"/>
      <c r="Q191" s="45"/>
      <c r="R191" s="45"/>
      <c r="S191" s="45"/>
      <c r="T191" s="45"/>
    </row>
    <row r="192" ht="15.75" customHeight="1">
      <c r="A192" s="45"/>
      <c r="B192" s="46"/>
      <c r="C192" s="45"/>
      <c r="D192" s="45"/>
      <c r="E192" s="45"/>
      <c r="F192" s="45"/>
      <c r="G192" s="45"/>
      <c r="H192" s="45"/>
      <c r="I192" s="45"/>
      <c r="J192" s="45"/>
      <c r="K192" s="45"/>
      <c r="L192" s="45"/>
      <c r="M192" s="45"/>
      <c r="N192" s="45"/>
      <c r="O192" s="45"/>
      <c r="P192" s="45"/>
      <c r="Q192" s="45"/>
      <c r="R192" s="45"/>
      <c r="S192" s="45"/>
      <c r="T192" s="45"/>
    </row>
    <row r="193" ht="15.75" customHeight="1">
      <c r="A193" s="45"/>
      <c r="B193" s="46"/>
      <c r="C193" s="45"/>
      <c r="D193" s="45"/>
      <c r="E193" s="45"/>
      <c r="F193" s="45"/>
      <c r="G193" s="45"/>
      <c r="H193" s="45"/>
      <c r="I193" s="45"/>
      <c r="J193" s="45"/>
      <c r="K193" s="45"/>
      <c r="L193" s="45"/>
      <c r="M193" s="45"/>
      <c r="N193" s="45"/>
      <c r="O193" s="45"/>
      <c r="P193" s="45"/>
      <c r="Q193" s="45"/>
      <c r="R193" s="45"/>
      <c r="S193" s="45"/>
      <c r="T193" s="45"/>
    </row>
    <row r="194" ht="15.75" customHeight="1">
      <c r="A194" s="45"/>
      <c r="B194" s="46"/>
      <c r="C194" s="45"/>
      <c r="D194" s="45"/>
      <c r="E194" s="45"/>
      <c r="F194" s="45"/>
      <c r="G194" s="45"/>
      <c r="H194" s="45"/>
      <c r="I194" s="45"/>
      <c r="J194" s="45"/>
      <c r="K194" s="45"/>
      <c r="L194" s="45"/>
      <c r="M194" s="45"/>
      <c r="N194" s="45"/>
      <c r="O194" s="45"/>
      <c r="P194" s="45"/>
      <c r="Q194" s="45"/>
      <c r="R194" s="45"/>
      <c r="S194" s="45"/>
      <c r="T194" s="45"/>
    </row>
    <row r="195" ht="15.75" customHeight="1">
      <c r="A195" s="45"/>
      <c r="B195" s="46"/>
      <c r="C195" s="45"/>
      <c r="D195" s="45"/>
      <c r="E195" s="45"/>
      <c r="F195" s="45"/>
      <c r="G195" s="45"/>
      <c r="H195" s="45"/>
      <c r="I195" s="45"/>
      <c r="J195" s="45"/>
      <c r="K195" s="45"/>
      <c r="L195" s="45"/>
      <c r="M195" s="45"/>
      <c r="N195" s="45"/>
      <c r="O195" s="45"/>
      <c r="P195" s="45"/>
      <c r="Q195" s="45"/>
      <c r="R195" s="45"/>
      <c r="S195" s="45"/>
      <c r="T195" s="45"/>
    </row>
    <row r="196" ht="15.75" customHeight="1">
      <c r="A196" s="45"/>
      <c r="B196" s="46"/>
      <c r="C196" s="45"/>
      <c r="D196" s="45"/>
      <c r="E196" s="45"/>
      <c r="F196" s="45"/>
      <c r="G196" s="45"/>
      <c r="H196" s="45"/>
      <c r="I196" s="45"/>
      <c r="J196" s="45"/>
      <c r="K196" s="45"/>
      <c r="L196" s="45"/>
      <c r="M196" s="45"/>
      <c r="N196" s="45"/>
      <c r="O196" s="45"/>
      <c r="P196" s="45"/>
      <c r="Q196" s="45"/>
      <c r="R196" s="45"/>
      <c r="S196" s="45"/>
      <c r="T196" s="45"/>
    </row>
    <row r="197" ht="15.75" customHeight="1">
      <c r="A197" s="45"/>
      <c r="B197" s="46"/>
      <c r="C197" s="45"/>
      <c r="D197" s="45"/>
      <c r="E197" s="45"/>
      <c r="F197" s="45"/>
      <c r="G197" s="45"/>
      <c r="H197" s="45"/>
      <c r="I197" s="45"/>
      <c r="J197" s="45"/>
      <c r="K197" s="45"/>
      <c r="L197" s="45"/>
      <c r="M197" s="45"/>
      <c r="N197" s="45"/>
      <c r="O197" s="45"/>
      <c r="P197" s="45"/>
      <c r="Q197" s="45"/>
      <c r="R197" s="45"/>
      <c r="S197" s="45"/>
      <c r="T197" s="45"/>
    </row>
    <row r="198" ht="15.75" customHeight="1">
      <c r="A198" s="45"/>
      <c r="B198" s="46"/>
      <c r="C198" s="45"/>
      <c r="D198" s="45"/>
      <c r="E198" s="45"/>
      <c r="F198" s="45"/>
      <c r="G198" s="45"/>
      <c r="H198" s="45"/>
      <c r="I198" s="45"/>
      <c r="J198" s="45"/>
      <c r="K198" s="45"/>
      <c r="L198" s="45"/>
      <c r="M198" s="45"/>
      <c r="N198" s="45"/>
      <c r="O198" s="45"/>
      <c r="P198" s="45"/>
      <c r="Q198" s="45"/>
      <c r="R198" s="45"/>
      <c r="S198" s="45"/>
      <c r="T198" s="45"/>
    </row>
    <row r="199" ht="15.75" customHeight="1">
      <c r="A199" s="45"/>
      <c r="B199" s="46"/>
      <c r="C199" s="45"/>
      <c r="D199" s="45"/>
      <c r="E199" s="45"/>
      <c r="F199" s="45"/>
      <c r="G199" s="45"/>
      <c r="H199" s="45"/>
      <c r="I199" s="45"/>
      <c r="J199" s="45"/>
      <c r="K199" s="45"/>
      <c r="L199" s="45"/>
      <c r="M199" s="45"/>
      <c r="N199" s="45"/>
      <c r="O199" s="45"/>
      <c r="P199" s="45"/>
      <c r="Q199" s="45"/>
      <c r="R199" s="45"/>
      <c r="S199" s="45"/>
      <c r="T199" s="45"/>
    </row>
    <row r="200" ht="15.75" customHeight="1">
      <c r="A200" s="45"/>
      <c r="B200" s="46"/>
      <c r="C200" s="45"/>
      <c r="D200" s="45"/>
      <c r="E200" s="45"/>
      <c r="F200" s="45"/>
      <c r="G200" s="45"/>
      <c r="H200" s="45"/>
      <c r="I200" s="45"/>
      <c r="J200" s="45"/>
      <c r="K200" s="45"/>
      <c r="L200" s="45"/>
      <c r="M200" s="45"/>
      <c r="N200" s="45"/>
      <c r="O200" s="45"/>
      <c r="P200" s="45"/>
      <c r="Q200" s="45"/>
      <c r="R200" s="45"/>
      <c r="S200" s="45"/>
      <c r="T200" s="45"/>
    </row>
    <row r="201" ht="15.75" customHeight="1">
      <c r="A201" s="45"/>
      <c r="B201" s="46"/>
      <c r="C201" s="45"/>
      <c r="D201" s="45"/>
      <c r="E201" s="45"/>
      <c r="F201" s="45"/>
      <c r="G201" s="45"/>
      <c r="H201" s="45"/>
      <c r="I201" s="45"/>
      <c r="J201" s="45"/>
      <c r="K201" s="45"/>
      <c r="L201" s="45"/>
      <c r="M201" s="45"/>
      <c r="N201" s="45"/>
      <c r="O201" s="45"/>
      <c r="P201" s="45"/>
      <c r="Q201" s="45"/>
      <c r="R201" s="45"/>
      <c r="S201" s="45"/>
      <c r="T201" s="45"/>
    </row>
    <row r="202" ht="15.75" customHeight="1">
      <c r="A202" s="45"/>
      <c r="B202" s="46"/>
      <c r="C202" s="45"/>
      <c r="D202" s="45"/>
      <c r="E202" s="45"/>
      <c r="F202" s="45"/>
      <c r="G202" s="45"/>
      <c r="H202" s="45"/>
      <c r="I202" s="45"/>
      <c r="J202" s="45"/>
      <c r="K202" s="45"/>
      <c r="L202" s="45"/>
      <c r="M202" s="45"/>
      <c r="N202" s="45"/>
      <c r="O202" s="45"/>
      <c r="P202" s="45"/>
      <c r="Q202" s="45"/>
      <c r="R202" s="45"/>
      <c r="S202" s="45"/>
      <c r="T202" s="45"/>
    </row>
    <row r="203" ht="15.75" customHeight="1">
      <c r="A203" s="45"/>
      <c r="B203" s="46"/>
      <c r="C203" s="45"/>
      <c r="D203" s="45"/>
      <c r="E203" s="45"/>
      <c r="F203" s="45"/>
      <c r="G203" s="45"/>
      <c r="H203" s="45"/>
      <c r="I203" s="45"/>
      <c r="J203" s="45"/>
      <c r="K203" s="45"/>
      <c r="L203" s="45"/>
      <c r="M203" s="45"/>
      <c r="N203" s="45"/>
      <c r="O203" s="45"/>
      <c r="P203" s="45"/>
      <c r="Q203" s="45"/>
      <c r="R203" s="45"/>
      <c r="S203" s="45"/>
      <c r="T203" s="45"/>
    </row>
    <row r="204" ht="15.75" customHeight="1">
      <c r="A204" s="45"/>
      <c r="B204" s="46"/>
      <c r="C204" s="45"/>
      <c r="D204" s="45"/>
      <c r="E204" s="45"/>
      <c r="F204" s="45"/>
      <c r="G204" s="45"/>
      <c r="H204" s="45"/>
      <c r="I204" s="45"/>
      <c r="J204" s="45"/>
      <c r="K204" s="45"/>
      <c r="L204" s="45"/>
      <c r="M204" s="45"/>
      <c r="N204" s="45"/>
      <c r="O204" s="45"/>
      <c r="P204" s="45"/>
      <c r="Q204" s="45"/>
      <c r="R204" s="45"/>
      <c r="S204" s="45"/>
      <c r="T204" s="45"/>
    </row>
    <row r="205" ht="15.75" customHeight="1">
      <c r="A205" s="45"/>
      <c r="B205" s="46"/>
      <c r="C205" s="45"/>
      <c r="D205" s="45"/>
      <c r="E205" s="45"/>
      <c r="F205" s="45"/>
      <c r="G205" s="45"/>
      <c r="H205" s="45"/>
      <c r="I205" s="45"/>
      <c r="J205" s="45"/>
      <c r="K205" s="45"/>
      <c r="L205" s="45"/>
      <c r="M205" s="45"/>
      <c r="N205" s="45"/>
      <c r="O205" s="45"/>
      <c r="P205" s="45"/>
      <c r="Q205" s="45"/>
      <c r="R205" s="45"/>
      <c r="S205" s="45"/>
      <c r="T205" s="45"/>
    </row>
    <row r="206" ht="15.75" customHeight="1">
      <c r="A206" s="45"/>
      <c r="B206" s="46"/>
      <c r="C206" s="45"/>
      <c r="D206" s="45"/>
      <c r="E206" s="45"/>
      <c r="F206" s="45"/>
      <c r="G206" s="45"/>
      <c r="H206" s="45"/>
      <c r="I206" s="45"/>
      <c r="J206" s="45"/>
      <c r="K206" s="45"/>
      <c r="L206" s="45"/>
      <c r="M206" s="45"/>
      <c r="N206" s="45"/>
      <c r="O206" s="45"/>
      <c r="P206" s="45"/>
      <c r="Q206" s="45"/>
      <c r="R206" s="45"/>
      <c r="S206" s="45"/>
      <c r="T206" s="45"/>
    </row>
    <row r="207" ht="15.75" customHeight="1">
      <c r="A207" s="45"/>
      <c r="B207" s="46"/>
      <c r="C207" s="45"/>
      <c r="D207" s="45"/>
      <c r="E207" s="45"/>
      <c r="F207" s="45"/>
      <c r="G207" s="45"/>
      <c r="H207" s="45"/>
      <c r="I207" s="45"/>
      <c r="J207" s="45"/>
      <c r="K207" s="45"/>
      <c r="L207" s="45"/>
      <c r="M207" s="45"/>
      <c r="N207" s="45"/>
      <c r="O207" s="45"/>
      <c r="P207" s="45"/>
      <c r="Q207" s="45"/>
      <c r="R207" s="45"/>
      <c r="S207" s="45"/>
      <c r="T207" s="45"/>
    </row>
    <row r="208" ht="15.75" customHeight="1">
      <c r="A208" s="45"/>
      <c r="B208" s="46"/>
      <c r="C208" s="45"/>
      <c r="D208" s="45"/>
      <c r="E208" s="45"/>
      <c r="F208" s="45"/>
      <c r="G208" s="45"/>
      <c r="H208" s="45"/>
      <c r="I208" s="45"/>
      <c r="J208" s="45"/>
      <c r="K208" s="45"/>
      <c r="L208" s="45"/>
      <c r="M208" s="45"/>
      <c r="N208" s="45"/>
      <c r="O208" s="45"/>
      <c r="P208" s="45"/>
      <c r="Q208" s="45"/>
      <c r="R208" s="45"/>
      <c r="S208" s="45"/>
      <c r="T208" s="45"/>
    </row>
    <row r="209" ht="15.75" customHeight="1">
      <c r="A209" s="45"/>
      <c r="B209" s="46"/>
      <c r="C209" s="45"/>
      <c r="D209" s="45"/>
      <c r="E209" s="45"/>
      <c r="F209" s="45"/>
      <c r="G209" s="45"/>
      <c r="H209" s="45"/>
      <c r="I209" s="45"/>
      <c r="J209" s="45"/>
      <c r="K209" s="45"/>
      <c r="L209" s="45"/>
      <c r="M209" s="45"/>
      <c r="N209" s="45"/>
      <c r="O209" s="45"/>
      <c r="P209" s="45"/>
      <c r="Q209" s="45"/>
      <c r="R209" s="45"/>
      <c r="S209" s="45"/>
      <c r="T209" s="45"/>
    </row>
    <row r="210" ht="15.75" customHeight="1">
      <c r="A210" s="45"/>
      <c r="B210" s="46"/>
      <c r="C210" s="45"/>
      <c r="D210" s="45"/>
      <c r="E210" s="45"/>
      <c r="F210" s="45"/>
      <c r="G210" s="45"/>
      <c r="H210" s="45"/>
      <c r="I210" s="45"/>
      <c r="J210" s="45"/>
      <c r="K210" s="45"/>
      <c r="L210" s="45"/>
      <c r="M210" s="45"/>
      <c r="N210" s="45"/>
      <c r="O210" s="45"/>
      <c r="P210" s="45"/>
      <c r="Q210" s="45"/>
      <c r="R210" s="45"/>
      <c r="S210" s="45"/>
      <c r="T210" s="45"/>
    </row>
    <row r="211" ht="15.75" customHeight="1">
      <c r="A211" s="45"/>
      <c r="B211" s="46"/>
      <c r="C211" s="45"/>
      <c r="D211" s="45"/>
      <c r="E211" s="45"/>
      <c r="F211" s="45"/>
      <c r="G211" s="45"/>
      <c r="H211" s="45"/>
      <c r="I211" s="45"/>
      <c r="J211" s="45"/>
      <c r="K211" s="45"/>
      <c r="L211" s="45"/>
      <c r="M211" s="45"/>
      <c r="N211" s="45"/>
      <c r="O211" s="45"/>
      <c r="P211" s="45"/>
      <c r="Q211" s="45"/>
      <c r="R211" s="45"/>
      <c r="S211" s="45"/>
      <c r="T211" s="45"/>
    </row>
    <row r="212" ht="15.75" customHeight="1">
      <c r="A212" s="45"/>
      <c r="B212" s="46"/>
      <c r="C212" s="45"/>
      <c r="D212" s="45"/>
      <c r="E212" s="45"/>
      <c r="F212" s="45"/>
      <c r="G212" s="45"/>
      <c r="H212" s="45"/>
      <c r="I212" s="45"/>
      <c r="J212" s="45"/>
      <c r="K212" s="45"/>
      <c r="L212" s="45"/>
      <c r="M212" s="45"/>
      <c r="N212" s="45"/>
      <c r="O212" s="45"/>
      <c r="P212" s="45"/>
      <c r="Q212" s="45"/>
      <c r="R212" s="45"/>
      <c r="S212" s="45"/>
      <c r="T212" s="45"/>
    </row>
    <row r="213" ht="15.75" customHeight="1">
      <c r="A213" s="45"/>
      <c r="B213" s="46"/>
      <c r="C213" s="45"/>
      <c r="D213" s="45"/>
      <c r="E213" s="45"/>
      <c r="F213" s="45"/>
      <c r="G213" s="45"/>
      <c r="H213" s="45"/>
      <c r="I213" s="45"/>
      <c r="J213" s="45"/>
      <c r="K213" s="45"/>
      <c r="L213" s="45"/>
      <c r="M213" s="45"/>
      <c r="N213" s="45"/>
      <c r="O213" s="45"/>
      <c r="P213" s="45"/>
      <c r="Q213" s="45"/>
      <c r="R213" s="45"/>
      <c r="S213" s="45"/>
      <c r="T213" s="45"/>
    </row>
    <row r="214" ht="15.75" customHeight="1">
      <c r="A214" s="45"/>
      <c r="B214" s="46"/>
      <c r="C214" s="45"/>
      <c r="D214" s="45"/>
      <c r="E214" s="45"/>
      <c r="F214" s="45"/>
      <c r="G214" s="45"/>
      <c r="H214" s="45"/>
      <c r="I214" s="45"/>
      <c r="J214" s="45"/>
      <c r="K214" s="45"/>
      <c r="L214" s="45"/>
      <c r="M214" s="45"/>
      <c r="N214" s="45"/>
      <c r="O214" s="45"/>
      <c r="P214" s="45"/>
      <c r="Q214" s="45"/>
      <c r="R214" s="45"/>
      <c r="S214" s="45"/>
      <c r="T214" s="45"/>
    </row>
    <row r="215" ht="15.75" customHeight="1">
      <c r="A215" s="45"/>
      <c r="B215" s="46"/>
      <c r="C215" s="45"/>
      <c r="D215" s="45"/>
      <c r="E215" s="45"/>
      <c r="F215" s="45"/>
      <c r="G215" s="45"/>
      <c r="H215" s="45"/>
      <c r="I215" s="45"/>
      <c r="J215" s="45"/>
      <c r="K215" s="45"/>
      <c r="L215" s="45"/>
      <c r="M215" s="45"/>
      <c r="N215" s="45"/>
      <c r="O215" s="45"/>
      <c r="P215" s="45"/>
      <c r="Q215" s="45"/>
      <c r="R215" s="45"/>
      <c r="S215" s="45"/>
      <c r="T215" s="45"/>
    </row>
    <row r="216" ht="15.75" customHeight="1">
      <c r="A216" s="45"/>
      <c r="B216" s="46"/>
      <c r="C216" s="45"/>
      <c r="D216" s="45"/>
      <c r="E216" s="45"/>
      <c r="F216" s="45"/>
      <c r="G216" s="45"/>
      <c r="H216" s="45"/>
      <c r="I216" s="45"/>
      <c r="J216" s="45"/>
      <c r="K216" s="45"/>
      <c r="L216" s="45"/>
      <c r="M216" s="45"/>
      <c r="N216" s="45"/>
      <c r="O216" s="45"/>
      <c r="P216" s="45"/>
      <c r="Q216" s="45"/>
      <c r="R216" s="45"/>
      <c r="S216" s="45"/>
      <c r="T216" s="45"/>
    </row>
    <row r="217" ht="15.75" customHeight="1">
      <c r="A217" s="45"/>
      <c r="B217" s="46"/>
      <c r="C217" s="45"/>
      <c r="D217" s="45"/>
      <c r="E217" s="45"/>
      <c r="F217" s="45"/>
      <c r="G217" s="45"/>
      <c r="H217" s="45"/>
      <c r="I217" s="45"/>
      <c r="J217" s="45"/>
      <c r="K217" s="45"/>
      <c r="L217" s="45"/>
      <c r="M217" s="45"/>
      <c r="N217" s="45"/>
      <c r="O217" s="45"/>
      <c r="P217" s="45"/>
      <c r="Q217" s="45"/>
      <c r="R217" s="45"/>
      <c r="S217" s="45"/>
      <c r="T217" s="45"/>
    </row>
    <row r="218" ht="15.75" customHeight="1">
      <c r="A218" s="45"/>
      <c r="B218" s="46"/>
      <c r="C218" s="45"/>
      <c r="D218" s="45"/>
      <c r="E218" s="45"/>
      <c r="F218" s="45"/>
      <c r="G218" s="45"/>
      <c r="H218" s="45"/>
      <c r="I218" s="45"/>
      <c r="J218" s="45"/>
      <c r="K218" s="45"/>
      <c r="L218" s="45"/>
      <c r="M218" s="45"/>
      <c r="N218" s="45"/>
      <c r="O218" s="45"/>
      <c r="P218" s="45"/>
      <c r="Q218" s="45"/>
      <c r="R218" s="45"/>
      <c r="S218" s="45"/>
      <c r="T218" s="45"/>
    </row>
    <row r="219" ht="15.75" customHeight="1">
      <c r="A219" s="45"/>
      <c r="B219" s="46"/>
      <c r="C219" s="45"/>
      <c r="D219" s="45"/>
      <c r="E219" s="45"/>
      <c r="F219" s="45"/>
      <c r="G219" s="45"/>
      <c r="H219" s="45"/>
      <c r="I219" s="45"/>
      <c r="J219" s="45"/>
      <c r="K219" s="45"/>
      <c r="L219" s="45"/>
      <c r="M219" s="45"/>
      <c r="N219" s="45"/>
      <c r="O219" s="45"/>
      <c r="P219" s="45"/>
      <c r="Q219" s="45"/>
      <c r="R219" s="45"/>
      <c r="S219" s="45"/>
      <c r="T219" s="45"/>
    </row>
    <row r="220" ht="15.75" customHeight="1">
      <c r="A220" s="45"/>
      <c r="B220" s="46"/>
      <c r="C220" s="45"/>
      <c r="D220" s="45"/>
      <c r="E220" s="45"/>
      <c r="F220" s="45"/>
      <c r="G220" s="45"/>
      <c r="H220" s="45"/>
      <c r="I220" s="45"/>
      <c r="J220" s="45"/>
      <c r="K220" s="45"/>
      <c r="L220" s="45"/>
      <c r="M220" s="45"/>
      <c r="N220" s="45"/>
      <c r="O220" s="45"/>
      <c r="P220" s="45"/>
      <c r="Q220" s="45"/>
      <c r="R220" s="45"/>
      <c r="S220" s="45"/>
      <c r="T220" s="45"/>
    </row>
    <row r="221" ht="15.75" customHeight="1">
      <c r="A221" s="45"/>
      <c r="B221" s="46"/>
      <c r="C221" s="45"/>
      <c r="D221" s="45"/>
      <c r="E221" s="45"/>
      <c r="F221" s="45"/>
      <c r="G221" s="45"/>
      <c r="H221" s="45"/>
      <c r="I221" s="45"/>
      <c r="J221" s="45"/>
      <c r="K221" s="45"/>
      <c r="L221" s="45"/>
      <c r="M221" s="45"/>
      <c r="N221" s="45"/>
      <c r="O221" s="45"/>
      <c r="P221" s="45"/>
      <c r="Q221" s="45"/>
      <c r="R221" s="45"/>
      <c r="S221" s="45"/>
      <c r="T221" s="45"/>
    </row>
    <row r="222" ht="15.75" customHeight="1">
      <c r="A222" s="45"/>
      <c r="B222" s="46"/>
      <c r="C222" s="45"/>
      <c r="D222" s="45"/>
      <c r="E222" s="45"/>
      <c r="F222" s="45"/>
      <c r="G222" s="45"/>
      <c r="H222" s="45"/>
      <c r="I222" s="45"/>
      <c r="J222" s="45"/>
      <c r="K222" s="45"/>
      <c r="L222" s="45"/>
      <c r="M222" s="45"/>
      <c r="N222" s="45"/>
      <c r="O222" s="45"/>
      <c r="P222" s="45"/>
      <c r="Q222" s="45"/>
      <c r="R222" s="45"/>
      <c r="S222" s="45"/>
      <c r="T222" s="45"/>
    </row>
    <row r="223" ht="15.75" customHeight="1">
      <c r="A223" s="45"/>
      <c r="B223" s="46"/>
      <c r="C223" s="45"/>
      <c r="D223" s="45"/>
      <c r="E223" s="45"/>
      <c r="F223" s="45"/>
      <c r="G223" s="45"/>
      <c r="H223" s="45"/>
      <c r="I223" s="45"/>
      <c r="J223" s="45"/>
      <c r="K223" s="45"/>
      <c r="L223" s="45"/>
      <c r="M223" s="45"/>
      <c r="N223" s="45"/>
      <c r="O223" s="45"/>
      <c r="P223" s="45"/>
      <c r="Q223" s="45"/>
      <c r="R223" s="45"/>
      <c r="S223" s="45"/>
      <c r="T223" s="45"/>
    </row>
    <row r="224" ht="15.75" customHeight="1">
      <c r="A224" s="45"/>
      <c r="B224" s="46"/>
      <c r="C224" s="45"/>
      <c r="D224" s="45"/>
      <c r="E224" s="45"/>
      <c r="F224" s="45"/>
      <c r="G224" s="45"/>
      <c r="H224" s="45"/>
      <c r="I224" s="45"/>
      <c r="J224" s="45"/>
      <c r="K224" s="45"/>
      <c r="L224" s="45"/>
      <c r="M224" s="45"/>
      <c r="N224" s="45"/>
      <c r="O224" s="45"/>
      <c r="P224" s="45"/>
      <c r="Q224" s="45"/>
      <c r="R224" s="45"/>
      <c r="S224" s="45"/>
      <c r="T224" s="45"/>
    </row>
    <row r="225" ht="15.75" customHeight="1">
      <c r="A225" s="45"/>
      <c r="B225" s="46"/>
      <c r="C225" s="45"/>
      <c r="D225" s="45"/>
      <c r="E225" s="45"/>
      <c r="F225" s="45"/>
      <c r="G225" s="45"/>
      <c r="H225" s="45"/>
      <c r="I225" s="45"/>
      <c r="J225" s="45"/>
      <c r="K225" s="45"/>
      <c r="L225" s="45"/>
      <c r="M225" s="45"/>
      <c r="N225" s="45"/>
      <c r="O225" s="45"/>
      <c r="P225" s="45"/>
      <c r="Q225" s="45"/>
      <c r="R225" s="45"/>
      <c r="S225" s="45"/>
      <c r="T225" s="45"/>
    </row>
    <row r="226" ht="15.75" customHeight="1">
      <c r="A226" s="45"/>
      <c r="B226" s="46"/>
      <c r="C226" s="45"/>
      <c r="D226" s="45"/>
      <c r="E226" s="45"/>
      <c r="F226" s="45"/>
      <c r="G226" s="45"/>
      <c r="H226" s="45"/>
      <c r="I226" s="45"/>
      <c r="J226" s="45"/>
      <c r="K226" s="45"/>
      <c r="L226" s="45"/>
      <c r="M226" s="45"/>
      <c r="N226" s="45"/>
      <c r="O226" s="45"/>
      <c r="P226" s="45"/>
      <c r="Q226" s="45"/>
      <c r="R226" s="45"/>
      <c r="S226" s="45"/>
      <c r="T226" s="45"/>
    </row>
    <row r="227" ht="15.75" customHeight="1">
      <c r="A227" s="45"/>
      <c r="B227" s="46"/>
      <c r="C227" s="45"/>
      <c r="D227" s="45"/>
      <c r="E227" s="45"/>
      <c r="F227" s="45"/>
      <c r="G227" s="45"/>
      <c r="H227" s="45"/>
      <c r="I227" s="45"/>
      <c r="J227" s="45"/>
      <c r="K227" s="45"/>
      <c r="L227" s="45"/>
      <c r="M227" s="45"/>
      <c r="N227" s="45"/>
      <c r="O227" s="45"/>
      <c r="P227" s="45"/>
      <c r="Q227" s="45"/>
      <c r="R227" s="45"/>
      <c r="S227" s="45"/>
      <c r="T227" s="45"/>
    </row>
    <row r="228" ht="15.75" customHeight="1">
      <c r="A228" s="45"/>
      <c r="B228" s="46"/>
      <c r="C228" s="45"/>
      <c r="D228" s="45"/>
      <c r="E228" s="45"/>
      <c r="F228" s="45"/>
      <c r="G228" s="45"/>
      <c r="H228" s="45"/>
      <c r="I228" s="45"/>
      <c r="J228" s="45"/>
      <c r="K228" s="45"/>
      <c r="L228" s="45"/>
      <c r="M228" s="45"/>
      <c r="N228" s="45"/>
      <c r="O228" s="45"/>
      <c r="P228" s="45"/>
      <c r="Q228" s="45"/>
      <c r="R228" s="45"/>
      <c r="S228" s="45"/>
      <c r="T228" s="45"/>
    </row>
    <row r="229" ht="15.75" customHeight="1">
      <c r="A229" s="45"/>
      <c r="B229" s="46"/>
      <c r="C229" s="45"/>
      <c r="D229" s="45"/>
      <c r="E229" s="45"/>
      <c r="F229" s="45"/>
      <c r="G229" s="45"/>
      <c r="H229" s="45"/>
      <c r="I229" s="45"/>
      <c r="J229" s="45"/>
      <c r="K229" s="45"/>
      <c r="L229" s="45"/>
      <c r="M229" s="45"/>
      <c r="N229" s="45"/>
      <c r="O229" s="45"/>
      <c r="P229" s="45"/>
      <c r="Q229" s="45"/>
      <c r="R229" s="45"/>
      <c r="S229" s="45"/>
      <c r="T229" s="45"/>
    </row>
    <row r="230" ht="15.75" customHeight="1">
      <c r="A230" s="45"/>
      <c r="B230" s="46"/>
      <c r="C230" s="45"/>
      <c r="D230" s="45"/>
      <c r="E230" s="45"/>
      <c r="F230" s="45"/>
      <c r="G230" s="45"/>
      <c r="H230" s="45"/>
      <c r="I230" s="45"/>
      <c r="J230" s="45"/>
      <c r="K230" s="45"/>
      <c r="L230" s="45"/>
      <c r="M230" s="45"/>
      <c r="N230" s="45"/>
      <c r="O230" s="45"/>
      <c r="P230" s="45"/>
      <c r="Q230" s="45"/>
      <c r="R230" s="45"/>
      <c r="S230" s="45"/>
      <c r="T230" s="45"/>
    </row>
    <row r="231" ht="15.75" customHeight="1">
      <c r="A231" s="45"/>
      <c r="B231" s="46"/>
      <c r="C231" s="45"/>
      <c r="D231" s="45"/>
      <c r="E231" s="45"/>
      <c r="F231" s="45"/>
      <c r="G231" s="45"/>
      <c r="H231" s="45"/>
      <c r="I231" s="45"/>
      <c r="J231" s="45"/>
      <c r="K231" s="45"/>
      <c r="L231" s="45"/>
      <c r="M231" s="45"/>
      <c r="N231" s="45"/>
      <c r="O231" s="45"/>
      <c r="P231" s="45"/>
      <c r="Q231" s="45"/>
      <c r="R231" s="45"/>
      <c r="S231" s="45"/>
      <c r="T231" s="45"/>
    </row>
    <row r="232" ht="15.75" customHeight="1">
      <c r="A232" s="45"/>
      <c r="B232" s="46"/>
      <c r="C232" s="45"/>
      <c r="D232" s="45"/>
      <c r="E232" s="45"/>
      <c r="F232" s="45"/>
      <c r="G232" s="45"/>
      <c r="H232" s="45"/>
      <c r="I232" s="45"/>
      <c r="J232" s="45"/>
      <c r="K232" s="45"/>
      <c r="L232" s="45"/>
      <c r="M232" s="45"/>
      <c r="N232" s="45"/>
      <c r="O232" s="45"/>
      <c r="P232" s="45"/>
      <c r="Q232" s="45"/>
      <c r="R232" s="45"/>
      <c r="S232" s="45"/>
      <c r="T232" s="45"/>
    </row>
    <row r="233" ht="15.75" customHeight="1">
      <c r="A233" s="45"/>
      <c r="B233" s="46"/>
      <c r="C233" s="45"/>
      <c r="D233" s="45"/>
      <c r="E233" s="45"/>
      <c r="F233" s="45"/>
      <c r="G233" s="45"/>
      <c r="H233" s="45"/>
      <c r="I233" s="45"/>
      <c r="J233" s="45"/>
      <c r="K233" s="45"/>
      <c r="L233" s="45"/>
      <c r="M233" s="45"/>
      <c r="N233" s="45"/>
      <c r="O233" s="45"/>
      <c r="P233" s="45"/>
      <c r="Q233" s="45"/>
      <c r="R233" s="45"/>
      <c r="S233" s="45"/>
      <c r="T233" s="45"/>
    </row>
    <row r="234" ht="15.75" customHeight="1">
      <c r="A234" s="45"/>
      <c r="B234" s="46"/>
      <c r="C234" s="45"/>
      <c r="D234" s="45"/>
      <c r="E234" s="45"/>
      <c r="F234" s="45"/>
      <c r="G234" s="45"/>
      <c r="H234" s="45"/>
      <c r="I234" s="45"/>
      <c r="J234" s="45"/>
      <c r="K234" s="45"/>
      <c r="L234" s="45"/>
      <c r="M234" s="45"/>
      <c r="N234" s="45"/>
      <c r="O234" s="45"/>
      <c r="P234" s="45"/>
      <c r="Q234" s="45"/>
      <c r="R234" s="45"/>
      <c r="S234" s="45"/>
      <c r="T234" s="45"/>
    </row>
    <row r="235" ht="15.75" customHeight="1">
      <c r="A235" s="45"/>
      <c r="B235" s="46"/>
      <c r="C235" s="45"/>
      <c r="D235" s="45"/>
      <c r="E235" s="45"/>
      <c r="F235" s="45"/>
      <c r="G235" s="45"/>
      <c r="H235" s="45"/>
      <c r="I235" s="45"/>
      <c r="J235" s="45"/>
      <c r="K235" s="45"/>
      <c r="L235" s="45"/>
      <c r="M235" s="45"/>
      <c r="N235" s="45"/>
      <c r="O235" s="45"/>
      <c r="P235" s="45"/>
      <c r="Q235" s="45"/>
      <c r="R235" s="45"/>
      <c r="S235" s="45"/>
      <c r="T235" s="45"/>
    </row>
    <row r="236" ht="15.75" customHeight="1">
      <c r="A236" s="45"/>
      <c r="B236" s="46"/>
      <c r="C236" s="45"/>
      <c r="D236" s="45"/>
      <c r="E236" s="45"/>
      <c r="F236" s="45"/>
      <c r="G236" s="45"/>
      <c r="H236" s="45"/>
      <c r="I236" s="45"/>
      <c r="J236" s="45"/>
      <c r="K236" s="45"/>
      <c r="L236" s="45"/>
      <c r="M236" s="45"/>
      <c r="N236" s="45"/>
      <c r="O236" s="45"/>
      <c r="P236" s="45"/>
      <c r="Q236" s="45"/>
      <c r="R236" s="45"/>
      <c r="S236" s="45"/>
      <c r="T236" s="45"/>
    </row>
    <row r="237" ht="15.75" customHeight="1">
      <c r="A237" s="45"/>
      <c r="B237" s="46"/>
      <c r="C237" s="45"/>
      <c r="D237" s="45"/>
      <c r="E237" s="45"/>
      <c r="F237" s="45"/>
      <c r="G237" s="45"/>
      <c r="H237" s="45"/>
      <c r="I237" s="45"/>
      <c r="J237" s="45"/>
      <c r="K237" s="45"/>
      <c r="L237" s="45"/>
      <c r="M237" s="45"/>
      <c r="N237" s="45"/>
      <c r="O237" s="45"/>
      <c r="P237" s="45"/>
      <c r="Q237" s="45"/>
      <c r="R237" s="45"/>
      <c r="S237" s="45"/>
      <c r="T237" s="45"/>
    </row>
    <row r="238" ht="15.75" customHeight="1">
      <c r="A238" s="45"/>
      <c r="B238" s="46"/>
      <c r="C238" s="45"/>
      <c r="D238" s="45"/>
      <c r="E238" s="45"/>
      <c r="F238" s="45"/>
      <c r="G238" s="45"/>
      <c r="H238" s="45"/>
      <c r="I238" s="45"/>
      <c r="J238" s="45"/>
      <c r="K238" s="45"/>
      <c r="L238" s="45"/>
      <c r="M238" s="45"/>
      <c r="N238" s="45"/>
      <c r="O238" s="45"/>
      <c r="P238" s="45"/>
      <c r="Q238" s="45"/>
      <c r="R238" s="45"/>
      <c r="S238" s="45"/>
      <c r="T238" s="45"/>
    </row>
    <row r="239" ht="15.75" customHeight="1">
      <c r="A239" s="45"/>
      <c r="B239" s="46"/>
      <c r="C239" s="45"/>
      <c r="D239" s="45"/>
      <c r="E239" s="45"/>
      <c r="F239" s="45"/>
      <c r="G239" s="45"/>
      <c r="H239" s="45"/>
      <c r="I239" s="45"/>
      <c r="J239" s="45"/>
      <c r="K239" s="45"/>
      <c r="L239" s="45"/>
      <c r="M239" s="45"/>
      <c r="N239" s="45"/>
      <c r="O239" s="45"/>
      <c r="P239" s="45"/>
      <c r="Q239" s="45"/>
      <c r="R239" s="45"/>
      <c r="S239" s="45"/>
      <c r="T239" s="45"/>
    </row>
    <row r="240" ht="15.75" customHeight="1">
      <c r="A240" s="45"/>
      <c r="B240" s="46"/>
      <c r="C240" s="45"/>
      <c r="D240" s="45"/>
      <c r="E240" s="45"/>
      <c r="F240" s="45"/>
      <c r="G240" s="45"/>
      <c r="H240" s="45"/>
      <c r="I240" s="45"/>
      <c r="J240" s="45"/>
      <c r="K240" s="45"/>
      <c r="L240" s="45"/>
      <c r="M240" s="45"/>
      <c r="N240" s="45"/>
      <c r="O240" s="45"/>
      <c r="P240" s="45"/>
      <c r="Q240" s="45"/>
      <c r="R240" s="45"/>
      <c r="S240" s="45"/>
      <c r="T240" s="45"/>
    </row>
    <row r="241" ht="15.75" customHeight="1">
      <c r="A241" s="45"/>
      <c r="B241" s="46"/>
      <c r="C241" s="45"/>
      <c r="D241" s="45"/>
      <c r="E241" s="45"/>
      <c r="F241" s="45"/>
      <c r="G241" s="45"/>
      <c r="H241" s="45"/>
      <c r="I241" s="45"/>
      <c r="J241" s="45"/>
      <c r="K241" s="45"/>
      <c r="L241" s="45"/>
      <c r="M241" s="45"/>
      <c r="N241" s="45"/>
      <c r="O241" s="45"/>
      <c r="P241" s="45"/>
      <c r="Q241" s="45"/>
      <c r="R241" s="45"/>
      <c r="S241" s="45"/>
      <c r="T241" s="45"/>
    </row>
    <row r="242" ht="15.75" customHeight="1">
      <c r="A242" s="45"/>
      <c r="B242" s="46"/>
      <c r="C242" s="45"/>
      <c r="D242" s="45"/>
      <c r="E242" s="45"/>
      <c r="F242" s="45"/>
      <c r="G242" s="45"/>
      <c r="H242" s="45"/>
      <c r="I242" s="45"/>
      <c r="J242" s="45"/>
      <c r="K242" s="45"/>
      <c r="L242" s="45"/>
      <c r="M242" s="45"/>
      <c r="N242" s="45"/>
      <c r="O242" s="45"/>
      <c r="P242" s="45"/>
      <c r="Q242" s="45"/>
      <c r="R242" s="45"/>
      <c r="S242" s="45"/>
      <c r="T242" s="45"/>
    </row>
    <row r="243" ht="15.75" customHeight="1">
      <c r="A243" s="45"/>
      <c r="B243" s="46"/>
      <c r="C243" s="45"/>
      <c r="D243" s="45"/>
      <c r="E243" s="45"/>
      <c r="F243" s="45"/>
      <c r="G243" s="45"/>
      <c r="H243" s="45"/>
      <c r="I243" s="45"/>
      <c r="J243" s="45"/>
      <c r="K243" s="45"/>
      <c r="L243" s="45"/>
      <c r="M243" s="45"/>
      <c r="N243" s="45"/>
      <c r="O243" s="45"/>
      <c r="P243" s="45"/>
      <c r="Q243" s="45"/>
      <c r="R243" s="45"/>
      <c r="S243" s="45"/>
      <c r="T243" s="45"/>
    </row>
    <row r="244" ht="15.75" customHeight="1">
      <c r="A244" s="45"/>
      <c r="B244" s="46"/>
      <c r="C244" s="45"/>
      <c r="D244" s="45"/>
      <c r="E244" s="45"/>
      <c r="F244" s="45"/>
      <c r="G244" s="45"/>
      <c r="H244" s="45"/>
      <c r="I244" s="45"/>
      <c r="J244" s="45"/>
      <c r="K244" s="45"/>
      <c r="L244" s="45"/>
      <c r="M244" s="45"/>
      <c r="N244" s="45"/>
      <c r="O244" s="45"/>
      <c r="P244" s="45"/>
      <c r="Q244" s="45"/>
      <c r="R244" s="45"/>
      <c r="S244" s="45"/>
      <c r="T244" s="45"/>
    </row>
    <row r="245" ht="15.75" customHeight="1">
      <c r="A245" s="45"/>
      <c r="B245" s="46"/>
      <c r="C245" s="45"/>
      <c r="D245" s="45"/>
      <c r="E245" s="45"/>
      <c r="F245" s="45"/>
      <c r="G245" s="45"/>
      <c r="H245" s="45"/>
      <c r="I245" s="45"/>
      <c r="J245" s="45"/>
      <c r="K245" s="45"/>
      <c r="L245" s="45"/>
      <c r="M245" s="45"/>
      <c r="N245" s="45"/>
      <c r="O245" s="45"/>
      <c r="P245" s="45"/>
      <c r="Q245" s="45"/>
      <c r="R245" s="45"/>
      <c r="S245" s="45"/>
      <c r="T245" s="45"/>
    </row>
    <row r="246" ht="15.75" customHeight="1">
      <c r="A246" s="45"/>
      <c r="B246" s="46"/>
      <c r="C246" s="45"/>
      <c r="D246" s="45"/>
      <c r="E246" s="45"/>
      <c r="F246" s="45"/>
      <c r="G246" s="45"/>
      <c r="H246" s="45"/>
      <c r="I246" s="45"/>
      <c r="J246" s="45"/>
      <c r="K246" s="45"/>
      <c r="L246" s="45"/>
      <c r="M246" s="45"/>
      <c r="N246" s="45"/>
      <c r="O246" s="45"/>
      <c r="P246" s="45"/>
      <c r="Q246" s="45"/>
      <c r="R246" s="45"/>
      <c r="S246" s="45"/>
      <c r="T246" s="45"/>
    </row>
    <row r="247" ht="15.75" customHeight="1">
      <c r="A247" s="45"/>
      <c r="B247" s="46"/>
      <c r="C247" s="45"/>
      <c r="D247" s="45"/>
      <c r="E247" s="45"/>
      <c r="F247" s="45"/>
      <c r="G247" s="45"/>
      <c r="H247" s="45"/>
      <c r="I247" s="45"/>
      <c r="J247" s="45"/>
      <c r="K247" s="45"/>
      <c r="L247" s="45"/>
      <c r="M247" s="45"/>
      <c r="N247" s="45"/>
      <c r="O247" s="45"/>
      <c r="P247" s="45"/>
      <c r="Q247" s="45"/>
      <c r="R247" s="45"/>
      <c r="S247" s="45"/>
      <c r="T247" s="45"/>
    </row>
    <row r="248" ht="15.75" customHeight="1">
      <c r="A248" s="45"/>
      <c r="B248" s="46"/>
      <c r="C248" s="45"/>
      <c r="D248" s="45"/>
      <c r="E248" s="45"/>
      <c r="F248" s="45"/>
      <c r="G248" s="45"/>
      <c r="H248" s="45"/>
      <c r="I248" s="45"/>
      <c r="J248" s="45"/>
      <c r="K248" s="45"/>
      <c r="L248" s="45"/>
      <c r="M248" s="45"/>
      <c r="N248" s="45"/>
      <c r="O248" s="45"/>
      <c r="P248" s="45"/>
      <c r="Q248" s="45"/>
      <c r="R248" s="45"/>
      <c r="S248" s="45"/>
      <c r="T248" s="45"/>
    </row>
    <row r="249" ht="15.75" customHeight="1">
      <c r="A249" s="45"/>
      <c r="B249" s="46"/>
      <c r="C249" s="45"/>
      <c r="D249" s="45"/>
      <c r="E249" s="45"/>
      <c r="F249" s="45"/>
      <c r="G249" s="45"/>
      <c r="H249" s="45"/>
      <c r="I249" s="45"/>
      <c r="J249" s="45"/>
      <c r="K249" s="45"/>
      <c r="L249" s="45"/>
      <c r="M249" s="45"/>
      <c r="N249" s="45"/>
      <c r="O249" s="45"/>
      <c r="P249" s="45"/>
      <c r="Q249" s="45"/>
      <c r="R249" s="45"/>
      <c r="S249" s="45"/>
      <c r="T249" s="45"/>
    </row>
    <row r="250" ht="15.75" customHeight="1">
      <c r="A250" s="45"/>
      <c r="B250" s="46"/>
      <c r="C250" s="45"/>
      <c r="D250" s="45"/>
      <c r="E250" s="45"/>
      <c r="F250" s="45"/>
      <c r="G250" s="45"/>
      <c r="H250" s="45"/>
      <c r="I250" s="45"/>
      <c r="J250" s="45"/>
      <c r="K250" s="45"/>
      <c r="L250" s="45"/>
      <c r="M250" s="45"/>
      <c r="N250" s="45"/>
      <c r="O250" s="45"/>
      <c r="P250" s="45"/>
      <c r="Q250" s="45"/>
      <c r="R250" s="45"/>
      <c r="S250" s="45"/>
      <c r="T250" s="45"/>
    </row>
    <row r="251" ht="15.75" customHeight="1">
      <c r="A251" s="45"/>
      <c r="B251" s="46"/>
      <c r="C251" s="45"/>
      <c r="D251" s="45"/>
      <c r="E251" s="45"/>
      <c r="F251" s="45"/>
      <c r="G251" s="45"/>
      <c r="H251" s="45"/>
      <c r="I251" s="45"/>
      <c r="J251" s="45"/>
      <c r="K251" s="45"/>
      <c r="L251" s="45"/>
      <c r="M251" s="45"/>
      <c r="N251" s="45"/>
      <c r="O251" s="45"/>
      <c r="P251" s="45"/>
      <c r="Q251" s="45"/>
      <c r="R251" s="45"/>
      <c r="S251" s="45"/>
      <c r="T251" s="45"/>
    </row>
    <row r="252" ht="15.75" customHeight="1">
      <c r="A252" s="45"/>
      <c r="B252" s="46"/>
      <c r="C252" s="45"/>
      <c r="D252" s="45"/>
      <c r="E252" s="45"/>
      <c r="F252" s="45"/>
      <c r="G252" s="45"/>
      <c r="H252" s="45"/>
      <c r="I252" s="45"/>
      <c r="J252" s="45"/>
      <c r="K252" s="45"/>
      <c r="L252" s="45"/>
      <c r="M252" s="45"/>
      <c r="N252" s="45"/>
      <c r="O252" s="45"/>
      <c r="P252" s="45"/>
      <c r="Q252" s="45"/>
      <c r="R252" s="45"/>
      <c r="S252" s="45"/>
      <c r="T252" s="45"/>
    </row>
    <row r="253" ht="15.75" customHeight="1">
      <c r="A253" s="45"/>
      <c r="B253" s="46"/>
      <c r="C253" s="45"/>
      <c r="D253" s="45"/>
      <c r="E253" s="45"/>
      <c r="F253" s="45"/>
      <c r="G253" s="45"/>
      <c r="H253" s="45"/>
      <c r="I253" s="45"/>
      <c r="J253" s="45"/>
      <c r="K253" s="45"/>
      <c r="L253" s="45"/>
      <c r="M253" s="45"/>
      <c r="N253" s="45"/>
      <c r="O253" s="45"/>
      <c r="P253" s="45"/>
      <c r="Q253" s="45"/>
      <c r="R253" s="45"/>
      <c r="S253" s="45"/>
      <c r="T253" s="45"/>
    </row>
    <row r="254" ht="15.75" customHeight="1">
      <c r="A254" s="45"/>
      <c r="B254" s="46"/>
      <c r="C254" s="45"/>
      <c r="D254" s="45"/>
      <c r="E254" s="45"/>
      <c r="F254" s="45"/>
      <c r="G254" s="45"/>
      <c r="H254" s="45"/>
      <c r="I254" s="45"/>
      <c r="J254" s="45"/>
      <c r="K254" s="45"/>
      <c r="L254" s="45"/>
      <c r="M254" s="45"/>
      <c r="N254" s="45"/>
      <c r="O254" s="45"/>
      <c r="P254" s="45"/>
      <c r="Q254" s="45"/>
      <c r="R254" s="45"/>
      <c r="S254" s="45"/>
      <c r="T254" s="45"/>
    </row>
    <row r="255" ht="15.75" customHeight="1">
      <c r="A255" s="45"/>
      <c r="B255" s="46"/>
      <c r="C255" s="45"/>
      <c r="D255" s="45"/>
      <c r="E255" s="45"/>
      <c r="F255" s="45"/>
      <c r="G255" s="45"/>
      <c r="H255" s="45"/>
      <c r="I255" s="45"/>
      <c r="J255" s="45"/>
      <c r="K255" s="45"/>
      <c r="L255" s="45"/>
      <c r="M255" s="45"/>
      <c r="N255" s="45"/>
      <c r="O255" s="45"/>
      <c r="P255" s="45"/>
      <c r="Q255" s="45"/>
      <c r="R255" s="45"/>
      <c r="S255" s="45"/>
      <c r="T255" s="45"/>
    </row>
    <row r="256" ht="15.75" customHeight="1">
      <c r="A256" s="45"/>
      <c r="B256" s="46"/>
      <c r="C256" s="45"/>
      <c r="D256" s="45"/>
      <c r="E256" s="45"/>
      <c r="F256" s="45"/>
      <c r="G256" s="45"/>
      <c r="H256" s="45"/>
      <c r="I256" s="45"/>
      <c r="J256" s="45"/>
      <c r="K256" s="45"/>
      <c r="L256" s="45"/>
      <c r="M256" s="45"/>
      <c r="N256" s="45"/>
      <c r="O256" s="45"/>
      <c r="P256" s="45"/>
      <c r="Q256" s="45"/>
      <c r="R256" s="45"/>
      <c r="S256" s="45"/>
      <c r="T256" s="45"/>
    </row>
    <row r="257" ht="15.75" customHeight="1">
      <c r="A257" s="45"/>
      <c r="B257" s="46"/>
      <c r="C257" s="45"/>
      <c r="D257" s="45"/>
      <c r="E257" s="45"/>
      <c r="F257" s="45"/>
      <c r="G257" s="45"/>
      <c r="H257" s="45"/>
      <c r="I257" s="45"/>
      <c r="J257" s="45"/>
      <c r="K257" s="45"/>
      <c r="L257" s="45"/>
      <c r="M257" s="45"/>
      <c r="N257" s="45"/>
      <c r="O257" s="45"/>
      <c r="P257" s="45"/>
      <c r="Q257" s="45"/>
      <c r="R257" s="45"/>
      <c r="S257" s="45"/>
      <c r="T257" s="45"/>
    </row>
    <row r="258" ht="15.75" customHeight="1">
      <c r="A258" s="45"/>
      <c r="B258" s="46"/>
      <c r="C258" s="45"/>
      <c r="D258" s="45"/>
      <c r="E258" s="45"/>
      <c r="F258" s="45"/>
      <c r="G258" s="45"/>
      <c r="H258" s="45"/>
      <c r="I258" s="45"/>
      <c r="J258" s="45"/>
      <c r="K258" s="45"/>
      <c r="L258" s="45"/>
      <c r="M258" s="45"/>
      <c r="N258" s="45"/>
      <c r="O258" s="45"/>
      <c r="P258" s="45"/>
      <c r="Q258" s="45"/>
      <c r="R258" s="45"/>
      <c r="S258" s="45"/>
      <c r="T258" s="45"/>
    </row>
    <row r="259" ht="15.75" customHeight="1">
      <c r="A259" s="45"/>
      <c r="B259" s="46"/>
      <c r="C259" s="45"/>
      <c r="D259" s="45"/>
      <c r="E259" s="45"/>
      <c r="F259" s="45"/>
      <c r="G259" s="45"/>
      <c r="H259" s="45"/>
      <c r="I259" s="45"/>
      <c r="J259" s="45"/>
      <c r="K259" s="45"/>
      <c r="L259" s="45"/>
      <c r="M259" s="45"/>
      <c r="N259" s="45"/>
      <c r="O259" s="45"/>
      <c r="P259" s="45"/>
      <c r="Q259" s="45"/>
      <c r="R259" s="45"/>
      <c r="S259" s="45"/>
      <c r="T259" s="45"/>
    </row>
    <row r="260" ht="15.75" customHeight="1">
      <c r="A260" s="45"/>
      <c r="B260" s="46"/>
      <c r="C260" s="45"/>
      <c r="D260" s="45"/>
      <c r="E260" s="45"/>
      <c r="F260" s="45"/>
      <c r="G260" s="45"/>
      <c r="H260" s="45"/>
      <c r="I260" s="45"/>
      <c r="J260" s="45"/>
      <c r="K260" s="45"/>
      <c r="L260" s="45"/>
      <c r="M260" s="45"/>
      <c r="N260" s="45"/>
      <c r="O260" s="45"/>
      <c r="P260" s="45"/>
      <c r="Q260" s="45"/>
      <c r="R260" s="45"/>
      <c r="S260" s="45"/>
      <c r="T260" s="45"/>
    </row>
    <row r="261" ht="15.75" customHeight="1">
      <c r="A261" s="45"/>
      <c r="B261" s="46"/>
      <c r="C261" s="45"/>
      <c r="D261" s="45"/>
      <c r="E261" s="45"/>
      <c r="F261" s="45"/>
      <c r="G261" s="45"/>
      <c r="H261" s="45"/>
      <c r="I261" s="45"/>
      <c r="J261" s="45"/>
      <c r="K261" s="45"/>
      <c r="L261" s="45"/>
      <c r="M261" s="45"/>
      <c r="N261" s="45"/>
      <c r="O261" s="45"/>
      <c r="P261" s="45"/>
      <c r="Q261" s="45"/>
      <c r="R261" s="45"/>
      <c r="S261" s="45"/>
      <c r="T261" s="45"/>
    </row>
    <row r="262" ht="15.75" customHeight="1">
      <c r="A262" s="45"/>
      <c r="B262" s="46"/>
      <c r="C262" s="45"/>
      <c r="D262" s="45"/>
      <c r="E262" s="45"/>
      <c r="F262" s="45"/>
      <c r="G262" s="45"/>
      <c r="H262" s="45"/>
      <c r="I262" s="45"/>
      <c r="J262" s="45"/>
      <c r="K262" s="45"/>
      <c r="L262" s="45"/>
      <c r="M262" s="45"/>
      <c r="N262" s="45"/>
      <c r="O262" s="45"/>
      <c r="P262" s="45"/>
      <c r="Q262" s="45"/>
      <c r="R262" s="45"/>
      <c r="S262" s="45"/>
      <c r="T262" s="45"/>
    </row>
    <row r="263" ht="15.75" customHeight="1">
      <c r="A263" s="45"/>
      <c r="B263" s="46"/>
      <c r="C263" s="45"/>
      <c r="D263" s="45"/>
      <c r="E263" s="45"/>
      <c r="F263" s="45"/>
      <c r="G263" s="45"/>
      <c r="H263" s="45"/>
      <c r="I263" s="45"/>
      <c r="J263" s="45"/>
      <c r="K263" s="45"/>
      <c r="L263" s="45"/>
      <c r="M263" s="45"/>
      <c r="N263" s="45"/>
      <c r="O263" s="45"/>
      <c r="P263" s="45"/>
      <c r="Q263" s="45"/>
      <c r="R263" s="45"/>
      <c r="S263" s="45"/>
      <c r="T263" s="45"/>
    </row>
    <row r="264" ht="15.75" customHeight="1">
      <c r="A264" s="45"/>
      <c r="B264" s="46"/>
      <c r="C264" s="45"/>
      <c r="D264" s="45"/>
      <c r="E264" s="45"/>
      <c r="F264" s="45"/>
      <c r="G264" s="45"/>
      <c r="H264" s="45"/>
      <c r="I264" s="45"/>
      <c r="J264" s="45"/>
      <c r="K264" s="45"/>
      <c r="L264" s="45"/>
      <c r="M264" s="45"/>
      <c r="N264" s="45"/>
      <c r="O264" s="45"/>
      <c r="P264" s="45"/>
      <c r="Q264" s="45"/>
      <c r="R264" s="45"/>
      <c r="S264" s="45"/>
      <c r="T264" s="45"/>
    </row>
    <row r="265" ht="15.75" customHeight="1">
      <c r="A265" s="89"/>
      <c r="B265" s="89"/>
      <c r="C265" s="89"/>
      <c r="D265" s="89"/>
      <c r="E265" s="89"/>
      <c r="F265" s="89"/>
      <c r="G265" s="89"/>
      <c r="H265" s="89"/>
      <c r="I265" s="89"/>
      <c r="J265" s="89"/>
      <c r="K265" s="89"/>
      <c r="L265" s="89"/>
      <c r="M265" s="89"/>
      <c r="N265" s="89"/>
      <c r="O265" s="89"/>
      <c r="P265" s="89"/>
      <c r="Q265" s="89"/>
      <c r="R265" s="89"/>
      <c r="S265" s="89"/>
      <c r="T265" s="89"/>
    </row>
    <row r="266" ht="15.75" customHeight="1">
      <c r="A266" s="89"/>
      <c r="B266" s="89"/>
      <c r="C266" s="89"/>
      <c r="D266" s="89"/>
      <c r="E266" s="89"/>
      <c r="F266" s="89"/>
      <c r="G266" s="89"/>
      <c r="H266" s="89"/>
      <c r="I266" s="89"/>
      <c r="J266" s="89"/>
      <c r="K266" s="89"/>
      <c r="L266" s="89"/>
      <c r="M266" s="89"/>
      <c r="N266" s="89"/>
      <c r="O266" s="89"/>
      <c r="P266" s="89"/>
      <c r="Q266" s="89"/>
      <c r="R266" s="89"/>
      <c r="S266" s="89"/>
      <c r="T266" s="89"/>
    </row>
    <row r="267" ht="15.75" customHeight="1">
      <c r="A267" s="89"/>
      <c r="B267" s="89"/>
      <c r="C267" s="89"/>
      <c r="D267" s="89"/>
      <c r="E267" s="89"/>
      <c r="F267" s="89"/>
      <c r="G267" s="89"/>
      <c r="H267" s="89"/>
      <c r="I267" s="89"/>
      <c r="J267" s="89"/>
      <c r="K267" s="89"/>
      <c r="L267" s="89"/>
      <c r="M267" s="89"/>
      <c r="N267" s="89"/>
      <c r="O267" s="89"/>
      <c r="P267" s="89"/>
      <c r="Q267" s="89"/>
      <c r="R267" s="89"/>
      <c r="S267" s="89"/>
      <c r="T267" s="89"/>
    </row>
    <row r="268" ht="15.75" customHeight="1">
      <c r="A268" s="89"/>
      <c r="B268" s="89"/>
      <c r="C268" s="89"/>
      <c r="D268" s="89"/>
      <c r="E268" s="89"/>
      <c r="F268" s="89"/>
      <c r="G268" s="89"/>
      <c r="H268" s="89"/>
      <c r="I268" s="89"/>
      <c r="J268" s="89"/>
      <c r="K268" s="89"/>
      <c r="L268" s="89"/>
      <c r="M268" s="89"/>
      <c r="N268" s="89"/>
      <c r="O268" s="89"/>
      <c r="P268" s="89"/>
      <c r="Q268" s="89"/>
      <c r="R268" s="89"/>
      <c r="S268" s="89"/>
      <c r="T268" s="89"/>
    </row>
    <row r="269" ht="15.75" customHeight="1">
      <c r="A269" s="89"/>
      <c r="B269" s="89"/>
      <c r="C269" s="89"/>
      <c r="D269" s="89"/>
      <c r="E269" s="89"/>
      <c r="F269" s="89"/>
      <c r="G269" s="89"/>
      <c r="H269" s="89"/>
      <c r="I269" s="89"/>
      <c r="J269" s="89"/>
      <c r="K269" s="89"/>
      <c r="L269" s="89"/>
      <c r="M269" s="89"/>
      <c r="N269" s="89"/>
      <c r="O269" s="89"/>
      <c r="P269" s="89"/>
      <c r="Q269" s="89"/>
      <c r="R269" s="89"/>
      <c r="S269" s="89"/>
      <c r="T269" s="89"/>
    </row>
    <row r="270" ht="15.75" customHeight="1">
      <c r="A270" s="89"/>
      <c r="B270" s="89"/>
      <c r="C270" s="89"/>
      <c r="D270" s="89"/>
      <c r="E270" s="89"/>
      <c r="F270" s="89"/>
      <c r="G270" s="89"/>
      <c r="H270" s="89"/>
      <c r="I270" s="89"/>
      <c r="J270" s="89"/>
      <c r="K270" s="89"/>
      <c r="L270" s="89"/>
      <c r="M270" s="89"/>
      <c r="N270" s="89"/>
      <c r="O270" s="89"/>
      <c r="P270" s="89"/>
      <c r="Q270" s="89"/>
      <c r="R270" s="89"/>
      <c r="S270" s="89"/>
      <c r="T270" s="89"/>
    </row>
    <row r="271" ht="15.75" customHeight="1">
      <c r="A271" s="89"/>
      <c r="B271" s="89"/>
      <c r="C271" s="89"/>
      <c r="D271" s="89"/>
      <c r="E271" s="89"/>
      <c r="F271" s="89"/>
      <c r="G271" s="89"/>
      <c r="H271" s="89"/>
      <c r="I271" s="89"/>
      <c r="J271" s="89"/>
      <c r="K271" s="89"/>
      <c r="L271" s="89"/>
      <c r="M271" s="89"/>
      <c r="N271" s="89"/>
      <c r="O271" s="89"/>
      <c r="P271" s="89"/>
      <c r="Q271" s="89"/>
      <c r="R271" s="89"/>
      <c r="S271" s="89"/>
      <c r="T271" s="89"/>
    </row>
    <row r="272" ht="15.75" customHeight="1">
      <c r="A272" s="89"/>
      <c r="B272" s="89"/>
      <c r="C272" s="89"/>
      <c r="D272" s="89"/>
      <c r="E272" s="89"/>
      <c r="F272" s="89"/>
      <c r="G272" s="89"/>
      <c r="H272" s="89"/>
      <c r="I272" s="89"/>
      <c r="J272" s="89"/>
      <c r="K272" s="89"/>
      <c r="L272" s="89"/>
      <c r="M272" s="89"/>
      <c r="N272" s="89"/>
      <c r="O272" s="89"/>
      <c r="P272" s="89"/>
      <c r="Q272" s="89"/>
      <c r="R272" s="89"/>
      <c r="S272" s="89"/>
      <c r="T272" s="89"/>
    </row>
    <row r="273" ht="15.75" customHeight="1">
      <c r="A273" s="89"/>
      <c r="B273" s="89"/>
      <c r="C273" s="89"/>
      <c r="D273" s="89"/>
      <c r="E273" s="89"/>
      <c r="F273" s="89"/>
      <c r="G273" s="89"/>
      <c r="H273" s="89"/>
      <c r="I273" s="89"/>
      <c r="J273" s="89"/>
      <c r="K273" s="89"/>
      <c r="L273" s="89"/>
      <c r="M273" s="89"/>
      <c r="N273" s="89"/>
      <c r="O273" s="89"/>
      <c r="P273" s="89"/>
      <c r="Q273" s="89"/>
      <c r="R273" s="89"/>
      <c r="S273" s="89"/>
      <c r="T273" s="89"/>
    </row>
    <row r="274" ht="15.75" customHeight="1">
      <c r="A274" s="89"/>
      <c r="B274" s="89"/>
      <c r="C274" s="89"/>
      <c r="D274" s="89"/>
      <c r="E274" s="89"/>
      <c r="F274" s="89"/>
      <c r="G274" s="89"/>
      <c r="H274" s="89"/>
      <c r="I274" s="89"/>
      <c r="J274" s="89"/>
      <c r="K274" s="89"/>
      <c r="L274" s="89"/>
      <c r="M274" s="89"/>
      <c r="N274" s="89"/>
      <c r="O274" s="89"/>
      <c r="P274" s="89"/>
      <c r="Q274" s="89"/>
      <c r="R274" s="89"/>
      <c r="S274" s="89"/>
      <c r="T274" s="89"/>
    </row>
    <row r="275" ht="15.75" customHeight="1">
      <c r="A275" s="89"/>
      <c r="B275" s="89"/>
      <c r="C275" s="89"/>
      <c r="D275" s="89"/>
      <c r="E275" s="89"/>
      <c r="F275" s="89"/>
      <c r="G275" s="89"/>
      <c r="H275" s="89"/>
      <c r="I275" s="89"/>
      <c r="J275" s="89"/>
      <c r="K275" s="89"/>
      <c r="L275" s="89"/>
      <c r="M275" s="89"/>
      <c r="N275" s="89"/>
      <c r="O275" s="89"/>
      <c r="P275" s="89"/>
      <c r="Q275" s="89"/>
      <c r="R275" s="89"/>
      <c r="S275" s="89"/>
      <c r="T275" s="89"/>
    </row>
    <row r="276" ht="15.75" customHeight="1">
      <c r="A276" s="89"/>
      <c r="B276" s="89"/>
      <c r="C276" s="89"/>
      <c r="D276" s="89"/>
      <c r="E276" s="89"/>
      <c r="F276" s="89"/>
      <c r="G276" s="89"/>
      <c r="H276" s="89"/>
      <c r="I276" s="89"/>
      <c r="J276" s="89"/>
      <c r="K276" s="89"/>
      <c r="L276" s="89"/>
      <c r="M276" s="89"/>
      <c r="N276" s="89"/>
      <c r="O276" s="89"/>
      <c r="P276" s="89"/>
      <c r="Q276" s="89"/>
      <c r="R276" s="89"/>
      <c r="S276" s="89"/>
      <c r="T276" s="89"/>
    </row>
    <row r="277" ht="15.75" customHeight="1">
      <c r="A277" s="89"/>
      <c r="B277" s="89"/>
      <c r="C277" s="89"/>
      <c r="D277" s="89"/>
      <c r="E277" s="89"/>
      <c r="F277" s="89"/>
      <c r="G277" s="89"/>
      <c r="H277" s="89"/>
      <c r="I277" s="89"/>
      <c r="J277" s="89"/>
      <c r="K277" s="89"/>
      <c r="L277" s="89"/>
      <c r="M277" s="89"/>
      <c r="N277" s="89"/>
      <c r="O277" s="89"/>
      <c r="P277" s="89"/>
      <c r="Q277" s="89"/>
      <c r="R277" s="89"/>
      <c r="S277" s="89"/>
      <c r="T277" s="89"/>
    </row>
    <row r="278" ht="15.75" customHeight="1">
      <c r="A278" s="89"/>
      <c r="B278" s="89"/>
      <c r="C278" s="89"/>
      <c r="D278" s="89"/>
      <c r="E278" s="89"/>
      <c r="F278" s="89"/>
      <c r="G278" s="89"/>
      <c r="H278" s="89"/>
      <c r="I278" s="89"/>
      <c r="J278" s="89"/>
      <c r="K278" s="89"/>
      <c r="L278" s="89"/>
      <c r="M278" s="89"/>
      <c r="N278" s="89"/>
      <c r="O278" s="89"/>
      <c r="P278" s="89"/>
      <c r="Q278" s="89"/>
      <c r="R278" s="89"/>
      <c r="S278" s="89"/>
      <c r="T278" s="89"/>
    </row>
    <row r="279" ht="15.75" customHeight="1">
      <c r="A279" s="89"/>
      <c r="B279" s="89"/>
      <c r="C279" s="89"/>
      <c r="D279" s="89"/>
      <c r="E279" s="89"/>
      <c r="F279" s="89"/>
      <c r="G279" s="89"/>
      <c r="H279" s="89"/>
      <c r="I279" s="89"/>
      <c r="J279" s="89"/>
      <c r="K279" s="89"/>
      <c r="L279" s="89"/>
      <c r="M279" s="89"/>
      <c r="N279" s="89"/>
      <c r="O279" s="89"/>
      <c r="P279" s="89"/>
      <c r="Q279" s="89"/>
      <c r="R279" s="89"/>
      <c r="S279" s="89"/>
      <c r="T279" s="89"/>
    </row>
    <row r="280" ht="15.75" customHeight="1">
      <c r="A280" s="89"/>
      <c r="B280" s="89"/>
      <c r="C280" s="89"/>
      <c r="D280" s="89"/>
      <c r="E280" s="89"/>
      <c r="F280" s="89"/>
      <c r="G280" s="89"/>
      <c r="H280" s="89"/>
      <c r="I280" s="89"/>
      <c r="J280" s="89"/>
      <c r="K280" s="89"/>
      <c r="L280" s="89"/>
      <c r="M280" s="89"/>
      <c r="N280" s="89"/>
      <c r="O280" s="89"/>
      <c r="P280" s="89"/>
      <c r="Q280" s="89"/>
      <c r="R280" s="89"/>
      <c r="S280" s="89"/>
      <c r="T280" s="89"/>
    </row>
    <row r="281" ht="15.75" customHeight="1">
      <c r="A281" s="89"/>
      <c r="B281" s="89"/>
      <c r="C281" s="89"/>
      <c r="D281" s="89"/>
      <c r="E281" s="89"/>
      <c r="F281" s="89"/>
      <c r="G281" s="89"/>
      <c r="H281" s="89"/>
      <c r="I281" s="89"/>
      <c r="J281" s="89"/>
      <c r="K281" s="89"/>
      <c r="L281" s="89"/>
      <c r="M281" s="89"/>
      <c r="N281" s="89"/>
      <c r="O281" s="89"/>
      <c r="P281" s="89"/>
      <c r="Q281" s="89"/>
      <c r="R281" s="89"/>
      <c r="S281" s="89"/>
      <c r="T281" s="89"/>
    </row>
    <row r="282" ht="15.75" customHeight="1">
      <c r="A282" s="89"/>
      <c r="B282" s="89"/>
      <c r="C282" s="89"/>
      <c r="D282" s="89"/>
      <c r="E282" s="89"/>
      <c r="F282" s="89"/>
      <c r="G282" s="89"/>
      <c r="H282" s="89"/>
      <c r="I282" s="89"/>
      <c r="J282" s="89"/>
      <c r="K282" s="89"/>
      <c r="L282" s="89"/>
      <c r="M282" s="89"/>
      <c r="N282" s="89"/>
      <c r="O282" s="89"/>
      <c r="P282" s="89"/>
      <c r="Q282" s="89"/>
      <c r="R282" s="89"/>
      <c r="S282" s="89"/>
      <c r="T282" s="89"/>
    </row>
    <row r="283" ht="15.75" customHeight="1">
      <c r="A283" s="89"/>
      <c r="B283" s="89"/>
      <c r="C283" s="89"/>
      <c r="D283" s="89"/>
      <c r="E283" s="89"/>
      <c r="F283" s="89"/>
      <c r="G283" s="89"/>
      <c r="H283" s="89"/>
      <c r="I283" s="89"/>
      <c r="J283" s="89"/>
      <c r="K283" s="89"/>
      <c r="L283" s="89"/>
      <c r="M283" s="89"/>
      <c r="N283" s="89"/>
      <c r="O283" s="89"/>
      <c r="P283" s="89"/>
      <c r="Q283" s="89"/>
      <c r="R283" s="89"/>
      <c r="S283" s="89"/>
      <c r="T283" s="89"/>
    </row>
    <row r="284" ht="15.75" customHeight="1">
      <c r="A284" s="89"/>
      <c r="B284" s="89"/>
      <c r="C284" s="89"/>
      <c r="D284" s="89"/>
      <c r="E284" s="89"/>
      <c r="F284" s="89"/>
      <c r="G284" s="89"/>
      <c r="H284" s="89"/>
      <c r="I284" s="89"/>
      <c r="J284" s="89"/>
      <c r="K284" s="89"/>
      <c r="L284" s="89"/>
      <c r="M284" s="89"/>
      <c r="N284" s="89"/>
      <c r="O284" s="89"/>
      <c r="P284" s="89"/>
      <c r="Q284" s="89"/>
      <c r="R284" s="89"/>
      <c r="S284" s="89"/>
      <c r="T284" s="89"/>
    </row>
    <row r="285" ht="15.75" customHeight="1">
      <c r="A285" s="89"/>
      <c r="B285" s="89"/>
      <c r="C285" s="89"/>
      <c r="D285" s="89"/>
      <c r="E285" s="89"/>
      <c r="F285" s="89"/>
      <c r="G285" s="89"/>
      <c r="H285" s="89"/>
      <c r="I285" s="89"/>
      <c r="J285" s="89"/>
      <c r="K285" s="89"/>
      <c r="L285" s="89"/>
      <c r="M285" s="89"/>
      <c r="N285" s="89"/>
      <c r="O285" s="89"/>
      <c r="P285" s="89"/>
      <c r="Q285" s="89"/>
      <c r="R285" s="89"/>
      <c r="S285" s="89"/>
      <c r="T285" s="89"/>
    </row>
    <row r="286" ht="15.75" customHeight="1">
      <c r="A286" s="89"/>
      <c r="B286" s="89"/>
      <c r="C286" s="89"/>
      <c r="D286" s="89"/>
      <c r="E286" s="89"/>
      <c r="F286" s="89"/>
      <c r="G286" s="89"/>
      <c r="H286" s="89"/>
      <c r="I286" s="89"/>
      <c r="J286" s="89"/>
      <c r="K286" s="89"/>
      <c r="L286" s="89"/>
      <c r="M286" s="89"/>
      <c r="N286" s="89"/>
      <c r="O286" s="89"/>
      <c r="P286" s="89"/>
      <c r="Q286" s="89"/>
      <c r="R286" s="89"/>
      <c r="S286" s="89"/>
      <c r="T286" s="89"/>
    </row>
    <row r="287" ht="15.75" customHeight="1">
      <c r="A287" s="89"/>
      <c r="B287" s="89"/>
      <c r="C287" s="89"/>
      <c r="D287" s="89"/>
      <c r="E287" s="89"/>
      <c r="F287" s="89"/>
      <c r="G287" s="89"/>
      <c r="H287" s="89"/>
      <c r="I287" s="89"/>
      <c r="J287" s="89"/>
      <c r="K287" s="89"/>
      <c r="L287" s="89"/>
      <c r="M287" s="89"/>
      <c r="N287" s="89"/>
      <c r="O287" s="89"/>
      <c r="P287" s="89"/>
      <c r="Q287" s="89"/>
      <c r="R287" s="89"/>
      <c r="S287" s="89"/>
      <c r="T287" s="89"/>
    </row>
    <row r="288" ht="15.75" customHeight="1">
      <c r="A288" s="89"/>
      <c r="B288" s="89"/>
      <c r="C288" s="89"/>
      <c r="D288" s="89"/>
      <c r="E288" s="89"/>
      <c r="F288" s="89"/>
      <c r="G288" s="89"/>
      <c r="H288" s="89"/>
      <c r="I288" s="89"/>
      <c r="J288" s="89"/>
      <c r="K288" s="89"/>
      <c r="L288" s="89"/>
      <c r="M288" s="89"/>
      <c r="N288" s="89"/>
      <c r="O288" s="89"/>
      <c r="P288" s="89"/>
      <c r="Q288" s="89"/>
      <c r="R288" s="89"/>
      <c r="S288" s="89"/>
      <c r="T288" s="89"/>
    </row>
    <row r="289" ht="15.75" customHeight="1">
      <c r="A289" s="89"/>
      <c r="B289" s="89"/>
      <c r="C289" s="89"/>
      <c r="D289" s="89"/>
      <c r="E289" s="89"/>
      <c r="F289" s="89"/>
      <c r="G289" s="89"/>
      <c r="H289" s="89"/>
      <c r="I289" s="89"/>
      <c r="J289" s="89"/>
      <c r="K289" s="89"/>
      <c r="L289" s="89"/>
      <c r="M289" s="89"/>
      <c r="N289" s="89"/>
      <c r="O289" s="89"/>
      <c r="P289" s="89"/>
      <c r="Q289" s="89"/>
      <c r="R289" s="89"/>
      <c r="S289" s="89"/>
      <c r="T289" s="89"/>
    </row>
    <row r="290" ht="15.75" customHeight="1">
      <c r="A290" s="89"/>
      <c r="B290" s="89"/>
      <c r="C290" s="89"/>
      <c r="D290" s="89"/>
      <c r="E290" s="89"/>
      <c r="F290" s="89"/>
      <c r="G290" s="89"/>
      <c r="H290" s="89"/>
      <c r="I290" s="89"/>
      <c r="J290" s="89"/>
      <c r="K290" s="89"/>
      <c r="L290" s="89"/>
      <c r="M290" s="89"/>
      <c r="N290" s="89"/>
      <c r="O290" s="89"/>
      <c r="P290" s="89"/>
      <c r="Q290" s="89"/>
      <c r="R290" s="89"/>
      <c r="S290" s="89"/>
      <c r="T290" s="89"/>
    </row>
    <row r="291" ht="15.75" customHeight="1">
      <c r="A291" s="89"/>
      <c r="B291" s="89"/>
      <c r="C291" s="89"/>
      <c r="D291" s="89"/>
      <c r="E291" s="89"/>
      <c r="F291" s="89"/>
      <c r="G291" s="89"/>
      <c r="H291" s="89"/>
      <c r="I291" s="89"/>
      <c r="J291" s="89"/>
      <c r="K291" s="89"/>
      <c r="L291" s="89"/>
      <c r="M291" s="89"/>
      <c r="N291" s="89"/>
      <c r="O291" s="89"/>
      <c r="P291" s="89"/>
      <c r="Q291" s="89"/>
      <c r="R291" s="89"/>
      <c r="S291" s="89"/>
      <c r="T291" s="89"/>
    </row>
    <row r="292" ht="15.75" customHeight="1">
      <c r="A292" s="89"/>
      <c r="B292" s="89"/>
      <c r="C292" s="89"/>
      <c r="D292" s="89"/>
      <c r="E292" s="89"/>
      <c r="F292" s="89"/>
      <c r="G292" s="89"/>
      <c r="H292" s="89"/>
      <c r="I292" s="89"/>
      <c r="J292" s="89"/>
      <c r="K292" s="89"/>
      <c r="L292" s="89"/>
      <c r="M292" s="89"/>
      <c r="N292" s="89"/>
      <c r="O292" s="89"/>
      <c r="P292" s="89"/>
      <c r="Q292" s="89"/>
      <c r="R292" s="89"/>
      <c r="S292" s="89"/>
      <c r="T292" s="89"/>
    </row>
    <row r="293" ht="15.75" customHeight="1">
      <c r="A293" s="89"/>
      <c r="B293" s="89"/>
      <c r="C293" s="89"/>
      <c r="D293" s="89"/>
      <c r="E293" s="89"/>
      <c r="F293" s="89"/>
      <c r="G293" s="89"/>
      <c r="H293" s="89"/>
      <c r="I293" s="89"/>
      <c r="J293" s="89"/>
      <c r="K293" s="89"/>
      <c r="L293" s="89"/>
      <c r="M293" s="89"/>
      <c r="N293" s="89"/>
      <c r="O293" s="89"/>
      <c r="P293" s="89"/>
      <c r="Q293" s="89"/>
      <c r="R293" s="89"/>
      <c r="S293" s="89"/>
      <c r="T293" s="89"/>
    </row>
    <row r="294" ht="15.75" customHeight="1">
      <c r="A294" s="89"/>
      <c r="B294" s="89"/>
      <c r="C294" s="89"/>
      <c r="D294" s="89"/>
      <c r="E294" s="89"/>
      <c r="F294" s="89"/>
      <c r="G294" s="89"/>
      <c r="H294" s="89"/>
      <c r="I294" s="89"/>
      <c r="J294" s="89"/>
      <c r="K294" s="89"/>
      <c r="L294" s="89"/>
      <c r="M294" s="89"/>
      <c r="N294" s="89"/>
      <c r="O294" s="89"/>
      <c r="P294" s="89"/>
      <c r="Q294" s="89"/>
      <c r="R294" s="89"/>
      <c r="S294" s="89"/>
      <c r="T294" s="89"/>
    </row>
    <row r="295" ht="15.75" customHeight="1">
      <c r="A295" s="89"/>
      <c r="B295" s="89"/>
      <c r="C295" s="89"/>
      <c r="D295" s="89"/>
      <c r="E295" s="89"/>
      <c r="F295" s="89"/>
      <c r="G295" s="89"/>
      <c r="H295" s="89"/>
      <c r="I295" s="89"/>
      <c r="J295" s="89"/>
      <c r="K295" s="89"/>
      <c r="L295" s="89"/>
      <c r="M295" s="89"/>
      <c r="N295" s="89"/>
      <c r="O295" s="89"/>
      <c r="P295" s="89"/>
      <c r="Q295" s="89"/>
      <c r="R295" s="89"/>
      <c r="S295" s="89"/>
      <c r="T295" s="89"/>
    </row>
    <row r="296" ht="15.75" customHeight="1">
      <c r="A296" s="89"/>
      <c r="B296" s="89"/>
      <c r="C296" s="89"/>
      <c r="D296" s="89"/>
      <c r="E296" s="89"/>
      <c r="F296" s="89"/>
      <c r="G296" s="89"/>
      <c r="H296" s="89"/>
      <c r="I296" s="89"/>
      <c r="J296" s="89"/>
      <c r="K296" s="89"/>
      <c r="L296" s="89"/>
      <c r="M296" s="89"/>
      <c r="N296" s="89"/>
      <c r="O296" s="89"/>
      <c r="P296" s="89"/>
      <c r="Q296" s="89"/>
      <c r="R296" s="89"/>
      <c r="S296" s="89"/>
      <c r="T296" s="89"/>
    </row>
    <row r="297" ht="15.75" customHeight="1">
      <c r="A297" s="89"/>
      <c r="B297" s="89"/>
      <c r="C297" s="89"/>
      <c r="D297" s="89"/>
      <c r="E297" s="89"/>
      <c r="F297" s="89"/>
      <c r="G297" s="89"/>
      <c r="H297" s="89"/>
      <c r="I297" s="89"/>
      <c r="J297" s="89"/>
      <c r="K297" s="89"/>
      <c r="L297" s="89"/>
      <c r="M297" s="89"/>
      <c r="N297" s="89"/>
      <c r="O297" s="89"/>
      <c r="P297" s="89"/>
      <c r="Q297" s="89"/>
      <c r="R297" s="89"/>
      <c r="S297" s="89"/>
      <c r="T297" s="89"/>
    </row>
    <row r="298" ht="15.75" customHeight="1">
      <c r="A298" s="89"/>
      <c r="B298" s="89"/>
      <c r="C298" s="89"/>
      <c r="D298" s="89"/>
      <c r="E298" s="89"/>
      <c r="F298" s="89"/>
      <c r="G298" s="89"/>
      <c r="H298" s="89"/>
      <c r="I298" s="89"/>
      <c r="J298" s="89"/>
      <c r="K298" s="89"/>
      <c r="L298" s="89"/>
      <c r="M298" s="89"/>
      <c r="N298" s="89"/>
      <c r="O298" s="89"/>
      <c r="P298" s="89"/>
      <c r="Q298" s="89"/>
      <c r="R298" s="89"/>
      <c r="S298" s="89"/>
      <c r="T298" s="89"/>
    </row>
    <row r="299" ht="15.75" customHeight="1">
      <c r="A299" s="89"/>
      <c r="B299" s="89"/>
      <c r="C299" s="89"/>
      <c r="D299" s="89"/>
      <c r="E299" s="89"/>
      <c r="F299" s="89"/>
      <c r="G299" s="89"/>
      <c r="H299" s="89"/>
      <c r="I299" s="89"/>
      <c r="J299" s="89"/>
      <c r="K299" s="89"/>
      <c r="L299" s="89"/>
      <c r="M299" s="89"/>
      <c r="N299" s="89"/>
      <c r="O299" s="89"/>
      <c r="P299" s="89"/>
      <c r="Q299" s="89"/>
      <c r="R299" s="89"/>
      <c r="S299" s="89"/>
      <c r="T299" s="89"/>
    </row>
    <row r="300" ht="15.75" customHeight="1">
      <c r="A300" s="89"/>
      <c r="B300" s="89"/>
      <c r="C300" s="89"/>
      <c r="D300" s="89"/>
      <c r="E300" s="89"/>
      <c r="F300" s="89"/>
      <c r="G300" s="89"/>
      <c r="H300" s="89"/>
      <c r="I300" s="89"/>
      <c r="J300" s="89"/>
      <c r="K300" s="89"/>
      <c r="L300" s="89"/>
      <c r="M300" s="89"/>
      <c r="N300" s="89"/>
      <c r="O300" s="89"/>
      <c r="P300" s="89"/>
      <c r="Q300" s="89"/>
      <c r="R300" s="89"/>
      <c r="S300" s="89"/>
      <c r="T300" s="89"/>
    </row>
    <row r="301" ht="15.75" customHeight="1">
      <c r="A301" s="89"/>
      <c r="B301" s="89"/>
      <c r="C301" s="89"/>
      <c r="D301" s="89"/>
      <c r="E301" s="89"/>
      <c r="F301" s="89"/>
      <c r="G301" s="89"/>
      <c r="H301" s="89"/>
      <c r="I301" s="89"/>
      <c r="J301" s="89"/>
      <c r="K301" s="89"/>
      <c r="L301" s="89"/>
      <c r="M301" s="89"/>
      <c r="N301" s="89"/>
      <c r="O301" s="89"/>
      <c r="P301" s="89"/>
      <c r="Q301" s="89"/>
      <c r="R301" s="89"/>
      <c r="S301" s="89"/>
      <c r="T301" s="89"/>
    </row>
    <row r="302" ht="15.75" customHeight="1">
      <c r="A302" s="89"/>
      <c r="B302" s="89"/>
      <c r="C302" s="89"/>
      <c r="D302" s="89"/>
      <c r="E302" s="89"/>
      <c r="F302" s="89"/>
      <c r="G302" s="89"/>
      <c r="H302" s="89"/>
      <c r="I302" s="89"/>
      <c r="J302" s="89"/>
      <c r="K302" s="89"/>
      <c r="L302" s="89"/>
      <c r="M302" s="89"/>
      <c r="N302" s="89"/>
      <c r="O302" s="89"/>
      <c r="P302" s="89"/>
      <c r="Q302" s="89"/>
      <c r="R302" s="89"/>
      <c r="S302" s="89"/>
      <c r="T302" s="89"/>
    </row>
    <row r="303" ht="15.75" customHeight="1">
      <c r="A303" s="89"/>
      <c r="B303" s="89"/>
      <c r="C303" s="89"/>
      <c r="D303" s="89"/>
      <c r="E303" s="89"/>
      <c r="F303" s="89"/>
      <c r="G303" s="89"/>
      <c r="H303" s="89"/>
      <c r="I303" s="89"/>
      <c r="J303" s="89"/>
      <c r="K303" s="89"/>
      <c r="L303" s="89"/>
      <c r="M303" s="89"/>
      <c r="N303" s="89"/>
      <c r="O303" s="89"/>
      <c r="P303" s="89"/>
      <c r="Q303" s="89"/>
      <c r="R303" s="89"/>
      <c r="S303" s="89"/>
      <c r="T303" s="89"/>
    </row>
    <row r="304" ht="15.75" customHeight="1">
      <c r="A304" s="89"/>
      <c r="B304" s="89"/>
      <c r="C304" s="89"/>
      <c r="D304" s="89"/>
      <c r="E304" s="89"/>
      <c r="F304" s="89"/>
      <c r="G304" s="89"/>
      <c r="H304" s="89"/>
      <c r="I304" s="89"/>
      <c r="J304" s="89"/>
      <c r="K304" s="89"/>
      <c r="L304" s="89"/>
      <c r="M304" s="89"/>
      <c r="N304" s="89"/>
      <c r="O304" s="89"/>
      <c r="P304" s="89"/>
      <c r="Q304" s="89"/>
      <c r="R304" s="89"/>
      <c r="S304" s="89"/>
      <c r="T304" s="89"/>
    </row>
    <row r="305" ht="15.75" customHeight="1">
      <c r="A305" s="89"/>
      <c r="B305" s="89"/>
      <c r="C305" s="89"/>
      <c r="D305" s="89"/>
      <c r="E305" s="89"/>
      <c r="F305" s="89"/>
      <c r="G305" s="89"/>
      <c r="H305" s="89"/>
      <c r="I305" s="89"/>
      <c r="J305" s="89"/>
      <c r="K305" s="89"/>
      <c r="L305" s="89"/>
      <c r="M305" s="89"/>
      <c r="N305" s="89"/>
      <c r="O305" s="89"/>
      <c r="P305" s="89"/>
      <c r="Q305" s="89"/>
      <c r="R305" s="89"/>
      <c r="S305" s="89"/>
      <c r="T305" s="89"/>
    </row>
    <row r="306" ht="15.75" customHeight="1">
      <c r="A306" s="89"/>
      <c r="B306" s="89"/>
      <c r="C306" s="89"/>
      <c r="D306" s="89"/>
      <c r="E306" s="89"/>
      <c r="F306" s="89"/>
      <c r="G306" s="89"/>
      <c r="H306" s="89"/>
      <c r="I306" s="89"/>
      <c r="J306" s="89"/>
      <c r="K306" s="89"/>
      <c r="L306" s="89"/>
      <c r="M306" s="89"/>
      <c r="N306" s="89"/>
      <c r="O306" s="89"/>
      <c r="P306" s="89"/>
      <c r="Q306" s="89"/>
      <c r="R306" s="89"/>
      <c r="S306" s="89"/>
      <c r="T306" s="89"/>
    </row>
    <row r="307" ht="15.75" customHeight="1">
      <c r="A307" s="89"/>
      <c r="B307" s="89"/>
      <c r="C307" s="89"/>
      <c r="D307" s="89"/>
      <c r="E307" s="89"/>
      <c r="F307" s="89"/>
      <c r="G307" s="89"/>
      <c r="H307" s="89"/>
      <c r="I307" s="89"/>
      <c r="J307" s="89"/>
      <c r="K307" s="89"/>
      <c r="L307" s="89"/>
      <c r="M307" s="89"/>
      <c r="N307" s="89"/>
      <c r="O307" s="89"/>
      <c r="P307" s="89"/>
      <c r="Q307" s="89"/>
      <c r="R307" s="89"/>
      <c r="S307" s="89"/>
      <c r="T307" s="89"/>
    </row>
    <row r="308" ht="15.75" customHeight="1">
      <c r="A308" s="89"/>
      <c r="B308" s="89"/>
      <c r="C308" s="89"/>
      <c r="D308" s="89"/>
      <c r="E308" s="89"/>
      <c r="F308" s="89"/>
      <c r="G308" s="89"/>
      <c r="H308" s="89"/>
      <c r="I308" s="89"/>
      <c r="J308" s="89"/>
      <c r="K308" s="89"/>
      <c r="L308" s="89"/>
      <c r="M308" s="89"/>
      <c r="N308" s="89"/>
      <c r="O308" s="89"/>
      <c r="P308" s="89"/>
      <c r="Q308" s="89"/>
      <c r="R308" s="89"/>
      <c r="S308" s="89"/>
      <c r="T308" s="89"/>
    </row>
    <row r="309" ht="15.75" customHeight="1">
      <c r="A309" s="89"/>
      <c r="B309" s="89"/>
      <c r="C309" s="89"/>
      <c r="D309" s="89"/>
      <c r="E309" s="89"/>
      <c r="F309" s="89"/>
      <c r="G309" s="89"/>
      <c r="H309" s="89"/>
      <c r="I309" s="89"/>
      <c r="J309" s="89"/>
      <c r="K309" s="89"/>
      <c r="L309" s="89"/>
      <c r="M309" s="89"/>
      <c r="N309" s="89"/>
      <c r="O309" s="89"/>
      <c r="P309" s="89"/>
      <c r="Q309" s="89"/>
      <c r="R309" s="89"/>
      <c r="S309" s="89"/>
      <c r="T309" s="89"/>
    </row>
    <row r="310" ht="15.75" customHeight="1">
      <c r="A310" s="89"/>
      <c r="B310" s="89"/>
      <c r="C310" s="89"/>
      <c r="D310" s="89"/>
      <c r="E310" s="89"/>
      <c r="F310" s="89"/>
      <c r="G310" s="89"/>
      <c r="H310" s="89"/>
      <c r="I310" s="89"/>
      <c r="J310" s="89"/>
      <c r="K310" s="89"/>
      <c r="L310" s="89"/>
      <c r="M310" s="89"/>
      <c r="N310" s="89"/>
      <c r="O310" s="89"/>
      <c r="P310" s="89"/>
      <c r="Q310" s="89"/>
      <c r="R310" s="89"/>
      <c r="S310" s="89"/>
      <c r="T310" s="89"/>
    </row>
    <row r="311" ht="15.75" customHeight="1">
      <c r="A311" s="89"/>
      <c r="B311" s="89"/>
      <c r="C311" s="89"/>
      <c r="D311" s="89"/>
      <c r="E311" s="89"/>
      <c r="F311" s="89"/>
      <c r="G311" s="89"/>
      <c r="H311" s="89"/>
      <c r="I311" s="89"/>
      <c r="J311" s="89"/>
      <c r="K311" s="89"/>
      <c r="L311" s="89"/>
      <c r="M311" s="89"/>
      <c r="N311" s="89"/>
      <c r="O311" s="89"/>
      <c r="P311" s="89"/>
      <c r="Q311" s="89"/>
      <c r="R311" s="89"/>
      <c r="S311" s="89"/>
      <c r="T311" s="89"/>
    </row>
    <row r="312" ht="15.75" customHeight="1">
      <c r="A312" s="89"/>
      <c r="B312" s="89"/>
      <c r="C312" s="89"/>
      <c r="D312" s="89"/>
      <c r="E312" s="89"/>
      <c r="F312" s="89"/>
      <c r="G312" s="89"/>
      <c r="H312" s="89"/>
      <c r="I312" s="89"/>
      <c r="J312" s="89"/>
      <c r="K312" s="89"/>
      <c r="L312" s="89"/>
      <c r="M312" s="89"/>
      <c r="N312" s="89"/>
      <c r="O312" s="89"/>
      <c r="P312" s="89"/>
      <c r="Q312" s="89"/>
      <c r="R312" s="89"/>
      <c r="S312" s="89"/>
      <c r="T312" s="89"/>
    </row>
    <row r="313" ht="15.75" customHeight="1">
      <c r="A313" s="89"/>
      <c r="B313" s="89"/>
      <c r="C313" s="89"/>
      <c r="D313" s="89"/>
      <c r="E313" s="89"/>
      <c r="F313" s="89"/>
      <c r="G313" s="89"/>
      <c r="H313" s="89"/>
      <c r="I313" s="89"/>
      <c r="J313" s="89"/>
      <c r="K313" s="89"/>
      <c r="L313" s="89"/>
      <c r="M313" s="89"/>
      <c r="N313" s="89"/>
      <c r="O313" s="89"/>
      <c r="P313" s="89"/>
      <c r="Q313" s="89"/>
      <c r="R313" s="89"/>
      <c r="S313" s="89"/>
      <c r="T313" s="89"/>
    </row>
    <row r="314" ht="15.75" customHeight="1">
      <c r="A314" s="89"/>
      <c r="B314" s="89"/>
      <c r="C314" s="89"/>
      <c r="D314" s="89"/>
      <c r="E314" s="89"/>
      <c r="F314" s="89"/>
      <c r="G314" s="89"/>
      <c r="H314" s="89"/>
      <c r="I314" s="89"/>
      <c r="J314" s="89"/>
      <c r="K314" s="89"/>
      <c r="L314" s="89"/>
      <c r="M314" s="89"/>
      <c r="N314" s="89"/>
      <c r="O314" s="89"/>
      <c r="P314" s="89"/>
      <c r="Q314" s="89"/>
      <c r="R314" s="89"/>
      <c r="S314" s="89"/>
      <c r="T314" s="89"/>
    </row>
    <row r="315" ht="15.75" customHeight="1">
      <c r="A315" s="89"/>
      <c r="B315" s="89"/>
      <c r="C315" s="89"/>
      <c r="D315" s="89"/>
      <c r="E315" s="89"/>
      <c r="F315" s="89"/>
      <c r="G315" s="89"/>
      <c r="H315" s="89"/>
      <c r="I315" s="89"/>
      <c r="J315" s="89"/>
      <c r="K315" s="89"/>
      <c r="L315" s="89"/>
      <c r="M315" s="89"/>
      <c r="N315" s="89"/>
      <c r="O315" s="89"/>
      <c r="P315" s="89"/>
      <c r="Q315" s="89"/>
      <c r="R315" s="89"/>
      <c r="S315" s="89"/>
      <c r="T315" s="89"/>
    </row>
    <row r="316" ht="15.75" customHeight="1">
      <c r="A316" s="89"/>
      <c r="B316" s="89"/>
      <c r="C316" s="89"/>
      <c r="D316" s="89"/>
      <c r="E316" s="89"/>
      <c r="F316" s="89"/>
      <c r="G316" s="89"/>
      <c r="H316" s="89"/>
      <c r="I316" s="89"/>
      <c r="J316" s="89"/>
      <c r="K316" s="89"/>
      <c r="L316" s="89"/>
      <c r="M316" s="89"/>
      <c r="N316" s="89"/>
      <c r="O316" s="89"/>
      <c r="P316" s="89"/>
      <c r="Q316" s="89"/>
      <c r="R316" s="89"/>
      <c r="S316" s="89"/>
      <c r="T316" s="89"/>
    </row>
    <row r="317" ht="15.75" customHeight="1">
      <c r="A317" s="89"/>
      <c r="B317" s="89"/>
      <c r="C317" s="89"/>
      <c r="D317" s="89"/>
      <c r="E317" s="89"/>
      <c r="F317" s="89"/>
      <c r="G317" s="89"/>
      <c r="H317" s="89"/>
      <c r="I317" s="89"/>
      <c r="J317" s="89"/>
      <c r="K317" s="89"/>
      <c r="L317" s="89"/>
      <c r="M317" s="89"/>
      <c r="N317" s="89"/>
      <c r="O317" s="89"/>
      <c r="P317" s="89"/>
      <c r="Q317" s="89"/>
      <c r="R317" s="89"/>
      <c r="S317" s="89"/>
      <c r="T317" s="89"/>
    </row>
    <row r="318" ht="15.75" customHeight="1">
      <c r="A318" s="89"/>
      <c r="B318" s="89"/>
      <c r="C318" s="89"/>
      <c r="D318" s="89"/>
      <c r="E318" s="89"/>
      <c r="F318" s="89"/>
      <c r="G318" s="89"/>
      <c r="H318" s="89"/>
      <c r="I318" s="89"/>
      <c r="J318" s="89"/>
      <c r="K318" s="89"/>
      <c r="L318" s="89"/>
      <c r="M318" s="89"/>
      <c r="N318" s="89"/>
      <c r="O318" s="89"/>
      <c r="P318" s="89"/>
      <c r="Q318" s="89"/>
      <c r="R318" s="89"/>
      <c r="S318" s="89"/>
      <c r="T318" s="89"/>
    </row>
    <row r="319" ht="15.75" customHeight="1">
      <c r="A319" s="89"/>
      <c r="B319" s="89"/>
      <c r="C319" s="89"/>
      <c r="D319" s="89"/>
      <c r="E319" s="89"/>
      <c r="F319" s="89"/>
      <c r="G319" s="89"/>
      <c r="H319" s="89"/>
      <c r="I319" s="89"/>
      <c r="J319" s="89"/>
      <c r="K319" s="89"/>
      <c r="L319" s="89"/>
      <c r="M319" s="89"/>
      <c r="N319" s="89"/>
      <c r="O319" s="89"/>
      <c r="P319" s="89"/>
      <c r="Q319" s="89"/>
      <c r="R319" s="89"/>
      <c r="S319" s="89"/>
      <c r="T319" s="89"/>
    </row>
    <row r="320" ht="15.75" customHeight="1">
      <c r="A320" s="89"/>
      <c r="B320" s="89"/>
      <c r="C320" s="89"/>
      <c r="D320" s="89"/>
      <c r="E320" s="89"/>
      <c r="F320" s="89"/>
      <c r="G320" s="89"/>
      <c r="H320" s="89"/>
      <c r="I320" s="89"/>
      <c r="J320" s="89"/>
      <c r="K320" s="89"/>
      <c r="L320" s="89"/>
      <c r="M320" s="89"/>
      <c r="N320" s="89"/>
      <c r="O320" s="89"/>
      <c r="P320" s="89"/>
      <c r="Q320" s="89"/>
      <c r="R320" s="89"/>
      <c r="S320" s="89"/>
      <c r="T320" s="89"/>
    </row>
    <row r="321" ht="15.75" customHeight="1">
      <c r="A321" s="89"/>
      <c r="B321" s="89"/>
      <c r="C321" s="89"/>
      <c r="D321" s="89"/>
      <c r="E321" s="89"/>
      <c r="F321" s="89"/>
      <c r="G321" s="89"/>
      <c r="H321" s="89"/>
      <c r="I321" s="89"/>
      <c r="J321" s="89"/>
      <c r="K321" s="89"/>
      <c r="L321" s="89"/>
      <c r="M321" s="89"/>
      <c r="N321" s="89"/>
      <c r="O321" s="89"/>
      <c r="P321" s="89"/>
      <c r="Q321" s="89"/>
      <c r="R321" s="89"/>
      <c r="S321" s="89"/>
      <c r="T321" s="89"/>
    </row>
    <row r="322" ht="15.75" customHeight="1">
      <c r="A322" s="89"/>
      <c r="B322" s="89"/>
      <c r="C322" s="89"/>
      <c r="D322" s="89"/>
      <c r="E322" s="89"/>
      <c r="F322" s="89"/>
      <c r="G322" s="89"/>
      <c r="H322" s="89"/>
      <c r="I322" s="89"/>
      <c r="J322" s="89"/>
      <c r="K322" s="89"/>
      <c r="L322" s="89"/>
      <c r="M322" s="89"/>
      <c r="N322" s="89"/>
      <c r="O322" s="89"/>
      <c r="P322" s="89"/>
      <c r="Q322" s="89"/>
      <c r="R322" s="89"/>
      <c r="S322" s="89"/>
      <c r="T322" s="89"/>
    </row>
    <row r="323" ht="15.75" customHeight="1">
      <c r="A323" s="89"/>
      <c r="B323" s="89"/>
      <c r="C323" s="89"/>
      <c r="D323" s="89"/>
      <c r="E323" s="89"/>
      <c r="F323" s="89"/>
      <c r="G323" s="89"/>
      <c r="H323" s="89"/>
      <c r="I323" s="89"/>
      <c r="J323" s="89"/>
      <c r="K323" s="89"/>
      <c r="L323" s="89"/>
      <c r="M323" s="89"/>
      <c r="N323" s="89"/>
      <c r="O323" s="89"/>
      <c r="P323" s="89"/>
      <c r="Q323" s="89"/>
      <c r="R323" s="89"/>
      <c r="S323" s="89"/>
      <c r="T323" s="89"/>
    </row>
    <row r="324" ht="15.75" customHeight="1">
      <c r="A324" s="89"/>
      <c r="B324" s="89"/>
      <c r="C324" s="89"/>
      <c r="D324" s="89"/>
      <c r="E324" s="89"/>
      <c r="F324" s="89"/>
      <c r="G324" s="89"/>
      <c r="H324" s="89"/>
      <c r="I324" s="89"/>
      <c r="J324" s="89"/>
      <c r="K324" s="89"/>
      <c r="L324" s="89"/>
      <c r="M324" s="89"/>
      <c r="N324" s="89"/>
      <c r="O324" s="89"/>
      <c r="P324" s="89"/>
      <c r="Q324" s="89"/>
      <c r="R324" s="89"/>
      <c r="S324" s="89"/>
      <c r="T324" s="89"/>
    </row>
    <row r="325" ht="15.75" customHeight="1">
      <c r="A325" s="89"/>
      <c r="B325" s="89"/>
      <c r="C325" s="89"/>
      <c r="D325" s="89"/>
      <c r="E325" s="89"/>
      <c r="F325" s="89"/>
      <c r="G325" s="89"/>
      <c r="H325" s="89"/>
      <c r="I325" s="89"/>
      <c r="J325" s="89"/>
      <c r="K325" s="89"/>
      <c r="L325" s="89"/>
      <c r="M325" s="89"/>
      <c r="N325" s="89"/>
      <c r="O325" s="89"/>
      <c r="P325" s="89"/>
      <c r="Q325" s="89"/>
      <c r="R325" s="89"/>
      <c r="S325" s="89"/>
      <c r="T325" s="89"/>
    </row>
    <row r="326" ht="15.75" customHeight="1">
      <c r="A326" s="89"/>
      <c r="B326" s="89"/>
      <c r="C326" s="89"/>
      <c r="D326" s="89"/>
      <c r="E326" s="89"/>
      <c r="F326" s="89"/>
      <c r="G326" s="89"/>
      <c r="H326" s="89"/>
      <c r="I326" s="89"/>
      <c r="J326" s="89"/>
      <c r="K326" s="89"/>
      <c r="L326" s="89"/>
      <c r="M326" s="89"/>
      <c r="N326" s="89"/>
      <c r="O326" s="89"/>
      <c r="P326" s="89"/>
      <c r="Q326" s="89"/>
      <c r="R326" s="89"/>
      <c r="S326" s="89"/>
      <c r="T326" s="89"/>
    </row>
    <row r="327" ht="15.75" customHeight="1">
      <c r="A327" s="89"/>
      <c r="B327" s="89"/>
      <c r="C327" s="89"/>
      <c r="D327" s="89"/>
      <c r="E327" s="89"/>
      <c r="F327" s="89"/>
      <c r="G327" s="89"/>
      <c r="H327" s="89"/>
      <c r="I327" s="89"/>
      <c r="J327" s="89"/>
      <c r="K327" s="89"/>
      <c r="L327" s="89"/>
      <c r="M327" s="89"/>
      <c r="N327" s="89"/>
      <c r="O327" s="89"/>
      <c r="P327" s="89"/>
      <c r="Q327" s="89"/>
      <c r="R327" s="89"/>
      <c r="S327" s="89"/>
      <c r="T327" s="89"/>
    </row>
    <row r="328" ht="15.75" customHeight="1">
      <c r="A328" s="89"/>
      <c r="B328" s="89"/>
      <c r="C328" s="89"/>
      <c r="D328" s="89"/>
      <c r="E328" s="89"/>
      <c r="F328" s="89"/>
      <c r="G328" s="89"/>
      <c r="H328" s="89"/>
      <c r="I328" s="89"/>
      <c r="J328" s="89"/>
      <c r="K328" s="89"/>
      <c r="L328" s="89"/>
      <c r="M328" s="89"/>
      <c r="N328" s="89"/>
      <c r="O328" s="89"/>
      <c r="P328" s="89"/>
      <c r="Q328" s="89"/>
      <c r="R328" s="89"/>
      <c r="S328" s="89"/>
      <c r="T328" s="89"/>
    </row>
    <row r="329" ht="15.75" customHeight="1">
      <c r="A329" s="89"/>
      <c r="B329" s="89"/>
      <c r="C329" s="89"/>
      <c r="D329" s="89"/>
      <c r="E329" s="89"/>
      <c r="F329" s="89"/>
      <c r="G329" s="89"/>
      <c r="H329" s="89"/>
      <c r="I329" s="89"/>
      <c r="J329" s="89"/>
      <c r="K329" s="89"/>
      <c r="L329" s="89"/>
      <c r="M329" s="89"/>
      <c r="N329" s="89"/>
      <c r="O329" s="89"/>
      <c r="P329" s="89"/>
      <c r="Q329" s="89"/>
      <c r="R329" s="89"/>
      <c r="S329" s="89"/>
      <c r="T329" s="89"/>
    </row>
    <row r="330" ht="15.75" customHeight="1">
      <c r="A330" s="89"/>
      <c r="B330" s="89"/>
      <c r="C330" s="89"/>
      <c r="D330" s="89"/>
      <c r="E330" s="89"/>
      <c r="F330" s="89"/>
      <c r="G330" s="89"/>
      <c r="H330" s="89"/>
      <c r="I330" s="89"/>
      <c r="J330" s="89"/>
      <c r="K330" s="89"/>
      <c r="L330" s="89"/>
      <c r="M330" s="89"/>
      <c r="N330" s="89"/>
      <c r="O330" s="89"/>
      <c r="P330" s="89"/>
      <c r="Q330" s="89"/>
      <c r="R330" s="89"/>
      <c r="S330" s="89"/>
      <c r="T330" s="89"/>
    </row>
    <row r="331" ht="15.75" customHeight="1">
      <c r="A331" s="89"/>
      <c r="B331" s="89"/>
      <c r="C331" s="89"/>
      <c r="D331" s="89"/>
      <c r="E331" s="89"/>
      <c r="F331" s="89"/>
      <c r="G331" s="89"/>
      <c r="H331" s="89"/>
      <c r="I331" s="89"/>
      <c r="J331" s="89"/>
      <c r="K331" s="89"/>
      <c r="L331" s="89"/>
      <c r="M331" s="89"/>
      <c r="N331" s="89"/>
      <c r="O331" s="89"/>
      <c r="P331" s="89"/>
      <c r="Q331" s="89"/>
      <c r="R331" s="89"/>
      <c r="S331" s="89"/>
      <c r="T331" s="89"/>
    </row>
    <row r="332" ht="15.75" customHeight="1">
      <c r="A332" s="89"/>
      <c r="B332" s="89"/>
      <c r="C332" s="89"/>
      <c r="D332" s="89"/>
      <c r="E332" s="89"/>
      <c r="F332" s="89"/>
      <c r="G332" s="89"/>
      <c r="H332" s="89"/>
      <c r="I332" s="89"/>
      <c r="J332" s="89"/>
      <c r="K332" s="89"/>
      <c r="L332" s="89"/>
      <c r="M332" s="89"/>
      <c r="N332" s="89"/>
      <c r="O332" s="89"/>
      <c r="P332" s="89"/>
      <c r="Q332" s="89"/>
      <c r="R332" s="89"/>
      <c r="S332" s="89"/>
      <c r="T332" s="89"/>
    </row>
    <row r="333" ht="15.75" customHeight="1">
      <c r="A333" s="89"/>
      <c r="B333" s="89"/>
      <c r="C333" s="89"/>
      <c r="D333" s="89"/>
      <c r="E333" s="89"/>
      <c r="F333" s="89"/>
      <c r="G333" s="89"/>
      <c r="H333" s="89"/>
      <c r="I333" s="89"/>
      <c r="J333" s="89"/>
      <c r="K333" s="89"/>
      <c r="L333" s="89"/>
      <c r="M333" s="89"/>
      <c r="N333" s="89"/>
      <c r="O333" s="89"/>
      <c r="P333" s="89"/>
      <c r="Q333" s="89"/>
      <c r="R333" s="89"/>
      <c r="S333" s="89"/>
      <c r="T333" s="89"/>
    </row>
    <row r="334" ht="15.75" customHeight="1">
      <c r="A334" s="89"/>
      <c r="B334" s="89"/>
      <c r="C334" s="89"/>
      <c r="D334" s="89"/>
      <c r="E334" s="89"/>
      <c r="F334" s="89"/>
      <c r="G334" s="89"/>
      <c r="H334" s="89"/>
      <c r="I334" s="89"/>
      <c r="J334" s="89"/>
      <c r="K334" s="89"/>
      <c r="L334" s="89"/>
      <c r="M334" s="89"/>
      <c r="N334" s="89"/>
      <c r="O334" s="89"/>
      <c r="P334" s="89"/>
      <c r="Q334" s="89"/>
      <c r="R334" s="89"/>
      <c r="S334" s="89"/>
      <c r="T334" s="89"/>
    </row>
    <row r="335" ht="15.75" customHeight="1">
      <c r="A335" s="89"/>
      <c r="B335" s="89"/>
      <c r="C335" s="89"/>
      <c r="D335" s="89"/>
      <c r="E335" s="89"/>
      <c r="F335" s="89"/>
      <c r="G335" s="89"/>
      <c r="H335" s="89"/>
      <c r="I335" s="89"/>
      <c r="J335" s="89"/>
      <c r="K335" s="89"/>
      <c r="L335" s="89"/>
      <c r="M335" s="89"/>
      <c r="N335" s="89"/>
      <c r="O335" s="89"/>
      <c r="P335" s="89"/>
      <c r="Q335" s="89"/>
      <c r="R335" s="89"/>
      <c r="S335" s="89"/>
      <c r="T335" s="89"/>
    </row>
    <row r="336" ht="15.75" customHeight="1">
      <c r="A336" s="89"/>
      <c r="B336" s="89"/>
      <c r="C336" s="89"/>
      <c r="D336" s="89"/>
      <c r="E336" s="89"/>
      <c r="F336" s="89"/>
      <c r="G336" s="89"/>
      <c r="H336" s="89"/>
      <c r="I336" s="89"/>
      <c r="J336" s="89"/>
      <c r="K336" s="89"/>
      <c r="L336" s="89"/>
      <c r="M336" s="89"/>
      <c r="N336" s="89"/>
      <c r="O336" s="89"/>
      <c r="P336" s="89"/>
      <c r="Q336" s="89"/>
      <c r="R336" s="89"/>
      <c r="S336" s="89"/>
      <c r="T336" s="89"/>
    </row>
    <row r="337" ht="15.75" customHeight="1">
      <c r="A337" s="89"/>
      <c r="B337" s="89"/>
      <c r="C337" s="89"/>
      <c r="D337" s="89"/>
      <c r="E337" s="89"/>
      <c r="F337" s="89"/>
      <c r="G337" s="89"/>
      <c r="H337" s="89"/>
      <c r="I337" s="89"/>
      <c r="J337" s="89"/>
      <c r="K337" s="89"/>
      <c r="L337" s="89"/>
      <c r="M337" s="89"/>
      <c r="N337" s="89"/>
      <c r="O337" s="89"/>
      <c r="P337" s="89"/>
      <c r="Q337" s="89"/>
      <c r="R337" s="89"/>
      <c r="S337" s="89"/>
      <c r="T337" s="89"/>
    </row>
    <row r="338" ht="15.75" customHeight="1">
      <c r="A338" s="89"/>
      <c r="B338" s="89"/>
      <c r="C338" s="89"/>
      <c r="D338" s="89"/>
      <c r="E338" s="89"/>
      <c r="F338" s="89"/>
      <c r="G338" s="89"/>
      <c r="H338" s="89"/>
      <c r="I338" s="89"/>
      <c r="J338" s="89"/>
      <c r="K338" s="89"/>
      <c r="L338" s="89"/>
      <c r="M338" s="89"/>
      <c r="N338" s="89"/>
      <c r="O338" s="89"/>
      <c r="P338" s="89"/>
      <c r="Q338" s="89"/>
      <c r="R338" s="89"/>
      <c r="S338" s="89"/>
      <c r="T338" s="89"/>
    </row>
    <row r="339" ht="15.75" customHeight="1">
      <c r="A339" s="89"/>
      <c r="B339" s="89"/>
      <c r="C339" s="89"/>
      <c r="D339" s="89"/>
      <c r="E339" s="89"/>
      <c r="F339" s="89"/>
      <c r="G339" s="89"/>
      <c r="H339" s="89"/>
      <c r="I339" s="89"/>
      <c r="J339" s="89"/>
      <c r="K339" s="89"/>
      <c r="L339" s="89"/>
      <c r="M339" s="89"/>
      <c r="N339" s="89"/>
      <c r="O339" s="89"/>
      <c r="P339" s="89"/>
      <c r="Q339" s="89"/>
      <c r="R339" s="89"/>
      <c r="S339" s="89"/>
      <c r="T339" s="89"/>
    </row>
    <row r="340" ht="15.75" customHeight="1">
      <c r="A340" s="89"/>
      <c r="B340" s="89"/>
      <c r="C340" s="89"/>
      <c r="D340" s="89"/>
      <c r="E340" s="89"/>
      <c r="F340" s="89"/>
      <c r="G340" s="89"/>
      <c r="H340" s="89"/>
      <c r="I340" s="89"/>
      <c r="J340" s="89"/>
      <c r="K340" s="89"/>
      <c r="L340" s="89"/>
      <c r="M340" s="89"/>
      <c r="N340" s="89"/>
      <c r="O340" s="89"/>
      <c r="P340" s="89"/>
      <c r="Q340" s="89"/>
      <c r="R340" s="89"/>
      <c r="S340" s="89"/>
      <c r="T340" s="89"/>
    </row>
    <row r="341" ht="15.75" customHeight="1">
      <c r="A341" s="89"/>
      <c r="B341" s="89"/>
      <c r="C341" s="89"/>
      <c r="D341" s="89"/>
      <c r="E341" s="89"/>
      <c r="F341" s="89"/>
      <c r="G341" s="89"/>
      <c r="H341" s="89"/>
      <c r="I341" s="89"/>
      <c r="J341" s="89"/>
      <c r="K341" s="89"/>
      <c r="L341" s="89"/>
      <c r="M341" s="89"/>
      <c r="N341" s="89"/>
      <c r="O341" s="89"/>
      <c r="P341" s="89"/>
      <c r="Q341" s="89"/>
      <c r="R341" s="89"/>
      <c r="S341" s="89"/>
      <c r="T341" s="89"/>
    </row>
    <row r="342" ht="15.75" customHeight="1">
      <c r="A342" s="89"/>
      <c r="B342" s="89"/>
      <c r="C342" s="89"/>
      <c r="D342" s="89"/>
      <c r="E342" s="89"/>
      <c r="F342" s="89"/>
      <c r="G342" s="89"/>
      <c r="H342" s="89"/>
      <c r="I342" s="89"/>
      <c r="J342" s="89"/>
      <c r="K342" s="89"/>
      <c r="L342" s="89"/>
      <c r="M342" s="89"/>
      <c r="N342" s="89"/>
      <c r="O342" s="89"/>
      <c r="P342" s="89"/>
      <c r="Q342" s="89"/>
      <c r="R342" s="89"/>
      <c r="S342" s="89"/>
      <c r="T342" s="89"/>
    </row>
    <row r="343" ht="15.75" customHeight="1">
      <c r="A343" s="89"/>
      <c r="B343" s="89"/>
      <c r="C343" s="89"/>
      <c r="D343" s="89"/>
      <c r="E343" s="89"/>
      <c r="F343" s="89"/>
      <c r="G343" s="89"/>
      <c r="H343" s="89"/>
      <c r="I343" s="89"/>
      <c r="J343" s="89"/>
      <c r="K343" s="89"/>
      <c r="L343" s="89"/>
      <c r="M343" s="89"/>
      <c r="N343" s="89"/>
      <c r="O343" s="89"/>
      <c r="P343" s="89"/>
      <c r="Q343" s="89"/>
      <c r="R343" s="89"/>
      <c r="S343" s="89"/>
      <c r="T343" s="89"/>
    </row>
    <row r="344" ht="15.75" customHeight="1">
      <c r="A344" s="89"/>
      <c r="B344" s="89"/>
      <c r="C344" s="89"/>
      <c r="D344" s="89"/>
      <c r="E344" s="89"/>
      <c r="F344" s="89"/>
      <c r="G344" s="89"/>
      <c r="H344" s="89"/>
      <c r="I344" s="89"/>
      <c r="J344" s="89"/>
      <c r="K344" s="89"/>
      <c r="L344" s="89"/>
      <c r="M344" s="89"/>
      <c r="N344" s="89"/>
      <c r="O344" s="89"/>
      <c r="P344" s="89"/>
      <c r="Q344" s="89"/>
      <c r="R344" s="89"/>
      <c r="S344" s="89"/>
      <c r="T344" s="89"/>
    </row>
    <row r="345" ht="15.75" customHeight="1">
      <c r="A345" s="89"/>
      <c r="B345" s="89"/>
      <c r="C345" s="89"/>
      <c r="D345" s="89"/>
      <c r="E345" s="89"/>
      <c r="F345" s="89"/>
      <c r="G345" s="89"/>
      <c r="H345" s="89"/>
      <c r="I345" s="89"/>
      <c r="J345" s="89"/>
      <c r="K345" s="89"/>
      <c r="L345" s="89"/>
      <c r="M345" s="89"/>
      <c r="N345" s="89"/>
      <c r="O345" s="89"/>
      <c r="P345" s="89"/>
      <c r="Q345" s="89"/>
      <c r="R345" s="89"/>
      <c r="S345" s="89"/>
      <c r="T345" s="89"/>
    </row>
    <row r="346" ht="15.75" customHeight="1">
      <c r="A346" s="89"/>
      <c r="B346" s="89"/>
      <c r="C346" s="89"/>
      <c r="D346" s="89"/>
      <c r="E346" s="89"/>
      <c r="F346" s="89"/>
      <c r="G346" s="89"/>
      <c r="H346" s="89"/>
      <c r="I346" s="89"/>
      <c r="J346" s="89"/>
      <c r="K346" s="89"/>
      <c r="L346" s="89"/>
      <c r="M346" s="89"/>
      <c r="N346" s="89"/>
      <c r="O346" s="89"/>
      <c r="P346" s="89"/>
      <c r="Q346" s="89"/>
      <c r="R346" s="89"/>
      <c r="S346" s="89"/>
      <c r="T346" s="89"/>
    </row>
    <row r="347" ht="15.75" customHeight="1">
      <c r="A347" s="89"/>
      <c r="B347" s="89"/>
      <c r="C347" s="89"/>
      <c r="D347" s="89"/>
      <c r="E347" s="89"/>
      <c r="F347" s="89"/>
      <c r="G347" s="89"/>
      <c r="H347" s="89"/>
      <c r="I347" s="89"/>
      <c r="J347" s="89"/>
      <c r="K347" s="89"/>
      <c r="L347" s="89"/>
      <c r="M347" s="89"/>
      <c r="N347" s="89"/>
      <c r="O347" s="89"/>
      <c r="P347" s="89"/>
      <c r="Q347" s="89"/>
      <c r="R347" s="89"/>
      <c r="S347" s="89"/>
      <c r="T347" s="89"/>
    </row>
    <row r="348" ht="15.75" customHeight="1">
      <c r="A348" s="89"/>
      <c r="B348" s="89"/>
      <c r="C348" s="89"/>
      <c r="D348" s="89"/>
      <c r="E348" s="89"/>
      <c r="F348" s="89"/>
      <c r="G348" s="89"/>
      <c r="H348" s="89"/>
      <c r="I348" s="89"/>
      <c r="J348" s="89"/>
      <c r="K348" s="89"/>
      <c r="L348" s="89"/>
      <c r="M348" s="89"/>
      <c r="N348" s="89"/>
      <c r="O348" s="89"/>
      <c r="P348" s="89"/>
      <c r="Q348" s="89"/>
      <c r="R348" s="89"/>
      <c r="S348" s="89"/>
      <c r="T348" s="89"/>
    </row>
    <row r="349" ht="15.75" customHeight="1">
      <c r="A349" s="89"/>
      <c r="B349" s="89"/>
      <c r="C349" s="89"/>
      <c r="D349" s="89"/>
      <c r="E349" s="89"/>
      <c r="F349" s="89"/>
      <c r="G349" s="89"/>
      <c r="H349" s="89"/>
      <c r="I349" s="89"/>
      <c r="J349" s="89"/>
      <c r="K349" s="89"/>
      <c r="L349" s="89"/>
      <c r="M349" s="89"/>
      <c r="N349" s="89"/>
      <c r="O349" s="89"/>
      <c r="P349" s="89"/>
      <c r="Q349" s="89"/>
      <c r="R349" s="89"/>
      <c r="S349" s="89"/>
      <c r="T349" s="89"/>
    </row>
    <row r="350" ht="15.75" customHeight="1">
      <c r="A350" s="89"/>
      <c r="B350" s="89"/>
      <c r="C350" s="89"/>
      <c r="D350" s="89"/>
      <c r="E350" s="89"/>
      <c r="F350" s="89"/>
      <c r="G350" s="89"/>
      <c r="H350" s="89"/>
      <c r="I350" s="89"/>
      <c r="J350" s="89"/>
      <c r="K350" s="89"/>
      <c r="L350" s="89"/>
      <c r="M350" s="89"/>
      <c r="N350" s="89"/>
      <c r="O350" s="89"/>
      <c r="P350" s="89"/>
      <c r="Q350" s="89"/>
      <c r="R350" s="89"/>
      <c r="S350" s="89"/>
      <c r="T350" s="89"/>
    </row>
    <row r="351" ht="15.75" customHeight="1">
      <c r="A351" s="89"/>
      <c r="B351" s="89"/>
      <c r="C351" s="89"/>
      <c r="D351" s="89"/>
      <c r="E351" s="89"/>
      <c r="F351" s="89"/>
      <c r="G351" s="89"/>
      <c r="H351" s="89"/>
      <c r="I351" s="89"/>
      <c r="J351" s="89"/>
      <c r="K351" s="89"/>
      <c r="L351" s="89"/>
      <c r="M351" s="89"/>
      <c r="N351" s="89"/>
      <c r="O351" s="89"/>
      <c r="P351" s="89"/>
      <c r="Q351" s="89"/>
      <c r="R351" s="89"/>
      <c r="S351" s="89"/>
      <c r="T351" s="89"/>
    </row>
    <row r="352" ht="15.75" customHeight="1">
      <c r="A352" s="89"/>
      <c r="B352" s="89"/>
      <c r="C352" s="89"/>
      <c r="D352" s="89"/>
      <c r="E352" s="89"/>
      <c r="F352" s="89"/>
      <c r="G352" s="89"/>
      <c r="H352" s="89"/>
      <c r="I352" s="89"/>
      <c r="J352" s="89"/>
      <c r="K352" s="89"/>
      <c r="L352" s="89"/>
      <c r="M352" s="89"/>
      <c r="N352" s="89"/>
      <c r="O352" s="89"/>
      <c r="P352" s="89"/>
      <c r="Q352" s="89"/>
      <c r="R352" s="89"/>
      <c r="S352" s="89"/>
      <c r="T352" s="89"/>
    </row>
    <row r="353" ht="15.75" customHeight="1">
      <c r="A353" s="89"/>
      <c r="B353" s="89"/>
      <c r="C353" s="89"/>
      <c r="D353" s="89"/>
      <c r="E353" s="89"/>
      <c r="F353" s="89"/>
      <c r="G353" s="89"/>
      <c r="H353" s="89"/>
      <c r="I353" s="89"/>
      <c r="J353" s="89"/>
      <c r="K353" s="89"/>
      <c r="L353" s="89"/>
      <c r="M353" s="89"/>
      <c r="N353" s="89"/>
      <c r="O353" s="89"/>
      <c r="P353" s="89"/>
      <c r="Q353" s="89"/>
      <c r="R353" s="89"/>
      <c r="S353" s="89"/>
      <c r="T353" s="89"/>
    </row>
    <row r="354" ht="15.75" customHeight="1">
      <c r="A354" s="89"/>
      <c r="B354" s="89"/>
      <c r="C354" s="89"/>
      <c r="D354" s="89"/>
      <c r="E354" s="89"/>
      <c r="F354" s="89"/>
      <c r="G354" s="89"/>
      <c r="H354" s="89"/>
      <c r="I354" s="89"/>
      <c r="J354" s="89"/>
      <c r="K354" s="89"/>
      <c r="L354" s="89"/>
      <c r="M354" s="89"/>
      <c r="N354" s="89"/>
      <c r="O354" s="89"/>
      <c r="P354" s="89"/>
      <c r="Q354" s="89"/>
      <c r="R354" s="89"/>
      <c r="S354" s="89"/>
      <c r="T354" s="89"/>
    </row>
    <row r="355" ht="15.75" customHeight="1">
      <c r="A355" s="89"/>
      <c r="B355" s="89"/>
      <c r="C355" s="89"/>
      <c r="D355" s="89"/>
      <c r="E355" s="89"/>
      <c r="F355" s="89"/>
      <c r="G355" s="89"/>
      <c r="H355" s="89"/>
      <c r="I355" s="89"/>
      <c r="J355" s="89"/>
      <c r="K355" s="89"/>
      <c r="L355" s="89"/>
      <c r="M355" s="89"/>
      <c r="N355" s="89"/>
      <c r="O355" s="89"/>
      <c r="P355" s="89"/>
      <c r="Q355" s="89"/>
      <c r="R355" s="89"/>
      <c r="S355" s="89"/>
      <c r="T355" s="89"/>
    </row>
    <row r="356" ht="15.75" customHeight="1">
      <c r="A356" s="89"/>
      <c r="B356" s="89"/>
      <c r="C356" s="89"/>
      <c r="D356" s="89"/>
      <c r="E356" s="89"/>
      <c r="F356" s="89"/>
      <c r="G356" s="89"/>
      <c r="H356" s="89"/>
      <c r="I356" s="89"/>
      <c r="J356" s="89"/>
      <c r="K356" s="89"/>
      <c r="L356" s="89"/>
      <c r="M356" s="89"/>
      <c r="N356" s="89"/>
      <c r="O356" s="89"/>
      <c r="P356" s="89"/>
      <c r="Q356" s="89"/>
      <c r="R356" s="89"/>
      <c r="S356" s="89"/>
      <c r="T356" s="89"/>
    </row>
    <row r="357" ht="15.75" customHeight="1">
      <c r="A357" s="89"/>
      <c r="B357" s="89"/>
      <c r="C357" s="89"/>
      <c r="D357" s="89"/>
      <c r="E357" s="89"/>
      <c r="F357" s="89"/>
      <c r="G357" s="89"/>
      <c r="H357" s="89"/>
      <c r="I357" s="89"/>
      <c r="J357" s="89"/>
      <c r="K357" s="89"/>
      <c r="L357" s="89"/>
      <c r="M357" s="89"/>
      <c r="N357" s="89"/>
      <c r="O357" s="89"/>
      <c r="P357" s="89"/>
      <c r="Q357" s="89"/>
      <c r="R357" s="89"/>
      <c r="S357" s="89"/>
      <c r="T357" s="89"/>
    </row>
    <row r="358" ht="15.75" customHeight="1">
      <c r="A358" s="89"/>
      <c r="B358" s="89"/>
      <c r="C358" s="89"/>
      <c r="D358" s="89"/>
      <c r="E358" s="89"/>
      <c r="F358" s="89"/>
      <c r="G358" s="89"/>
      <c r="H358" s="89"/>
      <c r="I358" s="89"/>
      <c r="J358" s="89"/>
      <c r="K358" s="89"/>
      <c r="L358" s="89"/>
      <c r="M358" s="89"/>
      <c r="N358" s="89"/>
      <c r="O358" s="89"/>
      <c r="P358" s="89"/>
      <c r="Q358" s="89"/>
      <c r="R358" s="89"/>
      <c r="S358" s="89"/>
      <c r="T358" s="89"/>
    </row>
    <row r="359" ht="15.75" customHeight="1">
      <c r="A359" s="89"/>
      <c r="B359" s="89"/>
      <c r="C359" s="89"/>
      <c r="D359" s="89"/>
      <c r="E359" s="89"/>
      <c r="F359" s="89"/>
      <c r="G359" s="89"/>
      <c r="H359" s="89"/>
      <c r="I359" s="89"/>
      <c r="J359" s="89"/>
      <c r="K359" s="89"/>
      <c r="L359" s="89"/>
      <c r="M359" s="89"/>
      <c r="N359" s="89"/>
      <c r="O359" s="89"/>
      <c r="P359" s="89"/>
      <c r="Q359" s="89"/>
      <c r="R359" s="89"/>
      <c r="S359" s="89"/>
      <c r="T359" s="89"/>
    </row>
    <row r="360" ht="15.75" customHeight="1">
      <c r="A360" s="89"/>
      <c r="B360" s="89"/>
      <c r="C360" s="89"/>
      <c r="D360" s="89"/>
      <c r="E360" s="89"/>
      <c r="F360" s="89"/>
      <c r="G360" s="89"/>
      <c r="H360" s="89"/>
      <c r="I360" s="89"/>
      <c r="J360" s="89"/>
      <c r="K360" s="89"/>
      <c r="L360" s="89"/>
      <c r="M360" s="89"/>
      <c r="N360" s="89"/>
      <c r="O360" s="89"/>
      <c r="P360" s="89"/>
      <c r="Q360" s="89"/>
      <c r="R360" s="89"/>
      <c r="S360" s="89"/>
      <c r="T360" s="89"/>
    </row>
    <row r="361" ht="15.75" customHeight="1">
      <c r="A361" s="89"/>
      <c r="B361" s="89"/>
      <c r="C361" s="89"/>
      <c r="D361" s="89"/>
      <c r="E361" s="89"/>
      <c r="F361" s="89"/>
      <c r="G361" s="89"/>
      <c r="H361" s="89"/>
      <c r="I361" s="89"/>
      <c r="J361" s="89"/>
      <c r="K361" s="89"/>
      <c r="L361" s="89"/>
      <c r="M361" s="89"/>
      <c r="N361" s="89"/>
      <c r="O361" s="89"/>
      <c r="P361" s="89"/>
      <c r="Q361" s="89"/>
      <c r="R361" s="89"/>
      <c r="S361" s="89"/>
      <c r="T361" s="89"/>
    </row>
    <row r="362" ht="15.75" customHeight="1">
      <c r="A362" s="89"/>
      <c r="B362" s="89"/>
      <c r="C362" s="89"/>
      <c r="D362" s="89"/>
      <c r="E362" s="89"/>
      <c r="F362" s="89"/>
      <c r="G362" s="89"/>
      <c r="H362" s="89"/>
      <c r="I362" s="89"/>
      <c r="J362" s="89"/>
      <c r="K362" s="89"/>
      <c r="L362" s="89"/>
      <c r="M362" s="89"/>
      <c r="N362" s="89"/>
      <c r="O362" s="89"/>
      <c r="P362" s="89"/>
      <c r="Q362" s="89"/>
      <c r="R362" s="89"/>
      <c r="S362" s="89"/>
      <c r="T362" s="89"/>
    </row>
    <row r="363" ht="15.75" customHeight="1">
      <c r="A363" s="89"/>
      <c r="B363" s="89"/>
      <c r="C363" s="89"/>
      <c r="D363" s="89"/>
      <c r="E363" s="89"/>
      <c r="F363" s="89"/>
      <c r="G363" s="89"/>
      <c r="H363" s="89"/>
      <c r="I363" s="89"/>
      <c r="J363" s="89"/>
      <c r="K363" s="89"/>
      <c r="L363" s="89"/>
      <c r="M363" s="89"/>
      <c r="N363" s="89"/>
      <c r="O363" s="89"/>
      <c r="P363" s="89"/>
      <c r="Q363" s="89"/>
      <c r="R363" s="89"/>
      <c r="S363" s="89"/>
      <c r="T363" s="89"/>
    </row>
    <row r="364" ht="15.75" customHeight="1">
      <c r="A364" s="89"/>
      <c r="B364" s="89"/>
      <c r="C364" s="89"/>
      <c r="D364" s="89"/>
      <c r="E364" s="89"/>
      <c r="F364" s="89"/>
      <c r="G364" s="89"/>
      <c r="H364" s="89"/>
      <c r="I364" s="89"/>
      <c r="J364" s="89"/>
      <c r="K364" s="89"/>
      <c r="L364" s="89"/>
      <c r="M364" s="89"/>
      <c r="N364" s="89"/>
      <c r="O364" s="89"/>
      <c r="P364" s="89"/>
      <c r="Q364" s="89"/>
      <c r="R364" s="89"/>
      <c r="S364" s="89"/>
      <c r="T364" s="89"/>
    </row>
    <row r="365" ht="15.75" customHeight="1">
      <c r="A365" s="89"/>
      <c r="B365" s="89"/>
      <c r="C365" s="89"/>
      <c r="D365" s="89"/>
      <c r="E365" s="89"/>
      <c r="F365" s="89"/>
      <c r="G365" s="89"/>
      <c r="H365" s="89"/>
      <c r="I365" s="89"/>
      <c r="J365" s="89"/>
      <c r="K365" s="89"/>
      <c r="L365" s="89"/>
      <c r="M365" s="89"/>
      <c r="N365" s="89"/>
      <c r="O365" s="89"/>
      <c r="P365" s="89"/>
      <c r="Q365" s="89"/>
      <c r="R365" s="89"/>
      <c r="S365" s="89"/>
      <c r="T365" s="89"/>
    </row>
    <row r="366" ht="15.75" customHeight="1">
      <c r="A366" s="89"/>
      <c r="B366" s="89"/>
      <c r="C366" s="89"/>
      <c r="D366" s="89"/>
      <c r="E366" s="89"/>
      <c r="F366" s="89"/>
      <c r="G366" s="89"/>
      <c r="H366" s="89"/>
      <c r="I366" s="89"/>
      <c r="J366" s="89"/>
      <c r="K366" s="89"/>
      <c r="L366" s="89"/>
      <c r="M366" s="89"/>
      <c r="N366" s="89"/>
      <c r="O366" s="89"/>
      <c r="P366" s="89"/>
      <c r="Q366" s="89"/>
      <c r="R366" s="89"/>
      <c r="S366" s="89"/>
      <c r="T366" s="89"/>
    </row>
    <row r="367" ht="15.75" customHeight="1">
      <c r="A367" s="89"/>
      <c r="B367" s="89"/>
      <c r="C367" s="89"/>
      <c r="D367" s="89"/>
      <c r="E367" s="89"/>
      <c r="F367" s="89"/>
      <c r="G367" s="89"/>
      <c r="H367" s="89"/>
      <c r="I367" s="89"/>
      <c r="J367" s="89"/>
      <c r="K367" s="89"/>
      <c r="L367" s="89"/>
      <c r="M367" s="89"/>
      <c r="N367" s="89"/>
      <c r="O367" s="89"/>
      <c r="P367" s="89"/>
      <c r="Q367" s="89"/>
      <c r="R367" s="89"/>
      <c r="S367" s="89"/>
      <c r="T367" s="89"/>
    </row>
    <row r="368" ht="15.75" customHeight="1">
      <c r="A368" s="89"/>
      <c r="B368" s="89"/>
      <c r="C368" s="89"/>
      <c r="D368" s="89"/>
      <c r="E368" s="89"/>
      <c r="F368" s="89"/>
      <c r="G368" s="89"/>
      <c r="H368" s="89"/>
      <c r="I368" s="89"/>
      <c r="J368" s="89"/>
      <c r="K368" s="89"/>
      <c r="L368" s="89"/>
      <c r="M368" s="89"/>
      <c r="N368" s="89"/>
      <c r="O368" s="89"/>
      <c r="P368" s="89"/>
      <c r="Q368" s="89"/>
      <c r="R368" s="89"/>
      <c r="S368" s="89"/>
      <c r="T368" s="89"/>
    </row>
    <row r="369" ht="15.75" customHeight="1">
      <c r="A369" s="89"/>
      <c r="B369" s="89"/>
      <c r="C369" s="89"/>
      <c r="D369" s="89"/>
      <c r="E369" s="89"/>
      <c r="F369" s="89"/>
      <c r="G369" s="89"/>
      <c r="H369" s="89"/>
      <c r="I369" s="89"/>
      <c r="J369" s="89"/>
      <c r="K369" s="89"/>
      <c r="L369" s="89"/>
      <c r="M369" s="89"/>
      <c r="N369" s="89"/>
      <c r="O369" s="89"/>
      <c r="P369" s="89"/>
      <c r="Q369" s="89"/>
      <c r="R369" s="89"/>
      <c r="S369" s="89"/>
      <c r="T369" s="89"/>
    </row>
    <row r="370" ht="15.75" customHeight="1">
      <c r="A370" s="89"/>
      <c r="B370" s="89"/>
      <c r="C370" s="89"/>
      <c r="D370" s="89"/>
      <c r="E370" s="89"/>
      <c r="F370" s="89"/>
      <c r="G370" s="89"/>
      <c r="H370" s="89"/>
      <c r="I370" s="89"/>
      <c r="J370" s="89"/>
      <c r="K370" s="89"/>
      <c r="L370" s="89"/>
      <c r="M370" s="89"/>
      <c r="N370" s="89"/>
      <c r="O370" s="89"/>
      <c r="P370" s="89"/>
      <c r="Q370" s="89"/>
      <c r="R370" s="89"/>
      <c r="S370" s="89"/>
      <c r="T370" s="89"/>
    </row>
    <row r="371" ht="15.75" customHeight="1">
      <c r="A371" s="89"/>
      <c r="B371" s="89"/>
      <c r="C371" s="89"/>
      <c r="D371" s="89"/>
      <c r="E371" s="89"/>
      <c r="F371" s="89"/>
      <c r="G371" s="89"/>
      <c r="H371" s="89"/>
      <c r="I371" s="89"/>
      <c r="J371" s="89"/>
      <c r="K371" s="89"/>
      <c r="L371" s="89"/>
      <c r="M371" s="89"/>
      <c r="N371" s="89"/>
      <c r="O371" s="89"/>
      <c r="P371" s="89"/>
      <c r="Q371" s="89"/>
      <c r="R371" s="89"/>
      <c r="S371" s="89"/>
      <c r="T371" s="89"/>
    </row>
    <row r="372" ht="15.75" customHeight="1">
      <c r="A372" s="89"/>
      <c r="B372" s="89"/>
      <c r="C372" s="89"/>
      <c r="D372" s="89"/>
      <c r="E372" s="89"/>
      <c r="F372" s="89"/>
      <c r="G372" s="89"/>
      <c r="H372" s="89"/>
      <c r="I372" s="89"/>
      <c r="J372" s="89"/>
      <c r="K372" s="89"/>
      <c r="L372" s="89"/>
      <c r="M372" s="89"/>
      <c r="N372" s="89"/>
      <c r="O372" s="89"/>
      <c r="P372" s="89"/>
      <c r="Q372" s="89"/>
      <c r="R372" s="89"/>
      <c r="S372" s="89"/>
      <c r="T372" s="89"/>
    </row>
    <row r="373" ht="15.75" customHeight="1">
      <c r="A373" s="89"/>
      <c r="B373" s="89"/>
      <c r="C373" s="89"/>
      <c r="D373" s="89"/>
      <c r="E373" s="89"/>
      <c r="F373" s="89"/>
      <c r="G373" s="89"/>
      <c r="H373" s="89"/>
      <c r="I373" s="89"/>
      <c r="J373" s="89"/>
      <c r="K373" s="89"/>
      <c r="L373" s="89"/>
      <c r="M373" s="89"/>
      <c r="N373" s="89"/>
      <c r="O373" s="89"/>
      <c r="P373" s="89"/>
      <c r="Q373" s="89"/>
      <c r="R373" s="89"/>
      <c r="S373" s="89"/>
      <c r="T373" s="89"/>
    </row>
    <row r="374" ht="15.75" customHeight="1">
      <c r="A374" s="89"/>
      <c r="B374" s="89"/>
      <c r="C374" s="89"/>
      <c r="D374" s="89"/>
      <c r="E374" s="89"/>
      <c r="F374" s="89"/>
      <c r="G374" s="89"/>
      <c r="H374" s="89"/>
      <c r="I374" s="89"/>
      <c r="J374" s="89"/>
      <c r="K374" s="89"/>
      <c r="L374" s="89"/>
      <c r="M374" s="89"/>
      <c r="N374" s="89"/>
      <c r="O374" s="89"/>
      <c r="P374" s="89"/>
      <c r="Q374" s="89"/>
      <c r="R374" s="89"/>
      <c r="S374" s="89"/>
      <c r="T374" s="89"/>
    </row>
    <row r="375" ht="15.75" customHeight="1">
      <c r="A375" s="89"/>
      <c r="B375" s="89"/>
      <c r="C375" s="89"/>
      <c r="D375" s="89"/>
      <c r="E375" s="89"/>
      <c r="F375" s="89"/>
      <c r="G375" s="89"/>
      <c r="H375" s="89"/>
      <c r="I375" s="89"/>
      <c r="J375" s="89"/>
      <c r="K375" s="89"/>
      <c r="L375" s="89"/>
      <c r="M375" s="89"/>
      <c r="N375" s="89"/>
      <c r="O375" s="89"/>
      <c r="P375" s="89"/>
      <c r="Q375" s="89"/>
      <c r="R375" s="89"/>
      <c r="S375" s="89"/>
      <c r="T375" s="89"/>
    </row>
    <row r="376" ht="15.75" customHeight="1">
      <c r="A376" s="89"/>
      <c r="B376" s="89"/>
      <c r="C376" s="89"/>
      <c r="D376" s="89"/>
      <c r="E376" s="89"/>
      <c r="F376" s="89"/>
      <c r="G376" s="89"/>
      <c r="H376" s="89"/>
      <c r="I376" s="89"/>
      <c r="J376" s="89"/>
      <c r="K376" s="89"/>
      <c r="L376" s="89"/>
      <c r="M376" s="89"/>
      <c r="N376" s="89"/>
      <c r="O376" s="89"/>
      <c r="P376" s="89"/>
      <c r="Q376" s="89"/>
      <c r="R376" s="89"/>
      <c r="S376" s="89"/>
      <c r="T376" s="89"/>
    </row>
    <row r="377" ht="15.75" customHeight="1">
      <c r="A377" s="89"/>
      <c r="B377" s="89"/>
      <c r="C377" s="89"/>
      <c r="D377" s="89"/>
      <c r="E377" s="89"/>
      <c r="F377" s="89"/>
      <c r="G377" s="89"/>
      <c r="H377" s="89"/>
      <c r="I377" s="89"/>
      <c r="J377" s="89"/>
      <c r="K377" s="89"/>
      <c r="L377" s="89"/>
      <c r="M377" s="89"/>
      <c r="N377" s="89"/>
      <c r="O377" s="89"/>
      <c r="P377" s="89"/>
      <c r="Q377" s="89"/>
      <c r="R377" s="89"/>
      <c r="S377" s="89"/>
      <c r="T377" s="89"/>
    </row>
    <row r="378" ht="15.75" customHeight="1">
      <c r="A378" s="89"/>
      <c r="B378" s="89"/>
      <c r="C378" s="89"/>
      <c r="D378" s="89"/>
      <c r="E378" s="89"/>
      <c r="F378" s="89"/>
      <c r="G378" s="89"/>
      <c r="H378" s="89"/>
      <c r="I378" s="89"/>
      <c r="J378" s="89"/>
      <c r="K378" s="89"/>
      <c r="L378" s="89"/>
      <c r="M378" s="89"/>
      <c r="N378" s="89"/>
      <c r="O378" s="89"/>
      <c r="P378" s="89"/>
      <c r="Q378" s="89"/>
      <c r="R378" s="89"/>
      <c r="S378" s="89"/>
      <c r="T378" s="89"/>
    </row>
    <row r="379" ht="15.75" customHeight="1">
      <c r="A379" s="89"/>
      <c r="B379" s="89"/>
      <c r="C379" s="89"/>
      <c r="D379" s="89"/>
      <c r="E379" s="89"/>
      <c r="F379" s="89"/>
      <c r="G379" s="89"/>
      <c r="H379" s="89"/>
      <c r="I379" s="89"/>
      <c r="J379" s="89"/>
      <c r="K379" s="89"/>
      <c r="L379" s="89"/>
      <c r="M379" s="89"/>
      <c r="N379" s="89"/>
      <c r="O379" s="89"/>
      <c r="P379" s="89"/>
      <c r="Q379" s="89"/>
      <c r="R379" s="89"/>
      <c r="S379" s="89"/>
      <c r="T379" s="89"/>
    </row>
    <row r="380" ht="15.75" customHeight="1">
      <c r="A380" s="89"/>
      <c r="B380" s="89"/>
      <c r="C380" s="89"/>
      <c r="D380" s="89"/>
      <c r="E380" s="89"/>
      <c r="F380" s="89"/>
      <c r="G380" s="89"/>
      <c r="H380" s="89"/>
      <c r="I380" s="89"/>
      <c r="J380" s="89"/>
      <c r="K380" s="89"/>
      <c r="L380" s="89"/>
      <c r="M380" s="89"/>
      <c r="N380" s="89"/>
      <c r="O380" s="89"/>
      <c r="P380" s="89"/>
      <c r="Q380" s="89"/>
      <c r="R380" s="89"/>
      <c r="S380" s="89"/>
      <c r="T380" s="89"/>
    </row>
    <row r="381" ht="15.75" customHeight="1">
      <c r="A381" s="89"/>
      <c r="B381" s="89"/>
      <c r="C381" s="89"/>
      <c r="D381" s="89"/>
      <c r="E381" s="89"/>
      <c r="F381" s="89"/>
      <c r="G381" s="89"/>
      <c r="H381" s="89"/>
      <c r="I381" s="89"/>
      <c r="J381" s="89"/>
      <c r="K381" s="89"/>
      <c r="L381" s="89"/>
      <c r="M381" s="89"/>
      <c r="N381" s="89"/>
      <c r="O381" s="89"/>
      <c r="P381" s="89"/>
      <c r="Q381" s="89"/>
      <c r="R381" s="89"/>
      <c r="S381" s="89"/>
      <c r="T381" s="89"/>
    </row>
    <row r="382" ht="15.75" customHeight="1">
      <c r="A382" s="89"/>
      <c r="B382" s="89"/>
      <c r="C382" s="89"/>
      <c r="D382" s="89"/>
      <c r="E382" s="89"/>
      <c r="F382" s="89"/>
      <c r="G382" s="89"/>
      <c r="H382" s="89"/>
      <c r="I382" s="89"/>
      <c r="J382" s="89"/>
      <c r="K382" s="89"/>
      <c r="L382" s="89"/>
      <c r="M382" s="89"/>
      <c r="N382" s="89"/>
      <c r="O382" s="89"/>
      <c r="P382" s="89"/>
      <c r="Q382" s="89"/>
      <c r="R382" s="89"/>
      <c r="S382" s="89"/>
      <c r="T382" s="89"/>
    </row>
    <row r="383" ht="15.75" customHeight="1">
      <c r="A383" s="89"/>
      <c r="B383" s="89"/>
      <c r="C383" s="89"/>
      <c r="D383" s="89"/>
      <c r="E383" s="89"/>
      <c r="F383" s="89"/>
      <c r="G383" s="89"/>
      <c r="H383" s="89"/>
      <c r="I383" s="89"/>
      <c r="J383" s="89"/>
      <c r="K383" s="89"/>
      <c r="L383" s="89"/>
      <c r="M383" s="89"/>
      <c r="N383" s="89"/>
      <c r="O383" s="89"/>
      <c r="P383" s="89"/>
      <c r="Q383" s="89"/>
      <c r="R383" s="89"/>
      <c r="S383" s="89"/>
      <c r="T383" s="89"/>
    </row>
    <row r="384" ht="15.75" customHeight="1">
      <c r="A384" s="89"/>
      <c r="B384" s="89"/>
      <c r="C384" s="89"/>
      <c r="D384" s="89"/>
      <c r="E384" s="89"/>
      <c r="F384" s="89"/>
      <c r="G384" s="89"/>
      <c r="H384" s="89"/>
      <c r="I384" s="89"/>
      <c r="J384" s="89"/>
      <c r="K384" s="89"/>
      <c r="L384" s="89"/>
      <c r="M384" s="89"/>
      <c r="N384" s="89"/>
      <c r="O384" s="89"/>
      <c r="P384" s="89"/>
      <c r="Q384" s="89"/>
      <c r="R384" s="89"/>
      <c r="S384" s="89"/>
      <c r="T384" s="89"/>
    </row>
    <row r="385" ht="15.75" customHeight="1">
      <c r="A385" s="89"/>
      <c r="B385" s="89"/>
      <c r="C385" s="89"/>
      <c r="D385" s="89"/>
      <c r="E385" s="89"/>
      <c r="F385" s="89"/>
      <c r="G385" s="89"/>
      <c r="H385" s="89"/>
      <c r="I385" s="89"/>
      <c r="J385" s="89"/>
      <c r="K385" s="89"/>
      <c r="L385" s="89"/>
      <c r="M385" s="89"/>
      <c r="N385" s="89"/>
      <c r="O385" s="89"/>
      <c r="P385" s="89"/>
      <c r="Q385" s="89"/>
      <c r="R385" s="89"/>
      <c r="S385" s="89"/>
      <c r="T385" s="89"/>
    </row>
    <row r="386" ht="15.75" customHeight="1">
      <c r="A386" s="89"/>
      <c r="B386" s="89"/>
      <c r="C386" s="89"/>
      <c r="D386" s="89"/>
      <c r="E386" s="89"/>
      <c r="F386" s="89"/>
      <c r="G386" s="89"/>
      <c r="H386" s="89"/>
      <c r="I386" s="89"/>
      <c r="J386" s="89"/>
      <c r="K386" s="89"/>
      <c r="L386" s="89"/>
      <c r="M386" s="89"/>
      <c r="N386" s="89"/>
      <c r="O386" s="89"/>
      <c r="P386" s="89"/>
      <c r="Q386" s="89"/>
      <c r="R386" s="89"/>
      <c r="S386" s="89"/>
      <c r="T386" s="89"/>
    </row>
    <row r="387" ht="15.75" customHeight="1">
      <c r="A387" s="89"/>
      <c r="B387" s="89"/>
      <c r="C387" s="89"/>
      <c r="D387" s="89"/>
      <c r="E387" s="89"/>
      <c r="F387" s="89"/>
      <c r="G387" s="89"/>
      <c r="H387" s="89"/>
      <c r="I387" s="89"/>
      <c r="J387" s="89"/>
      <c r="K387" s="89"/>
      <c r="L387" s="89"/>
      <c r="M387" s="89"/>
      <c r="N387" s="89"/>
      <c r="O387" s="89"/>
      <c r="P387" s="89"/>
      <c r="Q387" s="89"/>
      <c r="R387" s="89"/>
      <c r="S387" s="89"/>
      <c r="T387" s="89"/>
    </row>
    <row r="388" ht="15.75" customHeight="1">
      <c r="A388" s="89"/>
      <c r="B388" s="89"/>
      <c r="C388" s="89"/>
      <c r="D388" s="89"/>
      <c r="E388" s="89"/>
      <c r="F388" s="89"/>
      <c r="G388" s="89"/>
      <c r="H388" s="89"/>
      <c r="I388" s="89"/>
      <c r="J388" s="89"/>
      <c r="K388" s="89"/>
      <c r="L388" s="89"/>
      <c r="M388" s="89"/>
      <c r="N388" s="89"/>
      <c r="O388" s="89"/>
      <c r="P388" s="89"/>
      <c r="Q388" s="89"/>
      <c r="R388" s="89"/>
      <c r="S388" s="89"/>
      <c r="T388" s="89"/>
    </row>
    <row r="389" ht="15.75" customHeight="1">
      <c r="A389" s="89"/>
      <c r="B389" s="89"/>
      <c r="C389" s="89"/>
      <c r="D389" s="89"/>
      <c r="E389" s="89"/>
      <c r="F389" s="89"/>
      <c r="G389" s="89"/>
      <c r="H389" s="89"/>
      <c r="I389" s="89"/>
      <c r="J389" s="89"/>
      <c r="K389" s="89"/>
      <c r="L389" s="89"/>
      <c r="M389" s="89"/>
      <c r="N389" s="89"/>
      <c r="O389" s="89"/>
      <c r="P389" s="89"/>
      <c r="Q389" s="89"/>
      <c r="R389" s="89"/>
      <c r="S389" s="89"/>
      <c r="T389" s="89"/>
    </row>
    <row r="390" ht="15.75" customHeight="1">
      <c r="A390" s="89"/>
      <c r="B390" s="89"/>
      <c r="C390" s="89"/>
      <c r="D390" s="89"/>
      <c r="E390" s="89"/>
      <c r="F390" s="89"/>
      <c r="G390" s="89"/>
      <c r="H390" s="89"/>
      <c r="I390" s="89"/>
      <c r="J390" s="89"/>
      <c r="K390" s="89"/>
      <c r="L390" s="89"/>
      <c r="M390" s="89"/>
      <c r="N390" s="89"/>
      <c r="O390" s="89"/>
      <c r="P390" s="89"/>
      <c r="Q390" s="89"/>
      <c r="R390" s="89"/>
      <c r="S390" s="89"/>
      <c r="T390" s="89"/>
    </row>
    <row r="391" ht="15.75" customHeight="1">
      <c r="A391" s="89"/>
      <c r="B391" s="89"/>
      <c r="C391" s="89"/>
      <c r="D391" s="89"/>
      <c r="E391" s="89"/>
      <c r="F391" s="89"/>
      <c r="G391" s="89"/>
      <c r="H391" s="89"/>
      <c r="I391" s="89"/>
      <c r="J391" s="89"/>
      <c r="K391" s="89"/>
      <c r="L391" s="89"/>
      <c r="M391" s="89"/>
      <c r="N391" s="89"/>
      <c r="O391" s="89"/>
      <c r="P391" s="89"/>
      <c r="Q391" s="89"/>
      <c r="R391" s="89"/>
      <c r="S391" s="89"/>
      <c r="T391" s="89"/>
    </row>
    <row r="392" ht="15.75" customHeight="1">
      <c r="A392" s="89"/>
      <c r="B392" s="89"/>
      <c r="C392" s="89"/>
      <c r="D392" s="89"/>
      <c r="E392" s="89"/>
      <c r="F392" s="89"/>
      <c r="G392" s="89"/>
      <c r="H392" s="89"/>
      <c r="I392" s="89"/>
      <c r="J392" s="89"/>
      <c r="K392" s="89"/>
      <c r="L392" s="89"/>
      <c r="M392" s="89"/>
      <c r="N392" s="89"/>
      <c r="O392" s="89"/>
      <c r="P392" s="89"/>
      <c r="Q392" s="89"/>
      <c r="R392" s="89"/>
      <c r="S392" s="89"/>
      <c r="T392" s="89"/>
    </row>
    <row r="393" ht="15.75" customHeight="1">
      <c r="A393" s="89"/>
      <c r="B393" s="89"/>
      <c r="C393" s="89"/>
      <c r="D393" s="89"/>
      <c r="E393" s="89"/>
      <c r="F393" s="89"/>
      <c r="G393" s="89"/>
      <c r="H393" s="89"/>
      <c r="I393" s="89"/>
      <c r="J393" s="89"/>
      <c r="K393" s="89"/>
      <c r="L393" s="89"/>
      <c r="M393" s="89"/>
      <c r="N393" s="89"/>
      <c r="O393" s="89"/>
      <c r="P393" s="89"/>
      <c r="Q393" s="89"/>
      <c r="R393" s="89"/>
      <c r="S393" s="89"/>
      <c r="T393" s="89"/>
    </row>
    <row r="394" ht="15.75" customHeight="1">
      <c r="A394" s="89"/>
      <c r="B394" s="89"/>
      <c r="C394" s="89"/>
      <c r="D394" s="89"/>
      <c r="E394" s="89"/>
      <c r="F394" s="89"/>
      <c r="G394" s="89"/>
      <c r="H394" s="89"/>
      <c r="I394" s="89"/>
      <c r="J394" s="89"/>
      <c r="K394" s="89"/>
      <c r="L394" s="89"/>
      <c r="M394" s="89"/>
      <c r="N394" s="89"/>
      <c r="O394" s="89"/>
      <c r="P394" s="89"/>
      <c r="Q394" s="89"/>
      <c r="R394" s="89"/>
      <c r="S394" s="89"/>
      <c r="T394" s="89"/>
    </row>
    <row r="395" ht="15.75" customHeight="1">
      <c r="A395" s="89"/>
      <c r="B395" s="89"/>
      <c r="C395" s="89"/>
      <c r="D395" s="89"/>
      <c r="E395" s="89"/>
      <c r="F395" s="89"/>
      <c r="G395" s="89"/>
      <c r="H395" s="89"/>
      <c r="I395" s="89"/>
      <c r="J395" s="89"/>
      <c r="K395" s="89"/>
      <c r="L395" s="89"/>
      <c r="M395" s="89"/>
      <c r="N395" s="89"/>
      <c r="O395" s="89"/>
      <c r="P395" s="89"/>
      <c r="Q395" s="89"/>
      <c r="R395" s="89"/>
      <c r="S395" s="89"/>
      <c r="T395" s="89"/>
    </row>
    <row r="396" ht="15.75" customHeight="1">
      <c r="A396" s="89"/>
      <c r="B396" s="89"/>
      <c r="C396" s="89"/>
      <c r="D396" s="89"/>
      <c r="E396" s="89"/>
      <c r="F396" s="89"/>
      <c r="G396" s="89"/>
      <c r="H396" s="89"/>
      <c r="I396" s="89"/>
      <c r="J396" s="89"/>
      <c r="K396" s="89"/>
      <c r="L396" s="89"/>
      <c r="M396" s="89"/>
      <c r="N396" s="89"/>
      <c r="O396" s="89"/>
      <c r="P396" s="89"/>
      <c r="Q396" s="89"/>
      <c r="R396" s="89"/>
      <c r="S396" s="89"/>
      <c r="T396" s="89"/>
    </row>
    <row r="397" ht="15.75" customHeight="1">
      <c r="A397" s="89"/>
      <c r="B397" s="89"/>
      <c r="C397" s="89"/>
      <c r="D397" s="89"/>
      <c r="E397" s="89"/>
      <c r="F397" s="89"/>
      <c r="G397" s="89"/>
      <c r="H397" s="89"/>
      <c r="I397" s="89"/>
      <c r="J397" s="89"/>
      <c r="K397" s="89"/>
      <c r="L397" s="89"/>
      <c r="M397" s="89"/>
      <c r="N397" s="89"/>
      <c r="O397" s="89"/>
      <c r="P397" s="89"/>
      <c r="Q397" s="89"/>
      <c r="R397" s="89"/>
      <c r="S397" s="89"/>
      <c r="T397" s="89"/>
    </row>
    <row r="398" ht="15.75" customHeight="1">
      <c r="A398" s="89"/>
      <c r="B398" s="89"/>
      <c r="C398" s="89"/>
      <c r="D398" s="89"/>
      <c r="E398" s="89"/>
      <c r="F398" s="89"/>
      <c r="G398" s="89"/>
      <c r="H398" s="89"/>
      <c r="I398" s="89"/>
      <c r="J398" s="89"/>
      <c r="K398" s="89"/>
      <c r="L398" s="89"/>
      <c r="M398" s="89"/>
      <c r="N398" s="89"/>
      <c r="O398" s="89"/>
      <c r="P398" s="89"/>
      <c r="Q398" s="89"/>
      <c r="R398" s="89"/>
      <c r="S398" s="89"/>
      <c r="T398" s="89"/>
    </row>
    <row r="399" ht="15.75" customHeight="1">
      <c r="A399" s="89"/>
      <c r="B399" s="89"/>
      <c r="C399" s="89"/>
      <c r="D399" s="89"/>
      <c r="E399" s="89"/>
      <c r="F399" s="89"/>
      <c r="G399" s="89"/>
      <c r="H399" s="89"/>
      <c r="I399" s="89"/>
      <c r="J399" s="89"/>
      <c r="K399" s="89"/>
      <c r="L399" s="89"/>
      <c r="M399" s="89"/>
      <c r="N399" s="89"/>
      <c r="O399" s="89"/>
      <c r="P399" s="89"/>
      <c r="Q399" s="89"/>
      <c r="R399" s="89"/>
      <c r="S399" s="89"/>
      <c r="T399" s="89"/>
    </row>
    <row r="400" ht="15.75" customHeight="1">
      <c r="A400" s="89"/>
      <c r="B400" s="89"/>
      <c r="C400" s="89"/>
      <c r="D400" s="89"/>
      <c r="E400" s="89"/>
      <c r="F400" s="89"/>
      <c r="G400" s="89"/>
      <c r="H400" s="89"/>
      <c r="I400" s="89"/>
      <c r="J400" s="89"/>
      <c r="K400" s="89"/>
      <c r="L400" s="89"/>
      <c r="M400" s="89"/>
      <c r="N400" s="89"/>
      <c r="O400" s="89"/>
      <c r="P400" s="89"/>
      <c r="Q400" s="89"/>
      <c r="R400" s="89"/>
      <c r="S400" s="89"/>
      <c r="T400" s="89"/>
    </row>
    <row r="401" ht="15.75" customHeight="1">
      <c r="A401" s="89"/>
      <c r="B401" s="89"/>
      <c r="C401" s="89"/>
      <c r="D401" s="89"/>
      <c r="E401" s="89"/>
      <c r="F401" s="89"/>
      <c r="G401" s="89"/>
      <c r="H401" s="89"/>
      <c r="I401" s="89"/>
      <c r="J401" s="89"/>
      <c r="K401" s="89"/>
      <c r="L401" s="89"/>
      <c r="M401" s="89"/>
      <c r="N401" s="89"/>
      <c r="O401" s="89"/>
      <c r="P401" s="89"/>
      <c r="Q401" s="89"/>
      <c r="R401" s="89"/>
      <c r="S401" s="89"/>
      <c r="T401" s="89"/>
    </row>
    <row r="402" ht="15.75" customHeight="1">
      <c r="A402" s="89"/>
      <c r="B402" s="89"/>
      <c r="C402" s="89"/>
      <c r="D402" s="89"/>
      <c r="E402" s="89"/>
      <c r="F402" s="89"/>
      <c r="G402" s="89"/>
      <c r="H402" s="89"/>
      <c r="I402" s="89"/>
      <c r="J402" s="89"/>
      <c r="K402" s="89"/>
      <c r="L402" s="89"/>
      <c r="M402" s="89"/>
      <c r="N402" s="89"/>
      <c r="O402" s="89"/>
      <c r="P402" s="89"/>
      <c r="Q402" s="89"/>
      <c r="R402" s="89"/>
      <c r="S402" s="89"/>
      <c r="T402" s="89"/>
    </row>
    <row r="403" ht="15.75" customHeight="1">
      <c r="A403" s="89"/>
      <c r="B403" s="89"/>
      <c r="C403" s="89"/>
      <c r="D403" s="89"/>
      <c r="E403" s="89"/>
      <c r="F403" s="89"/>
      <c r="G403" s="89"/>
      <c r="H403" s="89"/>
      <c r="I403" s="89"/>
      <c r="J403" s="89"/>
      <c r="K403" s="89"/>
      <c r="L403" s="89"/>
      <c r="M403" s="89"/>
      <c r="N403" s="89"/>
      <c r="O403" s="89"/>
      <c r="P403" s="89"/>
      <c r="Q403" s="89"/>
      <c r="R403" s="89"/>
      <c r="S403" s="89"/>
      <c r="T403" s="89"/>
    </row>
    <row r="404" ht="15.75" customHeight="1">
      <c r="A404" s="89"/>
      <c r="B404" s="89"/>
      <c r="C404" s="89"/>
      <c r="D404" s="89"/>
      <c r="E404" s="89"/>
      <c r="F404" s="89"/>
      <c r="G404" s="89"/>
      <c r="H404" s="89"/>
      <c r="I404" s="89"/>
      <c r="J404" s="89"/>
      <c r="K404" s="89"/>
      <c r="L404" s="89"/>
      <c r="M404" s="89"/>
      <c r="N404" s="89"/>
      <c r="O404" s="89"/>
      <c r="P404" s="89"/>
      <c r="Q404" s="89"/>
      <c r="R404" s="89"/>
      <c r="S404" s="89"/>
      <c r="T404" s="89"/>
    </row>
    <row r="405" ht="15.75" customHeight="1">
      <c r="A405" s="89"/>
      <c r="B405" s="89"/>
      <c r="C405" s="89"/>
      <c r="D405" s="89"/>
      <c r="E405" s="89"/>
      <c r="F405" s="89"/>
      <c r="G405" s="89"/>
      <c r="H405" s="89"/>
      <c r="I405" s="89"/>
      <c r="J405" s="89"/>
      <c r="K405" s="89"/>
      <c r="L405" s="89"/>
      <c r="M405" s="89"/>
      <c r="N405" s="89"/>
      <c r="O405" s="89"/>
      <c r="P405" s="89"/>
      <c r="Q405" s="89"/>
      <c r="R405" s="89"/>
      <c r="S405" s="89"/>
      <c r="T405" s="89"/>
    </row>
    <row r="406" ht="15.75" customHeight="1">
      <c r="A406" s="89"/>
      <c r="B406" s="89"/>
      <c r="C406" s="89"/>
      <c r="D406" s="89"/>
      <c r="E406" s="89"/>
      <c r="F406" s="89"/>
      <c r="G406" s="89"/>
      <c r="H406" s="89"/>
      <c r="I406" s="89"/>
      <c r="J406" s="89"/>
      <c r="K406" s="89"/>
      <c r="L406" s="89"/>
      <c r="M406" s="89"/>
      <c r="N406" s="89"/>
      <c r="O406" s="89"/>
      <c r="P406" s="89"/>
      <c r="Q406" s="89"/>
      <c r="R406" s="89"/>
      <c r="S406" s="89"/>
      <c r="T406" s="89"/>
    </row>
    <row r="407" ht="15.75" customHeight="1">
      <c r="A407" s="89"/>
      <c r="B407" s="89"/>
      <c r="C407" s="89"/>
      <c r="D407" s="89"/>
      <c r="E407" s="89"/>
      <c r="F407" s="89"/>
      <c r="G407" s="89"/>
      <c r="H407" s="89"/>
      <c r="I407" s="89"/>
      <c r="J407" s="89"/>
      <c r="K407" s="89"/>
      <c r="L407" s="89"/>
      <c r="M407" s="89"/>
      <c r="N407" s="89"/>
      <c r="O407" s="89"/>
      <c r="P407" s="89"/>
      <c r="Q407" s="89"/>
      <c r="R407" s="89"/>
      <c r="S407" s="89"/>
      <c r="T407" s="89"/>
    </row>
    <row r="408" ht="15.75" customHeight="1">
      <c r="A408" s="89"/>
      <c r="B408" s="89"/>
      <c r="C408" s="89"/>
      <c r="D408" s="89"/>
      <c r="E408" s="89"/>
      <c r="F408" s="89"/>
      <c r="G408" s="89"/>
      <c r="H408" s="89"/>
      <c r="I408" s="89"/>
      <c r="J408" s="89"/>
      <c r="K408" s="89"/>
      <c r="L408" s="89"/>
      <c r="M408" s="89"/>
      <c r="N408" s="89"/>
      <c r="O408" s="89"/>
      <c r="P408" s="89"/>
      <c r="Q408" s="89"/>
      <c r="R408" s="89"/>
      <c r="S408" s="89"/>
      <c r="T408" s="89"/>
    </row>
    <row r="409" ht="15.75" customHeight="1">
      <c r="A409" s="89"/>
      <c r="B409" s="89"/>
      <c r="C409" s="89"/>
      <c r="D409" s="89"/>
      <c r="E409" s="89"/>
      <c r="F409" s="89"/>
      <c r="G409" s="89"/>
      <c r="H409" s="89"/>
      <c r="I409" s="89"/>
      <c r="J409" s="89"/>
      <c r="K409" s="89"/>
      <c r="L409" s="89"/>
      <c r="M409" s="89"/>
      <c r="N409" s="89"/>
      <c r="O409" s="89"/>
      <c r="P409" s="89"/>
      <c r="Q409" s="89"/>
      <c r="R409" s="89"/>
      <c r="S409" s="89"/>
      <c r="T409" s="89"/>
    </row>
    <row r="410" ht="15.75" customHeight="1">
      <c r="A410" s="89"/>
      <c r="B410" s="89"/>
      <c r="C410" s="89"/>
      <c r="D410" s="89"/>
      <c r="E410" s="89"/>
      <c r="F410" s="89"/>
      <c r="G410" s="89"/>
      <c r="H410" s="89"/>
      <c r="I410" s="89"/>
      <c r="J410" s="89"/>
      <c r="K410" s="89"/>
      <c r="L410" s="89"/>
      <c r="M410" s="89"/>
      <c r="N410" s="89"/>
      <c r="O410" s="89"/>
      <c r="P410" s="89"/>
      <c r="Q410" s="89"/>
      <c r="R410" s="89"/>
      <c r="S410" s="89"/>
      <c r="T410" s="89"/>
    </row>
    <row r="411" ht="15.75" customHeight="1">
      <c r="A411" s="89"/>
      <c r="B411" s="89"/>
      <c r="C411" s="89"/>
      <c r="D411" s="89"/>
      <c r="E411" s="89"/>
      <c r="F411" s="89"/>
      <c r="G411" s="89"/>
      <c r="H411" s="89"/>
      <c r="I411" s="89"/>
      <c r="J411" s="89"/>
      <c r="K411" s="89"/>
      <c r="L411" s="89"/>
      <c r="M411" s="89"/>
      <c r="N411" s="89"/>
      <c r="O411" s="89"/>
      <c r="P411" s="89"/>
      <c r="Q411" s="89"/>
      <c r="R411" s="89"/>
      <c r="S411" s="89"/>
      <c r="T411" s="89"/>
    </row>
    <row r="412" ht="15.75" customHeight="1">
      <c r="A412" s="89"/>
      <c r="B412" s="89"/>
      <c r="C412" s="89"/>
      <c r="D412" s="89"/>
      <c r="E412" s="89"/>
      <c r="F412" s="89"/>
      <c r="G412" s="89"/>
      <c r="H412" s="89"/>
      <c r="I412" s="89"/>
      <c r="J412" s="89"/>
      <c r="K412" s="89"/>
      <c r="L412" s="89"/>
      <c r="M412" s="89"/>
      <c r="N412" s="89"/>
      <c r="O412" s="89"/>
      <c r="P412" s="89"/>
      <c r="Q412" s="89"/>
      <c r="R412" s="89"/>
      <c r="S412" s="89"/>
      <c r="T412" s="89"/>
    </row>
    <row r="413" ht="15.75" customHeight="1">
      <c r="A413" s="89"/>
      <c r="B413" s="89"/>
      <c r="C413" s="89"/>
      <c r="D413" s="89"/>
      <c r="E413" s="89"/>
      <c r="F413" s="89"/>
      <c r="G413" s="89"/>
      <c r="H413" s="89"/>
      <c r="I413" s="89"/>
      <c r="J413" s="89"/>
      <c r="K413" s="89"/>
      <c r="L413" s="89"/>
      <c r="M413" s="89"/>
      <c r="N413" s="89"/>
      <c r="O413" s="89"/>
      <c r="P413" s="89"/>
      <c r="Q413" s="89"/>
      <c r="R413" s="89"/>
      <c r="S413" s="89"/>
      <c r="T413" s="89"/>
    </row>
    <row r="414" ht="15.75" customHeight="1">
      <c r="A414" s="89"/>
      <c r="B414" s="89"/>
      <c r="C414" s="89"/>
      <c r="D414" s="89"/>
      <c r="E414" s="89"/>
      <c r="F414" s="89"/>
      <c r="G414" s="89"/>
      <c r="H414" s="89"/>
      <c r="I414" s="89"/>
      <c r="J414" s="89"/>
      <c r="K414" s="89"/>
      <c r="L414" s="89"/>
      <c r="M414" s="89"/>
      <c r="N414" s="89"/>
      <c r="O414" s="89"/>
      <c r="P414" s="89"/>
      <c r="Q414" s="89"/>
      <c r="R414" s="89"/>
      <c r="S414" s="89"/>
      <c r="T414" s="89"/>
    </row>
    <row r="415" ht="15.75" customHeight="1">
      <c r="A415" s="89"/>
      <c r="B415" s="89"/>
      <c r="C415" s="89"/>
      <c r="D415" s="89"/>
      <c r="E415" s="89"/>
      <c r="F415" s="89"/>
      <c r="G415" s="89"/>
      <c r="H415" s="89"/>
      <c r="I415" s="89"/>
      <c r="J415" s="89"/>
      <c r="K415" s="89"/>
      <c r="L415" s="89"/>
      <c r="M415" s="89"/>
      <c r="N415" s="89"/>
      <c r="O415" s="89"/>
      <c r="P415" s="89"/>
      <c r="Q415" s="89"/>
      <c r="R415" s="89"/>
      <c r="S415" s="89"/>
      <c r="T415" s="89"/>
    </row>
    <row r="416" ht="15.75" customHeight="1">
      <c r="A416" s="89"/>
      <c r="B416" s="89"/>
      <c r="C416" s="89"/>
      <c r="D416" s="89"/>
      <c r="E416" s="89"/>
      <c r="F416" s="89"/>
      <c r="G416" s="89"/>
      <c r="H416" s="89"/>
      <c r="I416" s="89"/>
      <c r="J416" s="89"/>
      <c r="K416" s="89"/>
      <c r="L416" s="89"/>
      <c r="M416" s="89"/>
      <c r="N416" s="89"/>
      <c r="O416" s="89"/>
      <c r="P416" s="89"/>
      <c r="Q416" s="89"/>
      <c r="R416" s="89"/>
      <c r="S416" s="89"/>
      <c r="T416" s="89"/>
    </row>
    <row r="417" ht="15.75" customHeight="1">
      <c r="A417" s="89"/>
      <c r="B417" s="89"/>
      <c r="C417" s="89"/>
      <c r="D417" s="89"/>
      <c r="E417" s="89"/>
      <c r="F417" s="89"/>
      <c r="G417" s="89"/>
      <c r="H417" s="89"/>
      <c r="I417" s="89"/>
      <c r="J417" s="89"/>
      <c r="K417" s="89"/>
      <c r="L417" s="89"/>
      <c r="M417" s="89"/>
      <c r="N417" s="89"/>
      <c r="O417" s="89"/>
      <c r="P417" s="89"/>
      <c r="Q417" s="89"/>
      <c r="R417" s="89"/>
      <c r="S417" s="89"/>
      <c r="T417" s="89"/>
    </row>
    <row r="418" ht="15.75" customHeight="1">
      <c r="A418" s="89"/>
      <c r="B418" s="89"/>
      <c r="C418" s="89"/>
      <c r="D418" s="89"/>
      <c r="E418" s="89"/>
      <c r="F418" s="89"/>
      <c r="G418" s="89"/>
      <c r="H418" s="89"/>
      <c r="I418" s="89"/>
      <c r="J418" s="89"/>
      <c r="K418" s="89"/>
      <c r="L418" s="89"/>
      <c r="M418" s="89"/>
      <c r="N418" s="89"/>
      <c r="O418" s="89"/>
      <c r="P418" s="89"/>
      <c r="Q418" s="89"/>
      <c r="R418" s="89"/>
      <c r="S418" s="89"/>
      <c r="T418" s="89"/>
    </row>
    <row r="419" ht="15.75" customHeight="1">
      <c r="A419" s="89"/>
      <c r="B419" s="89"/>
      <c r="C419" s="89"/>
      <c r="D419" s="89"/>
      <c r="E419" s="89"/>
      <c r="F419" s="89"/>
      <c r="G419" s="89"/>
      <c r="H419" s="89"/>
      <c r="I419" s="89"/>
      <c r="J419" s="89"/>
      <c r="K419" s="89"/>
      <c r="L419" s="89"/>
      <c r="M419" s="89"/>
      <c r="N419" s="89"/>
      <c r="O419" s="89"/>
      <c r="P419" s="89"/>
      <c r="Q419" s="89"/>
      <c r="R419" s="89"/>
      <c r="S419" s="89"/>
      <c r="T419" s="89"/>
    </row>
    <row r="420" ht="15.75" customHeight="1">
      <c r="A420" s="89"/>
      <c r="B420" s="89"/>
      <c r="C420" s="89"/>
      <c r="D420" s="89"/>
      <c r="E420" s="89"/>
      <c r="F420" s="89"/>
      <c r="G420" s="89"/>
      <c r="H420" s="89"/>
      <c r="I420" s="89"/>
      <c r="J420" s="89"/>
      <c r="K420" s="89"/>
      <c r="L420" s="89"/>
      <c r="M420" s="89"/>
      <c r="N420" s="89"/>
      <c r="O420" s="89"/>
      <c r="P420" s="89"/>
      <c r="Q420" s="89"/>
      <c r="R420" s="89"/>
      <c r="S420" s="89"/>
      <c r="T420" s="89"/>
    </row>
    <row r="421" ht="15.75" customHeight="1">
      <c r="A421" s="89"/>
      <c r="B421" s="89"/>
      <c r="C421" s="89"/>
      <c r="D421" s="89"/>
      <c r="E421" s="89"/>
      <c r="F421" s="89"/>
      <c r="G421" s="89"/>
      <c r="H421" s="89"/>
      <c r="I421" s="89"/>
      <c r="J421" s="89"/>
      <c r="K421" s="89"/>
      <c r="L421" s="89"/>
      <c r="M421" s="89"/>
      <c r="N421" s="89"/>
      <c r="O421" s="89"/>
      <c r="P421" s="89"/>
      <c r="Q421" s="89"/>
      <c r="R421" s="89"/>
      <c r="S421" s="89"/>
      <c r="T421" s="89"/>
    </row>
    <row r="422" ht="15.75" customHeight="1">
      <c r="A422" s="89"/>
      <c r="B422" s="89"/>
      <c r="C422" s="89"/>
      <c r="D422" s="89"/>
      <c r="E422" s="89"/>
      <c r="F422" s="89"/>
      <c r="G422" s="89"/>
      <c r="H422" s="89"/>
      <c r="I422" s="89"/>
      <c r="J422" s="89"/>
      <c r="K422" s="89"/>
      <c r="L422" s="89"/>
      <c r="M422" s="89"/>
      <c r="N422" s="89"/>
      <c r="O422" s="89"/>
      <c r="P422" s="89"/>
      <c r="Q422" s="89"/>
      <c r="R422" s="89"/>
      <c r="S422" s="89"/>
      <c r="T422" s="89"/>
    </row>
    <row r="423" ht="15.75" customHeight="1">
      <c r="A423" s="89"/>
      <c r="B423" s="89"/>
      <c r="C423" s="89"/>
      <c r="D423" s="89"/>
      <c r="E423" s="89"/>
      <c r="F423" s="89"/>
      <c r="G423" s="89"/>
      <c r="H423" s="89"/>
      <c r="I423" s="89"/>
      <c r="J423" s="89"/>
      <c r="K423" s="89"/>
      <c r="L423" s="89"/>
      <c r="M423" s="89"/>
      <c r="N423" s="89"/>
      <c r="O423" s="89"/>
      <c r="P423" s="89"/>
      <c r="Q423" s="89"/>
      <c r="R423" s="89"/>
      <c r="S423" s="89"/>
      <c r="T423" s="89"/>
    </row>
    <row r="424" ht="15.75" customHeight="1">
      <c r="A424" s="89"/>
      <c r="B424" s="89"/>
      <c r="C424" s="89"/>
      <c r="D424" s="89"/>
      <c r="E424" s="89"/>
      <c r="F424" s="89"/>
      <c r="G424" s="89"/>
      <c r="H424" s="89"/>
      <c r="I424" s="89"/>
      <c r="J424" s="89"/>
      <c r="K424" s="89"/>
      <c r="L424" s="89"/>
      <c r="M424" s="89"/>
      <c r="N424" s="89"/>
      <c r="O424" s="89"/>
      <c r="P424" s="89"/>
      <c r="Q424" s="89"/>
      <c r="R424" s="89"/>
      <c r="S424" s="89"/>
      <c r="T424" s="89"/>
    </row>
    <row r="425" ht="15.75" customHeight="1">
      <c r="A425" s="89"/>
      <c r="B425" s="89"/>
      <c r="C425" s="89"/>
      <c r="D425" s="89"/>
      <c r="E425" s="89"/>
      <c r="F425" s="89"/>
      <c r="G425" s="89"/>
      <c r="H425" s="89"/>
      <c r="I425" s="89"/>
      <c r="J425" s="89"/>
      <c r="K425" s="89"/>
      <c r="L425" s="89"/>
      <c r="M425" s="89"/>
      <c r="N425" s="89"/>
      <c r="O425" s="89"/>
      <c r="P425" s="89"/>
      <c r="Q425" s="89"/>
      <c r="R425" s="89"/>
      <c r="S425" s="89"/>
      <c r="T425" s="89"/>
    </row>
    <row r="426" ht="15.75" customHeight="1">
      <c r="A426" s="89"/>
      <c r="B426" s="89"/>
      <c r="C426" s="89"/>
      <c r="D426" s="89"/>
      <c r="E426" s="89"/>
      <c r="F426" s="89"/>
      <c r="G426" s="89"/>
      <c r="H426" s="89"/>
      <c r="I426" s="89"/>
      <c r="J426" s="89"/>
      <c r="K426" s="89"/>
      <c r="L426" s="89"/>
      <c r="M426" s="89"/>
      <c r="N426" s="89"/>
      <c r="O426" s="89"/>
      <c r="P426" s="89"/>
      <c r="Q426" s="89"/>
      <c r="R426" s="89"/>
      <c r="S426" s="89"/>
      <c r="T426" s="89"/>
    </row>
    <row r="427" ht="15.75" customHeight="1">
      <c r="A427" s="89"/>
      <c r="B427" s="89"/>
      <c r="C427" s="89"/>
      <c r="D427" s="89"/>
      <c r="E427" s="89"/>
      <c r="F427" s="89"/>
      <c r="G427" s="89"/>
      <c r="H427" s="89"/>
      <c r="I427" s="89"/>
      <c r="J427" s="89"/>
      <c r="K427" s="89"/>
      <c r="L427" s="89"/>
      <c r="M427" s="89"/>
      <c r="N427" s="89"/>
      <c r="O427" s="89"/>
      <c r="P427" s="89"/>
      <c r="Q427" s="89"/>
      <c r="R427" s="89"/>
      <c r="S427" s="89"/>
      <c r="T427" s="89"/>
    </row>
    <row r="428" ht="15.75" customHeight="1">
      <c r="A428" s="89"/>
      <c r="B428" s="89"/>
      <c r="C428" s="89"/>
      <c r="D428" s="89"/>
      <c r="E428" s="89"/>
      <c r="F428" s="89"/>
      <c r="G428" s="89"/>
      <c r="H428" s="89"/>
      <c r="I428" s="89"/>
      <c r="J428" s="89"/>
      <c r="K428" s="89"/>
      <c r="L428" s="89"/>
      <c r="M428" s="89"/>
      <c r="N428" s="89"/>
      <c r="O428" s="89"/>
      <c r="P428" s="89"/>
      <c r="Q428" s="89"/>
      <c r="R428" s="89"/>
      <c r="S428" s="89"/>
      <c r="T428" s="89"/>
    </row>
    <row r="429" ht="15.75" customHeight="1">
      <c r="A429" s="89"/>
      <c r="B429" s="89"/>
      <c r="C429" s="89"/>
      <c r="D429" s="89"/>
      <c r="E429" s="89"/>
      <c r="F429" s="89"/>
      <c r="G429" s="89"/>
      <c r="H429" s="89"/>
      <c r="I429" s="89"/>
      <c r="J429" s="89"/>
      <c r="K429" s="89"/>
      <c r="L429" s="89"/>
      <c r="M429" s="89"/>
      <c r="N429" s="89"/>
      <c r="O429" s="89"/>
      <c r="P429" s="89"/>
      <c r="Q429" s="89"/>
      <c r="R429" s="89"/>
      <c r="S429" s="89"/>
      <c r="T429" s="89"/>
    </row>
    <row r="430" ht="15.75" customHeight="1">
      <c r="A430" s="89"/>
      <c r="B430" s="89"/>
      <c r="C430" s="89"/>
      <c r="D430" s="89"/>
      <c r="E430" s="89"/>
      <c r="F430" s="89"/>
      <c r="G430" s="89"/>
      <c r="H430" s="89"/>
      <c r="I430" s="89"/>
      <c r="J430" s="89"/>
      <c r="K430" s="89"/>
      <c r="L430" s="89"/>
      <c r="M430" s="89"/>
      <c r="N430" s="89"/>
      <c r="O430" s="89"/>
      <c r="P430" s="89"/>
      <c r="Q430" s="89"/>
      <c r="R430" s="89"/>
      <c r="S430" s="89"/>
      <c r="T430" s="89"/>
    </row>
    <row r="431" ht="15.75" customHeight="1">
      <c r="A431" s="89"/>
      <c r="B431" s="89"/>
      <c r="C431" s="89"/>
      <c r="D431" s="89"/>
      <c r="E431" s="89"/>
      <c r="F431" s="89"/>
      <c r="G431" s="89"/>
      <c r="H431" s="89"/>
      <c r="I431" s="89"/>
      <c r="J431" s="89"/>
      <c r="K431" s="89"/>
      <c r="L431" s="89"/>
      <c r="M431" s="89"/>
      <c r="N431" s="89"/>
      <c r="O431" s="89"/>
      <c r="P431" s="89"/>
      <c r="Q431" s="89"/>
      <c r="R431" s="89"/>
      <c r="S431" s="89"/>
      <c r="T431" s="89"/>
    </row>
    <row r="432" ht="15.75" customHeight="1">
      <c r="A432" s="89"/>
      <c r="B432" s="89"/>
      <c r="C432" s="89"/>
      <c r="D432" s="89"/>
      <c r="E432" s="89"/>
      <c r="F432" s="89"/>
      <c r="G432" s="89"/>
      <c r="H432" s="89"/>
      <c r="I432" s="89"/>
      <c r="J432" s="89"/>
      <c r="K432" s="89"/>
      <c r="L432" s="89"/>
      <c r="M432" s="89"/>
      <c r="N432" s="89"/>
      <c r="O432" s="89"/>
      <c r="P432" s="89"/>
      <c r="Q432" s="89"/>
      <c r="R432" s="89"/>
      <c r="S432" s="89"/>
      <c r="T432" s="89"/>
    </row>
    <row r="433" ht="15.75" customHeight="1">
      <c r="A433" s="89"/>
      <c r="B433" s="89"/>
      <c r="C433" s="89"/>
      <c r="D433" s="89"/>
      <c r="E433" s="89"/>
      <c r="F433" s="89"/>
      <c r="G433" s="89"/>
      <c r="H433" s="89"/>
      <c r="I433" s="89"/>
      <c r="J433" s="89"/>
      <c r="K433" s="89"/>
      <c r="L433" s="89"/>
      <c r="M433" s="89"/>
      <c r="N433" s="89"/>
      <c r="O433" s="89"/>
      <c r="P433" s="89"/>
      <c r="Q433" s="89"/>
      <c r="R433" s="89"/>
      <c r="S433" s="89"/>
      <c r="T433" s="89"/>
    </row>
    <row r="434" ht="15.75" customHeight="1">
      <c r="A434" s="89"/>
      <c r="B434" s="89"/>
      <c r="C434" s="89"/>
      <c r="D434" s="89"/>
      <c r="E434" s="89"/>
      <c r="F434" s="89"/>
      <c r="G434" s="89"/>
      <c r="H434" s="89"/>
      <c r="I434" s="89"/>
      <c r="J434" s="89"/>
      <c r="K434" s="89"/>
      <c r="L434" s="89"/>
      <c r="M434" s="89"/>
      <c r="N434" s="89"/>
      <c r="O434" s="89"/>
      <c r="P434" s="89"/>
      <c r="Q434" s="89"/>
      <c r="R434" s="89"/>
      <c r="S434" s="89"/>
      <c r="T434" s="89"/>
    </row>
    <row r="435" ht="15.75" customHeight="1">
      <c r="A435" s="89"/>
      <c r="B435" s="89"/>
      <c r="C435" s="89"/>
      <c r="D435" s="89"/>
      <c r="E435" s="89"/>
      <c r="F435" s="89"/>
      <c r="G435" s="89"/>
      <c r="H435" s="89"/>
      <c r="I435" s="89"/>
      <c r="J435" s="89"/>
      <c r="K435" s="89"/>
      <c r="L435" s="89"/>
      <c r="M435" s="89"/>
      <c r="N435" s="89"/>
      <c r="O435" s="89"/>
      <c r="P435" s="89"/>
      <c r="Q435" s="89"/>
      <c r="R435" s="89"/>
      <c r="S435" s="89"/>
      <c r="T435" s="89"/>
    </row>
    <row r="436" ht="15.75" customHeight="1">
      <c r="A436" s="89"/>
      <c r="B436" s="89"/>
      <c r="C436" s="89"/>
      <c r="D436" s="89"/>
      <c r="E436" s="89"/>
      <c r="F436" s="89"/>
      <c r="G436" s="89"/>
      <c r="H436" s="89"/>
      <c r="I436" s="89"/>
      <c r="J436" s="89"/>
      <c r="K436" s="89"/>
      <c r="L436" s="89"/>
      <c r="M436" s="89"/>
      <c r="N436" s="89"/>
      <c r="O436" s="89"/>
      <c r="P436" s="89"/>
      <c r="Q436" s="89"/>
      <c r="R436" s="89"/>
      <c r="S436" s="89"/>
      <c r="T436" s="89"/>
    </row>
    <row r="437" ht="15.75" customHeight="1">
      <c r="A437" s="89"/>
      <c r="B437" s="89"/>
      <c r="C437" s="89"/>
      <c r="D437" s="89"/>
      <c r="E437" s="89"/>
      <c r="F437" s="89"/>
      <c r="G437" s="89"/>
      <c r="H437" s="89"/>
      <c r="I437" s="89"/>
      <c r="J437" s="89"/>
      <c r="K437" s="89"/>
      <c r="L437" s="89"/>
      <c r="M437" s="89"/>
      <c r="N437" s="89"/>
      <c r="O437" s="89"/>
      <c r="P437" s="89"/>
      <c r="Q437" s="89"/>
      <c r="R437" s="89"/>
      <c r="S437" s="89"/>
      <c r="T437" s="89"/>
    </row>
    <row r="438" ht="15.75" customHeight="1">
      <c r="A438" s="89"/>
      <c r="B438" s="89"/>
      <c r="C438" s="89"/>
      <c r="D438" s="89"/>
      <c r="E438" s="89"/>
      <c r="F438" s="89"/>
      <c r="G438" s="89"/>
      <c r="H438" s="89"/>
      <c r="I438" s="89"/>
      <c r="J438" s="89"/>
      <c r="K438" s="89"/>
      <c r="L438" s="89"/>
      <c r="M438" s="89"/>
      <c r="N438" s="89"/>
      <c r="O438" s="89"/>
      <c r="P438" s="89"/>
      <c r="Q438" s="89"/>
      <c r="R438" s="89"/>
      <c r="S438" s="89"/>
      <c r="T438" s="89"/>
    </row>
    <row r="439" ht="15.75" customHeight="1">
      <c r="A439" s="89"/>
      <c r="B439" s="89"/>
      <c r="C439" s="89"/>
      <c r="D439" s="89"/>
      <c r="E439" s="89"/>
      <c r="F439" s="89"/>
      <c r="G439" s="89"/>
      <c r="H439" s="89"/>
      <c r="I439" s="89"/>
      <c r="J439" s="89"/>
      <c r="K439" s="89"/>
      <c r="L439" s="89"/>
      <c r="M439" s="89"/>
      <c r="N439" s="89"/>
      <c r="O439" s="89"/>
      <c r="P439" s="89"/>
      <c r="Q439" s="89"/>
      <c r="R439" s="89"/>
      <c r="S439" s="89"/>
      <c r="T439" s="89"/>
    </row>
    <row r="440" ht="15.75" customHeight="1">
      <c r="A440" s="89"/>
      <c r="B440" s="89"/>
      <c r="C440" s="89"/>
      <c r="D440" s="89"/>
      <c r="E440" s="89"/>
      <c r="F440" s="89"/>
      <c r="G440" s="89"/>
      <c r="H440" s="89"/>
      <c r="I440" s="89"/>
      <c r="J440" s="89"/>
      <c r="K440" s="89"/>
      <c r="L440" s="89"/>
      <c r="M440" s="89"/>
      <c r="N440" s="89"/>
      <c r="O440" s="89"/>
      <c r="P440" s="89"/>
      <c r="Q440" s="89"/>
      <c r="R440" s="89"/>
      <c r="S440" s="89"/>
      <c r="T440" s="89"/>
    </row>
    <row r="441" ht="15.75" customHeight="1">
      <c r="A441" s="89"/>
      <c r="B441" s="89"/>
      <c r="C441" s="89"/>
      <c r="D441" s="89"/>
      <c r="E441" s="89"/>
      <c r="F441" s="89"/>
      <c r="G441" s="89"/>
      <c r="H441" s="89"/>
      <c r="I441" s="89"/>
      <c r="J441" s="89"/>
      <c r="K441" s="89"/>
      <c r="L441" s="89"/>
      <c r="M441" s="89"/>
      <c r="N441" s="89"/>
      <c r="O441" s="89"/>
      <c r="P441" s="89"/>
      <c r="Q441" s="89"/>
      <c r="R441" s="89"/>
      <c r="S441" s="89"/>
      <c r="T441" s="89"/>
    </row>
    <row r="442" ht="15.75" customHeight="1">
      <c r="A442" s="89"/>
      <c r="B442" s="89"/>
      <c r="C442" s="89"/>
      <c r="D442" s="89"/>
      <c r="E442" s="89"/>
      <c r="F442" s="89"/>
      <c r="G442" s="89"/>
      <c r="H442" s="89"/>
      <c r="I442" s="89"/>
      <c r="J442" s="89"/>
      <c r="K442" s="89"/>
      <c r="L442" s="89"/>
      <c r="M442" s="89"/>
      <c r="N442" s="89"/>
      <c r="O442" s="89"/>
      <c r="P442" s="89"/>
      <c r="Q442" s="89"/>
      <c r="R442" s="89"/>
      <c r="S442" s="89"/>
      <c r="T442" s="89"/>
    </row>
    <row r="443" ht="15.75" customHeight="1">
      <c r="A443" s="89"/>
      <c r="B443" s="89"/>
      <c r="C443" s="89"/>
      <c r="D443" s="89"/>
      <c r="E443" s="89"/>
      <c r="F443" s="89"/>
      <c r="G443" s="89"/>
      <c r="H443" s="89"/>
      <c r="I443" s="89"/>
      <c r="J443" s="89"/>
      <c r="K443" s="89"/>
      <c r="L443" s="89"/>
      <c r="M443" s="89"/>
      <c r="N443" s="89"/>
      <c r="O443" s="89"/>
      <c r="P443" s="89"/>
      <c r="Q443" s="89"/>
      <c r="R443" s="89"/>
      <c r="S443" s="89"/>
      <c r="T443" s="89"/>
    </row>
    <row r="444" ht="15.75" customHeight="1">
      <c r="A444" s="89"/>
      <c r="B444" s="89"/>
      <c r="C444" s="89"/>
      <c r="D444" s="89"/>
      <c r="E444" s="89"/>
      <c r="F444" s="89"/>
      <c r="G444" s="89"/>
      <c r="H444" s="89"/>
      <c r="I444" s="89"/>
      <c r="J444" s="89"/>
      <c r="K444" s="89"/>
      <c r="L444" s="89"/>
      <c r="M444" s="89"/>
      <c r="N444" s="89"/>
      <c r="O444" s="89"/>
      <c r="P444" s="89"/>
      <c r="Q444" s="89"/>
      <c r="R444" s="89"/>
      <c r="S444" s="89"/>
      <c r="T444" s="89"/>
    </row>
    <row r="445" ht="15.75" customHeight="1">
      <c r="A445" s="89"/>
      <c r="B445" s="89"/>
      <c r="C445" s="89"/>
      <c r="D445" s="89"/>
      <c r="E445" s="89"/>
      <c r="F445" s="89"/>
      <c r="G445" s="89"/>
      <c r="H445" s="89"/>
      <c r="I445" s="89"/>
      <c r="J445" s="89"/>
      <c r="K445" s="89"/>
      <c r="L445" s="89"/>
      <c r="M445" s="89"/>
      <c r="N445" s="89"/>
      <c r="O445" s="89"/>
      <c r="P445" s="89"/>
      <c r="Q445" s="89"/>
      <c r="R445" s="89"/>
      <c r="S445" s="89"/>
      <c r="T445" s="89"/>
    </row>
    <row r="446" ht="15.75" customHeight="1">
      <c r="A446" s="89"/>
      <c r="B446" s="89"/>
      <c r="C446" s="89"/>
      <c r="D446" s="89"/>
      <c r="E446" s="89"/>
      <c r="F446" s="89"/>
      <c r="G446" s="89"/>
      <c r="H446" s="89"/>
      <c r="I446" s="89"/>
      <c r="J446" s="89"/>
      <c r="K446" s="89"/>
      <c r="L446" s="89"/>
      <c r="M446" s="89"/>
      <c r="N446" s="89"/>
      <c r="O446" s="89"/>
      <c r="P446" s="89"/>
      <c r="Q446" s="89"/>
      <c r="R446" s="89"/>
      <c r="S446" s="89"/>
      <c r="T446" s="89"/>
    </row>
    <row r="447" ht="15.75" customHeight="1">
      <c r="A447" s="89"/>
      <c r="B447" s="89"/>
      <c r="C447" s="89"/>
      <c r="D447" s="89"/>
      <c r="E447" s="89"/>
      <c r="F447" s="89"/>
      <c r="G447" s="89"/>
      <c r="H447" s="89"/>
      <c r="I447" s="89"/>
      <c r="J447" s="89"/>
      <c r="K447" s="89"/>
      <c r="L447" s="89"/>
      <c r="M447" s="89"/>
      <c r="N447" s="89"/>
      <c r="O447" s="89"/>
      <c r="P447" s="89"/>
      <c r="Q447" s="89"/>
      <c r="R447" s="89"/>
      <c r="S447" s="89"/>
      <c r="T447" s="89"/>
    </row>
    <row r="448" ht="15.75" customHeight="1">
      <c r="A448" s="89"/>
      <c r="B448" s="89"/>
      <c r="C448" s="89"/>
      <c r="D448" s="89"/>
      <c r="E448" s="89"/>
      <c r="F448" s="89"/>
      <c r="G448" s="89"/>
      <c r="H448" s="89"/>
      <c r="I448" s="89"/>
      <c r="J448" s="89"/>
      <c r="K448" s="89"/>
      <c r="L448" s="89"/>
      <c r="M448" s="89"/>
      <c r="N448" s="89"/>
      <c r="O448" s="89"/>
      <c r="P448" s="89"/>
      <c r="Q448" s="89"/>
      <c r="R448" s="89"/>
      <c r="S448" s="89"/>
      <c r="T448" s="89"/>
    </row>
    <row r="449" ht="15.75" customHeight="1">
      <c r="A449" s="89"/>
      <c r="B449" s="89"/>
      <c r="C449" s="89"/>
      <c r="D449" s="89"/>
      <c r="E449" s="89"/>
      <c r="F449" s="89"/>
      <c r="G449" s="89"/>
      <c r="H449" s="89"/>
      <c r="I449" s="89"/>
      <c r="J449" s="89"/>
      <c r="K449" s="89"/>
      <c r="L449" s="89"/>
      <c r="M449" s="89"/>
      <c r="N449" s="89"/>
      <c r="O449" s="89"/>
      <c r="P449" s="89"/>
      <c r="Q449" s="89"/>
      <c r="R449" s="89"/>
      <c r="S449" s="89"/>
      <c r="T449" s="89"/>
    </row>
    <row r="450" ht="15.75" customHeight="1">
      <c r="A450" s="89"/>
      <c r="B450" s="89"/>
      <c r="C450" s="89"/>
      <c r="D450" s="89"/>
      <c r="E450" s="89"/>
      <c r="F450" s="89"/>
      <c r="G450" s="89"/>
      <c r="H450" s="89"/>
      <c r="I450" s="89"/>
      <c r="J450" s="89"/>
      <c r="K450" s="89"/>
      <c r="L450" s="89"/>
      <c r="M450" s="89"/>
      <c r="N450" s="89"/>
      <c r="O450" s="89"/>
      <c r="P450" s="89"/>
      <c r="Q450" s="89"/>
      <c r="R450" s="89"/>
      <c r="S450" s="89"/>
      <c r="T450" s="89"/>
    </row>
    <row r="451" ht="15.75" customHeight="1">
      <c r="A451" s="89"/>
      <c r="B451" s="89"/>
      <c r="C451" s="89"/>
      <c r="D451" s="89"/>
      <c r="E451" s="89"/>
      <c r="F451" s="89"/>
      <c r="G451" s="89"/>
      <c r="H451" s="89"/>
      <c r="I451" s="89"/>
      <c r="J451" s="89"/>
      <c r="K451" s="89"/>
      <c r="L451" s="89"/>
      <c r="M451" s="89"/>
      <c r="N451" s="89"/>
      <c r="O451" s="89"/>
      <c r="P451" s="89"/>
      <c r="Q451" s="89"/>
      <c r="R451" s="89"/>
      <c r="S451" s="89"/>
      <c r="T451" s="89"/>
    </row>
    <row r="452" ht="15.75" customHeight="1">
      <c r="A452" s="89"/>
      <c r="B452" s="89"/>
      <c r="C452" s="89"/>
      <c r="D452" s="89"/>
      <c r="E452" s="89"/>
      <c r="F452" s="89"/>
      <c r="G452" s="89"/>
      <c r="H452" s="89"/>
      <c r="I452" s="89"/>
      <c r="J452" s="89"/>
      <c r="K452" s="89"/>
      <c r="L452" s="89"/>
      <c r="M452" s="89"/>
      <c r="N452" s="89"/>
      <c r="O452" s="89"/>
      <c r="P452" s="89"/>
      <c r="Q452" s="89"/>
      <c r="R452" s="89"/>
      <c r="S452" s="89"/>
      <c r="T452" s="89"/>
    </row>
    <row r="453" ht="15.75" customHeight="1">
      <c r="A453" s="89"/>
      <c r="B453" s="89"/>
      <c r="C453" s="89"/>
      <c r="D453" s="89"/>
      <c r="E453" s="89"/>
      <c r="F453" s="89"/>
      <c r="G453" s="89"/>
      <c r="H453" s="89"/>
      <c r="I453" s="89"/>
      <c r="J453" s="89"/>
      <c r="K453" s="89"/>
      <c r="L453" s="89"/>
      <c r="M453" s="89"/>
      <c r="N453" s="89"/>
      <c r="O453" s="89"/>
      <c r="P453" s="89"/>
      <c r="Q453" s="89"/>
      <c r="R453" s="89"/>
      <c r="S453" s="89"/>
      <c r="T453" s="89"/>
    </row>
    <row r="454" ht="15.75" customHeight="1">
      <c r="A454" s="89"/>
      <c r="B454" s="89"/>
      <c r="C454" s="89"/>
      <c r="D454" s="89"/>
      <c r="E454" s="89"/>
      <c r="F454" s="89"/>
      <c r="G454" s="89"/>
      <c r="H454" s="89"/>
      <c r="I454" s="89"/>
      <c r="J454" s="89"/>
      <c r="K454" s="89"/>
      <c r="L454" s="89"/>
      <c r="M454" s="89"/>
      <c r="N454" s="89"/>
      <c r="O454" s="89"/>
      <c r="P454" s="89"/>
      <c r="Q454" s="89"/>
      <c r="R454" s="89"/>
      <c r="S454" s="89"/>
      <c r="T454" s="89"/>
    </row>
    <row r="455" ht="15.75" customHeight="1">
      <c r="A455" s="89"/>
      <c r="B455" s="89"/>
      <c r="C455" s="89"/>
      <c r="D455" s="89"/>
      <c r="E455" s="89"/>
      <c r="F455" s="89"/>
      <c r="G455" s="89"/>
      <c r="H455" s="89"/>
      <c r="I455" s="89"/>
      <c r="J455" s="89"/>
      <c r="K455" s="89"/>
      <c r="L455" s="89"/>
      <c r="M455" s="89"/>
      <c r="N455" s="89"/>
      <c r="O455" s="89"/>
      <c r="P455" s="89"/>
      <c r="Q455" s="89"/>
      <c r="R455" s="89"/>
      <c r="S455" s="89"/>
      <c r="T455" s="89"/>
    </row>
    <row r="456" ht="15.75" customHeight="1">
      <c r="A456" s="89"/>
      <c r="B456" s="89"/>
      <c r="C456" s="89"/>
      <c r="D456" s="89"/>
      <c r="E456" s="89"/>
      <c r="F456" s="89"/>
      <c r="G456" s="89"/>
      <c r="H456" s="89"/>
      <c r="I456" s="89"/>
      <c r="J456" s="89"/>
      <c r="K456" s="89"/>
      <c r="L456" s="89"/>
      <c r="M456" s="89"/>
      <c r="N456" s="89"/>
      <c r="O456" s="89"/>
      <c r="P456" s="89"/>
      <c r="Q456" s="89"/>
      <c r="R456" s="89"/>
      <c r="S456" s="89"/>
      <c r="T456" s="89"/>
    </row>
    <row r="457" ht="15.75" customHeight="1">
      <c r="A457" s="89"/>
      <c r="B457" s="89"/>
      <c r="C457" s="89"/>
      <c r="D457" s="89"/>
      <c r="E457" s="89"/>
      <c r="F457" s="89"/>
      <c r="G457" s="89"/>
      <c r="H457" s="89"/>
      <c r="I457" s="89"/>
      <c r="J457" s="89"/>
      <c r="K457" s="89"/>
      <c r="L457" s="89"/>
      <c r="M457" s="89"/>
      <c r="N457" s="89"/>
      <c r="O457" s="89"/>
      <c r="P457" s="89"/>
      <c r="Q457" s="89"/>
      <c r="R457" s="89"/>
      <c r="S457" s="89"/>
      <c r="T457" s="89"/>
    </row>
    <row r="458" ht="15.75" customHeight="1">
      <c r="A458" s="89"/>
      <c r="B458" s="89"/>
      <c r="C458" s="89"/>
      <c r="D458" s="89"/>
      <c r="E458" s="89"/>
      <c r="F458" s="89"/>
      <c r="G458" s="89"/>
      <c r="H458" s="89"/>
      <c r="I458" s="89"/>
      <c r="J458" s="89"/>
      <c r="K458" s="89"/>
      <c r="L458" s="89"/>
      <c r="M458" s="89"/>
      <c r="N458" s="89"/>
      <c r="O458" s="89"/>
      <c r="P458" s="89"/>
      <c r="Q458" s="89"/>
      <c r="R458" s="89"/>
      <c r="S458" s="89"/>
      <c r="T458" s="89"/>
    </row>
    <row r="459" ht="15.75" customHeight="1">
      <c r="A459" s="89"/>
      <c r="B459" s="89"/>
      <c r="C459" s="89"/>
      <c r="D459" s="89"/>
      <c r="E459" s="89"/>
      <c r="F459" s="89"/>
      <c r="G459" s="89"/>
      <c r="H459" s="89"/>
      <c r="I459" s="89"/>
      <c r="J459" s="89"/>
      <c r="K459" s="89"/>
      <c r="L459" s="89"/>
      <c r="M459" s="89"/>
      <c r="N459" s="89"/>
      <c r="O459" s="89"/>
      <c r="P459" s="89"/>
      <c r="Q459" s="89"/>
      <c r="R459" s="89"/>
      <c r="S459" s="89"/>
      <c r="T459" s="89"/>
    </row>
    <row r="460" ht="15.75" customHeight="1">
      <c r="A460" s="89"/>
      <c r="B460" s="89"/>
      <c r="C460" s="89"/>
      <c r="D460" s="89"/>
      <c r="E460" s="89"/>
      <c r="F460" s="89"/>
      <c r="G460" s="89"/>
      <c r="H460" s="89"/>
      <c r="I460" s="89"/>
      <c r="J460" s="89"/>
      <c r="K460" s="89"/>
      <c r="L460" s="89"/>
      <c r="M460" s="89"/>
      <c r="N460" s="89"/>
      <c r="O460" s="89"/>
      <c r="P460" s="89"/>
      <c r="Q460" s="89"/>
      <c r="R460" s="89"/>
      <c r="S460" s="89"/>
      <c r="T460" s="89"/>
    </row>
    <row r="461" ht="15.75" customHeight="1">
      <c r="A461" s="89"/>
      <c r="B461" s="89"/>
      <c r="C461" s="89"/>
      <c r="D461" s="89"/>
      <c r="E461" s="89"/>
      <c r="F461" s="89"/>
      <c r="G461" s="89"/>
      <c r="H461" s="89"/>
      <c r="I461" s="89"/>
      <c r="J461" s="89"/>
      <c r="K461" s="89"/>
      <c r="L461" s="89"/>
      <c r="M461" s="89"/>
      <c r="N461" s="89"/>
      <c r="O461" s="89"/>
      <c r="P461" s="89"/>
      <c r="Q461" s="89"/>
      <c r="R461" s="89"/>
      <c r="S461" s="89"/>
      <c r="T461" s="89"/>
    </row>
    <row r="462" ht="15.75" customHeight="1">
      <c r="A462" s="89"/>
      <c r="B462" s="89"/>
      <c r="C462" s="89"/>
      <c r="D462" s="89"/>
      <c r="E462" s="89"/>
      <c r="F462" s="89"/>
      <c r="G462" s="89"/>
      <c r="H462" s="89"/>
      <c r="I462" s="89"/>
      <c r="J462" s="89"/>
      <c r="K462" s="89"/>
      <c r="L462" s="89"/>
      <c r="M462" s="89"/>
      <c r="N462" s="89"/>
      <c r="O462" s="89"/>
      <c r="P462" s="89"/>
      <c r="Q462" s="89"/>
      <c r="R462" s="89"/>
      <c r="S462" s="89"/>
      <c r="T462" s="89"/>
    </row>
    <row r="463" ht="15.75" customHeight="1">
      <c r="A463" s="89"/>
      <c r="B463" s="89"/>
      <c r="C463" s="89"/>
      <c r="D463" s="89"/>
      <c r="E463" s="89"/>
      <c r="F463" s="89"/>
      <c r="G463" s="89"/>
      <c r="H463" s="89"/>
      <c r="I463" s="89"/>
      <c r="J463" s="89"/>
      <c r="K463" s="89"/>
      <c r="L463" s="89"/>
      <c r="M463" s="89"/>
      <c r="N463" s="89"/>
      <c r="O463" s="89"/>
      <c r="P463" s="89"/>
      <c r="Q463" s="89"/>
      <c r="R463" s="89"/>
      <c r="S463" s="89"/>
      <c r="T463" s="89"/>
    </row>
    <row r="464" ht="15.75" customHeight="1">
      <c r="A464" s="89"/>
      <c r="B464" s="89"/>
      <c r="C464" s="89"/>
      <c r="D464" s="89"/>
      <c r="E464" s="89"/>
      <c r="F464" s="89"/>
      <c r="G464" s="89"/>
      <c r="H464" s="89"/>
      <c r="I464" s="89"/>
      <c r="J464" s="89"/>
      <c r="K464" s="89"/>
      <c r="L464" s="89"/>
      <c r="M464" s="89"/>
      <c r="N464" s="89"/>
      <c r="O464" s="89"/>
      <c r="P464" s="89"/>
      <c r="Q464" s="89"/>
      <c r="R464" s="89"/>
      <c r="S464" s="89"/>
      <c r="T464" s="89"/>
    </row>
    <row r="465" ht="15.75" customHeight="1">
      <c r="A465" s="89"/>
      <c r="B465" s="89"/>
      <c r="C465" s="89"/>
      <c r="D465" s="89"/>
      <c r="E465" s="89"/>
      <c r="F465" s="89"/>
      <c r="G465" s="89"/>
      <c r="H465" s="89"/>
      <c r="I465" s="89"/>
      <c r="J465" s="89"/>
      <c r="K465" s="89"/>
      <c r="L465" s="89"/>
      <c r="M465" s="89"/>
      <c r="N465" s="89"/>
      <c r="O465" s="89"/>
      <c r="P465" s="89"/>
      <c r="Q465" s="89"/>
      <c r="R465" s="89"/>
      <c r="S465" s="89"/>
      <c r="T465" s="89"/>
    </row>
    <row r="466" ht="15.75" customHeight="1">
      <c r="A466" s="89"/>
      <c r="B466" s="89"/>
      <c r="C466" s="89"/>
      <c r="D466" s="89"/>
      <c r="E466" s="89"/>
      <c r="F466" s="89"/>
      <c r="G466" s="89"/>
      <c r="H466" s="89"/>
      <c r="I466" s="89"/>
      <c r="J466" s="89"/>
      <c r="K466" s="89"/>
      <c r="L466" s="89"/>
      <c r="M466" s="89"/>
      <c r="N466" s="89"/>
      <c r="O466" s="89"/>
      <c r="P466" s="89"/>
      <c r="Q466" s="89"/>
      <c r="R466" s="89"/>
      <c r="S466" s="89"/>
      <c r="T466" s="89"/>
    </row>
    <row r="467" ht="15.75" customHeight="1">
      <c r="A467" s="89"/>
      <c r="B467" s="89"/>
      <c r="C467" s="89"/>
      <c r="D467" s="89"/>
      <c r="E467" s="89"/>
      <c r="F467" s="89"/>
      <c r="G467" s="89"/>
      <c r="H467" s="89"/>
      <c r="I467" s="89"/>
      <c r="J467" s="89"/>
      <c r="K467" s="89"/>
      <c r="L467" s="89"/>
      <c r="M467" s="89"/>
      <c r="N467" s="89"/>
      <c r="O467" s="89"/>
      <c r="P467" s="89"/>
      <c r="Q467" s="89"/>
      <c r="R467" s="89"/>
      <c r="S467" s="89"/>
      <c r="T467" s="89"/>
    </row>
    <row r="468" ht="15.75" customHeight="1">
      <c r="A468" s="89"/>
      <c r="B468" s="89"/>
      <c r="C468" s="89"/>
      <c r="D468" s="89"/>
      <c r="E468" s="89"/>
      <c r="F468" s="89"/>
      <c r="G468" s="89"/>
      <c r="H468" s="89"/>
      <c r="I468" s="89"/>
      <c r="J468" s="89"/>
      <c r="K468" s="89"/>
      <c r="L468" s="89"/>
      <c r="M468" s="89"/>
      <c r="N468" s="89"/>
      <c r="O468" s="89"/>
      <c r="P468" s="89"/>
      <c r="Q468" s="89"/>
      <c r="R468" s="89"/>
      <c r="S468" s="89"/>
      <c r="T468" s="89"/>
    </row>
    <row r="469" ht="15.75" customHeight="1">
      <c r="A469" s="89"/>
      <c r="B469" s="89"/>
      <c r="C469" s="89"/>
      <c r="D469" s="89"/>
      <c r="E469" s="89"/>
      <c r="F469" s="89"/>
      <c r="G469" s="89"/>
      <c r="H469" s="89"/>
      <c r="I469" s="89"/>
      <c r="J469" s="89"/>
      <c r="K469" s="89"/>
      <c r="L469" s="89"/>
      <c r="M469" s="89"/>
      <c r="N469" s="89"/>
      <c r="O469" s="89"/>
      <c r="P469" s="89"/>
      <c r="Q469" s="89"/>
      <c r="R469" s="89"/>
      <c r="S469" s="89"/>
      <c r="T469" s="89"/>
    </row>
    <row r="470" ht="15.75" customHeight="1">
      <c r="A470" s="89"/>
      <c r="B470" s="89"/>
      <c r="C470" s="89"/>
      <c r="D470" s="89"/>
      <c r="E470" s="89"/>
      <c r="F470" s="89"/>
      <c r="G470" s="89"/>
      <c r="H470" s="89"/>
      <c r="I470" s="89"/>
      <c r="J470" s="89"/>
      <c r="K470" s="89"/>
      <c r="L470" s="89"/>
      <c r="M470" s="89"/>
      <c r="N470" s="89"/>
      <c r="O470" s="89"/>
      <c r="P470" s="89"/>
      <c r="Q470" s="89"/>
      <c r="R470" s="89"/>
      <c r="S470" s="89"/>
      <c r="T470" s="89"/>
    </row>
    <row r="471" ht="15.75" customHeight="1">
      <c r="A471" s="89"/>
      <c r="B471" s="89"/>
      <c r="C471" s="89"/>
      <c r="D471" s="89"/>
      <c r="E471" s="89"/>
      <c r="F471" s="89"/>
      <c r="G471" s="89"/>
      <c r="H471" s="89"/>
      <c r="I471" s="89"/>
      <c r="J471" s="89"/>
      <c r="K471" s="89"/>
      <c r="L471" s="89"/>
      <c r="M471" s="89"/>
      <c r="N471" s="89"/>
      <c r="O471" s="89"/>
      <c r="P471" s="89"/>
      <c r="Q471" s="89"/>
      <c r="R471" s="89"/>
      <c r="S471" s="89"/>
      <c r="T471" s="89"/>
    </row>
    <row r="472" ht="15.75" customHeight="1">
      <c r="A472" s="89"/>
      <c r="B472" s="89"/>
      <c r="C472" s="89"/>
      <c r="D472" s="89"/>
      <c r="E472" s="89"/>
      <c r="F472" s="89"/>
      <c r="G472" s="89"/>
      <c r="H472" s="89"/>
      <c r="I472" s="89"/>
      <c r="J472" s="89"/>
      <c r="K472" s="89"/>
      <c r="L472" s="89"/>
      <c r="M472" s="89"/>
      <c r="N472" s="89"/>
      <c r="O472" s="89"/>
      <c r="P472" s="89"/>
      <c r="Q472" s="89"/>
      <c r="R472" s="89"/>
      <c r="S472" s="89"/>
      <c r="T472" s="89"/>
    </row>
    <row r="473" ht="15.75" customHeight="1">
      <c r="A473" s="89"/>
      <c r="B473" s="89"/>
      <c r="C473" s="89"/>
      <c r="D473" s="89"/>
      <c r="E473" s="89"/>
      <c r="F473" s="89"/>
      <c r="G473" s="89"/>
      <c r="H473" s="89"/>
      <c r="I473" s="89"/>
      <c r="J473" s="89"/>
      <c r="K473" s="89"/>
      <c r="L473" s="89"/>
      <c r="M473" s="89"/>
      <c r="N473" s="89"/>
      <c r="O473" s="89"/>
      <c r="P473" s="89"/>
      <c r="Q473" s="89"/>
      <c r="R473" s="89"/>
      <c r="S473" s="89"/>
      <c r="T473" s="89"/>
    </row>
    <row r="474" ht="15.75" customHeight="1">
      <c r="A474" s="89"/>
      <c r="B474" s="89"/>
      <c r="C474" s="89"/>
      <c r="D474" s="89"/>
      <c r="E474" s="89"/>
      <c r="F474" s="89"/>
      <c r="G474" s="89"/>
      <c r="H474" s="89"/>
      <c r="I474" s="89"/>
      <c r="J474" s="89"/>
      <c r="K474" s="89"/>
      <c r="L474" s="89"/>
      <c r="M474" s="89"/>
      <c r="N474" s="89"/>
      <c r="O474" s="89"/>
      <c r="P474" s="89"/>
      <c r="Q474" s="89"/>
      <c r="R474" s="89"/>
      <c r="S474" s="89"/>
      <c r="T474" s="89"/>
    </row>
    <row r="475" ht="15.75" customHeight="1">
      <c r="A475" s="89"/>
      <c r="B475" s="89"/>
      <c r="C475" s="89"/>
      <c r="D475" s="89"/>
      <c r="E475" s="89"/>
      <c r="F475" s="89"/>
      <c r="G475" s="89"/>
      <c r="H475" s="89"/>
      <c r="I475" s="89"/>
      <c r="J475" s="89"/>
      <c r="K475" s="89"/>
      <c r="L475" s="89"/>
      <c r="M475" s="89"/>
      <c r="N475" s="89"/>
      <c r="O475" s="89"/>
      <c r="P475" s="89"/>
      <c r="Q475" s="89"/>
      <c r="R475" s="89"/>
      <c r="S475" s="89"/>
      <c r="T475" s="89"/>
    </row>
    <row r="476" ht="15.75" customHeight="1">
      <c r="A476" s="89"/>
      <c r="B476" s="89"/>
      <c r="C476" s="89"/>
      <c r="D476" s="89"/>
      <c r="E476" s="89"/>
      <c r="F476" s="89"/>
      <c r="G476" s="89"/>
      <c r="H476" s="89"/>
      <c r="I476" s="89"/>
      <c r="J476" s="89"/>
      <c r="K476" s="89"/>
      <c r="L476" s="89"/>
      <c r="M476" s="89"/>
      <c r="N476" s="89"/>
      <c r="O476" s="89"/>
      <c r="P476" s="89"/>
      <c r="Q476" s="89"/>
      <c r="R476" s="89"/>
      <c r="S476" s="89"/>
      <c r="T476" s="89"/>
    </row>
    <row r="477" ht="15.75" customHeight="1">
      <c r="A477" s="89"/>
      <c r="B477" s="89"/>
      <c r="C477" s="89"/>
      <c r="D477" s="89"/>
      <c r="E477" s="89"/>
      <c r="F477" s="89"/>
      <c r="G477" s="89"/>
      <c r="H477" s="89"/>
      <c r="I477" s="89"/>
      <c r="J477" s="89"/>
      <c r="K477" s="89"/>
      <c r="L477" s="89"/>
      <c r="M477" s="89"/>
      <c r="N477" s="89"/>
      <c r="O477" s="89"/>
      <c r="P477" s="89"/>
      <c r="Q477" s="89"/>
      <c r="R477" s="89"/>
      <c r="S477" s="89"/>
      <c r="T477" s="89"/>
    </row>
    <row r="478" ht="15.75" customHeight="1">
      <c r="A478" s="89"/>
      <c r="B478" s="89"/>
      <c r="C478" s="89"/>
      <c r="D478" s="89"/>
      <c r="E478" s="89"/>
      <c r="F478" s="89"/>
      <c r="G478" s="89"/>
      <c r="H478" s="89"/>
      <c r="I478" s="89"/>
      <c r="J478" s="89"/>
      <c r="K478" s="89"/>
      <c r="L478" s="89"/>
      <c r="M478" s="89"/>
      <c r="N478" s="89"/>
      <c r="O478" s="89"/>
      <c r="P478" s="89"/>
      <c r="Q478" s="89"/>
      <c r="R478" s="89"/>
      <c r="S478" s="89"/>
      <c r="T478" s="89"/>
    </row>
    <row r="479" ht="15.75" customHeight="1">
      <c r="A479" s="89"/>
      <c r="B479" s="89"/>
      <c r="C479" s="89"/>
      <c r="D479" s="89"/>
      <c r="E479" s="89"/>
      <c r="F479" s="89"/>
      <c r="G479" s="89"/>
      <c r="H479" s="89"/>
      <c r="I479" s="89"/>
      <c r="J479" s="89"/>
      <c r="K479" s="89"/>
      <c r="L479" s="89"/>
      <c r="M479" s="89"/>
      <c r="N479" s="89"/>
      <c r="O479" s="89"/>
      <c r="P479" s="89"/>
      <c r="Q479" s="89"/>
      <c r="R479" s="89"/>
      <c r="S479" s="89"/>
      <c r="T479" s="89"/>
    </row>
    <row r="480" ht="15.75" customHeight="1">
      <c r="A480" s="89"/>
      <c r="B480" s="89"/>
      <c r="C480" s="89"/>
      <c r="D480" s="89"/>
      <c r="E480" s="89"/>
      <c r="F480" s="89"/>
      <c r="G480" s="89"/>
      <c r="H480" s="89"/>
      <c r="I480" s="89"/>
      <c r="J480" s="89"/>
      <c r="K480" s="89"/>
      <c r="L480" s="89"/>
      <c r="M480" s="89"/>
      <c r="N480" s="89"/>
      <c r="O480" s="89"/>
      <c r="P480" s="89"/>
      <c r="Q480" s="89"/>
      <c r="R480" s="89"/>
      <c r="S480" s="89"/>
      <c r="T480" s="89"/>
    </row>
    <row r="481" ht="15.75" customHeight="1">
      <c r="A481" s="89"/>
      <c r="B481" s="89"/>
      <c r="C481" s="89"/>
      <c r="D481" s="89"/>
      <c r="E481" s="89"/>
      <c r="F481" s="89"/>
      <c r="G481" s="89"/>
      <c r="H481" s="89"/>
      <c r="I481" s="89"/>
      <c r="J481" s="89"/>
      <c r="K481" s="89"/>
      <c r="L481" s="89"/>
      <c r="M481" s="89"/>
      <c r="N481" s="89"/>
      <c r="O481" s="89"/>
      <c r="P481" s="89"/>
      <c r="Q481" s="89"/>
      <c r="R481" s="89"/>
      <c r="S481" s="89"/>
      <c r="T481" s="89"/>
    </row>
    <row r="482" ht="15.75" customHeight="1">
      <c r="A482" s="89"/>
      <c r="B482" s="89"/>
      <c r="C482" s="89"/>
      <c r="D482" s="89"/>
      <c r="E482" s="89"/>
      <c r="F482" s="89"/>
      <c r="G482" s="89"/>
      <c r="H482" s="89"/>
      <c r="I482" s="89"/>
      <c r="J482" s="89"/>
      <c r="K482" s="89"/>
      <c r="L482" s="89"/>
      <c r="M482" s="89"/>
      <c r="N482" s="89"/>
      <c r="O482" s="89"/>
      <c r="P482" s="89"/>
      <c r="Q482" s="89"/>
      <c r="R482" s="89"/>
      <c r="S482" s="89"/>
      <c r="T482" s="89"/>
    </row>
    <row r="483" ht="15.75" customHeight="1">
      <c r="A483" s="89"/>
      <c r="B483" s="89"/>
      <c r="C483" s="89"/>
      <c r="D483" s="89"/>
      <c r="E483" s="89"/>
      <c r="F483" s="89"/>
      <c r="G483" s="89"/>
      <c r="H483" s="89"/>
      <c r="I483" s="89"/>
      <c r="J483" s="89"/>
      <c r="K483" s="89"/>
      <c r="L483" s="89"/>
      <c r="M483" s="89"/>
      <c r="N483" s="89"/>
      <c r="O483" s="89"/>
      <c r="P483" s="89"/>
      <c r="Q483" s="89"/>
      <c r="R483" s="89"/>
      <c r="S483" s="89"/>
      <c r="T483" s="89"/>
    </row>
    <row r="484" ht="15.75" customHeight="1">
      <c r="A484" s="89"/>
      <c r="B484" s="89"/>
      <c r="C484" s="89"/>
      <c r="D484" s="89"/>
      <c r="E484" s="89"/>
      <c r="F484" s="89"/>
      <c r="G484" s="89"/>
      <c r="H484" s="89"/>
      <c r="I484" s="89"/>
      <c r="J484" s="89"/>
      <c r="K484" s="89"/>
      <c r="L484" s="89"/>
      <c r="M484" s="89"/>
      <c r="N484" s="89"/>
      <c r="O484" s="89"/>
      <c r="P484" s="89"/>
      <c r="Q484" s="89"/>
      <c r="R484" s="89"/>
      <c r="S484" s="89"/>
      <c r="T484" s="89"/>
    </row>
    <row r="485" ht="15.75" customHeight="1">
      <c r="A485" s="89"/>
      <c r="B485" s="89"/>
      <c r="C485" s="89"/>
      <c r="D485" s="89"/>
      <c r="E485" s="89"/>
      <c r="F485" s="89"/>
      <c r="G485" s="89"/>
      <c r="H485" s="89"/>
      <c r="I485" s="89"/>
      <c r="J485" s="89"/>
      <c r="K485" s="89"/>
      <c r="L485" s="89"/>
      <c r="M485" s="89"/>
      <c r="N485" s="89"/>
      <c r="O485" s="89"/>
      <c r="P485" s="89"/>
      <c r="Q485" s="89"/>
      <c r="R485" s="89"/>
      <c r="S485" s="89"/>
      <c r="T485" s="89"/>
    </row>
    <row r="486" ht="15.75" customHeight="1">
      <c r="A486" s="89"/>
      <c r="B486" s="89"/>
      <c r="C486" s="89"/>
      <c r="D486" s="89"/>
      <c r="E486" s="89"/>
      <c r="F486" s="89"/>
      <c r="G486" s="89"/>
      <c r="H486" s="89"/>
      <c r="I486" s="89"/>
      <c r="J486" s="89"/>
      <c r="K486" s="89"/>
      <c r="L486" s="89"/>
      <c r="M486" s="89"/>
      <c r="N486" s="89"/>
      <c r="O486" s="89"/>
      <c r="P486" s="89"/>
      <c r="Q486" s="89"/>
      <c r="R486" s="89"/>
      <c r="S486" s="89"/>
      <c r="T486" s="89"/>
    </row>
    <row r="487" ht="15.75" customHeight="1">
      <c r="A487" s="89"/>
      <c r="B487" s="89"/>
      <c r="C487" s="89"/>
      <c r="D487" s="89"/>
      <c r="E487" s="89"/>
      <c r="F487" s="89"/>
      <c r="G487" s="89"/>
      <c r="H487" s="89"/>
      <c r="I487" s="89"/>
      <c r="J487" s="89"/>
      <c r="K487" s="89"/>
      <c r="L487" s="89"/>
      <c r="M487" s="89"/>
      <c r="N487" s="89"/>
      <c r="O487" s="89"/>
      <c r="P487" s="89"/>
      <c r="Q487" s="89"/>
      <c r="R487" s="89"/>
      <c r="S487" s="89"/>
      <c r="T487" s="89"/>
    </row>
    <row r="488" ht="15.75" customHeight="1">
      <c r="A488" s="89"/>
      <c r="B488" s="89"/>
      <c r="C488" s="89"/>
      <c r="D488" s="89"/>
      <c r="E488" s="89"/>
      <c r="F488" s="89"/>
      <c r="G488" s="89"/>
      <c r="H488" s="89"/>
      <c r="I488" s="89"/>
      <c r="J488" s="89"/>
      <c r="K488" s="89"/>
      <c r="L488" s="89"/>
      <c r="M488" s="89"/>
      <c r="N488" s="89"/>
      <c r="O488" s="89"/>
      <c r="P488" s="89"/>
      <c r="Q488" s="89"/>
      <c r="R488" s="89"/>
      <c r="S488" s="89"/>
      <c r="T488" s="89"/>
    </row>
    <row r="489" ht="15.75" customHeight="1">
      <c r="A489" s="89"/>
      <c r="B489" s="89"/>
      <c r="C489" s="89"/>
      <c r="D489" s="89"/>
      <c r="E489" s="89"/>
      <c r="F489" s="89"/>
      <c r="G489" s="89"/>
      <c r="H489" s="89"/>
      <c r="I489" s="89"/>
      <c r="J489" s="89"/>
      <c r="K489" s="89"/>
      <c r="L489" s="89"/>
      <c r="M489" s="89"/>
      <c r="N489" s="89"/>
      <c r="O489" s="89"/>
      <c r="P489" s="89"/>
      <c r="Q489" s="89"/>
      <c r="R489" s="89"/>
      <c r="S489" s="89"/>
      <c r="T489" s="89"/>
    </row>
    <row r="490" ht="15.75" customHeight="1">
      <c r="A490" s="89"/>
      <c r="B490" s="89"/>
      <c r="C490" s="89"/>
      <c r="D490" s="89"/>
      <c r="E490" s="89"/>
      <c r="F490" s="89"/>
      <c r="G490" s="89"/>
      <c r="H490" s="89"/>
      <c r="I490" s="89"/>
      <c r="J490" s="89"/>
      <c r="K490" s="89"/>
      <c r="L490" s="89"/>
      <c r="M490" s="89"/>
      <c r="N490" s="89"/>
      <c r="O490" s="89"/>
      <c r="P490" s="89"/>
      <c r="Q490" s="89"/>
      <c r="R490" s="89"/>
      <c r="S490" s="89"/>
      <c r="T490" s="89"/>
    </row>
    <row r="491" ht="15.75" customHeight="1">
      <c r="A491" s="89"/>
      <c r="B491" s="89"/>
      <c r="C491" s="89"/>
      <c r="D491" s="89"/>
      <c r="E491" s="89"/>
      <c r="F491" s="89"/>
      <c r="G491" s="89"/>
      <c r="H491" s="89"/>
      <c r="I491" s="89"/>
      <c r="J491" s="89"/>
      <c r="K491" s="89"/>
      <c r="L491" s="89"/>
      <c r="M491" s="89"/>
      <c r="N491" s="89"/>
      <c r="O491" s="89"/>
      <c r="P491" s="89"/>
      <c r="Q491" s="89"/>
      <c r="R491" s="89"/>
      <c r="S491" s="89"/>
      <c r="T491" s="89"/>
    </row>
    <row r="492" ht="15.75" customHeight="1">
      <c r="A492" s="89"/>
      <c r="B492" s="89"/>
      <c r="C492" s="89"/>
      <c r="D492" s="89"/>
      <c r="E492" s="89"/>
      <c r="F492" s="89"/>
      <c r="G492" s="89"/>
      <c r="H492" s="89"/>
      <c r="I492" s="89"/>
      <c r="J492" s="89"/>
      <c r="K492" s="89"/>
      <c r="L492" s="89"/>
      <c r="M492" s="89"/>
      <c r="N492" s="89"/>
      <c r="O492" s="89"/>
      <c r="P492" s="89"/>
      <c r="Q492" s="89"/>
      <c r="R492" s="89"/>
      <c r="S492" s="89"/>
      <c r="T492" s="89"/>
    </row>
    <row r="493" ht="15.75" customHeight="1">
      <c r="A493" s="89"/>
      <c r="B493" s="89"/>
      <c r="C493" s="89"/>
      <c r="D493" s="89"/>
      <c r="E493" s="89"/>
      <c r="F493" s="89"/>
      <c r="G493" s="89"/>
      <c r="H493" s="89"/>
      <c r="I493" s="89"/>
      <c r="J493" s="89"/>
      <c r="K493" s="89"/>
      <c r="L493" s="89"/>
      <c r="M493" s="89"/>
      <c r="N493" s="89"/>
      <c r="O493" s="89"/>
      <c r="P493" s="89"/>
      <c r="Q493" s="89"/>
      <c r="R493" s="89"/>
      <c r="S493" s="89"/>
      <c r="T493" s="89"/>
    </row>
    <row r="494" ht="15.75" customHeight="1">
      <c r="A494" s="89"/>
      <c r="B494" s="89"/>
      <c r="C494" s="89"/>
      <c r="D494" s="89"/>
      <c r="E494" s="89"/>
      <c r="F494" s="89"/>
      <c r="G494" s="89"/>
      <c r="H494" s="89"/>
      <c r="I494" s="89"/>
      <c r="J494" s="89"/>
      <c r="K494" s="89"/>
      <c r="L494" s="89"/>
      <c r="M494" s="89"/>
      <c r="N494" s="89"/>
      <c r="O494" s="89"/>
      <c r="P494" s="89"/>
      <c r="Q494" s="89"/>
      <c r="R494" s="89"/>
      <c r="S494" s="89"/>
      <c r="T494" s="89"/>
    </row>
    <row r="495" ht="15.75" customHeight="1">
      <c r="A495" s="89"/>
      <c r="B495" s="89"/>
      <c r="C495" s="89"/>
      <c r="D495" s="89"/>
      <c r="E495" s="89"/>
      <c r="F495" s="89"/>
      <c r="G495" s="89"/>
      <c r="H495" s="89"/>
      <c r="I495" s="89"/>
      <c r="J495" s="89"/>
      <c r="K495" s="89"/>
      <c r="L495" s="89"/>
      <c r="M495" s="89"/>
      <c r="N495" s="89"/>
      <c r="O495" s="89"/>
      <c r="P495" s="89"/>
      <c r="Q495" s="89"/>
      <c r="R495" s="89"/>
      <c r="S495" s="89"/>
      <c r="T495" s="89"/>
    </row>
    <row r="496" ht="15.75" customHeight="1">
      <c r="A496" s="89"/>
      <c r="B496" s="89"/>
      <c r="C496" s="89"/>
      <c r="D496" s="89"/>
      <c r="E496" s="89"/>
      <c r="F496" s="89"/>
      <c r="G496" s="89"/>
      <c r="H496" s="89"/>
      <c r="I496" s="89"/>
      <c r="J496" s="89"/>
      <c r="K496" s="89"/>
      <c r="L496" s="89"/>
      <c r="M496" s="89"/>
      <c r="N496" s="89"/>
      <c r="O496" s="89"/>
      <c r="P496" s="89"/>
      <c r="Q496" s="89"/>
      <c r="R496" s="89"/>
      <c r="S496" s="89"/>
      <c r="T496" s="89"/>
    </row>
    <row r="497" ht="15.75" customHeight="1">
      <c r="A497" s="89"/>
      <c r="B497" s="89"/>
      <c r="C497" s="89"/>
      <c r="D497" s="89"/>
      <c r="E497" s="89"/>
      <c r="F497" s="89"/>
      <c r="G497" s="89"/>
      <c r="H497" s="89"/>
      <c r="I497" s="89"/>
      <c r="J497" s="89"/>
      <c r="K497" s="89"/>
      <c r="L497" s="89"/>
      <c r="M497" s="89"/>
      <c r="N497" s="89"/>
      <c r="O497" s="89"/>
      <c r="P497" s="89"/>
      <c r="Q497" s="89"/>
      <c r="R497" s="89"/>
      <c r="S497" s="89"/>
      <c r="T497" s="89"/>
    </row>
    <row r="498" ht="15.75" customHeight="1">
      <c r="A498" s="89"/>
      <c r="B498" s="89"/>
      <c r="C498" s="89"/>
      <c r="D498" s="89"/>
      <c r="E498" s="89"/>
      <c r="F498" s="89"/>
      <c r="G498" s="89"/>
      <c r="H498" s="89"/>
      <c r="I498" s="89"/>
      <c r="J498" s="89"/>
      <c r="K498" s="89"/>
      <c r="L498" s="89"/>
      <c r="M498" s="89"/>
      <c r="N498" s="89"/>
      <c r="O498" s="89"/>
      <c r="P498" s="89"/>
      <c r="Q498" s="89"/>
      <c r="R498" s="89"/>
      <c r="S498" s="89"/>
      <c r="T498" s="89"/>
    </row>
    <row r="499" ht="15.75" customHeight="1">
      <c r="A499" s="89"/>
      <c r="B499" s="89"/>
      <c r="C499" s="89"/>
      <c r="D499" s="89"/>
      <c r="E499" s="89"/>
      <c r="F499" s="89"/>
      <c r="G499" s="89"/>
      <c r="H499" s="89"/>
      <c r="I499" s="89"/>
      <c r="J499" s="89"/>
      <c r="K499" s="89"/>
      <c r="L499" s="89"/>
      <c r="M499" s="89"/>
      <c r="N499" s="89"/>
      <c r="O499" s="89"/>
      <c r="P499" s="89"/>
      <c r="Q499" s="89"/>
      <c r="R499" s="89"/>
      <c r="S499" s="89"/>
      <c r="T499" s="89"/>
    </row>
    <row r="500" ht="15.75" customHeight="1">
      <c r="A500" s="89"/>
      <c r="B500" s="89"/>
      <c r="C500" s="89"/>
      <c r="D500" s="89"/>
      <c r="E500" s="89"/>
      <c r="F500" s="89"/>
      <c r="G500" s="89"/>
      <c r="H500" s="89"/>
      <c r="I500" s="89"/>
      <c r="J500" s="89"/>
      <c r="K500" s="89"/>
      <c r="L500" s="89"/>
      <c r="M500" s="89"/>
      <c r="N500" s="89"/>
      <c r="O500" s="89"/>
      <c r="P500" s="89"/>
      <c r="Q500" s="89"/>
      <c r="R500" s="89"/>
      <c r="S500" s="89"/>
      <c r="T500" s="89"/>
    </row>
    <row r="501" ht="15.75" customHeight="1">
      <c r="A501" s="89"/>
      <c r="B501" s="89"/>
      <c r="C501" s="89"/>
      <c r="D501" s="89"/>
      <c r="E501" s="89"/>
      <c r="F501" s="89"/>
      <c r="G501" s="89"/>
      <c r="H501" s="89"/>
      <c r="I501" s="89"/>
      <c r="J501" s="89"/>
      <c r="K501" s="89"/>
      <c r="L501" s="89"/>
      <c r="M501" s="89"/>
      <c r="N501" s="89"/>
      <c r="O501" s="89"/>
      <c r="P501" s="89"/>
      <c r="Q501" s="89"/>
      <c r="R501" s="89"/>
      <c r="S501" s="89"/>
      <c r="T501" s="89"/>
    </row>
    <row r="502" ht="15.75" customHeight="1">
      <c r="A502" s="89"/>
      <c r="B502" s="89"/>
      <c r="C502" s="89"/>
      <c r="D502" s="89"/>
      <c r="E502" s="89"/>
      <c r="F502" s="89"/>
      <c r="G502" s="89"/>
      <c r="H502" s="89"/>
      <c r="I502" s="89"/>
      <c r="J502" s="89"/>
      <c r="K502" s="89"/>
      <c r="L502" s="89"/>
      <c r="M502" s="89"/>
      <c r="N502" s="89"/>
      <c r="O502" s="89"/>
      <c r="P502" s="89"/>
      <c r="Q502" s="89"/>
      <c r="R502" s="89"/>
      <c r="S502" s="89"/>
      <c r="T502" s="89"/>
    </row>
    <row r="503" ht="15.75" customHeight="1">
      <c r="A503" s="89"/>
      <c r="B503" s="89"/>
      <c r="C503" s="89"/>
      <c r="D503" s="89"/>
      <c r="E503" s="89"/>
      <c r="F503" s="89"/>
      <c r="G503" s="89"/>
      <c r="H503" s="89"/>
      <c r="I503" s="89"/>
      <c r="J503" s="89"/>
      <c r="K503" s="89"/>
      <c r="L503" s="89"/>
      <c r="M503" s="89"/>
      <c r="N503" s="89"/>
      <c r="O503" s="89"/>
      <c r="P503" s="89"/>
      <c r="Q503" s="89"/>
      <c r="R503" s="89"/>
      <c r="S503" s="89"/>
      <c r="T503" s="89"/>
    </row>
    <row r="504" ht="15.75" customHeight="1">
      <c r="A504" s="89"/>
      <c r="B504" s="89"/>
      <c r="C504" s="89"/>
      <c r="D504" s="89"/>
      <c r="E504" s="89"/>
      <c r="F504" s="89"/>
      <c r="G504" s="89"/>
      <c r="H504" s="89"/>
      <c r="I504" s="89"/>
      <c r="J504" s="89"/>
      <c r="K504" s="89"/>
      <c r="L504" s="89"/>
      <c r="M504" s="89"/>
      <c r="N504" s="89"/>
      <c r="O504" s="89"/>
      <c r="P504" s="89"/>
      <c r="Q504" s="89"/>
      <c r="R504" s="89"/>
      <c r="S504" s="89"/>
      <c r="T504" s="89"/>
    </row>
    <row r="505" ht="15.75" customHeight="1">
      <c r="A505" s="89"/>
      <c r="B505" s="89"/>
      <c r="C505" s="89"/>
      <c r="D505" s="89"/>
      <c r="E505" s="89"/>
      <c r="F505" s="89"/>
      <c r="G505" s="89"/>
      <c r="H505" s="89"/>
      <c r="I505" s="89"/>
      <c r="J505" s="89"/>
      <c r="K505" s="89"/>
      <c r="L505" s="89"/>
      <c r="M505" s="89"/>
      <c r="N505" s="89"/>
      <c r="O505" s="89"/>
      <c r="P505" s="89"/>
      <c r="Q505" s="89"/>
      <c r="R505" s="89"/>
      <c r="S505" s="89"/>
      <c r="T505" s="89"/>
    </row>
    <row r="506" ht="15.75" customHeight="1">
      <c r="A506" s="89"/>
      <c r="B506" s="89"/>
      <c r="C506" s="89"/>
      <c r="D506" s="89"/>
      <c r="E506" s="89"/>
      <c r="F506" s="89"/>
      <c r="G506" s="89"/>
      <c r="H506" s="89"/>
      <c r="I506" s="89"/>
      <c r="J506" s="89"/>
      <c r="K506" s="89"/>
      <c r="L506" s="89"/>
      <c r="M506" s="89"/>
      <c r="N506" s="89"/>
      <c r="O506" s="89"/>
      <c r="P506" s="89"/>
      <c r="Q506" s="89"/>
      <c r="R506" s="89"/>
      <c r="S506" s="89"/>
      <c r="T506" s="89"/>
    </row>
    <row r="507" ht="15.75" customHeight="1">
      <c r="A507" s="89"/>
      <c r="B507" s="89"/>
      <c r="C507" s="89"/>
      <c r="D507" s="89"/>
      <c r="E507" s="89"/>
      <c r="F507" s="89"/>
      <c r="G507" s="89"/>
      <c r="H507" s="89"/>
      <c r="I507" s="89"/>
      <c r="J507" s="89"/>
      <c r="K507" s="89"/>
      <c r="L507" s="89"/>
      <c r="M507" s="89"/>
      <c r="N507" s="89"/>
      <c r="O507" s="89"/>
      <c r="P507" s="89"/>
      <c r="Q507" s="89"/>
      <c r="R507" s="89"/>
      <c r="S507" s="89"/>
      <c r="T507" s="89"/>
    </row>
    <row r="508" ht="15.75" customHeight="1">
      <c r="A508" s="89"/>
      <c r="B508" s="89"/>
      <c r="C508" s="89"/>
      <c r="D508" s="89"/>
      <c r="E508" s="89"/>
      <c r="F508" s="89"/>
      <c r="G508" s="89"/>
      <c r="H508" s="89"/>
      <c r="I508" s="89"/>
      <c r="J508" s="89"/>
      <c r="K508" s="89"/>
      <c r="L508" s="89"/>
      <c r="M508" s="89"/>
      <c r="N508" s="89"/>
      <c r="O508" s="89"/>
      <c r="P508" s="89"/>
      <c r="Q508" s="89"/>
      <c r="R508" s="89"/>
      <c r="S508" s="89"/>
      <c r="T508" s="89"/>
    </row>
    <row r="509" ht="15.75" customHeight="1">
      <c r="A509" s="89"/>
      <c r="B509" s="89"/>
      <c r="C509" s="89"/>
      <c r="D509" s="89"/>
      <c r="E509" s="89"/>
      <c r="F509" s="89"/>
      <c r="G509" s="89"/>
      <c r="H509" s="89"/>
      <c r="I509" s="89"/>
      <c r="J509" s="89"/>
      <c r="K509" s="89"/>
      <c r="L509" s="89"/>
      <c r="M509" s="89"/>
      <c r="N509" s="89"/>
      <c r="O509" s="89"/>
      <c r="P509" s="89"/>
      <c r="Q509" s="89"/>
      <c r="R509" s="89"/>
      <c r="S509" s="89"/>
      <c r="T509" s="89"/>
    </row>
    <row r="510" ht="15.75" customHeight="1">
      <c r="A510" s="89"/>
      <c r="B510" s="89"/>
      <c r="C510" s="89"/>
      <c r="D510" s="89"/>
      <c r="E510" s="89"/>
      <c r="F510" s="89"/>
      <c r="G510" s="89"/>
      <c r="H510" s="89"/>
      <c r="I510" s="89"/>
      <c r="J510" s="89"/>
      <c r="K510" s="89"/>
      <c r="L510" s="89"/>
      <c r="M510" s="89"/>
      <c r="N510" s="89"/>
      <c r="O510" s="89"/>
      <c r="P510" s="89"/>
      <c r="Q510" s="89"/>
      <c r="R510" s="89"/>
      <c r="S510" s="89"/>
      <c r="T510" s="89"/>
    </row>
    <row r="511" ht="15.75" customHeight="1">
      <c r="A511" s="89"/>
      <c r="B511" s="89"/>
      <c r="C511" s="89"/>
      <c r="D511" s="89"/>
      <c r="E511" s="89"/>
      <c r="F511" s="89"/>
      <c r="G511" s="89"/>
      <c r="H511" s="89"/>
      <c r="I511" s="89"/>
      <c r="J511" s="89"/>
      <c r="K511" s="89"/>
      <c r="L511" s="89"/>
      <c r="M511" s="89"/>
      <c r="N511" s="89"/>
      <c r="O511" s="89"/>
      <c r="P511" s="89"/>
      <c r="Q511" s="89"/>
      <c r="R511" s="89"/>
      <c r="S511" s="89"/>
      <c r="T511" s="89"/>
    </row>
    <row r="512" ht="15.75" customHeight="1">
      <c r="A512" s="89"/>
      <c r="B512" s="89"/>
      <c r="C512" s="89"/>
      <c r="D512" s="89"/>
      <c r="E512" s="89"/>
      <c r="F512" s="89"/>
      <c r="G512" s="89"/>
      <c r="H512" s="89"/>
      <c r="I512" s="89"/>
      <c r="J512" s="89"/>
      <c r="K512" s="89"/>
      <c r="L512" s="89"/>
      <c r="M512" s="89"/>
      <c r="N512" s="89"/>
      <c r="O512" s="89"/>
      <c r="P512" s="89"/>
      <c r="Q512" s="89"/>
      <c r="R512" s="89"/>
      <c r="S512" s="89"/>
      <c r="T512" s="89"/>
    </row>
    <row r="513" ht="15.75" customHeight="1">
      <c r="A513" s="89"/>
      <c r="B513" s="89"/>
      <c r="C513" s="89"/>
      <c r="D513" s="89"/>
      <c r="E513" s="89"/>
      <c r="F513" s="89"/>
      <c r="G513" s="89"/>
      <c r="H513" s="89"/>
      <c r="I513" s="89"/>
      <c r="J513" s="89"/>
      <c r="K513" s="89"/>
      <c r="L513" s="89"/>
      <c r="M513" s="89"/>
      <c r="N513" s="89"/>
      <c r="O513" s="89"/>
      <c r="P513" s="89"/>
      <c r="Q513" s="89"/>
      <c r="R513" s="89"/>
      <c r="S513" s="89"/>
      <c r="T513" s="89"/>
    </row>
    <row r="514" ht="15.75" customHeight="1">
      <c r="A514" s="89"/>
      <c r="B514" s="89"/>
      <c r="C514" s="89"/>
      <c r="D514" s="89"/>
      <c r="E514" s="89"/>
      <c r="F514" s="89"/>
      <c r="G514" s="89"/>
      <c r="H514" s="89"/>
      <c r="I514" s="89"/>
      <c r="J514" s="89"/>
      <c r="K514" s="89"/>
      <c r="L514" s="89"/>
      <c r="M514" s="89"/>
      <c r="N514" s="89"/>
      <c r="O514" s="89"/>
      <c r="P514" s="89"/>
      <c r="Q514" s="89"/>
      <c r="R514" s="89"/>
      <c r="S514" s="89"/>
      <c r="T514" s="89"/>
    </row>
    <row r="515" ht="15.75" customHeight="1">
      <c r="A515" s="89"/>
      <c r="B515" s="89"/>
      <c r="C515" s="89"/>
      <c r="D515" s="89"/>
      <c r="E515" s="89"/>
      <c r="F515" s="89"/>
      <c r="G515" s="89"/>
      <c r="H515" s="89"/>
      <c r="I515" s="89"/>
      <c r="J515" s="89"/>
      <c r="K515" s="89"/>
      <c r="L515" s="89"/>
      <c r="M515" s="89"/>
      <c r="N515" s="89"/>
      <c r="O515" s="89"/>
      <c r="P515" s="89"/>
      <c r="Q515" s="89"/>
      <c r="R515" s="89"/>
      <c r="S515" s="89"/>
      <c r="T515" s="89"/>
    </row>
    <row r="516" ht="15.75" customHeight="1">
      <c r="A516" s="89"/>
      <c r="B516" s="89"/>
      <c r="C516" s="89"/>
      <c r="D516" s="89"/>
      <c r="E516" s="89"/>
      <c r="F516" s="89"/>
      <c r="G516" s="89"/>
      <c r="H516" s="89"/>
      <c r="I516" s="89"/>
      <c r="J516" s="89"/>
      <c r="K516" s="89"/>
      <c r="L516" s="89"/>
      <c r="M516" s="89"/>
      <c r="N516" s="89"/>
      <c r="O516" s="89"/>
      <c r="P516" s="89"/>
      <c r="Q516" s="89"/>
      <c r="R516" s="89"/>
      <c r="S516" s="89"/>
      <c r="T516" s="89"/>
    </row>
    <row r="517" ht="15.75" customHeight="1">
      <c r="A517" s="89"/>
      <c r="B517" s="89"/>
      <c r="C517" s="89"/>
      <c r="D517" s="89"/>
      <c r="E517" s="89"/>
      <c r="F517" s="89"/>
      <c r="G517" s="89"/>
      <c r="H517" s="89"/>
      <c r="I517" s="89"/>
      <c r="J517" s="89"/>
      <c r="K517" s="89"/>
      <c r="L517" s="89"/>
      <c r="M517" s="89"/>
      <c r="N517" s="89"/>
      <c r="O517" s="89"/>
      <c r="P517" s="89"/>
      <c r="Q517" s="89"/>
      <c r="R517" s="89"/>
      <c r="S517" s="89"/>
      <c r="T517" s="89"/>
    </row>
    <row r="518" ht="15.75" customHeight="1">
      <c r="A518" s="89"/>
      <c r="B518" s="89"/>
      <c r="C518" s="89"/>
      <c r="D518" s="89"/>
      <c r="E518" s="89"/>
      <c r="F518" s="89"/>
      <c r="G518" s="89"/>
      <c r="H518" s="89"/>
      <c r="I518" s="89"/>
      <c r="J518" s="89"/>
      <c r="K518" s="89"/>
      <c r="L518" s="89"/>
      <c r="M518" s="89"/>
      <c r="N518" s="89"/>
      <c r="O518" s="89"/>
      <c r="P518" s="89"/>
      <c r="Q518" s="89"/>
      <c r="R518" s="89"/>
      <c r="S518" s="89"/>
      <c r="T518" s="89"/>
    </row>
    <row r="519" ht="15.75" customHeight="1">
      <c r="A519" s="89"/>
      <c r="B519" s="89"/>
      <c r="C519" s="89"/>
      <c r="D519" s="89"/>
      <c r="E519" s="89"/>
      <c r="F519" s="89"/>
      <c r="G519" s="89"/>
      <c r="H519" s="89"/>
      <c r="I519" s="89"/>
      <c r="J519" s="89"/>
      <c r="K519" s="89"/>
      <c r="L519" s="89"/>
      <c r="M519" s="89"/>
      <c r="N519" s="89"/>
      <c r="O519" s="89"/>
      <c r="P519" s="89"/>
      <c r="Q519" s="89"/>
      <c r="R519" s="89"/>
      <c r="S519" s="89"/>
      <c r="T519" s="89"/>
    </row>
    <row r="520" ht="15.75" customHeight="1">
      <c r="A520" s="89"/>
      <c r="B520" s="89"/>
      <c r="C520" s="89"/>
      <c r="D520" s="89"/>
      <c r="E520" s="89"/>
      <c r="F520" s="89"/>
      <c r="G520" s="89"/>
      <c r="H520" s="89"/>
      <c r="I520" s="89"/>
      <c r="J520" s="89"/>
      <c r="K520" s="89"/>
      <c r="L520" s="89"/>
      <c r="M520" s="89"/>
      <c r="N520" s="89"/>
      <c r="O520" s="89"/>
      <c r="P520" s="89"/>
      <c r="Q520" s="89"/>
      <c r="R520" s="89"/>
      <c r="S520" s="89"/>
      <c r="T520" s="89"/>
    </row>
    <row r="521" ht="15.75" customHeight="1">
      <c r="A521" s="89"/>
      <c r="B521" s="89"/>
      <c r="C521" s="89"/>
      <c r="D521" s="89"/>
      <c r="E521" s="89"/>
      <c r="F521" s="89"/>
      <c r="G521" s="89"/>
      <c r="H521" s="89"/>
      <c r="I521" s="89"/>
      <c r="J521" s="89"/>
      <c r="K521" s="89"/>
      <c r="L521" s="89"/>
      <c r="M521" s="89"/>
      <c r="N521" s="89"/>
      <c r="O521" s="89"/>
      <c r="P521" s="89"/>
      <c r="Q521" s="89"/>
      <c r="R521" s="89"/>
      <c r="S521" s="89"/>
      <c r="T521" s="89"/>
    </row>
    <row r="522" ht="15.75" customHeight="1">
      <c r="A522" s="89"/>
      <c r="B522" s="89"/>
      <c r="C522" s="89"/>
      <c r="D522" s="89"/>
      <c r="E522" s="89"/>
      <c r="F522" s="89"/>
      <c r="G522" s="89"/>
      <c r="H522" s="89"/>
      <c r="I522" s="89"/>
      <c r="J522" s="89"/>
      <c r="K522" s="89"/>
      <c r="L522" s="89"/>
      <c r="M522" s="89"/>
      <c r="N522" s="89"/>
      <c r="O522" s="89"/>
      <c r="P522" s="89"/>
      <c r="Q522" s="89"/>
      <c r="R522" s="89"/>
      <c r="S522" s="89"/>
      <c r="T522" s="89"/>
    </row>
    <row r="523" ht="15.75" customHeight="1">
      <c r="A523" s="89"/>
      <c r="B523" s="89"/>
      <c r="C523" s="89"/>
      <c r="D523" s="89"/>
      <c r="E523" s="89"/>
      <c r="F523" s="89"/>
      <c r="G523" s="89"/>
      <c r="H523" s="89"/>
      <c r="I523" s="89"/>
      <c r="J523" s="89"/>
      <c r="K523" s="89"/>
      <c r="L523" s="89"/>
      <c r="M523" s="89"/>
      <c r="N523" s="89"/>
      <c r="O523" s="89"/>
      <c r="P523" s="89"/>
      <c r="Q523" s="89"/>
      <c r="R523" s="89"/>
      <c r="S523" s="89"/>
      <c r="T523" s="89"/>
    </row>
    <row r="524" ht="15.75" customHeight="1">
      <c r="A524" s="89"/>
      <c r="B524" s="89"/>
      <c r="C524" s="89"/>
      <c r="D524" s="89"/>
      <c r="E524" s="89"/>
      <c r="F524" s="89"/>
      <c r="G524" s="89"/>
      <c r="H524" s="89"/>
      <c r="I524" s="89"/>
      <c r="J524" s="89"/>
      <c r="K524" s="89"/>
      <c r="L524" s="89"/>
      <c r="M524" s="89"/>
      <c r="N524" s="89"/>
      <c r="O524" s="89"/>
      <c r="P524" s="89"/>
      <c r="Q524" s="89"/>
      <c r="R524" s="89"/>
      <c r="S524" s="89"/>
      <c r="T524" s="89"/>
    </row>
    <row r="525" ht="15.75" customHeight="1">
      <c r="A525" s="89"/>
      <c r="B525" s="89"/>
      <c r="C525" s="89"/>
      <c r="D525" s="89"/>
      <c r="E525" s="89"/>
      <c r="F525" s="89"/>
      <c r="G525" s="89"/>
      <c r="H525" s="89"/>
      <c r="I525" s="89"/>
      <c r="J525" s="89"/>
      <c r="K525" s="89"/>
      <c r="L525" s="89"/>
      <c r="M525" s="89"/>
      <c r="N525" s="89"/>
      <c r="O525" s="89"/>
      <c r="P525" s="89"/>
      <c r="Q525" s="89"/>
      <c r="R525" s="89"/>
      <c r="S525" s="89"/>
      <c r="T525" s="89"/>
    </row>
    <row r="526" ht="15.75" customHeight="1">
      <c r="A526" s="89"/>
      <c r="B526" s="89"/>
      <c r="C526" s="89"/>
      <c r="D526" s="89"/>
      <c r="E526" s="89"/>
      <c r="F526" s="89"/>
      <c r="G526" s="89"/>
      <c r="H526" s="89"/>
      <c r="I526" s="89"/>
      <c r="J526" s="89"/>
      <c r="K526" s="89"/>
      <c r="L526" s="89"/>
      <c r="M526" s="89"/>
      <c r="N526" s="89"/>
      <c r="O526" s="89"/>
      <c r="P526" s="89"/>
      <c r="Q526" s="89"/>
      <c r="R526" s="89"/>
      <c r="S526" s="89"/>
      <c r="T526" s="89"/>
    </row>
    <row r="527" ht="15.75" customHeight="1">
      <c r="A527" s="89"/>
      <c r="B527" s="89"/>
      <c r="C527" s="89"/>
      <c r="D527" s="89"/>
      <c r="E527" s="89"/>
      <c r="F527" s="89"/>
      <c r="G527" s="89"/>
      <c r="H527" s="89"/>
      <c r="I527" s="89"/>
      <c r="J527" s="89"/>
      <c r="K527" s="89"/>
      <c r="L527" s="89"/>
      <c r="M527" s="89"/>
      <c r="N527" s="89"/>
      <c r="O527" s="89"/>
      <c r="P527" s="89"/>
      <c r="Q527" s="89"/>
      <c r="R527" s="89"/>
      <c r="S527" s="89"/>
      <c r="T527" s="89"/>
    </row>
    <row r="528" ht="15.75" customHeight="1">
      <c r="A528" s="89"/>
      <c r="B528" s="89"/>
      <c r="C528" s="89"/>
      <c r="D528" s="89"/>
      <c r="E528" s="89"/>
      <c r="F528" s="89"/>
      <c r="G528" s="89"/>
      <c r="H528" s="89"/>
      <c r="I528" s="89"/>
      <c r="J528" s="89"/>
      <c r="K528" s="89"/>
      <c r="L528" s="89"/>
      <c r="M528" s="89"/>
      <c r="N528" s="89"/>
      <c r="O528" s="89"/>
      <c r="P528" s="89"/>
      <c r="Q528" s="89"/>
      <c r="R528" s="89"/>
      <c r="S528" s="89"/>
      <c r="T528" s="89"/>
    </row>
    <row r="529" ht="15.75" customHeight="1">
      <c r="A529" s="89"/>
      <c r="B529" s="89"/>
      <c r="C529" s="89"/>
      <c r="D529" s="89"/>
      <c r="E529" s="89"/>
      <c r="F529" s="89"/>
      <c r="G529" s="89"/>
      <c r="H529" s="89"/>
      <c r="I529" s="89"/>
      <c r="J529" s="89"/>
      <c r="K529" s="89"/>
      <c r="L529" s="89"/>
      <c r="M529" s="89"/>
      <c r="N529" s="89"/>
      <c r="O529" s="89"/>
      <c r="P529" s="89"/>
      <c r="Q529" s="89"/>
      <c r="R529" s="89"/>
      <c r="S529" s="89"/>
      <c r="T529" s="89"/>
    </row>
    <row r="530" ht="15.75" customHeight="1">
      <c r="A530" s="89"/>
      <c r="B530" s="89"/>
      <c r="C530" s="89"/>
      <c r="D530" s="89"/>
      <c r="E530" s="89"/>
      <c r="F530" s="89"/>
      <c r="G530" s="89"/>
      <c r="H530" s="89"/>
      <c r="I530" s="89"/>
      <c r="J530" s="89"/>
      <c r="K530" s="89"/>
      <c r="L530" s="89"/>
      <c r="M530" s="89"/>
      <c r="N530" s="89"/>
      <c r="O530" s="89"/>
      <c r="P530" s="89"/>
      <c r="Q530" s="89"/>
      <c r="R530" s="89"/>
      <c r="S530" s="89"/>
      <c r="T530" s="89"/>
    </row>
    <row r="531" ht="15.75" customHeight="1">
      <c r="A531" s="89"/>
      <c r="B531" s="89"/>
      <c r="C531" s="89"/>
      <c r="D531" s="89"/>
      <c r="E531" s="89"/>
      <c r="F531" s="89"/>
      <c r="G531" s="89"/>
      <c r="H531" s="89"/>
      <c r="I531" s="89"/>
      <c r="J531" s="89"/>
      <c r="K531" s="89"/>
      <c r="L531" s="89"/>
      <c r="M531" s="89"/>
      <c r="N531" s="89"/>
      <c r="O531" s="89"/>
      <c r="P531" s="89"/>
      <c r="Q531" s="89"/>
      <c r="R531" s="89"/>
      <c r="S531" s="89"/>
      <c r="T531" s="89"/>
    </row>
    <row r="532" ht="15.75" customHeight="1">
      <c r="A532" s="89"/>
      <c r="B532" s="89"/>
      <c r="C532" s="89"/>
      <c r="D532" s="89"/>
      <c r="E532" s="89"/>
      <c r="F532" s="89"/>
      <c r="G532" s="89"/>
      <c r="H532" s="89"/>
      <c r="I532" s="89"/>
      <c r="J532" s="89"/>
      <c r="K532" s="89"/>
      <c r="L532" s="89"/>
      <c r="M532" s="89"/>
      <c r="N532" s="89"/>
      <c r="O532" s="89"/>
      <c r="P532" s="89"/>
      <c r="Q532" s="89"/>
      <c r="R532" s="89"/>
      <c r="S532" s="89"/>
      <c r="T532" s="89"/>
    </row>
    <row r="533" ht="15.75" customHeight="1">
      <c r="A533" s="89"/>
      <c r="B533" s="89"/>
      <c r="C533" s="89"/>
      <c r="D533" s="89"/>
      <c r="E533" s="89"/>
      <c r="F533" s="89"/>
      <c r="G533" s="89"/>
      <c r="H533" s="89"/>
      <c r="I533" s="89"/>
      <c r="J533" s="89"/>
      <c r="K533" s="89"/>
      <c r="L533" s="89"/>
      <c r="M533" s="89"/>
      <c r="N533" s="89"/>
      <c r="O533" s="89"/>
      <c r="P533" s="89"/>
      <c r="Q533" s="89"/>
      <c r="R533" s="89"/>
      <c r="S533" s="89"/>
      <c r="T533" s="89"/>
    </row>
    <row r="534" ht="15.75" customHeight="1">
      <c r="A534" s="89"/>
      <c r="B534" s="89"/>
      <c r="C534" s="89"/>
      <c r="D534" s="89"/>
      <c r="E534" s="89"/>
      <c r="F534" s="89"/>
      <c r="G534" s="89"/>
      <c r="H534" s="89"/>
      <c r="I534" s="89"/>
      <c r="J534" s="89"/>
      <c r="K534" s="89"/>
      <c r="L534" s="89"/>
      <c r="M534" s="89"/>
      <c r="N534" s="89"/>
      <c r="O534" s="89"/>
      <c r="P534" s="89"/>
      <c r="Q534" s="89"/>
      <c r="R534" s="89"/>
      <c r="S534" s="89"/>
      <c r="T534" s="89"/>
    </row>
    <row r="535" ht="15.75" customHeight="1">
      <c r="A535" s="89"/>
      <c r="B535" s="89"/>
      <c r="C535" s="89"/>
      <c r="D535" s="89"/>
      <c r="E535" s="89"/>
      <c r="F535" s="89"/>
      <c r="G535" s="89"/>
      <c r="H535" s="89"/>
      <c r="I535" s="89"/>
      <c r="J535" s="89"/>
      <c r="K535" s="89"/>
      <c r="L535" s="89"/>
      <c r="M535" s="89"/>
      <c r="N535" s="89"/>
      <c r="O535" s="89"/>
      <c r="P535" s="89"/>
      <c r="Q535" s="89"/>
      <c r="R535" s="89"/>
      <c r="S535" s="89"/>
      <c r="T535" s="89"/>
    </row>
    <row r="536" ht="15.75" customHeight="1">
      <c r="A536" s="89"/>
      <c r="B536" s="89"/>
      <c r="C536" s="89"/>
      <c r="D536" s="89"/>
      <c r="E536" s="89"/>
      <c r="F536" s="89"/>
      <c r="G536" s="89"/>
      <c r="H536" s="89"/>
      <c r="I536" s="89"/>
      <c r="J536" s="89"/>
      <c r="K536" s="89"/>
      <c r="L536" s="89"/>
      <c r="M536" s="89"/>
      <c r="N536" s="89"/>
      <c r="O536" s="89"/>
      <c r="P536" s="89"/>
      <c r="Q536" s="89"/>
      <c r="R536" s="89"/>
      <c r="S536" s="89"/>
      <c r="T536" s="89"/>
    </row>
    <row r="537" ht="15.75" customHeight="1">
      <c r="A537" s="89"/>
      <c r="B537" s="89"/>
      <c r="C537" s="89"/>
      <c r="D537" s="89"/>
      <c r="E537" s="89"/>
      <c r="F537" s="89"/>
      <c r="G537" s="89"/>
      <c r="H537" s="89"/>
      <c r="I537" s="89"/>
      <c r="J537" s="89"/>
      <c r="K537" s="89"/>
      <c r="L537" s="89"/>
      <c r="M537" s="89"/>
      <c r="N537" s="89"/>
      <c r="O537" s="89"/>
      <c r="P537" s="89"/>
      <c r="Q537" s="89"/>
      <c r="R537" s="89"/>
      <c r="S537" s="89"/>
      <c r="T537" s="89"/>
    </row>
    <row r="538" ht="15.75" customHeight="1">
      <c r="A538" s="89"/>
      <c r="B538" s="89"/>
      <c r="C538" s="89"/>
      <c r="D538" s="89"/>
      <c r="E538" s="89"/>
      <c r="F538" s="89"/>
      <c r="G538" s="89"/>
      <c r="H538" s="89"/>
      <c r="I538" s="89"/>
      <c r="J538" s="89"/>
      <c r="K538" s="89"/>
      <c r="L538" s="89"/>
      <c r="M538" s="89"/>
      <c r="N538" s="89"/>
      <c r="O538" s="89"/>
      <c r="P538" s="89"/>
      <c r="Q538" s="89"/>
      <c r="R538" s="89"/>
      <c r="S538" s="89"/>
      <c r="T538" s="89"/>
    </row>
    <row r="539" ht="15.75" customHeight="1">
      <c r="A539" s="89"/>
      <c r="B539" s="89"/>
      <c r="C539" s="89"/>
      <c r="D539" s="89"/>
      <c r="E539" s="89"/>
      <c r="F539" s="89"/>
      <c r="G539" s="89"/>
      <c r="H539" s="89"/>
      <c r="I539" s="89"/>
      <c r="J539" s="89"/>
      <c r="K539" s="89"/>
      <c r="L539" s="89"/>
      <c r="M539" s="89"/>
      <c r="N539" s="89"/>
      <c r="O539" s="89"/>
      <c r="P539" s="89"/>
      <c r="Q539" s="89"/>
      <c r="R539" s="89"/>
      <c r="S539" s="89"/>
      <c r="T539" s="89"/>
    </row>
    <row r="540" ht="15.75" customHeight="1">
      <c r="A540" s="89"/>
      <c r="B540" s="89"/>
      <c r="C540" s="89"/>
      <c r="D540" s="89"/>
      <c r="E540" s="89"/>
      <c r="F540" s="89"/>
      <c r="G540" s="89"/>
      <c r="H540" s="89"/>
      <c r="I540" s="89"/>
      <c r="J540" s="89"/>
      <c r="K540" s="89"/>
      <c r="L540" s="89"/>
      <c r="M540" s="89"/>
      <c r="N540" s="89"/>
      <c r="O540" s="89"/>
      <c r="P540" s="89"/>
      <c r="Q540" s="89"/>
      <c r="R540" s="89"/>
      <c r="S540" s="89"/>
      <c r="T540" s="89"/>
    </row>
    <row r="541" ht="15.75" customHeight="1">
      <c r="A541" s="89"/>
      <c r="B541" s="89"/>
      <c r="C541" s="89"/>
      <c r="D541" s="89"/>
      <c r="E541" s="89"/>
      <c r="F541" s="89"/>
      <c r="G541" s="89"/>
      <c r="H541" s="89"/>
      <c r="I541" s="89"/>
      <c r="J541" s="89"/>
      <c r="K541" s="89"/>
      <c r="L541" s="89"/>
      <c r="M541" s="89"/>
      <c r="N541" s="89"/>
      <c r="O541" s="89"/>
      <c r="P541" s="89"/>
      <c r="Q541" s="89"/>
      <c r="R541" s="89"/>
      <c r="S541" s="89"/>
      <c r="T541" s="89"/>
    </row>
    <row r="542" ht="15.75" customHeight="1">
      <c r="A542" s="89"/>
      <c r="B542" s="89"/>
      <c r="C542" s="89"/>
      <c r="D542" s="89"/>
      <c r="E542" s="89"/>
      <c r="F542" s="89"/>
      <c r="G542" s="89"/>
      <c r="H542" s="89"/>
      <c r="I542" s="89"/>
      <c r="J542" s="89"/>
      <c r="K542" s="89"/>
      <c r="L542" s="89"/>
      <c r="M542" s="89"/>
      <c r="N542" s="89"/>
      <c r="O542" s="89"/>
      <c r="P542" s="89"/>
      <c r="Q542" s="89"/>
      <c r="R542" s="89"/>
      <c r="S542" s="89"/>
      <c r="T542" s="89"/>
    </row>
    <row r="543" ht="15.75" customHeight="1">
      <c r="A543" s="89"/>
      <c r="B543" s="89"/>
      <c r="C543" s="89"/>
      <c r="D543" s="89"/>
      <c r="E543" s="89"/>
      <c r="F543" s="89"/>
      <c r="G543" s="89"/>
      <c r="H543" s="89"/>
      <c r="I543" s="89"/>
      <c r="J543" s="89"/>
      <c r="K543" s="89"/>
      <c r="L543" s="89"/>
      <c r="M543" s="89"/>
      <c r="N543" s="89"/>
      <c r="O543" s="89"/>
      <c r="P543" s="89"/>
      <c r="Q543" s="89"/>
      <c r="R543" s="89"/>
      <c r="S543" s="89"/>
      <c r="T543" s="89"/>
    </row>
    <row r="544" ht="15.75" customHeight="1">
      <c r="A544" s="89"/>
      <c r="B544" s="89"/>
      <c r="C544" s="89"/>
      <c r="D544" s="89"/>
      <c r="E544" s="89"/>
      <c r="F544" s="89"/>
      <c r="G544" s="89"/>
      <c r="H544" s="89"/>
      <c r="I544" s="89"/>
      <c r="J544" s="89"/>
      <c r="K544" s="89"/>
      <c r="L544" s="89"/>
      <c r="M544" s="89"/>
      <c r="N544" s="89"/>
      <c r="O544" s="89"/>
      <c r="P544" s="89"/>
      <c r="Q544" s="89"/>
      <c r="R544" s="89"/>
      <c r="S544" s="89"/>
      <c r="T544" s="89"/>
    </row>
    <row r="545" ht="15.75" customHeight="1">
      <c r="A545" s="89"/>
      <c r="B545" s="89"/>
      <c r="C545" s="89"/>
      <c r="D545" s="89"/>
      <c r="E545" s="89"/>
      <c r="F545" s="89"/>
      <c r="G545" s="89"/>
      <c r="H545" s="89"/>
      <c r="I545" s="89"/>
      <c r="J545" s="89"/>
      <c r="K545" s="89"/>
      <c r="L545" s="89"/>
      <c r="M545" s="89"/>
      <c r="N545" s="89"/>
      <c r="O545" s="89"/>
      <c r="P545" s="89"/>
      <c r="Q545" s="89"/>
      <c r="R545" s="89"/>
      <c r="S545" s="89"/>
      <c r="T545" s="89"/>
    </row>
    <row r="546" ht="15.75" customHeight="1">
      <c r="A546" s="89"/>
      <c r="B546" s="89"/>
      <c r="C546" s="89"/>
      <c r="D546" s="89"/>
      <c r="E546" s="89"/>
      <c r="F546" s="89"/>
      <c r="G546" s="89"/>
      <c r="H546" s="89"/>
      <c r="I546" s="89"/>
      <c r="J546" s="89"/>
      <c r="K546" s="89"/>
      <c r="L546" s="89"/>
      <c r="M546" s="89"/>
      <c r="N546" s="89"/>
      <c r="O546" s="89"/>
      <c r="P546" s="89"/>
      <c r="Q546" s="89"/>
      <c r="R546" s="89"/>
      <c r="S546" s="89"/>
      <c r="T546" s="89"/>
    </row>
    <row r="547" ht="15.75" customHeight="1">
      <c r="A547" s="89"/>
      <c r="B547" s="89"/>
      <c r="C547" s="89"/>
      <c r="D547" s="89"/>
      <c r="E547" s="89"/>
      <c r="F547" s="89"/>
      <c r="G547" s="89"/>
      <c r="H547" s="89"/>
      <c r="I547" s="89"/>
      <c r="J547" s="89"/>
      <c r="K547" s="89"/>
      <c r="L547" s="89"/>
      <c r="M547" s="89"/>
      <c r="N547" s="89"/>
      <c r="O547" s="89"/>
      <c r="P547" s="89"/>
      <c r="Q547" s="89"/>
      <c r="R547" s="89"/>
      <c r="S547" s="89"/>
      <c r="T547" s="89"/>
    </row>
    <row r="548" ht="15.75" customHeight="1">
      <c r="A548" s="89"/>
      <c r="B548" s="89"/>
      <c r="C548" s="89"/>
      <c r="D548" s="89"/>
      <c r="E548" s="89"/>
      <c r="F548" s="89"/>
      <c r="G548" s="89"/>
      <c r="H548" s="89"/>
      <c r="I548" s="89"/>
      <c r="J548" s="89"/>
      <c r="K548" s="89"/>
      <c r="L548" s="89"/>
      <c r="M548" s="89"/>
      <c r="N548" s="89"/>
      <c r="O548" s="89"/>
      <c r="P548" s="89"/>
      <c r="Q548" s="89"/>
      <c r="R548" s="89"/>
      <c r="S548" s="89"/>
      <c r="T548" s="89"/>
    </row>
    <row r="549" ht="15.75" customHeight="1">
      <c r="A549" s="89"/>
      <c r="B549" s="89"/>
      <c r="C549" s="89"/>
      <c r="D549" s="89"/>
      <c r="E549" s="89"/>
      <c r="F549" s="89"/>
      <c r="G549" s="89"/>
      <c r="H549" s="89"/>
      <c r="I549" s="89"/>
      <c r="J549" s="89"/>
      <c r="K549" s="89"/>
      <c r="L549" s="89"/>
      <c r="M549" s="89"/>
      <c r="N549" s="89"/>
      <c r="O549" s="89"/>
      <c r="P549" s="89"/>
      <c r="Q549" s="89"/>
      <c r="R549" s="89"/>
      <c r="S549" s="89"/>
      <c r="T549" s="89"/>
    </row>
    <row r="550" ht="15.75" customHeight="1">
      <c r="A550" s="89"/>
      <c r="B550" s="89"/>
      <c r="C550" s="89"/>
      <c r="D550" s="89"/>
      <c r="E550" s="89"/>
      <c r="F550" s="89"/>
      <c r="G550" s="89"/>
      <c r="H550" s="89"/>
      <c r="I550" s="89"/>
      <c r="J550" s="89"/>
      <c r="K550" s="89"/>
      <c r="L550" s="89"/>
      <c r="M550" s="89"/>
      <c r="N550" s="89"/>
      <c r="O550" s="89"/>
      <c r="P550" s="89"/>
      <c r="Q550" s="89"/>
      <c r="R550" s="89"/>
      <c r="S550" s="89"/>
      <c r="T550" s="89"/>
    </row>
    <row r="551" ht="15.75" customHeight="1">
      <c r="A551" s="89"/>
      <c r="B551" s="89"/>
      <c r="C551" s="89"/>
      <c r="D551" s="89"/>
      <c r="E551" s="89"/>
      <c r="F551" s="89"/>
      <c r="G551" s="89"/>
      <c r="H551" s="89"/>
      <c r="I551" s="89"/>
      <c r="J551" s="89"/>
      <c r="K551" s="89"/>
      <c r="L551" s="89"/>
      <c r="M551" s="89"/>
      <c r="N551" s="89"/>
      <c r="O551" s="89"/>
      <c r="P551" s="89"/>
      <c r="Q551" s="89"/>
      <c r="R551" s="89"/>
      <c r="S551" s="89"/>
      <c r="T551" s="89"/>
    </row>
    <row r="552" ht="15.75" customHeight="1">
      <c r="A552" s="89"/>
      <c r="B552" s="89"/>
      <c r="C552" s="89"/>
      <c r="D552" s="89"/>
      <c r="E552" s="89"/>
      <c r="F552" s="89"/>
      <c r="G552" s="89"/>
      <c r="H552" s="89"/>
      <c r="I552" s="89"/>
      <c r="J552" s="89"/>
      <c r="K552" s="89"/>
      <c r="L552" s="89"/>
      <c r="M552" s="89"/>
      <c r="N552" s="89"/>
      <c r="O552" s="89"/>
      <c r="P552" s="89"/>
      <c r="Q552" s="89"/>
      <c r="R552" s="89"/>
      <c r="S552" s="89"/>
      <c r="T552" s="89"/>
    </row>
    <row r="553" ht="15.75" customHeight="1">
      <c r="A553" s="89"/>
      <c r="B553" s="89"/>
      <c r="C553" s="89"/>
      <c r="D553" s="89"/>
      <c r="E553" s="89"/>
      <c r="F553" s="89"/>
      <c r="G553" s="89"/>
      <c r="H553" s="89"/>
      <c r="I553" s="89"/>
      <c r="J553" s="89"/>
      <c r="K553" s="89"/>
      <c r="L553" s="89"/>
      <c r="M553" s="89"/>
      <c r="N553" s="89"/>
      <c r="O553" s="89"/>
      <c r="P553" s="89"/>
      <c r="Q553" s="89"/>
      <c r="R553" s="89"/>
      <c r="S553" s="89"/>
      <c r="T553" s="89"/>
    </row>
    <row r="554" ht="15.75" customHeight="1">
      <c r="A554" s="89"/>
      <c r="B554" s="89"/>
      <c r="C554" s="89"/>
      <c r="D554" s="89"/>
      <c r="E554" s="89"/>
      <c r="F554" s="89"/>
      <c r="G554" s="89"/>
      <c r="H554" s="89"/>
      <c r="I554" s="89"/>
      <c r="J554" s="89"/>
      <c r="K554" s="89"/>
      <c r="L554" s="89"/>
      <c r="M554" s="89"/>
      <c r="N554" s="89"/>
      <c r="O554" s="89"/>
      <c r="P554" s="89"/>
      <c r="Q554" s="89"/>
      <c r="R554" s="89"/>
      <c r="S554" s="89"/>
      <c r="T554" s="89"/>
    </row>
    <row r="555" ht="15.75" customHeight="1">
      <c r="A555" s="89"/>
      <c r="B555" s="89"/>
      <c r="C555" s="89"/>
      <c r="D555" s="89"/>
      <c r="E555" s="89"/>
      <c r="F555" s="89"/>
      <c r="G555" s="89"/>
      <c r="H555" s="89"/>
      <c r="I555" s="89"/>
      <c r="J555" s="89"/>
      <c r="K555" s="89"/>
      <c r="L555" s="89"/>
      <c r="M555" s="89"/>
      <c r="N555" s="89"/>
      <c r="O555" s="89"/>
      <c r="P555" s="89"/>
      <c r="Q555" s="89"/>
      <c r="R555" s="89"/>
      <c r="S555" s="89"/>
      <c r="T555" s="89"/>
    </row>
    <row r="556" ht="15.75" customHeight="1">
      <c r="A556" s="89"/>
      <c r="B556" s="89"/>
      <c r="C556" s="89"/>
      <c r="D556" s="89"/>
      <c r="E556" s="89"/>
      <c r="F556" s="89"/>
      <c r="G556" s="89"/>
      <c r="H556" s="89"/>
      <c r="I556" s="89"/>
      <c r="J556" s="89"/>
      <c r="K556" s="89"/>
      <c r="L556" s="89"/>
      <c r="M556" s="89"/>
      <c r="N556" s="89"/>
      <c r="O556" s="89"/>
      <c r="P556" s="89"/>
      <c r="Q556" s="89"/>
      <c r="R556" s="89"/>
      <c r="S556" s="89"/>
      <c r="T556" s="89"/>
    </row>
    <row r="557" ht="15.75" customHeight="1">
      <c r="A557" s="89"/>
      <c r="B557" s="89"/>
      <c r="C557" s="89"/>
      <c r="D557" s="89"/>
      <c r="E557" s="89"/>
      <c r="F557" s="89"/>
      <c r="G557" s="89"/>
      <c r="H557" s="89"/>
      <c r="I557" s="89"/>
      <c r="J557" s="89"/>
      <c r="K557" s="89"/>
      <c r="L557" s="89"/>
      <c r="M557" s="89"/>
      <c r="N557" s="89"/>
      <c r="O557" s="89"/>
      <c r="P557" s="89"/>
      <c r="Q557" s="89"/>
      <c r="R557" s="89"/>
      <c r="S557" s="89"/>
      <c r="T557" s="89"/>
    </row>
    <row r="558" ht="15.75" customHeight="1">
      <c r="A558" s="89"/>
      <c r="B558" s="89"/>
      <c r="C558" s="89"/>
      <c r="D558" s="89"/>
      <c r="E558" s="89"/>
      <c r="F558" s="89"/>
      <c r="G558" s="89"/>
      <c r="H558" s="89"/>
      <c r="I558" s="89"/>
      <c r="J558" s="89"/>
      <c r="K558" s="89"/>
      <c r="L558" s="89"/>
      <c r="M558" s="89"/>
      <c r="N558" s="89"/>
      <c r="O558" s="89"/>
      <c r="P558" s="89"/>
      <c r="Q558" s="89"/>
      <c r="R558" s="89"/>
      <c r="S558" s="89"/>
      <c r="T558" s="89"/>
    </row>
    <row r="559" ht="15.75" customHeight="1">
      <c r="A559" s="89"/>
      <c r="B559" s="89"/>
      <c r="C559" s="89"/>
      <c r="D559" s="89"/>
      <c r="E559" s="89"/>
      <c r="F559" s="89"/>
      <c r="G559" s="89"/>
      <c r="H559" s="89"/>
      <c r="I559" s="89"/>
      <c r="J559" s="89"/>
      <c r="K559" s="89"/>
      <c r="L559" s="89"/>
      <c r="M559" s="89"/>
      <c r="N559" s="89"/>
      <c r="O559" s="89"/>
      <c r="P559" s="89"/>
      <c r="Q559" s="89"/>
      <c r="R559" s="89"/>
      <c r="S559" s="89"/>
      <c r="T559" s="89"/>
    </row>
    <row r="560" ht="15.75" customHeight="1">
      <c r="A560" s="89"/>
      <c r="B560" s="89"/>
      <c r="C560" s="89"/>
      <c r="D560" s="89"/>
      <c r="E560" s="89"/>
      <c r="F560" s="89"/>
      <c r="G560" s="89"/>
      <c r="H560" s="89"/>
      <c r="I560" s="89"/>
      <c r="J560" s="89"/>
      <c r="K560" s="89"/>
      <c r="L560" s="89"/>
      <c r="M560" s="89"/>
      <c r="N560" s="89"/>
      <c r="O560" s="89"/>
      <c r="P560" s="89"/>
      <c r="Q560" s="89"/>
      <c r="R560" s="89"/>
      <c r="S560" s="89"/>
      <c r="T560" s="89"/>
    </row>
    <row r="561" ht="15.75" customHeight="1">
      <c r="A561" s="89"/>
      <c r="B561" s="89"/>
      <c r="C561" s="89"/>
      <c r="D561" s="89"/>
      <c r="E561" s="89"/>
      <c r="F561" s="89"/>
      <c r="G561" s="89"/>
      <c r="H561" s="89"/>
      <c r="I561" s="89"/>
      <c r="J561" s="89"/>
      <c r="K561" s="89"/>
      <c r="L561" s="89"/>
      <c r="M561" s="89"/>
      <c r="N561" s="89"/>
      <c r="O561" s="89"/>
      <c r="P561" s="89"/>
      <c r="Q561" s="89"/>
      <c r="R561" s="89"/>
      <c r="S561" s="89"/>
      <c r="T561" s="89"/>
    </row>
    <row r="562" ht="15.75" customHeight="1">
      <c r="A562" s="89"/>
      <c r="B562" s="89"/>
      <c r="C562" s="89"/>
      <c r="D562" s="89"/>
      <c r="E562" s="89"/>
      <c r="F562" s="89"/>
      <c r="G562" s="89"/>
      <c r="H562" s="89"/>
      <c r="I562" s="89"/>
      <c r="J562" s="89"/>
      <c r="K562" s="89"/>
      <c r="L562" s="89"/>
      <c r="M562" s="89"/>
      <c r="N562" s="89"/>
      <c r="O562" s="89"/>
      <c r="P562" s="89"/>
      <c r="Q562" s="89"/>
      <c r="R562" s="89"/>
      <c r="S562" s="89"/>
      <c r="T562" s="89"/>
    </row>
    <row r="563" ht="15.75" customHeight="1">
      <c r="A563" s="89"/>
      <c r="B563" s="89"/>
      <c r="C563" s="89"/>
      <c r="D563" s="89"/>
      <c r="E563" s="89"/>
      <c r="F563" s="89"/>
      <c r="G563" s="89"/>
      <c r="H563" s="89"/>
      <c r="I563" s="89"/>
      <c r="J563" s="89"/>
      <c r="K563" s="89"/>
      <c r="L563" s="89"/>
      <c r="M563" s="89"/>
      <c r="N563" s="89"/>
      <c r="O563" s="89"/>
      <c r="P563" s="89"/>
      <c r="Q563" s="89"/>
      <c r="R563" s="89"/>
      <c r="S563" s="89"/>
      <c r="T563" s="89"/>
    </row>
    <row r="564" ht="15.75" customHeight="1">
      <c r="A564" s="89"/>
      <c r="B564" s="89"/>
      <c r="C564" s="89"/>
      <c r="D564" s="89"/>
      <c r="E564" s="89"/>
      <c r="F564" s="89"/>
      <c r="G564" s="89"/>
      <c r="H564" s="89"/>
      <c r="I564" s="89"/>
      <c r="J564" s="89"/>
      <c r="K564" s="89"/>
      <c r="L564" s="89"/>
      <c r="M564" s="89"/>
      <c r="N564" s="89"/>
      <c r="O564" s="89"/>
      <c r="P564" s="89"/>
      <c r="Q564" s="89"/>
      <c r="R564" s="89"/>
      <c r="S564" s="89"/>
      <c r="T564" s="89"/>
    </row>
    <row r="565" ht="15.75" customHeight="1">
      <c r="A565" s="89"/>
      <c r="B565" s="89"/>
      <c r="C565" s="89"/>
      <c r="D565" s="89"/>
      <c r="E565" s="89"/>
      <c r="F565" s="89"/>
      <c r="G565" s="89"/>
      <c r="H565" s="89"/>
      <c r="I565" s="89"/>
      <c r="J565" s="89"/>
      <c r="K565" s="89"/>
      <c r="L565" s="89"/>
      <c r="M565" s="89"/>
      <c r="N565" s="89"/>
      <c r="O565" s="89"/>
      <c r="P565" s="89"/>
      <c r="Q565" s="89"/>
      <c r="R565" s="89"/>
      <c r="S565" s="89"/>
      <c r="T565" s="89"/>
    </row>
    <row r="566" ht="15.75" customHeight="1">
      <c r="A566" s="89"/>
      <c r="B566" s="89"/>
      <c r="C566" s="89"/>
      <c r="D566" s="89"/>
      <c r="E566" s="89"/>
      <c r="F566" s="89"/>
      <c r="G566" s="89"/>
      <c r="H566" s="89"/>
      <c r="I566" s="89"/>
      <c r="J566" s="89"/>
      <c r="K566" s="89"/>
      <c r="L566" s="89"/>
      <c r="M566" s="89"/>
      <c r="N566" s="89"/>
      <c r="O566" s="89"/>
      <c r="P566" s="89"/>
      <c r="Q566" s="89"/>
      <c r="R566" s="89"/>
      <c r="S566" s="89"/>
      <c r="T566" s="89"/>
    </row>
    <row r="567" ht="15.75" customHeight="1">
      <c r="A567" s="89"/>
      <c r="B567" s="89"/>
      <c r="C567" s="89"/>
      <c r="D567" s="89"/>
      <c r="E567" s="89"/>
      <c r="F567" s="89"/>
      <c r="G567" s="89"/>
      <c r="H567" s="89"/>
      <c r="I567" s="89"/>
      <c r="J567" s="89"/>
      <c r="K567" s="89"/>
      <c r="L567" s="89"/>
      <c r="M567" s="89"/>
      <c r="N567" s="89"/>
      <c r="O567" s="89"/>
      <c r="P567" s="89"/>
      <c r="Q567" s="89"/>
      <c r="R567" s="89"/>
      <c r="S567" s="89"/>
      <c r="T567" s="89"/>
    </row>
    <row r="568" ht="15.75" customHeight="1">
      <c r="A568" s="89"/>
      <c r="B568" s="89"/>
      <c r="C568" s="89"/>
      <c r="D568" s="89"/>
      <c r="E568" s="89"/>
      <c r="F568" s="89"/>
      <c r="G568" s="89"/>
      <c r="H568" s="89"/>
      <c r="I568" s="89"/>
      <c r="J568" s="89"/>
      <c r="K568" s="89"/>
      <c r="L568" s="89"/>
      <c r="M568" s="89"/>
      <c r="N568" s="89"/>
      <c r="O568" s="89"/>
      <c r="P568" s="89"/>
      <c r="Q568" s="89"/>
      <c r="R568" s="89"/>
      <c r="S568" s="89"/>
      <c r="T568" s="89"/>
    </row>
    <row r="569" ht="15.75" customHeight="1">
      <c r="A569" s="89"/>
      <c r="B569" s="89"/>
      <c r="C569" s="89"/>
      <c r="D569" s="89"/>
      <c r="E569" s="89"/>
      <c r="F569" s="89"/>
      <c r="G569" s="89"/>
      <c r="H569" s="89"/>
      <c r="I569" s="89"/>
      <c r="J569" s="89"/>
      <c r="K569" s="89"/>
      <c r="L569" s="89"/>
      <c r="M569" s="89"/>
      <c r="N569" s="89"/>
      <c r="O569" s="89"/>
      <c r="P569" s="89"/>
      <c r="Q569" s="89"/>
      <c r="R569" s="89"/>
      <c r="S569" s="89"/>
      <c r="T569" s="89"/>
    </row>
    <row r="570" ht="15.75" customHeight="1">
      <c r="A570" s="89"/>
      <c r="B570" s="89"/>
      <c r="C570" s="89"/>
      <c r="D570" s="89"/>
      <c r="E570" s="89"/>
      <c r="F570" s="89"/>
      <c r="G570" s="89"/>
      <c r="H570" s="89"/>
      <c r="I570" s="89"/>
      <c r="J570" s="89"/>
      <c r="K570" s="89"/>
      <c r="L570" s="89"/>
      <c r="M570" s="89"/>
      <c r="N570" s="89"/>
      <c r="O570" s="89"/>
      <c r="P570" s="89"/>
      <c r="Q570" s="89"/>
      <c r="R570" s="89"/>
      <c r="S570" s="89"/>
      <c r="T570" s="89"/>
    </row>
    <row r="571" ht="15.75" customHeight="1">
      <c r="A571" s="89"/>
      <c r="B571" s="89"/>
      <c r="C571" s="89"/>
      <c r="D571" s="89"/>
      <c r="E571" s="89"/>
      <c r="F571" s="89"/>
      <c r="G571" s="89"/>
      <c r="H571" s="89"/>
      <c r="I571" s="89"/>
      <c r="J571" s="89"/>
      <c r="K571" s="89"/>
      <c r="L571" s="89"/>
      <c r="M571" s="89"/>
      <c r="N571" s="89"/>
      <c r="O571" s="89"/>
      <c r="P571" s="89"/>
      <c r="Q571" s="89"/>
      <c r="R571" s="89"/>
      <c r="S571" s="89"/>
      <c r="T571" s="89"/>
    </row>
    <row r="572" ht="15.75" customHeight="1">
      <c r="A572" s="89"/>
      <c r="B572" s="89"/>
      <c r="C572" s="89"/>
      <c r="D572" s="89"/>
      <c r="E572" s="89"/>
      <c r="F572" s="89"/>
      <c r="G572" s="89"/>
      <c r="H572" s="89"/>
      <c r="I572" s="89"/>
      <c r="J572" s="89"/>
      <c r="K572" s="89"/>
      <c r="L572" s="89"/>
      <c r="M572" s="89"/>
      <c r="N572" s="89"/>
      <c r="O572" s="89"/>
      <c r="P572" s="89"/>
      <c r="Q572" s="89"/>
      <c r="R572" s="89"/>
      <c r="S572" s="89"/>
      <c r="T572" s="89"/>
    </row>
    <row r="573" ht="15.75" customHeight="1">
      <c r="A573" s="89"/>
      <c r="B573" s="89"/>
      <c r="C573" s="89"/>
      <c r="D573" s="89"/>
      <c r="E573" s="89"/>
      <c r="F573" s="89"/>
      <c r="G573" s="89"/>
      <c r="H573" s="89"/>
      <c r="I573" s="89"/>
      <c r="J573" s="89"/>
      <c r="K573" s="89"/>
      <c r="L573" s="89"/>
      <c r="M573" s="89"/>
      <c r="N573" s="89"/>
      <c r="O573" s="89"/>
      <c r="P573" s="89"/>
      <c r="Q573" s="89"/>
      <c r="R573" s="89"/>
      <c r="S573" s="89"/>
      <c r="T573" s="89"/>
    </row>
    <row r="574" ht="15.75" customHeight="1">
      <c r="A574" s="89"/>
      <c r="B574" s="89"/>
      <c r="C574" s="89"/>
      <c r="D574" s="89"/>
      <c r="E574" s="89"/>
      <c r="F574" s="89"/>
      <c r="G574" s="89"/>
      <c r="H574" s="89"/>
      <c r="I574" s="89"/>
      <c r="J574" s="89"/>
      <c r="K574" s="89"/>
      <c r="L574" s="89"/>
      <c r="M574" s="89"/>
      <c r="N574" s="89"/>
      <c r="O574" s="89"/>
      <c r="P574" s="89"/>
      <c r="Q574" s="89"/>
      <c r="R574" s="89"/>
      <c r="S574" s="89"/>
      <c r="T574" s="89"/>
    </row>
    <row r="575" ht="15.75" customHeight="1">
      <c r="A575" s="89"/>
      <c r="B575" s="89"/>
      <c r="C575" s="89"/>
      <c r="D575" s="89"/>
      <c r="E575" s="89"/>
      <c r="F575" s="89"/>
      <c r="G575" s="89"/>
      <c r="H575" s="89"/>
      <c r="I575" s="89"/>
      <c r="J575" s="89"/>
      <c r="K575" s="89"/>
      <c r="L575" s="89"/>
      <c r="M575" s="89"/>
      <c r="N575" s="89"/>
      <c r="O575" s="89"/>
      <c r="P575" s="89"/>
      <c r="Q575" s="89"/>
      <c r="R575" s="89"/>
      <c r="S575" s="89"/>
      <c r="T575" s="89"/>
    </row>
    <row r="576" ht="15.75" customHeight="1">
      <c r="A576" s="89"/>
      <c r="B576" s="89"/>
      <c r="C576" s="89"/>
      <c r="D576" s="89"/>
      <c r="E576" s="89"/>
      <c r="F576" s="89"/>
      <c r="G576" s="89"/>
      <c r="H576" s="89"/>
      <c r="I576" s="89"/>
      <c r="J576" s="89"/>
      <c r="K576" s="89"/>
      <c r="L576" s="89"/>
      <c r="M576" s="89"/>
      <c r="N576" s="89"/>
      <c r="O576" s="89"/>
      <c r="P576" s="89"/>
      <c r="Q576" s="89"/>
      <c r="R576" s="89"/>
      <c r="S576" s="89"/>
      <c r="T576" s="89"/>
    </row>
    <row r="577" ht="15.75" customHeight="1">
      <c r="A577" s="89"/>
      <c r="B577" s="89"/>
      <c r="C577" s="89"/>
      <c r="D577" s="89"/>
      <c r="E577" s="89"/>
      <c r="F577" s="89"/>
      <c r="G577" s="89"/>
      <c r="H577" s="89"/>
      <c r="I577" s="89"/>
      <c r="J577" s="89"/>
      <c r="K577" s="89"/>
      <c r="L577" s="89"/>
      <c r="M577" s="89"/>
      <c r="N577" s="89"/>
      <c r="O577" s="89"/>
      <c r="P577" s="89"/>
      <c r="Q577" s="89"/>
      <c r="R577" s="89"/>
      <c r="S577" s="89"/>
      <c r="T577" s="89"/>
    </row>
    <row r="578" ht="15.75" customHeight="1">
      <c r="A578" s="89"/>
      <c r="B578" s="89"/>
      <c r="C578" s="89"/>
      <c r="D578" s="89"/>
      <c r="E578" s="89"/>
      <c r="F578" s="89"/>
      <c r="G578" s="89"/>
      <c r="H578" s="89"/>
      <c r="I578" s="89"/>
      <c r="J578" s="89"/>
      <c r="K578" s="89"/>
      <c r="L578" s="89"/>
      <c r="M578" s="89"/>
      <c r="N578" s="89"/>
      <c r="O578" s="89"/>
      <c r="P578" s="89"/>
      <c r="Q578" s="89"/>
      <c r="R578" s="89"/>
      <c r="S578" s="89"/>
      <c r="T578" s="89"/>
    </row>
    <row r="579" ht="15.75" customHeight="1">
      <c r="A579" s="89"/>
      <c r="B579" s="89"/>
      <c r="C579" s="89"/>
      <c r="D579" s="89"/>
      <c r="E579" s="89"/>
      <c r="F579" s="89"/>
      <c r="G579" s="89"/>
      <c r="H579" s="89"/>
      <c r="I579" s="89"/>
      <c r="J579" s="89"/>
      <c r="K579" s="89"/>
      <c r="L579" s="89"/>
      <c r="M579" s="89"/>
      <c r="N579" s="89"/>
      <c r="O579" s="89"/>
      <c r="P579" s="89"/>
      <c r="Q579" s="89"/>
      <c r="R579" s="89"/>
      <c r="S579" s="89"/>
      <c r="T579" s="89"/>
    </row>
    <row r="580" ht="15.75" customHeight="1">
      <c r="A580" s="89"/>
      <c r="B580" s="89"/>
      <c r="C580" s="89"/>
      <c r="D580" s="89"/>
      <c r="E580" s="89"/>
      <c r="F580" s="89"/>
      <c r="G580" s="89"/>
      <c r="H580" s="89"/>
      <c r="I580" s="89"/>
      <c r="J580" s="89"/>
      <c r="K580" s="89"/>
      <c r="L580" s="89"/>
      <c r="M580" s="89"/>
      <c r="N580" s="89"/>
      <c r="O580" s="89"/>
      <c r="P580" s="89"/>
      <c r="Q580" s="89"/>
      <c r="R580" s="89"/>
      <c r="S580" s="89"/>
      <c r="T580" s="89"/>
    </row>
    <row r="581" ht="15.75" customHeight="1">
      <c r="A581" s="89"/>
      <c r="B581" s="89"/>
      <c r="C581" s="89"/>
      <c r="D581" s="89"/>
      <c r="E581" s="89"/>
      <c r="F581" s="89"/>
      <c r="G581" s="89"/>
      <c r="H581" s="89"/>
      <c r="I581" s="89"/>
      <c r="J581" s="89"/>
      <c r="K581" s="89"/>
      <c r="L581" s="89"/>
      <c r="M581" s="89"/>
      <c r="N581" s="89"/>
      <c r="O581" s="89"/>
      <c r="P581" s="89"/>
      <c r="Q581" s="89"/>
      <c r="R581" s="89"/>
      <c r="S581" s="89"/>
      <c r="T581" s="89"/>
    </row>
    <row r="582" ht="15.75" customHeight="1">
      <c r="A582" s="89"/>
      <c r="B582" s="89"/>
      <c r="C582" s="89"/>
      <c r="D582" s="89"/>
      <c r="E582" s="89"/>
      <c r="F582" s="89"/>
      <c r="G582" s="89"/>
      <c r="H582" s="89"/>
      <c r="I582" s="89"/>
      <c r="J582" s="89"/>
      <c r="K582" s="89"/>
      <c r="L582" s="89"/>
      <c r="M582" s="89"/>
      <c r="N582" s="89"/>
      <c r="O582" s="89"/>
      <c r="P582" s="89"/>
      <c r="Q582" s="89"/>
      <c r="R582" s="89"/>
      <c r="S582" s="89"/>
      <c r="T582" s="89"/>
    </row>
    <row r="583" ht="15.75" customHeight="1">
      <c r="A583" s="89"/>
      <c r="B583" s="89"/>
      <c r="C583" s="89"/>
      <c r="D583" s="89"/>
      <c r="E583" s="89"/>
      <c r="F583" s="89"/>
      <c r="G583" s="89"/>
      <c r="H583" s="89"/>
      <c r="I583" s="89"/>
      <c r="J583" s="89"/>
      <c r="K583" s="89"/>
      <c r="L583" s="89"/>
      <c r="M583" s="89"/>
      <c r="N583" s="89"/>
      <c r="O583" s="89"/>
      <c r="P583" s="89"/>
      <c r="Q583" s="89"/>
      <c r="R583" s="89"/>
      <c r="S583" s="89"/>
      <c r="T583" s="89"/>
    </row>
    <row r="584" ht="15.75" customHeight="1">
      <c r="A584" s="89"/>
      <c r="B584" s="89"/>
      <c r="C584" s="89"/>
      <c r="D584" s="89"/>
      <c r="E584" s="89"/>
      <c r="F584" s="89"/>
      <c r="G584" s="89"/>
      <c r="H584" s="89"/>
      <c r="I584" s="89"/>
      <c r="J584" s="89"/>
      <c r="K584" s="89"/>
      <c r="L584" s="89"/>
      <c r="M584" s="89"/>
      <c r="N584" s="89"/>
      <c r="O584" s="89"/>
      <c r="P584" s="89"/>
      <c r="Q584" s="89"/>
      <c r="R584" s="89"/>
      <c r="S584" s="89"/>
      <c r="T584" s="89"/>
    </row>
    <row r="585" ht="15.75" customHeight="1">
      <c r="A585" s="89"/>
      <c r="B585" s="89"/>
      <c r="C585" s="89"/>
      <c r="D585" s="89"/>
      <c r="E585" s="89"/>
      <c r="F585" s="89"/>
      <c r="G585" s="89"/>
      <c r="H585" s="89"/>
      <c r="I585" s="89"/>
      <c r="J585" s="89"/>
      <c r="K585" s="89"/>
      <c r="L585" s="89"/>
      <c r="M585" s="89"/>
      <c r="N585" s="89"/>
      <c r="O585" s="89"/>
      <c r="P585" s="89"/>
      <c r="Q585" s="89"/>
      <c r="R585" s="89"/>
      <c r="S585" s="89"/>
      <c r="T585" s="89"/>
    </row>
    <row r="586" ht="15.75" customHeight="1">
      <c r="A586" s="89"/>
      <c r="B586" s="89"/>
      <c r="C586" s="89"/>
      <c r="D586" s="89"/>
      <c r="E586" s="89"/>
      <c r="F586" s="89"/>
      <c r="G586" s="89"/>
      <c r="H586" s="89"/>
      <c r="I586" s="89"/>
      <c r="J586" s="89"/>
      <c r="K586" s="89"/>
      <c r="L586" s="89"/>
      <c r="M586" s="89"/>
      <c r="N586" s="89"/>
      <c r="O586" s="89"/>
      <c r="P586" s="89"/>
      <c r="Q586" s="89"/>
      <c r="R586" s="89"/>
      <c r="S586" s="89"/>
      <c r="T586" s="89"/>
    </row>
    <row r="587" ht="15.75" customHeight="1">
      <c r="A587" s="89"/>
      <c r="B587" s="89"/>
      <c r="C587" s="89"/>
      <c r="D587" s="89"/>
      <c r="E587" s="89"/>
      <c r="F587" s="89"/>
      <c r="G587" s="89"/>
      <c r="H587" s="89"/>
      <c r="I587" s="89"/>
      <c r="J587" s="89"/>
      <c r="K587" s="89"/>
      <c r="L587" s="89"/>
      <c r="M587" s="89"/>
      <c r="N587" s="89"/>
      <c r="O587" s="89"/>
      <c r="P587" s="89"/>
      <c r="Q587" s="89"/>
      <c r="R587" s="89"/>
      <c r="S587" s="89"/>
      <c r="T587" s="89"/>
    </row>
    <row r="588" ht="15.75" customHeight="1">
      <c r="A588" s="89"/>
      <c r="B588" s="89"/>
      <c r="C588" s="89"/>
      <c r="D588" s="89"/>
      <c r="E588" s="89"/>
      <c r="F588" s="89"/>
      <c r="G588" s="89"/>
      <c r="H588" s="89"/>
      <c r="I588" s="89"/>
      <c r="J588" s="89"/>
      <c r="K588" s="89"/>
      <c r="L588" s="89"/>
      <c r="M588" s="89"/>
      <c r="N588" s="89"/>
      <c r="O588" s="89"/>
      <c r="P588" s="89"/>
      <c r="Q588" s="89"/>
      <c r="R588" s="89"/>
      <c r="S588" s="89"/>
      <c r="T588" s="89"/>
    </row>
    <row r="589" ht="15.75" customHeight="1">
      <c r="A589" s="89"/>
      <c r="B589" s="89"/>
      <c r="C589" s="89"/>
      <c r="D589" s="89"/>
      <c r="E589" s="89"/>
      <c r="F589" s="89"/>
      <c r="G589" s="89"/>
      <c r="H589" s="89"/>
      <c r="I589" s="89"/>
      <c r="J589" s="89"/>
      <c r="K589" s="89"/>
      <c r="L589" s="89"/>
      <c r="M589" s="89"/>
      <c r="N589" s="89"/>
      <c r="O589" s="89"/>
      <c r="P589" s="89"/>
      <c r="Q589" s="89"/>
      <c r="R589" s="89"/>
      <c r="S589" s="89"/>
      <c r="T589" s="89"/>
    </row>
    <row r="590" ht="15.75" customHeight="1">
      <c r="A590" s="89"/>
      <c r="B590" s="89"/>
      <c r="C590" s="89"/>
      <c r="D590" s="89"/>
      <c r="E590" s="89"/>
      <c r="F590" s="89"/>
      <c r="G590" s="89"/>
      <c r="H590" s="89"/>
      <c r="I590" s="89"/>
      <c r="J590" s="89"/>
      <c r="K590" s="89"/>
      <c r="L590" s="89"/>
      <c r="M590" s="89"/>
      <c r="N590" s="89"/>
      <c r="O590" s="89"/>
      <c r="P590" s="89"/>
      <c r="Q590" s="89"/>
      <c r="R590" s="89"/>
      <c r="S590" s="89"/>
      <c r="T590" s="89"/>
    </row>
    <row r="591" ht="15.75" customHeight="1">
      <c r="A591" s="89"/>
      <c r="B591" s="89"/>
      <c r="C591" s="89"/>
      <c r="D591" s="89"/>
      <c r="E591" s="89"/>
      <c r="F591" s="89"/>
      <c r="G591" s="89"/>
      <c r="H591" s="89"/>
      <c r="I591" s="89"/>
      <c r="J591" s="89"/>
      <c r="K591" s="89"/>
      <c r="L591" s="89"/>
      <c r="M591" s="89"/>
      <c r="N591" s="89"/>
      <c r="O591" s="89"/>
      <c r="P591" s="89"/>
      <c r="Q591" s="89"/>
      <c r="R591" s="89"/>
      <c r="S591" s="89"/>
      <c r="T591" s="89"/>
    </row>
    <row r="592" ht="15.75" customHeight="1">
      <c r="A592" s="89"/>
      <c r="B592" s="89"/>
      <c r="C592" s="89"/>
      <c r="D592" s="89"/>
      <c r="E592" s="89"/>
      <c r="F592" s="89"/>
      <c r="G592" s="89"/>
      <c r="H592" s="89"/>
      <c r="I592" s="89"/>
      <c r="J592" s="89"/>
      <c r="K592" s="89"/>
      <c r="L592" s="89"/>
      <c r="M592" s="89"/>
      <c r="N592" s="89"/>
      <c r="O592" s="89"/>
      <c r="P592" s="89"/>
      <c r="Q592" s="89"/>
      <c r="R592" s="89"/>
      <c r="S592" s="89"/>
      <c r="T592" s="89"/>
    </row>
    <row r="593" ht="15.75" customHeight="1">
      <c r="A593" s="89"/>
      <c r="B593" s="89"/>
      <c r="C593" s="89"/>
      <c r="D593" s="89"/>
      <c r="E593" s="89"/>
      <c r="F593" s="89"/>
      <c r="G593" s="89"/>
      <c r="H593" s="89"/>
      <c r="I593" s="89"/>
      <c r="J593" s="89"/>
      <c r="K593" s="89"/>
      <c r="L593" s="89"/>
      <c r="M593" s="89"/>
      <c r="N593" s="89"/>
      <c r="O593" s="89"/>
      <c r="P593" s="89"/>
      <c r="Q593" s="89"/>
      <c r="R593" s="89"/>
      <c r="S593" s="89"/>
      <c r="T593" s="89"/>
    </row>
    <row r="594" ht="15.75" customHeight="1">
      <c r="A594" s="89"/>
      <c r="B594" s="89"/>
      <c r="C594" s="89"/>
      <c r="D594" s="89"/>
      <c r="E594" s="89"/>
      <c r="F594" s="89"/>
      <c r="G594" s="89"/>
      <c r="H594" s="89"/>
      <c r="I594" s="89"/>
      <c r="J594" s="89"/>
      <c r="K594" s="89"/>
      <c r="L594" s="89"/>
      <c r="M594" s="89"/>
      <c r="N594" s="89"/>
      <c r="O594" s="89"/>
      <c r="P594" s="89"/>
      <c r="Q594" s="89"/>
      <c r="R594" s="89"/>
      <c r="S594" s="89"/>
      <c r="T594" s="89"/>
    </row>
    <row r="595" ht="15.75" customHeight="1">
      <c r="A595" s="89"/>
      <c r="B595" s="89"/>
      <c r="C595" s="89"/>
      <c r="D595" s="89"/>
      <c r="E595" s="89"/>
      <c r="F595" s="89"/>
      <c r="G595" s="89"/>
      <c r="H595" s="89"/>
      <c r="I595" s="89"/>
      <c r="J595" s="89"/>
      <c r="K595" s="89"/>
      <c r="L595" s="89"/>
      <c r="M595" s="89"/>
      <c r="N595" s="89"/>
      <c r="O595" s="89"/>
      <c r="P595" s="89"/>
      <c r="Q595" s="89"/>
      <c r="R595" s="89"/>
      <c r="S595" s="89"/>
      <c r="T595" s="89"/>
    </row>
    <row r="596" ht="15.75" customHeight="1">
      <c r="A596" s="89"/>
      <c r="B596" s="89"/>
      <c r="C596" s="89"/>
      <c r="D596" s="89"/>
      <c r="E596" s="89"/>
      <c r="F596" s="89"/>
      <c r="G596" s="89"/>
      <c r="H596" s="89"/>
      <c r="I596" s="89"/>
      <c r="J596" s="89"/>
      <c r="K596" s="89"/>
      <c r="L596" s="89"/>
      <c r="M596" s="89"/>
      <c r="N596" s="89"/>
      <c r="O596" s="89"/>
      <c r="P596" s="89"/>
      <c r="Q596" s="89"/>
      <c r="R596" s="89"/>
      <c r="S596" s="89"/>
      <c r="T596" s="89"/>
    </row>
    <row r="597" ht="15.75" customHeight="1">
      <c r="A597" s="89"/>
      <c r="B597" s="89"/>
      <c r="C597" s="89"/>
      <c r="D597" s="89"/>
      <c r="E597" s="89"/>
      <c r="F597" s="89"/>
      <c r="G597" s="89"/>
      <c r="H597" s="89"/>
      <c r="I597" s="89"/>
      <c r="J597" s="89"/>
      <c r="K597" s="89"/>
      <c r="L597" s="89"/>
      <c r="M597" s="89"/>
      <c r="N597" s="89"/>
      <c r="O597" s="89"/>
      <c r="P597" s="89"/>
      <c r="Q597" s="89"/>
      <c r="R597" s="89"/>
      <c r="S597" s="89"/>
      <c r="T597" s="89"/>
    </row>
    <row r="598" ht="15.75" customHeight="1">
      <c r="A598" s="89"/>
      <c r="B598" s="89"/>
      <c r="C598" s="89"/>
      <c r="D598" s="89"/>
      <c r="E598" s="89"/>
      <c r="F598" s="89"/>
      <c r="G598" s="89"/>
      <c r="H598" s="89"/>
      <c r="I598" s="89"/>
      <c r="J598" s="89"/>
      <c r="K598" s="89"/>
      <c r="L598" s="89"/>
      <c r="M598" s="89"/>
      <c r="N598" s="89"/>
      <c r="O598" s="89"/>
      <c r="P598" s="89"/>
      <c r="Q598" s="89"/>
      <c r="R598" s="89"/>
      <c r="S598" s="89"/>
      <c r="T598" s="89"/>
    </row>
    <row r="599" ht="15.75" customHeight="1">
      <c r="A599" s="89"/>
      <c r="B599" s="89"/>
      <c r="C599" s="89"/>
      <c r="D599" s="89"/>
      <c r="E599" s="89"/>
      <c r="F599" s="89"/>
      <c r="G599" s="89"/>
      <c r="H599" s="89"/>
      <c r="I599" s="89"/>
      <c r="J599" s="89"/>
      <c r="K599" s="89"/>
      <c r="L599" s="89"/>
      <c r="M599" s="89"/>
      <c r="N599" s="89"/>
      <c r="O599" s="89"/>
      <c r="P599" s="89"/>
      <c r="Q599" s="89"/>
      <c r="R599" s="89"/>
      <c r="S599" s="89"/>
      <c r="T599" s="89"/>
    </row>
    <row r="600" ht="15.75" customHeight="1">
      <c r="A600" s="89"/>
      <c r="B600" s="89"/>
      <c r="C600" s="89"/>
      <c r="D600" s="89"/>
      <c r="E600" s="89"/>
      <c r="F600" s="89"/>
      <c r="G600" s="89"/>
      <c r="H600" s="89"/>
      <c r="I600" s="89"/>
      <c r="J600" s="89"/>
      <c r="K600" s="89"/>
      <c r="L600" s="89"/>
      <c r="M600" s="89"/>
      <c r="N600" s="89"/>
      <c r="O600" s="89"/>
      <c r="P600" s="89"/>
      <c r="Q600" s="89"/>
      <c r="R600" s="89"/>
      <c r="S600" s="89"/>
      <c r="T600" s="89"/>
    </row>
    <row r="601" ht="15.75" customHeight="1">
      <c r="A601" s="89"/>
      <c r="B601" s="89"/>
      <c r="C601" s="89"/>
      <c r="D601" s="89"/>
      <c r="E601" s="89"/>
      <c r="F601" s="89"/>
      <c r="G601" s="89"/>
      <c r="H601" s="89"/>
      <c r="I601" s="89"/>
      <c r="J601" s="89"/>
      <c r="K601" s="89"/>
      <c r="L601" s="89"/>
      <c r="M601" s="89"/>
      <c r="N601" s="89"/>
      <c r="O601" s="89"/>
      <c r="P601" s="89"/>
      <c r="Q601" s="89"/>
      <c r="R601" s="89"/>
      <c r="S601" s="89"/>
      <c r="T601" s="89"/>
    </row>
    <row r="602" ht="15.75" customHeight="1">
      <c r="A602" s="89"/>
      <c r="B602" s="89"/>
      <c r="C602" s="89"/>
      <c r="D602" s="89"/>
      <c r="E602" s="89"/>
      <c r="F602" s="89"/>
      <c r="G602" s="89"/>
      <c r="H602" s="89"/>
      <c r="I602" s="89"/>
      <c r="J602" s="89"/>
      <c r="K602" s="89"/>
      <c r="L602" s="89"/>
      <c r="M602" s="89"/>
      <c r="N602" s="89"/>
      <c r="O602" s="89"/>
      <c r="P602" s="89"/>
      <c r="Q602" s="89"/>
      <c r="R602" s="89"/>
      <c r="S602" s="89"/>
      <c r="T602" s="89"/>
    </row>
    <row r="603" ht="15.75" customHeight="1">
      <c r="A603" s="89"/>
      <c r="B603" s="89"/>
      <c r="C603" s="89"/>
      <c r="D603" s="89"/>
      <c r="E603" s="89"/>
      <c r="F603" s="89"/>
      <c r="G603" s="89"/>
      <c r="H603" s="89"/>
      <c r="I603" s="89"/>
      <c r="J603" s="89"/>
      <c r="K603" s="89"/>
      <c r="L603" s="89"/>
      <c r="M603" s="89"/>
      <c r="N603" s="89"/>
      <c r="O603" s="89"/>
      <c r="P603" s="89"/>
      <c r="Q603" s="89"/>
      <c r="R603" s="89"/>
      <c r="S603" s="89"/>
      <c r="T603" s="89"/>
    </row>
    <row r="604" ht="15.75" customHeight="1">
      <c r="A604" s="89"/>
      <c r="B604" s="89"/>
      <c r="C604" s="89"/>
      <c r="D604" s="89"/>
      <c r="E604" s="89"/>
      <c r="F604" s="89"/>
      <c r="G604" s="89"/>
      <c r="H604" s="89"/>
      <c r="I604" s="89"/>
      <c r="J604" s="89"/>
      <c r="K604" s="89"/>
      <c r="L604" s="89"/>
      <c r="M604" s="89"/>
      <c r="N604" s="89"/>
      <c r="O604" s="89"/>
      <c r="P604" s="89"/>
      <c r="Q604" s="89"/>
      <c r="R604" s="89"/>
      <c r="S604" s="89"/>
      <c r="T604" s="89"/>
    </row>
    <row r="605" ht="15.75" customHeight="1">
      <c r="A605" s="89"/>
      <c r="B605" s="89"/>
      <c r="C605" s="89"/>
      <c r="D605" s="89"/>
      <c r="E605" s="89"/>
      <c r="F605" s="89"/>
      <c r="G605" s="89"/>
      <c r="H605" s="89"/>
      <c r="I605" s="89"/>
      <c r="J605" s="89"/>
      <c r="K605" s="89"/>
      <c r="L605" s="89"/>
      <c r="M605" s="89"/>
      <c r="N605" s="89"/>
      <c r="O605" s="89"/>
      <c r="P605" s="89"/>
      <c r="Q605" s="89"/>
      <c r="R605" s="89"/>
      <c r="S605" s="89"/>
      <c r="T605" s="89"/>
    </row>
    <row r="606" ht="15.75" customHeight="1">
      <c r="A606" s="89"/>
      <c r="B606" s="89"/>
      <c r="C606" s="89"/>
      <c r="D606" s="89"/>
      <c r="E606" s="89"/>
      <c r="F606" s="89"/>
      <c r="G606" s="89"/>
      <c r="H606" s="89"/>
      <c r="I606" s="89"/>
      <c r="J606" s="89"/>
      <c r="K606" s="89"/>
      <c r="L606" s="89"/>
      <c r="M606" s="89"/>
      <c r="N606" s="89"/>
      <c r="O606" s="89"/>
      <c r="P606" s="89"/>
      <c r="Q606" s="89"/>
      <c r="R606" s="89"/>
      <c r="S606" s="89"/>
      <c r="T606" s="89"/>
    </row>
    <row r="607" ht="15.75" customHeight="1">
      <c r="A607" s="89"/>
      <c r="B607" s="89"/>
      <c r="C607" s="89"/>
      <c r="D607" s="89"/>
      <c r="E607" s="89"/>
      <c r="F607" s="89"/>
      <c r="G607" s="89"/>
      <c r="H607" s="89"/>
      <c r="I607" s="89"/>
      <c r="J607" s="89"/>
      <c r="K607" s="89"/>
      <c r="L607" s="89"/>
      <c r="M607" s="89"/>
      <c r="N607" s="89"/>
      <c r="O607" s="89"/>
      <c r="P607" s="89"/>
      <c r="Q607" s="89"/>
      <c r="R607" s="89"/>
      <c r="S607" s="89"/>
      <c r="T607" s="89"/>
    </row>
    <row r="608" ht="15.75" customHeight="1">
      <c r="A608" s="89"/>
      <c r="B608" s="89"/>
      <c r="C608" s="89"/>
      <c r="D608" s="89"/>
      <c r="E608" s="89"/>
      <c r="F608" s="89"/>
      <c r="G608" s="89"/>
      <c r="H608" s="89"/>
      <c r="I608" s="89"/>
      <c r="J608" s="89"/>
      <c r="K608" s="89"/>
      <c r="L608" s="89"/>
      <c r="M608" s="89"/>
      <c r="N608" s="89"/>
      <c r="O608" s="89"/>
      <c r="P608" s="89"/>
      <c r="Q608" s="89"/>
      <c r="R608" s="89"/>
      <c r="S608" s="89"/>
      <c r="T608" s="89"/>
    </row>
    <row r="609" ht="15.75" customHeight="1">
      <c r="A609" s="89"/>
      <c r="B609" s="89"/>
      <c r="C609" s="89"/>
      <c r="D609" s="89"/>
      <c r="E609" s="89"/>
      <c r="F609" s="89"/>
      <c r="G609" s="89"/>
      <c r="H609" s="89"/>
      <c r="I609" s="89"/>
      <c r="J609" s="89"/>
      <c r="K609" s="89"/>
      <c r="L609" s="89"/>
      <c r="M609" s="89"/>
      <c r="N609" s="89"/>
      <c r="O609" s="89"/>
      <c r="P609" s="89"/>
      <c r="Q609" s="89"/>
      <c r="R609" s="89"/>
      <c r="S609" s="89"/>
      <c r="T609" s="89"/>
    </row>
    <row r="610" ht="15.75" customHeight="1">
      <c r="A610" s="89"/>
      <c r="B610" s="89"/>
      <c r="C610" s="89"/>
      <c r="D610" s="89"/>
      <c r="E610" s="89"/>
      <c r="F610" s="89"/>
      <c r="G610" s="89"/>
      <c r="H610" s="89"/>
      <c r="I610" s="89"/>
      <c r="J610" s="89"/>
      <c r="K610" s="89"/>
      <c r="L610" s="89"/>
      <c r="M610" s="89"/>
      <c r="N610" s="89"/>
      <c r="O610" s="89"/>
      <c r="P610" s="89"/>
      <c r="Q610" s="89"/>
      <c r="R610" s="89"/>
      <c r="S610" s="89"/>
      <c r="T610" s="89"/>
    </row>
    <row r="611" ht="15.75" customHeight="1">
      <c r="A611" s="89"/>
      <c r="B611" s="89"/>
      <c r="C611" s="89"/>
      <c r="D611" s="89"/>
      <c r="E611" s="89"/>
      <c r="F611" s="89"/>
      <c r="G611" s="89"/>
      <c r="H611" s="89"/>
      <c r="I611" s="89"/>
      <c r="J611" s="89"/>
      <c r="K611" s="89"/>
      <c r="L611" s="89"/>
      <c r="M611" s="89"/>
      <c r="N611" s="89"/>
      <c r="O611" s="89"/>
      <c r="P611" s="89"/>
      <c r="Q611" s="89"/>
      <c r="R611" s="89"/>
      <c r="S611" s="89"/>
      <c r="T611" s="89"/>
    </row>
    <row r="612" ht="15.75" customHeight="1">
      <c r="A612" s="89"/>
      <c r="B612" s="89"/>
      <c r="C612" s="89"/>
      <c r="D612" s="89"/>
      <c r="E612" s="89"/>
      <c r="F612" s="89"/>
      <c r="G612" s="89"/>
      <c r="H612" s="89"/>
      <c r="I612" s="89"/>
      <c r="J612" s="89"/>
      <c r="K612" s="89"/>
      <c r="L612" s="89"/>
      <c r="M612" s="89"/>
      <c r="N612" s="89"/>
      <c r="O612" s="89"/>
      <c r="P612" s="89"/>
      <c r="Q612" s="89"/>
      <c r="R612" s="89"/>
      <c r="S612" s="89"/>
      <c r="T612" s="89"/>
    </row>
    <row r="613" ht="15.75" customHeight="1">
      <c r="A613" s="89"/>
      <c r="B613" s="89"/>
      <c r="C613" s="89"/>
      <c r="D613" s="89"/>
      <c r="E613" s="89"/>
      <c r="F613" s="89"/>
      <c r="G613" s="89"/>
      <c r="H613" s="89"/>
      <c r="I613" s="89"/>
      <c r="J613" s="89"/>
      <c r="K613" s="89"/>
      <c r="L613" s="89"/>
      <c r="M613" s="89"/>
      <c r="N613" s="89"/>
      <c r="O613" s="89"/>
      <c r="P613" s="89"/>
      <c r="Q613" s="89"/>
      <c r="R613" s="89"/>
      <c r="S613" s="89"/>
      <c r="T613" s="89"/>
    </row>
    <row r="614" ht="15.75" customHeight="1">
      <c r="A614" s="89"/>
      <c r="B614" s="89"/>
      <c r="C614" s="89"/>
      <c r="D614" s="89"/>
      <c r="E614" s="89"/>
      <c r="F614" s="89"/>
      <c r="G614" s="89"/>
      <c r="H614" s="89"/>
      <c r="I614" s="89"/>
      <c r="J614" s="89"/>
      <c r="K614" s="89"/>
      <c r="L614" s="89"/>
      <c r="M614" s="89"/>
      <c r="N614" s="89"/>
      <c r="O614" s="89"/>
      <c r="P614" s="89"/>
      <c r="Q614" s="89"/>
      <c r="R614" s="89"/>
      <c r="S614" s="89"/>
      <c r="T614" s="89"/>
    </row>
    <row r="615" ht="15.75" customHeight="1">
      <c r="A615" s="89"/>
      <c r="B615" s="89"/>
      <c r="C615" s="89"/>
      <c r="D615" s="89"/>
      <c r="E615" s="89"/>
      <c r="F615" s="89"/>
      <c r="G615" s="89"/>
      <c r="H615" s="89"/>
      <c r="I615" s="89"/>
      <c r="J615" s="89"/>
      <c r="K615" s="89"/>
      <c r="L615" s="89"/>
      <c r="M615" s="89"/>
      <c r="N615" s="89"/>
      <c r="O615" s="89"/>
      <c r="P615" s="89"/>
      <c r="Q615" s="89"/>
      <c r="R615" s="89"/>
      <c r="S615" s="89"/>
      <c r="T615" s="89"/>
    </row>
    <row r="616" ht="15.75" customHeight="1">
      <c r="A616" s="89"/>
      <c r="B616" s="89"/>
      <c r="C616" s="89"/>
      <c r="D616" s="89"/>
      <c r="E616" s="89"/>
      <c r="F616" s="89"/>
      <c r="G616" s="89"/>
      <c r="H616" s="89"/>
      <c r="I616" s="89"/>
      <c r="J616" s="89"/>
      <c r="K616" s="89"/>
      <c r="L616" s="89"/>
      <c r="M616" s="89"/>
      <c r="N616" s="89"/>
      <c r="O616" s="89"/>
      <c r="P616" s="89"/>
      <c r="Q616" s="89"/>
      <c r="R616" s="89"/>
      <c r="S616" s="89"/>
      <c r="T616" s="89"/>
    </row>
    <row r="617" ht="15.75" customHeight="1">
      <c r="A617" s="89"/>
      <c r="B617" s="89"/>
      <c r="C617" s="89"/>
      <c r="D617" s="89"/>
      <c r="E617" s="89"/>
      <c r="F617" s="89"/>
      <c r="G617" s="89"/>
      <c r="H617" s="89"/>
      <c r="I617" s="89"/>
      <c r="J617" s="89"/>
      <c r="K617" s="89"/>
      <c r="L617" s="89"/>
      <c r="M617" s="89"/>
      <c r="N617" s="89"/>
      <c r="O617" s="89"/>
      <c r="P617" s="89"/>
      <c r="Q617" s="89"/>
      <c r="R617" s="89"/>
      <c r="S617" s="89"/>
      <c r="T617" s="89"/>
    </row>
    <row r="618" ht="15.75" customHeight="1">
      <c r="A618" s="89"/>
      <c r="B618" s="89"/>
      <c r="C618" s="89"/>
      <c r="D618" s="89"/>
      <c r="E618" s="89"/>
      <c r="F618" s="89"/>
      <c r="G618" s="89"/>
      <c r="H618" s="89"/>
      <c r="I618" s="89"/>
      <c r="J618" s="89"/>
      <c r="K618" s="89"/>
      <c r="L618" s="89"/>
      <c r="M618" s="89"/>
      <c r="N618" s="89"/>
      <c r="O618" s="89"/>
      <c r="P618" s="89"/>
      <c r="Q618" s="89"/>
      <c r="R618" s="89"/>
      <c r="S618" s="89"/>
      <c r="T618" s="89"/>
    </row>
    <row r="619" ht="15.75" customHeight="1">
      <c r="A619" s="89"/>
      <c r="B619" s="89"/>
      <c r="C619" s="89"/>
      <c r="D619" s="89"/>
      <c r="E619" s="89"/>
      <c r="F619" s="89"/>
      <c r="G619" s="89"/>
      <c r="H619" s="89"/>
      <c r="I619" s="89"/>
      <c r="J619" s="89"/>
      <c r="K619" s="89"/>
      <c r="L619" s="89"/>
      <c r="M619" s="89"/>
      <c r="N619" s="89"/>
      <c r="O619" s="89"/>
      <c r="P619" s="89"/>
      <c r="Q619" s="89"/>
      <c r="R619" s="89"/>
      <c r="S619" s="89"/>
      <c r="T619" s="89"/>
    </row>
    <row r="620" ht="15.75" customHeight="1">
      <c r="A620" s="89"/>
      <c r="B620" s="89"/>
      <c r="C620" s="89"/>
      <c r="D620" s="89"/>
      <c r="E620" s="89"/>
      <c r="F620" s="89"/>
      <c r="G620" s="89"/>
      <c r="H620" s="89"/>
      <c r="I620" s="89"/>
      <c r="J620" s="89"/>
      <c r="K620" s="89"/>
      <c r="L620" s="89"/>
      <c r="M620" s="89"/>
      <c r="N620" s="89"/>
      <c r="O620" s="89"/>
      <c r="P620" s="89"/>
      <c r="Q620" s="89"/>
      <c r="R620" s="89"/>
      <c r="S620" s="89"/>
      <c r="T620" s="89"/>
    </row>
    <row r="621" ht="15.75" customHeight="1">
      <c r="A621" s="89"/>
      <c r="B621" s="89"/>
      <c r="C621" s="89"/>
      <c r="D621" s="89"/>
      <c r="E621" s="89"/>
      <c r="F621" s="89"/>
      <c r="G621" s="89"/>
      <c r="H621" s="89"/>
      <c r="I621" s="89"/>
      <c r="J621" s="89"/>
      <c r="K621" s="89"/>
      <c r="L621" s="89"/>
      <c r="M621" s="89"/>
      <c r="N621" s="89"/>
      <c r="O621" s="89"/>
      <c r="P621" s="89"/>
      <c r="Q621" s="89"/>
      <c r="R621" s="89"/>
      <c r="S621" s="89"/>
      <c r="T621" s="89"/>
    </row>
    <row r="622" ht="15.75" customHeight="1">
      <c r="A622" s="89"/>
      <c r="B622" s="89"/>
      <c r="C622" s="89"/>
      <c r="D622" s="89"/>
      <c r="E622" s="89"/>
      <c r="F622" s="89"/>
      <c r="G622" s="89"/>
      <c r="H622" s="89"/>
      <c r="I622" s="89"/>
      <c r="J622" s="89"/>
      <c r="K622" s="89"/>
      <c r="L622" s="89"/>
      <c r="M622" s="89"/>
      <c r="N622" s="89"/>
      <c r="O622" s="89"/>
      <c r="P622" s="89"/>
      <c r="Q622" s="89"/>
      <c r="R622" s="89"/>
      <c r="S622" s="89"/>
      <c r="T622" s="89"/>
    </row>
    <row r="623" ht="15.75" customHeight="1">
      <c r="A623" s="89"/>
      <c r="B623" s="89"/>
      <c r="C623" s="89"/>
      <c r="D623" s="89"/>
      <c r="E623" s="89"/>
      <c r="F623" s="89"/>
      <c r="G623" s="89"/>
      <c r="H623" s="89"/>
      <c r="I623" s="89"/>
      <c r="J623" s="89"/>
      <c r="K623" s="89"/>
      <c r="L623" s="89"/>
      <c r="M623" s="89"/>
      <c r="N623" s="89"/>
      <c r="O623" s="89"/>
      <c r="P623" s="89"/>
      <c r="Q623" s="89"/>
      <c r="R623" s="89"/>
      <c r="S623" s="89"/>
      <c r="T623" s="89"/>
    </row>
    <row r="624" ht="15.75" customHeight="1">
      <c r="A624" s="89"/>
      <c r="B624" s="89"/>
      <c r="C624" s="89"/>
      <c r="D624" s="89"/>
      <c r="E624" s="89"/>
      <c r="F624" s="89"/>
      <c r="G624" s="89"/>
      <c r="H624" s="89"/>
      <c r="I624" s="89"/>
      <c r="J624" s="89"/>
      <c r="K624" s="89"/>
      <c r="L624" s="89"/>
      <c r="M624" s="89"/>
      <c r="N624" s="89"/>
      <c r="O624" s="89"/>
      <c r="P624" s="89"/>
      <c r="Q624" s="89"/>
      <c r="R624" s="89"/>
      <c r="S624" s="89"/>
      <c r="T624" s="89"/>
    </row>
    <row r="625" ht="15.75" customHeight="1">
      <c r="A625" s="89"/>
      <c r="B625" s="89"/>
      <c r="C625" s="89"/>
      <c r="D625" s="89"/>
      <c r="E625" s="89"/>
      <c r="F625" s="89"/>
      <c r="G625" s="89"/>
      <c r="H625" s="89"/>
      <c r="I625" s="89"/>
      <c r="J625" s="89"/>
      <c r="K625" s="89"/>
      <c r="L625" s="89"/>
      <c r="M625" s="89"/>
      <c r="N625" s="89"/>
      <c r="O625" s="89"/>
      <c r="P625" s="89"/>
      <c r="Q625" s="89"/>
      <c r="R625" s="89"/>
      <c r="S625" s="89"/>
      <c r="T625" s="89"/>
    </row>
    <row r="626" ht="15.75" customHeight="1">
      <c r="A626" s="89"/>
      <c r="B626" s="89"/>
      <c r="C626" s="89"/>
      <c r="D626" s="89"/>
      <c r="E626" s="89"/>
      <c r="F626" s="89"/>
      <c r="G626" s="89"/>
      <c r="H626" s="89"/>
      <c r="I626" s="89"/>
      <c r="J626" s="89"/>
      <c r="K626" s="89"/>
      <c r="L626" s="89"/>
      <c r="M626" s="89"/>
      <c r="N626" s="89"/>
      <c r="O626" s="89"/>
      <c r="P626" s="89"/>
      <c r="Q626" s="89"/>
      <c r="R626" s="89"/>
      <c r="S626" s="89"/>
      <c r="T626" s="89"/>
    </row>
    <row r="627" ht="15.75" customHeight="1">
      <c r="A627" s="89"/>
      <c r="B627" s="89"/>
      <c r="C627" s="89"/>
      <c r="D627" s="89"/>
      <c r="E627" s="89"/>
      <c r="F627" s="89"/>
      <c r="G627" s="89"/>
      <c r="H627" s="89"/>
      <c r="I627" s="89"/>
      <c r="J627" s="89"/>
      <c r="K627" s="89"/>
      <c r="L627" s="89"/>
      <c r="M627" s="89"/>
      <c r="N627" s="89"/>
      <c r="O627" s="89"/>
      <c r="P627" s="89"/>
      <c r="Q627" s="89"/>
      <c r="R627" s="89"/>
      <c r="S627" s="89"/>
      <c r="T627" s="89"/>
    </row>
    <row r="628" ht="15.75" customHeight="1">
      <c r="A628" s="89"/>
      <c r="B628" s="89"/>
      <c r="C628" s="89"/>
      <c r="D628" s="89"/>
      <c r="E628" s="89"/>
      <c r="F628" s="89"/>
      <c r="G628" s="89"/>
      <c r="H628" s="89"/>
      <c r="I628" s="89"/>
      <c r="J628" s="89"/>
      <c r="K628" s="89"/>
      <c r="L628" s="89"/>
      <c r="M628" s="89"/>
      <c r="N628" s="89"/>
      <c r="O628" s="89"/>
      <c r="P628" s="89"/>
      <c r="Q628" s="89"/>
      <c r="R628" s="89"/>
      <c r="S628" s="89"/>
      <c r="T628" s="89"/>
    </row>
    <row r="629" ht="15.75" customHeight="1">
      <c r="A629" s="89"/>
      <c r="B629" s="89"/>
      <c r="C629" s="89"/>
      <c r="D629" s="89"/>
      <c r="E629" s="89"/>
      <c r="F629" s="89"/>
      <c r="G629" s="89"/>
      <c r="H629" s="89"/>
      <c r="I629" s="89"/>
      <c r="J629" s="89"/>
      <c r="K629" s="89"/>
      <c r="L629" s="89"/>
      <c r="M629" s="89"/>
      <c r="N629" s="89"/>
      <c r="O629" s="89"/>
      <c r="P629" s="89"/>
      <c r="Q629" s="89"/>
      <c r="R629" s="89"/>
      <c r="S629" s="89"/>
      <c r="T629" s="89"/>
    </row>
    <row r="630" ht="15.75" customHeight="1">
      <c r="A630" s="89"/>
      <c r="B630" s="89"/>
      <c r="C630" s="89"/>
      <c r="D630" s="89"/>
      <c r="E630" s="89"/>
      <c r="F630" s="89"/>
      <c r="G630" s="89"/>
      <c r="H630" s="89"/>
      <c r="I630" s="89"/>
      <c r="J630" s="89"/>
      <c r="K630" s="89"/>
      <c r="L630" s="89"/>
      <c r="M630" s="89"/>
      <c r="N630" s="89"/>
      <c r="O630" s="89"/>
      <c r="P630" s="89"/>
      <c r="Q630" s="89"/>
      <c r="R630" s="89"/>
      <c r="S630" s="89"/>
      <c r="T630" s="89"/>
    </row>
    <row r="631" ht="15.75" customHeight="1">
      <c r="A631" s="89"/>
      <c r="B631" s="89"/>
      <c r="C631" s="89"/>
      <c r="D631" s="89"/>
      <c r="E631" s="89"/>
      <c r="F631" s="89"/>
      <c r="G631" s="89"/>
      <c r="H631" s="89"/>
      <c r="I631" s="89"/>
      <c r="J631" s="89"/>
      <c r="K631" s="89"/>
      <c r="L631" s="89"/>
      <c r="M631" s="89"/>
      <c r="N631" s="89"/>
      <c r="O631" s="89"/>
      <c r="P631" s="89"/>
      <c r="Q631" s="89"/>
      <c r="R631" s="89"/>
      <c r="S631" s="89"/>
      <c r="T631" s="89"/>
    </row>
    <row r="632" ht="15.75" customHeight="1">
      <c r="A632" s="89"/>
      <c r="B632" s="89"/>
      <c r="C632" s="89"/>
      <c r="D632" s="89"/>
      <c r="E632" s="89"/>
      <c r="F632" s="89"/>
      <c r="G632" s="89"/>
      <c r="H632" s="89"/>
      <c r="I632" s="89"/>
      <c r="J632" s="89"/>
      <c r="K632" s="89"/>
      <c r="L632" s="89"/>
      <c r="M632" s="89"/>
      <c r="N632" s="89"/>
      <c r="O632" s="89"/>
      <c r="P632" s="89"/>
      <c r="Q632" s="89"/>
      <c r="R632" s="89"/>
      <c r="S632" s="89"/>
      <c r="T632" s="89"/>
    </row>
    <row r="633" ht="15.75" customHeight="1">
      <c r="A633" s="89"/>
      <c r="B633" s="89"/>
      <c r="C633" s="89"/>
      <c r="D633" s="89"/>
      <c r="E633" s="89"/>
      <c r="F633" s="89"/>
      <c r="G633" s="89"/>
      <c r="H633" s="89"/>
      <c r="I633" s="89"/>
      <c r="J633" s="89"/>
      <c r="K633" s="89"/>
      <c r="L633" s="89"/>
      <c r="M633" s="89"/>
      <c r="N633" s="89"/>
      <c r="O633" s="89"/>
      <c r="P633" s="89"/>
      <c r="Q633" s="89"/>
      <c r="R633" s="89"/>
      <c r="S633" s="89"/>
      <c r="T633" s="89"/>
    </row>
    <row r="634" ht="15.75" customHeight="1">
      <c r="A634" s="89"/>
      <c r="B634" s="89"/>
      <c r="C634" s="89"/>
      <c r="D634" s="89"/>
      <c r="E634" s="89"/>
      <c r="F634" s="89"/>
      <c r="G634" s="89"/>
      <c r="H634" s="89"/>
      <c r="I634" s="89"/>
      <c r="J634" s="89"/>
      <c r="K634" s="89"/>
      <c r="L634" s="89"/>
      <c r="M634" s="89"/>
      <c r="N634" s="89"/>
      <c r="O634" s="89"/>
      <c r="P634" s="89"/>
      <c r="Q634" s="89"/>
      <c r="R634" s="89"/>
      <c r="S634" s="89"/>
      <c r="T634" s="89"/>
    </row>
    <row r="635" ht="15.75" customHeight="1">
      <c r="A635" s="89"/>
      <c r="B635" s="89"/>
      <c r="C635" s="89"/>
      <c r="D635" s="89"/>
      <c r="E635" s="89"/>
      <c r="F635" s="89"/>
      <c r="G635" s="89"/>
      <c r="H635" s="89"/>
      <c r="I635" s="89"/>
      <c r="J635" s="89"/>
      <c r="K635" s="89"/>
      <c r="L635" s="89"/>
      <c r="M635" s="89"/>
      <c r="N635" s="89"/>
      <c r="O635" s="89"/>
      <c r="P635" s="89"/>
      <c r="Q635" s="89"/>
      <c r="R635" s="89"/>
      <c r="S635" s="89"/>
      <c r="T635" s="89"/>
    </row>
    <row r="636" ht="15.75" customHeight="1">
      <c r="A636" s="89"/>
      <c r="B636" s="89"/>
      <c r="C636" s="89"/>
      <c r="D636" s="89"/>
      <c r="E636" s="89"/>
      <c r="F636" s="89"/>
      <c r="G636" s="89"/>
      <c r="H636" s="89"/>
      <c r="I636" s="89"/>
      <c r="J636" s="89"/>
      <c r="K636" s="89"/>
      <c r="L636" s="89"/>
      <c r="M636" s="89"/>
      <c r="N636" s="89"/>
      <c r="O636" s="89"/>
      <c r="P636" s="89"/>
      <c r="Q636" s="89"/>
      <c r="R636" s="89"/>
      <c r="S636" s="89"/>
      <c r="T636" s="89"/>
    </row>
    <row r="637" ht="15.75" customHeight="1">
      <c r="A637" s="89"/>
      <c r="B637" s="89"/>
      <c r="C637" s="89"/>
      <c r="D637" s="89"/>
      <c r="E637" s="89"/>
      <c r="F637" s="89"/>
      <c r="G637" s="89"/>
      <c r="H637" s="89"/>
      <c r="I637" s="89"/>
      <c r="J637" s="89"/>
      <c r="K637" s="89"/>
      <c r="L637" s="89"/>
      <c r="M637" s="89"/>
      <c r="N637" s="89"/>
      <c r="O637" s="89"/>
      <c r="P637" s="89"/>
      <c r="Q637" s="89"/>
      <c r="R637" s="89"/>
      <c r="S637" s="89"/>
      <c r="T637" s="89"/>
    </row>
    <row r="638" ht="15.75" customHeight="1">
      <c r="A638" s="89"/>
      <c r="B638" s="89"/>
      <c r="C638" s="89"/>
      <c r="D638" s="89"/>
      <c r="E638" s="89"/>
      <c r="F638" s="89"/>
      <c r="G638" s="89"/>
      <c r="H638" s="89"/>
      <c r="I638" s="89"/>
      <c r="J638" s="89"/>
      <c r="K638" s="89"/>
      <c r="L638" s="89"/>
      <c r="M638" s="89"/>
      <c r="N638" s="89"/>
      <c r="O638" s="89"/>
      <c r="P638" s="89"/>
      <c r="Q638" s="89"/>
      <c r="R638" s="89"/>
      <c r="S638" s="89"/>
      <c r="T638" s="89"/>
    </row>
    <row r="639" ht="15.75" customHeight="1">
      <c r="A639" s="89"/>
      <c r="B639" s="89"/>
      <c r="C639" s="89"/>
      <c r="D639" s="89"/>
      <c r="E639" s="89"/>
      <c r="F639" s="89"/>
      <c r="G639" s="89"/>
      <c r="H639" s="89"/>
      <c r="I639" s="89"/>
      <c r="J639" s="89"/>
      <c r="K639" s="89"/>
      <c r="L639" s="89"/>
      <c r="M639" s="89"/>
      <c r="N639" s="89"/>
      <c r="O639" s="89"/>
      <c r="P639" s="89"/>
      <c r="Q639" s="89"/>
      <c r="R639" s="89"/>
      <c r="S639" s="89"/>
      <c r="T639" s="89"/>
    </row>
    <row r="640" ht="15.75" customHeight="1">
      <c r="A640" s="89"/>
      <c r="B640" s="89"/>
      <c r="C640" s="89"/>
      <c r="D640" s="89"/>
      <c r="E640" s="89"/>
      <c r="F640" s="89"/>
      <c r="G640" s="89"/>
      <c r="H640" s="89"/>
      <c r="I640" s="89"/>
      <c r="J640" s="89"/>
      <c r="K640" s="89"/>
      <c r="L640" s="89"/>
      <c r="M640" s="89"/>
      <c r="N640" s="89"/>
      <c r="O640" s="89"/>
      <c r="P640" s="89"/>
      <c r="Q640" s="89"/>
      <c r="R640" s="89"/>
      <c r="S640" s="89"/>
      <c r="T640" s="89"/>
    </row>
    <row r="641" ht="15.75" customHeight="1">
      <c r="A641" s="89"/>
      <c r="B641" s="89"/>
      <c r="C641" s="89"/>
      <c r="D641" s="89"/>
      <c r="E641" s="89"/>
      <c r="F641" s="89"/>
      <c r="G641" s="89"/>
      <c r="H641" s="89"/>
      <c r="I641" s="89"/>
      <c r="J641" s="89"/>
      <c r="K641" s="89"/>
      <c r="L641" s="89"/>
      <c r="M641" s="89"/>
      <c r="N641" s="89"/>
      <c r="O641" s="89"/>
      <c r="P641" s="89"/>
      <c r="Q641" s="89"/>
      <c r="R641" s="89"/>
      <c r="S641" s="89"/>
      <c r="T641" s="89"/>
    </row>
    <row r="642" ht="15.75" customHeight="1">
      <c r="A642" s="89"/>
      <c r="B642" s="89"/>
      <c r="C642" s="89"/>
      <c r="D642" s="89"/>
      <c r="E642" s="89"/>
      <c r="F642" s="89"/>
      <c r="G642" s="89"/>
      <c r="H642" s="89"/>
      <c r="I642" s="89"/>
      <c r="J642" s="89"/>
      <c r="K642" s="89"/>
      <c r="L642" s="89"/>
      <c r="M642" s="89"/>
      <c r="N642" s="89"/>
      <c r="O642" s="89"/>
      <c r="P642" s="89"/>
      <c r="Q642" s="89"/>
      <c r="R642" s="89"/>
      <c r="S642" s="89"/>
      <c r="T642" s="89"/>
    </row>
    <row r="643" ht="15.75" customHeight="1">
      <c r="A643" s="89"/>
      <c r="B643" s="89"/>
      <c r="C643" s="89"/>
      <c r="D643" s="89"/>
      <c r="E643" s="89"/>
      <c r="F643" s="89"/>
      <c r="G643" s="89"/>
      <c r="H643" s="89"/>
      <c r="I643" s="89"/>
      <c r="J643" s="89"/>
      <c r="K643" s="89"/>
      <c r="L643" s="89"/>
      <c r="M643" s="89"/>
      <c r="N643" s="89"/>
      <c r="O643" s="89"/>
      <c r="P643" s="89"/>
      <c r="Q643" s="89"/>
      <c r="R643" s="89"/>
      <c r="S643" s="89"/>
      <c r="T643" s="89"/>
    </row>
    <row r="644" ht="15.75" customHeight="1">
      <c r="A644" s="89"/>
      <c r="B644" s="89"/>
      <c r="C644" s="89"/>
      <c r="D644" s="89"/>
      <c r="E644" s="89"/>
      <c r="F644" s="89"/>
      <c r="G644" s="89"/>
      <c r="H644" s="89"/>
      <c r="I644" s="89"/>
      <c r="J644" s="89"/>
      <c r="K644" s="89"/>
      <c r="L644" s="89"/>
      <c r="M644" s="89"/>
      <c r="N644" s="89"/>
      <c r="O644" s="89"/>
      <c r="P644" s="89"/>
      <c r="Q644" s="89"/>
      <c r="R644" s="89"/>
      <c r="S644" s="89"/>
      <c r="T644" s="89"/>
    </row>
    <row r="645" ht="15.75" customHeight="1">
      <c r="A645" s="89"/>
      <c r="B645" s="89"/>
      <c r="C645" s="89"/>
      <c r="D645" s="89"/>
      <c r="E645" s="89"/>
      <c r="F645" s="89"/>
      <c r="G645" s="89"/>
      <c r="H645" s="89"/>
      <c r="I645" s="89"/>
      <c r="J645" s="89"/>
      <c r="K645" s="89"/>
      <c r="L645" s="89"/>
      <c r="M645" s="89"/>
      <c r="N645" s="89"/>
      <c r="O645" s="89"/>
      <c r="P645" s="89"/>
      <c r="Q645" s="89"/>
      <c r="R645" s="89"/>
      <c r="S645" s="89"/>
      <c r="T645" s="89"/>
    </row>
    <row r="646" ht="15.75" customHeight="1">
      <c r="A646" s="89"/>
      <c r="B646" s="89"/>
      <c r="C646" s="89"/>
      <c r="D646" s="89"/>
      <c r="E646" s="89"/>
      <c r="F646" s="89"/>
      <c r="G646" s="89"/>
      <c r="H646" s="89"/>
      <c r="I646" s="89"/>
      <c r="J646" s="89"/>
      <c r="K646" s="89"/>
      <c r="L646" s="89"/>
      <c r="M646" s="89"/>
      <c r="N646" s="89"/>
      <c r="O646" s="89"/>
      <c r="P646" s="89"/>
      <c r="Q646" s="89"/>
      <c r="R646" s="89"/>
      <c r="S646" s="89"/>
      <c r="T646" s="89"/>
    </row>
    <row r="647" ht="15.75" customHeight="1">
      <c r="A647" s="89"/>
      <c r="B647" s="89"/>
      <c r="C647" s="89"/>
      <c r="D647" s="89"/>
      <c r="E647" s="89"/>
      <c r="F647" s="89"/>
      <c r="G647" s="89"/>
      <c r="H647" s="89"/>
      <c r="I647" s="89"/>
      <c r="J647" s="89"/>
      <c r="K647" s="89"/>
      <c r="L647" s="89"/>
      <c r="M647" s="89"/>
      <c r="N647" s="89"/>
      <c r="O647" s="89"/>
      <c r="P647" s="89"/>
      <c r="Q647" s="89"/>
      <c r="R647" s="89"/>
      <c r="S647" s="89"/>
      <c r="T647" s="89"/>
    </row>
    <row r="648" ht="15.75" customHeight="1">
      <c r="A648" s="89"/>
      <c r="B648" s="89"/>
      <c r="C648" s="89"/>
      <c r="D648" s="89"/>
      <c r="E648" s="89"/>
      <c r="F648" s="89"/>
      <c r="G648" s="89"/>
      <c r="H648" s="89"/>
      <c r="I648" s="89"/>
      <c r="J648" s="89"/>
      <c r="K648" s="89"/>
      <c r="L648" s="89"/>
      <c r="M648" s="89"/>
      <c r="N648" s="89"/>
      <c r="O648" s="89"/>
      <c r="P648" s="89"/>
      <c r="Q648" s="89"/>
      <c r="R648" s="89"/>
      <c r="S648" s="89"/>
      <c r="T648" s="89"/>
    </row>
    <row r="649" ht="15.75" customHeight="1">
      <c r="A649" s="89"/>
      <c r="B649" s="89"/>
      <c r="C649" s="89"/>
      <c r="D649" s="89"/>
      <c r="E649" s="89"/>
      <c r="F649" s="89"/>
      <c r="G649" s="89"/>
      <c r="H649" s="89"/>
      <c r="I649" s="89"/>
      <c r="J649" s="89"/>
      <c r="K649" s="89"/>
      <c r="L649" s="89"/>
      <c r="M649" s="89"/>
      <c r="N649" s="89"/>
      <c r="O649" s="89"/>
      <c r="P649" s="89"/>
      <c r="Q649" s="89"/>
      <c r="R649" s="89"/>
      <c r="S649" s="89"/>
      <c r="T649" s="89"/>
    </row>
    <row r="650" ht="15.75" customHeight="1">
      <c r="A650" s="89"/>
      <c r="B650" s="89"/>
      <c r="C650" s="89"/>
      <c r="D650" s="89"/>
      <c r="E650" s="89"/>
      <c r="F650" s="89"/>
      <c r="G650" s="89"/>
      <c r="H650" s="89"/>
      <c r="I650" s="89"/>
      <c r="J650" s="89"/>
      <c r="K650" s="89"/>
      <c r="L650" s="89"/>
      <c r="M650" s="89"/>
      <c r="N650" s="89"/>
      <c r="O650" s="89"/>
      <c r="P650" s="89"/>
      <c r="Q650" s="89"/>
      <c r="R650" s="89"/>
      <c r="S650" s="89"/>
      <c r="T650" s="89"/>
    </row>
    <row r="651" ht="15.75" customHeight="1">
      <c r="A651" s="89"/>
      <c r="B651" s="89"/>
      <c r="C651" s="89"/>
      <c r="D651" s="89"/>
      <c r="E651" s="89"/>
      <c r="F651" s="89"/>
      <c r="G651" s="89"/>
      <c r="H651" s="89"/>
      <c r="I651" s="89"/>
      <c r="J651" s="89"/>
      <c r="K651" s="89"/>
      <c r="L651" s="89"/>
      <c r="M651" s="89"/>
      <c r="N651" s="89"/>
      <c r="O651" s="89"/>
      <c r="P651" s="89"/>
      <c r="Q651" s="89"/>
      <c r="R651" s="89"/>
      <c r="S651" s="89"/>
      <c r="T651" s="89"/>
    </row>
    <row r="652" ht="15.75" customHeight="1">
      <c r="A652" s="89"/>
      <c r="B652" s="89"/>
      <c r="C652" s="89"/>
      <c r="D652" s="89"/>
      <c r="E652" s="89"/>
      <c r="F652" s="89"/>
      <c r="G652" s="89"/>
      <c r="H652" s="89"/>
      <c r="I652" s="89"/>
      <c r="J652" s="89"/>
      <c r="K652" s="89"/>
      <c r="L652" s="89"/>
      <c r="M652" s="89"/>
      <c r="N652" s="89"/>
      <c r="O652" s="89"/>
      <c r="P652" s="89"/>
      <c r="Q652" s="89"/>
      <c r="R652" s="89"/>
      <c r="S652" s="89"/>
      <c r="T652" s="89"/>
    </row>
    <row r="653" ht="15.75" customHeight="1">
      <c r="A653" s="89"/>
      <c r="B653" s="89"/>
      <c r="C653" s="89"/>
      <c r="D653" s="89"/>
      <c r="E653" s="89"/>
      <c r="F653" s="89"/>
      <c r="G653" s="89"/>
      <c r="H653" s="89"/>
      <c r="I653" s="89"/>
      <c r="J653" s="89"/>
      <c r="K653" s="89"/>
      <c r="L653" s="89"/>
      <c r="M653" s="89"/>
      <c r="N653" s="89"/>
      <c r="O653" s="89"/>
      <c r="P653" s="89"/>
      <c r="Q653" s="89"/>
      <c r="R653" s="89"/>
      <c r="S653" s="89"/>
      <c r="T653" s="89"/>
    </row>
    <row r="654" ht="15.75" customHeight="1">
      <c r="A654" s="89"/>
      <c r="B654" s="89"/>
      <c r="C654" s="89"/>
      <c r="D654" s="89"/>
      <c r="E654" s="89"/>
      <c r="F654" s="89"/>
      <c r="G654" s="89"/>
      <c r="H654" s="89"/>
      <c r="I654" s="89"/>
      <c r="J654" s="89"/>
      <c r="K654" s="89"/>
      <c r="L654" s="89"/>
      <c r="M654" s="89"/>
      <c r="N654" s="89"/>
      <c r="O654" s="89"/>
      <c r="P654" s="89"/>
      <c r="Q654" s="89"/>
      <c r="R654" s="89"/>
      <c r="S654" s="89"/>
      <c r="T654" s="89"/>
    </row>
    <row r="655" ht="15.75" customHeight="1">
      <c r="A655" s="89"/>
      <c r="B655" s="89"/>
      <c r="C655" s="89"/>
      <c r="D655" s="89"/>
      <c r="E655" s="89"/>
      <c r="F655" s="89"/>
      <c r="G655" s="89"/>
      <c r="H655" s="89"/>
      <c r="I655" s="89"/>
      <c r="J655" s="89"/>
      <c r="K655" s="89"/>
      <c r="L655" s="89"/>
      <c r="M655" s="89"/>
      <c r="N655" s="89"/>
      <c r="O655" s="89"/>
      <c r="P655" s="89"/>
      <c r="Q655" s="89"/>
      <c r="R655" s="89"/>
      <c r="S655" s="89"/>
      <c r="T655" s="89"/>
    </row>
    <row r="656" ht="15.75" customHeight="1">
      <c r="A656" s="89"/>
      <c r="B656" s="89"/>
      <c r="C656" s="89"/>
      <c r="D656" s="89"/>
      <c r="E656" s="89"/>
      <c r="F656" s="89"/>
      <c r="G656" s="89"/>
      <c r="H656" s="89"/>
      <c r="I656" s="89"/>
      <c r="J656" s="89"/>
      <c r="K656" s="89"/>
      <c r="L656" s="89"/>
      <c r="M656" s="89"/>
      <c r="N656" s="89"/>
      <c r="O656" s="89"/>
      <c r="P656" s="89"/>
      <c r="Q656" s="89"/>
      <c r="R656" s="89"/>
      <c r="S656" s="89"/>
      <c r="T656" s="89"/>
    </row>
    <row r="657" ht="15.75" customHeight="1">
      <c r="A657" s="89"/>
      <c r="B657" s="89"/>
      <c r="C657" s="89"/>
      <c r="D657" s="89"/>
      <c r="E657" s="89"/>
      <c r="F657" s="89"/>
      <c r="G657" s="89"/>
      <c r="H657" s="89"/>
      <c r="I657" s="89"/>
      <c r="J657" s="89"/>
      <c r="K657" s="89"/>
      <c r="L657" s="89"/>
      <c r="M657" s="89"/>
      <c r="N657" s="89"/>
      <c r="O657" s="89"/>
      <c r="P657" s="89"/>
      <c r="Q657" s="89"/>
      <c r="R657" s="89"/>
      <c r="S657" s="89"/>
      <c r="T657" s="89"/>
    </row>
    <row r="658" ht="15.75" customHeight="1">
      <c r="A658" s="89"/>
      <c r="B658" s="89"/>
      <c r="C658" s="89"/>
      <c r="D658" s="89"/>
      <c r="E658" s="89"/>
      <c r="F658" s="89"/>
      <c r="G658" s="89"/>
      <c r="H658" s="89"/>
      <c r="I658" s="89"/>
      <c r="J658" s="89"/>
      <c r="K658" s="89"/>
      <c r="L658" s="89"/>
      <c r="M658" s="89"/>
      <c r="N658" s="89"/>
      <c r="O658" s="89"/>
      <c r="P658" s="89"/>
      <c r="Q658" s="89"/>
      <c r="R658" s="89"/>
      <c r="S658" s="89"/>
      <c r="T658" s="89"/>
    </row>
    <row r="659" ht="15.75" customHeight="1">
      <c r="A659" s="89"/>
      <c r="B659" s="89"/>
      <c r="C659" s="89"/>
      <c r="D659" s="89"/>
      <c r="E659" s="89"/>
      <c r="F659" s="89"/>
      <c r="G659" s="89"/>
      <c r="H659" s="89"/>
      <c r="I659" s="89"/>
      <c r="J659" s="89"/>
      <c r="K659" s="89"/>
      <c r="L659" s="89"/>
      <c r="M659" s="89"/>
      <c r="N659" s="89"/>
      <c r="O659" s="89"/>
      <c r="P659" s="89"/>
      <c r="Q659" s="89"/>
      <c r="R659" s="89"/>
      <c r="S659" s="89"/>
      <c r="T659" s="89"/>
    </row>
    <row r="660" ht="15.75" customHeight="1">
      <c r="A660" s="89"/>
      <c r="B660" s="89"/>
      <c r="C660" s="89"/>
      <c r="D660" s="89"/>
      <c r="E660" s="89"/>
      <c r="F660" s="89"/>
      <c r="G660" s="89"/>
      <c r="H660" s="89"/>
      <c r="I660" s="89"/>
      <c r="J660" s="89"/>
      <c r="K660" s="89"/>
      <c r="L660" s="89"/>
      <c r="M660" s="89"/>
      <c r="N660" s="89"/>
      <c r="O660" s="89"/>
      <c r="P660" s="89"/>
      <c r="Q660" s="89"/>
      <c r="R660" s="89"/>
      <c r="S660" s="89"/>
      <c r="T660" s="89"/>
    </row>
    <row r="661" ht="15.75" customHeight="1">
      <c r="A661" s="89"/>
      <c r="B661" s="89"/>
      <c r="C661" s="89"/>
      <c r="D661" s="89"/>
      <c r="E661" s="89"/>
      <c r="F661" s="89"/>
      <c r="G661" s="89"/>
      <c r="H661" s="89"/>
      <c r="I661" s="89"/>
      <c r="J661" s="89"/>
      <c r="K661" s="89"/>
      <c r="L661" s="89"/>
      <c r="M661" s="89"/>
      <c r="N661" s="89"/>
      <c r="O661" s="89"/>
      <c r="P661" s="89"/>
      <c r="Q661" s="89"/>
      <c r="R661" s="89"/>
      <c r="S661" s="89"/>
      <c r="T661" s="89"/>
    </row>
    <row r="662" ht="15.75" customHeight="1">
      <c r="A662" s="89"/>
      <c r="B662" s="89"/>
      <c r="C662" s="89"/>
      <c r="D662" s="89"/>
      <c r="E662" s="89"/>
      <c r="F662" s="89"/>
      <c r="G662" s="89"/>
      <c r="H662" s="89"/>
      <c r="I662" s="89"/>
      <c r="J662" s="89"/>
      <c r="K662" s="89"/>
      <c r="L662" s="89"/>
      <c r="M662" s="89"/>
      <c r="N662" s="89"/>
      <c r="O662" s="89"/>
      <c r="P662" s="89"/>
      <c r="Q662" s="89"/>
      <c r="R662" s="89"/>
      <c r="S662" s="89"/>
      <c r="T662" s="89"/>
    </row>
    <row r="663" ht="15.75" customHeight="1">
      <c r="A663" s="89"/>
      <c r="B663" s="89"/>
      <c r="C663" s="89"/>
      <c r="D663" s="89"/>
      <c r="E663" s="89"/>
      <c r="F663" s="89"/>
      <c r="G663" s="89"/>
      <c r="H663" s="89"/>
      <c r="I663" s="89"/>
      <c r="J663" s="89"/>
      <c r="K663" s="89"/>
      <c r="L663" s="89"/>
      <c r="M663" s="89"/>
      <c r="N663" s="89"/>
      <c r="O663" s="89"/>
      <c r="P663" s="89"/>
      <c r="Q663" s="89"/>
      <c r="R663" s="89"/>
      <c r="S663" s="89"/>
      <c r="T663" s="89"/>
    </row>
    <row r="664" ht="15.75" customHeight="1">
      <c r="A664" s="89"/>
      <c r="B664" s="89"/>
      <c r="C664" s="89"/>
      <c r="D664" s="89"/>
      <c r="E664" s="89"/>
      <c r="F664" s="89"/>
      <c r="G664" s="89"/>
      <c r="H664" s="89"/>
      <c r="I664" s="89"/>
      <c r="J664" s="89"/>
      <c r="K664" s="89"/>
      <c r="L664" s="89"/>
      <c r="M664" s="89"/>
      <c r="N664" s="89"/>
      <c r="O664" s="89"/>
      <c r="P664" s="89"/>
      <c r="Q664" s="89"/>
      <c r="R664" s="89"/>
      <c r="S664" s="89"/>
      <c r="T664" s="89"/>
    </row>
    <row r="665" ht="15.75" customHeight="1">
      <c r="A665" s="89"/>
      <c r="B665" s="89"/>
      <c r="C665" s="89"/>
      <c r="D665" s="89"/>
      <c r="E665" s="89"/>
      <c r="F665" s="89"/>
      <c r="G665" s="89"/>
      <c r="H665" s="89"/>
      <c r="I665" s="89"/>
      <c r="J665" s="89"/>
      <c r="K665" s="89"/>
      <c r="L665" s="89"/>
      <c r="M665" s="89"/>
      <c r="N665" s="89"/>
      <c r="O665" s="89"/>
      <c r="P665" s="89"/>
      <c r="Q665" s="89"/>
      <c r="R665" s="89"/>
      <c r="S665" s="89"/>
      <c r="T665" s="89"/>
    </row>
    <row r="666" ht="15.75" customHeight="1">
      <c r="A666" s="89"/>
      <c r="B666" s="89"/>
      <c r="C666" s="89"/>
      <c r="D666" s="89"/>
      <c r="E666" s="89"/>
      <c r="F666" s="89"/>
      <c r="G666" s="89"/>
      <c r="H666" s="89"/>
      <c r="I666" s="89"/>
      <c r="J666" s="89"/>
      <c r="K666" s="89"/>
      <c r="L666" s="89"/>
      <c r="M666" s="89"/>
      <c r="N666" s="89"/>
      <c r="O666" s="89"/>
      <c r="P666" s="89"/>
      <c r="Q666" s="89"/>
      <c r="R666" s="89"/>
      <c r="S666" s="89"/>
      <c r="T666" s="89"/>
    </row>
    <row r="667" ht="15.75" customHeight="1">
      <c r="A667" s="89"/>
      <c r="B667" s="89"/>
      <c r="C667" s="89"/>
      <c r="D667" s="89"/>
      <c r="E667" s="89"/>
      <c r="F667" s="89"/>
      <c r="G667" s="89"/>
      <c r="H667" s="89"/>
      <c r="I667" s="89"/>
      <c r="J667" s="89"/>
      <c r="K667" s="89"/>
      <c r="L667" s="89"/>
      <c r="M667" s="89"/>
      <c r="N667" s="89"/>
      <c r="O667" s="89"/>
      <c r="P667" s="89"/>
      <c r="Q667" s="89"/>
      <c r="R667" s="89"/>
      <c r="S667" s="89"/>
      <c r="T667" s="89"/>
    </row>
    <row r="668" ht="15.75" customHeight="1">
      <c r="A668" s="89"/>
      <c r="B668" s="89"/>
      <c r="C668" s="89"/>
      <c r="D668" s="89"/>
      <c r="E668" s="89"/>
      <c r="F668" s="89"/>
      <c r="G668" s="89"/>
      <c r="H668" s="89"/>
      <c r="I668" s="89"/>
      <c r="J668" s="89"/>
      <c r="K668" s="89"/>
      <c r="L668" s="89"/>
      <c r="M668" s="89"/>
      <c r="N668" s="89"/>
      <c r="O668" s="89"/>
      <c r="P668" s="89"/>
      <c r="Q668" s="89"/>
      <c r="R668" s="89"/>
      <c r="S668" s="89"/>
      <c r="T668" s="89"/>
    </row>
    <row r="669" ht="15.75" customHeight="1">
      <c r="A669" s="89"/>
      <c r="B669" s="89"/>
      <c r="C669" s="89"/>
      <c r="D669" s="89"/>
      <c r="E669" s="89"/>
      <c r="F669" s="89"/>
      <c r="G669" s="89"/>
      <c r="H669" s="89"/>
      <c r="I669" s="89"/>
      <c r="J669" s="89"/>
      <c r="K669" s="89"/>
      <c r="L669" s="89"/>
      <c r="M669" s="89"/>
      <c r="N669" s="89"/>
      <c r="O669" s="89"/>
      <c r="P669" s="89"/>
      <c r="Q669" s="89"/>
      <c r="R669" s="89"/>
      <c r="S669" s="89"/>
      <c r="T669" s="89"/>
    </row>
    <row r="670" ht="15.75" customHeight="1">
      <c r="A670" s="89"/>
      <c r="B670" s="89"/>
      <c r="C670" s="89"/>
      <c r="D670" s="89"/>
      <c r="E670" s="89"/>
      <c r="F670" s="89"/>
      <c r="G670" s="89"/>
      <c r="H670" s="89"/>
      <c r="I670" s="89"/>
      <c r="J670" s="89"/>
      <c r="K670" s="89"/>
      <c r="L670" s="89"/>
      <c r="M670" s="89"/>
      <c r="N670" s="89"/>
      <c r="O670" s="89"/>
      <c r="P670" s="89"/>
      <c r="Q670" s="89"/>
      <c r="R670" s="89"/>
      <c r="S670" s="89"/>
      <c r="T670" s="89"/>
    </row>
    <row r="671" ht="15.75" customHeight="1">
      <c r="A671" s="89"/>
      <c r="B671" s="89"/>
      <c r="C671" s="89"/>
      <c r="D671" s="89"/>
      <c r="E671" s="89"/>
      <c r="F671" s="89"/>
      <c r="G671" s="89"/>
      <c r="H671" s="89"/>
      <c r="I671" s="89"/>
      <c r="J671" s="89"/>
      <c r="K671" s="89"/>
      <c r="L671" s="89"/>
      <c r="M671" s="89"/>
      <c r="N671" s="89"/>
      <c r="O671" s="89"/>
      <c r="P671" s="89"/>
      <c r="Q671" s="89"/>
      <c r="R671" s="89"/>
      <c r="S671" s="89"/>
      <c r="T671" s="89"/>
    </row>
    <row r="672" ht="15.75" customHeight="1">
      <c r="A672" s="89"/>
      <c r="B672" s="89"/>
      <c r="C672" s="89"/>
      <c r="D672" s="89"/>
      <c r="E672" s="89"/>
      <c r="F672" s="89"/>
      <c r="G672" s="89"/>
      <c r="H672" s="89"/>
      <c r="I672" s="89"/>
      <c r="J672" s="89"/>
      <c r="K672" s="89"/>
      <c r="L672" s="89"/>
      <c r="M672" s="89"/>
      <c r="N672" s="89"/>
      <c r="O672" s="89"/>
      <c r="P672" s="89"/>
      <c r="Q672" s="89"/>
      <c r="R672" s="89"/>
      <c r="S672" s="89"/>
      <c r="T672" s="89"/>
    </row>
    <row r="673" ht="15.75" customHeight="1">
      <c r="A673" s="89"/>
      <c r="B673" s="89"/>
      <c r="C673" s="89"/>
      <c r="D673" s="89"/>
      <c r="E673" s="89"/>
      <c r="F673" s="89"/>
      <c r="G673" s="89"/>
      <c r="H673" s="89"/>
      <c r="I673" s="89"/>
      <c r="J673" s="89"/>
      <c r="K673" s="89"/>
      <c r="L673" s="89"/>
      <c r="M673" s="89"/>
      <c r="N673" s="89"/>
      <c r="O673" s="89"/>
      <c r="P673" s="89"/>
      <c r="Q673" s="89"/>
      <c r="R673" s="89"/>
      <c r="S673" s="89"/>
      <c r="T673" s="89"/>
    </row>
    <row r="674" ht="15.75" customHeight="1">
      <c r="A674" s="89"/>
      <c r="B674" s="89"/>
      <c r="C674" s="89"/>
      <c r="D674" s="89"/>
      <c r="E674" s="89"/>
      <c r="F674" s="89"/>
      <c r="G674" s="89"/>
      <c r="H674" s="89"/>
      <c r="I674" s="89"/>
      <c r="J674" s="89"/>
      <c r="K674" s="89"/>
      <c r="L674" s="89"/>
      <c r="M674" s="89"/>
      <c r="N674" s="89"/>
      <c r="O674" s="89"/>
      <c r="P674" s="89"/>
      <c r="Q674" s="89"/>
      <c r="R674" s="89"/>
      <c r="S674" s="89"/>
      <c r="T674" s="89"/>
    </row>
    <row r="675" ht="15.75" customHeight="1">
      <c r="A675" s="89"/>
      <c r="B675" s="89"/>
      <c r="C675" s="89"/>
      <c r="D675" s="89"/>
      <c r="E675" s="89"/>
      <c r="F675" s="89"/>
      <c r="G675" s="89"/>
      <c r="H675" s="89"/>
      <c r="I675" s="89"/>
      <c r="J675" s="89"/>
      <c r="K675" s="89"/>
      <c r="L675" s="89"/>
      <c r="M675" s="89"/>
      <c r="N675" s="89"/>
      <c r="O675" s="89"/>
      <c r="P675" s="89"/>
      <c r="Q675" s="89"/>
      <c r="R675" s="89"/>
      <c r="S675" s="89"/>
      <c r="T675" s="89"/>
    </row>
    <row r="676" ht="15.75" customHeight="1">
      <c r="A676" s="89"/>
      <c r="B676" s="89"/>
      <c r="C676" s="89"/>
      <c r="D676" s="89"/>
      <c r="E676" s="89"/>
      <c r="F676" s="89"/>
      <c r="G676" s="89"/>
      <c r="H676" s="89"/>
      <c r="I676" s="89"/>
      <c r="J676" s="89"/>
      <c r="K676" s="89"/>
      <c r="L676" s="89"/>
      <c r="M676" s="89"/>
      <c r="N676" s="89"/>
      <c r="O676" s="89"/>
      <c r="P676" s="89"/>
      <c r="Q676" s="89"/>
      <c r="R676" s="89"/>
      <c r="S676" s="89"/>
      <c r="T676" s="89"/>
    </row>
    <row r="677" ht="15.75" customHeight="1">
      <c r="A677" s="89"/>
      <c r="B677" s="89"/>
      <c r="C677" s="89"/>
      <c r="D677" s="89"/>
      <c r="E677" s="89"/>
      <c r="F677" s="89"/>
      <c r="G677" s="89"/>
      <c r="H677" s="89"/>
      <c r="I677" s="89"/>
      <c r="J677" s="89"/>
      <c r="K677" s="89"/>
      <c r="L677" s="89"/>
      <c r="M677" s="89"/>
      <c r="N677" s="89"/>
      <c r="O677" s="89"/>
      <c r="P677" s="89"/>
      <c r="Q677" s="89"/>
      <c r="R677" s="89"/>
      <c r="S677" s="89"/>
      <c r="T677" s="89"/>
    </row>
    <row r="678" ht="15.75" customHeight="1">
      <c r="A678" s="89"/>
      <c r="B678" s="89"/>
      <c r="C678" s="89"/>
      <c r="D678" s="89"/>
      <c r="E678" s="89"/>
      <c r="F678" s="89"/>
      <c r="G678" s="89"/>
      <c r="H678" s="89"/>
      <c r="I678" s="89"/>
      <c r="J678" s="89"/>
      <c r="K678" s="89"/>
      <c r="L678" s="89"/>
      <c r="M678" s="89"/>
      <c r="N678" s="89"/>
      <c r="O678" s="89"/>
      <c r="P678" s="89"/>
      <c r="Q678" s="89"/>
      <c r="R678" s="89"/>
      <c r="S678" s="89"/>
      <c r="T678" s="89"/>
    </row>
    <row r="679" ht="15.75" customHeight="1">
      <c r="A679" s="89"/>
      <c r="B679" s="89"/>
      <c r="C679" s="89"/>
      <c r="D679" s="89"/>
      <c r="E679" s="89"/>
      <c r="F679" s="89"/>
      <c r="G679" s="89"/>
      <c r="H679" s="89"/>
      <c r="I679" s="89"/>
      <c r="J679" s="89"/>
      <c r="K679" s="89"/>
      <c r="L679" s="89"/>
      <c r="M679" s="89"/>
      <c r="N679" s="89"/>
      <c r="O679" s="89"/>
      <c r="P679" s="89"/>
      <c r="Q679" s="89"/>
      <c r="R679" s="89"/>
      <c r="S679" s="89"/>
      <c r="T679" s="89"/>
    </row>
    <row r="680" ht="15.75" customHeight="1">
      <c r="A680" s="89"/>
      <c r="B680" s="89"/>
      <c r="C680" s="89"/>
      <c r="D680" s="89"/>
      <c r="E680" s="89"/>
      <c r="F680" s="89"/>
      <c r="G680" s="89"/>
      <c r="H680" s="89"/>
      <c r="I680" s="89"/>
      <c r="J680" s="89"/>
      <c r="K680" s="89"/>
      <c r="L680" s="89"/>
      <c r="M680" s="89"/>
      <c r="N680" s="89"/>
      <c r="O680" s="89"/>
      <c r="P680" s="89"/>
      <c r="Q680" s="89"/>
      <c r="R680" s="89"/>
      <c r="S680" s="89"/>
      <c r="T680" s="89"/>
    </row>
    <row r="681" ht="15.75" customHeight="1">
      <c r="A681" s="89"/>
      <c r="B681" s="89"/>
      <c r="C681" s="89"/>
      <c r="D681" s="89"/>
      <c r="E681" s="89"/>
      <c r="F681" s="89"/>
      <c r="G681" s="89"/>
      <c r="H681" s="89"/>
      <c r="I681" s="89"/>
      <c r="J681" s="89"/>
      <c r="K681" s="89"/>
      <c r="L681" s="89"/>
      <c r="M681" s="89"/>
      <c r="N681" s="89"/>
      <c r="O681" s="89"/>
      <c r="P681" s="89"/>
      <c r="Q681" s="89"/>
      <c r="R681" s="89"/>
      <c r="S681" s="89"/>
      <c r="T681" s="89"/>
    </row>
    <row r="682" ht="15.75" customHeight="1">
      <c r="A682" s="89"/>
      <c r="B682" s="89"/>
      <c r="C682" s="89"/>
      <c r="D682" s="89"/>
      <c r="E682" s="89"/>
      <c r="F682" s="89"/>
      <c r="G682" s="89"/>
      <c r="H682" s="89"/>
      <c r="I682" s="89"/>
      <c r="J682" s="89"/>
      <c r="K682" s="89"/>
      <c r="L682" s="89"/>
      <c r="M682" s="89"/>
      <c r="N682" s="89"/>
      <c r="O682" s="89"/>
      <c r="P682" s="89"/>
      <c r="Q682" s="89"/>
      <c r="R682" s="89"/>
      <c r="S682" s="89"/>
      <c r="T682" s="89"/>
    </row>
    <row r="683" ht="15.75" customHeight="1">
      <c r="A683" s="89"/>
      <c r="B683" s="89"/>
      <c r="C683" s="89"/>
      <c r="D683" s="89"/>
      <c r="E683" s="89"/>
      <c r="F683" s="89"/>
      <c r="G683" s="89"/>
      <c r="H683" s="89"/>
      <c r="I683" s="89"/>
      <c r="J683" s="89"/>
      <c r="K683" s="89"/>
      <c r="L683" s="89"/>
      <c r="M683" s="89"/>
      <c r="N683" s="89"/>
      <c r="O683" s="89"/>
      <c r="P683" s="89"/>
      <c r="Q683" s="89"/>
      <c r="R683" s="89"/>
      <c r="S683" s="89"/>
      <c r="T683" s="89"/>
    </row>
    <row r="684" ht="15.75" customHeight="1">
      <c r="A684" s="89"/>
      <c r="B684" s="89"/>
      <c r="C684" s="89"/>
      <c r="D684" s="89"/>
      <c r="E684" s="89"/>
      <c r="F684" s="89"/>
      <c r="G684" s="89"/>
      <c r="H684" s="89"/>
      <c r="I684" s="89"/>
      <c r="J684" s="89"/>
      <c r="K684" s="89"/>
      <c r="L684" s="89"/>
      <c r="M684" s="89"/>
      <c r="N684" s="89"/>
      <c r="O684" s="89"/>
      <c r="P684" s="89"/>
      <c r="Q684" s="89"/>
      <c r="R684" s="89"/>
      <c r="S684" s="89"/>
      <c r="T684" s="89"/>
    </row>
    <row r="685" ht="15.75" customHeight="1">
      <c r="A685" s="89"/>
      <c r="B685" s="89"/>
      <c r="C685" s="89"/>
      <c r="D685" s="89"/>
      <c r="E685" s="89"/>
      <c r="F685" s="89"/>
      <c r="G685" s="89"/>
      <c r="H685" s="89"/>
      <c r="I685" s="89"/>
      <c r="J685" s="89"/>
      <c r="K685" s="89"/>
      <c r="L685" s="89"/>
      <c r="M685" s="89"/>
      <c r="N685" s="89"/>
      <c r="O685" s="89"/>
      <c r="P685" s="89"/>
      <c r="Q685" s="89"/>
      <c r="R685" s="89"/>
      <c r="S685" s="89"/>
      <c r="T685" s="89"/>
    </row>
    <row r="686" ht="15.75" customHeight="1">
      <c r="A686" s="89"/>
      <c r="B686" s="89"/>
      <c r="C686" s="89"/>
      <c r="D686" s="89"/>
      <c r="E686" s="89"/>
      <c r="F686" s="89"/>
      <c r="G686" s="89"/>
      <c r="H686" s="89"/>
      <c r="I686" s="89"/>
      <c r="J686" s="89"/>
      <c r="K686" s="89"/>
      <c r="L686" s="89"/>
      <c r="M686" s="89"/>
      <c r="N686" s="89"/>
      <c r="O686" s="89"/>
      <c r="P686" s="89"/>
      <c r="Q686" s="89"/>
      <c r="R686" s="89"/>
      <c r="S686" s="89"/>
      <c r="T686" s="89"/>
    </row>
    <row r="687" ht="15.75" customHeight="1">
      <c r="A687" s="89"/>
      <c r="B687" s="89"/>
      <c r="C687" s="89"/>
      <c r="D687" s="89"/>
      <c r="E687" s="89"/>
      <c r="F687" s="89"/>
      <c r="G687" s="89"/>
      <c r="H687" s="89"/>
      <c r="I687" s="89"/>
      <c r="J687" s="89"/>
      <c r="K687" s="89"/>
      <c r="L687" s="89"/>
      <c r="M687" s="89"/>
      <c r="N687" s="89"/>
      <c r="O687" s="89"/>
      <c r="P687" s="89"/>
      <c r="Q687" s="89"/>
      <c r="R687" s="89"/>
      <c r="S687" s="89"/>
      <c r="T687" s="89"/>
    </row>
    <row r="688" ht="15.75" customHeight="1">
      <c r="A688" s="89"/>
      <c r="B688" s="89"/>
      <c r="C688" s="89"/>
      <c r="D688" s="89"/>
      <c r="E688" s="89"/>
      <c r="F688" s="89"/>
      <c r="G688" s="89"/>
      <c r="H688" s="89"/>
      <c r="I688" s="89"/>
      <c r="J688" s="89"/>
      <c r="K688" s="89"/>
      <c r="L688" s="89"/>
      <c r="M688" s="89"/>
      <c r="N688" s="89"/>
      <c r="O688" s="89"/>
      <c r="P688" s="89"/>
      <c r="Q688" s="89"/>
      <c r="R688" s="89"/>
      <c r="S688" s="89"/>
      <c r="T688" s="89"/>
    </row>
    <row r="689" ht="15.75" customHeight="1">
      <c r="A689" s="89"/>
      <c r="B689" s="89"/>
      <c r="C689" s="89"/>
      <c r="D689" s="89"/>
      <c r="E689" s="89"/>
      <c r="F689" s="89"/>
      <c r="G689" s="89"/>
      <c r="H689" s="89"/>
      <c r="I689" s="89"/>
      <c r="J689" s="89"/>
      <c r="K689" s="89"/>
      <c r="L689" s="89"/>
      <c r="M689" s="89"/>
      <c r="N689" s="89"/>
      <c r="O689" s="89"/>
      <c r="P689" s="89"/>
      <c r="Q689" s="89"/>
      <c r="R689" s="89"/>
      <c r="S689" s="89"/>
      <c r="T689" s="89"/>
    </row>
    <row r="690" ht="15.75" customHeight="1">
      <c r="A690" s="89"/>
      <c r="B690" s="89"/>
      <c r="C690" s="89"/>
      <c r="D690" s="89"/>
      <c r="E690" s="89"/>
      <c r="F690" s="89"/>
      <c r="G690" s="89"/>
      <c r="H690" s="89"/>
      <c r="I690" s="89"/>
      <c r="J690" s="89"/>
      <c r="K690" s="89"/>
      <c r="L690" s="89"/>
      <c r="M690" s="89"/>
      <c r="N690" s="89"/>
      <c r="O690" s="89"/>
      <c r="P690" s="89"/>
      <c r="Q690" s="89"/>
      <c r="R690" s="89"/>
      <c r="S690" s="89"/>
      <c r="T690" s="89"/>
    </row>
    <row r="691" ht="15.75" customHeight="1">
      <c r="A691" s="89"/>
      <c r="B691" s="89"/>
      <c r="C691" s="89"/>
      <c r="D691" s="89"/>
      <c r="E691" s="89"/>
      <c r="F691" s="89"/>
      <c r="G691" s="89"/>
      <c r="H691" s="89"/>
      <c r="I691" s="89"/>
      <c r="J691" s="89"/>
      <c r="K691" s="89"/>
      <c r="L691" s="89"/>
      <c r="M691" s="89"/>
      <c r="N691" s="89"/>
      <c r="O691" s="89"/>
      <c r="P691" s="89"/>
      <c r="Q691" s="89"/>
      <c r="R691" s="89"/>
      <c r="S691" s="89"/>
      <c r="T691" s="89"/>
    </row>
    <row r="692" ht="15.75" customHeight="1">
      <c r="A692" s="89"/>
      <c r="B692" s="89"/>
      <c r="C692" s="89"/>
      <c r="D692" s="89"/>
      <c r="E692" s="89"/>
      <c r="F692" s="89"/>
      <c r="G692" s="89"/>
      <c r="H692" s="89"/>
      <c r="I692" s="89"/>
      <c r="J692" s="89"/>
      <c r="K692" s="89"/>
      <c r="L692" s="89"/>
      <c r="M692" s="89"/>
      <c r="N692" s="89"/>
      <c r="O692" s="89"/>
      <c r="P692" s="89"/>
      <c r="Q692" s="89"/>
      <c r="R692" s="89"/>
      <c r="S692" s="89"/>
      <c r="T692" s="89"/>
    </row>
    <row r="693" ht="15.75" customHeight="1">
      <c r="A693" s="89"/>
      <c r="B693" s="89"/>
      <c r="C693" s="89"/>
      <c r="D693" s="89"/>
      <c r="E693" s="89"/>
      <c r="F693" s="89"/>
      <c r="G693" s="89"/>
      <c r="H693" s="89"/>
      <c r="I693" s="89"/>
      <c r="J693" s="89"/>
      <c r="K693" s="89"/>
      <c r="L693" s="89"/>
      <c r="M693" s="89"/>
      <c r="N693" s="89"/>
      <c r="O693" s="89"/>
      <c r="P693" s="89"/>
      <c r="Q693" s="89"/>
      <c r="R693" s="89"/>
      <c r="S693" s="89"/>
      <c r="T693" s="89"/>
    </row>
    <row r="694" ht="15.75" customHeight="1">
      <c r="A694" s="89"/>
      <c r="B694" s="89"/>
      <c r="C694" s="89"/>
      <c r="D694" s="89"/>
      <c r="E694" s="89"/>
      <c r="F694" s="89"/>
      <c r="G694" s="89"/>
      <c r="H694" s="89"/>
      <c r="I694" s="89"/>
      <c r="J694" s="89"/>
      <c r="K694" s="89"/>
      <c r="L694" s="89"/>
      <c r="M694" s="89"/>
      <c r="N694" s="89"/>
      <c r="O694" s="89"/>
      <c r="P694" s="89"/>
      <c r="Q694" s="89"/>
      <c r="R694" s="89"/>
      <c r="S694" s="89"/>
      <c r="T694" s="89"/>
    </row>
    <row r="695" ht="15.75" customHeight="1">
      <c r="A695" s="89"/>
      <c r="B695" s="89"/>
      <c r="C695" s="89"/>
      <c r="D695" s="89"/>
      <c r="E695" s="89"/>
      <c r="F695" s="89"/>
      <c r="G695" s="89"/>
      <c r="H695" s="89"/>
      <c r="I695" s="89"/>
      <c r="J695" s="89"/>
      <c r="K695" s="89"/>
      <c r="L695" s="89"/>
      <c r="M695" s="89"/>
      <c r="N695" s="89"/>
      <c r="O695" s="89"/>
      <c r="P695" s="89"/>
      <c r="Q695" s="89"/>
      <c r="R695" s="89"/>
      <c r="S695" s="89"/>
      <c r="T695" s="89"/>
    </row>
    <row r="696" ht="15.75" customHeight="1">
      <c r="A696" s="89"/>
      <c r="B696" s="89"/>
      <c r="C696" s="89"/>
      <c r="D696" s="89"/>
      <c r="E696" s="89"/>
      <c r="F696" s="89"/>
      <c r="G696" s="89"/>
      <c r="H696" s="89"/>
      <c r="I696" s="89"/>
      <c r="J696" s="89"/>
      <c r="K696" s="89"/>
      <c r="L696" s="89"/>
      <c r="M696" s="89"/>
      <c r="N696" s="89"/>
      <c r="O696" s="89"/>
      <c r="P696" s="89"/>
      <c r="Q696" s="89"/>
      <c r="R696" s="89"/>
      <c r="S696" s="89"/>
      <c r="T696" s="89"/>
    </row>
    <row r="697" ht="15.75" customHeight="1">
      <c r="A697" s="89"/>
      <c r="B697" s="89"/>
      <c r="C697" s="89"/>
      <c r="D697" s="89"/>
      <c r="E697" s="89"/>
      <c r="F697" s="89"/>
      <c r="G697" s="89"/>
      <c r="H697" s="89"/>
      <c r="I697" s="89"/>
      <c r="J697" s="89"/>
      <c r="K697" s="89"/>
      <c r="L697" s="89"/>
      <c r="M697" s="89"/>
      <c r="N697" s="89"/>
      <c r="O697" s="89"/>
      <c r="P697" s="89"/>
      <c r="Q697" s="89"/>
      <c r="R697" s="89"/>
      <c r="S697" s="89"/>
      <c r="T697" s="89"/>
    </row>
    <row r="698" ht="15.75" customHeight="1">
      <c r="A698" s="89"/>
      <c r="B698" s="89"/>
      <c r="C698" s="89"/>
      <c r="D698" s="89"/>
      <c r="E698" s="89"/>
      <c r="F698" s="89"/>
      <c r="G698" s="89"/>
      <c r="H698" s="89"/>
      <c r="I698" s="89"/>
      <c r="J698" s="89"/>
      <c r="K698" s="89"/>
      <c r="L698" s="89"/>
      <c r="M698" s="89"/>
      <c r="N698" s="89"/>
      <c r="O698" s="89"/>
      <c r="P698" s="89"/>
      <c r="Q698" s="89"/>
      <c r="R698" s="89"/>
      <c r="S698" s="89"/>
      <c r="T698" s="89"/>
    </row>
    <row r="699" ht="15.75" customHeight="1">
      <c r="A699" s="89"/>
      <c r="B699" s="89"/>
      <c r="C699" s="89"/>
      <c r="D699" s="89"/>
      <c r="E699" s="89"/>
      <c r="F699" s="89"/>
      <c r="G699" s="89"/>
      <c r="H699" s="89"/>
      <c r="I699" s="89"/>
      <c r="J699" s="89"/>
      <c r="K699" s="89"/>
      <c r="L699" s="89"/>
      <c r="M699" s="89"/>
      <c r="N699" s="89"/>
      <c r="O699" s="89"/>
      <c r="P699" s="89"/>
      <c r="Q699" s="89"/>
      <c r="R699" s="89"/>
      <c r="S699" s="89"/>
      <c r="T699" s="89"/>
    </row>
    <row r="700" ht="15.75" customHeight="1">
      <c r="A700" s="89"/>
      <c r="B700" s="89"/>
      <c r="C700" s="89"/>
      <c r="D700" s="89"/>
      <c r="E700" s="89"/>
      <c r="F700" s="89"/>
      <c r="G700" s="89"/>
      <c r="H700" s="89"/>
      <c r="I700" s="89"/>
      <c r="J700" s="89"/>
      <c r="K700" s="89"/>
      <c r="L700" s="89"/>
      <c r="M700" s="89"/>
      <c r="N700" s="89"/>
      <c r="O700" s="89"/>
      <c r="P700" s="89"/>
      <c r="Q700" s="89"/>
      <c r="R700" s="89"/>
      <c r="S700" s="89"/>
      <c r="T700" s="89"/>
    </row>
    <row r="701" ht="15.75" customHeight="1">
      <c r="A701" s="89"/>
      <c r="B701" s="89"/>
      <c r="C701" s="89"/>
      <c r="D701" s="89"/>
      <c r="E701" s="89"/>
      <c r="F701" s="89"/>
      <c r="G701" s="89"/>
      <c r="H701" s="89"/>
      <c r="I701" s="89"/>
      <c r="J701" s="89"/>
      <c r="K701" s="89"/>
      <c r="L701" s="89"/>
      <c r="M701" s="89"/>
      <c r="N701" s="89"/>
      <c r="O701" s="89"/>
      <c r="P701" s="89"/>
      <c r="Q701" s="89"/>
      <c r="R701" s="89"/>
      <c r="S701" s="89"/>
      <c r="T701" s="89"/>
    </row>
    <row r="702" ht="15.75" customHeight="1">
      <c r="A702" s="89"/>
      <c r="B702" s="89"/>
      <c r="C702" s="89"/>
      <c r="D702" s="89"/>
      <c r="E702" s="89"/>
      <c r="F702" s="89"/>
      <c r="G702" s="89"/>
      <c r="H702" s="89"/>
      <c r="I702" s="89"/>
      <c r="J702" s="89"/>
      <c r="K702" s="89"/>
      <c r="L702" s="89"/>
      <c r="M702" s="89"/>
      <c r="N702" s="89"/>
      <c r="O702" s="89"/>
      <c r="P702" s="89"/>
      <c r="Q702" s="89"/>
      <c r="R702" s="89"/>
      <c r="S702" s="89"/>
      <c r="T702" s="89"/>
    </row>
    <row r="703" ht="15.75" customHeight="1">
      <c r="A703" s="89"/>
      <c r="B703" s="89"/>
      <c r="C703" s="89"/>
      <c r="D703" s="89"/>
      <c r="E703" s="89"/>
      <c r="F703" s="89"/>
      <c r="G703" s="89"/>
      <c r="H703" s="89"/>
      <c r="I703" s="89"/>
      <c r="J703" s="89"/>
      <c r="K703" s="89"/>
      <c r="L703" s="89"/>
      <c r="M703" s="89"/>
      <c r="N703" s="89"/>
      <c r="O703" s="89"/>
      <c r="P703" s="89"/>
      <c r="Q703" s="89"/>
      <c r="R703" s="89"/>
      <c r="S703" s="89"/>
      <c r="T703" s="89"/>
    </row>
    <row r="704" ht="15.75" customHeight="1">
      <c r="A704" s="89"/>
      <c r="B704" s="89"/>
      <c r="C704" s="89"/>
      <c r="D704" s="89"/>
      <c r="E704" s="89"/>
      <c r="F704" s="89"/>
      <c r="G704" s="89"/>
      <c r="H704" s="89"/>
      <c r="I704" s="89"/>
      <c r="J704" s="89"/>
      <c r="K704" s="89"/>
      <c r="L704" s="89"/>
      <c r="M704" s="89"/>
      <c r="N704" s="89"/>
      <c r="O704" s="89"/>
      <c r="P704" s="89"/>
      <c r="Q704" s="89"/>
      <c r="R704" s="89"/>
      <c r="S704" s="89"/>
      <c r="T704" s="89"/>
    </row>
    <row r="705" ht="15.75" customHeight="1">
      <c r="A705" s="89"/>
      <c r="B705" s="89"/>
      <c r="C705" s="89"/>
      <c r="D705" s="89"/>
      <c r="E705" s="89"/>
      <c r="F705" s="89"/>
      <c r="G705" s="89"/>
      <c r="H705" s="89"/>
      <c r="I705" s="89"/>
      <c r="J705" s="89"/>
      <c r="K705" s="89"/>
      <c r="L705" s="89"/>
      <c r="M705" s="89"/>
      <c r="N705" s="89"/>
      <c r="O705" s="89"/>
      <c r="P705" s="89"/>
      <c r="Q705" s="89"/>
      <c r="R705" s="89"/>
      <c r="S705" s="89"/>
      <c r="T705" s="89"/>
    </row>
    <row r="706" ht="15.75" customHeight="1">
      <c r="A706" s="89"/>
      <c r="B706" s="89"/>
      <c r="C706" s="89"/>
      <c r="D706" s="89"/>
      <c r="E706" s="89"/>
      <c r="F706" s="89"/>
      <c r="G706" s="89"/>
      <c r="H706" s="89"/>
      <c r="I706" s="89"/>
      <c r="J706" s="89"/>
      <c r="K706" s="89"/>
      <c r="L706" s="89"/>
      <c r="M706" s="89"/>
      <c r="N706" s="89"/>
      <c r="O706" s="89"/>
      <c r="P706" s="89"/>
      <c r="Q706" s="89"/>
      <c r="R706" s="89"/>
      <c r="S706" s="89"/>
      <c r="T706" s="89"/>
    </row>
    <row r="707" ht="15.75" customHeight="1">
      <c r="A707" s="89"/>
      <c r="B707" s="89"/>
      <c r="C707" s="89"/>
      <c r="D707" s="89"/>
      <c r="E707" s="89"/>
      <c r="F707" s="89"/>
      <c r="G707" s="89"/>
      <c r="H707" s="89"/>
      <c r="I707" s="89"/>
      <c r="J707" s="89"/>
      <c r="K707" s="89"/>
      <c r="L707" s="89"/>
      <c r="M707" s="89"/>
      <c r="N707" s="89"/>
      <c r="O707" s="89"/>
      <c r="P707" s="89"/>
      <c r="Q707" s="89"/>
      <c r="R707" s="89"/>
      <c r="S707" s="89"/>
      <c r="T707" s="89"/>
    </row>
    <row r="708" ht="15.75" customHeight="1">
      <c r="A708" s="89"/>
      <c r="B708" s="89"/>
      <c r="C708" s="89"/>
      <c r="D708" s="89"/>
      <c r="E708" s="89"/>
      <c r="F708" s="89"/>
      <c r="G708" s="89"/>
      <c r="H708" s="89"/>
      <c r="I708" s="89"/>
      <c r="J708" s="89"/>
      <c r="K708" s="89"/>
      <c r="L708" s="89"/>
      <c r="M708" s="89"/>
      <c r="N708" s="89"/>
      <c r="O708" s="89"/>
      <c r="P708" s="89"/>
      <c r="Q708" s="89"/>
      <c r="R708" s="89"/>
      <c r="S708" s="89"/>
      <c r="T708" s="89"/>
    </row>
    <row r="709" ht="15.75" customHeight="1">
      <c r="A709" s="89"/>
      <c r="B709" s="89"/>
      <c r="C709" s="89"/>
      <c r="D709" s="89"/>
      <c r="E709" s="89"/>
      <c r="F709" s="89"/>
      <c r="G709" s="89"/>
      <c r="H709" s="89"/>
      <c r="I709" s="89"/>
      <c r="J709" s="89"/>
      <c r="K709" s="89"/>
      <c r="L709" s="89"/>
      <c r="M709" s="89"/>
      <c r="N709" s="89"/>
      <c r="O709" s="89"/>
      <c r="P709" s="89"/>
      <c r="Q709" s="89"/>
      <c r="R709" s="89"/>
      <c r="S709" s="89"/>
      <c r="T709" s="89"/>
    </row>
    <row r="710" ht="15.75" customHeight="1">
      <c r="A710" s="89"/>
      <c r="B710" s="89"/>
      <c r="C710" s="89"/>
      <c r="D710" s="89"/>
      <c r="E710" s="89"/>
      <c r="F710" s="89"/>
      <c r="G710" s="89"/>
      <c r="H710" s="89"/>
      <c r="I710" s="89"/>
      <c r="J710" s="89"/>
      <c r="K710" s="89"/>
      <c r="L710" s="89"/>
      <c r="M710" s="89"/>
      <c r="N710" s="89"/>
      <c r="O710" s="89"/>
      <c r="P710" s="89"/>
      <c r="Q710" s="89"/>
      <c r="R710" s="89"/>
      <c r="S710" s="89"/>
      <c r="T710" s="89"/>
    </row>
    <row r="711" ht="15.75" customHeight="1">
      <c r="A711" s="89"/>
      <c r="B711" s="89"/>
      <c r="C711" s="89"/>
      <c r="D711" s="89"/>
      <c r="E711" s="89"/>
      <c r="F711" s="89"/>
      <c r="G711" s="89"/>
      <c r="H711" s="89"/>
      <c r="I711" s="89"/>
      <c r="J711" s="89"/>
      <c r="K711" s="89"/>
      <c r="L711" s="89"/>
      <c r="M711" s="89"/>
      <c r="N711" s="89"/>
      <c r="O711" s="89"/>
      <c r="P711" s="89"/>
      <c r="Q711" s="89"/>
      <c r="R711" s="89"/>
      <c r="S711" s="89"/>
      <c r="T711" s="89"/>
    </row>
    <row r="712" ht="15.75" customHeight="1">
      <c r="A712" s="89"/>
      <c r="B712" s="89"/>
      <c r="C712" s="89"/>
      <c r="D712" s="89"/>
      <c r="E712" s="89"/>
      <c r="F712" s="89"/>
      <c r="G712" s="89"/>
      <c r="H712" s="89"/>
      <c r="I712" s="89"/>
      <c r="J712" s="89"/>
      <c r="K712" s="89"/>
      <c r="L712" s="89"/>
      <c r="M712" s="89"/>
      <c r="N712" s="89"/>
      <c r="O712" s="89"/>
      <c r="P712" s="89"/>
      <c r="Q712" s="89"/>
      <c r="R712" s="89"/>
      <c r="S712" s="89"/>
      <c r="T712" s="89"/>
    </row>
    <row r="713" ht="15.75" customHeight="1">
      <c r="A713" s="89"/>
      <c r="B713" s="89"/>
      <c r="C713" s="89"/>
      <c r="D713" s="89"/>
      <c r="E713" s="89"/>
      <c r="F713" s="89"/>
      <c r="G713" s="89"/>
      <c r="H713" s="89"/>
      <c r="I713" s="89"/>
      <c r="J713" s="89"/>
      <c r="K713" s="89"/>
      <c r="L713" s="89"/>
      <c r="M713" s="89"/>
      <c r="N713" s="89"/>
      <c r="O713" s="89"/>
      <c r="P713" s="89"/>
      <c r="Q713" s="89"/>
      <c r="R713" s="89"/>
      <c r="S713" s="89"/>
      <c r="T713" s="89"/>
    </row>
    <row r="714" ht="15.75" customHeight="1">
      <c r="A714" s="89"/>
      <c r="B714" s="89"/>
      <c r="C714" s="89"/>
      <c r="D714" s="89"/>
      <c r="E714" s="89"/>
      <c r="F714" s="89"/>
      <c r="G714" s="89"/>
      <c r="H714" s="89"/>
      <c r="I714" s="89"/>
      <c r="J714" s="89"/>
      <c r="K714" s="89"/>
      <c r="L714" s="89"/>
      <c r="M714" s="89"/>
      <c r="N714" s="89"/>
      <c r="O714" s="89"/>
      <c r="P714" s="89"/>
      <c r="Q714" s="89"/>
      <c r="R714" s="89"/>
      <c r="S714" s="89"/>
      <c r="T714" s="89"/>
    </row>
    <row r="715" ht="15.75" customHeight="1">
      <c r="A715" s="89"/>
      <c r="B715" s="89"/>
      <c r="C715" s="89"/>
      <c r="D715" s="89"/>
      <c r="E715" s="89"/>
      <c r="F715" s="89"/>
      <c r="G715" s="89"/>
      <c r="H715" s="89"/>
      <c r="I715" s="89"/>
      <c r="J715" s="89"/>
      <c r="K715" s="89"/>
      <c r="L715" s="89"/>
      <c r="M715" s="89"/>
      <c r="N715" s="89"/>
      <c r="O715" s="89"/>
      <c r="P715" s="89"/>
      <c r="Q715" s="89"/>
      <c r="R715" s="89"/>
      <c r="S715" s="89"/>
      <c r="T715" s="89"/>
    </row>
    <row r="716" ht="15.75" customHeight="1">
      <c r="A716" s="89"/>
      <c r="B716" s="89"/>
      <c r="C716" s="89"/>
      <c r="D716" s="89"/>
      <c r="E716" s="89"/>
      <c r="F716" s="89"/>
      <c r="G716" s="89"/>
      <c r="H716" s="89"/>
      <c r="I716" s="89"/>
      <c r="J716" s="89"/>
      <c r="K716" s="89"/>
      <c r="L716" s="89"/>
      <c r="M716" s="89"/>
      <c r="N716" s="89"/>
      <c r="O716" s="89"/>
      <c r="P716" s="89"/>
      <c r="Q716" s="89"/>
      <c r="R716" s="89"/>
      <c r="S716" s="89"/>
      <c r="T716" s="89"/>
    </row>
    <row r="717" ht="15.75" customHeight="1">
      <c r="A717" s="89"/>
      <c r="B717" s="89"/>
      <c r="C717" s="89"/>
      <c r="D717" s="89"/>
      <c r="E717" s="89"/>
      <c r="F717" s="89"/>
      <c r="G717" s="89"/>
      <c r="H717" s="89"/>
      <c r="I717" s="89"/>
      <c r="J717" s="89"/>
      <c r="K717" s="89"/>
      <c r="L717" s="89"/>
      <c r="M717" s="89"/>
      <c r="N717" s="89"/>
      <c r="O717" s="89"/>
      <c r="P717" s="89"/>
      <c r="Q717" s="89"/>
      <c r="R717" s="89"/>
      <c r="S717" s="89"/>
      <c r="T717" s="89"/>
    </row>
    <row r="718" ht="15.75" customHeight="1">
      <c r="A718" s="89"/>
      <c r="B718" s="89"/>
      <c r="C718" s="89"/>
      <c r="D718" s="89"/>
      <c r="E718" s="89"/>
      <c r="F718" s="89"/>
      <c r="G718" s="89"/>
      <c r="H718" s="89"/>
      <c r="I718" s="89"/>
      <c r="J718" s="89"/>
      <c r="K718" s="89"/>
      <c r="L718" s="89"/>
      <c r="M718" s="89"/>
      <c r="N718" s="89"/>
      <c r="O718" s="89"/>
      <c r="P718" s="89"/>
      <c r="Q718" s="89"/>
      <c r="R718" s="89"/>
      <c r="S718" s="89"/>
      <c r="T718" s="89"/>
    </row>
    <row r="719" ht="15.75" customHeight="1">
      <c r="A719" s="89"/>
      <c r="B719" s="89"/>
      <c r="C719" s="89"/>
      <c r="D719" s="89"/>
      <c r="E719" s="89"/>
      <c r="F719" s="89"/>
      <c r="G719" s="89"/>
      <c r="H719" s="89"/>
      <c r="I719" s="89"/>
      <c r="J719" s="89"/>
      <c r="K719" s="89"/>
      <c r="L719" s="89"/>
      <c r="M719" s="89"/>
      <c r="N719" s="89"/>
      <c r="O719" s="89"/>
      <c r="P719" s="89"/>
      <c r="Q719" s="89"/>
      <c r="R719" s="89"/>
      <c r="S719" s="89"/>
      <c r="T719" s="89"/>
    </row>
    <row r="720" ht="15.75" customHeight="1">
      <c r="A720" s="89"/>
      <c r="B720" s="89"/>
      <c r="C720" s="89"/>
      <c r="D720" s="89"/>
      <c r="E720" s="89"/>
      <c r="F720" s="89"/>
      <c r="G720" s="89"/>
      <c r="H720" s="89"/>
      <c r="I720" s="89"/>
      <c r="J720" s="89"/>
      <c r="K720" s="89"/>
      <c r="L720" s="89"/>
      <c r="M720" s="89"/>
      <c r="N720" s="89"/>
      <c r="O720" s="89"/>
      <c r="P720" s="89"/>
      <c r="Q720" s="89"/>
      <c r="R720" s="89"/>
      <c r="S720" s="89"/>
      <c r="T720" s="89"/>
    </row>
    <row r="721" ht="15.75" customHeight="1">
      <c r="A721" s="89"/>
      <c r="B721" s="89"/>
      <c r="C721" s="89"/>
      <c r="D721" s="89"/>
      <c r="E721" s="89"/>
      <c r="F721" s="89"/>
      <c r="G721" s="89"/>
      <c r="H721" s="89"/>
      <c r="I721" s="89"/>
      <c r="J721" s="89"/>
      <c r="K721" s="89"/>
      <c r="L721" s="89"/>
      <c r="M721" s="89"/>
      <c r="N721" s="89"/>
      <c r="O721" s="89"/>
      <c r="P721" s="89"/>
      <c r="Q721" s="89"/>
      <c r="R721" s="89"/>
      <c r="S721" s="89"/>
      <c r="T721" s="89"/>
    </row>
    <row r="722" ht="15.75" customHeight="1">
      <c r="A722" s="89"/>
      <c r="B722" s="89"/>
      <c r="C722" s="89"/>
      <c r="D722" s="89"/>
      <c r="E722" s="89"/>
      <c r="F722" s="89"/>
      <c r="G722" s="89"/>
      <c r="H722" s="89"/>
      <c r="I722" s="89"/>
      <c r="J722" s="89"/>
      <c r="K722" s="89"/>
      <c r="L722" s="89"/>
      <c r="M722" s="89"/>
      <c r="N722" s="89"/>
      <c r="O722" s="89"/>
      <c r="P722" s="89"/>
      <c r="Q722" s="89"/>
      <c r="R722" s="89"/>
      <c r="S722" s="89"/>
      <c r="T722" s="89"/>
    </row>
    <row r="723" ht="15.75" customHeight="1">
      <c r="A723" s="89"/>
      <c r="B723" s="89"/>
      <c r="C723" s="89"/>
      <c r="D723" s="89"/>
      <c r="E723" s="89"/>
      <c r="F723" s="89"/>
      <c r="G723" s="89"/>
      <c r="H723" s="89"/>
      <c r="I723" s="89"/>
      <c r="J723" s="89"/>
      <c r="K723" s="89"/>
      <c r="L723" s="89"/>
      <c r="M723" s="89"/>
      <c r="N723" s="89"/>
      <c r="O723" s="89"/>
      <c r="P723" s="89"/>
      <c r="Q723" s="89"/>
      <c r="R723" s="89"/>
      <c r="S723" s="89"/>
      <c r="T723" s="89"/>
    </row>
    <row r="724" ht="15.75" customHeight="1">
      <c r="A724" s="89"/>
      <c r="B724" s="89"/>
      <c r="C724" s="89"/>
      <c r="D724" s="89"/>
      <c r="E724" s="89"/>
      <c r="F724" s="89"/>
      <c r="G724" s="89"/>
      <c r="H724" s="89"/>
      <c r="I724" s="89"/>
      <c r="J724" s="89"/>
      <c r="K724" s="89"/>
      <c r="L724" s="89"/>
      <c r="M724" s="89"/>
      <c r="N724" s="89"/>
      <c r="O724" s="89"/>
      <c r="P724" s="89"/>
      <c r="Q724" s="89"/>
      <c r="R724" s="89"/>
      <c r="S724" s="89"/>
      <c r="T724" s="89"/>
    </row>
    <row r="725" ht="15.75" customHeight="1">
      <c r="A725" s="89"/>
      <c r="B725" s="89"/>
      <c r="C725" s="89"/>
      <c r="D725" s="89"/>
      <c r="E725" s="89"/>
      <c r="F725" s="89"/>
      <c r="G725" s="89"/>
      <c r="H725" s="89"/>
      <c r="I725" s="89"/>
      <c r="J725" s="89"/>
      <c r="K725" s="89"/>
      <c r="L725" s="89"/>
      <c r="M725" s="89"/>
      <c r="N725" s="89"/>
      <c r="O725" s="89"/>
      <c r="P725" s="89"/>
      <c r="Q725" s="89"/>
      <c r="R725" s="89"/>
      <c r="S725" s="89"/>
      <c r="T725" s="89"/>
    </row>
    <row r="726" ht="15.75" customHeight="1">
      <c r="A726" s="89"/>
      <c r="B726" s="89"/>
      <c r="C726" s="89"/>
      <c r="D726" s="89"/>
      <c r="E726" s="89"/>
      <c r="F726" s="89"/>
      <c r="G726" s="89"/>
      <c r="H726" s="89"/>
      <c r="I726" s="89"/>
      <c r="J726" s="89"/>
      <c r="K726" s="89"/>
      <c r="L726" s="89"/>
      <c r="M726" s="89"/>
      <c r="N726" s="89"/>
      <c r="O726" s="89"/>
      <c r="P726" s="89"/>
      <c r="Q726" s="89"/>
      <c r="R726" s="89"/>
      <c r="S726" s="89"/>
      <c r="T726" s="89"/>
    </row>
    <row r="727" ht="15.75" customHeight="1">
      <c r="A727" s="89"/>
      <c r="B727" s="89"/>
      <c r="C727" s="89"/>
      <c r="D727" s="89"/>
      <c r="E727" s="89"/>
      <c r="F727" s="89"/>
      <c r="G727" s="89"/>
      <c r="H727" s="89"/>
      <c r="I727" s="89"/>
      <c r="J727" s="89"/>
      <c r="K727" s="89"/>
      <c r="L727" s="89"/>
      <c r="M727" s="89"/>
      <c r="N727" s="89"/>
      <c r="O727" s="89"/>
      <c r="P727" s="89"/>
      <c r="Q727" s="89"/>
      <c r="R727" s="89"/>
      <c r="S727" s="89"/>
      <c r="T727" s="89"/>
    </row>
    <row r="728" ht="15.75" customHeight="1">
      <c r="A728" s="89"/>
      <c r="B728" s="89"/>
      <c r="C728" s="89"/>
      <c r="D728" s="89"/>
      <c r="E728" s="89"/>
      <c r="F728" s="89"/>
      <c r="G728" s="89"/>
      <c r="H728" s="89"/>
      <c r="I728" s="89"/>
      <c r="J728" s="89"/>
      <c r="K728" s="89"/>
      <c r="L728" s="89"/>
      <c r="M728" s="89"/>
      <c r="N728" s="89"/>
      <c r="O728" s="89"/>
      <c r="P728" s="89"/>
      <c r="Q728" s="89"/>
      <c r="R728" s="89"/>
      <c r="S728" s="89"/>
      <c r="T728" s="89"/>
    </row>
    <row r="729" ht="15.75" customHeight="1">
      <c r="A729" s="89"/>
      <c r="B729" s="89"/>
      <c r="C729" s="89"/>
      <c r="D729" s="89"/>
      <c r="E729" s="89"/>
      <c r="F729" s="89"/>
      <c r="G729" s="89"/>
      <c r="H729" s="89"/>
      <c r="I729" s="89"/>
      <c r="J729" s="89"/>
      <c r="K729" s="89"/>
      <c r="L729" s="89"/>
      <c r="M729" s="89"/>
      <c r="N729" s="89"/>
      <c r="O729" s="89"/>
      <c r="P729" s="89"/>
      <c r="Q729" s="89"/>
      <c r="R729" s="89"/>
      <c r="S729" s="89"/>
      <c r="T729" s="89"/>
    </row>
    <row r="730" ht="15.75" customHeight="1">
      <c r="A730" s="89"/>
      <c r="B730" s="89"/>
      <c r="C730" s="89"/>
      <c r="D730" s="89"/>
      <c r="E730" s="89"/>
      <c r="F730" s="89"/>
      <c r="G730" s="89"/>
      <c r="H730" s="89"/>
      <c r="I730" s="89"/>
      <c r="J730" s="89"/>
      <c r="K730" s="89"/>
      <c r="L730" s="89"/>
      <c r="M730" s="89"/>
      <c r="N730" s="89"/>
      <c r="O730" s="89"/>
      <c r="P730" s="89"/>
      <c r="Q730" s="89"/>
      <c r="R730" s="89"/>
      <c r="S730" s="89"/>
      <c r="T730" s="89"/>
    </row>
    <row r="731" ht="15.75" customHeight="1">
      <c r="A731" s="89"/>
      <c r="B731" s="89"/>
      <c r="C731" s="89"/>
      <c r="D731" s="89"/>
      <c r="E731" s="89"/>
      <c r="F731" s="89"/>
      <c r="G731" s="89"/>
      <c r="H731" s="89"/>
      <c r="I731" s="89"/>
      <c r="J731" s="89"/>
      <c r="K731" s="89"/>
      <c r="L731" s="89"/>
      <c r="M731" s="89"/>
      <c r="N731" s="89"/>
      <c r="O731" s="89"/>
      <c r="P731" s="89"/>
      <c r="Q731" s="89"/>
      <c r="R731" s="89"/>
      <c r="S731" s="89"/>
      <c r="T731" s="89"/>
    </row>
    <row r="732" ht="15.75" customHeight="1">
      <c r="A732" s="89"/>
      <c r="B732" s="89"/>
      <c r="C732" s="89"/>
      <c r="D732" s="89"/>
      <c r="E732" s="89"/>
      <c r="F732" s="89"/>
      <c r="G732" s="89"/>
      <c r="H732" s="89"/>
      <c r="I732" s="89"/>
      <c r="J732" s="89"/>
      <c r="K732" s="89"/>
      <c r="L732" s="89"/>
      <c r="M732" s="89"/>
      <c r="N732" s="89"/>
      <c r="O732" s="89"/>
      <c r="P732" s="89"/>
      <c r="Q732" s="89"/>
      <c r="R732" s="89"/>
      <c r="S732" s="89"/>
      <c r="T732" s="89"/>
    </row>
    <row r="733" ht="15.75" customHeight="1">
      <c r="A733" s="89"/>
      <c r="B733" s="89"/>
      <c r="C733" s="89"/>
      <c r="D733" s="89"/>
      <c r="E733" s="89"/>
      <c r="F733" s="89"/>
      <c r="G733" s="89"/>
      <c r="H733" s="89"/>
      <c r="I733" s="89"/>
      <c r="J733" s="89"/>
      <c r="K733" s="89"/>
      <c r="L733" s="89"/>
      <c r="M733" s="89"/>
      <c r="N733" s="89"/>
      <c r="O733" s="89"/>
      <c r="P733" s="89"/>
      <c r="Q733" s="89"/>
      <c r="R733" s="89"/>
      <c r="S733" s="89"/>
      <c r="T733" s="89"/>
    </row>
    <row r="734" ht="15.75" customHeight="1">
      <c r="A734" s="89"/>
      <c r="B734" s="89"/>
      <c r="C734" s="89"/>
      <c r="D734" s="89"/>
      <c r="E734" s="89"/>
      <c r="F734" s="89"/>
      <c r="G734" s="89"/>
      <c r="H734" s="89"/>
      <c r="I734" s="89"/>
      <c r="J734" s="89"/>
      <c r="K734" s="89"/>
      <c r="L734" s="89"/>
      <c r="M734" s="89"/>
      <c r="N734" s="89"/>
      <c r="O734" s="89"/>
      <c r="P734" s="89"/>
      <c r="Q734" s="89"/>
      <c r="R734" s="89"/>
      <c r="S734" s="89"/>
      <c r="T734" s="89"/>
    </row>
    <row r="735" ht="15.75" customHeight="1">
      <c r="A735" s="89"/>
      <c r="B735" s="89"/>
      <c r="C735" s="89"/>
      <c r="D735" s="89"/>
      <c r="E735" s="89"/>
      <c r="F735" s="89"/>
      <c r="G735" s="89"/>
      <c r="H735" s="89"/>
      <c r="I735" s="89"/>
      <c r="J735" s="89"/>
      <c r="K735" s="89"/>
      <c r="L735" s="89"/>
      <c r="M735" s="89"/>
      <c r="N735" s="89"/>
      <c r="O735" s="89"/>
      <c r="P735" s="89"/>
      <c r="Q735" s="89"/>
      <c r="R735" s="89"/>
      <c r="S735" s="89"/>
      <c r="T735" s="89"/>
    </row>
    <row r="736" ht="15.75" customHeight="1">
      <c r="A736" s="89"/>
      <c r="B736" s="89"/>
      <c r="C736" s="89"/>
      <c r="D736" s="89"/>
      <c r="E736" s="89"/>
      <c r="F736" s="89"/>
      <c r="G736" s="89"/>
      <c r="H736" s="89"/>
      <c r="I736" s="89"/>
      <c r="J736" s="89"/>
      <c r="K736" s="89"/>
      <c r="L736" s="89"/>
      <c r="M736" s="89"/>
      <c r="N736" s="89"/>
      <c r="O736" s="89"/>
      <c r="P736" s="89"/>
      <c r="Q736" s="89"/>
      <c r="R736" s="89"/>
      <c r="S736" s="89"/>
      <c r="T736" s="89"/>
    </row>
    <row r="737" ht="15.75" customHeight="1">
      <c r="A737" s="89"/>
      <c r="B737" s="89"/>
      <c r="C737" s="89"/>
      <c r="D737" s="89"/>
      <c r="E737" s="89"/>
      <c r="F737" s="89"/>
      <c r="G737" s="89"/>
      <c r="H737" s="89"/>
      <c r="I737" s="89"/>
      <c r="J737" s="89"/>
      <c r="K737" s="89"/>
      <c r="L737" s="89"/>
      <c r="M737" s="89"/>
      <c r="N737" s="89"/>
      <c r="O737" s="89"/>
      <c r="P737" s="89"/>
      <c r="Q737" s="89"/>
      <c r="R737" s="89"/>
      <c r="S737" s="89"/>
      <c r="T737" s="89"/>
    </row>
    <row r="738" ht="15.75" customHeight="1">
      <c r="A738" s="89"/>
      <c r="B738" s="89"/>
      <c r="C738" s="89"/>
      <c r="D738" s="89"/>
      <c r="E738" s="89"/>
      <c r="F738" s="89"/>
      <c r="G738" s="89"/>
      <c r="H738" s="89"/>
      <c r="I738" s="89"/>
      <c r="J738" s="89"/>
      <c r="K738" s="89"/>
      <c r="L738" s="89"/>
      <c r="M738" s="89"/>
      <c r="N738" s="89"/>
      <c r="O738" s="89"/>
      <c r="P738" s="89"/>
      <c r="Q738" s="89"/>
      <c r="R738" s="89"/>
      <c r="S738" s="89"/>
      <c r="T738" s="89"/>
    </row>
    <row r="739" ht="15.75" customHeight="1">
      <c r="A739" s="89"/>
      <c r="B739" s="89"/>
      <c r="C739" s="89"/>
      <c r="D739" s="89"/>
      <c r="E739" s="89"/>
      <c r="F739" s="89"/>
      <c r="G739" s="89"/>
      <c r="H739" s="89"/>
      <c r="I739" s="89"/>
      <c r="J739" s="89"/>
      <c r="K739" s="89"/>
      <c r="L739" s="89"/>
      <c r="M739" s="89"/>
      <c r="N739" s="89"/>
      <c r="O739" s="89"/>
      <c r="P739" s="89"/>
      <c r="Q739" s="89"/>
      <c r="R739" s="89"/>
      <c r="S739" s="89"/>
      <c r="T739" s="89"/>
    </row>
    <row r="740" ht="15.75" customHeight="1">
      <c r="A740" s="89"/>
      <c r="B740" s="89"/>
      <c r="C740" s="89"/>
      <c r="D740" s="89"/>
      <c r="E740" s="89"/>
      <c r="F740" s="89"/>
      <c r="G740" s="89"/>
      <c r="H740" s="89"/>
      <c r="I740" s="89"/>
      <c r="J740" s="89"/>
      <c r="K740" s="89"/>
      <c r="L740" s="89"/>
      <c r="M740" s="89"/>
      <c r="N740" s="89"/>
      <c r="O740" s="89"/>
      <c r="P740" s="89"/>
      <c r="Q740" s="89"/>
      <c r="R740" s="89"/>
      <c r="S740" s="89"/>
      <c r="T740" s="89"/>
    </row>
    <row r="741" ht="15.75" customHeight="1">
      <c r="A741" s="89"/>
      <c r="B741" s="89"/>
      <c r="C741" s="89"/>
      <c r="D741" s="89"/>
      <c r="E741" s="89"/>
      <c r="F741" s="89"/>
      <c r="G741" s="89"/>
      <c r="H741" s="89"/>
      <c r="I741" s="89"/>
      <c r="J741" s="89"/>
      <c r="K741" s="89"/>
      <c r="L741" s="89"/>
      <c r="M741" s="89"/>
      <c r="N741" s="89"/>
      <c r="O741" s="89"/>
      <c r="P741" s="89"/>
      <c r="Q741" s="89"/>
      <c r="R741" s="89"/>
      <c r="S741" s="89"/>
      <c r="T741" s="89"/>
    </row>
    <row r="742" ht="15.75" customHeight="1">
      <c r="A742" s="89"/>
      <c r="B742" s="89"/>
      <c r="C742" s="89"/>
      <c r="D742" s="89"/>
      <c r="E742" s="89"/>
      <c r="F742" s="89"/>
      <c r="G742" s="89"/>
      <c r="H742" s="89"/>
      <c r="I742" s="89"/>
      <c r="J742" s="89"/>
      <c r="K742" s="89"/>
      <c r="L742" s="89"/>
      <c r="M742" s="89"/>
      <c r="N742" s="89"/>
      <c r="O742" s="89"/>
      <c r="P742" s="89"/>
      <c r="Q742" s="89"/>
      <c r="R742" s="89"/>
      <c r="S742" s="89"/>
      <c r="T742" s="89"/>
    </row>
    <row r="743" ht="15.75" customHeight="1">
      <c r="A743" s="89"/>
      <c r="B743" s="89"/>
      <c r="C743" s="89"/>
      <c r="D743" s="89"/>
      <c r="E743" s="89"/>
      <c r="F743" s="89"/>
      <c r="G743" s="89"/>
      <c r="H743" s="89"/>
      <c r="I743" s="89"/>
      <c r="J743" s="89"/>
      <c r="K743" s="89"/>
      <c r="L743" s="89"/>
      <c r="M743" s="89"/>
      <c r="N743" s="89"/>
      <c r="O743" s="89"/>
      <c r="P743" s="89"/>
      <c r="Q743" s="89"/>
      <c r="R743" s="89"/>
      <c r="S743" s="89"/>
      <c r="T743" s="89"/>
    </row>
    <row r="744" ht="15.75" customHeight="1">
      <c r="A744" s="89"/>
      <c r="B744" s="89"/>
      <c r="C744" s="89"/>
      <c r="D744" s="89"/>
      <c r="E744" s="89"/>
      <c r="F744" s="89"/>
      <c r="G744" s="89"/>
      <c r="H744" s="89"/>
      <c r="I744" s="89"/>
      <c r="J744" s="89"/>
      <c r="K744" s="89"/>
      <c r="L744" s="89"/>
      <c r="M744" s="89"/>
      <c r="N744" s="89"/>
      <c r="O744" s="89"/>
      <c r="P744" s="89"/>
      <c r="Q744" s="89"/>
      <c r="R744" s="89"/>
      <c r="S744" s="89"/>
      <c r="T744" s="89"/>
    </row>
    <row r="745" ht="15.75" customHeight="1">
      <c r="A745" s="89"/>
      <c r="B745" s="89"/>
      <c r="C745" s="89"/>
      <c r="D745" s="89"/>
      <c r="E745" s="89"/>
      <c r="F745" s="89"/>
      <c r="G745" s="89"/>
      <c r="H745" s="89"/>
      <c r="I745" s="89"/>
      <c r="J745" s="89"/>
      <c r="K745" s="89"/>
      <c r="L745" s="89"/>
      <c r="M745" s="89"/>
      <c r="N745" s="89"/>
      <c r="O745" s="89"/>
      <c r="P745" s="89"/>
      <c r="Q745" s="89"/>
      <c r="R745" s="89"/>
      <c r="S745" s="89"/>
      <c r="T745" s="89"/>
    </row>
    <row r="746" ht="15.75" customHeight="1">
      <c r="A746" s="89"/>
      <c r="B746" s="89"/>
      <c r="C746" s="89"/>
      <c r="D746" s="89"/>
      <c r="E746" s="89"/>
      <c r="F746" s="89"/>
      <c r="G746" s="89"/>
      <c r="H746" s="89"/>
      <c r="I746" s="89"/>
      <c r="J746" s="89"/>
      <c r="K746" s="89"/>
      <c r="L746" s="89"/>
      <c r="M746" s="89"/>
      <c r="N746" s="89"/>
      <c r="O746" s="89"/>
      <c r="P746" s="89"/>
      <c r="Q746" s="89"/>
      <c r="R746" s="89"/>
      <c r="S746" s="89"/>
      <c r="T746" s="89"/>
    </row>
    <row r="747" ht="15.75" customHeight="1">
      <c r="A747" s="89"/>
      <c r="B747" s="89"/>
      <c r="C747" s="89"/>
      <c r="D747" s="89"/>
      <c r="E747" s="89"/>
      <c r="F747" s="89"/>
      <c r="G747" s="89"/>
      <c r="H747" s="89"/>
      <c r="I747" s="89"/>
      <c r="J747" s="89"/>
      <c r="K747" s="89"/>
      <c r="L747" s="89"/>
      <c r="M747" s="89"/>
      <c r="N747" s="89"/>
      <c r="O747" s="89"/>
      <c r="P747" s="89"/>
      <c r="Q747" s="89"/>
      <c r="R747" s="89"/>
      <c r="S747" s="89"/>
      <c r="T747" s="89"/>
    </row>
    <row r="748" ht="15.75" customHeight="1">
      <c r="A748" s="89"/>
      <c r="B748" s="89"/>
      <c r="C748" s="89"/>
      <c r="D748" s="89"/>
      <c r="E748" s="89"/>
      <c r="F748" s="89"/>
      <c r="G748" s="89"/>
      <c r="H748" s="89"/>
      <c r="I748" s="89"/>
      <c r="J748" s="89"/>
      <c r="K748" s="89"/>
      <c r="L748" s="89"/>
      <c r="M748" s="89"/>
      <c r="N748" s="89"/>
      <c r="O748" s="89"/>
      <c r="P748" s="89"/>
      <c r="Q748" s="89"/>
      <c r="R748" s="89"/>
      <c r="S748" s="89"/>
      <c r="T748" s="89"/>
    </row>
    <row r="749" ht="15.75" customHeight="1">
      <c r="A749" s="89"/>
      <c r="B749" s="89"/>
      <c r="C749" s="89"/>
      <c r="D749" s="89"/>
      <c r="E749" s="89"/>
      <c r="F749" s="89"/>
      <c r="G749" s="89"/>
      <c r="H749" s="89"/>
      <c r="I749" s="89"/>
      <c r="J749" s="89"/>
      <c r="K749" s="89"/>
      <c r="L749" s="89"/>
      <c r="M749" s="89"/>
      <c r="N749" s="89"/>
      <c r="O749" s="89"/>
      <c r="P749" s="89"/>
      <c r="Q749" s="89"/>
      <c r="R749" s="89"/>
      <c r="S749" s="89"/>
      <c r="T749" s="89"/>
    </row>
    <row r="750" ht="15.75" customHeight="1">
      <c r="A750" s="89"/>
      <c r="B750" s="89"/>
      <c r="C750" s="89"/>
      <c r="D750" s="89"/>
      <c r="E750" s="89"/>
      <c r="F750" s="89"/>
      <c r="G750" s="89"/>
      <c r="H750" s="89"/>
      <c r="I750" s="89"/>
      <c r="J750" s="89"/>
      <c r="K750" s="89"/>
      <c r="L750" s="89"/>
      <c r="M750" s="89"/>
      <c r="N750" s="89"/>
      <c r="O750" s="89"/>
      <c r="P750" s="89"/>
      <c r="Q750" s="89"/>
      <c r="R750" s="89"/>
      <c r="S750" s="89"/>
      <c r="T750" s="89"/>
    </row>
    <row r="751" ht="15.75" customHeight="1">
      <c r="A751" s="89"/>
      <c r="B751" s="89"/>
      <c r="C751" s="89"/>
      <c r="D751" s="89"/>
      <c r="E751" s="89"/>
      <c r="F751" s="89"/>
      <c r="G751" s="89"/>
      <c r="H751" s="89"/>
      <c r="I751" s="89"/>
      <c r="J751" s="89"/>
      <c r="K751" s="89"/>
      <c r="L751" s="89"/>
      <c r="M751" s="89"/>
      <c r="N751" s="89"/>
      <c r="O751" s="89"/>
      <c r="P751" s="89"/>
      <c r="Q751" s="89"/>
      <c r="R751" s="89"/>
      <c r="S751" s="89"/>
      <c r="T751" s="89"/>
    </row>
    <row r="752" ht="15.75" customHeight="1">
      <c r="A752" s="89"/>
      <c r="B752" s="89"/>
      <c r="C752" s="89"/>
      <c r="D752" s="89"/>
      <c r="E752" s="89"/>
      <c r="F752" s="89"/>
      <c r="G752" s="89"/>
      <c r="H752" s="89"/>
      <c r="I752" s="89"/>
      <c r="J752" s="89"/>
      <c r="K752" s="89"/>
      <c r="L752" s="89"/>
      <c r="M752" s="89"/>
      <c r="N752" s="89"/>
      <c r="O752" s="89"/>
      <c r="P752" s="89"/>
      <c r="Q752" s="89"/>
      <c r="R752" s="89"/>
      <c r="S752" s="89"/>
      <c r="T752" s="89"/>
    </row>
    <row r="753" ht="15.75" customHeight="1">
      <c r="A753" s="89"/>
      <c r="B753" s="89"/>
      <c r="C753" s="89"/>
      <c r="D753" s="89"/>
      <c r="E753" s="89"/>
      <c r="F753" s="89"/>
      <c r="G753" s="89"/>
      <c r="H753" s="89"/>
      <c r="I753" s="89"/>
      <c r="J753" s="89"/>
      <c r="K753" s="89"/>
      <c r="L753" s="89"/>
      <c r="M753" s="89"/>
      <c r="N753" s="89"/>
      <c r="O753" s="89"/>
      <c r="P753" s="89"/>
      <c r="Q753" s="89"/>
      <c r="R753" s="89"/>
      <c r="S753" s="89"/>
      <c r="T753" s="89"/>
    </row>
    <row r="754" ht="15.75" customHeight="1">
      <c r="A754" s="89"/>
      <c r="B754" s="89"/>
      <c r="C754" s="89"/>
      <c r="D754" s="89"/>
      <c r="E754" s="89"/>
      <c r="F754" s="89"/>
      <c r="G754" s="89"/>
      <c r="H754" s="89"/>
      <c r="I754" s="89"/>
      <c r="J754" s="89"/>
      <c r="K754" s="89"/>
      <c r="L754" s="89"/>
      <c r="M754" s="89"/>
      <c r="N754" s="89"/>
      <c r="O754" s="89"/>
      <c r="P754" s="89"/>
      <c r="Q754" s="89"/>
      <c r="R754" s="89"/>
      <c r="S754" s="89"/>
      <c r="T754" s="89"/>
    </row>
    <row r="755" ht="15.75" customHeight="1">
      <c r="A755" s="89"/>
      <c r="B755" s="89"/>
      <c r="C755" s="89"/>
      <c r="D755" s="89"/>
      <c r="E755" s="89"/>
      <c r="F755" s="89"/>
      <c r="G755" s="89"/>
      <c r="H755" s="89"/>
      <c r="I755" s="89"/>
      <c r="J755" s="89"/>
      <c r="K755" s="89"/>
      <c r="L755" s="89"/>
      <c r="M755" s="89"/>
      <c r="N755" s="89"/>
      <c r="O755" s="89"/>
      <c r="P755" s="89"/>
      <c r="Q755" s="89"/>
      <c r="R755" s="89"/>
      <c r="S755" s="89"/>
      <c r="T755" s="89"/>
    </row>
    <row r="756" ht="15.75" customHeight="1">
      <c r="A756" s="89"/>
      <c r="B756" s="89"/>
      <c r="C756" s="89"/>
      <c r="D756" s="89"/>
      <c r="E756" s="89"/>
      <c r="F756" s="89"/>
      <c r="G756" s="89"/>
      <c r="H756" s="89"/>
      <c r="I756" s="89"/>
      <c r="J756" s="89"/>
      <c r="K756" s="89"/>
      <c r="L756" s="89"/>
      <c r="M756" s="89"/>
      <c r="N756" s="89"/>
      <c r="O756" s="89"/>
      <c r="P756" s="89"/>
      <c r="Q756" s="89"/>
      <c r="R756" s="89"/>
      <c r="S756" s="89"/>
      <c r="T756" s="89"/>
    </row>
    <row r="757" ht="15.75" customHeight="1">
      <c r="A757" s="89"/>
      <c r="B757" s="89"/>
      <c r="C757" s="89"/>
      <c r="D757" s="89"/>
      <c r="E757" s="89"/>
      <c r="F757" s="89"/>
      <c r="G757" s="89"/>
      <c r="H757" s="89"/>
      <c r="I757" s="89"/>
      <c r="J757" s="89"/>
      <c r="K757" s="89"/>
      <c r="L757" s="89"/>
      <c r="M757" s="89"/>
      <c r="N757" s="89"/>
      <c r="O757" s="89"/>
      <c r="P757" s="89"/>
      <c r="Q757" s="89"/>
      <c r="R757" s="89"/>
      <c r="S757" s="89"/>
      <c r="T757" s="89"/>
    </row>
    <row r="758" ht="15.75" customHeight="1">
      <c r="A758" s="89"/>
      <c r="B758" s="89"/>
      <c r="C758" s="89"/>
      <c r="D758" s="89"/>
      <c r="E758" s="89"/>
      <c r="F758" s="89"/>
      <c r="G758" s="89"/>
      <c r="H758" s="89"/>
      <c r="I758" s="89"/>
      <c r="J758" s="89"/>
      <c r="K758" s="89"/>
      <c r="L758" s="89"/>
      <c r="M758" s="89"/>
      <c r="N758" s="89"/>
      <c r="O758" s="89"/>
      <c r="P758" s="89"/>
      <c r="Q758" s="89"/>
      <c r="R758" s="89"/>
      <c r="S758" s="89"/>
      <c r="T758" s="89"/>
    </row>
    <row r="759" ht="15.75" customHeight="1">
      <c r="A759" s="89"/>
      <c r="B759" s="89"/>
      <c r="C759" s="89"/>
      <c r="D759" s="89"/>
      <c r="E759" s="89"/>
      <c r="F759" s="89"/>
      <c r="G759" s="89"/>
      <c r="H759" s="89"/>
      <c r="I759" s="89"/>
      <c r="J759" s="89"/>
      <c r="K759" s="89"/>
      <c r="L759" s="89"/>
      <c r="M759" s="89"/>
      <c r="N759" s="89"/>
      <c r="O759" s="89"/>
      <c r="P759" s="89"/>
      <c r="Q759" s="89"/>
      <c r="R759" s="89"/>
      <c r="S759" s="89"/>
      <c r="T759" s="89"/>
    </row>
    <row r="760" ht="15.75" customHeight="1">
      <c r="A760" s="89"/>
      <c r="B760" s="89"/>
      <c r="C760" s="89"/>
      <c r="D760" s="89"/>
      <c r="E760" s="89"/>
      <c r="F760" s="89"/>
      <c r="G760" s="89"/>
      <c r="H760" s="89"/>
      <c r="I760" s="89"/>
      <c r="J760" s="89"/>
      <c r="K760" s="89"/>
      <c r="L760" s="89"/>
      <c r="M760" s="89"/>
      <c r="N760" s="89"/>
      <c r="O760" s="89"/>
      <c r="P760" s="89"/>
      <c r="Q760" s="89"/>
      <c r="R760" s="89"/>
      <c r="S760" s="89"/>
      <c r="T760" s="89"/>
    </row>
    <row r="761" ht="15.75" customHeight="1">
      <c r="A761" s="89"/>
      <c r="B761" s="89"/>
      <c r="C761" s="89"/>
      <c r="D761" s="89"/>
      <c r="E761" s="89"/>
      <c r="F761" s="89"/>
      <c r="G761" s="89"/>
      <c r="H761" s="89"/>
      <c r="I761" s="89"/>
      <c r="J761" s="89"/>
      <c r="K761" s="89"/>
      <c r="L761" s="89"/>
      <c r="M761" s="89"/>
      <c r="N761" s="89"/>
      <c r="O761" s="89"/>
      <c r="P761" s="89"/>
      <c r="Q761" s="89"/>
      <c r="R761" s="89"/>
      <c r="S761" s="89"/>
      <c r="T761" s="89"/>
    </row>
    <row r="762" ht="15.75" customHeight="1">
      <c r="A762" s="89"/>
      <c r="B762" s="89"/>
      <c r="C762" s="89"/>
      <c r="D762" s="89"/>
      <c r="E762" s="89"/>
      <c r="F762" s="89"/>
      <c r="G762" s="89"/>
      <c r="H762" s="89"/>
      <c r="I762" s="89"/>
      <c r="J762" s="89"/>
      <c r="K762" s="89"/>
      <c r="L762" s="89"/>
      <c r="M762" s="89"/>
      <c r="N762" s="89"/>
      <c r="O762" s="89"/>
      <c r="P762" s="89"/>
      <c r="Q762" s="89"/>
      <c r="R762" s="89"/>
      <c r="S762" s="89"/>
      <c r="T762" s="89"/>
    </row>
    <row r="763" ht="15.75" customHeight="1">
      <c r="A763" s="89"/>
      <c r="B763" s="89"/>
      <c r="C763" s="89"/>
      <c r="D763" s="89"/>
      <c r="E763" s="89"/>
      <c r="F763" s="89"/>
      <c r="G763" s="89"/>
      <c r="H763" s="89"/>
      <c r="I763" s="89"/>
      <c r="J763" s="89"/>
      <c r="K763" s="89"/>
      <c r="L763" s="89"/>
      <c r="M763" s="89"/>
      <c r="N763" s="89"/>
      <c r="O763" s="89"/>
      <c r="P763" s="89"/>
      <c r="Q763" s="89"/>
      <c r="R763" s="89"/>
      <c r="S763" s="89"/>
      <c r="T763" s="89"/>
    </row>
    <row r="764" ht="15.75" customHeight="1">
      <c r="A764" s="89"/>
      <c r="B764" s="89"/>
      <c r="C764" s="89"/>
      <c r="D764" s="89"/>
      <c r="E764" s="89"/>
      <c r="F764" s="89"/>
      <c r="G764" s="89"/>
      <c r="H764" s="89"/>
      <c r="I764" s="89"/>
      <c r="J764" s="89"/>
      <c r="K764" s="89"/>
      <c r="L764" s="89"/>
      <c r="M764" s="89"/>
      <c r="N764" s="89"/>
      <c r="O764" s="89"/>
      <c r="P764" s="89"/>
      <c r="Q764" s="89"/>
      <c r="R764" s="89"/>
      <c r="S764" s="89"/>
      <c r="T764" s="89"/>
    </row>
    <row r="765" ht="15.75" customHeight="1">
      <c r="A765" s="89"/>
      <c r="B765" s="89"/>
      <c r="C765" s="89"/>
      <c r="D765" s="89"/>
      <c r="E765" s="89"/>
      <c r="F765" s="89"/>
      <c r="G765" s="89"/>
      <c r="H765" s="89"/>
      <c r="I765" s="89"/>
      <c r="J765" s="89"/>
      <c r="K765" s="89"/>
      <c r="L765" s="89"/>
      <c r="M765" s="89"/>
      <c r="N765" s="89"/>
      <c r="O765" s="89"/>
      <c r="P765" s="89"/>
      <c r="Q765" s="89"/>
      <c r="R765" s="89"/>
      <c r="S765" s="89"/>
      <c r="T765" s="89"/>
    </row>
    <row r="766" ht="15.75" customHeight="1">
      <c r="A766" s="89"/>
      <c r="B766" s="89"/>
      <c r="C766" s="89"/>
      <c r="D766" s="89"/>
      <c r="E766" s="89"/>
      <c r="F766" s="89"/>
      <c r="G766" s="89"/>
      <c r="H766" s="89"/>
      <c r="I766" s="89"/>
      <c r="J766" s="89"/>
      <c r="K766" s="89"/>
      <c r="L766" s="89"/>
      <c r="M766" s="89"/>
      <c r="N766" s="89"/>
      <c r="O766" s="89"/>
      <c r="P766" s="89"/>
      <c r="Q766" s="89"/>
      <c r="R766" s="89"/>
      <c r="S766" s="89"/>
      <c r="T766" s="89"/>
    </row>
    <row r="767" ht="15.75" customHeight="1">
      <c r="A767" s="89"/>
      <c r="B767" s="89"/>
      <c r="C767" s="89"/>
      <c r="D767" s="89"/>
      <c r="E767" s="89"/>
      <c r="F767" s="89"/>
      <c r="G767" s="89"/>
      <c r="H767" s="89"/>
      <c r="I767" s="89"/>
      <c r="J767" s="89"/>
      <c r="K767" s="89"/>
      <c r="L767" s="89"/>
      <c r="M767" s="89"/>
      <c r="N767" s="89"/>
      <c r="O767" s="89"/>
      <c r="P767" s="89"/>
      <c r="Q767" s="89"/>
      <c r="R767" s="89"/>
      <c r="S767" s="89"/>
      <c r="T767" s="89"/>
    </row>
    <row r="768" ht="15.75" customHeight="1">
      <c r="A768" s="89"/>
      <c r="B768" s="89"/>
      <c r="C768" s="89"/>
      <c r="D768" s="89"/>
      <c r="E768" s="89"/>
      <c r="F768" s="89"/>
      <c r="G768" s="89"/>
      <c r="H768" s="89"/>
      <c r="I768" s="89"/>
      <c r="J768" s="89"/>
      <c r="K768" s="89"/>
      <c r="L768" s="89"/>
      <c r="M768" s="89"/>
      <c r="N768" s="89"/>
      <c r="O768" s="89"/>
      <c r="P768" s="89"/>
      <c r="Q768" s="89"/>
      <c r="R768" s="89"/>
      <c r="S768" s="89"/>
      <c r="T768" s="89"/>
    </row>
    <row r="769" ht="15.75" customHeight="1">
      <c r="A769" s="89"/>
      <c r="B769" s="89"/>
      <c r="C769" s="89"/>
      <c r="D769" s="89"/>
      <c r="E769" s="89"/>
      <c r="F769" s="89"/>
      <c r="G769" s="89"/>
      <c r="H769" s="89"/>
      <c r="I769" s="89"/>
      <c r="J769" s="89"/>
      <c r="K769" s="89"/>
      <c r="L769" s="89"/>
      <c r="M769" s="89"/>
      <c r="N769" s="89"/>
      <c r="O769" s="89"/>
      <c r="P769" s="89"/>
      <c r="Q769" s="89"/>
      <c r="R769" s="89"/>
      <c r="S769" s="89"/>
      <c r="T769" s="89"/>
    </row>
    <row r="770" ht="15.75" customHeight="1">
      <c r="A770" s="89"/>
      <c r="B770" s="89"/>
      <c r="C770" s="89"/>
      <c r="D770" s="89"/>
      <c r="E770" s="89"/>
      <c r="F770" s="89"/>
      <c r="G770" s="89"/>
      <c r="H770" s="89"/>
      <c r="I770" s="89"/>
      <c r="J770" s="89"/>
      <c r="K770" s="89"/>
      <c r="L770" s="89"/>
      <c r="M770" s="89"/>
      <c r="N770" s="89"/>
      <c r="O770" s="89"/>
      <c r="P770" s="89"/>
      <c r="Q770" s="89"/>
      <c r="R770" s="89"/>
      <c r="S770" s="89"/>
      <c r="T770" s="89"/>
    </row>
    <row r="771" ht="15.75" customHeight="1">
      <c r="A771" s="89"/>
      <c r="B771" s="89"/>
      <c r="C771" s="89"/>
      <c r="D771" s="89"/>
      <c r="E771" s="89"/>
      <c r="F771" s="89"/>
      <c r="G771" s="89"/>
      <c r="H771" s="89"/>
      <c r="I771" s="89"/>
      <c r="J771" s="89"/>
      <c r="K771" s="89"/>
      <c r="L771" s="89"/>
      <c r="M771" s="89"/>
      <c r="N771" s="89"/>
      <c r="O771" s="89"/>
      <c r="P771" s="89"/>
      <c r="Q771" s="89"/>
      <c r="R771" s="89"/>
      <c r="S771" s="89"/>
      <c r="T771" s="89"/>
    </row>
    <row r="772" ht="15.75" customHeight="1">
      <c r="A772" s="89"/>
      <c r="B772" s="89"/>
      <c r="C772" s="89"/>
      <c r="D772" s="89"/>
      <c r="E772" s="89"/>
      <c r="F772" s="89"/>
      <c r="G772" s="89"/>
      <c r="H772" s="89"/>
      <c r="I772" s="89"/>
      <c r="J772" s="89"/>
      <c r="K772" s="89"/>
      <c r="L772" s="89"/>
      <c r="M772" s="89"/>
      <c r="N772" s="89"/>
      <c r="O772" s="89"/>
      <c r="P772" s="89"/>
      <c r="Q772" s="89"/>
      <c r="R772" s="89"/>
      <c r="S772" s="89"/>
      <c r="T772" s="89"/>
    </row>
    <row r="773" ht="15.75" customHeight="1">
      <c r="A773" s="89"/>
      <c r="B773" s="89"/>
      <c r="C773" s="89"/>
      <c r="D773" s="89"/>
      <c r="E773" s="89"/>
      <c r="F773" s="89"/>
      <c r="G773" s="89"/>
      <c r="H773" s="89"/>
      <c r="I773" s="89"/>
      <c r="J773" s="89"/>
      <c r="K773" s="89"/>
      <c r="L773" s="89"/>
      <c r="M773" s="89"/>
      <c r="N773" s="89"/>
      <c r="O773" s="89"/>
      <c r="P773" s="89"/>
      <c r="Q773" s="89"/>
      <c r="R773" s="89"/>
      <c r="S773" s="89"/>
      <c r="T773" s="89"/>
    </row>
    <row r="774" ht="15.75" customHeight="1">
      <c r="A774" s="89"/>
      <c r="B774" s="89"/>
      <c r="C774" s="89"/>
      <c r="D774" s="89"/>
      <c r="E774" s="89"/>
      <c r="F774" s="89"/>
      <c r="G774" s="89"/>
      <c r="H774" s="89"/>
      <c r="I774" s="89"/>
      <c r="J774" s="89"/>
      <c r="K774" s="89"/>
      <c r="L774" s="89"/>
      <c r="M774" s="89"/>
      <c r="N774" s="89"/>
      <c r="O774" s="89"/>
      <c r="P774" s="89"/>
      <c r="Q774" s="89"/>
      <c r="R774" s="89"/>
      <c r="S774" s="89"/>
      <c r="T774" s="89"/>
    </row>
    <row r="775" ht="15.75" customHeight="1">
      <c r="A775" s="89"/>
      <c r="B775" s="89"/>
      <c r="C775" s="89"/>
      <c r="D775" s="89"/>
      <c r="E775" s="89"/>
      <c r="F775" s="89"/>
      <c r="G775" s="89"/>
      <c r="H775" s="89"/>
      <c r="I775" s="89"/>
      <c r="J775" s="89"/>
      <c r="K775" s="89"/>
      <c r="L775" s="89"/>
      <c r="M775" s="89"/>
      <c r="N775" s="89"/>
      <c r="O775" s="89"/>
      <c r="P775" s="89"/>
      <c r="Q775" s="89"/>
      <c r="R775" s="89"/>
      <c r="S775" s="89"/>
      <c r="T775" s="89"/>
    </row>
    <row r="776" ht="15.75" customHeight="1">
      <c r="A776" s="89"/>
      <c r="B776" s="89"/>
      <c r="C776" s="89"/>
      <c r="D776" s="89"/>
      <c r="E776" s="89"/>
      <c r="F776" s="89"/>
      <c r="G776" s="89"/>
      <c r="H776" s="89"/>
      <c r="I776" s="89"/>
      <c r="J776" s="89"/>
      <c r="K776" s="89"/>
      <c r="L776" s="89"/>
      <c r="M776" s="89"/>
      <c r="N776" s="89"/>
      <c r="O776" s="89"/>
      <c r="P776" s="89"/>
      <c r="Q776" s="89"/>
      <c r="R776" s="89"/>
      <c r="S776" s="89"/>
      <c r="T776" s="89"/>
    </row>
    <row r="777" ht="15.75" customHeight="1">
      <c r="A777" s="89"/>
      <c r="B777" s="89"/>
      <c r="C777" s="89"/>
      <c r="D777" s="89"/>
      <c r="E777" s="89"/>
      <c r="F777" s="89"/>
      <c r="G777" s="89"/>
      <c r="H777" s="89"/>
      <c r="I777" s="89"/>
      <c r="J777" s="89"/>
      <c r="K777" s="89"/>
      <c r="L777" s="89"/>
      <c r="M777" s="89"/>
      <c r="N777" s="89"/>
      <c r="O777" s="89"/>
      <c r="P777" s="89"/>
      <c r="Q777" s="89"/>
      <c r="R777" s="89"/>
      <c r="S777" s="89"/>
      <c r="T777" s="89"/>
    </row>
    <row r="778" ht="15.75" customHeight="1">
      <c r="A778" s="89"/>
      <c r="B778" s="89"/>
      <c r="C778" s="89"/>
      <c r="D778" s="89"/>
      <c r="E778" s="89"/>
      <c r="F778" s="89"/>
      <c r="G778" s="89"/>
      <c r="H778" s="89"/>
      <c r="I778" s="89"/>
      <c r="J778" s="89"/>
      <c r="K778" s="89"/>
      <c r="L778" s="89"/>
      <c r="M778" s="89"/>
      <c r="N778" s="89"/>
      <c r="O778" s="89"/>
      <c r="P778" s="89"/>
      <c r="Q778" s="89"/>
      <c r="R778" s="89"/>
      <c r="S778" s="89"/>
      <c r="T778" s="89"/>
    </row>
    <row r="779" ht="15.75" customHeight="1">
      <c r="A779" s="89"/>
      <c r="B779" s="89"/>
      <c r="C779" s="89"/>
      <c r="D779" s="89"/>
      <c r="E779" s="89"/>
      <c r="F779" s="89"/>
      <c r="G779" s="89"/>
      <c r="H779" s="89"/>
      <c r="I779" s="89"/>
      <c r="J779" s="89"/>
      <c r="K779" s="89"/>
      <c r="L779" s="89"/>
      <c r="M779" s="89"/>
      <c r="N779" s="89"/>
      <c r="O779" s="89"/>
      <c r="P779" s="89"/>
      <c r="Q779" s="89"/>
      <c r="R779" s="89"/>
      <c r="S779" s="89"/>
      <c r="T779" s="89"/>
    </row>
    <row r="780" ht="15.75" customHeight="1">
      <c r="A780" s="89"/>
      <c r="B780" s="89"/>
      <c r="C780" s="89"/>
      <c r="D780" s="89"/>
      <c r="E780" s="89"/>
      <c r="F780" s="89"/>
      <c r="G780" s="89"/>
      <c r="H780" s="89"/>
      <c r="I780" s="89"/>
      <c r="J780" s="89"/>
      <c r="K780" s="89"/>
      <c r="L780" s="89"/>
      <c r="M780" s="89"/>
      <c r="N780" s="89"/>
      <c r="O780" s="89"/>
      <c r="P780" s="89"/>
      <c r="Q780" s="89"/>
      <c r="R780" s="89"/>
      <c r="S780" s="89"/>
      <c r="T780" s="89"/>
    </row>
    <row r="781" ht="15.75" customHeight="1">
      <c r="A781" s="89"/>
      <c r="B781" s="89"/>
      <c r="C781" s="89"/>
      <c r="D781" s="89"/>
      <c r="E781" s="89"/>
      <c r="F781" s="89"/>
      <c r="G781" s="89"/>
      <c r="H781" s="89"/>
      <c r="I781" s="89"/>
      <c r="J781" s="89"/>
      <c r="K781" s="89"/>
      <c r="L781" s="89"/>
      <c r="M781" s="89"/>
      <c r="N781" s="89"/>
      <c r="O781" s="89"/>
      <c r="P781" s="89"/>
      <c r="Q781" s="89"/>
      <c r="R781" s="89"/>
      <c r="S781" s="89"/>
      <c r="T781" s="89"/>
    </row>
    <row r="782" ht="15.75" customHeight="1">
      <c r="A782" s="89"/>
      <c r="B782" s="89"/>
      <c r="C782" s="89"/>
      <c r="D782" s="89"/>
      <c r="E782" s="89"/>
      <c r="F782" s="89"/>
      <c r="G782" s="89"/>
      <c r="H782" s="89"/>
      <c r="I782" s="89"/>
      <c r="J782" s="89"/>
      <c r="K782" s="89"/>
      <c r="L782" s="89"/>
      <c r="M782" s="89"/>
      <c r="N782" s="89"/>
      <c r="O782" s="89"/>
      <c r="P782" s="89"/>
      <c r="Q782" s="89"/>
      <c r="R782" s="89"/>
      <c r="S782" s="89"/>
      <c r="T782" s="89"/>
    </row>
    <row r="783" ht="15.75" customHeight="1">
      <c r="A783" s="89"/>
      <c r="B783" s="89"/>
      <c r="C783" s="89"/>
      <c r="D783" s="89"/>
      <c r="E783" s="89"/>
      <c r="F783" s="89"/>
      <c r="G783" s="89"/>
      <c r="H783" s="89"/>
      <c r="I783" s="89"/>
      <c r="J783" s="89"/>
      <c r="K783" s="89"/>
      <c r="L783" s="89"/>
      <c r="M783" s="89"/>
      <c r="N783" s="89"/>
      <c r="O783" s="89"/>
      <c r="P783" s="89"/>
      <c r="Q783" s="89"/>
      <c r="R783" s="89"/>
      <c r="S783" s="89"/>
      <c r="T783" s="89"/>
    </row>
    <row r="784" ht="15.75" customHeight="1">
      <c r="A784" s="89"/>
      <c r="B784" s="89"/>
      <c r="C784" s="89"/>
      <c r="D784" s="89"/>
      <c r="E784" s="89"/>
      <c r="F784" s="89"/>
      <c r="G784" s="89"/>
      <c r="H784" s="89"/>
      <c r="I784" s="89"/>
      <c r="J784" s="89"/>
      <c r="K784" s="89"/>
      <c r="L784" s="89"/>
      <c r="M784" s="89"/>
      <c r="N784" s="89"/>
      <c r="O784" s="89"/>
      <c r="P784" s="89"/>
      <c r="Q784" s="89"/>
      <c r="R784" s="89"/>
      <c r="S784" s="89"/>
      <c r="T784" s="89"/>
    </row>
    <row r="785" ht="15.75" customHeight="1">
      <c r="A785" s="89"/>
      <c r="B785" s="89"/>
      <c r="C785" s="89"/>
      <c r="D785" s="89"/>
      <c r="E785" s="89"/>
      <c r="F785" s="89"/>
      <c r="G785" s="89"/>
      <c r="H785" s="89"/>
      <c r="I785" s="89"/>
      <c r="J785" s="89"/>
      <c r="K785" s="89"/>
      <c r="L785" s="89"/>
      <c r="M785" s="89"/>
      <c r="N785" s="89"/>
      <c r="O785" s="89"/>
      <c r="P785" s="89"/>
      <c r="Q785" s="89"/>
      <c r="R785" s="89"/>
      <c r="S785" s="89"/>
      <c r="T785" s="89"/>
    </row>
    <row r="786" ht="15.75" customHeight="1">
      <c r="A786" s="89"/>
      <c r="B786" s="89"/>
      <c r="C786" s="89"/>
      <c r="D786" s="89"/>
      <c r="E786" s="89"/>
      <c r="F786" s="89"/>
      <c r="G786" s="89"/>
      <c r="H786" s="89"/>
      <c r="I786" s="89"/>
      <c r="J786" s="89"/>
      <c r="K786" s="89"/>
      <c r="L786" s="89"/>
      <c r="M786" s="89"/>
      <c r="N786" s="89"/>
      <c r="O786" s="89"/>
      <c r="P786" s="89"/>
      <c r="Q786" s="89"/>
      <c r="R786" s="89"/>
      <c r="S786" s="89"/>
      <c r="T786" s="89"/>
    </row>
    <row r="787" ht="15.75" customHeight="1">
      <c r="A787" s="89"/>
      <c r="B787" s="89"/>
      <c r="C787" s="89"/>
      <c r="D787" s="89"/>
      <c r="E787" s="89"/>
      <c r="F787" s="89"/>
      <c r="G787" s="89"/>
      <c r="H787" s="89"/>
      <c r="I787" s="89"/>
      <c r="J787" s="89"/>
      <c r="K787" s="89"/>
      <c r="L787" s="89"/>
      <c r="M787" s="89"/>
      <c r="N787" s="89"/>
      <c r="O787" s="89"/>
      <c r="P787" s="89"/>
      <c r="Q787" s="89"/>
      <c r="R787" s="89"/>
      <c r="S787" s="89"/>
      <c r="T787" s="89"/>
    </row>
    <row r="788" ht="15.75" customHeight="1">
      <c r="A788" s="89"/>
      <c r="B788" s="89"/>
      <c r="C788" s="89"/>
      <c r="D788" s="89"/>
      <c r="E788" s="89"/>
      <c r="F788" s="89"/>
      <c r="G788" s="89"/>
      <c r="H788" s="89"/>
      <c r="I788" s="89"/>
      <c r="J788" s="89"/>
      <c r="K788" s="89"/>
      <c r="L788" s="89"/>
      <c r="M788" s="89"/>
      <c r="N788" s="89"/>
      <c r="O788" s="89"/>
      <c r="P788" s="89"/>
      <c r="Q788" s="89"/>
      <c r="R788" s="89"/>
      <c r="S788" s="89"/>
      <c r="T788" s="89"/>
    </row>
    <row r="789" ht="15.75" customHeight="1">
      <c r="A789" s="89"/>
      <c r="B789" s="89"/>
      <c r="C789" s="89"/>
      <c r="D789" s="89"/>
      <c r="E789" s="89"/>
      <c r="F789" s="89"/>
      <c r="G789" s="89"/>
      <c r="H789" s="89"/>
      <c r="I789" s="89"/>
      <c r="J789" s="89"/>
      <c r="K789" s="89"/>
      <c r="L789" s="89"/>
      <c r="M789" s="89"/>
      <c r="N789" s="89"/>
      <c r="O789" s="89"/>
      <c r="P789" s="89"/>
      <c r="Q789" s="89"/>
      <c r="R789" s="89"/>
      <c r="S789" s="89"/>
      <c r="T789" s="89"/>
    </row>
    <row r="790" ht="15.75" customHeight="1">
      <c r="A790" s="89"/>
      <c r="B790" s="89"/>
      <c r="C790" s="89"/>
      <c r="D790" s="89"/>
      <c r="E790" s="89"/>
      <c r="F790" s="89"/>
      <c r="G790" s="89"/>
      <c r="H790" s="89"/>
      <c r="I790" s="89"/>
      <c r="J790" s="89"/>
      <c r="K790" s="89"/>
      <c r="L790" s="89"/>
      <c r="M790" s="89"/>
      <c r="N790" s="89"/>
      <c r="O790" s="89"/>
      <c r="P790" s="89"/>
      <c r="Q790" s="89"/>
      <c r="R790" s="89"/>
      <c r="S790" s="89"/>
      <c r="T790" s="89"/>
    </row>
    <row r="791" ht="15.75" customHeight="1">
      <c r="A791" s="89"/>
      <c r="B791" s="89"/>
      <c r="C791" s="89"/>
      <c r="D791" s="89"/>
      <c r="E791" s="89"/>
      <c r="F791" s="89"/>
      <c r="G791" s="89"/>
      <c r="H791" s="89"/>
      <c r="I791" s="89"/>
      <c r="J791" s="89"/>
      <c r="K791" s="89"/>
      <c r="L791" s="89"/>
      <c r="M791" s="89"/>
      <c r="N791" s="89"/>
      <c r="O791" s="89"/>
      <c r="P791" s="89"/>
      <c r="Q791" s="89"/>
      <c r="R791" s="89"/>
      <c r="S791" s="89"/>
      <c r="T791" s="89"/>
    </row>
    <row r="792" ht="15.75" customHeight="1">
      <c r="A792" s="89"/>
      <c r="B792" s="89"/>
      <c r="C792" s="89"/>
      <c r="D792" s="89"/>
      <c r="E792" s="89"/>
      <c r="F792" s="89"/>
      <c r="G792" s="89"/>
      <c r="H792" s="89"/>
      <c r="I792" s="89"/>
      <c r="J792" s="89"/>
      <c r="K792" s="89"/>
      <c r="L792" s="89"/>
      <c r="M792" s="89"/>
      <c r="N792" s="89"/>
      <c r="O792" s="89"/>
      <c r="P792" s="89"/>
      <c r="Q792" s="89"/>
      <c r="R792" s="89"/>
      <c r="S792" s="89"/>
      <c r="T792" s="89"/>
    </row>
    <row r="793" ht="15.75" customHeight="1">
      <c r="A793" s="89"/>
      <c r="B793" s="89"/>
      <c r="C793" s="89"/>
      <c r="D793" s="89"/>
      <c r="E793" s="89"/>
      <c r="F793" s="89"/>
      <c r="G793" s="89"/>
      <c r="H793" s="89"/>
      <c r="I793" s="89"/>
      <c r="J793" s="89"/>
      <c r="K793" s="89"/>
      <c r="L793" s="89"/>
      <c r="M793" s="89"/>
      <c r="N793" s="89"/>
      <c r="O793" s="89"/>
      <c r="P793" s="89"/>
      <c r="Q793" s="89"/>
      <c r="R793" s="89"/>
      <c r="S793" s="89"/>
      <c r="T793" s="89"/>
    </row>
    <row r="794" ht="15.75" customHeight="1">
      <c r="A794" s="89"/>
      <c r="B794" s="89"/>
      <c r="C794" s="89"/>
      <c r="D794" s="89"/>
      <c r="E794" s="89"/>
      <c r="F794" s="89"/>
      <c r="G794" s="89"/>
      <c r="H794" s="89"/>
      <c r="I794" s="89"/>
      <c r="J794" s="89"/>
      <c r="K794" s="89"/>
      <c r="L794" s="89"/>
      <c r="M794" s="89"/>
      <c r="N794" s="89"/>
      <c r="O794" s="89"/>
      <c r="P794" s="89"/>
      <c r="Q794" s="89"/>
      <c r="R794" s="89"/>
      <c r="S794" s="89"/>
      <c r="T794" s="89"/>
    </row>
    <row r="795" ht="15.75" customHeight="1">
      <c r="A795" s="89"/>
      <c r="B795" s="89"/>
      <c r="C795" s="89"/>
      <c r="D795" s="89"/>
      <c r="E795" s="89"/>
      <c r="F795" s="89"/>
      <c r="G795" s="89"/>
      <c r="H795" s="89"/>
      <c r="I795" s="89"/>
      <c r="J795" s="89"/>
      <c r="K795" s="89"/>
      <c r="L795" s="89"/>
      <c r="M795" s="89"/>
      <c r="N795" s="89"/>
      <c r="O795" s="89"/>
      <c r="P795" s="89"/>
      <c r="Q795" s="89"/>
      <c r="R795" s="89"/>
      <c r="S795" s="89"/>
      <c r="T795" s="89"/>
    </row>
    <row r="796" ht="15.75" customHeight="1">
      <c r="A796" s="89"/>
      <c r="B796" s="89"/>
      <c r="C796" s="89"/>
      <c r="D796" s="89"/>
      <c r="E796" s="89"/>
      <c r="F796" s="89"/>
      <c r="G796" s="89"/>
      <c r="H796" s="89"/>
      <c r="I796" s="89"/>
      <c r="J796" s="89"/>
      <c r="K796" s="89"/>
      <c r="L796" s="89"/>
      <c r="M796" s="89"/>
      <c r="N796" s="89"/>
      <c r="O796" s="89"/>
      <c r="P796" s="89"/>
      <c r="Q796" s="89"/>
      <c r="R796" s="89"/>
      <c r="S796" s="89"/>
      <c r="T796" s="89"/>
    </row>
    <row r="797" ht="15.75" customHeight="1">
      <c r="A797" s="89"/>
      <c r="B797" s="89"/>
      <c r="C797" s="89"/>
      <c r="D797" s="89"/>
      <c r="E797" s="89"/>
      <c r="F797" s="89"/>
      <c r="G797" s="89"/>
      <c r="H797" s="89"/>
      <c r="I797" s="89"/>
      <c r="J797" s="89"/>
      <c r="K797" s="89"/>
      <c r="L797" s="89"/>
      <c r="M797" s="89"/>
      <c r="N797" s="89"/>
      <c r="O797" s="89"/>
      <c r="P797" s="89"/>
      <c r="Q797" s="89"/>
      <c r="R797" s="89"/>
      <c r="S797" s="89"/>
      <c r="T797" s="89"/>
    </row>
    <row r="798" ht="15.75" customHeight="1">
      <c r="A798" s="89"/>
      <c r="B798" s="89"/>
      <c r="C798" s="89"/>
      <c r="D798" s="89"/>
      <c r="E798" s="89"/>
      <c r="F798" s="89"/>
      <c r="G798" s="89"/>
      <c r="H798" s="89"/>
      <c r="I798" s="89"/>
      <c r="J798" s="89"/>
      <c r="K798" s="89"/>
      <c r="L798" s="89"/>
      <c r="M798" s="89"/>
      <c r="N798" s="89"/>
      <c r="O798" s="89"/>
      <c r="P798" s="89"/>
      <c r="Q798" s="89"/>
      <c r="R798" s="89"/>
      <c r="S798" s="89"/>
      <c r="T798" s="89"/>
    </row>
    <row r="799" ht="15.75" customHeight="1">
      <c r="A799" s="89"/>
      <c r="B799" s="89"/>
      <c r="C799" s="89"/>
      <c r="D799" s="89"/>
      <c r="E799" s="89"/>
      <c r="F799" s="89"/>
      <c r="G799" s="89"/>
      <c r="H799" s="89"/>
      <c r="I799" s="89"/>
      <c r="J799" s="89"/>
      <c r="K799" s="89"/>
      <c r="L799" s="89"/>
      <c r="M799" s="89"/>
      <c r="N799" s="89"/>
      <c r="O799" s="89"/>
      <c r="P799" s="89"/>
      <c r="Q799" s="89"/>
      <c r="R799" s="89"/>
      <c r="S799" s="89"/>
      <c r="T799" s="89"/>
    </row>
    <row r="800" ht="15.75" customHeight="1">
      <c r="A800" s="89"/>
      <c r="B800" s="89"/>
      <c r="C800" s="89"/>
      <c r="D800" s="89"/>
      <c r="E800" s="89"/>
      <c r="F800" s="89"/>
      <c r="G800" s="89"/>
      <c r="H800" s="89"/>
      <c r="I800" s="89"/>
      <c r="J800" s="89"/>
      <c r="K800" s="89"/>
      <c r="L800" s="89"/>
      <c r="M800" s="89"/>
      <c r="N800" s="89"/>
      <c r="O800" s="89"/>
      <c r="P800" s="89"/>
      <c r="Q800" s="89"/>
      <c r="R800" s="89"/>
      <c r="S800" s="89"/>
      <c r="T800" s="89"/>
    </row>
    <row r="801" ht="15.75" customHeight="1">
      <c r="A801" s="89"/>
      <c r="B801" s="89"/>
      <c r="C801" s="89"/>
      <c r="D801" s="89"/>
      <c r="E801" s="89"/>
      <c r="F801" s="89"/>
      <c r="G801" s="89"/>
      <c r="H801" s="89"/>
      <c r="I801" s="89"/>
      <c r="J801" s="89"/>
      <c r="K801" s="89"/>
      <c r="L801" s="89"/>
      <c r="M801" s="89"/>
      <c r="N801" s="89"/>
      <c r="O801" s="89"/>
      <c r="P801" s="89"/>
      <c r="Q801" s="89"/>
      <c r="R801" s="89"/>
      <c r="S801" s="89"/>
      <c r="T801" s="89"/>
    </row>
    <row r="802" ht="15.75" customHeight="1">
      <c r="A802" s="89"/>
      <c r="B802" s="89"/>
      <c r="C802" s="89"/>
      <c r="D802" s="89"/>
      <c r="E802" s="89"/>
      <c r="F802" s="89"/>
      <c r="G802" s="89"/>
      <c r="H802" s="89"/>
      <c r="I802" s="89"/>
      <c r="J802" s="89"/>
      <c r="K802" s="89"/>
      <c r="L802" s="89"/>
      <c r="M802" s="89"/>
      <c r="N802" s="89"/>
      <c r="O802" s="89"/>
      <c r="P802" s="89"/>
      <c r="Q802" s="89"/>
      <c r="R802" s="89"/>
      <c r="S802" s="89"/>
      <c r="T802" s="89"/>
    </row>
    <row r="803" ht="15.75" customHeight="1">
      <c r="A803" s="89"/>
      <c r="B803" s="89"/>
      <c r="C803" s="89"/>
      <c r="D803" s="89"/>
      <c r="E803" s="89"/>
      <c r="F803" s="89"/>
      <c r="G803" s="89"/>
      <c r="H803" s="89"/>
      <c r="I803" s="89"/>
      <c r="J803" s="89"/>
      <c r="K803" s="89"/>
      <c r="L803" s="89"/>
      <c r="M803" s="89"/>
      <c r="N803" s="89"/>
      <c r="O803" s="89"/>
      <c r="P803" s="89"/>
      <c r="Q803" s="89"/>
      <c r="R803" s="89"/>
      <c r="S803" s="89"/>
      <c r="T803" s="89"/>
    </row>
    <row r="804" ht="15.75" customHeight="1">
      <c r="A804" s="89"/>
      <c r="B804" s="89"/>
      <c r="C804" s="89"/>
      <c r="D804" s="89"/>
      <c r="E804" s="89"/>
      <c r="F804" s="89"/>
      <c r="G804" s="89"/>
      <c r="H804" s="89"/>
      <c r="I804" s="89"/>
      <c r="J804" s="89"/>
      <c r="K804" s="89"/>
      <c r="L804" s="89"/>
      <c r="M804" s="89"/>
      <c r="N804" s="89"/>
      <c r="O804" s="89"/>
      <c r="P804" s="89"/>
      <c r="Q804" s="89"/>
      <c r="R804" s="89"/>
      <c r="S804" s="89"/>
      <c r="T804" s="89"/>
    </row>
    <row r="805" ht="15.75" customHeight="1">
      <c r="A805" s="89"/>
      <c r="B805" s="89"/>
      <c r="C805" s="89"/>
      <c r="D805" s="89"/>
      <c r="E805" s="89"/>
      <c r="F805" s="89"/>
      <c r="G805" s="89"/>
      <c r="H805" s="89"/>
      <c r="I805" s="89"/>
      <c r="J805" s="89"/>
      <c r="K805" s="89"/>
      <c r="L805" s="89"/>
      <c r="M805" s="89"/>
      <c r="N805" s="89"/>
      <c r="O805" s="89"/>
      <c r="P805" s="89"/>
      <c r="Q805" s="89"/>
      <c r="R805" s="89"/>
      <c r="S805" s="89"/>
      <c r="T805" s="89"/>
    </row>
    <row r="806" ht="15.75" customHeight="1">
      <c r="A806" s="89"/>
      <c r="B806" s="89"/>
      <c r="C806" s="89"/>
      <c r="D806" s="89"/>
      <c r="E806" s="89"/>
      <c r="F806" s="89"/>
      <c r="G806" s="89"/>
      <c r="H806" s="89"/>
      <c r="I806" s="89"/>
      <c r="J806" s="89"/>
      <c r="K806" s="89"/>
      <c r="L806" s="89"/>
      <c r="M806" s="89"/>
      <c r="N806" s="89"/>
      <c r="O806" s="89"/>
      <c r="P806" s="89"/>
      <c r="Q806" s="89"/>
      <c r="R806" s="89"/>
      <c r="S806" s="89"/>
      <c r="T806" s="89"/>
    </row>
    <row r="807" ht="15.75" customHeight="1">
      <c r="A807" s="89"/>
      <c r="B807" s="89"/>
      <c r="C807" s="89"/>
      <c r="D807" s="89"/>
      <c r="E807" s="89"/>
      <c r="F807" s="89"/>
      <c r="G807" s="89"/>
      <c r="H807" s="89"/>
      <c r="I807" s="89"/>
      <c r="J807" s="89"/>
      <c r="K807" s="89"/>
      <c r="L807" s="89"/>
      <c r="M807" s="89"/>
      <c r="N807" s="89"/>
      <c r="O807" s="89"/>
      <c r="P807" s="89"/>
      <c r="Q807" s="89"/>
      <c r="R807" s="89"/>
      <c r="S807" s="89"/>
      <c r="T807" s="89"/>
    </row>
    <row r="808" ht="15.75" customHeight="1">
      <c r="A808" s="89"/>
      <c r="B808" s="89"/>
      <c r="C808" s="89"/>
      <c r="D808" s="89"/>
      <c r="E808" s="89"/>
      <c r="F808" s="89"/>
      <c r="G808" s="89"/>
      <c r="H808" s="89"/>
      <c r="I808" s="89"/>
      <c r="J808" s="89"/>
      <c r="K808" s="89"/>
      <c r="L808" s="89"/>
      <c r="M808" s="89"/>
      <c r="N808" s="89"/>
      <c r="O808" s="89"/>
      <c r="P808" s="89"/>
      <c r="Q808" s="89"/>
      <c r="R808" s="89"/>
      <c r="S808" s="89"/>
      <c r="T808" s="89"/>
    </row>
    <row r="809" ht="15.75" customHeight="1">
      <c r="A809" s="89"/>
      <c r="B809" s="89"/>
      <c r="C809" s="89"/>
      <c r="D809" s="89"/>
      <c r="E809" s="89"/>
      <c r="F809" s="89"/>
      <c r="G809" s="89"/>
      <c r="H809" s="89"/>
      <c r="I809" s="89"/>
      <c r="J809" s="89"/>
      <c r="K809" s="89"/>
      <c r="L809" s="89"/>
      <c r="M809" s="89"/>
      <c r="N809" s="89"/>
      <c r="O809" s="89"/>
      <c r="P809" s="89"/>
      <c r="Q809" s="89"/>
      <c r="R809" s="89"/>
      <c r="S809" s="89"/>
      <c r="T809" s="89"/>
    </row>
    <row r="810" ht="15.75" customHeight="1">
      <c r="A810" s="89"/>
      <c r="B810" s="89"/>
      <c r="C810" s="89"/>
      <c r="D810" s="89"/>
      <c r="E810" s="89"/>
      <c r="F810" s="89"/>
      <c r="G810" s="89"/>
      <c r="H810" s="89"/>
      <c r="I810" s="89"/>
      <c r="J810" s="89"/>
      <c r="K810" s="89"/>
      <c r="L810" s="89"/>
      <c r="M810" s="89"/>
      <c r="N810" s="89"/>
      <c r="O810" s="89"/>
      <c r="P810" s="89"/>
      <c r="Q810" s="89"/>
      <c r="R810" s="89"/>
      <c r="S810" s="89"/>
      <c r="T810" s="89"/>
    </row>
    <row r="811" ht="15.75" customHeight="1">
      <c r="A811" s="89"/>
      <c r="B811" s="89"/>
      <c r="C811" s="89"/>
      <c r="D811" s="89"/>
      <c r="E811" s="89"/>
      <c r="F811" s="89"/>
      <c r="G811" s="89"/>
      <c r="H811" s="89"/>
      <c r="I811" s="89"/>
      <c r="J811" s="89"/>
      <c r="K811" s="89"/>
      <c r="L811" s="89"/>
      <c r="M811" s="89"/>
      <c r="N811" s="89"/>
      <c r="O811" s="89"/>
      <c r="P811" s="89"/>
      <c r="Q811" s="89"/>
      <c r="R811" s="89"/>
      <c r="S811" s="89"/>
      <c r="T811" s="89"/>
    </row>
    <row r="812" ht="15.75" customHeight="1">
      <c r="A812" s="89"/>
      <c r="B812" s="89"/>
      <c r="C812" s="89"/>
      <c r="D812" s="89"/>
      <c r="E812" s="89"/>
      <c r="F812" s="89"/>
      <c r="G812" s="89"/>
      <c r="H812" s="89"/>
      <c r="I812" s="89"/>
      <c r="J812" s="89"/>
      <c r="K812" s="89"/>
      <c r="L812" s="89"/>
      <c r="M812" s="89"/>
      <c r="N812" s="89"/>
      <c r="O812" s="89"/>
      <c r="P812" s="89"/>
      <c r="Q812" s="89"/>
      <c r="R812" s="89"/>
      <c r="S812" s="89"/>
      <c r="T812" s="89"/>
    </row>
    <row r="813" ht="15.75" customHeight="1">
      <c r="A813" s="89"/>
      <c r="B813" s="89"/>
      <c r="C813" s="89"/>
      <c r="D813" s="89"/>
      <c r="E813" s="89"/>
      <c r="F813" s="89"/>
      <c r="G813" s="89"/>
      <c r="H813" s="89"/>
      <c r="I813" s="89"/>
      <c r="J813" s="89"/>
      <c r="K813" s="89"/>
      <c r="L813" s="89"/>
      <c r="M813" s="89"/>
      <c r="N813" s="89"/>
      <c r="O813" s="89"/>
      <c r="P813" s="89"/>
      <c r="Q813" s="89"/>
      <c r="R813" s="89"/>
      <c r="S813" s="89"/>
      <c r="T813" s="89"/>
    </row>
    <row r="814" ht="15.75" customHeight="1">
      <c r="A814" s="89"/>
      <c r="B814" s="89"/>
      <c r="C814" s="89"/>
      <c r="D814" s="89"/>
      <c r="E814" s="89"/>
      <c r="F814" s="89"/>
      <c r="G814" s="89"/>
      <c r="H814" s="89"/>
      <c r="I814" s="89"/>
      <c r="J814" s="89"/>
      <c r="K814" s="89"/>
      <c r="L814" s="89"/>
      <c r="M814" s="89"/>
      <c r="N814" s="89"/>
      <c r="O814" s="89"/>
      <c r="P814" s="89"/>
      <c r="Q814" s="89"/>
      <c r="R814" s="89"/>
      <c r="S814" s="89"/>
      <c r="T814" s="89"/>
    </row>
    <row r="815" ht="15.75" customHeight="1">
      <c r="A815" s="89"/>
      <c r="B815" s="89"/>
      <c r="C815" s="89"/>
      <c r="D815" s="89"/>
      <c r="E815" s="89"/>
      <c r="F815" s="89"/>
      <c r="G815" s="89"/>
      <c r="H815" s="89"/>
      <c r="I815" s="89"/>
      <c r="J815" s="89"/>
      <c r="K815" s="89"/>
      <c r="L815" s="89"/>
      <c r="M815" s="89"/>
      <c r="N815" s="89"/>
      <c r="O815" s="89"/>
      <c r="P815" s="89"/>
      <c r="Q815" s="89"/>
      <c r="R815" s="89"/>
      <c r="S815" s="89"/>
      <c r="T815" s="89"/>
    </row>
    <row r="816" ht="15.75" customHeight="1">
      <c r="A816" s="89"/>
      <c r="B816" s="89"/>
      <c r="C816" s="89"/>
      <c r="D816" s="89"/>
      <c r="E816" s="89"/>
      <c r="F816" s="89"/>
      <c r="G816" s="89"/>
      <c r="H816" s="89"/>
      <c r="I816" s="89"/>
      <c r="J816" s="89"/>
      <c r="K816" s="89"/>
      <c r="L816" s="89"/>
      <c r="M816" s="89"/>
      <c r="N816" s="89"/>
      <c r="O816" s="89"/>
      <c r="P816" s="89"/>
      <c r="Q816" s="89"/>
      <c r="R816" s="89"/>
      <c r="S816" s="89"/>
      <c r="T816" s="89"/>
    </row>
    <row r="817" ht="15.75" customHeight="1">
      <c r="A817" s="89"/>
      <c r="B817" s="89"/>
      <c r="C817" s="89"/>
      <c r="D817" s="89"/>
      <c r="E817" s="89"/>
      <c r="F817" s="89"/>
      <c r="G817" s="89"/>
      <c r="H817" s="89"/>
      <c r="I817" s="89"/>
      <c r="J817" s="89"/>
      <c r="K817" s="89"/>
      <c r="L817" s="89"/>
      <c r="M817" s="89"/>
      <c r="N817" s="89"/>
      <c r="O817" s="89"/>
      <c r="P817" s="89"/>
      <c r="Q817" s="89"/>
      <c r="R817" s="89"/>
      <c r="S817" s="89"/>
      <c r="T817" s="89"/>
    </row>
    <row r="818" ht="15.75" customHeight="1">
      <c r="A818" s="89"/>
      <c r="B818" s="89"/>
      <c r="C818" s="89"/>
      <c r="D818" s="89"/>
      <c r="E818" s="89"/>
      <c r="F818" s="89"/>
      <c r="G818" s="89"/>
      <c r="H818" s="89"/>
      <c r="I818" s="89"/>
      <c r="J818" s="89"/>
      <c r="K818" s="89"/>
      <c r="L818" s="89"/>
      <c r="M818" s="89"/>
      <c r="N818" s="89"/>
      <c r="O818" s="89"/>
      <c r="P818" s="89"/>
      <c r="Q818" s="89"/>
      <c r="R818" s="89"/>
      <c r="S818" s="89"/>
      <c r="T818" s="89"/>
    </row>
    <row r="819" ht="15.75" customHeight="1">
      <c r="A819" s="89"/>
      <c r="B819" s="89"/>
      <c r="C819" s="89"/>
      <c r="D819" s="89"/>
      <c r="E819" s="89"/>
      <c r="F819" s="89"/>
      <c r="G819" s="89"/>
      <c r="H819" s="89"/>
      <c r="I819" s="89"/>
      <c r="J819" s="89"/>
      <c r="K819" s="89"/>
      <c r="L819" s="89"/>
      <c r="M819" s="89"/>
      <c r="N819" s="89"/>
      <c r="O819" s="89"/>
      <c r="P819" s="89"/>
      <c r="Q819" s="89"/>
      <c r="R819" s="89"/>
      <c r="S819" s="89"/>
      <c r="T819" s="89"/>
    </row>
    <row r="820" ht="15.75" customHeight="1">
      <c r="A820" s="89"/>
      <c r="B820" s="89"/>
      <c r="C820" s="89"/>
      <c r="D820" s="89"/>
      <c r="E820" s="89"/>
      <c r="F820" s="89"/>
      <c r="G820" s="89"/>
      <c r="H820" s="89"/>
      <c r="I820" s="89"/>
      <c r="J820" s="89"/>
      <c r="K820" s="89"/>
      <c r="L820" s="89"/>
      <c r="M820" s="89"/>
      <c r="N820" s="89"/>
      <c r="O820" s="89"/>
      <c r="P820" s="89"/>
      <c r="Q820" s="89"/>
      <c r="R820" s="89"/>
      <c r="S820" s="89"/>
      <c r="T820" s="89"/>
    </row>
    <row r="821" ht="15.75" customHeight="1">
      <c r="A821" s="89"/>
      <c r="B821" s="89"/>
      <c r="C821" s="89"/>
      <c r="D821" s="89"/>
      <c r="E821" s="89"/>
      <c r="F821" s="89"/>
      <c r="G821" s="89"/>
      <c r="H821" s="89"/>
      <c r="I821" s="89"/>
      <c r="J821" s="89"/>
      <c r="K821" s="89"/>
      <c r="L821" s="89"/>
      <c r="M821" s="89"/>
      <c r="N821" s="89"/>
      <c r="O821" s="89"/>
      <c r="P821" s="89"/>
      <c r="Q821" s="89"/>
      <c r="R821" s="89"/>
      <c r="S821" s="89"/>
      <c r="T821" s="89"/>
    </row>
    <row r="822" ht="15.75" customHeight="1">
      <c r="A822" s="89"/>
      <c r="B822" s="89"/>
      <c r="C822" s="89"/>
      <c r="D822" s="89"/>
      <c r="E822" s="89"/>
      <c r="F822" s="89"/>
      <c r="G822" s="89"/>
      <c r="H822" s="89"/>
      <c r="I822" s="89"/>
      <c r="J822" s="89"/>
      <c r="K822" s="89"/>
      <c r="L822" s="89"/>
      <c r="M822" s="89"/>
      <c r="N822" s="89"/>
      <c r="O822" s="89"/>
      <c r="P822" s="89"/>
      <c r="Q822" s="89"/>
      <c r="R822" s="89"/>
      <c r="S822" s="89"/>
      <c r="T822" s="89"/>
    </row>
    <row r="823" ht="15.75" customHeight="1">
      <c r="A823" s="89"/>
      <c r="B823" s="89"/>
      <c r="C823" s="89"/>
      <c r="D823" s="89"/>
      <c r="E823" s="89"/>
      <c r="F823" s="89"/>
      <c r="G823" s="89"/>
      <c r="H823" s="89"/>
      <c r="I823" s="89"/>
      <c r="J823" s="89"/>
      <c r="K823" s="89"/>
      <c r="L823" s="89"/>
      <c r="M823" s="89"/>
      <c r="N823" s="89"/>
      <c r="O823" s="89"/>
      <c r="P823" s="89"/>
      <c r="Q823" s="89"/>
      <c r="R823" s="89"/>
      <c r="S823" s="89"/>
      <c r="T823" s="89"/>
    </row>
    <row r="824" ht="15.75" customHeight="1">
      <c r="A824" s="89"/>
      <c r="B824" s="89"/>
      <c r="C824" s="89"/>
      <c r="D824" s="89"/>
      <c r="E824" s="89"/>
      <c r="F824" s="89"/>
      <c r="G824" s="89"/>
      <c r="H824" s="89"/>
      <c r="I824" s="89"/>
      <c r="J824" s="89"/>
      <c r="K824" s="89"/>
      <c r="L824" s="89"/>
      <c r="M824" s="89"/>
      <c r="N824" s="89"/>
      <c r="O824" s="89"/>
      <c r="P824" s="89"/>
      <c r="Q824" s="89"/>
      <c r="R824" s="89"/>
      <c r="S824" s="89"/>
      <c r="T824" s="89"/>
    </row>
    <row r="825" ht="15.75" customHeight="1">
      <c r="A825" s="89"/>
      <c r="B825" s="89"/>
      <c r="C825" s="89"/>
      <c r="D825" s="89"/>
      <c r="E825" s="89"/>
      <c r="F825" s="89"/>
      <c r="G825" s="89"/>
      <c r="H825" s="89"/>
      <c r="I825" s="89"/>
      <c r="J825" s="89"/>
      <c r="K825" s="89"/>
      <c r="L825" s="89"/>
      <c r="M825" s="89"/>
      <c r="N825" s="89"/>
      <c r="O825" s="89"/>
      <c r="P825" s="89"/>
      <c r="Q825" s="89"/>
      <c r="R825" s="89"/>
      <c r="S825" s="89"/>
      <c r="T825" s="89"/>
    </row>
    <row r="826" ht="15.75" customHeight="1">
      <c r="A826" s="89"/>
      <c r="B826" s="89"/>
      <c r="C826" s="89"/>
      <c r="D826" s="89"/>
      <c r="E826" s="89"/>
      <c r="F826" s="89"/>
      <c r="G826" s="89"/>
      <c r="H826" s="89"/>
      <c r="I826" s="89"/>
      <c r="J826" s="89"/>
      <c r="K826" s="89"/>
      <c r="L826" s="89"/>
      <c r="M826" s="89"/>
      <c r="N826" s="89"/>
      <c r="O826" s="89"/>
      <c r="P826" s="89"/>
      <c r="Q826" s="89"/>
      <c r="R826" s="89"/>
      <c r="S826" s="89"/>
      <c r="T826" s="89"/>
    </row>
    <row r="827" ht="15.75" customHeight="1">
      <c r="A827" s="89"/>
      <c r="B827" s="89"/>
      <c r="C827" s="89"/>
      <c r="D827" s="89"/>
      <c r="E827" s="89"/>
      <c r="F827" s="89"/>
      <c r="G827" s="89"/>
      <c r="H827" s="89"/>
      <c r="I827" s="89"/>
      <c r="J827" s="89"/>
      <c r="K827" s="89"/>
      <c r="L827" s="89"/>
      <c r="M827" s="89"/>
      <c r="N827" s="89"/>
      <c r="O827" s="89"/>
      <c r="P827" s="89"/>
      <c r="Q827" s="89"/>
      <c r="R827" s="89"/>
      <c r="S827" s="89"/>
      <c r="T827" s="89"/>
    </row>
    <row r="828" ht="15.75" customHeight="1">
      <c r="A828" s="89"/>
      <c r="B828" s="89"/>
      <c r="C828" s="89"/>
      <c r="D828" s="89"/>
      <c r="E828" s="89"/>
      <c r="F828" s="89"/>
      <c r="G828" s="89"/>
      <c r="H828" s="89"/>
      <c r="I828" s="89"/>
      <c r="J828" s="89"/>
      <c r="K828" s="89"/>
      <c r="L828" s="89"/>
      <c r="M828" s="89"/>
      <c r="N828" s="89"/>
      <c r="O828" s="89"/>
      <c r="P828" s="89"/>
      <c r="Q828" s="89"/>
      <c r="R828" s="89"/>
      <c r="S828" s="89"/>
      <c r="T828" s="89"/>
    </row>
    <row r="829" ht="15.75" customHeight="1">
      <c r="A829" s="89"/>
      <c r="B829" s="89"/>
      <c r="C829" s="89"/>
      <c r="D829" s="89"/>
      <c r="E829" s="89"/>
      <c r="F829" s="89"/>
      <c r="G829" s="89"/>
      <c r="H829" s="89"/>
      <c r="I829" s="89"/>
      <c r="J829" s="89"/>
      <c r="K829" s="89"/>
      <c r="L829" s="89"/>
      <c r="M829" s="89"/>
      <c r="N829" s="89"/>
      <c r="O829" s="89"/>
      <c r="P829" s="89"/>
      <c r="Q829" s="89"/>
      <c r="R829" s="89"/>
      <c r="S829" s="89"/>
      <c r="T829" s="89"/>
    </row>
    <row r="830" ht="15.75" customHeight="1">
      <c r="A830" s="89"/>
      <c r="B830" s="89"/>
      <c r="C830" s="89"/>
      <c r="D830" s="89"/>
      <c r="E830" s="89"/>
      <c r="F830" s="89"/>
      <c r="G830" s="89"/>
      <c r="H830" s="89"/>
      <c r="I830" s="89"/>
      <c r="J830" s="89"/>
      <c r="K830" s="89"/>
      <c r="L830" s="89"/>
      <c r="M830" s="89"/>
      <c r="N830" s="89"/>
      <c r="O830" s="89"/>
      <c r="P830" s="89"/>
      <c r="Q830" s="89"/>
      <c r="R830" s="89"/>
      <c r="S830" s="89"/>
      <c r="T830" s="89"/>
    </row>
    <row r="831" ht="15.75" customHeight="1">
      <c r="A831" s="89"/>
      <c r="B831" s="89"/>
      <c r="C831" s="89"/>
      <c r="D831" s="89"/>
      <c r="E831" s="89"/>
      <c r="F831" s="89"/>
      <c r="G831" s="89"/>
      <c r="H831" s="89"/>
      <c r="I831" s="89"/>
      <c r="J831" s="89"/>
      <c r="K831" s="89"/>
      <c r="L831" s="89"/>
      <c r="M831" s="89"/>
      <c r="N831" s="89"/>
      <c r="O831" s="89"/>
      <c r="P831" s="89"/>
      <c r="Q831" s="89"/>
      <c r="R831" s="89"/>
      <c r="S831" s="89"/>
      <c r="T831" s="89"/>
    </row>
    <row r="832" ht="15.75" customHeight="1">
      <c r="A832" s="89"/>
      <c r="B832" s="89"/>
      <c r="C832" s="89"/>
      <c r="D832" s="89"/>
      <c r="E832" s="89"/>
      <c r="F832" s="89"/>
      <c r="G832" s="89"/>
      <c r="H832" s="89"/>
      <c r="I832" s="89"/>
      <c r="J832" s="89"/>
      <c r="K832" s="89"/>
      <c r="L832" s="89"/>
      <c r="M832" s="89"/>
      <c r="N832" s="89"/>
      <c r="O832" s="89"/>
      <c r="P832" s="89"/>
      <c r="Q832" s="89"/>
      <c r="R832" s="89"/>
      <c r="S832" s="89"/>
      <c r="T832" s="89"/>
    </row>
    <row r="833" ht="15.75" customHeight="1">
      <c r="A833" s="89"/>
      <c r="B833" s="89"/>
      <c r="C833" s="89"/>
      <c r="D833" s="89"/>
      <c r="E833" s="89"/>
      <c r="F833" s="89"/>
      <c r="G833" s="89"/>
      <c r="H833" s="89"/>
      <c r="I833" s="89"/>
      <c r="J833" s="89"/>
      <c r="K833" s="89"/>
      <c r="L833" s="89"/>
      <c r="M833" s="89"/>
      <c r="N833" s="89"/>
      <c r="O833" s="89"/>
      <c r="P833" s="89"/>
      <c r="Q833" s="89"/>
      <c r="R833" s="89"/>
      <c r="S833" s="89"/>
      <c r="T833" s="89"/>
    </row>
    <row r="834" ht="15.75" customHeight="1">
      <c r="A834" s="89"/>
      <c r="B834" s="89"/>
      <c r="C834" s="89"/>
      <c r="D834" s="89"/>
      <c r="E834" s="89"/>
      <c r="F834" s="89"/>
      <c r="G834" s="89"/>
      <c r="H834" s="89"/>
      <c r="I834" s="89"/>
      <c r="J834" s="89"/>
      <c r="K834" s="89"/>
      <c r="L834" s="89"/>
      <c r="M834" s="89"/>
      <c r="N834" s="89"/>
      <c r="O834" s="89"/>
      <c r="P834" s="89"/>
      <c r="Q834" s="89"/>
      <c r="R834" s="89"/>
      <c r="S834" s="89"/>
      <c r="T834" s="89"/>
    </row>
    <row r="835" ht="15.75" customHeight="1">
      <c r="A835" s="89"/>
      <c r="B835" s="89"/>
      <c r="C835" s="89"/>
      <c r="D835" s="89"/>
      <c r="E835" s="89"/>
      <c r="F835" s="89"/>
      <c r="G835" s="89"/>
      <c r="H835" s="89"/>
      <c r="I835" s="89"/>
      <c r="J835" s="89"/>
      <c r="K835" s="89"/>
      <c r="L835" s="89"/>
      <c r="M835" s="89"/>
      <c r="N835" s="89"/>
      <c r="O835" s="89"/>
      <c r="P835" s="89"/>
      <c r="Q835" s="89"/>
      <c r="R835" s="89"/>
      <c r="S835" s="89"/>
      <c r="T835" s="89"/>
    </row>
    <row r="836" ht="15.75" customHeight="1">
      <c r="A836" s="89"/>
      <c r="B836" s="89"/>
      <c r="C836" s="89"/>
      <c r="D836" s="89"/>
      <c r="E836" s="89"/>
      <c r="F836" s="89"/>
      <c r="G836" s="89"/>
      <c r="H836" s="89"/>
      <c r="I836" s="89"/>
      <c r="J836" s="89"/>
      <c r="K836" s="89"/>
      <c r="L836" s="89"/>
      <c r="M836" s="89"/>
      <c r="N836" s="89"/>
      <c r="O836" s="89"/>
      <c r="P836" s="89"/>
      <c r="Q836" s="89"/>
      <c r="R836" s="89"/>
      <c r="S836" s="89"/>
      <c r="T836" s="89"/>
    </row>
    <row r="837" ht="15.75" customHeight="1">
      <c r="A837" s="89"/>
      <c r="B837" s="89"/>
      <c r="C837" s="89"/>
      <c r="D837" s="89"/>
      <c r="E837" s="89"/>
      <c r="F837" s="89"/>
      <c r="G837" s="89"/>
      <c r="H837" s="89"/>
      <c r="I837" s="89"/>
      <c r="J837" s="89"/>
      <c r="K837" s="89"/>
      <c r="L837" s="89"/>
      <c r="M837" s="89"/>
      <c r="N837" s="89"/>
      <c r="O837" s="89"/>
      <c r="P837" s="89"/>
      <c r="Q837" s="89"/>
      <c r="R837" s="89"/>
      <c r="S837" s="89"/>
      <c r="T837" s="89"/>
    </row>
    <row r="838" ht="15.75" customHeight="1">
      <c r="A838" s="89"/>
      <c r="B838" s="89"/>
      <c r="C838" s="89"/>
      <c r="D838" s="89"/>
      <c r="E838" s="89"/>
      <c r="F838" s="89"/>
      <c r="G838" s="89"/>
      <c r="H838" s="89"/>
      <c r="I838" s="89"/>
      <c r="J838" s="89"/>
      <c r="K838" s="89"/>
      <c r="L838" s="89"/>
      <c r="M838" s="89"/>
      <c r="N838" s="89"/>
      <c r="O838" s="89"/>
      <c r="P838" s="89"/>
      <c r="Q838" s="89"/>
      <c r="R838" s="89"/>
      <c r="S838" s="89"/>
      <c r="T838" s="89"/>
    </row>
    <row r="839" ht="15.75" customHeight="1">
      <c r="A839" s="89"/>
      <c r="B839" s="89"/>
      <c r="C839" s="89"/>
      <c r="D839" s="89"/>
      <c r="E839" s="89"/>
      <c r="F839" s="89"/>
      <c r="G839" s="89"/>
      <c r="H839" s="89"/>
      <c r="I839" s="89"/>
      <c r="J839" s="89"/>
      <c r="K839" s="89"/>
      <c r="L839" s="89"/>
      <c r="M839" s="89"/>
      <c r="N839" s="89"/>
      <c r="O839" s="89"/>
      <c r="P839" s="89"/>
      <c r="Q839" s="89"/>
      <c r="R839" s="89"/>
      <c r="S839" s="89"/>
      <c r="T839" s="89"/>
    </row>
    <row r="840" ht="15.75" customHeight="1">
      <c r="A840" s="89"/>
      <c r="B840" s="89"/>
      <c r="C840" s="89"/>
      <c r="D840" s="89"/>
      <c r="E840" s="89"/>
      <c r="F840" s="89"/>
      <c r="G840" s="89"/>
      <c r="H840" s="89"/>
      <c r="I840" s="89"/>
      <c r="J840" s="89"/>
      <c r="K840" s="89"/>
      <c r="L840" s="89"/>
      <c r="M840" s="89"/>
      <c r="N840" s="89"/>
      <c r="O840" s="89"/>
      <c r="P840" s="89"/>
      <c r="Q840" s="89"/>
      <c r="R840" s="89"/>
      <c r="S840" s="89"/>
      <c r="T840" s="89"/>
    </row>
    <row r="841" ht="15.75" customHeight="1">
      <c r="A841" s="89"/>
      <c r="B841" s="89"/>
      <c r="C841" s="89"/>
      <c r="D841" s="89"/>
      <c r="E841" s="89"/>
      <c r="F841" s="89"/>
      <c r="G841" s="89"/>
      <c r="H841" s="89"/>
      <c r="I841" s="89"/>
      <c r="J841" s="89"/>
      <c r="K841" s="89"/>
      <c r="L841" s="89"/>
      <c r="M841" s="89"/>
      <c r="N841" s="89"/>
      <c r="O841" s="89"/>
      <c r="P841" s="89"/>
      <c r="Q841" s="89"/>
      <c r="R841" s="89"/>
      <c r="S841" s="89"/>
      <c r="T841" s="89"/>
    </row>
    <row r="842" ht="15.75" customHeight="1">
      <c r="A842" s="89"/>
      <c r="B842" s="89"/>
      <c r="C842" s="89"/>
      <c r="D842" s="89"/>
      <c r="E842" s="89"/>
      <c r="F842" s="89"/>
      <c r="G842" s="89"/>
      <c r="H842" s="89"/>
      <c r="I842" s="89"/>
      <c r="J842" s="89"/>
      <c r="K842" s="89"/>
      <c r="L842" s="89"/>
      <c r="M842" s="89"/>
      <c r="N842" s="89"/>
      <c r="O842" s="89"/>
      <c r="P842" s="89"/>
      <c r="Q842" s="89"/>
      <c r="R842" s="89"/>
      <c r="S842" s="89"/>
      <c r="T842" s="89"/>
    </row>
    <row r="843" ht="15.75" customHeight="1">
      <c r="A843" s="89"/>
      <c r="B843" s="89"/>
      <c r="C843" s="89"/>
      <c r="D843" s="89"/>
      <c r="E843" s="89"/>
      <c r="F843" s="89"/>
      <c r="G843" s="89"/>
      <c r="H843" s="89"/>
      <c r="I843" s="89"/>
      <c r="J843" s="89"/>
      <c r="K843" s="89"/>
      <c r="L843" s="89"/>
      <c r="M843" s="89"/>
      <c r="N843" s="89"/>
      <c r="O843" s="89"/>
      <c r="P843" s="89"/>
      <c r="Q843" s="89"/>
      <c r="R843" s="89"/>
      <c r="S843" s="89"/>
      <c r="T843" s="89"/>
    </row>
    <row r="844" ht="15.75" customHeight="1">
      <c r="A844" s="89"/>
      <c r="B844" s="89"/>
      <c r="C844" s="89"/>
      <c r="D844" s="89"/>
      <c r="E844" s="89"/>
      <c r="F844" s="89"/>
      <c r="G844" s="89"/>
      <c r="H844" s="89"/>
      <c r="I844" s="89"/>
      <c r="J844" s="89"/>
      <c r="K844" s="89"/>
      <c r="L844" s="89"/>
      <c r="M844" s="89"/>
      <c r="N844" s="89"/>
      <c r="O844" s="89"/>
      <c r="P844" s="89"/>
      <c r="Q844" s="89"/>
      <c r="R844" s="89"/>
      <c r="S844" s="89"/>
      <c r="T844" s="89"/>
    </row>
    <row r="845" ht="15.75" customHeight="1">
      <c r="A845" s="89"/>
      <c r="B845" s="89"/>
      <c r="C845" s="89"/>
      <c r="D845" s="89"/>
      <c r="E845" s="89"/>
      <c r="F845" s="89"/>
      <c r="G845" s="89"/>
      <c r="H845" s="89"/>
      <c r="I845" s="89"/>
      <c r="J845" s="89"/>
      <c r="K845" s="89"/>
      <c r="L845" s="89"/>
      <c r="M845" s="89"/>
      <c r="N845" s="89"/>
      <c r="O845" s="89"/>
      <c r="P845" s="89"/>
      <c r="Q845" s="89"/>
      <c r="R845" s="89"/>
      <c r="S845" s="89"/>
      <c r="T845" s="89"/>
    </row>
    <row r="846" ht="15.75" customHeight="1">
      <c r="A846" s="89"/>
      <c r="B846" s="89"/>
      <c r="C846" s="89"/>
      <c r="D846" s="89"/>
      <c r="E846" s="89"/>
      <c r="F846" s="89"/>
      <c r="G846" s="89"/>
      <c r="H846" s="89"/>
      <c r="I846" s="89"/>
      <c r="J846" s="89"/>
      <c r="K846" s="89"/>
      <c r="L846" s="89"/>
      <c r="M846" s="89"/>
      <c r="N846" s="89"/>
      <c r="O846" s="89"/>
      <c r="P846" s="89"/>
      <c r="Q846" s="89"/>
      <c r="R846" s="89"/>
      <c r="S846" s="89"/>
      <c r="T846" s="89"/>
    </row>
    <row r="847" ht="15.75" customHeight="1">
      <c r="A847" s="89"/>
      <c r="B847" s="89"/>
      <c r="C847" s="89"/>
      <c r="D847" s="89"/>
      <c r="E847" s="89"/>
      <c r="F847" s="89"/>
      <c r="G847" s="89"/>
      <c r="H847" s="89"/>
      <c r="I847" s="89"/>
      <c r="J847" s="89"/>
      <c r="K847" s="89"/>
      <c r="L847" s="89"/>
      <c r="M847" s="89"/>
      <c r="N847" s="89"/>
      <c r="O847" s="89"/>
      <c r="P847" s="89"/>
      <c r="Q847" s="89"/>
      <c r="R847" s="89"/>
      <c r="S847" s="89"/>
      <c r="T847" s="89"/>
    </row>
    <row r="848" ht="15.75" customHeight="1">
      <c r="A848" s="89"/>
      <c r="B848" s="89"/>
      <c r="C848" s="89"/>
      <c r="D848" s="89"/>
      <c r="E848" s="89"/>
      <c r="F848" s="89"/>
      <c r="G848" s="89"/>
      <c r="H848" s="89"/>
      <c r="I848" s="89"/>
      <c r="J848" s="89"/>
      <c r="K848" s="89"/>
      <c r="L848" s="89"/>
      <c r="M848" s="89"/>
      <c r="N848" s="89"/>
      <c r="O848" s="89"/>
      <c r="P848" s="89"/>
      <c r="Q848" s="89"/>
      <c r="R848" s="89"/>
      <c r="S848" s="89"/>
      <c r="T848" s="89"/>
    </row>
    <row r="849" ht="15.75" customHeight="1">
      <c r="A849" s="89"/>
      <c r="B849" s="89"/>
      <c r="C849" s="89"/>
      <c r="D849" s="89"/>
      <c r="E849" s="89"/>
      <c r="F849" s="89"/>
      <c r="G849" s="89"/>
      <c r="H849" s="89"/>
      <c r="I849" s="89"/>
      <c r="J849" s="89"/>
      <c r="K849" s="89"/>
      <c r="L849" s="89"/>
      <c r="M849" s="89"/>
      <c r="N849" s="89"/>
      <c r="O849" s="89"/>
      <c r="P849" s="89"/>
      <c r="Q849" s="89"/>
      <c r="R849" s="89"/>
      <c r="S849" s="89"/>
      <c r="T849" s="89"/>
    </row>
    <row r="850" ht="15.75" customHeight="1">
      <c r="A850" s="89"/>
      <c r="B850" s="89"/>
      <c r="C850" s="89"/>
      <c r="D850" s="89"/>
      <c r="E850" s="89"/>
      <c r="F850" s="89"/>
      <c r="G850" s="89"/>
      <c r="H850" s="89"/>
      <c r="I850" s="89"/>
      <c r="J850" s="89"/>
      <c r="K850" s="89"/>
      <c r="L850" s="89"/>
      <c r="M850" s="89"/>
      <c r="N850" s="89"/>
      <c r="O850" s="89"/>
      <c r="P850" s="89"/>
      <c r="Q850" s="89"/>
      <c r="R850" s="89"/>
      <c r="S850" s="89"/>
      <c r="T850" s="89"/>
    </row>
    <row r="851" ht="15.75" customHeight="1">
      <c r="A851" s="89"/>
      <c r="B851" s="89"/>
      <c r="C851" s="89"/>
      <c r="D851" s="89"/>
      <c r="E851" s="89"/>
      <c r="F851" s="89"/>
      <c r="G851" s="89"/>
      <c r="H851" s="89"/>
      <c r="I851" s="89"/>
      <c r="J851" s="89"/>
      <c r="K851" s="89"/>
      <c r="L851" s="89"/>
      <c r="M851" s="89"/>
      <c r="N851" s="89"/>
      <c r="O851" s="89"/>
      <c r="P851" s="89"/>
      <c r="Q851" s="89"/>
      <c r="R851" s="89"/>
      <c r="S851" s="89"/>
      <c r="T851" s="89"/>
    </row>
    <row r="852" ht="15.75" customHeight="1">
      <c r="A852" s="89"/>
      <c r="B852" s="89"/>
      <c r="C852" s="89"/>
      <c r="D852" s="89"/>
      <c r="E852" s="89"/>
      <c r="F852" s="89"/>
      <c r="G852" s="89"/>
      <c r="H852" s="89"/>
      <c r="I852" s="89"/>
      <c r="J852" s="89"/>
      <c r="K852" s="89"/>
      <c r="L852" s="89"/>
      <c r="M852" s="89"/>
      <c r="N852" s="89"/>
      <c r="O852" s="89"/>
      <c r="P852" s="89"/>
      <c r="Q852" s="89"/>
      <c r="R852" s="89"/>
      <c r="S852" s="89"/>
      <c r="T852" s="89"/>
    </row>
    <row r="853" ht="15.75" customHeight="1">
      <c r="A853" s="89"/>
      <c r="B853" s="89"/>
      <c r="C853" s="89"/>
      <c r="D853" s="89"/>
      <c r="E853" s="89"/>
      <c r="F853" s="89"/>
      <c r="G853" s="89"/>
      <c r="H853" s="89"/>
      <c r="I853" s="89"/>
      <c r="J853" s="89"/>
      <c r="K853" s="89"/>
      <c r="L853" s="89"/>
      <c r="M853" s="89"/>
      <c r="N853" s="89"/>
      <c r="O853" s="89"/>
      <c r="P853" s="89"/>
      <c r="Q853" s="89"/>
      <c r="R853" s="89"/>
      <c r="S853" s="89"/>
      <c r="T853" s="89"/>
    </row>
    <row r="854" ht="15.75" customHeight="1">
      <c r="A854" s="89"/>
      <c r="B854" s="89"/>
      <c r="C854" s="89"/>
      <c r="D854" s="89"/>
      <c r="E854" s="89"/>
      <c r="F854" s="89"/>
      <c r="G854" s="89"/>
      <c r="H854" s="89"/>
      <c r="I854" s="89"/>
      <c r="J854" s="89"/>
      <c r="K854" s="89"/>
      <c r="L854" s="89"/>
      <c r="M854" s="89"/>
      <c r="N854" s="89"/>
      <c r="O854" s="89"/>
      <c r="P854" s="89"/>
      <c r="Q854" s="89"/>
      <c r="R854" s="89"/>
      <c r="S854" s="89"/>
      <c r="T854" s="89"/>
    </row>
    <row r="855" ht="15.75" customHeight="1">
      <c r="A855" s="89"/>
      <c r="B855" s="89"/>
      <c r="C855" s="89"/>
      <c r="D855" s="89"/>
      <c r="E855" s="89"/>
      <c r="F855" s="89"/>
      <c r="G855" s="89"/>
      <c r="H855" s="89"/>
      <c r="I855" s="89"/>
      <c r="J855" s="89"/>
      <c r="K855" s="89"/>
      <c r="L855" s="89"/>
      <c r="M855" s="89"/>
      <c r="N855" s="89"/>
      <c r="O855" s="89"/>
      <c r="P855" s="89"/>
      <c r="Q855" s="89"/>
      <c r="R855" s="89"/>
      <c r="S855" s="89"/>
      <c r="T855" s="89"/>
    </row>
    <row r="856" ht="15.75" customHeight="1">
      <c r="A856" s="89"/>
      <c r="B856" s="89"/>
      <c r="C856" s="89"/>
      <c r="D856" s="89"/>
      <c r="E856" s="89"/>
      <c r="F856" s="89"/>
      <c r="G856" s="89"/>
      <c r="H856" s="89"/>
      <c r="I856" s="89"/>
      <c r="J856" s="89"/>
      <c r="K856" s="89"/>
      <c r="L856" s="89"/>
      <c r="M856" s="89"/>
      <c r="N856" s="89"/>
      <c r="O856" s="89"/>
      <c r="P856" s="89"/>
      <c r="Q856" s="89"/>
      <c r="R856" s="89"/>
      <c r="S856" s="89"/>
      <c r="T856" s="89"/>
    </row>
    <row r="857" ht="15.75" customHeight="1">
      <c r="A857" s="89"/>
      <c r="B857" s="89"/>
      <c r="C857" s="89"/>
      <c r="D857" s="89"/>
      <c r="E857" s="89"/>
      <c r="F857" s="89"/>
      <c r="G857" s="89"/>
      <c r="H857" s="89"/>
      <c r="I857" s="89"/>
      <c r="J857" s="89"/>
      <c r="K857" s="89"/>
      <c r="L857" s="89"/>
      <c r="M857" s="89"/>
      <c r="N857" s="89"/>
      <c r="O857" s="89"/>
      <c r="P857" s="89"/>
      <c r="Q857" s="89"/>
      <c r="R857" s="89"/>
      <c r="S857" s="89"/>
      <c r="T857" s="89"/>
    </row>
    <row r="858" ht="15.75" customHeight="1">
      <c r="A858" s="89"/>
      <c r="B858" s="89"/>
      <c r="C858" s="89"/>
      <c r="D858" s="89"/>
      <c r="E858" s="89"/>
      <c r="F858" s="89"/>
      <c r="G858" s="89"/>
      <c r="H858" s="89"/>
      <c r="I858" s="89"/>
      <c r="J858" s="89"/>
      <c r="K858" s="89"/>
      <c r="L858" s="89"/>
      <c r="M858" s="89"/>
      <c r="N858" s="89"/>
      <c r="O858" s="89"/>
      <c r="P858" s="89"/>
      <c r="Q858" s="89"/>
      <c r="R858" s="89"/>
      <c r="S858" s="89"/>
      <c r="T858" s="89"/>
    </row>
    <row r="859" ht="15.75" customHeight="1">
      <c r="A859" s="89"/>
      <c r="B859" s="89"/>
      <c r="C859" s="89"/>
      <c r="D859" s="89"/>
      <c r="E859" s="89"/>
      <c r="F859" s="89"/>
      <c r="G859" s="89"/>
      <c r="H859" s="89"/>
      <c r="I859" s="89"/>
      <c r="J859" s="89"/>
      <c r="K859" s="89"/>
      <c r="L859" s="89"/>
      <c r="M859" s="89"/>
      <c r="N859" s="89"/>
      <c r="O859" s="89"/>
      <c r="P859" s="89"/>
      <c r="Q859" s="89"/>
      <c r="R859" s="89"/>
      <c r="S859" s="89"/>
      <c r="T859" s="89"/>
    </row>
    <row r="860" ht="15.75" customHeight="1">
      <c r="A860" s="89"/>
      <c r="B860" s="89"/>
      <c r="C860" s="89"/>
      <c r="D860" s="89"/>
      <c r="E860" s="89"/>
      <c r="F860" s="89"/>
      <c r="G860" s="89"/>
      <c r="H860" s="89"/>
      <c r="I860" s="89"/>
      <c r="J860" s="89"/>
      <c r="K860" s="89"/>
      <c r="L860" s="89"/>
      <c r="M860" s="89"/>
      <c r="N860" s="89"/>
      <c r="O860" s="89"/>
      <c r="P860" s="89"/>
      <c r="Q860" s="89"/>
      <c r="R860" s="89"/>
      <c r="S860" s="89"/>
      <c r="T860" s="89"/>
    </row>
    <row r="861" ht="15.75" customHeight="1">
      <c r="A861" s="89"/>
      <c r="B861" s="89"/>
      <c r="C861" s="89"/>
      <c r="D861" s="89"/>
      <c r="E861" s="89"/>
      <c r="F861" s="89"/>
      <c r="G861" s="89"/>
      <c r="H861" s="89"/>
      <c r="I861" s="89"/>
      <c r="J861" s="89"/>
      <c r="K861" s="89"/>
      <c r="L861" s="89"/>
      <c r="M861" s="89"/>
      <c r="N861" s="89"/>
      <c r="O861" s="89"/>
      <c r="P861" s="89"/>
      <c r="Q861" s="89"/>
      <c r="R861" s="89"/>
      <c r="S861" s="89"/>
      <c r="T861" s="89"/>
    </row>
    <row r="862" ht="15.75" customHeight="1">
      <c r="A862" s="89"/>
      <c r="B862" s="89"/>
      <c r="C862" s="89"/>
      <c r="D862" s="89"/>
      <c r="E862" s="89"/>
      <c r="F862" s="89"/>
      <c r="G862" s="89"/>
      <c r="H862" s="89"/>
      <c r="I862" s="89"/>
      <c r="J862" s="89"/>
      <c r="K862" s="89"/>
      <c r="L862" s="89"/>
      <c r="M862" s="89"/>
      <c r="N862" s="89"/>
      <c r="O862" s="89"/>
      <c r="P862" s="89"/>
      <c r="Q862" s="89"/>
      <c r="R862" s="89"/>
      <c r="S862" s="89"/>
      <c r="T862" s="89"/>
    </row>
    <row r="863" ht="15.75" customHeight="1">
      <c r="A863" s="89"/>
      <c r="B863" s="89"/>
      <c r="C863" s="89"/>
      <c r="D863" s="89"/>
      <c r="E863" s="89"/>
      <c r="F863" s="89"/>
      <c r="G863" s="89"/>
      <c r="H863" s="89"/>
      <c r="I863" s="89"/>
      <c r="J863" s="89"/>
      <c r="K863" s="89"/>
      <c r="L863" s="89"/>
      <c r="M863" s="89"/>
      <c r="N863" s="89"/>
      <c r="O863" s="89"/>
      <c r="P863" s="89"/>
      <c r="Q863" s="89"/>
      <c r="R863" s="89"/>
      <c r="S863" s="89"/>
      <c r="T863" s="89"/>
    </row>
    <row r="864" ht="15.75" customHeight="1">
      <c r="A864" s="89"/>
      <c r="B864" s="89"/>
      <c r="C864" s="89"/>
      <c r="D864" s="89"/>
      <c r="E864" s="89"/>
      <c r="F864" s="89"/>
      <c r="G864" s="89"/>
      <c r="H864" s="89"/>
      <c r="I864" s="89"/>
      <c r="J864" s="89"/>
      <c r="K864" s="89"/>
      <c r="L864" s="89"/>
      <c r="M864" s="89"/>
      <c r="N864" s="89"/>
      <c r="O864" s="89"/>
      <c r="P864" s="89"/>
      <c r="Q864" s="89"/>
      <c r="R864" s="89"/>
      <c r="S864" s="89"/>
      <c r="T864" s="89"/>
    </row>
    <row r="865" ht="15.75" customHeight="1">
      <c r="A865" s="89"/>
      <c r="B865" s="89"/>
      <c r="C865" s="89"/>
      <c r="D865" s="89"/>
      <c r="E865" s="89"/>
      <c r="F865" s="89"/>
      <c r="G865" s="89"/>
      <c r="H865" s="89"/>
      <c r="I865" s="89"/>
      <c r="J865" s="89"/>
      <c r="K865" s="89"/>
      <c r="L865" s="89"/>
      <c r="M865" s="89"/>
      <c r="N865" s="89"/>
      <c r="O865" s="89"/>
      <c r="P865" s="89"/>
      <c r="Q865" s="89"/>
      <c r="R865" s="89"/>
      <c r="S865" s="89"/>
      <c r="T865" s="89"/>
    </row>
    <row r="866" ht="15.75" customHeight="1">
      <c r="A866" s="89"/>
      <c r="B866" s="89"/>
      <c r="C866" s="89"/>
      <c r="D866" s="89"/>
      <c r="E866" s="89"/>
      <c r="F866" s="89"/>
      <c r="G866" s="89"/>
      <c r="H866" s="89"/>
      <c r="I866" s="89"/>
      <c r="J866" s="89"/>
      <c r="K866" s="89"/>
      <c r="L866" s="89"/>
      <c r="M866" s="89"/>
      <c r="N866" s="89"/>
      <c r="O866" s="89"/>
      <c r="P866" s="89"/>
      <c r="Q866" s="89"/>
      <c r="R866" s="89"/>
      <c r="S866" s="89"/>
      <c r="T866" s="89"/>
    </row>
    <row r="867" ht="15.75" customHeight="1">
      <c r="A867" s="89"/>
      <c r="B867" s="89"/>
      <c r="C867" s="89"/>
      <c r="D867" s="89"/>
      <c r="E867" s="89"/>
      <c r="F867" s="89"/>
      <c r="G867" s="89"/>
      <c r="H867" s="89"/>
      <c r="I867" s="89"/>
      <c r="J867" s="89"/>
      <c r="K867" s="89"/>
      <c r="L867" s="89"/>
      <c r="M867" s="89"/>
      <c r="N867" s="89"/>
      <c r="O867" s="89"/>
      <c r="P867" s="89"/>
      <c r="Q867" s="89"/>
      <c r="R867" s="89"/>
      <c r="S867" s="89"/>
      <c r="T867" s="89"/>
    </row>
    <row r="868" ht="15.75" customHeight="1">
      <c r="A868" s="89"/>
      <c r="B868" s="89"/>
      <c r="C868" s="89"/>
      <c r="D868" s="89"/>
      <c r="E868" s="89"/>
      <c r="F868" s="89"/>
      <c r="G868" s="89"/>
      <c r="H868" s="89"/>
      <c r="I868" s="89"/>
      <c r="J868" s="89"/>
      <c r="K868" s="89"/>
      <c r="L868" s="89"/>
      <c r="M868" s="89"/>
      <c r="N868" s="89"/>
      <c r="O868" s="89"/>
      <c r="P868" s="89"/>
      <c r="Q868" s="89"/>
      <c r="R868" s="89"/>
      <c r="S868" s="89"/>
      <c r="T868" s="89"/>
    </row>
    <row r="869" ht="15.75" customHeight="1">
      <c r="A869" s="89"/>
      <c r="B869" s="89"/>
      <c r="C869" s="89"/>
      <c r="D869" s="89"/>
      <c r="E869" s="89"/>
      <c r="F869" s="89"/>
      <c r="G869" s="89"/>
      <c r="H869" s="89"/>
      <c r="I869" s="89"/>
      <c r="J869" s="89"/>
      <c r="K869" s="89"/>
      <c r="L869" s="89"/>
      <c r="M869" s="89"/>
      <c r="N869" s="89"/>
      <c r="O869" s="89"/>
      <c r="P869" s="89"/>
      <c r="Q869" s="89"/>
      <c r="R869" s="89"/>
      <c r="S869" s="89"/>
      <c r="T869" s="89"/>
    </row>
    <row r="870" ht="15.75" customHeight="1">
      <c r="A870" s="89"/>
      <c r="B870" s="89"/>
      <c r="C870" s="89"/>
      <c r="D870" s="89"/>
      <c r="E870" s="89"/>
      <c r="F870" s="89"/>
      <c r="G870" s="89"/>
      <c r="H870" s="89"/>
      <c r="I870" s="89"/>
      <c r="J870" s="89"/>
      <c r="K870" s="89"/>
      <c r="L870" s="89"/>
      <c r="M870" s="89"/>
      <c r="N870" s="89"/>
      <c r="O870" s="89"/>
      <c r="P870" s="89"/>
      <c r="Q870" s="89"/>
      <c r="R870" s="89"/>
      <c r="S870" s="89"/>
      <c r="T870" s="89"/>
    </row>
    <row r="871" ht="15.75" customHeight="1">
      <c r="A871" s="89"/>
      <c r="B871" s="89"/>
      <c r="C871" s="89"/>
      <c r="D871" s="89"/>
      <c r="E871" s="89"/>
      <c r="F871" s="89"/>
      <c r="G871" s="89"/>
      <c r="H871" s="89"/>
      <c r="I871" s="89"/>
      <c r="J871" s="89"/>
      <c r="K871" s="89"/>
      <c r="L871" s="89"/>
      <c r="M871" s="89"/>
      <c r="N871" s="89"/>
      <c r="O871" s="89"/>
      <c r="P871" s="89"/>
      <c r="Q871" s="89"/>
      <c r="R871" s="89"/>
      <c r="S871" s="89"/>
      <c r="T871" s="89"/>
    </row>
    <row r="872" ht="15.75" customHeight="1">
      <c r="A872" s="89"/>
      <c r="B872" s="89"/>
      <c r="C872" s="89"/>
      <c r="D872" s="89"/>
      <c r="E872" s="89"/>
      <c r="F872" s="89"/>
      <c r="G872" s="89"/>
      <c r="H872" s="89"/>
      <c r="I872" s="89"/>
      <c r="J872" s="89"/>
      <c r="K872" s="89"/>
      <c r="L872" s="89"/>
      <c r="M872" s="89"/>
      <c r="N872" s="89"/>
      <c r="O872" s="89"/>
      <c r="P872" s="89"/>
      <c r="Q872" s="89"/>
      <c r="R872" s="89"/>
      <c r="S872" s="89"/>
      <c r="T872" s="89"/>
    </row>
    <row r="873" ht="15.75" customHeight="1">
      <c r="A873" s="89"/>
      <c r="B873" s="89"/>
      <c r="C873" s="89"/>
      <c r="D873" s="89"/>
      <c r="E873" s="89"/>
      <c r="F873" s="89"/>
      <c r="G873" s="89"/>
      <c r="H873" s="89"/>
      <c r="I873" s="89"/>
      <c r="J873" s="89"/>
      <c r="K873" s="89"/>
      <c r="L873" s="89"/>
      <c r="M873" s="89"/>
      <c r="N873" s="89"/>
      <c r="O873" s="89"/>
      <c r="P873" s="89"/>
      <c r="Q873" s="89"/>
      <c r="R873" s="89"/>
      <c r="S873" s="89"/>
      <c r="T873" s="89"/>
    </row>
    <row r="874" ht="15.75" customHeight="1">
      <c r="A874" s="89"/>
      <c r="B874" s="89"/>
      <c r="C874" s="89"/>
      <c r="D874" s="89"/>
      <c r="E874" s="89"/>
      <c r="F874" s="89"/>
      <c r="G874" s="89"/>
      <c r="H874" s="89"/>
      <c r="I874" s="89"/>
      <c r="J874" s="89"/>
      <c r="K874" s="89"/>
      <c r="L874" s="89"/>
      <c r="M874" s="89"/>
      <c r="N874" s="89"/>
      <c r="O874" s="89"/>
      <c r="P874" s="89"/>
      <c r="Q874" s="89"/>
      <c r="R874" s="89"/>
      <c r="S874" s="89"/>
      <c r="T874" s="89"/>
    </row>
    <row r="875" ht="15.75" customHeight="1">
      <c r="A875" s="89"/>
      <c r="B875" s="89"/>
      <c r="C875" s="89"/>
      <c r="D875" s="89"/>
      <c r="E875" s="89"/>
      <c r="F875" s="89"/>
      <c r="G875" s="89"/>
      <c r="H875" s="89"/>
      <c r="I875" s="89"/>
      <c r="J875" s="89"/>
      <c r="K875" s="89"/>
      <c r="L875" s="89"/>
      <c r="M875" s="89"/>
      <c r="N875" s="89"/>
      <c r="O875" s="89"/>
      <c r="P875" s="89"/>
      <c r="Q875" s="89"/>
      <c r="R875" s="89"/>
      <c r="S875" s="89"/>
      <c r="T875" s="89"/>
    </row>
    <row r="876" ht="15.75" customHeight="1">
      <c r="A876" s="89"/>
      <c r="B876" s="89"/>
      <c r="C876" s="89"/>
      <c r="D876" s="89"/>
      <c r="E876" s="89"/>
      <c r="F876" s="89"/>
      <c r="G876" s="89"/>
      <c r="H876" s="89"/>
      <c r="I876" s="89"/>
      <c r="J876" s="89"/>
      <c r="K876" s="89"/>
      <c r="L876" s="89"/>
      <c r="M876" s="89"/>
      <c r="N876" s="89"/>
      <c r="O876" s="89"/>
      <c r="P876" s="89"/>
      <c r="Q876" s="89"/>
      <c r="R876" s="89"/>
      <c r="S876" s="89"/>
      <c r="T876" s="89"/>
    </row>
    <row r="877" ht="15.75" customHeight="1">
      <c r="A877" s="89"/>
      <c r="B877" s="89"/>
      <c r="C877" s="89"/>
      <c r="D877" s="89"/>
      <c r="E877" s="89"/>
      <c r="F877" s="89"/>
      <c r="G877" s="89"/>
      <c r="H877" s="89"/>
      <c r="I877" s="89"/>
      <c r="J877" s="89"/>
      <c r="K877" s="89"/>
      <c r="L877" s="89"/>
      <c r="M877" s="89"/>
      <c r="N877" s="89"/>
      <c r="O877" s="89"/>
      <c r="P877" s="89"/>
      <c r="Q877" s="89"/>
      <c r="R877" s="89"/>
      <c r="S877" s="89"/>
      <c r="T877" s="89"/>
    </row>
    <row r="878" ht="15.75" customHeight="1">
      <c r="A878" s="89"/>
      <c r="B878" s="89"/>
      <c r="C878" s="89"/>
      <c r="D878" s="89"/>
      <c r="E878" s="89"/>
      <c r="F878" s="89"/>
      <c r="G878" s="89"/>
      <c r="H878" s="89"/>
      <c r="I878" s="89"/>
      <c r="J878" s="89"/>
      <c r="K878" s="89"/>
      <c r="L878" s="89"/>
      <c r="M878" s="89"/>
      <c r="N878" s="89"/>
      <c r="O878" s="89"/>
      <c r="P878" s="89"/>
      <c r="Q878" s="89"/>
      <c r="R878" s="89"/>
      <c r="S878" s="89"/>
      <c r="T878" s="89"/>
    </row>
    <row r="879" ht="15.75" customHeight="1">
      <c r="A879" s="89"/>
      <c r="B879" s="89"/>
      <c r="C879" s="89"/>
      <c r="D879" s="89"/>
      <c r="E879" s="89"/>
      <c r="F879" s="89"/>
      <c r="G879" s="89"/>
      <c r="H879" s="89"/>
      <c r="I879" s="89"/>
      <c r="J879" s="89"/>
      <c r="K879" s="89"/>
      <c r="L879" s="89"/>
      <c r="M879" s="89"/>
      <c r="N879" s="89"/>
      <c r="O879" s="89"/>
      <c r="P879" s="89"/>
      <c r="Q879" s="89"/>
      <c r="R879" s="89"/>
      <c r="S879" s="89"/>
      <c r="T879" s="89"/>
    </row>
    <row r="880" ht="15.75" customHeight="1">
      <c r="A880" s="89"/>
      <c r="B880" s="89"/>
      <c r="C880" s="89"/>
      <c r="D880" s="89"/>
      <c r="E880" s="89"/>
      <c r="F880" s="89"/>
      <c r="G880" s="89"/>
      <c r="H880" s="89"/>
      <c r="I880" s="89"/>
      <c r="J880" s="89"/>
      <c r="K880" s="89"/>
      <c r="L880" s="89"/>
      <c r="M880" s="89"/>
      <c r="N880" s="89"/>
      <c r="O880" s="89"/>
      <c r="P880" s="89"/>
      <c r="Q880" s="89"/>
      <c r="R880" s="89"/>
      <c r="S880" s="89"/>
      <c r="T880" s="89"/>
    </row>
    <row r="881" ht="15.75" customHeight="1">
      <c r="A881" s="89"/>
      <c r="B881" s="89"/>
      <c r="C881" s="89"/>
      <c r="D881" s="89"/>
      <c r="E881" s="89"/>
      <c r="F881" s="89"/>
      <c r="G881" s="89"/>
      <c r="H881" s="89"/>
      <c r="I881" s="89"/>
      <c r="J881" s="89"/>
      <c r="K881" s="89"/>
      <c r="L881" s="89"/>
      <c r="M881" s="89"/>
      <c r="N881" s="89"/>
      <c r="O881" s="89"/>
      <c r="P881" s="89"/>
      <c r="Q881" s="89"/>
      <c r="R881" s="89"/>
      <c r="S881" s="89"/>
      <c r="T881" s="89"/>
    </row>
    <row r="882" ht="15.75" customHeight="1">
      <c r="A882" s="89"/>
      <c r="B882" s="89"/>
      <c r="C882" s="89"/>
      <c r="D882" s="89"/>
      <c r="E882" s="89"/>
      <c r="F882" s="89"/>
      <c r="G882" s="89"/>
      <c r="H882" s="89"/>
      <c r="I882" s="89"/>
      <c r="J882" s="89"/>
      <c r="K882" s="89"/>
      <c r="L882" s="89"/>
      <c r="M882" s="89"/>
      <c r="N882" s="89"/>
      <c r="O882" s="89"/>
      <c r="P882" s="89"/>
      <c r="Q882" s="89"/>
      <c r="R882" s="89"/>
      <c r="S882" s="89"/>
      <c r="T882" s="89"/>
    </row>
    <row r="883" ht="15.75" customHeight="1">
      <c r="A883" s="89"/>
      <c r="B883" s="89"/>
      <c r="C883" s="89"/>
      <c r="D883" s="89"/>
      <c r="E883" s="89"/>
      <c r="F883" s="89"/>
      <c r="G883" s="89"/>
      <c r="H883" s="89"/>
      <c r="I883" s="89"/>
      <c r="J883" s="89"/>
      <c r="K883" s="89"/>
      <c r="L883" s="89"/>
      <c r="M883" s="89"/>
      <c r="N883" s="89"/>
      <c r="O883" s="89"/>
      <c r="P883" s="89"/>
      <c r="Q883" s="89"/>
      <c r="R883" s="89"/>
      <c r="S883" s="89"/>
      <c r="T883" s="89"/>
    </row>
    <row r="884" ht="15.75" customHeight="1">
      <c r="A884" s="89"/>
      <c r="B884" s="89"/>
      <c r="C884" s="89"/>
      <c r="D884" s="89"/>
      <c r="E884" s="89"/>
      <c r="F884" s="89"/>
      <c r="G884" s="89"/>
      <c r="H884" s="89"/>
      <c r="I884" s="89"/>
      <c r="J884" s="89"/>
      <c r="K884" s="89"/>
      <c r="L884" s="89"/>
      <c r="M884" s="89"/>
      <c r="N884" s="89"/>
      <c r="O884" s="89"/>
      <c r="P884" s="89"/>
      <c r="Q884" s="89"/>
      <c r="R884" s="89"/>
      <c r="S884" s="89"/>
      <c r="T884" s="89"/>
    </row>
    <row r="885" ht="15.75" customHeight="1">
      <c r="A885" s="89"/>
      <c r="B885" s="89"/>
      <c r="C885" s="89"/>
      <c r="D885" s="89"/>
      <c r="E885" s="89"/>
      <c r="F885" s="89"/>
      <c r="G885" s="89"/>
      <c r="H885" s="89"/>
      <c r="I885" s="89"/>
      <c r="J885" s="89"/>
      <c r="K885" s="89"/>
      <c r="L885" s="89"/>
      <c r="M885" s="89"/>
      <c r="N885" s="89"/>
      <c r="O885" s="89"/>
      <c r="P885" s="89"/>
      <c r="Q885" s="89"/>
      <c r="R885" s="89"/>
      <c r="S885" s="89"/>
      <c r="T885" s="89"/>
    </row>
    <row r="886" ht="15.75" customHeight="1">
      <c r="A886" s="89"/>
      <c r="B886" s="89"/>
      <c r="C886" s="89"/>
      <c r="D886" s="89"/>
      <c r="E886" s="89"/>
      <c r="F886" s="89"/>
      <c r="G886" s="89"/>
      <c r="H886" s="89"/>
      <c r="I886" s="89"/>
      <c r="J886" s="89"/>
      <c r="K886" s="89"/>
      <c r="L886" s="89"/>
      <c r="M886" s="89"/>
      <c r="N886" s="89"/>
      <c r="O886" s="89"/>
      <c r="P886" s="89"/>
      <c r="Q886" s="89"/>
      <c r="R886" s="89"/>
      <c r="S886" s="89"/>
      <c r="T886" s="89"/>
    </row>
    <row r="887" ht="15.75" customHeight="1">
      <c r="A887" s="89"/>
      <c r="B887" s="89"/>
      <c r="C887" s="89"/>
      <c r="D887" s="89"/>
      <c r="E887" s="89"/>
      <c r="F887" s="89"/>
      <c r="G887" s="89"/>
      <c r="H887" s="89"/>
      <c r="I887" s="89"/>
      <c r="J887" s="89"/>
      <c r="K887" s="89"/>
      <c r="L887" s="89"/>
      <c r="M887" s="89"/>
      <c r="N887" s="89"/>
      <c r="O887" s="89"/>
      <c r="P887" s="89"/>
      <c r="Q887" s="89"/>
      <c r="R887" s="89"/>
      <c r="S887" s="89"/>
      <c r="T887" s="89"/>
    </row>
    <row r="888" ht="15.75" customHeight="1">
      <c r="A888" s="89"/>
      <c r="B888" s="89"/>
      <c r="C888" s="89"/>
      <c r="D888" s="89"/>
      <c r="E888" s="89"/>
      <c r="F888" s="89"/>
      <c r="G888" s="89"/>
      <c r="H888" s="89"/>
      <c r="I888" s="89"/>
      <c r="J888" s="89"/>
      <c r="K888" s="89"/>
      <c r="L888" s="89"/>
      <c r="M888" s="89"/>
      <c r="N888" s="89"/>
      <c r="O888" s="89"/>
      <c r="P888" s="89"/>
      <c r="Q888" s="89"/>
      <c r="R888" s="89"/>
      <c r="S888" s="89"/>
      <c r="T888" s="89"/>
    </row>
    <row r="889" ht="15.75" customHeight="1">
      <c r="A889" s="89"/>
      <c r="B889" s="89"/>
      <c r="C889" s="89"/>
      <c r="D889" s="89"/>
      <c r="E889" s="89"/>
      <c r="F889" s="89"/>
      <c r="G889" s="89"/>
      <c r="H889" s="89"/>
      <c r="I889" s="89"/>
      <c r="J889" s="89"/>
      <c r="K889" s="89"/>
      <c r="L889" s="89"/>
      <c r="M889" s="89"/>
      <c r="N889" s="89"/>
      <c r="O889" s="89"/>
      <c r="P889" s="89"/>
      <c r="Q889" s="89"/>
      <c r="R889" s="89"/>
      <c r="S889" s="89"/>
      <c r="T889" s="89"/>
    </row>
    <row r="890" ht="15.75" customHeight="1">
      <c r="A890" s="89"/>
      <c r="B890" s="89"/>
      <c r="C890" s="89"/>
      <c r="D890" s="89"/>
      <c r="E890" s="89"/>
      <c r="F890" s="89"/>
      <c r="G890" s="89"/>
      <c r="H890" s="89"/>
      <c r="I890" s="89"/>
      <c r="J890" s="89"/>
      <c r="K890" s="89"/>
      <c r="L890" s="89"/>
      <c r="M890" s="89"/>
      <c r="N890" s="89"/>
      <c r="O890" s="89"/>
      <c r="P890" s="89"/>
      <c r="Q890" s="89"/>
      <c r="R890" s="89"/>
      <c r="S890" s="89"/>
      <c r="T890" s="89"/>
    </row>
    <row r="891" ht="15.75" customHeight="1">
      <c r="A891" s="89"/>
      <c r="B891" s="89"/>
      <c r="C891" s="89"/>
      <c r="D891" s="89"/>
      <c r="E891" s="89"/>
      <c r="F891" s="89"/>
      <c r="G891" s="89"/>
      <c r="H891" s="89"/>
      <c r="I891" s="89"/>
      <c r="J891" s="89"/>
      <c r="K891" s="89"/>
      <c r="L891" s="89"/>
      <c r="M891" s="89"/>
      <c r="N891" s="89"/>
      <c r="O891" s="89"/>
      <c r="P891" s="89"/>
      <c r="Q891" s="89"/>
      <c r="R891" s="89"/>
      <c r="S891" s="89"/>
      <c r="T891" s="89"/>
    </row>
    <row r="892" ht="15.75" customHeight="1">
      <c r="A892" s="89"/>
      <c r="B892" s="89"/>
      <c r="C892" s="89"/>
      <c r="D892" s="89"/>
      <c r="E892" s="89"/>
      <c r="F892" s="89"/>
      <c r="G892" s="89"/>
      <c r="H892" s="89"/>
      <c r="I892" s="89"/>
      <c r="J892" s="89"/>
      <c r="K892" s="89"/>
      <c r="L892" s="89"/>
      <c r="M892" s="89"/>
      <c r="N892" s="89"/>
      <c r="O892" s="89"/>
      <c r="P892" s="89"/>
      <c r="Q892" s="89"/>
      <c r="R892" s="89"/>
      <c r="S892" s="89"/>
      <c r="T892" s="89"/>
    </row>
    <row r="893" ht="15.75" customHeight="1">
      <c r="A893" s="89"/>
      <c r="B893" s="89"/>
      <c r="C893" s="89"/>
      <c r="D893" s="89"/>
      <c r="E893" s="89"/>
      <c r="F893" s="89"/>
      <c r="G893" s="89"/>
      <c r="H893" s="89"/>
      <c r="I893" s="89"/>
      <c r="J893" s="89"/>
      <c r="K893" s="89"/>
      <c r="L893" s="89"/>
      <c r="M893" s="89"/>
      <c r="N893" s="89"/>
      <c r="O893" s="89"/>
      <c r="P893" s="89"/>
      <c r="Q893" s="89"/>
      <c r="R893" s="89"/>
      <c r="S893" s="89"/>
      <c r="T893" s="89"/>
    </row>
    <row r="894" ht="15.75" customHeight="1">
      <c r="A894" s="89"/>
      <c r="B894" s="89"/>
      <c r="C894" s="89"/>
      <c r="D894" s="89"/>
      <c r="E894" s="89"/>
      <c r="F894" s="89"/>
      <c r="G894" s="89"/>
      <c r="H894" s="89"/>
      <c r="I894" s="89"/>
      <c r="J894" s="89"/>
      <c r="K894" s="89"/>
      <c r="L894" s="89"/>
      <c r="M894" s="89"/>
      <c r="N894" s="89"/>
      <c r="O894" s="89"/>
      <c r="P894" s="89"/>
      <c r="Q894" s="89"/>
      <c r="R894" s="89"/>
      <c r="S894" s="89"/>
      <c r="T894" s="89"/>
    </row>
    <row r="895" ht="15.75" customHeight="1">
      <c r="A895" s="89"/>
      <c r="B895" s="89"/>
      <c r="C895" s="89"/>
      <c r="D895" s="89"/>
      <c r="E895" s="89"/>
      <c r="F895" s="89"/>
      <c r="G895" s="89"/>
      <c r="H895" s="89"/>
      <c r="I895" s="89"/>
      <c r="J895" s="89"/>
      <c r="K895" s="89"/>
      <c r="L895" s="89"/>
      <c r="M895" s="89"/>
      <c r="N895" s="89"/>
      <c r="O895" s="89"/>
      <c r="P895" s="89"/>
      <c r="Q895" s="89"/>
      <c r="R895" s="89"/>
      <c r="S895" s="89"/>
      <c r="T895" s="89"/>
    </row>
    <row r="896" ht="15.75" customHeight="1">
      <c r="A896" s="89"/>
      <c r="B896" s="89"/>
      <c r="C896" s="89"/>
      <c r="D896" s="89"/>
      <c r="E896" s="89"/>
      <c r="F896" s="89"/>
      <c r="G896" s="89"/>
      <c r="H896" s="89"/>
      <c r="I896" s="89"/>
      <c r="J896" s="89"/>
      <c r="K896" s="89"/>
      <c r="L896" s="89"/>
      <c r="M896" s="89"/>
      <c r="N896" s="89"/>
      <c r="O896" s="89"/>
      <c r="P896" s="89"/>
      <c r="Q896" s="89"/>
      <c r="R896" s="89"/>
      <c r="S896" s="89"/>
      <c r="T896" s="89"/>
    </row>
    <row r="897" ht="15.75" customHeight="1">
      <c r="A897" s="89"/>
      <c r="B897" s="89"/>
      <c r="C897" s="89"/>
      <c r="D897" s="89"/>
      <c r="E897" s="89"/>
      <c r="F897" s="89"/>
      <c r="G897" s="89"/>
      <c r="H897" s="89"/>
      <c r="I897" s="89"/>
      <c r="J897" s="89"/>
      <c r="K897" s="89"/>
      <c r="L897" s="89"/>
      <c r="M897" s="89"/>
      <c r="N897" s="89"/>
      <c r="O897" s="89"/>
      <c r="P897" s="89"/>
      <c r="Q897" s="89"/>
      <c r="R897" s="89"/>
      <c r="S897" s="89"/>
      <c r="T897" s="89"/>
    </row>
    <row r="898" ht="15.75" customHeight="1">
      <c r="A898" s="89"/>
      <c r="B898" s="89"/>
      <c r="C898" s="89"/>
      <c r="D898" s="89"/>
      <c r="E898" s="89"/>
      <c r="F898" s="89"/>
      <c r="G898" s="89"/>
      <c r="H898" s="89"/>
      <c r="I898" s="89"/>
      <c r="J898" s="89"/>
      <c r="K898" s="89"/>
      <c r="L898" s="89"/>
      <c r="M898" s="89"/>
      <c r="N898" s="89"/>
      <c r="O898" s="89"/>
      <c r="P898" s="89"/>
      <c r="Q898" s="89"/>
      <c r="R898" s="89"/>
      <c r="S898" s="89"/>
      <c r="T898" s="89"/>
    </row>
    <row r="899" ht="15.75" customHeight="1">
      <c r="A899" s="89"/>
      <c r="B899" s="89"/>
      <c r="C899" s="89"/>
      <c r="D899" s="89"/>
      <c r="E899" s="89"/>
      <c r="F899" s="89"/>
      <c r="G899" s="89"/>
      <c r="H899" s="89"/>
      <c r="I899" s="89"/>
      <c r="J899" s="89"/>
      <c r="K899" s="89"/>
      <c r="L899" s="89"/>
      <c r="M899" s="89"/>
      <c r="N899" s="89"/>
      <c r="O899" s="89"/>
      <c r="P899" s="89"/>
      <c r="Q899" s="89"/>
      <c r="R899" s="89"/>
      <c r="S899" s="89"/>
      <c r="T899" s="89"/>
    </row>
    <row r="900" ht="15.75" customHeight="1">
      <c r="A900" s="89"/>
      <c r="B900" s="89"/>
      <c r="C900" s="89"/>
      <c r="D900" s="89"/>
      <c r="E900" s="89"/>
      <c r="F900" s="89"/>
      <c r="G900" s="89"/>
      <c r="H900" s="89"/>
      <c r="I900" s="89"/>
      <c r="J900" s="89"/>
      <c r="K900" s="89"/>
      <c r="L900" s="89"/>
      <c r="M900" s="89"/>
      <c r="N900" s="89"/>
      <c r="O900" s="89"/>
      <c r="P900" s="89"/>
      <c r="Q900" s="89"/>
      <c r="R900" s="89"/>
      <c r="S900" s="89"/>
      <c r="T900" s="89"/>
    </row>
    <row r="901" ht="15.75" customHeight="1">
      <c r="A901" s="89"/>
      <c r="B901" s="89"/>
      <c r="C901" s="89"/>
      <c r="D901" s="89"/>
      <c r="E901" s="89"/>
      <c r="F901" s="89"/>
      <c r="G901" s="89"/>
      <c r="H901" s="89"/>
      <c r="I901" s="89"/>
      <c r="J901" s="89"/>
      <c r="K901" s="89"/>
      <c r="L901" s="89"/>
      <c r="M901" s="89"/>
      <c r="N901" s="89"/>
      <c r="O901" s="89"/>
      <c r="P901" s="89"/>
      <c r="Q901" s="89"/>
      <c r="R901" s="89"/>
      <c r="S901" s="89"/>
      <c r="T901" s="89"/>
    </row>
    <row r="902" ht="15.75" customHeight="1">
      <c r="A902" s="89"/>
      <c r="B902" s="89"/>
      <c r="C902" s="89"/>
      <c r="D902" s="89"/>
      <c r="E902" s="89"/>
      <c r="F902" s="89"/>
      <c r="G902" s="89"/>
      <c r="H902" s="89"/>
      <c r="I902" s="89"/>
      <c r="J902" s="89"/>
      <c r="K902" s="89"/>
      <c r="L902" s="89"/>
      <c r="M902" s="89"/>
      <c r="N902" s="89"/>
      <c r="O902" s="89"/>
      <c r="P902" s="89"/>
      <c r="Q902" s="89"/>
      <c r="R902" s="89"/>
      <c r="S902" s="89"/>
      <c r="T902" s="89"/>
    </row>
    <row r="903" ht="15.75" customHeight="1">
      <c r="A903" s="89"/>
      <c r="B903" s="89"/>
      <c r="C903" s="89"/>
      <c r="D903" s="89"/>
      <c r="E903" s="89"/>
      <c r="F903" s="89"/>
      <c r="G903" s="89"/>
      <c r="H903" s="89"/>
      <c r="I903" s="89"/>
      <c r="J903" s="89"/>
      <c r="K903" s="89"/>
      <c r="L903" s="89"/>
      <c r="M903" s="89"/>
      <c r="N903" s="89"/>
      <c r="O903" s="89"/>
      <c r="P903" s="89"/>
      <c r="Q903" s="89"/>
      <c r="R903" s="89"/>
      <c r="S903" s="89"/>
      <c r="T903" s="89"/>
    </row>
    <row r="904" ht="15.75" customHeight="1">
      <c r="A904" s="89"/>
      <c r="B904" s="89"/>
      <c r="C904" s="89"/>
      <c r="D904" s="89"/>
      <c r="E904" s="89"/>
      <c r="F904" s="89"/>
      <c r="G904" s="89"/>
      <c r="H904" s="89"/>
      <c r="I904" s="89"/>
      <c r="J904" s="89"/>
      <c r="K904" s="89"/>
      <c r="L904" s="89"/>
      <c r="M904" s="89"/>
      <c r="N904" s="89"/>
      <c r="O904" s="89"/>
      <c r="P904" s="89"/>
      <c r="Q904" s="89"/>
      <c r="R904" s="89"/>
      <c r="S904" s="89"/>
      <c r="T904" s="89"/>
    </row>
    <row r="905" ht="15.75" customHeight="1">
      <c r="A905" s="89"/>
      <c r="B905" s="89"/>
      <c r="C905" s="89"/>
      <c r="D905" s="89"/>
      <c r="E905" s="89"/>
      <c r="F905" s="89"/>
      <c r="G905" s="89"/>
      <c r="H905" s="89"/>
      <c r="I905" s="89"/>
      <c r="J905" s="89"/>
      <c r="K905" s="89"/>
      <c r="L905" s="89"/>
      <c r="M905" s="89"/>
      <c r="N905" s="89"/>
      <c r="O905" s="89"/>
      <c r="P905" s="89"/>
      <c r="Q905" s="89"/>
      <c r="R905" s="89"/>
      <c r="S905" s="89"/>
      <c r="T905" s="89"/>
    </row>
    <row r="906" ht="15.75" customHeight="1">
      <c r="A906" s="89"/>
      <c r="B906" s="89"/>
      <c r="C906" s="89"/>
      <c r="D906" s="89"/>
      <c r="E906" s="89"/>
      <c r="F906" s="89"/>
      <c r="G906" s="89"/>
      <c r="H906" s="89"/>
      <c r="I906" s="89"/>
      <c r="J906" s="89"/>
      <c r="K906" s="89"/>
      <c r="L906" s="89"/>
      <c r="M906" s="89"/>
      <c r="N906" s="89"/>
      <c r="O906" s="89"/>
      <c r="P906" s="89"/>
      <c r="Q906" s="89"/>
      <c r="R906" s="89"/>
      <c r="S906" s="89"/>
      <c r="T906" s="89"/>
    </row>
    <row r="907" ht="15.75" customHeight="1">
      <c r="A907" s="89"/>
      <c r="B907" s="89"/>
      <c r="C907" s="89"/>
      <c r="D907" s="89"/>
      <c r="E907" s="89"/>
      <c r="F907" s="89"/>
      <c r="G907" s="89"/>
      <c r="H907" s="89"/>
      <c r="I907" s="89"/>
      <c r="J907" s="89"/>
      <c r="K907" s="89"/>
      <c r="L907" s="89"/>
      <c r="M907" s="89"/>
      <c r="N907" s="89"/>
      <c r="O907" s="89"/>
      <c r="P907" s="89"/>
      <c r="Q907" s="89"/>
      <c r="R907" s="89"/>
      <c r="S907" s="89"/>
      <c r="T907" s="89"/>
    </row>
    <row r="908" ht="15.75" customHeight="1">
      <c r="A908" s="89"/>
      <c r="B908" s="89"/>
      <c r="C908" s="89"/>
      <c r="D908" s="89"/>
      <c r="E908" s="89"/>
      <c r="F908" s="89"/>
      <c r="G908" s="89"/>
      <c r="H908" s="89"/>
      <c r="I908" s="89"/>
      <c r="J908" s="89"/>
      <c r="K908" s="89"/>
      <c r="L908" s="89"/>
      <c r="M908" s="89"/>
      <c r="N908" s="89"/>
      <c r="O908" s="89"/>
      <c r="P908" s="89"/>
      <c r="Q908" s="89"/>
      <c r="R908" s="89"/>
      <c r="S908" s="89"/>
      <c r="T908" s="89"/>
    </row>
    <row r="909" ht="15.75" customHeight="1">
      <c r="A909" s="89"/>
      <c r="B909" s="89"/>
      <c r="C909" s="89"/>
      <c r="D909" s="89"/>
      <c r="E909" s="89"/>
      <c r="F909" s="89"/>
      <c r="G909" s="89"/>
      <c r="H909" s="89"/>
      <c r="I909" s="89"/>
      <c r="J909" s="89"/>
      <c r="K909" s="89"/>
      <c r="L909" s="89"/>
      <c r="M909" s="89"/>
      <c r="N909" s="89"/>
      <c r="O909" s="89"/>
      <c r="P909" s="89"/>
      <c r="Q909" s="89"/>
      <c r="R909" s="89"/>
      <c r="S909" s="89"/>
      <c r="T909" s="89"/>
    </row>
    <row r="910" ht="15.75" customHeight="1">
      <c r="A910" s="89"/>
      <c r="B910" s="89"/>
      <c r="C910" s="89"/>
      <c r="D910" s="89"/>
      <c r="E910" s="89"/>
      <c r="F910" s="89"/>
      <c r="G910" s="89"/>
      <c r="H910" s="89"/>
      <c r="I910" s="89"/>
      <c r="J910" s="89"/>
      <c r="K910" s="89"/>
      <c r="L910" s="89"/>
      <c r="M910" s="89"/>
      <c r="N910" s="89"/>
      <c r="O910" s="89"/>
      <c r="P910" s="89"/>
      <c r="Q910" s="89"/>
      <c r="R910" s="89"/>
      <c r="S910" s="89"/>
      <c r="T910" s="89"/>
    </row>
    <row r="911" ht="15.75" customHeight="1">
      <c r="A911" s="89"/>
      <c r="B911" s="89"/>
      <c r="C911" s="89"/>
      <c r="D911" s="89"/>
      <c r="E911" s="89"/>
      <c r="F911" s="89"/>
      <c r="G911" s="89"/>
      <c r="H911" s="89"/>
      <c r="I911" s="89"/>
      <c r="J911" s="89"/>
      <c r="K911" s="89"/>
      <c r="L911" s="89"/>
      <c r="M911" s="89"/>
      <c r="N911" s="89"/>
      <c r="O911" s="89"/>
      <c r="P911" s="89"/>
      <c r="Q911" s="89"/>
      <c r="R911" s="89"/>
      <c r="S911" s="89"/>
      <c r="T911" s="89"/>
    </row>
    <row r="912" ht="15.75" customHeight="1">
      <c r="A912" s="89"/>
      <c r="B912" s="89"/>
      <c r="C912" s="89"/>
      <c r="D912" s="89"/>
      <c r="E912" s="89"/>
      <c r="F912" s="89"/>
      <c r="G912" s="89"/>
      <c r="H912" s="89"/>
      <c r="I912" s="89"/>
      <c r="J912" s="89"/>
      <c r="K912" s="89"/>
      <c r="L912" s="89"/>
      <c r="M912" s="89"/>
      <c r="N912" s="89"/>
      <c r="O912" s="89"/>
      <c r="P912" s="89"/>
      <c r="Q912" s="89"/>
      <c r="R912" s="89"/>
      <c r="S912" s="89"/>
      <c r="T912" s="89"/>
    </row>
    <row r="913" ht="15.75" customHeight="1">
      <c r="A913" s="89"/>
      <c r="B913" s="89"/>
      <c r="C913" s="89"/>
      <c r="D913" s="89"/>
      <c r="E913" s="89"/>
      <c r="F913" s="89"/>
      <c r="G913" s="89"/>
      <c r="H913" s="89"/>
      <c r="I913" s="89"/>
      <c r="J913" s="89"/>
      <c r="K913" s="89"/>
      <c r="L913" s="89"/>
      <c r="M913" s="89"/>
      <c r="N913" s="89"/>
      <c r="O913" s="89"/>
      <c r="P913" s="89"/>
      <c r="Q913" s="89"/>
      <c r="R913" s="89"/>
      <c r="S913" s="89"/>
      <c r="T913" s="89"/>
    </row>
    <row r="914" ht="15.75" customHeight="1">
      <c r="A914" s="89"/>
      <c r="B914" s="89"/>
      <c r="C914" s="89"/>
      <c r="D914" s="89"/>
      <c r="E914" s="89"/>
      <c r="F914" s="89"/>
      <c r="G914" s="89"/>
      <c r="H914" s="89"/>
      <c r="I914" s="89"/>
      <c r="J914" s="89"/>
      <c r="K914" s="89"/>
      <c r="L914" s="89"/>
      <c r="M914" s="89"/>
      <c r="N914" s="89"/>
      <c r="O914" s="89"/>
      <c r="P914" s="89"/>
      <c r="Q914" s="89"/>
      <c r="R914" s="89"/>
      <c r="S914" s="89"/>
      <c r="T914" s="89"/>
    </row>
    <row r="915" ht="15.75" customHeight="1">
      <c r="A915" s="89"/>
      <c r="B915" s="89"/>
      <c r="C915" s="89"/>
      <c r="D915" s="89"/>
      <c r="E915" s="89"/>
      <c r="F915" s="89"/>
      <c r="G915" s="89"/>
      <c r="H915" s="89"/>
      <c r="I915" s="89"/>
      <c r="J915" s="89"/>
      <c r="K915" s="89"/>
      <c r="L915" s="89"/>
      <c r="M915" s="89"/>
      <c r="N915" s="89"/>
      <c r="O915" s="89"/>
      <c r="P915" s="89"/>
      <c r="Q915" s="89"/>
      <c r="R915" s="89"/>
      <c r="S915" s="89"/>
      <c r="T915" s="89"/>
    </row>
    <row r="916" ht="15.75" customHeight="1">
      <c r="A916" s="89"/>
      <c r="B916" s="89"/>
      <c r="C916" s="89"/>
      <c r="D916" s="89"/>
      <c r="E916" s="89"/>
      <c r="F916" s="89"/>
      <c r="G916" s="89"/>
      <c r="H916" s="89"/>
      <c r="I916" s="89"/>
      <c r="J916" s="89"/>
      <c r="K916" s="89"/>
      <c r="L916" s="89"/>
      <c r="M916" s="89"/>
      <c r="N916" s="89"/>
      <c r="O916" s="89"/>
      <c r="P916" s="89"/>
      <c r="Q916" s="89"/>
      <c r="R916" s="89"/>
      <c r="S916" s="89"/>
      <c r="T916" s="89"/>
    </row>
    <row r="917" ht="15.75" customHeight="1">
      <c r="A917" s="89"/>
      <c r="B917" s="89"/>
      <c r="C917" s="89"/>
      <c r="D917" s="89"/>
      <c r="E917" s="89"/>
      <c r="F917" s="89"/>
      <c r="G917" s="89"/>
      <c r="H917" s="89"/>
      <c r="I917" s="89"/>
      <c r="J917" s="89"/>
      <c r="K917" s="89"/>
      <c r="L917" s="89"/>
      <c r="M917" s="89"/>
      <c r="N917" s="89"/>
      <c r="O917" s="89"/>
      <c r="P917" s="89"/>
      <c r="Q917" s="89"/>
      <c r="R917" s="89"/>
      <c r="S917" s="89"/>
      <c r="T917" s="89"/>
    </row>
    <row r="918" ht="15.75" customHeight="1">
      <c r="A918" s="89"/>
      <c r="B918" s="89"/>
      <c r="C918" s="89"/>
      <c r="D918" s="89"/>
      <c r="E918" s="89"/>
      <c r="F918" s="89"/>
      <c r="G918" s="89"/>
      <c r="H918" s="89"/>
      <c r="I918" s="89"/>
      <c r="J918" s="89"/>
      <c r="K918" s="89"/>
      <c r="L918" s="89"/>
      <c r="M918" s="89"/>
      <c r="N918" s="89"/>
      <c r="O918" s="89"/>
      <c r="P918" s="89"/>
      <c r="Q918" s="89"/>
      <c r="R918" s="89"/>
      <c r="S918" s="89"/>
      <c r="T918" s="89"/>
    </row>
    <row r="919" ht="15.75" customHeight="1">
      <c r="A919" s="89"/>
      <c r="B919" s="89"/>
      <c r="C919" s="89"/>
      <c r="D919" s="89"/>
      <c r="E919" s="89"/>
      <c r="F919" s="89"/>
      <c r="G919" s="89"/>
      <c r="H919" s="89"/>
      <c r="I919" s="89"/>
      <c r="J919" s="89"/>
      <c r="K919" s="89"/>
      <c r="L919" s="89"/>
      <c r="M919" s="89"/>
      <c r="N919" s="89"/>
      <c r="O919" s="89"/>
      <c r="P919" s="89"/>
      <c r="Q919" s="89"/>
      <c r="R919" s="89"/>
      <c r="S919" s="89"/>
      <c r="T919" s="89"/>
    </row>
    <row r="920" ht="15.75" customHeight="1">
      <c r="A920" s="89"/>
      <c r="B920" s="89"/>
      <c r="C920" s="89"/>
      <c r="D920" s="89"/>
      <c r="E920" s="89"/>
      <c r="F920" s="89"/>
      <c r="G920" s="89"/>
      <c r="H920" s="89"/>
      <c r="I920" s="89"/>
      <c r="J920" s="89"/>
      <c r="K920" s="89"/>
      <c r="L920" s="89"/>
      <c r="M920" s="89"/>
      <c r="N920" s="89"/>
      <c r="O920" s="89"/>
      <c r="P920" s="89"/>
      <c r="Q920" s="89"/>
      <c r="R920" s="89"/>
      <c r="S920" s="89"/>
      <c r="T920" s="89"/>
    </row>
    <row r="921" ht="15.75" customHeight="1">
      <c r="A921" s="89"/>
      <c r="B921" s="89"/>
      <c r="C921" s="89"/>
      <c r="D921" s="89"/>
      <c r="E921" s="89"/>
      <c r="F921" s="89"/>
      <c r="G921" s="89"/>
      <c r="H921" s="89"/>
      <c r="I921" s="89"/>
      <c r="J921" s="89"/>
      <c r="K921" s="89"/>
      <c r="L921" s="89"/>
      <c r="M921" s="89"/>
      <c r="N921" s="89"/>
      <c r="O921" s="89"/>
      <c r="P921" s="89"/>
      <c r="Q921" s="89"/>
      <c r="R921" s="89"/>
      <c r="S921" s="89"/>
      <c r="T921" s="89"/>
    </row>
    <row r="922" ht="15.75" customHeight="1">
      <c r="A922" s="89"/>
      <c r="B922" s="89"/>
      <c r="C922" s="89"/>
      <c r="D922" s="89"/>
      <c r="E922" s="89"/>
      <c r="F922" s="89"/>
      <c r="G922" s="89"/>
      <c r="H922" s="89"/>
      <c r="I922" s="89"/>
      <c r="J922" s="89"/>
      <c r="K922" s="89"/>
      <c r="L922" s="89"/>
      <c r="M922" s="89"/>
      <c r="N922" s="89"/>
      <c r="O922" s="89"/>
      <c r="P922" s="89"/>
      <c r="Q922" s="89"/>
      <c r="R922" s="89"/>
      <c r="S922" s="89"/>
      <c r="T922" s="89"/>
    </row>
    <row r="923" ht="15.75" customHeight="1">
      <c r="A923" s="89"/>
      <c r="B923" s="89"/>
      <c r="C923" s="89"/>
      <c r="D923" s="89"/>
      <c r="E923" s="89"/>
      <c r="F923" s="89"/>
      <c r="G923" s="89"/>
      <c r="H923" s="89"/>
      <c r="I923" s="89"/>
      <c r="J923" s="89"/>
      <c r="K923" s="89"/>
      <c r="L923" s="89"/>
      <c r="M923" s="89"/>
      <c r="N923" s="89"/>
      <c r="O923" s="89"/>
      <c r="P923" s="89"/>
      <c r="Q923" s="89"/>
      <c r="R923" s="89"/>
      <c r="S923" s="89"/>
      <c r="T923" s="89"/>
    </row>
    <row r="924" ht="15.75" customHeight="1">
      <c r="A924" s="89"/>
      <c r="B924" s="89"/>
      <c r="C924" s="89"/>
      <c r="D924" s="89"/>
      <c r="E924" s="89"/>
      <c r="F924" s="89"/>
      <c r="G924" s="89"/>
      <c r="H924" s="89"/>
      <c r="I924" s="89"/>
      <c r="J924" s="89"/>
      <c r="K924" s="89"/>
      <c r="L924" s="89"/>
      <c r="M924" s="89"/>
      <c r="N924" s="89"/>
      <c r="O924" s="89"/>
      <c r="P924" s="89"/>
      <c r="Q924" s="89"/>
      <c r="R924" s="89"/>
      <c r="S924" s="89"/>
      <c r="T924" s="89"/>
    </row>
    <row r="925" ht="15.75" customHeight="1">
      <c r="A925" s="89"/>
      <c r="B925" s="89"/>
      <c r="C925" s="89"/>
      <c r="D925" s="89"/>
      <c r="E925" s="89"/>
      <c r="F925" s="89"/>
      <c r="G925" s="89"/>
      <c r="H925" s="89"/>
      <c r="I925" s="89"/>
      <c r="J925" s="89"/>
      <c r="K925" s="89"/>
      <c r="L925" s="89"/>
      <c r="M925" s="89"/>
      <c r="N925" s="89"/>
      <c r="O925" s="89"/>
      <c r="P925" s="89"/>
      <c r="Q925" s="89"/>
      <c r="R925" s="89"/>
      <c r="S925" s="89"/>
      <c r="T925" s="89"/>
    </row>
    <row r="926" ht="15.75" customHeight="1">
      <c r="A926" s="89"/>
      <c r="B926" s="89"/>
      <c r="C926" s="89"/>
      <c r="D926" s="89"/>
      <c r="E926" s="89"/>
      <c r="F926" s="89"/>
      <c r="G926" s="89"/>
      <c r="H926" s="89"/>
      <c r="I926" s="89"/>
      <c r="J926" s="89"/>
      <c r="K926" s="89"/>
      <c r="L926" s="89"/>
      <c r="M926" s="89"/>
      <c r="N926" s="89"/>
      <c r="O926" s="89"/>
      <c r="P926" s="89"/>
      <c r="Q926" s="89"/>
      <c r="R926" s="89"/>
      <c r="S926" s="89"/>
      <c r="T926" s="89"/>
    </row>
    <row r="927" ht="15.75" customHeight="1">
      <c r="A927" s="89"/>
      <c r="B927" s="89"/>
      <c r="C927" s="89"/>
      <c r="D927" s="89"/>
      <c r="E927" s="89"/>
      <c r="F927" s="89"/>
      <c r="G927" s="89"/>
      <c r="H927" s="89"/>
      <c r="I927" s="89"/>
      <c r="J927" s="89"/>
      <c r="K927" s="89"/>
      <c r="L927" s="89"/>
      <c r="M927" s="89"/>
      <c r="N927" s="89"/>
      <c r="O927" s="89"/>
      <c r="P927" s="89"/>
      <c r="Q927" s="89"/>
      <c r="R927" s="89"/>
      <c r="S927" s="89"/>
      <c r="T927" s="89"/>
    </row>
    <row r="928" ht="15.75" customHeight="1">
      <c r="A928" s="89"/>
      <c r="B928" s="89"/>
      <c r="C928" s="89"/>
      <c r="D928" s="89"/>
      <c r="E928" s="89"/>
      <c r="F928" s="89"/>
      <c r="G928" s="89"/>
      <c r="H928" s="89"/>
      <c r="I928" s="89"/>
      <c r="J928" s="89"/>
      <c r="K928" s="89"/>
      <c r="L928" s="89"/>
      <c r="M928" s="89"/>
      <c r="N928" s="89"/>
      <c r="O928" s="89"/>
      <c r="P928" s="89"/>
      <c r="Q928" s="89"/>
      <c r="R928" s="89"/>
      <c r="S928" s="89"/>
      <c r="T928" s="89"/>
    </row>
    <row r="929" ht="15.75" customHeight="1">
      <c r="A929" s="89"/>
      <c r="B929" s="89"/>
      <c r="C929" s="89"/>
      <c r="D929" s="89"/>
      <c r="E929" s="89"/>
      <c r="F929" s="89"/>
      <c r="G929" s="89"/>
      <c r="H929" s="89"/>
      <c r="I929" s="89"/>
      <c r="J929" s="89"/>
      <c r="K929" s="89"/>
      <c r="L929" s="89"/>
      <c r="M929" s="89"/>
      <c r="N929" s="89"/>
      <c r="O929" s="89"/>
      <c r="P929" s="89"/>
      <c r="Q929" s="89"/>
      <c r="R929" s="89"/>
      <c r="S929" s="89"/>
      <c r="T929" s="89"/>
    </row>
    <row r="930" ht="15.75" customHeight="1">
      <c r="A930" s="89"/>
      <c r="B930" s="89"/>
      <c r="C930" s="89"/>
      <c r="D930" s="89"/>
      <c r="E930" s="89"/>
      <c r="F930" s="89"/>
      <c r="G930" s="89"/>
      <c r="H930" s="89"/>
      <c r="I930" s="89"/>
      <c r="J930" s="89"/>
      <c r="K930" s="89"/>
      <c r="L930" s="89"/>
      <c r="M930" s="89"/>
      <c r="N930" s="89"/>
      <c r="O930" s="89"/>
      <c r="P930" s="89"/>
      <c r="Q930" s="89"/>
      <c r="R930" s="89"/>
      <c r="S930" s="89"/>
      <c r="T930" s="89"/>
    </row>
    <row r="931" ht="15.75" customHeight="1">
      <c r="A931" s="89"/>
      <c r="B931" s="89"/>
      <c r="C931" s="89"/>
      <c r="D931" s="89"/>
      <c r="E931" s="89"/>
      <c r="F931" s="89"/>
      <c r="G931" s="89"/>
      <c r="H931" s="89"/>
      <c r="I931" s="89"/>
      <c r="J931" s="89"/>
      <c r="K931" s="89"/>
      <c r="L931" s="89"/>
      <c r="M931" s="89"/>
      <c r="N931" s="89"/>
      <c r="O931" s="89"/>
      <c r="P931" s="89"/>
      <c r="Q931" s="89"/>
      <c r="R931" s="89"/>
      <c r="S931" s="89"/>
      <c r="T931" s="89"/>
    </row>
    <row r="932" ht="15.75" customHeight="1">
      <c r="A932" s="89"/>
      <c r="B932" s="89"/>
      <c r="C932" s="89"/>
      <c r="D932" s="89"/>
      <c r="E932" s="89"/>
      <c r="F932" s="89"/>
      <c r="G932" s="89"/>
      <c r="H932" s="89"/>
      <c r="I932" s="89"/>
      <c r="J932" s="89"/>
      <c r="K932" s="89"/>
      <c r="L932" s="89"/>
      <c r="M932" s="89"/>
      <c r="N932" s="89"/>
      <c r="O932" s="89"/>
      <c r="P932" s="89"/>
      <c r="Q932" s="89"/>
      <c r="R932" s="89"/>
      <c r="S932" s="89"/>
      <c r="T932" s="89"/>
    </row>
    <row r="933" ht="15.75" customHeight="1">
      <c r="A933" s="89"/>
      <c r="B933" s="89"/>
      <c r="C933" s="89"/>
      <c r="D933" s="89"/>
      <c r="E933" s="89"/>
      <c r="F933" s="89"/>
      <c r="G933" s="89"/>
      <c r="H933" s="89"/>
      <c r="I933" s="89"/>
      <c r="J933" s="89"/>
      <c r="K933" s="89"/>
      <c r="L933" s="89"/>
      <c r="M933" s="89"/>
      <c r="N933" s="89"/>
      <c r="O933" s="89"/>
      <c r="P933" s="89"/>
      <c r="Q933" s="89"/>
      <c r="R933" s="89"/>
      <c r="S933" s="89"/>
      <c r="T933" s="89"/>
    </row>
    <row r="934" ht="15.75" customHeight="1">
      <c r="A934" s="89"/>
      <c r="B934" s="89"/>
      <c r="C934" s="89"/>
      <c r="D934" s="89"/>
      <c r="E934" s="89"/>
      <c r="F934" s="89"/>
      <c r="G934" s="89"/>
      <c r="H934" s="89"/>
      <c r="I934" s="89"/>
      <c r="J934" s="89"/>
      <c r="K934" s="89"/>
      <c r="L934" s="89"/>
      <c r="M934" s="89"/>
      <c r="N934" s="89"/>
      <c r="O934" s="89"/>
      <c r="P934" s="89"/>
      <c r="Q934" s="89"/>
      <c r="R934" s="89"/>
      <c r="S934" s="89"/>
      <c r="T934" s="89"/>
    </row>
    <row r="935" ht="15.75" customHeight="1">
      <c r="A935" s="89"/>
      <c r="B935" s="89"/>
      <c r="C935" s="89"/>
      <c r="D935" s="89"/>
      <c r="E935" s="89"/>
      <c r="F935" s="89"/>
      <c r="G935" s="89"/>
      <c r="H935" s="89"/>
      <c r="I935" s="89"/>
      <c r="J935" s="89"/>
      <c r="K935" s="89"/>
      <c r="L935" s="89"/>
      <c r="M935" s="89"/>
      <c r="N935" s="89"/>
      <c r="O935" s="89"/>
      <c r="P935" s="89"/>
      <c r="Q935" s="89"/>
      <c r="R935" s="89"/>
      <c r="S935" s="89"/>
      <c r="T935" s="89"/>
    </row>
    <row r="936" ht="15.75" customHeight="1">
      <c r="A936" s="89"/>
      <c r="B936" s="89"/>
      <c r="C936" s="89"/>
      <c r="D936" s="89"/>
      <c r="E936" s="89"/>
      <c r="F936" s="89"/>
      <c r="G936" s="89"/>
      <c r="H936" s="89"/>
      <c r="I936" s="89"/>
      <c r="J936" s="89"/>
      <c r="K936" s="89"/>
      <c r="L936" s="89"/>
      <c r="M936" s="89"/>
      <c r="N936" s="89"/>
      <c r="O936" s="89"/>
      <c r="P936" s="89"/>
      <c r="Q936" s="89"/>
      <c r="R936" s="89"/>
      <c r="S936" s="89"/>
      <c r="T936" s="89"/>
    </row>
    <row r="937" ht="15.75" customHeight="1">
      <c r="A937" s="89"/>
      <c r="B937" s="89"/>
      <c r="C937" s="89"/>
      <c r="D937" s="89"/>
      <c r="E937" s="89"/>
      <c r="F937" s="89"/>
      <c r="G937" s="89"/>
      <c r="H937" s="89"/>
      <c r="I937" s="89"/>
      <c r="J937" s="89"/>
      <c r="K937" s="89"/>
      <c r="L937" s="89"/>
      <c r="M937" s="89"/>
      <c r="N937" s="89"/>
      <c r="O937" s="89"/>
      <c r="P937" s="89"/>
      <c r="Q937" s="89"/>
      <c r="R937" s="89"/>
      <c r="S937" s="89"/>
      <c r="T937" s="89"/>
    </row>
    <row r="938" ht="15.75" customHeight="1">
      <c r="A938" s="89"/>
      <c r="B938" s="89"/>
      <c r="C938" s="89"/>
      <c r="D938" s="89"/>
      <c r="E938" s="89"/>
      <c r="F938" s="89"/>
      <c r="G938" s="89"/>
      <c r="H938" s="89"/>
      <c r="I938" s="89"/>
      <c r="J938" s="89"/>
      <c r="K938" s="89"/>
      <c r="L938" s="89"/>
      <c r="M938" s="89"/>
      <c r="N938" s="89"/>
      <c r="O938" s="89"/>
      <c r="P938" s="89"/>
      <c r="Q938" s="89"/>
      <c r="R938" s="89"/>
      <c r="S938" s="89"/>
      <c r="T938" s="89"/>
    </row>
    <row r="939" ht="15.75" customHeight="1">
      <c r="A939" s="89"/>
      <c r="B939" s="89"/>
      <c r="C939" s="89"/>
      <c r="D939" s="89"/>
      <c r="E939" s="89"/>
      <c r="F939" s="89"/>
      <c r="G939" s="89"/>
      <c r="H939" s="89"/>
      <c r="I939" s="89"/>
      <c r="J939" s="89"/>
      <c r="K939" s="89"/>
      <c r="L939" s="89"/>
      <c r="M939" s="89"/>
      <c r="N939" s="89"/>
      <c r="O939" s="89"/>
      <c r="P939" s="89"/>
      <c r="Q939" s="89"/>
      <c r="R939" s="89"/>
      <c r="S939" s="89"/>
      <c r="T939" s="89"/>
    </row>
    <row r="940" ht="15.75" customHeight="1">
      <c r="A940" s="89"/>
      <c r="B940" s="89"/>
      <c r="C940" s="89"/>
      <c r="D940" s="89"/>
      <c r="E940" s="89"/>
      <c r="F940" s="89"/>
      <c r="G940" s="89"/>
      <c r="H940" s="89"/>
      <c r="I940" s="89"/>
      <c r="J940" s="89"/>
      <c r="K940" s="89"/>
      <c r="L940" s="89"/>
      <c r="M940" s="89"/>
      <c r="N940" s="89"/>
      <c r="O940" s="89"/>
      <c r="P940" s="89"/>
      <c r="Q940" s="89"/>
      <c r="R940" s="89"/>
      <c r="S940" s="89"/>
      <c r="T940" s="89"/>
    </row>
    <row r="941" ht="15.75" customHeight="1">
      <c r="A941" s="89"/>
      <c r="B941" s="89"/>
      <c r="C941" s="89"/>
      <c r="D941" s="89"/>
      <c r="E941" s="89"/>
      <c r="F941" s="89"/>
      <c r="G941" s="89"/>
      <c r="H941" s="89"/>
      <c r="I941" s="89"/>
      <c r="J941" s="89"/>
      <c r="K941" s="89"/>
      <c r="L941" s="89"/>
      <c r="M941" s="89"/>
      <c r="N941" s="89"/>
      <c r="O941" s="89"/>
      <c r="P941" s="89"/>
      <c r="Q941" s="89"/>
      <c r="R941" s="89"/>
      <c r="S941" s="89"/>
      <c r="T941" s="89"/>
    </row>
    <row r="942" ht="15.75" customHeight="1">
      <c r="A942" s="89"/>
      <c r="B942" s="89"/>
      <c r="C942" s="89"/>
      <c r="D942" s="89"/>
      <c r="E942" s="89"/>
      <c r="F942" s="89"/>
      <c r="G942" s="89"/>
      <c r="H942" s="89"/>
      <c r="I942" s="89"/>
      <c r="J942" s="89"/>
      <c r="K942" s="89"/>
      <c r="L942" s="89"/>
      <c r="M942" s="89"/>
      <c r="N942" s="89"/>
      <c r="O942" s="89"/>
      <c r="P942" s="89"/>
      <c r="Q942" s="89"/>
      <c r="R942" s="89"/>
      <c r="S942" s="89"/>
      <c r="T942" s="89"/>
    </row>
    <row r="943" ht="15.75" customHeight="1">
      <c r="A943" s="89"/>
      <c r="B943" s="89"/>
      <c r="C943" s="89"/>
      <c r="D943" s="89"/>
      <c r="E943" s="89"/>
      <c r="F943" s="89"/>
      <c r="G943" s="89"/>
      <c r="H943" s="89"/>
      <c r="I943" s="89"/>
      <c r="J943" s="89"/>
      <c r="K943" s="89"/>
      <c r="L943" s="89"/>
      <c r="M943" s="89"/>
      <c r="N943" s="89"/>
      <c r="O943" s="89"/>
      <c r="P943" s="89"/>
      <c r="Q943" s="89"/>
      <c r="R943" s="89"/>
      <c r="S943" s="89"/>
      <c r="T943" s="89"/>
    </row>
    <row r="944" ht="15.75" customHeight="1">
      <c r="A944" s="89"/>
      <c r="B944" s="89"/>
      <c r="C944" s="89"/>
      <c r="D944" s="89"/>
      <c r="E944" s="89"/>
      <c r="F944" s="89"/>
      <c r="G944" s="89"/>
      <c r="H944" s="89"/>
      <c r="I944" s="89"/>
      <c r="J944" s="89"/>
      <c r="K944" s="89"/>
      <c r="L944" s="89"/>
      <c r="M944" s="89"/>
      <c r="N944" s="89"/>
      <c r="O944" s="89"/>
      <c r="P944" s="89"/>
      <c r="Q944" s="89"/>
      <c r="R944" s="89"/>
      <c r="S944" s="89"/>
      <c r="T944" s="89"/>
    </row>
    <row r="945" ht="15.75" customHeight="1">
      <c r="A945" s="89"/>
      <c r="B945" s="89"/>
      <c r="C945" s="89"/>
      <c r="D945" s="89"/>
      <c r="E945" s="89"/>
      <c r="F945" s="89"/>
      <c r="G945" s="89"/>
      <c r="H945" s="89"/>
      <c r="I945" s="89"/>
      <c r="J945" s="89"/>
      <c r="K945" s="89"/>
      <c r="L945" s="89"/>
      <c r="M945" s="89"/>
      <c r="N945" s="89"/>
      <c r="O945" s="89"/>
      <c r="P945" s="89"/>
      <c r="Q945" s="89"/>
      <c r="R945" s="89"/>
      <c r="S945" s="89"/>
      <c r="T945" s="89"/>
    </row>
    <row r="946" ht="15.75" customHeight="1">
      <c r="A946" s="89"/>
      <c r="B946" s="89"/>
      <c r="C946" s="89"/>
      <c r="D946" s="89"/>
      <c r="E946" s="89"/>
      <c r="F946" s="89"/>
      <c r="G946" s="89"/>
      <c r="H946" s="89"/>
      <c r="I946" s="89"/>
      <c r="J946" s="89"/>
      <c r="K946" s="89"/>
      <c r="L946" s="89"/>
      <c r="M946" s="89"/>
      <c r="N946" s="89"/>
      <c r="O946" s="89"/>
      <c r="P946" s="89"/>
      <c r="Q946" s="89"/>
      <c r="R946" s="89"/>
      <c r="S946" s="89"/>
      <c r="T946" s="89"/>
    </row>
    <row r="947" ht="15.75" customHeight="1">
      <c r="A947" s="89"/>
      <c r="B947" s="89"/>
      <c r="C947" s="89"/>
      <c r="D947" s="89"/>
      <c r="E947" s="89"/>
      <c r="F947" s="89"/>
      <c r="G947" s="89"/>
      <c r="H947" s="89"/>
      <c r="I947" s="89"/>
      <c r="J947" s="89"/>
      <c r="K947" s="89"/>
      <c r="L947" s="89"/>
      <c r="M947" s="89"/>
      <c r="N947" s="89"/>
      <c r="O947" s="89"/>
      <c r="P947" s="89"/>
      <c r="Q947" s="89"/>
      <c r="R947" s="89"/>
      <c r="S947" s="89"/>
      <c r="T947" s="89"/>
    </row>
    <row r="948" ht="15.75" customHeight="1">
      <c r="A948" s="89"/>
      <c r="B948" s="89"/>
      <c r="C948" s="89"/>
      <c r="D948" s="89"/>
      <c r="E948" s="89"/>
      <c r="F948" s="89"/>
      <c r="G948" s="89"/>
      <c r="H948" s="89"/>
      <c r="I948" s="89"/>
      <c r="J948" s="89"/>
      <c r="K948" s="89"/>
      <c r="L948" s="89"/>
      <c r="M948" s="89"/>
      <c r="N948" s="89"/>
      <c r="O948" s="89"/>
      <c r="P948" s="89"/>
      <c r="Q948" s="89"/>
      <c r="R948" s="89"/>
      <c r="S948" s="89"/>
      <c r="T948" s="89"/>
    </row>
    <row r="949" ht="15.75" customHeight="1">
      <c r="A949" s="89"/>
      <c r="B949" s="89"/>
      <c r="C949" s="89"/>
      <c r="D949" s="89"/>
      <c r="E949" s="89"/>
      <c r="F949" s="89"/>
      <c r="G949" s="89"/>
      <c r="H949" s="89"/>
      <c r="I949" s="89"/>
      <c r="J949" s="89"/>
      <c r="K949" s="89"/>
      <c r="L949" s="89"/>
      <c r="M949" s="89"/>
      <c r="N949" s="89"/>
      <c r="O949" s="89"/>
      <c r="P949" s="89"/>
      <c r="Q949" s="89"/>
      <c r="R949" s="89"/>
      <c r="S949" s="89"/>
      <c r="T949" s="89"/>
    </row>
    <row r="950" ht="15.75" customHeight="1">
      <c r="A950" s="89"/>
      <c r="B950" s="89"/>
      <c r="C950" s="89"/>
      <c r="D950" s="89"/>
      <c r="E950" s="89"/>
      <c r="F950" s="89"/>
      <c r="G950" s="89"/>
      <c r="H950" s="89"/>
      <c r="I950" s="89"/>
      <c r="J950" s="89"/>
      <c r="K950" s="89"/>
      <c r="L950" s="89"/>
      <c r="M950" s="89"/>
      <c r="N950" s="89"/>
      <c r="O950" s="89"/>
      <c r="P950" s="89"/>
      <c r="Q950" s="89"/>
      <c r="R950" s="89"/>
      <c r="S950" s="89"/>
      <c r="T950" s="89"/>
    </row>
    <row r="951" ht="15.75" customHeight="1">
      <c r="A951" s="89"/>
      <c r="B951" s="89"/>
      <c r="C951" s="89"/>
      <c r="D951" s="89"/>
      <c r="E951" s="89"/>
      <c r="F951" s="89"/>
      <c r="G951" s="89"/>
      <c r="H951" s="89"/>
      <c r="I951" s="89"/>
      <c r="J951" s="89"/>
      <c r="K951" s="89"/>
      <c r="L951" s="89"/>
      <c r="M951" s="89"/>
      <c r="N951" s="89"/>
      <c r="O951" s="89"/>
      <c r="P951" s="89"/>
      <c r="Q951" s="89"/>
      <c r="R951" s="89"/>
      <c r="S951" s="89"/>
      <c r="T951" s="89"/>
    </row>
    <row r="952" ht="15.75" customHeight="1">
      <c r="A952" s="89"/>
      <c r="B952" s="89"/>
      <c r="C952" s="89"/>
      <c r="D952" s="89"/>
      <c r="E952" s="89"/>
      <c r="F952" s="89"/>
      <c r="G952" s="89"/>
      <c r="H952" s="89"/>
      <c r="I952" s="89"/>
      <c r="J952" s="89"/>
      <c r="K952" s="89"/>
      <c r="L952" s="89"/>
      <c r="M952" s="89"/>
      <c r="N952" s="89"/>
      <c r="O952" s="89"/>
      <c r="P952" s="89"/>
      <c r="Q952" s="89"/>
      <c r="R952" s="89"/>
      <c r="S952" s="89"/>
      <c r="T952" s="89"/>
    </row>
    <row r="953" ht="15.75" customHeight="1">
      <c r="A953" s="89"/>
      <c r="B953" s="89"/>
      <c r="C953" s="89"/>
      <c r="D953" s="89"/>
      <c r="E953" s="89"/>
      <c r="F953" s="89"/>
      <c r="G953" s="89"/>
      <c r="H953" s="89"/>
      <c r="I953" s="89"/>
      <c r="J953" s="89"/>
      <c r="K953" s="89"/>
      <c r="L953" s="89"/>
      <c r="M953" s="89"/>
      <c r="N953" s="89"/>
      <c r="O953" s="89"/>
      <c r="P953" s="89"/>
      <c r="Q953" s="89"/>
      <c r="R953" s="89"/>
      <c r="S953" s="89"/>
      <c r="T953" s="89"/>
    </row>
    <row r="954" ht="15.75" customHeight="1">
      <c r="A954" s="89"/>
      <c r="B954" s="89"/>
      <c r="C954" s="89"/>
      <c r="D954" s="89"/>
      <c r="E954" s="89"/>
      <c r="F954" s="89"/>
      <c r="G954" s="89"/>
      <c r="H954" s="89"/>
      <c r="I954" s="89"/>
      <c r="J954" s="89"/>
      <c r="K954" s="89"/>
      <c r="L954" s="89"/>
      <c r="M954" s="89"/>
      <c r="N954" s="89"/>
      <c r="O954" s="89"/>
      <c r="P954" s="89"/>
      <c r="Q954" s="89"/>
      <c r="R954" s="89"/>
      <c r="S954" s="89"/>
      <c r="T954" s="89"/>
    </row>
    <row r="955" ht="15.75" customHeight="1">
      <c r="A955" s="89"/>
      <c r="B955" s="89"/>
      <c r="C955" s="89"/>
      <c r="D955" s="89"/>
      <c r="E955" s="89"/>
      <c r="F955" s="89"/>
      <c r="G955" s="89"/>
      <c r="H955" s="89"/>
      <c r="I955" s="89"/>
      <c r="J955" s="89"/>
      <c r="K955" s="89"/>
      <c r="L955" s="89"/>
      <c r="M955" s="89"/>
      <c r="N955" s="89"/>
      <c r="O955" s="89"/>
      <c r="P955" s="89"/>
      <c r="Q955" s="89"/>
      <c r="R955" s="89"/>
      <c r="S955" s="89"/>
      <c r="T955" s="89"/>
    </row>
    <row r="956" ht="15.75" customHeight="1">
      <c r="A956" s="89"/>
      <c r="B956" s="89"/>
      <c r="C956" s="89"/>
      <c r="D956" s="89"/>
      <c r="E956" s="89"/>
      <c r="F956" s="89"/>
      <c r="G956" s="89"/>
      <c r="H956" s="89"/>
      <c r="I956" s="89"/>
      <c r="J956" s="89"/>
      <c r="K956" s="89"/>
      <c r="L956" s="89"/>
      <c r="M956" s="89"/>
      <c r="N956" s="89"/>
      <c r="O956" s="89"/>
      <c r="P956" s="89"/>
      <c r="Q956" s="89"/>
      <c r="R956" s="89"/>
      <c r="S956" s="89"/>
      <c r="T956" s="89"/>
    </row>
    <row r="957" ht="15.75" customHeight="1">
      <c r="A957" s="89"/>
      <c r="B957" s="89"/>
      <c r="C957" s="89"/>
      <c r="D957" s="89"/>
      <c r="E957" s="89"/>
      <c r="F957" s="89"/>
      <c r="G957" s="89"/>
      <c r="H957" s="89"/>
      <c r="I957" s="89"/>
      <c r="J957" s="89"/>
      <c r="K957" s="89"/>
      <c r="L957" s="89"/>
      <c r="M957" s="89"/>
      <c r="N957" s="89"/>
      <c r="O957" s="89"/>
      <c r="P957" s="89"/>
      <c r="Q957" s="89"/>
      <c r="R957" s="89"/>
      <c r="S957" s="89"/>
      <c r="T957" s="89"/>
    </row>
    <row r="958" ht="15.75" customHeight="1">
      <c r="A958" s="89"/>
      <c r="B958" s="89"/>
      <c r="C958" s="89"/>
      <c r="D958" s="89"/>
      <c r="E958" s="89"/>
      <c r="F958" s="89"/>
      <c r="G958" s="89"/>
      <c r="H958" s="89"/>
      <c r="I958" s="89"/>
      <c r="J958" s="89"/>
      <c r="K958" s="89"/>
      <c r="L958" s="89"/>
      <c r="M958" s="89"/>
      <c r="N958" s="89"/>
      <c r="O958" s="89"/>
      <c r="P958" s="89"/>
      <c r="Q958" s="89"/>
      <c r="R958" s="89"/>
      <c r="S958" s="89"/>
      <c r="T958" s="89"/>
    </row>
    <row r="959" ht="15.75" customHeight="1">
      <c r="A959" s="89"/>
      <c r="B959" s="89"/>
      <c r="C959" s="89"/>
      <c r="D959" s="89"/>
      <c r="E959" s="89"/>
      <c r="F959" s="89"/>
      <c r="G959" s="89"/>
      <c r="H959" s="89"/>
      <c r="I959" s="89"/>
      <c r="J959" s="89"/>
      <c r="K959" s="89"/>
      <c r="L959" s="89"/>
      <c r="M959" s="89"/>
      <c r="N959" s="89"/>
      <c r="O959" s="89"/>
      <c r="P959" s="89"/>
      <c r="Q959" s="89"/>
      <c r="R959" s="89"/>
      <c r="S959" s="89"/>
      <c r="T959" s="89"/>
    </row>
    <row r="960" ht="15.75" customHeight="1">
      <c r="A960" s="89"/>
      <c r="B960" s="89"/>
      <c r="C960" s="89"/>
      <c r="D960" s="89"/>
      <c r="E960" s="89"/>
      <c r="F960" s="89"/>
      <c r="G960" s="89"/>
      <c r="H960" s="89"/>
      <c r="I960" s="89"/>
      <c r="J960" s="89"/>
      <c r="K960" s="89"/>
      <c r="L960" s="89"/>
      <c r="M960" s="89"/>
      <c r="N960" s="89"/>
      <c r="O960" s="89"/>
      <c r="P960" s="89"/>
      <c r="Q960" s="89"/>
      <c r="R960" s="89"/>
      <c r="S960" s="89"/>
      <c r="T960" s="89"/>
    </row>
    <row r="961" ht="15.75" customHeight="1">
      <c r="A961" s="89"/>
      <c r="B961" s="89"/>
      <c r="C961" s="89"/>
      <c r="D961" s="89"/>
      <c r="E961" s="89"/>
      <c r="F961" s="89"/>
      <c r="G961" s="89"/>
      <c r="H961" s="89"/>
      <c r="I961" s="89"/>
      <c r="J961" s="89"/>
      <c r="K961" s="89"/>
      <c r="L961" s="89"/>
      <c r="M961" s="89"/>
      <c r="N961" s="89"/>
      <c r="O961" s="89"/>
      <c r="P961" s="89"/>
      <c r="Q961" s="89"/>
      <c r="R961" s="89"/>
      <c r="S961" s="89"/>
      <c r="T961" s="89"/>
    </row>
    <row r="962" ht="15.75" customHeight="1">
      <c r="A962" s="89"/>
      <c r="B962" s="89"/>
      <c r="C962" s="89"/>
      <c r="D962" s="89"/>
      <c r="E962" s="89"/>
      <c r="F962" s="89"/>
      <c r="G962" s="89"/>
      <c r="H962" s="89"/>
      <c r="I962" s="89"/>
      <c r="J962" s="89"/>
      <c r="K962" s="89"/>
      <c r="L962" s="89"/>
      <c r="M962" s="89"/>
      <c r="N962" s="89"/>
      <c r="O962" s="89"/>
      <c r="P962" s="89"/>
      <c r="Q962" s="89"/>
      <c r="R962" s="89"/>
      <c r="S962" s="89"/>
      <c r="T962" s="89"/>
    </row>
    <row r="963" ht="15.75" customHeight="1">
      <c r="A963" s="89"/>
      <c r="B963" s="89"/>
      <c r="C963" s="89"/>
      <c r="D963" s="89"/>
      <c r="E963" s="89"/>
      <c r="F963" s="89"/>
      <c r="G963" s="89"/>
      <c r="H963" s="89"/>
      <c r="I963" s="89"/>
      <c r="J963" s="89"/>
      <c r="K963" s="89"/>
      <c r="L963" s="89"/>
      <c r="M963" s="89"/>
      <c r="N963" s="89"/>
      <c r="O963" s="89"/>
      <c r="P963" s="89"/>
      <c r="Q963" s="89"/>
      <c r="R963" s="89"/>
      <c r="S963" s="89"/>
      <c r="T963" s="89"/>
    </row>
    <row r="964" ht="15.75" customHeight="1">
      <c r="A964" s="89"/>
      <c r="B964" s="89"/>
      <c r="C964" s="89"/>
      <c r="D964" s="89"/>
      <c r="E964" s="89"/>
      <c r="F964" s="89"/>
      <c r="G964" s="89"/>
      <c r="H964" s="89"/>
      <c r="I964" s="89"/>
      <c r="J964" s="89"/>
      <c r="K964" s="89"/>
      <c r="L964" s="89"/>
      <c r="M964" s="89"/>
      <c r="N964" s="89"/>
      <c r="O964" s="89"/>
      <c r="P964" s="89"/>
      <c r="Q964" s="89"/>
      <c r="R964" s="89"/>
      <c r="S964" s="89"/>
      <c r="T964" s="89"/>
    </row>
    <row r="965" ht="15.75" customHeight="1">
      <c r="A965" s="89"/>
      <c r="B965" s="89"/>
      <c r="C965" s="89"/>
      <c r="D965" s="89"/>
      <c r="E965" s="89"/>
      <c r="F965" s="89"/>
      <c r="G965" s="89"/>
      <c r="H965" s="89"/>
      <c r="I965" s="89"/>
      <c r="J965" s="89"/>
      <c r="K965" s="89"/>
      <c r="L965" s="89"/>
      <c r="M965" s="89"/>
      <c r="N965" s="89"/>
      <c r="O965" s="89"/>
      <c r="P965" s="89"/>
      <c r="Q965" s="89"/>
      <c r="R965" s="89"/>
      <c r="S965" s="89"/>
      <c r="T965" s="89"/>
    </row>
    <row r="966" ht="15.75" customHeight="1">
      <c r="A966" s="89"/>
      <c r="B966" s="89"/>
      <c r="C966" s="89"/>
      <c r="D966" s="89"/>
      <c r="E966" s="89"/>
      <c r="F966" s="89"/>
      <c r="G966" s="89"/>
      <c r="H966" s="89"/>
      <c r="I966" s="89"/>
      <c r="J966" s="89"/>
      <c r="K966" s="89"/>
      <c r="L966" s="89"/>
      <c r="M966" s="89"/>
      <c r="N966" s="89"/>
      <c r="O966" s="89"/>
      <c r="P966" s="89"/>
      <c r="Q966" s="89"/>
      <c r="R966" s="89"/>
      <c r="S966" s="89"/>
      <c r="T966" s="89"/>
    </row>
    <row r="967" ht="15.75" customHeight="1">
      <c r="A967" s="89"/>
      <c r="B967" s="89"/>
      <c r="C967" s="89"/>
      <c r="D967" s="89"/>
      <c r="E967" s="89"/>
      <c r="F967" s="89"/>
      <c r="G967" s="89"/>
      <c r="H967" s="89"/>
      <c r="I967" s="89"/>
      <c r="J967" s="89"/>
      <c r="K967" s="89"/>
      <c r="L967" s="89"/>
      <c r="M967" s="89"/>
      <c r="N967" s="89"/>
      <c r="O967" s="89"/>
      <c r="P967" s="89"/>
      <c r="Q967" s="89"/>
      <c r="R967" s="89"/>
      <c r="S967" s="89"/>
      <c r="T967" s="89"/>
    </row>
    <row r="968" ht="15.75" customHeight="1">
      <c r="A968" s="89"/>
      <c r="B968" s="89"/>
      <c r="C968" s="89"/>
      <c r="D968" s="89"/>
      <c r="E968" s="89"/>
      <c r="F968" s="89"/>
      <c r="G968" s="89"/>
      <c r="H968" s="89"/>
      <c r="I968" s="89"/>
      <c r="J968" s="89"/>
      <c r="K968" s="89"/>
      <c r="L968" s="89"/>
      <c r="M968" s="89"/>
      <c r="N968" s="89"/>
      <c r="O968" s="89"/>
      <c r="P968" s="89"/>
      <c r="Q968" s="89"/>
      <c r="R968" s="89"/>
      <c r="S968" s="89"/>
      <c r="T968" s="89"/>
    </row>
    <row r="969" ht="15.75" customHeight="1">
      <c r="A969" s="89"/>
      <c r="B969" s="89"/>
      <c r="C969" s="89"/>
      <c r="D969" s="89"/>
      <c r="E969" s="89"/>
      <c r="F969" s="89"/>
      <c r="G969" s="89"/>
      <c r="H969" s="89"/>
      <c r="I969" s="89"/>
      <c r="J969" s="89"/>
      <c r="K969" s="89"/>
      <c r="L969" s="89"/>
      <c r="M969" s="89"/>
      <c r="N969" s="89"/>
      <c r="O969" s="89"/>
      <c r="P969" s="89"/>
      <c r="Q969" s="89"/>
      <c r="R969" s="89"/>
      <c r="S969" s="89"/>
      <c r="T969" s="89"/>
    </row>
    <row r="970" ht="15.75" customHeight="1">
      <c r="A970" s="89"/>
      <c r="B970" s="89"/>
      <c r="C970" s="89"/>
      <c r="D970" s="89"/>
      <c r="E970" s="89"/>
      <c r="F970" s="89"/>
      <c r="G970" s="89"/>
      <c r="H970" s="89"/>
      <c r="I970" s="89"/>
      <c r="J970" s="89"/>
      <c r="K970" s="89"/>
      <c r="L970" s="89"/>
      <c r="M970" s="89"/>
      <c r="N970" s="89"/>
      <c r="O970" s="89"/>
      <c r="P970" s="89"/>
      <c r="Q970" s="89"/>
      <c r="R970" s="89"/>
      <c r="S970" s="89"/>
      <c r="T970" s="89"/>
    </row>
    <row r="971" ht="15.75" customHeight="1">
      <c r="A971" s="89"/>
      <c r="B971" s="89"/>
      <c r="C971" s="89"/>
      <c r="D971" s="89"/>
      <c r="E971" s="89"/>
      <c r="F971" s="89"/>
      <c r="G971" s="89"/>
      <c r="H971" s="89"/>
      <c r="I971" s="89"/>
      <c r="J971" s="89"/>
      <c r="K971" s="89"/>
      <c r="L971" s="89"/>
      <c r="M971" s="89"/>
      <c r="N971" s="89"/>
      <c r="O971" s="89"/>
      <c r="P971" s="89"/>
      <c r="Q971" s="89"/>
      <c r="R971" s="89"/>
      <c r="S971" s="89"/>
      <c r="T971" s="89"/>
    </row>
    <row r="972" ht="15.75" customHeight="1">
      <c r="A972" s="89"/>
      <c r="B972" s="89"/>
      <c r="C972" s="89"/>
      <c r="D972" s="89"/>
      <c r="E972" s="89"/>
      <c r="F972" s="89"/>
      <c r="G972" s="89"/>
      <c r="H972" s="89"/>
      <c r="I972" s="89"/>
      <c r="J972" s="89"/>
      <c r="K972" s="89"/>
      <c r="L972" s="89"/>
      <c r="M972" s="89"/>
      <c r="N972" s="89"/>
      <c r="O972" s="89"/>
      <c r="P972" s="89"/>
      <c r="Q972" s="89"/>
      <c r="R972" s="89"/>
      <c r="S972" s="89"/>
      <c r="T972" s="89"/>
    </row>
    <row r="973" ht="15.75" customHeight="1">
      <c r="A973" s="89"/>
      <c r="B973" s="89"/>
      <c r="C973" s="89"/>
      <c r="D973" s="89"/>
      <c r="E973" s="89"/>
      <c r="F973" s="89"/>
      <c r="G973" s="89"/>
      <c r="H973" s="89"/>
      <c r="I973" s="89"/>
      <c r="J973" s="89"/>
      <c r="K973" s="89"/>
      <c r="L973" s="89"/>
      <c r="M973" s="89"/>
      <c r="N973" s="89"/>
      <c r="O973" s="89"/>
      <c r="P973" s="89"/>
      <c r="Q973" s="89"/>
      <c r="R973" s="89"/>
      <c r="S973" s="89"/>
      <c r="T973" s="89"/>
    </row>
    <row r="974" ht="15.75" customHeight="1">
      <c r="A974" s="89"/>
      <c r="B974" s="89"/>
      <c r="C974" s="89"/>
      <c r="D974" s="89"/>
      <c r="E974" s="89"/>
      <c r="F974" s="89"/>
      <c r="G974" s="89"/>
      <c r="H974" s="89"/>
      <c r="I974" s="89"/>
      <c r="J974" s="89"/>
      <c r="K974" s="89"/>
      <c r="L974" s="89"/>
      <c r="M974" s="89"/>
      <c r="N974" s="89"/>
      <c r="O974" s="89"/>
      <c r="P974" s="89"/>
      <c r="Q974" s="89"/>
      <c r="R974" s="89"/>
      <c r="S974" s="89"/>
      <c r="T974" s="89"/>
    </row>
    <row r="975" ht="15.75" customHeight="1">
      <c r="A975" s="89"/>
      <c r="B975" s="89"/>
      <c r="C975" s="89"/>
      <c r="D975" s="89"/>
      <c r="E975" s="89"/>
      <c r="F975" s="89"/>
      <c r="G975" s="89"/>
      <c r="H975" s="89"/>
      <c r="I975" s="89"/>
      <c r="J975" s="89"/>
      <c r="K975" s="89"/>
      <c r="L975" s="89"/>
      <c r="M975" s="89"/>
      <c r="N975" s="89"/>
      <c r="O975" s="89"/>
      <c r="P975" s="89"/>
      <c r="Q975" s="89"/>
      <c r="R975" s="89"/>
      <c r="S975" s="89"/>
      <c r="T975" s="89"/>
    </row>
    <row r="976" ht="15.75" customHeight="1">
      <c r="A976" s="89"/>
      <c r="B976" s="89"/>
      <c r="C976" s="89"/>
      <c r="D976" s="89"/>
      <c r="E976" s="89"/>
      <c r="F976" s="89"/>
      <c r="G976" s="89"/>
      <c r="H976" s="89"/>
      <c r="I976" s="89"/>
      <c r="J976" s="89"/>
      <c r="K976" s="89"/>
      <c r="L976" s="89"/>
      <c r="M976" s="89"/>
      <c r="N976" s="89"/>
      <c r="O976" s="89"/>
      <c r="P976" s="89"/>
      <c r="Q976" s="89"/>
      <c r="R976" s="89"/>
      <c r="S976" s="89"/>
      <c r="T976" s="89"/>
    </row>
    <row r="977" ht="15.75" customHeight="1">
      <c r="A977" s="89"/>
      <c r="B977" s="89"/>
      <c r="C977" s="89"/>
      <c r="D977" s="89"/>
      <c r="E977" s="89"/>
      <c r="F977" s="89"/>
      <c r="G977" s="89"/>
      <c r="H977" s="89"/>
      <c r="I977" s="89"/>
      <c r="J977" s="89"/>
      <c r="K977" s="89"/>
      <c r="L977" s="89"/>
      <c r="M977" s="89"/>
      <c r="N977" s="89"/>
      <c r="O977" s="89"/>
      <c r="P977" s="89"/>
      <c r="Q977" s="89"/>
      <c r="R977" s="89"/>
      <c r="S977" s="89"/>
      <c r="T977" s="89"/>
    </row>
    <row r="978" ht="15.75" customHeight="1">
      <c r="A978" s="89"/>
      <c r="B978" s="89"/>
      <c r="C978" s="89"/>
      <c r="D978" s="89"/>
      <c r="E978" s="89"/>
      <c r="F978" s="89"/>
      <c r="G978" s="89"/>
      <c r="H978" s="89"/>
      <c r="I978" s="89"/>
      <c r="J978" s="89"/>
      <c r="K978" s="89"/>
      <c r="L978" s="89"/>
      <c r="M978" s="89"/>
      <c r="N978" s="89"/>
      <c r="O978" s="89"/>
      <c r="P978" s="89"/>
      <c r="Q978" s="89"/>
      <c r="R978" s="89"/>
      <c r="S978" s="89"/>
      <c r="T978" s="89"/>
    </row>
    <row r="979" ht="15.75" customHeight="1">
      <c r="A979" s="89"/>
      <c r="B979" s="89"/>
      <c r="C979" s="89"/>
      <c r="D979" s="89"/>
      <c r="E979" s="89"/>
      <c r="F979" s="89"/>
      <c r="G979" s="89"/>
      <c r="H979" s="89"/>
      <c r="I979" s="89"/>
      <c r="J979" s="89"/>
      <c r="K979" s="89"/>
      <c r="L979" s="89"/>
      <c r="M979" s="89"/>
      <c r="N979" s="89"/>
      <c r="O979" s="89"/>
      <c r="P979" s="89"/>
      <c r="Q979" s="89"/>
      <c r="R979" s="89"/>
      <c r="S979" s="89"/>
      <c r="T979" s="89"/>
    </row>
    <row r="980" ht="15.75" customHeight="1">
      <c r="A980" s="89"/>
      <c r="B980" s="89"/>
      <c r="C980" s="89"/>
      <c r="D980" s="89"/>
      <c r="E980" s="89"/>
      <c r="F980" s="89"/>
      <c r="G980" s="89"/>
      <c r="H980" s="89"/>
      <c r="I980" s="89"/>
      <c r="J980" s="89"/>
      <c r="K980" s="89"/>
      <c r="L980" s="89"/>
      <c r="M980" s="89"/>
      <c r="N980" s="89"/>
      <c r="O980" s="89"/>
      <c r="P980" s="89"/>
      <c r="Q980" s="89"/>
      <c r="R980" s="89"/>
      <c r="S980" s="89"/>
      <c r="T980" s="89"/>
    </row>
    <row r="981" ht="15.75" customHeight="1">
      <c r="A981" s="89"/>
      <c r="B981" s="89"/>
      <c r="C981" s="89"/>
      <c r="D981" s="89"/>
      <c r="E981" s="89"/>
      <c r="F981" s="89"/>
      <c r="G981" s="89"/>
      <c r="H981" s="89"/>
      <c r="I981" s="89"/>
      <c r="J981" s="89"/>
      <c r="K981" s="89"/>
      <c r="L981" s="89"/>
      <c r="M981" s="89"/>
      <c r="N981" s="89"/>
      <c r="O981" s="89"/>
      <c r="P981" s="89"/>
      <c r="Q981" s="89"/>
      <c r="R981" s="89"/>
      <c r="S981" s="89"/>
      <c r="T981" s="89"/>
    </row>
    <row r="982" ht="15.75" customHeight="1">
      <c r="A982" s="89"/>
      <c r="B982" s="89"/>
      <c r="C982" s="89"/>
      <c r="D982" s="89"/>
      <c r="E982" s="89"/>
      <c r="F982" s="89"/>
      <c r="G982" s="89"/>
      <c r="H982" s="89"/>
      <c r="I982" s="89"/>
      <c r="J982" s="89"/>
      <c r="K982" s="89"/>
      <c r="L982" s="89"/>
      <c r="M982" s="89"/>
      <c r="N982" s="89"/>
      <c r="O982" s="89"/>
      <c r="P982" s="89"/>
      <c r="Q982" s="89"/>
      <c r="R982" s="89"/>
      <c r="S982" s="89"/>
      <c r="T982" s="89"/>
    </row>
    <row r="983" ht="15.75" customHeight="1">
      <c r="A983" s="89"/>
      <c r="B983" s="89"/>
      <c r="C983" s="89"/>
      <c r="D983" s="89"/>
      <c r="E983" s="89"/>
      <c r="F983" s="89"/>
      <c r="G983" s="89"/>
      <c r="H983" s="89"/>
      <c r="I983" s="89"/>
      <c r="J983" s="89"/>
      <c r="K983" s="89"/>
      <c r="L983" s="89"/>
      <c r="M983" s="89"/>
      <c r="N983" s="89"/>
      <c r="O983" s="89"/>
      <c r="P983" s="89"/>
      <c r="Q983" s="89"/>
      <c r="R983" s="89"/>
      <c r="S983" s="89"/>
      <c r="T983" s="89"/>
    </row>
    <row r="984" ht="15.75" customHeight="1">
      <c r="A984" s="89"/>
      <c r="B984" s="89"/>
      <c r="C984" s="89"/>
      <c r="D984" s="89"/>
      <c r="E984" s="89"/>
      <c r="F984" s="89"/>
      <c r="G984" s="89"/>
      <c r="H984" s="89"/>
      <c r="I984" s="89"/>
      <c r="J984" s="89"/>
      <c r="K984" s="89"/>
      <c r="L984" s="89"/>
      <c r="M984" s="89"/>
      <c r="N984" s="89"/>
      <c r="O984" s="89"/>
      <c r="P984" s="89"/>
      <c r="Q984" s="89"/>
      <c r="R984" s="89"/>
      <c r="S984" s="89"/>
      <c r="T984" s="89"/>
    </row>
    <row r="985" ht="15.75" customHeight="1">
      <c r="A985" s="89"/>
      <c r="B985" s="89"/>
      <c r="C985" s="89"/>
      <c r="D985" s="89"/>
      <c r="E985" s="89"/>
      <c r="F985" s="89"/>
      <c r="G985" s="89"/>
      <c r="H985" s="89"/>
      <c r="I985" s="89"/>
      <c r="J985" s="89"/>
      <c r="K985" s="89"/>
      <c r="L985" s="89"/>
      <c r="M985" s="89"/>
      <c r="N985" s="89"/>
      <c r="O985" s="89"/>
      <c r="P985" s="89"/>
      <c r="Q985" s="89"/>
      <c r="R985" s="89"/>
      <c r="S985" s="89"/>
      <c r="T985" s="89"/>
    </row>
    <row r="986" ht="15.75" customHeight="1">
      <c r="A986" s="89"/>
      <c r="B986" s="89"/>
      <c r="C986" s="89"/>
      <c r="D986" s="89"/>
      <c r="E986" s="89"/>
      <c r="F986" s="89"/>
      <c r="G986" s="89"/>
      <c r="H986" s="89"/>
      <c r="I986" s="89"/>
      <c r="J986" s="89"/>
      <c r="K986" s="89"/>
      <c r="L986" s="89"/>
      <c r="M986" s="89"/>
      <c r="N986" s="89"/>
      <c r="O986" s="89"/>
      <c r="P986" s="89"/>
      <c r="Q986" s="89"/>
      <c r="R986" s="89"/>
      <c r="S986" s="89"/>
      <c r="T986" s="89"/>
    </row>
    <row r="987" ht="15.75" customHeight="1">
      <c r="A987" s="89"/>
      <c r="B987" s="89"/>
      <c r="C987" s="89"/>
      <c r="D987" s="89"/>
      <c r="E987" s="89"/>
      <c r="F987" s="89"/>
      <c r="G987" s="89"/>
      <c r="H987" s="89"/>
      <c r="I987" s="89"/>
      <c r="J987" s="89"/>
      <c r="K987" s="89"/>
      <c r="L987" s="89"/>
      <c r="M987" s="89"/>
      <c r="N987" s="89"/>
      <c r="O987" s="89"/>
      <c r="P987" s="89"/>
      <c r="Q987" s="89"/>
      <c r="R987" s="89"/>
      <c r="S987" s="89"/>
      <c r="T987" s="89"/>
    </row>
    <row r="988" ht="15.75" customHeight="1">
      <c r="A988" s="89"/>
      <c r="B988" s="89"/>
      <c r="C988" s="89"/>
      <c r="D988" s="89"/>
      <c r="E988" s="89"/>
      <c r="F988" s="89"/>
      <c r="G988" s="89"/>
      <c r="H988" s="89"/>
      <c r="I988" s="89"/>
      <c r="J988" s="89"/>
      <c r="K988" s="89"/>
      <c r="L988" s="89"/>
      <c r="M988" s="89"/>
      <c r="N988" s="89"/>
      <c r="O988" s="89"/>
      <c r="P988" s="89"/>
      <c r="Q988" s="89"/>
      <c r="R988" s="89"/>
      <c r="S988" s="89"/>
      <c r="T988" s="89"/>
    </row>
    <row r="989" ht="15.75" customHeight="1">
      <c r="A989" s="89"/>
      <c r="B989" s="89"/>
      <c r="C989" s="89"/>
      <c r="D989" s="89"/>
      <c r="E989" s="89"/>
      <c r="F989" s="89"/>
      <c r="G989" s="89"/>
      <c r="H989" s="89"/>
      <c r="I989" s="89"/>
      <c r="J989" s="89"/>
      <c r="K989" s="89"/>
      <c r="L989" s="89"/>
      <c r="M989" s="89"/>
      <c r="N989" s="89"/>
      <c r="O989" s="89"/>
      <c r="P989" s="89"/>
      <c r="Q989" s="89"/>
      <c r="R989" s="89"/>
      <c r="S989" s="89"/>
      <c r="T989" s="89"/>
    </row>
    <row r="990" ht="15.75" customHeight="1">
      <c r="A990" s="89"/>
      <c r="B990" s="89"/>
      <c r="C990" s="89"/>
      <c r="D990" s="89"/>
      <c r="E990" s="89"/>
      <c r="F990" s="89"/>
      <c r="G990" s="89"/>
      <c r="H990" s="89"/>
      <c r="I990" s="89"/>
      <c r="J990" s="89"/>
      <c r="K990" s="89"/>
      <c r="L990" s="89"/>
      <c r="M990" s="89"/>
      <c r="N990" s="89"/>
      <c r="O990" s="89"/>
      <c r="P990" s="89"/>
      <c r="Q990" s="89"/>
      <c r="R990" s="89"/>
      <c r="S990" s="89"/>
      <c r="T990" s="89"/>
    </row>
    <row r="991" ht="15.75" customHeight="1">
      <c r="A991" s="89"/>
      <c r="B991" s="89"/>
      <c r="C991" s="89"/>
      <c r="D991" s="89"/>
      <c r="E991" s="89"/>
      <c r="F991" s="89"/>
      <c r="G991" s="89"/>
      <c r="H991" s="89"/>
      <c r="I991" s="89"/>
      <c r="J991" s="89"/>
      <c r="K991" s="89"/>
      <c r="L991" s="89"/>
      <c r="M991" s="89"/>
      <c r="N991" s="89"/>
      <c r="O991" s="89"/>
      <c r="P991" s="89"/>
      <c r="Q991" s="89"/>
      <c r="R991" s="89"/>
      <c r="S991" s="89"/>
      <c r="T991" s="89"/>
    </row>
    <row r="992" ht="15.75" customHeight="1">
      <c r="A992" s="89"/>
      <c r="B992" s="89"/>
      <c r="C992" s="89"/>
      <c r="D992" s="89"/>
      <c r="E992" s="89"/>
      <c r="F992" s="89"/>
      <c r="G992" s="89"/>
      <c r="H992" s="89"/>
      <c r="I992" s="89"/>
      <c r="J992" s="89"/>
      <c r="K992" s="89"/>
      <c r="L992" s="89"/>
      <c r="M992" s="89"/>
      <c r="N992" s="89"/>
      <c r="O992" s="89"/>
      <c r="P992" s="89"/>
      <c r="Q992" s="89"/>
      <c r="R992" s="89"/>
      <c r="S992" s="89"/>
      <c r="T992" s="89"/>
    </row>
    <row r="993" ht="15.75" customHeight="1">
      <c r="A993" s="89"/>
      <c r="B993" s="89"/>
      <c r="C993" s="89"/>
      <c r="D993" s="89"/>
      <c r="E993" s="89"/>
      <c r="F993" s="89"/>
      <c r="G993" s="89"/>
      <c r="H993" s="89"/>
      <c r="I993" s="89"/>
      <c r="J993" s="89"/>
      <c r="K993" s="89"/>
      <c r="L993" s="89"/>
      <c r="M993" s="89"/>
      <c r="N993" s="89"/>
      <c r="O993" s="89"/>
      <c r="P993" s="89"/>
      <c r="Q993" s="89"/>
      <c r="R993" s="89"/>
      <c r="S993" s="89"/>
      <c r="T993" s="89"/>
    </row>
    <row r="994" ht="15.75" customHeight="1">
      <c r="A994" s="89"/>
      <c r="B994" s="89"/>
      <c r="C994" s="89"/>
      <c r="D994" s="89"/>
      <c r="E994" s="89"/>
      <c r="F994" s="89"/>
      <c r="G994" s="89"/>
      <c r="H994" s="89"/>
      <c r="I994" s="89"/>
      <c r="J994" s="89"/>
      <c r="K994" s="89"/>
      <c r="L994" s="89"/>
      <c r="M994" s="89"/>
      <c r="N994" s="89"/>
      <c r="O994" s="89"/>
      <c r="P994" s="89"/>
      <c r="Q994" s="89"/>
      <c r="R994" s="89"/>
      <c r="S994" s="89"/>
      <c r="T994" s="89"/>
    </row>
    <row r="995" ht="15.75" customHeight="1">
      <c r="A995" s="89"/>
      <c r="B995" s="89"/>
      <c r="C995" s="89"/>
      <c r="D995" s="89"/>
      <c r="E995" s="89"/>
      <c r="F995" s="89"/>
      <c r="G995" s="89"/>
      <c r="H995" s="89"/>
      <c r="I995" s="89"/>
      <c r="J995" s="89"/>
      <c r="K995" s="89"/>
      <c r="L995" s="89"/>
      <c r="M995" s="89"/>
      <c r="N995" s="89"/>
      <c r="O995" s="89"/>
      <c r="P995" s="89"/>
      <c r="Q995" s="89"/>
      <c r="R995" s="89"/>
      <c r="S995" s="89"/>
      <c r="T995" s="89"/>
    </row>
    <row r="996" ht="15.75" customHeight="1">
      <c r="A996" s="89"/>
      <c r="B996" s="89"/>
      <c r="C996" s="89"/>
      <c r="D996" s="89"/>
      <c r="E996" s="89"/>
      <c r="F996" s="89"/>
      <c r="G996" s="89"/>
      <c r="H996" s="89"/>
      <c r="I996" s="89"/>
      <c r="J996" s="89"/>
      <c r="K996" s="89"/>
      <c r="L996" s="89"/>
      <c r="M996" s="89"/>
      <c r="N996" s="89"/>
      <c r="O996" s="89"/>
      <c r="P996" s="89"/>
      <c r="Q996" s="89"/>
      <c r="R996" s="89"/>
      <c r="S996" s="89"/>
      <c r="T996" s="89"/>
    </row>
    <row r="997" ht="15.75" customHeight="1">
      <c r="A997" s="89"/>
      <c r="B997" s="89"/>
      <c r="C997" s="89"/>
      <c r="D997" s="89"/>
      <c r="E997" s="89"/>
      <c r="F997" s="89"/>
      <c r="G997" s="89"/>
      <c r="H997" s="89"/>
      <c r="I997" s="89"/>
      <c r="J997" s="89"/>
      <c r="K997" s="89"/>
      <c r="L997" s="89"/>
      <c r="M997" s="89"/>
      <c r="N997" s="89"/>
      <c r="O997" s="89"/>
      <c r="P997" s="89"/>
      <c r="Q997" s="89"/>
      <c r="R997" s="89"/>
      <c r="S997" s="89"/>
      <c r="T997" s="89"/>
    </row>
    <row r="998" ht="15.75" customHeight="1">
      <c r="A998" s="89"/>
      <c r="B998" s="89"/>
      <c r="C998" s="89"/>
      <c r="D998" s="89"/>
      <c r="E998" s="89"/>
      <c r="F998" s="89"/>
      <c r="G998" s="89"/>
      <c r="H998" s="89"/>
      <c r="I998" s="89"/>
      <c r="J998" s="89"/>
      <c r="K998" s="89"/>
      <c r="L998" s="89"/>
      <c r="M998" s="89"/>
      <c r="N998" s="89"/>
      <c r="O998" s="89"/>
      <c r="P998" s="89"/>
      <c r="Q998" s="89"/>
      <c r="R998" s="89"/>
      <c r="S998" s="89"/>
      <c r="T998" s="89"/>
    </row>
    <row r="999" ht="15.75" customHeight="1">
      <c r="A999" s="89"/>
      <c r="B999" s="89"/>
      <c r="C999" s="89"/>
      <c r="D999" s="89"/>
      <c r="E999" s="89"/>
      <c r="F999" s="89"/>
      <c r="G999" s="89"/>
      <c r="H999" s="89"/>
      <c r="I999" s="89"/>
      <c r="J999" s="89"/>
      <c r="K999" s="89"/>
      <c r="L999" s="89"/>
      <c r="M999" s="89"/>
      <c r="N999" s="89"/>
      <c r="O999" s="89"/>
      <c r="P999" s="89"/>
      <c r="Q999" s="89"/>
      <c r="R999" s="89"/>
      <c r="S999" s="89"/>
      <c r="T999" s="89"/>
    </row>
    <row r="1000" ht="15.75" customHeight="1">
      <c r="A1000" s="89"/>
      <c r="B1000" s="89"/>
      <c r="C1000" s="89"/>
      <c r="D1000" s="89"/>
      <c r="E1000" s="89"/>
      <c r="F1000" s="89"/>
      <c r="G1000" s="89"/>
      <c r="H1000" s="89"/>
      <c r="I1000" s="89"/>
      <c r="J1000" s="89"/>
      <c r="K1000" s="89"/>
      <c r="L1000" s="89"/>
      <c r="M1000" s="89"/>
      <c r="N1000" s="89"/>
      <c r="O1000" s="89"/>
      <c r="P1000" s="89"/>
      <c r="Q1000" s="89"/>
      <c r="R1000" s="89"/>
      <c r="S1000" s="89"/>
      <c r="T1000" s="89"/>
    </row>
    <row r="1001" ht="15.75" customHeight="1">
      <c r="A1001" s="89"/>
      <c r="B1001" s="89"/>
      <c r="C1001" s="89"/>
      <c r="D1001" s="89"/>
      <c r="E1001" s="89"/>
      <c r="F1001" s="89"/>
      <c r="G1001" s="89"/>
      <c r="H1001" s="89"/>
      <c r="I1001" s="89"/>
      <c r="J1001" s="89"/>
      <c r="K1001" s="89"/>
      <c r="L1001" s="89"/>
      <c r="M1001" s="89"/>
      <c r="N1001" s="89"/>
      <c r="O1001" s="89"/>
      <c r="P1001" s="89"/>
      <c r="Q1001" s="89"/>
      <c r="R1001" s="89"/>
      <c r="S1001" s="89"/>
      <c r="T1001" s="89"/>
    </row>
    <row r="1002" ht="15.75" customHeight="1">
      <c r="A1002" s="89"/>
      <c r="B1002" s="89"/>
      <c r="C1002" s="89"/>
      <c r="D1002" s="89"/>
      <c r="E1002" s="89"/>
      <c r="F1002" s="89"/>
      <c r="G1002" s="89"/>
      <c r="H1002" s="89"/>
      <c r="I1002" s="89"/>
      <c r="J1002" s="89"/>
      <c r="K1002" s="89"/>
      <c r="L1002" s="89"/>
      <c r="M1002" s="89"/>
      <c r="N1002" s="89"/>
      <c r="O1002" s="89"/>
      <c r="P1002" s="89"/>
      <c r="Q1002" s="89"/>
      <c r="R1002" s="89"/>
      <c r="S1002" s="89"/>
      <c r="T1002" s="89"/>
    </row>
    <row r="1003" ht="15.75" customHeight="1">
      <c r="A1003" s="89"/>
      <c r="B1003" s="89"/>
      <c r="C1003" s="89"/>
      <c r="D1003" s="89"/>
      <c r="E1003" s="89"/>
      <c r="F1003" s="89"/>
      <c r="G1003" s="89"/>
      <c r="H1003" s="89"/>
      <c r="I1003" s="89"/>
      <c r="J1003" s="89"/>
      <c r="K1003" s="89"/>
      <c r="L1003" s="89"/>
      <c r="M1003" s="89"/>
      <c r="N1003" s="89"/>
      <c r="O1003" s="89"/>
      <c r="P1003" s="89"/>
      <c r="Q1003" s="89"/>
      <c r="R1003" s="89"/>
      <c r="S1003" s="89"/>
      <c r="T1003" s="89"/>
    </row>
    <row r="1004" ht="15.75" customHeight="1">
      <c r="A1004" s="89"/>
      <c r="B1004" s="89"/>
      <c r="C1004" s="89"/>
      <c r="D1004" s="89"/>
      <c r="E1004" s="89"/>
      <c r="F1004" s="89"/>
      <c r="G1004" s="89"/>
      <c r="H1004" s="89"/>
      <c r="I1004" s="89"/>
      <c r="J1004" s="89"/>
      <c r="K1004" s="89"/>
      <c r="L1004" s="89"/>
      <c r="M1004" s="89"/>
      <c r="N1004" s="89"/>
      <c r="O1004" s="89"/>
      <c r="P1004" s="89"/>
      <c r="Q1004" s="89"/>
      <c r="R1004" s="89"/>
      <c r="S1004" s="89"/>
      <c r="T1004" s="89"/>
    </row>
    <row r="1005" ht="15.75" customHeight="1">
      <c r="A1005" s="89"/>
      <c r="B1005" s="89"/>
      <c r="C1005" s="89"/>
      <c r="D1005" s="89"/>
      <c r="E1005" s="89"/>
      <c r="F1005" s="89"/>
      <c r="G1005" s="89"/>
      <c r="H1005" s="89"/>
      <c r="I1005" s="89"/>
      <c r="J1005" s="89"/>
      <c r="K1005" s="89"/>
      <c r="L1005" s="89"/>
      <c r="M1005" s="89"/>
      <c r="N1005" s="89"/>
      <c r="O1005" s="89"/>
      <c r="P1005" s="89"/>
      <c r="Q1005" s="89"/>
      <c r="R1005" s="89"/>
      <c r="S1005" s="89"/>
      <c r="T1005" s="89"/>
    </row>
    <row r="1006" ht="15.75" customHeight="1">
      <c r="A1006" s="89"/>
      <c r="B1006" s="89"/>
      <c r="C1006" s="89"/>
      <c r="D1006" s="89"/>
      <c r="E1006" s="89"/>
      <c r="F1006" s="89"/>
      <c r="G1006" s="89"/>
      <c r="H1006" s="89"/>
      <c r="I1006" s="89"/>
      <c r="J1006" s="89"/>
      <c r="K1006" s="89"/>
      <c r="L1006" s="89"/>
      <c r="M1006" s="89"/>
      <c r="N1006" s="89"/>
      <c r="O1006" s="89"/>
      <c r="P1006" s="89"/>
      <c r="Q1006" s="89"/>
      <c r="R1006" s="89"/>
      <c r="S1006" s="89"/>
      <c r="T1006" s="89"/>
    </row>
  </sheetData>
  <printOptions/>
  <pageMargins bottom="0.75" footer="0.0" header="0.0" left="0.7" right="0.7" top="0.75"/>
  <pageSetup orientation="landscape"/>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14.75"/>
    <col customWidth="1" min="3" max="3" width="4.75"/>
    <col customWidth="1" min="4" max="4" width="19.5"/>
    <col customWidth="1" min="5" max="5" width="58.38"/>
    <col customWidth="1" min="6" max="6" width="16.0"/>
    <col customWidth="1" min="7" max="7" width="30.38"/>
    <col customWidth="1" min="8" max="8" width="24.25"/>
    <col customWidth="1" min="9" max="9" width="16.0"/>
    <col customWidth="1" min="10" max="10" width="56.13"/>
  </cols>
  <sheetData>
    <row r="1" ht="40.5" customHeight="1">
      <c r="A1" s="121" t="s">
        <v>1595</v>
      </c>
      <c r="B1" s="121" t="s">
        <v>1596</v>
      </c>
      <c r="C1" s="121" t="s">
        <v>1666</v>
      </c>
      <c r="D1" s="121" t="s">
        <v>1667</v>
      </c>
      <c r="E1" s="121" t="s">
        <v>1668</v>
      </c>
      <c r="F1" s="121" t="s">
        <v>1669</v>
      </c>
      <c r="G1" s="121" t="s">
        <v>1670</v>
      </c>
      <c r="H1" s="122" t="s">
        <v>1671</v>
      </c>
      <c r="I1" s="121" t="s">
        <v>1672</v>
      </c>
      <c r="J1" s="123" t="s">
        <v>428</v>
      </c>
      <c r="K1" s="89"/>
      <c r="L1" s="89"/>
      <c r="M1" s="89"/>
      <c r="N1" s="89"/>
      <c r="O1" s="89"/>
      <c r="P1" s="89"/>
      <c r="Q1" s="89"/>
      <c r="R1" s="89"/>
      <c r="S1" s="89"/>
      <c r="T1" s="89"/>
      <c r="U1" s="89"/>
      <c r="V1" s="89"/>
      <c r="W1" s="89"/>
      <c r="X1" s="89"/>
      <c r="Y1" s="89"/>
      <c r="Z1" s="89"/>
      <c r="AA1" s="89"/>
    </row>
    <row r="2" ht="14.25" customHeight="1">
      <c r="A2" s="124">
        <v>2026.0</v>
      </c>
      <c r="B2" s="124">
        <v>1.0</v>
      </c>
      <c r="C2" s="125"/>
      <c r="D2" s="126">
        <v>46024.0</v>
      </c>
      <c r="E2" s="127" t="s">
        <v>1673</v>
      </c>
      <c r="F2" s="124">
        <v>-27.27</v>
      </c>
      <c r="G2" s="128" t="s">
        <v>1660</v>
      </c>
      <c r="H2" s="129" t="s">
        <v>1662</v>
      </c>
      <c r="I2" s="130" t="s">
        <v>1674</v>
      </c>
      <c r="J2" s="131"/>
      <c r="K2" s="89"/>
      <c r="L2" s="89"/>
      <c r="M2" s="89"/>
      <c r="N2" s="89"/>
      <c r="O2" s="89"/>
      <c r="P2" s="89"/>
      <c r="Q2" s="89"/>
      <c r="R2" s="89"/>
      <c r="S2" s="89"/>
      <c r="T2" s="89"/>
      <c r="U2" s="89"/>
      <c r="V2" s="89"/>
      <c r="W2" s="89"/>
      <c r="X2" s="89"/>
      <c r="Y2" s="89"/>
      <c r="Z2" s="89"/>
      <c r="AA2" s="89"/>
    </row>
    <row r="3" ht="14.25" customHeight="1">
      <c r="A3" s="124">
        <v>2026.0</v>
      </c>
      <c r="B3" s="124">
        <v>1.0</v>
      </c>
      <c r="C3" s="125"/>
      <c r="D3" s="126">
        <v>46024.0</v>
      </c>
      <c r="E3" s="127" t="s">
        <v>1675</v>
      </c>
      <c r="F3" s="124">
        <v>-3.99</v>
      </c>
      <c r="G3" s="128" t="s">
        <v>1653</v>
      </c>
      <c r="H3" s="129" t="s">
        <v>1658</v>
      </c>
      <c r="I3" s="132" t="s">
        <v>1674</v>
      </c>
      <c r="J3" s="133"/>
      <c r="K3" s="89"/>
      <c r="L3" s="89"/>
      <c r="M3" s="89"/>
      <c r="N3" s="89"/>
      <c r="O3" s="89"/>
      <c r="P3" s="89"/>
      <c r="Q3" s="89"/>
      <c r="R3" s="89"/>
      <c r="S3" s="89"/>
      <c r="T3" s="89"/>
      <c r="U3" s="89"/>
      <c r="V3" s="89"/>
      <c r="W3" s="89"/>
      <c r="X3" s="89"/>
      <c r="Y3" s="89"/>
      <c r="Z3" s="89"/>
      <c r="AA3" s="89"/>
    </row>
    <row r="4" ht="14.25" customHeight="1">
      <c r="A4" s="124">
        <v>2026.0</v>
      </c>
      <c r="B4" s="124">
        <v>1.0</v>
      </c>
      <c r="C4" s="125"/>
      <c r="D4" s="126">
        <v>46024.0</v>
      </c>
      <c r="E4" s="127" t="s">
        <v>1676</v>
      </c>
      <c r="F4" s="124">
        <v>-8.62</v>
      </c>
      <c r="G4" s="134" t="s">
        <v>1653</v>
      </c>
      <c r="H4" s="129" t="s">
        <v>1658</v>
      </c>
      <c r="I4" s="130" t="s">
        <v>1674</v>
      </c>
      <c r="J4" s="131"/>
      <c r="K4" s="89"/>
      <c r="L4" s="89"/>
      <c r="M4" s="89"/>
      <c r="N4" s="89"/>
      <c r="O4" s="89"/>
      <c r="P4" s="89"/>
      <c r="Q4" s="89"/>
      <c r="R4" s="89"/>
      <c r="S4" s="89"/>
      <c r="T4" s="89"/>
      <c r="U4" s="89"/>
      <c r="V4" s="89"/>
      <c r="W4" s="89"/>
      <c r="X4" s="89"/>
      <c r="Y4" s="89"/>
      <c r="Z4" s="89"/>
      <c r="AA4" s="89"/>
    </row>
    <row r="5" ht="14.25" customHeight="1">
      <c r="A5" s="124">
        <v>2026.0</v>
      </c>
      <c r="B5" s="124">
        <v>1.0</v>
      </c>
      <c r="C5" s="125"/>
      <c r="D5" s="126">
        <v>46024.0</v>
      </c>
      <c r="E5" s="127" t="s">
        <v>1677</v>
      </c>
      <c r="F5" s="124">
        <v>-10.99</v>
      </c>
      <c r="G5" s="128" t="s">
        <v>1653</v>
      </c>
      <c r="H5" s="129" t="s">
        <v>1658</v>
      </c>
      <c r="I5" s="130" t="s">
        <v>1674</v>
      </c>
      <c r="J5" s="131"/>
      <c r="K5" s="89"/>
      <c r="L5" s="89"/>
      <c r="M5" s="89"/>
      <c r="N5" s="89"/>
      <c r="O5" s="89"/>
      <c r="P5" s="89"/>
      <c r="Q5" s="89"/>
      <c r="R5" s="89"/>
      <c r="S5" s="89"/>
      <c r="T5" s="89"/>
      <c r="U5" s="89"/>
      <c r="V5" s="89"/>
      <c r="W5" s="89"/>
      <c r="X5" s="89"/>
      <c r="Y5" s="89"/>
      <c r="Z5" s="89"/>
      <c r="AA5" s="89"/>
    </row>
    <row r="6" ht="14.25" customHeight="1">
      <c r="A6" s="124">
        <v>2026.0</v>
      </c>
      <c r="B6" s="124">
        <v>1.0</v>
      </c>
      <c r="C6" s="125"/>
      <c r="D6" s="126">
        <v>46027.0</v>
      </c>
      <c r="E6" s="127" t="s">
        <v>1678</v>
      </c>
      <c r="F6" s="124">
        <v>-43.13</v>
      </c>
      <c r="G6" s="128" t="s">
        <v>1653</v>
      </c>
      <c r="H6" s="129" t="s">
        <v>1658</v>
      </c>
      <c r="I6" s="130" t="s">
        <v>1674</v>
      </c>
      <c r="J6" s="131"/>
      <c r="K6" s="89"/>
      <c r="L6" s="89"/>
      <c r="M6" s="89"/>
      <c r="N6" s="89"/>
      <c r="O6" s="89"/>
      <c r="P6" s="89"/>
      <c r="Q6" s="89"/>
      <c r="R6" s="89"/>
      <c r="S6" s="89"/>
      <c r="T6" s="89"/>
      <c r="U6" s="89"/>
      <c r="V6" s="89"/>
      <c r="W6" s="89"/>
      <c r="X6" s="89"/>
      <c r="Y6" s="89"/>
      <c r="Z6" s="89"/>
      <c r="AA6" s="89"/>
    </row>
    <row r="7" ht="14.25" customHeight="1">
      <c r="A7" s="124">
        <v>2026.0</v>
      </c>
      <c r="B7" s="124">
        <v>1.0</v>
      </c>
      <c r="C7" s="125"/>
      <c r="D7" s="126">
        <v>46028.0</v>
      </c>
      <c r="E7" s="127" t="s">
        <v>1679</v>
      </c>
      <c r="F7" s="124">
        <v>-244.0</v>
      </c>
      <c r="G7" s="134" t="s">
        <v>42</v>
      </c>
      <c r="H7" s="129" t="s">
        <v>1680</v>
      </c>
      <c r="I7" s="130" t="s">
        <v>1674</v>
      </c>
      <c r="J7" s="131"/>
      <c r="K7" s="89"/>
      <c r="L7" s="89"/>
      <c r="M7" s="89"/>
      <c r="N7" s="89"/>
      <c r="O7" s="89"/>
      <c r="P7" s="89"/>
      <c r="Q7" s="89"/>
      <c r="R7" s="89"/>
      <c r="S7" s="89"/>
      <c r="T7" s="89"/>
      <c r="U7" s="89"/>
      <c r="V7" s="89"/>
      <c r="W7" s="89"/>
      <c r="X7" s="89"/>
      <c r="Y7" s="89"/>
      <c r="Z7" s="89"/>
      <c r="AA7" s="89"/>
    </row>
    <row r="8" ht="14.25" customHeight="1">
      <c r="A8" s="124">
        <v>2026.0</v>
      </c>
      <c r="B8" s="124">
        <v>1.0</v>
      </c>
      <c r="C8" s="125"/>
      <c r="D8" s="126">
        <v>46031.0</v>
      </c>
      <c r="E8" s="127" t="s">
        <v>1681</v>
      </c>
      <c r="F8" s="124">
        <v>-300.61</v>
      </c>
      <c r="G8" s="134" t="s">
        <v>42</v>
      </c>
      <c r="H8" s="129" t="s">
        <v>1680</v>
      </c>
      <c r="I8" s="130" t="s">
        <v>1674</v>
      </c>
      <c r="J8" s="131"/>
      <c r="K8" s="89"/>
      <c r="L8" s="89"/>
      <c r="M8" s="89"/>
      <c r="N8" s="89"/>
      <c r="O8" s="89"/>
      <c r="P8" s="89"/>
      <c r="Q8" s="89"/>
      <c r="R8" s="89"/>
      <c r="S8" s="89"/>
      <c r="T8" s="89"/>
      <c r="U8" s="89"/>
      <c r="V8" s="89"/>
      <c r="W8" s="89"/>
      <c r="X8" s="89"/>
      <c r="Y8" s="89"/>
      <c r="Z8" s="89"/>
      <c r="AA8" s="89"/>
    </row>
    <row r="9" ht="14.25" customHeight="1">
      <c r="A9" s="124">
        <v>2026.0</v>
      </c>
      <c r="B9" s="124">
        <v>1.0</v>
      </c>
      <c r="C9" s="125"/>
      <c r="D9" s="126">
        <v>46031.0</v>
      </c>
      <c r="E9" s="127" t="s">
        <v>1682</v>
      </c>
      <c r="F9" s="124">
        <v>-784.66</v>
      </c>
      <c r="G9" s="134" t="s">
        <v>42</v>
      </c>
      <c r="H9" s="129" t="s">
        <v>1680</v>
      </c>
      <c r="I9" s="130" t="s">
        <v>1674</v>
      </c>
      <c r="J9" s="131"/>
      <c r="K9" s="89"/>
      <c r="L9" s="89"/>
      <c r="M9" s="89"/>
      <c r="N9" s="89"/>
      <c r="O9" s="89"/>
      <c r="P9" s="89"/>
      <c r="Q9" s="89"/>
      <c r="R9" s="89"/>
      <c r="S9" s="89"/>
      <c r="T9" s="89"/>
      <c r="U9" s="89"/>
      <c r="V9" s="89"/>
      <c r="W9" s="89"/>
      <c r="X9" s="89"/>
      <c r="Y9" s="89"/>
      <c r="Z9" s="89"/>
      <c r="AA9" s="89"/>
    </row>
    <row r="10" ht="14.25" customHeight="1">
      <c r="A10" s="124">
        <v>2026.0</v>
      </c>
      <c r="B10" s="124">
        <v>1.0</v>
      </c>
      <c r="C10" s="125"/>
      <c r="D10" s="126">
        <v>46031.0</v>
      </c>
      <c r="E10" s="127" t="s">
        <v>1683</v>
      </c>
      <c r="F10" s="124">
        <v>-633.41</v>
      </c>
      <c r="G10" s="134" t="s">
        <v>42</v>
      </c>
      <c r="H10" s="129" t="s">
        <v>1680</v>
      </c>
      <c r="I10" s="130" t="s">
        <v>1674</v>
      </c>
      <c r="J10" s="131"/>
      <c r="K10" s="135"/>
      <c r="L10" s="89"/>
      <c r="M10" s="89"/>
      <c r="N10" s="89"/>
      <c r="O10" s="89"/>
      <c r="P10" s="89"/>
      <c r="Q10" s="89"/>
      <c r="R10" s="89"/>
      <c r="S10" s="89"/>
      <c r="T10" s="89"/>
      <c r="U10" s="89"/>
      <c r="V10" s="89"/>
      <c r="W10" s="89"/>
      <c r="X10" s="89"/>
      <c r="Y10" s="89"/>
      <c r="Z10" s="89"/>
      <c r="AA10" s="89"/>
    </row>
    <row r="11" ht="14.25" customHeight="1">
      <c r="A11" s="124">
        <v>2026.0</v>
      </c>
      <c r="B11" s="124">
        <v>1.0</v>
      </c>
      <c r="C11" s="125"/>
      <c r="D11" s="126">
        <v>46031.0</v>
      </c>
      <c r="E11" s="127" t="s">
        <v>1684</v>
      </c>
      <c r="F11" s="124">
        <v>-361.56</v>
      </c>
      <c r="G11" s="134" t="s">
        <v>42</v>
      </c>
      <c r="H11" s="129" t="s">
        <v>1680</v>
      </c>
      <c r="I11" s="130" t="s">
        <v>1674</v>
      </c>
      <c r="J11" s="131"/>
      <c r="K11" s="89"/>
      <c r="L11" s="89"/>
      <c r="M11" s="89"/>
      <c r="N11" s="89"/>
      <c r="O11" s="89"/>
      <c r="P11" s="89"/>
      <c r="Q11" s="89"/>
      <c r="R11" s="89"/>
      <c r="S11" s="89"/>
      <c r="T11" s="89"/>
      <c r="U11" s="89"/>
      <c r="V11" s="89"/>
      <c r="W11" s="89"/>
      <c r="X11" s="89"/>
      <c r="Y11" s="89"/>
      <c r="Z11" s="89"/>
      <c r="AA11" s="89"/>
    </row>
    <row r="12" ht="14.25" customHeight="1">
      <c r="A12" s="124">
        <v>2026.0</v>
      </c>
      <c r="B12" s="124">
        <v>1.0</v>
      </c>
      <c r="C12" s="125"/>
      <c r="D12" s="126">
        <v>46031.0</v>
      </c>
      <c r="E12" s="127" t="s">
        <v>1685</v>
      </c>
      <c r="F12" s="124">
        <v>-530.65</v>
      </c>
      <c r="G12" s="128" t="s">
        <v>1652</v>
      </c>
      <c r="H12" s="129" t="s">
        <v>1626</v>
      </c>
      <c r="I12" s="130" t="s">
        <v>1674</v>
      </c>
      <c r="J12" s="131"/>
      <c r="K12" s="89"/>
      <c r="L12" s="89"/>
      <c r="M12" s="89"/>
      <c r="N12" s="89"/>
      <c r="O12" s="89"/>
      <c r="P12" s="89"/>
      <c r="Q12" s="89"/>
      <c r="R12" s="89"/>
      <c r="S12" s="89"/>
      <c r="T12" s="89"/>
      <c r="U12" s="89"/>
      <c r="V12" s="89"/>
      <c r="W12" s="89"/>
      <c r="X12" s="89"/>
      <c r="Y12" s="89"/>
      <c r="Z12" s="89"/>
      <c r="AA12" s="89"/>
    </row>
    <row r="13" ht="14.25" customHeight="1">
      <c r="A13" s="124">
        <v>2026.0</v>
      </c>
      <c r="B13" s="124">
        <v>1.0</v>
      </c>
      <c r="C13" s="125"/>
      <c r="D13" s="126">
        <v>46031.0</v>
      </c>
      <c r="E13" s="127" t="s">
        <v>1686</v>
      </c>
      <c r="F13" s="124">
        <v>-94.55</v>
      </c>
      <c r="G13" s="134" t="s">
        <v>1687</v>
      </c>
      <c r="H13" s="136"/>
      <c r="I13" s="130" t="s">
        <v>1674</v>
      </c>
      <c r="J13" s="131"/>
      <c r="K13" s="89"/>
      <c r="L13" s="89"/>
      <c r="M13" s="89"/>
      <c r="N13" s="89"/>
      <c r="O13" s="89"/>
      <c r="P13" s="89"/>
      <c r="Q13" s="89"/>
      <c r="R13" s="89"/>
      <c r="S13" s="89"/>
      <c r="T13" s="89"/>
      <c r="U13" s="89"/>
      <c r="V13" s="89"/>
      <c r="W13" s="89"/>
      <c r="X13" s="89"/>
      <c r="Y13" s="89"/>
      <c r="Z13" s="89"/>
      <c r="AA13" s="89"/>
    </row>
    <row r="14" ht="14.25" customHeight="1">
      <c r="A14" s="124">
        <v>2025.0</v>
      </c>
      <c r="B14" s="124">
        <v>1.0</v>
      </c>
      <c r="C14" s="125"/>
      <c r="D14" s="126">
        <v>46022.0</v>
      </c>
      <c r="E14" s="127" t="s">
        <v>1688</v>
      </c>
      <c r="F14" s="124">
        <v>-2112.91</v>
      </c>
      <c r="G14" s="128" t="s">
        <v>1653</v>
      </c>
      <c r="H14" s="129" t="s">
        <v>1657</v>
      </c>
      <c r="I14" s="130" t="s">
        <v>1674</v>
      </c>
      <c r="J14" s="131"/>
      <c r="K14" s="89"/>
      <c r="L14" s="89"/>
      <c r="M14" s="89"/>
      <c r="N14" s="89"/>
      <c r="O14" s="89"/>
      <c r="P14" s="89"/>
      <c r="Q14" s="89"/>
      <c r="R14" s="89"/>
      <c r="S14" s="89"/>
      <c r="T14" s="89"/>
      <c r="U14" s="89"/>
      <c r="V14" s="89"/>
      <c r="W14" s="89"/>
      <c r="X14" s="89"/>
      <c r="Y14" s="89"/>
      <c r="Z14" s="89"/>
      <c r="AA14" s="89"/>
    </row>
    <row r="15" ht="14.25" customHeight="1">
      <c r="A15" s="124">
        <v>2026.0</v>
      </c>
      <c r="B15" s="124">
        <v>1.0</v>
      </c>
      <c r="C15" s="125"/>
      <c r="D15" s="126">
        <v>46034.0</v>
      </c>
      <c r="E15" s="127" t="s">
        <v>1689</v>
      </c>
      <c r="F15" s="124">
        <v>-1.99</v>
      </c>
      <c r="G15" s="134" t="s">
        <v>1653</v>
      </c>
      <c r="H15" s="129" t="s">
        <v>1658</v>
      </c>
      <c r="I15" s="130" t="s">
        <v>1674</v>
      </c>
      <c r="J15" s="131"/>
      <c r="K15" s="89"/>
      <c r="L15" s="89"/>
      <c r="M15" s="89"/>
      <c r="N15" s="89"/>
      <c r="O15" s="89"/>
      <c r="P15" s="89"/>
      <c r="Q15" s="89"/>
      <c r="R15" s="89"/>
      <c r="S15" s="89"/>
      <c r="T15" s="89"/>
      <c r="U15" s="89"/>
      <c r="V15" s="89"/>
      <c r="W15" s="89"/>
      <c r="X15" s="89"/>
      <c r="Y15" s="89"/>
      <c r="Z15" s="89"/>
      <c r="AA15" s="89"/>
    </row>
    <row r="16" ht="14.25" customHeight="1">
      <c r="A16" s="124">
        <v>2026.0</v>
      </c>
      <c r="B16" s="124">
        <v>1.0</v>
      </c>
      <c r="C16" s="125"/>
      <c r="D16" s="126">
        <v>46034.0</v>
      </c>
      <c r="E16" s="127" t="s">
        <v>1690</v>
      </c>
      <c r="F16" s="124">
        <v>-28.0</v>
      </c>
      <c r="G16" s="128" t="s">
        <v>1653</v>
      </c>
      <c r="H16" s="129" t="s">
        <v>1658</v>
      </c>
      <c r="I16" s="130" t="s">
        <v>1674</v>
      </c>
      <c r="J16" s="131"/>
      <c r="K16" s="89"/>
      <c r="L16" s="89"/>
      <c r="M16" s="89"/>
      <c r="N16" s="89"/>
      <c r="O16" s="89"/>
      <c r="P16" s="89"/>
      <c r="Q16" s="89"/>
      <c r="R16" s="89"/>
      <c r="S16" s="89"/>
      <c r="T16" s="89"/>
      <c r="U16" s="89"/>
      <c r="V16" s="89"/>
      <c r="W16" s="89"/>
      <c r="X16" s="89"/>
      <c r="Y16" s="89"/>
      <c r="Z16" s="89"/>
      <c r="AA16" s="89"/>
    </row>
    <row r="17" ht="14.25" customHeight="1">
      <c r="A17" s="124">
        <v>2026.0</v>
      </c>
      <c r="B17" s="124">
        <v>1.0</v>
      </c>
      <c r="C17" s="125"/>
      <c r="D17" s="126">
        <v>46034.0</v>
      </c>
      <c r="E17" s="127" t="s">
        <v>1691</v>
      </c>
      <c r="F17" s="124">
        <v>-10.0</v>
      </c>
      <c r="G17" s="128" t="s">
        <v>1653</v>
      </c>
      <c r="H17" s="129" t="s">
        <v>1658</v>
      </c>
      <c r="I17" s="130" t="s">
        <v>1674</v>
      </c>
      <c r="J17" s="131"/>
      <c r="K17" s="89"/>
      <c r="L17" s="89"/>
      <c r="M17" s="89"/>
      <c r="N17" s="89"/>
      <c r="O17" s="89"/>
      <c r="P17" s="89"/>
      <c r="Q17" s="89"/>
      <c r="R17" s="89"/>
      <c r="S17" s="89"/>
      <c r="T17" s="89"/>
      <c r="U17" s="89"/>
      <c r="V17" s="89"/>
      <c r="W17" s="89"/>
      <c r="X17" s="89"/>
      <c r="Y17" s="89"/>
      <c r="Z17" s="89"/>
      <c r="AA17" s="89"/>
    </row>
    <row r="18" ht="14.25" customHeight="1">
      <c r="A18" s="124">
        <v>2026.0</v>
      </c>
      <c r="B18" s="124">
        <v>1.0</v>
      </c>
      <c r="C18" s="125"/>
      <c r="D18" s="126">
        <v>46034.0</v>
      </c>
      <c r="E18" s="127" t="s">
        <v>1692</v>
      </c>
      <c r="F18" s="124">
        <v>-224.48</v>
      </c>
      <c r="G18" s="128" t="s">
        <v>1660</v>
      </c>
      <c r="H18" s="129" t="s">
        <v>1661</v>
      </c>
      <c r="I18" s="130" t="s">
        <v>1674</v>
      </c>
      <c r="J18" s="131"/>
      <c r="K18" s="89"/>
      <c r="L18" s="89"/>
      <c r="M18" s="89"/>
      <c r="N18" s="89"/>
      <c r="O18" s="89"/>
      <c r="P18" s="89"/>
      <c r="Q18" s="89"/>
      <c r="R18" s="89"/>
      <c r="S18" s="89"/>
      <c r="T18" s="89"/>
      <c r="U18" s="89"/>
      <c r="V18" s="89"/>
      <c r="W18" s="89"/>
      <c r="X18" s="89"/>
      <c r="Y18" s="89"/>
      <c r="Z18" s="89"/>
      <c r="AA18" s="89"/>
    </row>
    <row r="19" ht="14.25" customHeight="1">
      <c r="A19" s="124">
        <v>2026.0</v>
      </c>
      <c r="B19" s="124">
        <v>1.0</v>
      </c>
      <c r="C19" s="125"/>
      <c r="D19" s="126">
        <v>46034.0</v>
      </c>
      <c r="E19" s="137" t="s">
        <v>1693</v>
      </c>
      <c r="F19" s="138">
        <v>-100.0</v>
      </c>
      <c r="G19" s="139" t="s">
        <v>1660</v>
      </c>
      <c r="H19" s="140" t="s">
        <v>1661</v>
      </c>
      <c r="I19" s="130" t="s">
        <v>1674</v>
      </c>
      <c r="J19" s="131"/>
      <c r="K19" s="89"/>
      <c r="L19" s="89"/>
      <c r="M19" s="89"/>
      <c r="N19" s="89"/>
      <c r="O19" s="89"/>
      <c r="P19" s="89"/>
      <c r="Q19" s="89"/>
      <c r="R19" s="89"/>
      <c r="S19" s="89"/>
      <c r="T19" s="89"/>
      <c r="U19" s="89"/>
      <c r="V19" s="89"/>
      <c r="W19" s="89"/>
      <c r="X19" s="89"/>
      <c r="Y19" s="89"/>
      <c r="Z19" s="89"/>
      <c r="AA19" s="89"/>
    </row>
    <row r="20" ht="14.25" customHeight="1">
      <c r="A20" s="124">
        <v>2026.0</v>
      </c>
      <c r="B20" s="124">
        <v>1.0</v>
      </c>
      <c r="C20" s="125"/>
      <c r="D20" s="126">
        <v>46034.0</v>
      </c>
      <c r="E20" s="127" t="s">
        <v>1694</v>
      </c>
      <c r="F20" s="124">
        <v>-204.36</v>
      </c>
      <c r="G20" s="134" t="s">
        <v>42</v>
      </c>
      <c r="H20" s="129" t="s">
        <v>1680</v>
      </c>
      <c r="I20" s="130" t="s">
        <v>1674</v>
      </c>
      <c r="J20" s="131"/>
      <c r="K20" s="89"/>
      <c r="L20" s="89"/>
      <c r="M20" s="89"/>
      <c r="N20" s="89"/>
      <c r="O20" s="89"/>
      <c r="P20" s="89"/>
      <c r="Q20" s="89"/>
      <c r="R20" s="89"/>
      <c r="S20" s="89"/>
      <c r="T20" s="89"/>
      <c r="U20" s="89"/>
      <c r="V20" s="89"/>
      <c r="W20" s="89"/>
      <c r="X20" s="89"/>
      <c r="Y20" s="89"/>
      <c r="Z20" s="89"/>
      <c r="AA20" s="89"/>
    </row>
    <row r="21" ht="14.25" customHeight="1">
      <c r="A21" s="124">
        <v>2026.0</v>
      </c>
      <c r="B21" s="124">
        <v>1.0</v>
      </c>
      <c r="C21" s="125"/>
      <c r="D21" s="126">
        <v>46035.0</v>
      </c>
      <c r="E21" s="127" t="s">
        <v>1695</v>
      </c>
      <c r="F21" s="124">
        <v>-641.59</v>
      </c>
      <c r="G21" s="128" t="s">
        <v>1652</v>
      </c>
      <c r="H21" s="129" t="s">
        <v>1626</v>
      </c>
      <c r="I21" s="130" t="s">
        <v>1674</v>
      </c>
      <c r="J21" s="131"/>
      <c r="K21" s="89"/>
      <c r="L21" s="89"/>
      <c r="M21" s="89"/>
      <c r="N21" s="89"/>
      <c r="O21" s="89"/>
      <c r="P21" s="89"/>
      <c r="Q21" s="89"/>
      <c r="R21" s="89"/>
      <c r="S21" s="89"/>
      <c r="T21" s="89"/>
      <c r="U21" s="89"/>
      <c r="V21" s="89"/>
      <c r="W21" s="89"/>
      <c r="X21" s="89"/>
      <c r="Y21" s="89"/>
      <c r="Z21" s="89"/>
      <c r="AA21" s="89"/>
    </row>
    <row r="22" ht="14.25" customHeight="1">
      <c r="A22" s="124">
        <v>2026.0</v>
      </c>
      <c r="B22" s="124">
        <v>1.0</v>
      </c>
      <c r="C22" s="125"/>
      <c r="D22" s="126">
        <v>46036.0</v>
      </c>
      <c r="E22" s="127" t="s">
        <v>1696</v>
      </c>
      <c r="F22" s="124">
        <v>-5.4</v>
      </c>
      <c r="G22" s="134" t="s">
        <v>1653</v>
      </c>
      <c r="H22" s="129" t="s">
        <v>1658</v>
      </c>
      <c r="I22" s="130" t="s">
        <v>1674</v>
      </c>
      <c r="J22" s="131"/>
      <c r="K22" s="89"/>
      <c r="L22" s="89"/>
      <c r="M22" s="89"/>
      <c r="N22" s="89"/>
      <c r="O22" s="89"/>
      <c r="P22" s="89"/>
      <c r="Q22" s="89"/>
      <c r="R22" s="89"/>
      <c r="S22" s="89"/>
      <c r="T22" s="89"/>
      <c r="U22" s="89"/>
      <c r="V22" s="89"/>
      <c r="W22" s="89"/>
      <c r="X22" s="89"/>
      <c r="Y22" s="89"/>
      <c r="Z22" s="89"/>
      <c r="AA22" s="89"/>
    </row>
    <row r="23" ht="14.25" customHeight="1">
      <c r="A23" s="124">
        <v>2026.0</v>
      </c>
      <c r="B23" s="124">
        <v>1.0</v>
      </c>
      <c r="C23" s="125"/>
      <c r="D23" s="126">
        <v>46037.0</v>
      </c>
      <c r="E23" s="127" t="s">
        <v>1697</v>
      </c>
      <c r="F23" s="124">
        <v>-3.0</v>
      </c>
      <c r="G23" s="134" t="s">
        <v>1653</v>
      </c>
      <c r="H23" s="129" t="s">
        <v>1658</v>
      </c>
      <c r="I23" s="130" t="s">
        <v>1674</v>
      </c>
      <c r="J23" s="131"/>
      <c r="K23" s="89"/>
      <c r="L23" s="89"/>
      <c r="M23" s="89"/>
      <c r="N23" s="89"/>
      <c r="O23" s="89"/>
      <c r="P23" s="89"/>
      <c r="Q23" s="89"/>
      <c r="R23" s="89"/>
      <c r="S23" s="89"/>
      <c r="T23" s="89"/>
      <c r="U23" s="89"/>
      <c r="V23" s="89"/>
      <c r="W23" s="89"/>
      <c r="X23" s="89"/>
      <c r="Y23" s="89"/>
      <c r="Z23" s="89"/>
      <c r="AA23" s="89"/>
    </row>
    <row r="24" ht="14.25" customHeight="1">
      <c r="A24" s="124">
        <v>2026.0</v>
      </c>
      <c r="B24" s="124">
        <v>1.0</v>
      </c>
      <c r="C24" s="125"/>
      <c r="D24" s="126">
        <v>46041.0</v>
      </c>
      <c r="E24" s="127" t="s">
        <v>1698</v>
      </c>
      <c r="F24" s="124">
        <v>-9.99</v>
      </c>
      <c r="G24" s="128" t="s">
        <v>1653</v>
      </c>
      <c r="H24" s="129" t="s">
        <v>1658</v>
      </c>
      <c r="I24" s="130" t="s">
        <v>1674</v>
      </c>
      <c r="J24" s="131"/>
      <c r="K24" s="89"/>
      <c r="L24" s="89"/>
      <c r="M24" s="89"/>
      <c r="N24" s="89"/>
      <c r="O24" s="89"/>
      <c r="P24" s="89"/>
      <c r="Q24" s="89"/>
      <c r="R24" s="89"/>
      <c r="S24" s="89"/>
      <c r="T24" s="89"/>
      <c r="U24" s="89"/>
      <c r="V24" s="89"/>
      <c r="W24" s="89"/>
      <c r="X24" s="89"/>
      <c r="Y24" s="89"/>
      <c r="Z24" s="89"/>
      <c r="AA24" s="89"/>
    </row>
    <row r="25" ht="14.25" customHeight="1">
      <c r="A25" s="124">
        <v>2026.0</v>
      </c>
      <c r="B25" s="124">
        <v>1.0</v>
      </c>
      <c r="C25" s="125"/>
      <c r="D25" s="126">
        <v>46041.0</v>
      </c>
      <c r="E25" s="127" t="s">
        <v>1699</v>
      </c>
      <c r="F25" s="124">
        <v>-371.22</v>
      </c>
      <c r="G25" s="128" t="s">
        <v>1660</v>
      </c>
      <c r="H25" s="129" t="s">
        <v>1662</v>
      </c>
      <c r="I25" s="130" t="s">
        <v>1674</v>
      </c>
      <c r="J25" s="131"/>
      <c r="K25" s="89"/>
      <c r="L25" s="89"/>
      <c r="M25" s="89"/>
      <c r="N25" s="89"/>
      <c r="O25" s="89"/>
      <c r="P25" s="89"/>
      <c r="Q25" s="89"/>
      <c r="R25" s="89"/>
      <c r="S25" s="89"/>
      <c r="T25" s="89"/>
      <c r="U25" s="89"/>
      <c r="V25" s="89"/>
      <c r="W25" s="89"/>
      <c r="X25" s="89"/>
      <c r="Y25" s="89"/>
      <c r="Z25" s="89"/>
      <c r="AA25" s="89"/>
    </row>
    <row r="26" ht="14.25" customHeight="1">
      <c r="A26" s="124">
        <v>2026.0</v>
      </c>
      <c r="B26" s="124">
        <v>1.0</v>
      </c>
      <c r="C26" s="125"/>
      <c r="D26" s="126">
        <v>46042.0</v>
      </c>
      <c r="E26" s="127" t="s">
        <v>1700</v>
      </c>
      <c r="F26" s="124">
        <v>-79.96</v>
      </c>
      <c r="G26" s="128" t="s">
        <v>1653</v>
      </c>
      <c r="H26" s="129" t="s">
        <v>1658</v>
      </c>
      <c r="I26" s="130" t="s">
        <v>1674</v>
      </c>
      <c r="J26" s="131"/>
      <c r="K26" s="89"/>
      <c r="L26" s="89"/>
      <c r="M26" s="89"/>
      <c r="N26" s="89"/>
      <c r="O26" s="89"/>
      <c r="P26" s="89"/>
      <c r="Q26" s="89"/>
      <c r="R26" s="89"/>
      <c r="S26" s="89"/>
      <c r="T26" s="89"/>
      <c r="U26" s="89"/>
      <c r="V26" s="89"/>
      <c r="W26" s="89"/>
      <c r="X26" s="89"/>
      <c r="Y26" s="89"/>
      <c r="Z26" s="89"/>
      <c r="AA26" s="89"/>
    </row>
    <row r="27" ht="14.25" customHeight="1">
      <c r="A27" s="124">
        <v>2026.0</v>
      </c>
      <c r="B27" s="124">
        <v>1.0</v>
      </c>
      <c r="C27" s="125"/>
      <c r="D27" s="126">
        <v>46043.0</v>
      </c>
      <c r="E27" s="127" t="s">
        <v>1701</v>
      </c>
      <c r="F27" s="124">
        <v>-40.0</v>
      </c>
      <c r="G27" s="128" t="s">
        <v>1653</v>
      </c>
      <c r="H27" s="129" t="s">
        <v>1658</v>
      </c>
      <c r="I27" s="130" t="s">
        <v>1674</v>
      </c>
      <c r="J27" s="131"/>
      <c r="K27" s="89"/>
      <c r="L27" s="89"/>
      <c r="M27" s="89"/>
      <c r="N27" s="89"/>
      <c r="O27" s="89"/>
      <c r="P27" s="89"/>
      <c r="Q27" s="89"/>
      <c r="R27" s="89"/>
      <c r="S27" s="89"/>
      <c r="T27" s="89"/>
      <c r="U27" s="89"/>
      <c r="V27" s="89"/>
      <c r="W27" s="89"/>
      <c r="X27" s="89"/>
      <c r="Y27" s="89"/>
      <c r="Z27" s="89"/>
      <c r="AA27" s="89"/>
    </row>
    <row r="28" ht="14.25" customHeight="1">
      <c r="A28" s="124">
        <v>2026.0</v>
      </c>
      <c r="B28" s="124">
        <v>1.0</v>
      </c>
      <c r="C28" s="125"/>
      <c r="D28" s="126">
        <v>46044.0</v>
      </c>
      <c r="E28" s="127" t="s">
        <v>1702</v>
      </c>
      <c r="F28" s="124">
        <v>-10.32</v>
      </c>
      <c r="G28" s="128" t="s">
        <v>1653</v>
      </c>
      <c r="H28" s="129" t="s">
        <v>1658</v>
      </c>
      <c r="I28" s="130" t="s">
        <v>1674</v>
      </c>
      <c r="J28" s="131"/>
      <c r="K28" s="89"/>
      <c r="L28" s="89"/>
      <c r="M28" s="89"/>
      <c r="N28" s="89"/>
      <c r="O28" s="89"/>
      <c r="P28" s="89"/>
      <c r="Q28" s="89"/>
      <c r="R28" s="89"/>
      <c r="S28" s="89"/>
      <c r="T28" s="89"/>
      <c r="U28" s="89"/>
      <c r="V28" s="89"/>
      <c r="W28" s="89"/>
      <c r="X28" s="89"/>
      <c r="Y28" s="89"/>
      <c r="Z28" s="89"/>
      <c r="AA28" s="89"/>
    </row>
    <row r="29" ht="14.25" customHeight="1">
      <c r="A29" s="124">
        <v>2026.0</v>
      </c>
      <c r="B29" s="124">
        <v>1.0</v>
      </c>
      <c r="C29" s="125"/>
      <c r="D29" s="126">
        <v>46044.0</v>
      </c>
      <c r="E29" s="127" t="s">
        <v>1703</v>
      </c>
      <c r="F29" s="124">
        <v>-1.99</v>
      </c>
      <c r="G29" s="128" t="s">
        <v>1653</v>
      </c>
      <c r="H29" s="129" t="s">
        <v>1658</v>
      </c>
      <c r="I29" s="130" t="s">
        <v>1674</v>
      </c>
      <c r="J29" s="131"/>
      <c r="K29" s="89"/>
      <c r="L29" s="89"/>
      <c r="M29" s="89"/>
      <c r="N29" s="89"/>
      <c r="O29" s="89"/>
      <c r="P29" s="89"/>
      <c r="Q29" s="89"/>
      <c r="R29" s="89"/>
      <c r="S29" s="89"/>
      <c r="T29" s="89"/>
      <c r="U29" s="89"/>
      <c r="V29" s="89"/>
      <c r="W29" s="89"/>
      <c r="X29" s="89"/>
      <c r="Y29" s="89"/>
      <c r="Z29" s="89"/>
      <c r="AA29" s="89"/>
    </row>
    <row r="30" ht="14.25" customHeight="1">
      <c r="A30" s="124">
        <v>2026.0</v>
      </c>
      <c r="B30" s="124">
        <v>1.0</v>
      </c>
      <c r="C30" s="125"/>
      <c r="D30" s="126">
        <v>46045.0</v>
      </c>
      <c r="E30" s="127" t="s">
        <v>1704</v>
      </c>
      <c r="F30" s="124">
        <v>-21.96</v>
      </c>
      <c r="G30" s="128" t="s">
        <v>1653</v>
      </c>
      <c r="H30" s="129" t="s">
        <v>1658</v>
      </c>
      <c r="I30" s="130" t="s">
        <v>1674</v>
      </c>
      <c r="J30" s="131"/>
      <c r="K30" s="89"/>
      <c r="L30" s="89"/>
      <c r="M30" s="89"/>
      <c r="N30" s="89"/>
      <c r="O30" s="89"/>
      <c r="P30" s="89"/>
      <c r="Q30" s="89"/>
      <c r="R30" s="89"/>
      <c r="S30" s="89"/>
      <c r="T30" s="89"/>
      <c r="U30" s="89"/>
      <c r="V30" s="89"/>
      <c r="W30" s="89"/>
      <c r="X30" s="89"/>
      <c r="Y30" s="89"/>
      <c r="Z30" s="89"/>
      <c r="AA30" s="89"/>
    </row>
    <row r="31" ht="14.25" customHeight="1">
      <c r="A31" s="124">
        <v>2026.0</v>
      </c>
      <c r="B31" s="124">
        <v>1.0</v>
      </c>
      <c r="C31" s="125"/>
      <c r="D31" s="126">
        <v>46048.0</v>
      </c>
      <c r="E31" s="141" t="s">
        <v>1705</v>
      </c>
      <c r="F31" s="124">
        <v>-20.81</v>
      </c>
      <c r="G31" s="128" t="s">
        <v>1653</v>
      </c>
      <c r="H31" s="129" t="s">
        <v>1658</v>
      </c>
      <c r="I31" s="130" t="s">
        <v>1674</v>
      </c>
      <c r="J31" s="131"/>
      <c r="K31" s="89"/>
      <c r="L31" s="89"/>
      <c r="M31" s="89"/>
      <c r="N31" s="89"/>
      <c r="O31" s="89"/>
      <c r="P31" s="89"/>
      <c r="Q31" s="89"/>
      <c r="R31" s="89"/>
      <c r="S31" s="89"/>
      <c r="T31" s="89"/>
      <c r="U31" s="89"/>
      <c r="V31" s="89"/>
      <c r="W31" s="89"/>
      <c r="X31" s="89"/>
      <c r="Y31" s="89"/>
      <c r="Z31" s="89"/>
      <c r="AA31" s="89"/>
    </row>
    <row r="32" ht="14.25" customHeight="1">
      <c r="A32" s="124">
        <v>2026.0</v>
      </c>
      <c r="B32" s="124">
        <v>1.0</v>
      </c>
      <c r="C32" s="125"/>
      <c r="D32" s="126">
        <v>46049.0</v>
      </c>
      <c r="E32" s="141" t="s">
        <v>1706</v>
      </c>
      <c r="F32" s="124">
        <v>-10.0</v>
      </c>
      <c r="G32" s="128" t="s">
        <v>1653</v>
      </c>
      <c r="H32" s="129" t="s">
        <v>1658</v>
      </c>
      <c r="I32" s="130" t="s">
        <v>1674</v>
      </c>
      <c r="J32" s="131"/>
      <c r="K32" s="89"/>
      <c r="L32" s="89"/>
      <c r="M32" s="89"/>
      <c r="N32" s="89"/>
      <c r="O32" s="89"/>
      <c r="P32" s="89"/>
      <c r="Q32" s="89"/>
      <c r="R32" s="89"/>
      <c r="S32" s="89"/>
      <c r="T32" s="89"/>
      <c r="U32" s="89"/>
      <c r="V32" s="89"/>
      <c r="W32" s="89"/>
      <c r="X32" s="89"/>
      <c r="Y32" s="89"/>
      <c r="Z32" s="89"/>
      <c r="AA32" s="89"/>
    </row>
    <row r="33" ht="14.25" customHeight="1">
      <c r="A33" s="124">
        <v>2026.0</v>
      </c>
      <c r="B33" s="124">
        <v>1.0</v>
      </c>
      <c r="C33" s="125"/>
      <c r="D33" s="126">
        <v>46049.0</v>
      </c>
      <c r="E33" s="141" t="s">
        <v>1706</v>
      </c>
      <c r="F33" s="124">
        <v>-100.0</v>
      </c>
      <c r="G33" s="128" t="s">
        <v>1653</v>
      </c>
      <c r="H33" s="129" t="s">
        <v>1658</v>
      </c>
      <c r="I33" s="130" t="s">
        <v>1674</v>
      </c>
      <c r="J33" s="131"/>
      <c r="K33" s="89"/>
      <c r="L33" s="89"/>
      <c r="M33" s="89"/>
      <c r="N33" s="89"/>
      <c r="O33" s="89"/>
      <c r="P33" s="89"/>
      <c r="Q33" s="89"/>
      <c r="R33" s="89"/>
      <c r="S33" s="89"/>
      <c r="T33" s="89"/>
      <c r="U33" s="89"/>
      <c r="V33" s="89"/>
      <c r="W33" s="89"/>
      <c r="X33" s="89"/>
      <c r="Y33" s="89"/>
      <c r="Z33" s="89"/>
      <c r="AA33" s="89"/>
    </row>
    <row r="34" ht="14.25" customHeight="1">
      <c r="A34" s="124">
        <v>2026.0</v>
      </c>
      <c r="B34" s="124">
        <v>1.0</v>
      </c>
      <c r="C34" s="125"/>
      <c r="D34" s="126">
        <v>46050.0</v>
      </c>
      <c r="E34" s="141" t="s">
        <v>1707</v>
      </c>
      <c r="F34" s="124">
        <v>-59.69</v>
      </c>
      <c r="G34" s="128" t="s">
        <v>1660</v>
      </c>
      <c r="H34" s="129" t="s">
        <v>1658</v>
      </c>
      <c r="I34" s="130" t="s">
        <v>1674</v>
      </c>
      <c r="J34" s="131"/>
      <c r="K34" s="89"/>
      <c r="L34" s="89"/>
      <c r="M34" s="89"/>
      <c r="N34" s="89"/>
      <c r="O34" s="89"/>
      <c r="P34" s="89"/>
      <c r="Q34" s="89"/>
      <c r="R34" s="89"/>
      <c r="S34" s="89"/>
      <c r="T34" s="89"/>
      <c r="U34" s="89"/>
      <c r="V34" s="89"/>
      <c r="W34" s="89"/>
      <c r="X34" s="89"/>
      <c r="Y34" s="89"/>
      <c r="Z34" s="89"/>
      <c r="AA34" s="89"/>
    </row>
    <row r="35" ht="14.25" customHeight="1">
      <c r="A35" s="124">
        <v>2026.0</v>
      </c>
      <c r="B35" s="124">
        <v>1.0</v>
      </c>
      <c r="C35" s="125"/>
      <c r="D35" s="126">
        <v>46050.0</v>
      </c>
      <c r="E35" s="141" t="s">
        <v>1708</v>
      </c>
      <c r="F35" s="124">
        <v>-1000.0</v>
      </c>
      <c r="G35" s="128" t="s">
        <v>1653</v>
      </c>
      <c r="H35" s="129" t="s">
        <v>1658</v>
      </c>
      <c r="I35" s="130" t="s">
        <v>1674</v>
      </c>
      <c r="J35" s="131"/>
      <c r="K35" s="89"/>
      <c r="L35" s="89"/>
      <c r="M35" s="89"/>
      <c r="N35" s="89"/>
      <c r="O35" s="89"/>
      <c r="P35" s="89"/>
      <c r="Q35" s="89"/>
      <c r="R35" s="89"/>
      <c r="S35" s="89"/>
      <c r="T35" s="89"/>
      <c r="U35" s="89"/>
      <c r="V35" s="89"/>
      <c r="W35" s="89"/>
      <c r="X35" s="89"/>
      <c r="Y35" s="89"/>
      <c r="Z35" s="89"/>
      <c r="AA35" s="89"/>
    </row>
    <row r="36" ht="14.25" customHeight="1">
      <c r="A36" s="124">
        <v>2026.0</v>
      </c>
      <c r="B36" s="124">
        <v>1.0</v>
      </c>
      <c r="C36" s="125"/>
      <c r="D36" s="126">
        <v>46051.0</v>
      </c>
      <c r="E36" s="141" t="s">
        <v>1673</v>
      </c>
      <c r="F36" s="124">
        <v>-679.0</v>
      </c>
      <c r="G36" s="128" t="s">
        <v>1660</v>
      </c>
      <c r="H36" s="129" t="s">
        <v>1662</v>
      </c>
      <c r="I36" s="130" t="s">
        <v>1674</v>
      </c>
      <c r="J36" s="131"/>
      <c r="K36" s="89"/>
      <c r="L36" s="89"/>
      <c r="M36" s="89"/>
      <c r="N36" s="89"/>
      <c r="O36" s="89"/>
      <c r="P36" s="89"/>
      <c r="Q36" s="89"/>
      <c r="R36" s="89"/>
      <c r="S36" s="89"/>
      <c r="T36" s="89"/>
      <c r="U36" s="89"/>
      <c r="V36" s="89"/>
      <c r="W36" s="89"/>
      <c r="X36" s="89"/>
      <c r="Y36" s="89"/>
      <c r="Z36" s="89"/>
      <c r="AA36" s="89"/>
    </row>
    <row r="37" ht="14.25" customHeight="1">
      <c r="A37" s="124">
        <v>2026.0</v>
      </c>
      <c r="B37" s="124">
        <v>2.0</v>
      </c>
      <c r="C37" s="125"/>
      <c r="D37" s="126">
        <v>46062.0</v>
      </c>
      <c r="E37" s="137" t="s">
        <v>1709</v>
      </c>
      <c r="F37" s="138">
        <v>-207.27</v>
      </c>
      <c r="G37" s="139" t="s">
        <v>1652</v>
      </c>
      <c r="H37" s="140" t="s">
        <v>1626</v>
      </c>
      <c r="I37" s="130" t="s">
        <v>1674</v>
      </c>
      <c r="J37" s="131"/>
      <c r="K37" s="89"/>
      <c r="L37" s="89"/>
      <c r="M37" s="89"/>
      <c r="N37" s="89"/>
      <c r="O37" s="89"/>
      <c r="P37" s="89"/>
      <c r="Q37" s="89"/>
      <c r="R37" s="89"/>
      <c r="S37" s="89"/>
      <c r="T37" s="89"/>
      <c r="U37" s="89"/>
      <c r="V37" s="89"/>
      <c r="W37" s="89"/>
      <c r="X37" s="89"/>
      <c r="Y37" s="89"/>
      <c r="Z37" s="89"/>
      <c r="AA37" s="89"/>
    </row>
    <row r="38" ht="14.25" customHeight="1">
      <c r="A38" s="124">
        <v>2026.0</v>
      </c>
      <c r="B38" s="124">
        <v>2.0</v>
      </c>
      <c r="C38" s="125"/>
      <c r="D38" s="126">
        <v>46062.0</v>
      </c>
      <c r="E38" s="137" t="s">
        <v>1710</v>
      </c>
      <c r="F38" s="138">
        <v>-467.03</v>
      </c>
      <c r="G38" s="142" t="s">
        <v>42</v>
      </c>
      <c r="H38" s="140" t="s">
        <v>1680</v>
      </c>
      <c r="I38" s="130" t="s">
        <v>1674</v>
      </c>
      <c r="J38" s="131"/>
      <c r="K38" s="89"/>
      <c r="L38" s="89"/>
      <c r="M38" s="89"/>
      <c r="N38" s="89"/>
      <c r="O38" s="89"/>
      <c r="P38" s="89"/>
      <c r="Q38" s="89"/>
      <c r="R38" s="89"/>
      <c r="S38" s="89"/>
      <c r="T38" s="89"/>
      <c r="U38" s="89"/>
      <c r="V38" s="89"/>
      <c r="W38" s="89"/>
      <c r="X38" s="89"/>
      <c r="Y38" s="89"/>
      <c r="Z38" s="89"/>
      <c r="AA38" s="89"/>
    </row>
    <row r="39" ht="14.25" customHeight="1">
      <c r="A39" s="124">
        <v>2026.0</v>
      </c>
      <c r="B39" s="124">
        <v>2.0</v>
      </c>
      <c r="C39" s="125"/>
      <c r="D39" s="126">
        <v>46063.0</v>
      </c>
      <c r="E39" s="137" t="s">
        <v>1711</v>
      </c>
      <c r="F39" s="138">
        <v>-400.0</v>
      </c>
      <c r="G39" s="128" t="s">
        <v>1653</v>
      </c>
      <c r="H39" s="140" t="s">
        <v>1656</v>
      </c>
      <c r="I39" s="130" t="s">
        <v>1674</v>
      </c>
      <c r="J39" s="131"/>
      <c r="K39" s="89"/>
      <c r="L39" s="89"/>
      <c r="M39" s="89"/>
      <c r="N39" s="89"/>
      <c r="O39" s="89"/>
      <c r="P39" s="89"/>
      <c r="Q39" s="89"/>
      <c r="R39" s="89"/>
      <c r="S39" s="89"/>
      <c r="T39" s="89"/>
      <c r="U39" s="89"/>
      <c r="V39" s="89"/>
      <c r="W39" s="89"/>
      <c r="X39" s="89"/>
      <c r="Y39" s="89"/>
      <c r="Z39" s="89"/>
      <c r="AA39" s="89"/>
    </row>
    <row r="40" ht="14.25" customHeight="1">
      <c r="A40" s="143">
        <v>2026.0</v>
      </c>
      <c r="B40" s="143">
        <v>2.0</v>
      </c>
      <c r="C40" s="125"/>
      <c r="D40" s="126">
        <v>46063.0</v>
      </c>
      <c r="E40" s="144" t="s">
        <v>1712</v>
      </c>
      <c r="F40" s="145">
        <v>-200.0</v>
      </c>
      <c r="G40" s="139" t="s">
        <v>1660</v>
      </c>
      <c r="H40" s="146" t="s">
        <v>1658</v>
      </c>
      <c r="I40" s="130" t="s">
        <v>1674</v>
      </c>
      <c r="J40" s="131"/>
      <c r="K40" s="89"/>
      <c r="L40" s="89"/>
      <c r="M40" s="89"/>
      <c r="N40" s="89"/>
      <c r="O40" s="89"/>
      <c r="P40" s="89"/>
      <c r="Q40" s="89"/>
      <c r="R40" s="89"/>
      <c r="S40" s="89"/>
      <c r="T40" s="89"/>
      <c r="U40" s="89"/>
      <c r="V40" s="89"/>
      <c r="W40" s="89"/>
      <c r="X40" s="89"/>
      <c r="Y40" s="89"/>
      <c r="Z40" s="89"/>
      <c r="AA40" s="89"/>
    </row>
    <row r="41" ht="14.25" customHeight="1">
      <c r="A41" s="143">
        <v>2026.0</v>
      </c>
      <c r="B41" s="143">
        <v>2.0</v>
      </c>
      <c r="C41" s="125"/>
      <c r="D41" s="126">
        <v>46063.0</v>
      </c>
      <c r="E41" s="137" t="s">
        <v>1713</v>
      </c>
      <c r="F41" s="145">
        <v>-28.0</v>
      </c>
      <c r="G41" s="147" t="s">
        <v>1652</v>
      </c>
      <c r="H41" s="140" t="s">
        <v>1626</v>
      </c>
      <c r="I41" s="130" t="s">
        <v>1674</v>
      </c>
      <c r="J41" s="131"/>
      <c r="K41" s="89"/>
      <c r="L41" s="89"/>
      <c r="M41" s="89"/>
      <c r="N41" s="89"/>
      <c r="O41" s="89"/>
      <c r="P41" s="89"/>
      <c r="Q41" s="89"/>
      <c r="R41" s="89"/>
      <c r="S41" s="89"/>
      <c r="T41" s="89"/>
      <c r="U41" s="89"/>
      <c r="V41" s="89"/>
      <c r="W41" s="89"/>
      <c r="X41" s="89"/>
      <c r="Y41" s="89"/>
      <c r="Z41" s="89"/>
      <c r="AA41" s="89"/>
    </row>
    <row r="42" ht="14.25" customHeight="1">
      <c r="A42" s="143">
        <v>2026.0</v>
      </c>
      <c r="B42" s="143">
        <v>2.0</v>
      </c>
      <c r="C42" s="125"/>
      <c r="D42" s="126">
        <v>46064.0</v>
      </c>
      <c r="E42" s="144" t="s">
        <v>1714</v>
      </c>
      <c r="F42" s="145">
        <v>-20.05</v>
      </c>
      <c r="G42" s="139" t="s">
        <v>1653</v>
      </c>
      <c r="H42" s="129" t="s">
        <v>1658</v>
      </c>
      <c r="I42" s="130" t="s">
        <v>1674</v>
      </c>
      <c r="J42" s="131"/>
      <c r="K42" s="89"/>
      <c r="L42" s="89"/>
      <c r="M42" s="89"/>
      <c r="N42" s="89"/>
      <c r="O42" s="89"/>
      <c r="P42" s="89"/>
      <c r="Q42" s="89"/>
      <c r="R42" s="89"/>
      <c r="S42" s="89"/>
      <c r="T42" s="89"/>
      <c r="U42" s="89"/>
      <c r="V42" s="89"/>
      <c r="W42" s="89"/>
      <c r="X42" s="89"/>
      <c r="Y42" s="89"/>
      <c r="Z42" s="89"/>
      <c r="AA42" s="89"/>
    </row>
    <row r="43" ht="14.25" customHeight="1">
      <c r="A43" s="143">
        <v>2026.0</v>
      </c>
      <c r="B43" s="143">
        <v>2.0</v>
      </c>
      <c r="C43" s="125"/>
      <c r="D43" s="126">
        <v>46065.0</v>
      </c>
      <c r="E43" s="144" t="s">
        <v>1689</v>
      </c>
      <c r="F43" s="145">
        <v>-1.99</v>
      </c>
      <c r="G43" s="139" t="s">
        <v>1653</v>
      </c>
      <c r="H43" s="129" t="s">
        <v>1658</v>
      </c>
      <c r="I43" s="130" t="s">
        <v>1674</v>
      </c>
      <c r="J43" s="131"/>
      <c r="K43" s="89"/>
      <c r="L43" s="89"/>
      <c r="M43" s="89"/>
      <c r="N43" s="89"/>
      <c r="O43" s="89"/>
      <c r="P43" s="89"/>
      <c r="Q43" s="89"/>
      <c r="R43" s="89"/>
      <c r="S43" s="89"/>
      <c r="T43" s="89"/>
      <c r="U43" s="89"/>
      <c r="V43" s="89"/>
      <c r="W43" s="89"/>
      <c r="X43" s="89"/>
      <c r="Y43" s="89"/>
      <c r="Z43" s="89"/>
      <c r="AA43" s="89"/>
    </row>
    <row r="44" ht="14.25" customHeight="1">
      <c r="A44" s="143">
        <v>2026.0</v>
      </c>
      <c r="B44" s="143">
        <v>2.0</v>
      </c>
      <c r="C44" s="125"/>
      <c r="D44" s="126">
        <v>46065.0</v>
      </c>
      <c r="E44" s="144" t="s">
        <v>1715</v>
      </c>
      <c r="F44" s="145">
        <v>-35.6</v>
      </c>
      <c r="G44" s="139" t="s">
        <v>1653</v>
      </c>
      <c r="H44" s="129" t="s">
        <v>1658</v>
      </c>
      <c r="I44" s="130" t="s">
        <v>1674</v>
      </c>
      <c r="J44" s="131"/>
      <c r="K44" s="89"/>
      <c r="L44" s="89"/>
      <c r="M44" s="89"/>
      <c r="N44" s="89"/>
      <c r="O44" s="89"/>
      <c r="P44" s="89"/>
      <c r="Q44" s="89"/>
      <c r="R44" s="89"/>
      <c r="S44" s="89"/>
      <c r="T44" s="89"/>
      <c r="U44" s="89"/>
      <c r="V44" s="89"/>
      <c r="W44" s="89"/>
      <c r="X44" s="89"/>
      <c r="Y44" s="89"/>
      <c r="Z44" s="89"/>
      <c r="AA44" s="89"/>
    </row>
    <row r="45" ht="14.25" customHeight="1">
      <c r="A45" s="143">
        <v>2026.0</v>
      </c>
      <c r="B45" s="143">
        <v>2.0</v>
      </c>
      <c r="C45" s="125"/>
      <c r="D45" s="126">
        <v>46065.0</v>
      </c>
      <c r="E45" s="144" t="s">
        <v>1716</v>
      </c>
      <c r="F45" s="148">
        <v>-11.6</v>
      </c>
      <c r="G45" s="139" t="s">
        <v>1653</v>
      </c>
      <c r="H45" s="129" t="s">
        <v>1658</v>
      </c>
      <c r="I45" s="130" t="s">
        <v>1674</v>
      </c>
      <c r="J45" s="131"/>
      <c r="K45" s="89"/>
      <c r="L45" s="89"/>
      <c r="M45" s="89"/>
      <c r="N45" s="89"/>
      <c r="O45" s="89"/>
      <c r="P45" s="89"/>
      <c r="Q45" s="89"/>
      <c r="R45" s="89"/>
      <c r="S45" s="89"/>
      <c r="T45" s="89"/>
      <c r="U45" s="89"/>
      <c r="V45" s="89"/>
      <c r="W45" s="89"/>
      <c r="X45" s="89"/>
      <c r="Y45" s="89"/>
      <c r="Z45" s="89"/>
      <c r="AA45" s="89"/>
    </row>
    <row r="46" ht="14.25" customHeight="1">
      <c r="A46" s="143">
        <v>2026.0</v>
      </c>
      <c r="B46" s="143">
        <v>2.0</v>
      </c>
      <c r="C46" s="125"/>
      <c r="D46" s="126">
        <v>46065.0</v>
      </c>
      <c r="E46" s="144" t="s">
        <v>1717</v>
      </c>
      <c r="F46" s="145">
        <v>-40.5</v>
      </c>
      <c r="G46" s="139" t="s">
        <v>1687</v>
      </c>
      <c r="H46" s="140"/>
      <c r="I46" s="130" t="s">
        <v>1674</v>
      </c>
      <c r="J46" s="131"/>
      <c r="K46" s="89"/>
      <c r="L46" s="89"/>
      <c r="M46" s="89"/>
      <c r="N46" s="89"/>
      <c r="O46" s="89"/>
      <c r="P46" s="89"/>
      <c r="Q46" s="89"/>
      <c r="R46" s="89"/>
      <c r="S46" s="89"/>
      <c r="T46" s="89"/>
      <c r="U46" s="89"/>
      <c r="V46" s="89"/>
      <c r="W46" s="89"/>
      <c r="X46" s="89"/>
      <c r="Y46" s="89"/>
      <c r="Z46" s="89"/>
      <c r="AA46" s="89"/>
    </row>
    <row r="47" ht="14.25" customHeight="1">
      <c r="A47" s="143">
        <v>2026.0</v>
      </c>
      <c r="B47" s="143">
        <v>2.0</v>
      </c>
      <c r="C47" s="125"/>
      <c r="D47" s="126">
        <v>46066.0</v>
      </c>
      <c r="E47" s="144" t="s">
        <v>1691</v>
      </c>
      <c r="F47" s="145">
        <v>-20.6</v>
      </c>
      <c r="G47" s="139" t="s">
        <v>1653</v>
      </c>
      <c r="H47" s="129" t="s">
        <v>1658</v>
      </c>
      <c r="I47" s="130" t="s">
        <v>1674</v>
      </c>
      <c r="J47" s="131"/>
      <c r="K47" s="89"/>
      <c r="L47" s="89"/>
      <c r="M47" s="89"/>
      <c r="N47" s="89"/>
      <c r="O47" s="89"/>
      <c r="P47" s="89"/>
      <c r="Q47" s="89"/>
      <c r="R47" s="89"/>
      <c r="S47" s="89"/>
      <c r="T47" s="89"/>
      <c r="U47" s="89"/>
      <c r="V47" s="89"/>
      <c r="W47" s="89"/>
      <c r="X47" s="89"/>
      <c r="Y47" s="89"/>
      <c r="Z47" s="89"/>
      <c r="AA47" s="89"/>
    </row>
    <row r="48" ht="14.25" customHeight="1">
      <c r="A48" s="143">
        <v>2026.0</v>
      </c>
      <c r="B48" s="143">
        <v>2.0</v>
      </c>
      <c r="C48" s="125"/>
      <c r="D48" s="149">
        <v>46069.0</v>
      </c>
      <c r="E48" s="144" t="s">
        <v>1718</v>
      </c>
      <c r="F48" s="145">
        <v>-22.0</v>
      </c>
      <c r="G48" s="139" t="s">
        <v>1653</v>
      </c>
      <c r="H48" s="129" t="s">
        <v>1658</v>
      </c>
      <c r="I48" s="130" t="s">
        <v>1674</v>
      </c>
      <c r="J48" s="131"/>
      <c r="K48" s="89"/>
      <c r="L48" s="89"/>
      <c r="M48" s="89"/>
      <c r="N48" s="89"/>
      <c r="O48" s="89"/>
      <c r="P48" s="89"/>
      <c r="Q48" s="89"/>
      <c r="R48" s="89"/>
      <c r="S48" s="89"/>
      <c r="T48" s="89"/>
      <c r="U48" s="89"/>
      <c r="V48" s="89"/>
      <c r="W48" s="89"/>
      <c r="X48" s="89"/>
      <c r="Y48" s="89"/>
      <c r="Z48" s="89"/>
      <c r="AA48" s="89"/>
    </row>
    <row r="49" ht="14.25" customHeight="1">
      <c r="A49" s="143">
        <v>2026.0</v>
      </c>
      <c r="B49" s="143">
        <v>2.0</v>
      </c>
      <c r="C49" s="125"/>
      <c r="D49" s="149">
        <v>46070.0</v>
      </c>
      <c r="E49" s="144" t="s">
        <v>1677</v>
      </c>
      <c r="F49" s="145">
        <v>-9.99</v>
      </c>
      <c r="G49" s="139" t="s">
        <v>1653</v>
      </c>
      <c r="H49" s="129" t="s">
        <v>1658</v>
      </c>
      <c r="I49" s="130" t="s">
        <v>1674</v>
      </c>
      <c r="J49" s="131"/>
      <c r="K49" s="89"/>
      <c r="L49" s="89"/>
      <c r="M49" s="89"/>
      <c r="N49" s="89"/>
      <c r="O49" s="89"/>
      <c r="P49" s="89"/>
      <c r="Q49" s="89"/>
      <c r="R49" s="89"/>
      <c r="S49" s="89"/>
      <c r="T49" s="89"/>
      <c r="U49" s="89"/>
      <c r="V49" s="89"/>
      <c r="W49" s="89"/>
      <c r="X49" s="89"/>
      <c r="Y49" s="89"/>
      <c r="Z49" s="89"/>
      <c r="AA49" s="89"/>
    </row>
    <row r="50" ht="14.25" customHeight="1">
      <c r="A50" s="143">
        <v>2026.0</v>
      </c>
      <c r="B50" s="143">
        <v>2.0</v>
      </c>
      <c r="C50" s="125"/>
      <c r="D50" s="149">
        <v>46071.0</v>
      </c>
      <c r="E50" s="144" t="s">
        <v>1691</v>
      </c>
      <c r="F50" s="145">
        <v>-300.0</v>
      </c>
      <c r="G50" s="139" t="s">
        <v>1660</v>
      </c>
      <c r="H50" s="129" t="s">
        <v>1658</v>
      </c>
      <c r="I50" s="130" t="s">
        <v>1674</v>
      </c>
      <c r="J50" s="131"/>
      <c r="K50" s="89"/>
      <c r="L50" s="89"/>
      <c r="M50" s="89"/>
      <c r="N50" s="89"/>
      <c r="O50" s="89"/>
      <c r="P50" s="89"/>
      <c r="Q50" s="89"/>
      <c r="R50" s="89"/>
      <c r="S50" s="89"/>
      <c r="T50" s="89"/>
      <c r="U50" s="89"/>
      <c r="V50" s="89"/>
      <c r="W50" s="89"/>
      <c r="X50" s="89"/>
      <c r="Y50" s="89"/>
      <c r="Z50" s="89"/>
      <c r="AA50" s="89"/>
    </row>
    <row r="51" ht="14.25" customHeight="1">
      <c r="A51" s="143">
        <v>2026.0</v>
      </c>
      <c r="B51" s="143">
        <v>2.0</v>
      </c>
      <c r="C51" s="125"/>
      <c r="D51" s="149">
        <v>46072.0</v>
      </c>
      <c r="E51" s="144" t="s">
        <v>1719</v>
      </c>
      <c r="F51" s="145">
        <v>-79.96</v>
      </c>
      <c r="G51" s="147" t="s">
        <v>1653</v>
      </c>
      <c r="H51" s="129" t="s">
        <v>1658</v>
      </c>
      <c r="I51" s="130" t="s">
        <v>1674</v>
      </c>
      <c r="J51" s="131"/>
      <c r="K51" s="89"/>
      <c r="L51" s="89"/>
      <c r="M51" s="89"/>
      <c r="N51" s="89"/>
      <c r="O51" s="89"/>
      <c r="P51" s="89"/>
      <c r="Q51" s="89"/>
      <c r="R51" s="89"/>
      <c r="S51" s="89"/>
      <c r="T51" s="89"/>
      <c r="U51" s="89"/>
      <c r="V51" s="89"/>
      <c r="W51" s="89"/>
      <c r="X51" s="89"/>
      <c r="Y51" s="89"/>
      <c r="Z51" s="89"/>
      <c r="AA51" s="89"/>
    </row>
    <row r="52" ht="14.25" customHeight="1">
      <c r="A52" s="143">
        <v>2026.0</v>
      </c>
      <c r="B52" s="143">
        <v>2.0</v>
      </c>
      <c r="C52" s="125"/>
      <c r="D52" s="149">
        <v>46073.0</v>
      </c>
      <c r="E52" s="144" t="s">
        <v>1720</v>
      </c>
      <c r="F52" s="145">
        <v>-21.7</v>
      </c>
      <c r="G52" s="147" t="s">
        <v>1660</v>
      </c>
      <c r="H52" s="129" t="s">
        <v>1658</v>
      </c>
      <c r="I52" s="130" t="s">
        <v>1674</v>
      </c>
      <c r="J52" s="131"/>
      <c r="K52" s="89"/>
      <c r="L52" s="89"/>
      <c r="M52" s="89"/>
      <c r="N52" s="89"/>
      <c r="O52" s="89"/>
      <c r="P52" s="89"/>
      <c r="Q52" s="89"/>
      <c r="R52" s="89"/>
      <c r="S52" s="89"/>
      <c r="T52" s="89"/>
      <c r="U52" s="89"/>
      <c r="V52" s="89"/>
      <c r="W52" s="89"/>
      <c r="X52" s="89"/>
      <c r="Y52" s="89"/>
      <c r="Z52" s="89"/>
      <c r="AA52" s="89"/>
    </row>
    <row r="53" ht="14.25" customHeight="1">
      <c r="A53" s="143">
        <v>2026.0</v>
      </c>
      <c r="B53" s="143">
        <v>2.0</v>
      </c>
      <c r="C53" s="125"/>
      <c r="D53" s="149">
        <v>46073.0</v>
      </c>
      <c r="E53" s="144" t="s">
        <v>1717</v>
      </c>
      <c r="F53" s="145">
        <v>-70.42</v>
      </c>
      <c r="G53" s="147" t="s">
        <v>1660</v>
      </c>
      <c r="H53" s="129" t="s">
        <v>1658</v>
      </c>
      <c r="I53" s="130" t="s">
        <v>1674</v>
      </c>
      <c r="J53" s="131"/>
      <c r="K53" s="89"/>
      <c r="L53" s="89"/>
      <c r="M53" s="89"/>
      <c r="N53" s="89"/>
      <c r="O53" s="89"/>
      <c r="P53" s="89"/>
      <c r="Q53" s="89"/>
      <c r="R53" s="89"/>
      <c r="S53" s="89"/>
      <c r="T53" s="89"/>
      <c r="U53" s="89"/>
      <c r="V53" s="89"/>
      <c r="W53" s="89"/>
      <c r="X53" s="89"/>
      <c r="Y53" s="89"/>
      <c r="Z53" s="89"/>
      <c r="AA53" s="89"/>
    </row>
    <row r="54" ht="14.25" customHeight="1">
      <c r="A54" s="143">
        <v>2026.0</v>
      </c>
      <c r="B54" s="143">
        <v>2.0</v>
      </c>
      <c r="C54" s="125"/>
      <c r="D54" s="149">
        <v>46076.0</v>
      </c>
      <c r="E54" s="144" t="s">
        <v>1721</v>
      </c>
      <c r="F54" s="145">
        <v>-4.9</v>
      </c>
      <c r="G54" s="147" t="s">
        <v>1660</v>
      </c>
      <c r="H54" s="129" t="s">
        <v>1658</v>
      </c>
      <c r="I54" s="130" t="s">
        <v>1674</v>
      </c>
      <c r="J54" s="131"/>
      <c r="K54" s="89"/>
      <c r="L54" s="89"/>
      <c r="M54" s="89"/>
      <c r="N54" s="89"/>
      <c r="O54" s="89"/>
      <c r="P54" s="89"/>
      <c r="Q54" s="89"/>
      <c r="R54" s="89"/>
      <c r="S54" s="89"/>
      <c r="T54" s="89"/>
      <c r="U54" s="89"/>
      <c r="V54" s="89"/>
      <c r="W54" s="89"/>
      <c r="X54" s="89"/>
      <c r="Y54" s="89"/>
      <c r="Z54" s="89"/>
      <c r="AA54" s="89"/>
    </row>
    <row r="55" ht="14.25" customHeight="1">
      <c r="A55" s="143">
        <v>2026.0</v>
      </c>
      <c r="B55" s="143">
        <v>2.0</v>
      </c>
      <c r="C55" s="125"/>
      <c r="D55" s="149">
        <v>46076.0</v>
      </c>
      <c r="E55" s="144" t="s">
        <v>1691</v>
      </c>
      <c r="F55" s="145">
        <v>-50.0</v>
      </c>
      <c r="G55" s="147" t="s">
        <v>1653</v>
      </c>
      <c r="H55" s="129" t="s">
        <v>1658</v>
      </c>
      <c r="I55" s="130" t="s">
        <v>1674</v>
      </c>
      <c r="J55" s="131"/>
      <c r="K55" s="89"/>
      <c r="L55" s="89"/>
      <c r="M55" s="89"/>
      <c r="N55" s="89"/>
      <c r="O55" s="89"/>
      <c r="P55" s="89"/>
      <c r="Q55" s="89"/>
      <c r="R55" s="89"/>
      <c r="S55" s="89"/>
      <c r="T55" s="89"/>
      <c r="U55" s="89"/>
      <c r="V55" s="89"/>
      <c r="W55" s="89"/>
      <c r="X55" s="89"/>
      <c r="Y55" s="89"/>
      <c r="Z55" s="89"/>
      <c r="AA55" s="89"/>
    </row>
    <row r="56" ht="14.25" customHeight="1">
      <c r="A56" s="143">
        <v>2026.0</v>
      </c>
      <c r="B56" s="143">
        <v>2.0</v>
      </c>
      <c r="C56" s="125"/>
      <c r="D56" s="149">
        <v>46076.0</v>
      </c>
      <c r="E56" s="144" t="s">
        <v>1722</v>
      </c>
      <c r="F56" s="145">
        <v>-7.72</v>
      </c>
      <c r="G56" s="147" t="s">
        <v>1660</v>
      </c>
      <c r="H56" s="129" t="s">
        <v>1658</v>
      </c>
      <c r="I56" s="130" t="s">
        <v>1674</v>
      </c>
      <c r="J56" s="131"/>
      <c r="K56" s="89"/>
      <c r="L56" s="89"/>
      <c r="M56" s="89"/>
      <c r="N56" s="89"/>
      <c r="O56" s="89"/>
      <c r="P56" s="89"/>
      <c r="Q56" s="89"/>
      <c r="R56" s="89"/>
      <c r="S56" s="89"/>
      <c r="T56" s="89"/>
      <c r="U56" s="89"/>
      <c r="V56" s="89"/>
      <c r="W56" s="89"/>
      <c r="X56" s="89"/>
      <c r="Y56" s="89"/>
      <c r="Z56" s="89"/>
      <c r="AA56" s="89"/>
    </row>
    <row r="57" ht="14.25" customHeight="1">
      <c r="A57" s="143">
        <v>2026.0</v>
      </c>
      <c r="B57" s="143">
        <v>2.0</v>
      </c>
      <c r="C57" s="125"/>
      <c r="D57" s="149">
        <v>46076.0</v>
      </c>
      <c r="E57" s="144" t="s">
        <v>1720</v>
      </c>
      <c r="F57" s="145">
        <v>-1.9</v>
      </c>
      <c r="G57" s="147" t="s">
        <v>1660</v>
      </c>
      <c r="H57" s="129" t="s">
        <v>1658</v>
      </c>
      <c r="I57" s="130" t="s">
        <v>1674</v>
      </c>
      <c r="J57" s="131"/>
      <c r="K57" s="89"/>
      <c r="L57" s="89"/>
      <c r="M57" s="89"/>
      <c r="N57" s="89"/>
      <c r="O57" s="89"/>
      <c r="P57" s="89"/>
      <c r="Q57" s="89"/>
      <c r="R57" s="89"/>
      <c r="S57" s="89"/>
      <c r="T57" s="89"/>
      <c r="U57" s="89"/>
      <c r="V57" s="89"/>
      <c r="W57" s="89"/>
      <c r="X57" s="89"/>
      <c r="Y57" s="89"/>
      <c r="Z57" s="89"/>
      <c r="AA57" s="89"/>
    </row>
    <row r="58" ht="14.25" customHeight="1">
      <c r="A58" s="143">
        <v>2026.0</v>
      </c>
      <c r="B58" s="143">
        <v>2.0</v>
      </c>
      <c r="C58" s="125"/>
      <c r="D58" s="149">
        <v>46076.0</v>
      </c>
      <c r="E58" s="144" t="s">
        <v>1723</v>
      </c>
      <c r="F58" s="145">
        <v>-10.0</v>
      </c>
      <c r="G58" s="147" t="s">
        <v>1660</v>
      </c>
      <c r="H58" s="129" t="s">
        <v>1658</v>
      </c>
      <c r="I58" s="130" t="s">
        <v>1674</v>
      </c>
      <c r="J58" s="131"/>
      <c r="K58" s="89"/>
      <c r="L58" s="89"/>
      <c r="M58" s="89"/>
      <c r="N58" s="89"/>
      <c r="O58" s="89"/>
      <c r="P58" s="89"/>
      <c r="Q58" s="89"/>
      <c r="R58" s="89"/>
      <c r="S58" s="89"/>
      <c r="T58" s="89"/>
      <c r="U58" s="89"/>
      <c r="V58" s="89"/>
      <c r="W58" s="89"/>
      <c r="X58" s="89"/>
      <c r="Y58" s="89"/>
      <c r="Z58" s="89"/>
      <c r="AA58" s="89"/>
    </row>
    <row r="59" ht="14.25" customHeight="1">
      <c r="A59" s="143">
        <v>2026.0</v>
      </c>
      <c r="B59" s="143">
        <v>2.0</v>
      </c>
      <c r="C59" s="125"/>
      <c r="D59" s="149">
        <v>46076.0</v>
      </c>
      <c r="E59" s="144" t="s">
        <v>1691</v>
      </c>
      <c r="F59" s="145">
        <v>-20.0</v>
      </c>
      <c r="G59" s="147" t="s">
        <v>1660</v>
      </c>
      <c r="H59" s="129" t="s">
        <v>1658</v>
      </c>
      <c r="I59" s="130" t="s">
        <v>1674</v>
      </c>
      <c r="J59" s="131"/>
      <c r="K59" s="89"/>
      <c r="L59" s="89"/>
      <c r="M59" s="89"/>
      <c r="N59" s="89"/>
      <c r="O59" s="89"/>
      <c r="P59" s="89"/>
      <c r="Q59" s="89"/>
      <c r="R59" s="89"/>
      <c r="S59" s="89"/>
      <c r="T59" s="89"/>
      <c r="U59" s="89"/>
      <c r="V59" s="89"/>
      <c r="W59" s="89"/>
      <c r="X59" s="89"/>
      <c r="Y59" s="89"/>
      <c r="Z59" s="89"/>
      <c r="AA59" s="89"/>
    </row>
    <row r="60" ht="14.25" customHeight="1">
      <c r="A60" s="143">
        <v>2026.0</v>
      </c>
      <c r="B60" s="143">
        <v>2.0</v>
      </c>
      <c r="C60" s="125"/>
      <c r="D60" s="149">
        <v>46077.0</v>
      </c>
      <c r="E60" s="144" t="s">
        <v>1724</v>
      </c>
      <c r="F60" s="145">
        <v>-2.7</v>
      </c>
      <c r="G60" s="147" t="s">
        <v>1660</v>
      </c>
      <c r="H60" s="129" t="s">
        <v>1658</v>
      </c>
      <c r="I60" s="130" t="s">
        <v>1674</v>
      </c>
      <c r="J60" s="131"/>
      <c r="K60" s="89"/>
      <c r="L60" s="89"/>
      <c r="M60" s="89"/>
      <c r="N60" s="89"/>
      <c r="O60" s="89"/>
      <c r="P60" s="89"/>
      <c r="Q60" s="89"/>
      <c r="R60" s="89"/>
      <c r="S60" s="89"/>
      <c r="T60" s="89"/>
      <c r="U60" s="89"/>
      <c r="V60" s="89"/>
      <c r="W60" s="89"/>
      <c r="X60" s="89"/>
      <c r="Y60" s="89"/>
      <c r="Z60" s="89"/>
      <c r="AA60" s="89"/>
    </row>
    <row r="61" ht="14.25" customHeight="1">
      <c r="A61" s="143">
        <v>2026.0</v>
      </c>
      <c r="B61" s="143">
        <v>2.0</v>
      </c>
      <c r="C61" s="125"/>
      <c r="D61" s="149">
        <v>46077.0</v>
      </c>
      <c r="E61" s="144" t="s">
        <v>1725</v>
      </c>
      <c r="F61" s="145">
        <v>-120.76</v>
      </c>
      <c r="G61" s="147" t="s">
        <v>1652</v>
      </c>
      <c r="H61" s="140" t="s">
        <v>1626</v>
      </c>
      <c r="I61" s="130" t="s">
        <v>1674</v>
      </c>
      <c r="J61" s="131"/>
      <c r="K61" s="89"/>
      <c r="L61" s="89"/>
      <c r="M61" s="89"/>
      <c r="N61" s="89"/>
      <c r="O61" s="89"/>
      <c r="P61" s="89"/>
      <c r="Q61" s="89"/>
      <c r="R61" s="89"/>
      <c r="S61" s="89"/>
      <c r="T61" s="89"/>
      <c r="U61" s="89"/>
      <c r="V61" s="89"/>
      <c r="W61" s="89"/>
      <c r="X61" s="89"/>
      <c r="Y61" s="89"/>
      <c r="Z61" s="89"/>
      <c r="AA61" s="89"/>
    </row>
    <row r="62" ht="14.25" customHeight="1">
      <c r="A62" s="143">
        <v>2026.0</v>
      </c>
      <c r="B62" s="143">
        <v>2.0</v>
      </c>
      <c r="C62" s="125"/>
      <c r="D62" s="149">
        <v>46077.0</v>
      </c>
      <c r="E62" s="144" t="s">
        <v>1726</v>
      </c>
      <c r="F62" s="145">
        <v>-140.0</v>
      </c>
      <c r="G62" s="147" t="s">
        <v>1653</v>
      </c>
      <c r="H62" s="129" t="s">
        <v>1658</v>
      </c>
      <c r="I62" s="130" t="s">
        <v>1674</v>
      </c>
      <c r="J62" s="150" t="s">
        <v>1727</v>
      </c>
      <c r="K62" s="89"/>
      <c r="L62" s="89"/>
      <c r="M62" s="89"/>
      <c r="N62" s="89"/>
      <c r="O62" s="89"/>
      <c r="P62" s="89"/>
      <c r="Q62" s="89"/>
      <c r="R62" s="89"/>
      <c r="S62" s="89"/>
      <c r="T62" s="89"/>
      <c r="U62" s="89"/>
      <c r="V62" s="89"/>
      <c r="W62" s="89"/>
      <c r="X62" s="89"/>
      <c r="Y62" s="89"/>
      <c r="Z62" s="89"/>
      <c r="AA62" s="89"/>
    </row>
    <row r="63" ht="14.25" customHeight="1">
      <c r="A63" s="143">
        <v>2026.0</v>
      </c>
      <c r="B63" s="143">
        <v>2.0</v>
      </c>
      <c r="C63" s="125"/>
      <c r="D63" s="149">
        <v>46078.0</v>
      </c>
      <c r="E63" s="144" t="s">
        <v>1728</v>
      </c>
      <c r="F63" s="145">
        <v>-8.2</v>
      </c>
      <c r="G63" s="147" t="s">
        <v>1653</v>
      </c>
      <c r="H63" s="129" t="s">
        <v>1658</v>
      </c>
      <c r="I63" s="130" t="s">
        <v>1674</v>
      </c>
      <c r="J63" s="131"/>
      <c r="K63" s="89"/>
      <c r="L63" s="89"/>
      <c r="M63" s="89"/>
      <c r="N63" s="89"/>
      <c r="O63" s="89"/>
      <c r="P63" s="89"/>
      <c r="Q63" s="89"/>
      <c r="R63" s="89"/>
      <c r="S63" s="89"/>
      <c r="T63" s="89"/>
      <c r="U63" s="89"/>
      <c r="V63" s="89"/>
      <c r="W63" s="89"/>
      <c r="X63" s="89"/>
      <c r="Y63" s="89"/>
      <c r="Z63" s="89"/>
      <c r="AA63" s="89"/>
    </row>
    <row r="64" ht="14.25" customHeight="1">
      <c r="A64" s="143">
        <v>2026.0</v>
      </c>
      <c r="B64" s="143">
        <v>2.0</v>
      </c>
      <c r="C64" s="125"/>
      <c r="D64" s="149">
        <v>46079.0</v>
      </c>
      <c r="E64" s="144" t="s">
        <v>1705</v>
      </c>
      <c r="F64" s="145">
        <v>-20.72</v>
      </c>
      <c r="G64" s="147" t="s">
        <v>1653</v>
      </c>
      <c r="H64" s="129" t="s">
        <v>1658</v>
      </c>
      <c r="I64" s="130" t="s">
        <v>1674</v>
      </c>
      <c r="J64" s="131"/>
      <c r="K64" s="89"/>
      <c r="L64" s="89"/>
      <c r="M64" s="89"/>
      <c r="N64" s="89"/>
      <c r="O64" s="89"/>
      <c r="P64" s="89"/>
      <c r="Q64" s="89"/>
      <c r="R64" s="89"/>
      <c r="S64" s="89"/>
      <c r="T64" s="89"/>
      <c r="U64" s="89"/>
      <c r="V64" s="89"/>
      <c r="W64" s="89"/>
      <c r="X64" s="89"/>
      <c r="Y64" s="89"/>
      <c r="Z64" s="89"/>
      <c r="AA64" s="89"/>
    </row>
    <row r="65" ht="14.25" customHeight="1">
      <c r="A65" s="143">
        <v>2026.0</v>
      </c>
      <c r="B65" s="151">
        <v>2.0</v>
      </c>
      <c r="C65" s="125"/>
      <c r="D65" s="149">
        <v>46079.0</v>
      </c>
      <c r="E65" s="144" t="s">
        <v>1729</v>
      </c>
      <c r="F65" s="145">
        <v>-270.0</v>
      </c>
      <c r="G65" s="147" t="s">
        <v>1649</v>
      </c>
      <c r="H65" s="140" t="s">
        <v>1730</v>
      </c>
      <c r="I65" s="130" t="s">
        <v>1731</v>
      </c>
      <c r="J65" s="131"/>
      <c r="K65" s="89"/>
      <c r="L65" s="89"/>
      <c r="M65" s="89"/>
      <c r="N65" s="89"/>
      <c r="O65" s="89"/>
      <c r="P65" s="89"/>
      <c r="Q65" s="89"/>
      <c r="R65" s="89"/>
      <c r="S65" s="89"/>
      <c r="T65" s="89"/>
      <c r="U65" s="89"/>
      <c r="V65" s="89"/>
      <c r="W65" s="89"/>
      <c r="X65" s="89"/>
      <c r="Y65" s="89"/>
      <c r="Z65" s="89"/>
      <c r="AA65" s="89"/>
    </row>
    <row r="66" ht="14.25" customHeight="1">
      <c r="A66" s="143">
        <v>2026.0</v>
      </c>
      <c r="B66" s="143">
        <v>2.0</v>
      </c>
      <c r="C66" s="125"/>
      <c r="D66" s="149">
        <v>46079.0</v>
      </c>
      <c r="E66" s="144" t="s">
        <v>1732</v>
      </c>
      <c r="F66" s="145">
        <v>-7.5</v>
      </c>
      <c r="G66" s="147" t="s">
        <v>1653</v>
      </c>
      <c r="H66" s="140" t="s">
        <v>1658</v>
      </c>
      <c r="I66" s="130" t="s">
        <v>1674</v>
      </c>
      <c r="J66" s="131"/>
      <c r="K66" s="89"/>
      <c r="L66" s="89"/>
      <c r="M66" s="89"/>
      <c r="N66" s="89"/>
      <c r="O66" s="89"/>
      <c r="P66" s="89"/>
      <c r="Q66" s="89"/>
      <c r="R66" s="89"/>
      <c r="S66" s="89"/>
      <c r="T66" s="89"/>
      <c r="U66" s="89"/>
      <c r="V66" s="89"/>
      <c r="W66" s="89"/>
      <c r="X66" s="89"/>
      <c r="Y66" s="89"/>
      <c r="Z66" s="89"/>
      <c r="AA66" s="89"/>
    </row>
    <row r="67" ht="14.25" customHeight="1">
      <c r="A67" s="143">
        <v>2026.0</v>
      </c>
      <c r="B67" s="143">
        <v>2.0</v>
      </c>
      <c r="C67" s="125"/>
      <c r="D67" s="149">
        <v>46079.0</v>
      </c>
      <c r="E67" s="144" t="s">
        <v>1726</v>
      </c>
      <c r="F67" s="145">
        <v>-96.0</v>
      </c>
      <c r="G67" s="147" t="s">
        <v>1653</v>
      </c>
      <c r="H67" s="140" t="s">
        <v>1658</v>
      </c>
      <c r="I67" s="130" t="s">
        <v>1674</v>
      </c>
      <c r="J67" s="150" t="s">
        <v>1727</v>
      </c>
      <c r="K67" s="89"/>
      <c r="L67" s="89"/>
      <c r="M67" s="89"/>
      <c r="N67" s="89"/>
      <c r="O67" s="89"/>
      <c r="P67" s="89"/>
      <c r="Q67" s="89"/>
      <c r="R67" s="89"/>
      <c r="S67" s="89"/>
      <c r="T67" s="89"/>
      <c r="U67" s="89"/>
      <c r="V67" s="89"/>
      <c r="W67" s="89"/>
      <c r="X67" s="89"/>
      <c r="Y67" s="89"/>
      <c r="Z67" s="89"/>
      <c r="AA67" s="89"/>
    </row>
    <row r="68" ht="14.25" customHeight="1">
      <c r="A68" s="143">
        <v>2026.0</v>
      </c>
      <c r="B68" s="151">
        <v>3.0</v>
      </c>
      <c r="C68" s="125"/>
      <c r="D68" s="149">
        <v>46083.0</v>
      </c>
      <c r="E68" s="144" t="s">
        <v>1691</v>
      </c>
      <c r="F68" s="145">
        <v>-20.0</v>
      </c>
      <c r="G68" s="147" t="s">
        <v>1649</v>
      </c>
      <c r="H68" s="140" t="s">
        <v>1730</v>
      </c>
      <c r="I68" s="130" t="s">
        <v>1674</v>
      </c>
      <c r="J68" s="131"/>
      <c r="K68" s="89"/>
      <c r="L68" s="89"/>
      <c r="M68" s="89"/>
      <c r="N68" s="89"/>
      <c r="O68" s="89"/>
      <c r="P68" s="89"/>
      <c r="Q68" s="89"/>
      <c r="R68" s="89"/>
      <c r="S68" s="89"/>
      <c r="T68" s="89"/>
      <c r="U68" s="89"/>
      <c r="V68" s="89"/>
      <c r="W68" s="89"/>
      <c r="X68" s="89"/>
      <c r="Y68" s="89"/>
      <c r="Z68" s="89"/>
      <c r="AA68" s="89"/>
    </row>
    <row r="69" ht="14.25" customHeight="1">
      <c r="A69" s="143">
        <v>2026.0</v>
      </c>
      <c r="B69" s="151">
        <v>3.0</v>
      </c>
      <c r="C69" s="125"/>
      <c r="D69" s="149">
        <v>46083.0</v>
      </c>
      <c r="E69" s="144" t="s">
        <v>1733</v>
      </c>
      <c r="F69" s="145">
        <v>-152.49</v>
      </c>
      <c r="G69" s="147" t="s">
        <v>1660</v>
      </c>
      <c r="H69" s="140" t="s">
        <v>1662</v>
      </c>
      <c r="I69" s="130" t="s">
        <v>1674</v>
      </c>
      <c r="J69" s="131"/>
      <c r="K69" s="89"/>
      <c r="L69" s="89"/>
      <c r="M69" s="89"/>
      <c r="N69" s="89"/>
      <c r="O69" s="89"/>
      <c r="P69" s="89"/>
      <c r="Q69" s="89"/>
      <c r="R69" s="89"/>
      <c r="S69" s="89"/>
      <c r="T69" s="89"/>
      <c r="U69" s="89"/>
      <c r="V69" s="89"/>
      <c r="W69" s="89"/>
      <c r="X69" s="89"/>
      <c r="Y69" s="89"/>
      <c r="Z69" s="89"/>
      <c r="AA69" s="89"/>
    </row>
    <row r="70" ht="14.25" customHeight="1">
      <c r="A70" s="151">
        <v>2026.0</v>
      </c>
      <c r="B70" s="151">
        <v>3.0</v>
      </c>
      <c r="C70" s="125"/>
      <c r="D70" s="149">
        <v>46083.0</v>
      </c>
      <c r="E70" s="144" t="s">
        <v>1734</v>
      </c>
      <c r="F70" s="145">
        <v>-610.0</v>
      </c>
      <c r="G70" s="147" t="s">
        <v>1649</v>
      </c>
      <c r="H70" s="140" t="s">
        <v>1730</v>
      </c>
      <c r="I70" s="152" t="s">
        <v>1674</v>
      </c>
      <c r="J70" s="131"/>
      <c r="K70" s="89"/>
      <c r="L70" s="89"/>
      <c r="M70" s="89"/>
      <c r="N70" s="89"/>
      <c r="O70" s="89"/>
      <c r="P70" s="89"/>
      <c r="Q70" s="89"/>
      <c r="R70" s="89"/>
      <c r="S70" s="89"/>
      <c r="T70" s="89"/>
      <c r="U70" s="89"/>
      <c r="V70" s="89"/>
      <c r="W70" s="89"/>
      <c r="X70" s="89"/>
      <c r="Y70" s="89"/>
      <c r="Z70" s="89"/>
      <c r="AA70" s="89"/>
    </row>
    <row r="71" ht="14.25" customHeight="1">
      <c r="A71" s="151">
        <v>2026.0</v>
      </c>
      <c r="B71" s="151">
        <v>3.0</v>
      </c>
      <c r="C71" s="125"/>
      <c r="D71" s="149">
        <v>46090.0</v>
      </c>
      <c r="E71" s="144" t="s">
        <v>1735</v>
      </c>
      <c r="F71" s="145">
        <v>-1000.0</v>
      </c>
      <c r="G71" s="147" t="s">
        <v>1649</v>
      </c>
      <c r="H71" s="140" t="s">
        <v>1730</v>
      </c>
      <c r="I71" s="152" t="s">
        <v>1674</v>
      </c>
      <c r="J71" s="131"/>
      <c r="K71" s="89"/>
      <c r="L71" s="89"/>
      <c r="M71" s="89"/>
      <c r="N71" s="89"/>
      <c r="O71" s="89"/>
      <c r="P71" s="89"/>
      <c r="Q71" s="89"/>
      <c r="R71" s="89"/>
      <c r="S71" s="89"/>
      <c r="T71" s="89"/>
      <c r="U71" s="89"/>
      <c r="V71" s="89"/>
      <c r="W71" s="89"/>
      <c r="X71" s="89"/>
      <c r="Y71" s="89"/>
      <c r="Z71" s="89"/>
      <c r="AA71" s="89"/>
    </row>
    <row r="72" ht="14.25" customHeight="1">
      <c r="A72" s="151">
        <v>2026.0</v>
      </c>
      <c r="B72" s="151">
        <v>3.0</v>
      </c>
      <c r="C72" s="125"/>
      <c r="D72" s="149">
        <v>46098.0</v>
      </c>
      <c r="E72" s="144" t="s">
        <v>1736</v>
      </c>
      <c r="F72" s="145">
        <v>-1012.0</v>
      </c>
      <c r="G72" s="147" t="s">
        <v>1650</v>
      </c>
      <c r="H72" s="140"/>
      <c r="I72" s="147" t="s">
        <v>1674</v>
      </c>
      <c r="J72" s="131"/>
      <c r="K72" s="89"/>
      <c r="L72" s="89"/>
      <c r="M72" s="89"/>
      <c r="N72" s="89"/>
      <c r="O72" s="89"/>
      <c r="P72" s="89"/>
      <c r="Q72" s="89"/>
      <c r="R72" s="89"/>
      <c r="S72" s="89"/>
      <c r="T72" s="89"/>
      <c r="U72" s="89"/>
      <c r="V72" s="89"/>
      <c r="W72" s="89"/>
      <c r="X72" s="89"/>
      <c r="Y72" s="89"/>
      <c r="Z72" s="89"/>
      <c r="AA72" s="89"/>
    </row>
    <row r="73" ht="14.25" customHeight="1">
      <c r="A73" s="151">
        <v>2026.0</v>
      </c>
      <c r="B73" s="151">
        <v>3.0</v>
      </c>
      <c r="C73" s="125"/>
      <c r="D73" s="149">
        <v>46099.0</v>
      </c>
      <c r="E73" s="144" t="s">
        <v>1737</v>
      </c>
      <c r="F73" s="145">
        <v>-400.0</v>
      </c>
      <c r="G73" s="147" t="s">
        <v>1653</v>
      </c>
      <c r="H73" s="140" t="s">
        <v>1656</v>
      </c>
      <c r="I73" s="147" t="s">
        <v>1674</v>
      </c>
      <c r="J73" s="131"/>
      <c r="K73" s="89"/>
      <c r="L73" s="89"/>
      <c r="M73" s="89"/>
      <c r="N73" s="89"/>
      <c r="O73" s="89"/>
      <c r="P73" s="89"/>
      <c r="Q73" s="89"/>
      <c r="R73" s="89"/>
      <c r="S73" s="89"/>
      <c r="T73" s="89"/>
      <c r="U73" s="89"/>
      <c r="V73" s="89"/>
      <c r="W73" s="89"/>
      <c r="X73" s="89"/>
      <c r="Y73" s="89"/>
      <c r="Z73" s="89"/>
      <c r="AA73" s="89"/>
    </row>
    <row r="74" ht="14.25" customHeight="1">
      <c r="A74" s="143">
        <v>2026.0</v>
      </c>
      <c r="B74" s="143">
        <v>2.0</v>
      </c>
      <c r="C74" s="125"/>
      <c r="D74" s="149">
        <v>46076.0</v>
      </c>
      <c r="E74" s="144" t="s">
        <v>1738</v>
      </c>
      <c r="F74" s="145">
        <v>-1613.45</v>
      </c>
      <c r="G74" s="147" t="s">
        <v>42</v>
      </c>
      <c r="H74" s="140" t="s">
        <v>1680</v>
      </c>
      <c r="I74" s="130" t="s">
        <v>1731</v>
      </c>
      <c r="J74" s="131"/>
      <c r="K74" s="89"/>
      <c r="L74" s="89"/>
      <c r="M74" s="89"/>
      <c r="N74" s="89"/>
      <c r="O74" s="89"/>
      <c r="P74" s="89"/>
      <c r="Q74" s="89"/>
      <c r="R74" s="89"/>
      <c r="S74" s="89"/>
      <c r="T74" s="89"/>
      <c r="U74" s="89"/>
      <c r="V74" s="89"/>
      <c r="W74" s="89"/>
      <c r="X74" s="89"/>
      <c r="Y74" s="89"/>
      <c r="Z74" s="89"/>
      <c r="AA74" s="89"/>
    </row>
    <row r="75" ht="14.25" customHeight="1">
      <c r="A75" s="143">
        <v>2026.0</v>
      </c>
      <c r="B75" s="143">
        <v>2.0</v>
      </c>
      <c r="C75" s="125"/>
      <c r="D75" s="149">
        <v>46076.0</v>
      </c>
      <c r="E75" s="144" t="s">
        <v>1739</v>
      </c>
      <c r="F75" s="145">
        <v>-1.3</v>
      </c>
      <c r="G75" s="147" t="s">
        <v>1653</v>
      </c>
      <c r="H75" s="140" t="s">
        <v>1658</v>
      </c>
      <c r="I75" s="130" t="s">
        <v>1731</v>
      </c>
      <c r="J75" s="150" t="s">
        <v>1740</v>
      </c>
      <c r="K75" s="89"/>
      <c r="L75" s="89"/>
      <c r="M75" s="89"/>
      <c r="N75" s="89"/>
      <c r="O75" s="89"/>
      <c r="P75" s="89"/>
      <c r="Q75" s="89"/>
      <c r="R75" s="89"/>
      <c r="S75" s="89"/>
      <c r="T75" s="89"/>
      <c r="U75" s="89"/>
      <c r="V75" s="89"/>
      <c r="W75" s="89"/>
      <c r="X75" s="89"/>
      <c r="Y75" s="89"/>
      <c r="Z75" s="89"/>
      <c r="AA75" s="89"/>
    </row>
    <row r="76" ht="14.25" customHeight="1">
      <c r="A76" s="143">
        <v>2026.0</v>
      </c>
      <c r="B76" s="151">
        <v>2.0</v>
      </c>
      <c r="C76" s="125"/>
      <c r="D76" s="149">
        <v>46078.0</v>
      </c>
      <c r="E76" s="144" t="s">
        <v>1741</v>
      </c>
      <c r="F76" s="145">
        <v>-1.02</v>
      </c>
      <c r="G76" s="147" t="s">
        <v>1653</v>
      </c>
      <c r="H76" s="140" t="s">
        <v>1658</v>
      </c>
      <c r="I76" s="130" t="s">
        <v>1731</v>
      </c>
      <c r="J76" s="131"/>
      <c r="K76" s="89"/>
      <c r="L76" s="89"/>
      <c r="M76" s="89"/>
      <c r="N76" s="89"/>
      <c r="O76" s="89"/>
      <c r="P76" s="89"/>
      <c r="Q76" s="89"/>
      <c r="R76" s="89"/>
      <c r="S76" s="89"/>
      <c r="T76" s="89"/>
      <c r="U76" s="89"/>
      <c r="V76" s="89"/>
      <c r="W76" s="89"/>
      <c r="X76" s="89"/>
      <c r="Y76" s="89"/>
      <c r="Z76" s="89"/>
      <c r="AA76" s="89"/>
    </row>
    <row r="77" ht="14.25" customHeight="1">
      <c r="A77" s="143">
        <v>2026.0</v>
      </c>
      <c r="B77" s="151">
        <v>2.0</v>
      </c>
      <c r="C77" s="125"/>
      <c r="D77" s="149">
        <v>46078.0</v>
      </c>
      <c r="E77" s="144" t="s">
        <v>1742</v>
      </c>
      <c r="F77" s="145">
        <v>-68.13</v>
      </c>
      <c r="G77" s="147" t="s">
        <v>1660</v>
      </c>
      <c r="H77" s="140" t="s">
        <v>1658</v>
      </c>
      <c r="I77" s="130" t="s">
        <v>1731</v>
      </c>
      <c r="J77" s="131"/>
      <c r="K77" s="89"/>
      <c r="L77" s="89"/>
      <c r="M77" s="89"/>
      <c r="N77" s="89"/>
      <c r="O77" s="89"/>
      <c r="P77" s="89"/>
      <c r="Q77" s="89"/>
      <c r="R77" s="89"/>
      <c r="S77" s="89"/>
      <c r="T77" s="89"/>
      <c r="U77" s="89"/>
      <c r="V77" s="89"/>
      <c r="W77" s="89"/>
      <c r="X77" s="89"/>
      <c r="Y77" s="89"/>
      <c r="Z77" s="89"/>
      <c r="AA77" s="89"/>
    </row>
    <row r="78" ht="14.25" customHeight="1">
      <c r="A78" s="143">
        <v>2026.0</v>
      </c>
      <c r="B78" s="151">
        <v>3.0</v>
      </c>
      <c r="C78" s="125"/>
      <c r="D78" s="149">
        <v>46083.0</v>
      </c>
      <c r="E78" s="144" t="s">
        <v>1743</v>
      </c>
      <c r="F78" s="145">
        <v>-112.0</v>
      </c>
      <c r="G78" s="147" t="s">
        <v>1653</v>
      </c>
      <c r="H78" s="140" t="s">
        <v>1658</v>
      </c>
      <c r="I78" s="130" t="s">
        <v>1731</v>
      </c>
      <c r="J78" s="131"/>
      <c r="K78" s="89"/>
      <c r="L78" s="89"/>
      <c r="M78" s="89"/>
      <c r="N78" s="89"/>
      <c r="O78" s="89"/>
      <c r="P78" s="89"/>
      <c r="Q78" s="89"/>
      <c r="R78" s="89"/>
      <c r="S78" s="89"/>
      <c r="T78" s="89"/>
      <c r="U78" s="89"/>
      <c r="V78" s="89"/>
      <c r="W78" s="89"/>
      <c r="X78" s="89"/>
      <c r="Y78" s="89"/>
      <c r="Z78" s="89"/>
      <c r="AA78" s="89"/>
    </row>
    <row r="79" ht="14.25" customHeight="1">
      <c r="A79" s="143">
        <v>2026.0</v>
      </c>
      <c r="B79" s="151">
        <v>3.0</v>
      </c>
      <c r="C79" s="125"/>
      <c r="D79" s="149">
        <v>46083.0</v>
      </c>
      <c r="E79" s="144" t="s">
        <v>1744</v>
      </c>
      <c r="F79" s="145">
        <v>-116.6</v>
      </c>
      <c r="G79" s="147" t="s">
        <v>42</v>
      </c>
      <c r="H79" s="140" t="s">
        <v>1680</v>
      </c>
      <c r="I79" s="130" t="s">
        <v>1731</v>
      </c>
      <c r="J79" s="150" t="s">
        <v>1745</v>
      </c>
      <c r="K79" s="89"/>
      <c r="L79" s="89"/>
      <c r="M79" s="89"/>
      <c r="N79" s="89"/>
      <c r="O79" s="89"/>
      <c r="P79" s="89"/>
      <c r="Q79" s="89"/>
      <c r="R79" s="89"/>
      <c r="S79" s="89"/>
      <c r="T79" s="89"/>
      <c r="U79" s="89"/>
      <c r="V79" s="89"/>
      <c r="W79" s="89"/>
      <c r="X79" s="89"/>
      <c r="Y79" s="89"/>
      <c r="Z79" s="89"/>
      <c r="AA79" s="89"/>
    </row>
    <row r="80" ht="14.25" customHeight="1">
      <c r="A80" s="143">
        <v>2026.0</v>
      </c>
      <c r="B80" s="151">
        <v>3.0</v>
      </c>
      <c r="C80" s="125"/>
      <c r="D80" s="149">
        <v>46083.0</v>
      </c>
      <c r="E80" s="144" t="s">
        <v>1746</v>
      </c>
      <c r="F80" s="145">
        <v>-427.98</v>
      </c>
      <c r="G80" s="147" t="s">
        <v>42</v>
      </c>
      <c r="H80" s="140" t="s">
        <v>1680</v>
      </c>
      <c r="I80" s="130" t="s">
        <v>1731</v>
      </c>
      <c r="J80" s="150" t="s">
        <v>1747</v>
      </c>
      <c r="K80" s="89"/>
      <c r="L80" s="89"/>
      <c r="M80" s="89"/>
      <c r="N80" s="89"/>
      <c r="O80" s="89"/>
      <c r="P80" s="89"/>
      <c r="Q80" s="89"/>
      <c r="R80" s="89"/>
      <c r="S80" s="89"/>
      <c r="T80" s="89"/>
      <c r="U80" s="89"/>
      <c r="V80" s="89"/>
      <c r="W80" s="89"/>
      <c r="X80" s="89"/>
      <c r="Y80" s="89"/>
      <c r="Z80" s="89"/>
      <c r="AA80" s="89"/>
    </row>
    <row r="81" ht="14.25" customHeight="1">
      <c r="A81" s="143">
        <v>2026.0</v>
      </c>
      <c r="B81" s="151">
        <v>3.0</v>
      </c>
      <c r="C81" s="125"/>
      <c r="D81" s="149">
        <v>46083.0</v>
      </c>
      <c r="E81" s="144" t="s">
        <v>1739</v>
      </c>
      <c r="F81" s="145">
        <v>-1.3</v>
      </c>
      <c r="G81" s="147" t="s">
        <v>1653</v>
      </c>
      <c r="H81" s="140" t="s">
        <v>1658</v>
      </c>
      <c r="I81" s="130" t="s">
        <v>1731</v>
      </c>
      <c r="J81" s="131"/>
      <c r="K81" s="89"/>
      <c r="L81" s="89"/>
      <c r="M81" s="89"/>
      <c r="N81" s="89"/>
      <c r="O81" s="89"/>
      <c r="P81" s="89"/>
      <c r="Q81" s="89"/>
      <c r="R81" s="89"/>
      <c r="S81" s="89"/>
      <c r="T81" s="89"/>
      <c r="U81" s="89"/>
      <c r="V81" s="89"/>
      <c r="W81" s="89"/>
      <c r="X81" s="89"/>
      <c r="Y81" s="89"/>
      <c r="Z81" s="89"/>
      <c r="AA81" s="89"/>
    </row>
    <row r="82" ht="14.25" customHeight="1">
      <c r="A82" s="143">
        <v>2026.0</v>
      </c>
      <c r="B82" s="151">
        <v>3.0</v>
      </c>
      <c r="C82" s="125"/>
      <c r="D82" s="149">
        <v>46085.0</v>
      </c>
      <c r="E82" s="144" t="s">
        <v>1748</v>
      </c>
      <c r="F82" s="145">
        <v>-169.58</v>
      </c>
      <c r="G82" s="147" t="s">
        <v>42</v>
      </c>
      <c r="H82" s="140" t="s">
        <v>1680</v>
      </c>
      <c r="I82" s="130" t="s">
        <v>1731</v>
      </c>
      <c r="J82" s="131"/>
      <c r="K82" s="89"/>
      <c r="L82" s="89"/>
      <c r="M82" s="89"/>
      <c r="N82" s="89"/>
      <c r="O82" s="89"/>
      <c r="P82" s="89"/>
      <c r="Q82" s="89"/>
      <c r="R82" s="89"/>
      <c r="S82" s="89"/>
      <c r="T82" s="89"/>
      <c r="U82" s="89"/>
      <c r="V82" s="89"/>
      <c r="W82" s="89"/>
      <c r="X82" s="89"/>
      <c r="Y82" s="89"/>
      <c r="Z82" s="89"/>
      <c r="AA82" s="89"/>
    </row>
    <row r="83" ht="14.25" customHeight="1">
      <c r="A83" s="143">
        <v>2026.0</v>
      </c>
      <c r="B83" s="151">
        <v>3.0</v>
      </c>
      <c r="C83" s="125"/>
      <c r="D83" s="149">
        <v>46085.0</v>
      </c>
      <c r="E83" s="144" t="s">
        <v>1739</v>
      </c>
      <c r="F83" s="145">
        <v>-1.3</v>
      </c>
      <c r="G83" s="147" t="s">
        <v>1653</v>
      </c>
      <c r="H83" s="140" t="s">
        <v>1658</v>
      </c>
      <c r="I83" s="130" t="s">
        <v>1731</v>
      </c>
      <c r="J83" s="131"/>
      <c r="K83" s="89"/>
      <c r="L83" s="89"/>
      <c r="M83" s="89"/>
      <c r="N83" s="89"/>
      <c r="O83" s="89"/>
      <c r="P83" s="89"/>
      <c r="Q83" s="89"/>
      <c r="R83" s="89"/>
      <c r="S83" s="89"/>
      <c r="T83" s="89"/>
      <c r="U83" s="89"/>
      <c r="V83" s="89"/>
      <c r="W83" s="89"/>
      <c r="X83" s="89"/>
      <c r="Y83" s="89"/>
      <c r="Z83" s="89"/>
      <c r="AA83" s="89"/>
    </row>
    <row r="84" ht="14.25" customHeight="1">
      <c r="A84" s="143">
        <v>2026.0</v>
      </c>
      <c r="B84" s="151">
        <v>3.0</v>
      </c>
      <c r="C84" s="125"/>
      <c r="D84" s="149">
        <v>46086.0</v>
      </c>
      <c r="E84" s="153" t="s">
        <v>1749</v>
      </c>
      <c r="F84" s="145">
        <v>-25.0</v>
      </c>
      <c r="G84" s="147" t="s">
        <v>1653</v>
      </c>
      <c r="H84" s="140" t="s">
        <v>1658</v>
      </c>
      <c r="I84" s="130" t="s">
        <v>1731</v>
      </c>
      <c r="J84" s="150" t="s">
        <v>1750</v>
      </c>
      <c r="K84" s="89"/>
      <c r="L84" s="89"/>
      <c r="M84" s="89"/>
      <c r="N84" s="89"/>
      <c r="O84" s="89"/>
      <c r="P84" s="89"/>
      <c r="Q84" s="89"/>
      <c r="R84" s="89"/>
      <c r="S84" s="89"/>
      <c r="T84" s="89"/>
      <c r="U84" s="89"/>
      <c r="V84" s="89"/>
      <c r="W84" s="89"/>
      <c r="X84" s="89"/>
      <c r="Y84" s="89"/>
      <c r="Z84" s="89"/>
      <c r="AA84" s="89"/>
    </row>
    <row r="85" ht="14.25" customHeight="1">
      <c r="A85" s="143">
        <v>2026.0</v>
      </c>
      <c r="B85" s="151">
        <v>3.0</v>
      </c>
      <c r="C85" s="125"/>
      <c r="D85" s="149">
        <v>46087.0</v>
      </c>
      <c r="E85" s="144" t="s">
        <v>1751</v>
      </c>
      <c r="F85" s="145">
        <v>-150.0</v>
      </c>
      <c r="G85" s="147" t="s">
        <v>42</v>
      </c>
      <c r="H85" s="140" t="s">
        <v>1680</v>
      </c>
      <c r="I85" s="130" t="s">
        <v>1731</v>
      </c>
      <c r="J85" s="131"/>
      <c r="K85" s="89"/>
      <c r="L85" s="89"/>
      <c r="M85" s="89"/>
      <c r="N85" s="89"/>
      <c r="O85" s="89"/>
      <c r="P85" s="89"/>
      <c r="Q85" s="89"/>
      <c r="R85" s="89"/>
      <c r="S85" s="89"/>
      <c r="T85" s="89"/>
      <c r="U85" s="89"/>
      <c r="V85" s="89"/>
      <c r="W85" s="89"/>
      <c r="X85" s="89"/>
      <c r="Y85" s="89"/>
      <c r="Z85" s="89"/>
      <c r="AA85" s="89"/>
    </row>
    <row r="86" ht="14.25" customHeight="1">
      <c r="A86" s="143">
        <v>2026.0</v>
      </c>
      <c r="B86" s="154">
        <v>3.0</v>
      </c>
      <c r="C86" s="155"/>
      <c r="D86" s="156">
        <v>46086.0</v>
      </c>
      <c r="E86" s="156" t="s">
        <v>1752</v>
      </c>
      <c r="F86" s="157">
        <v>-270.0</v>
      </c>
      <c r="G86" s="158" t="s">
        <v>1687</v>
      </c>
      <c r="H86" s="156" t="s">
        <v>1658</v>
      </c>
      <c r="I86" s="130" t="s">
        <v>1731</v>
      </c>
      <c r="J86" s="159"/>
      <c r="K86" s="89"/>
      <c r="L86" s="89"/>
      <c r="M86" s="89"/>
      <c r="N86" s="89"/>
      <c r="O86" s="89"/>
      <c r="P86" s="89"/>
      <c r="Q86" s="89"/>
      <c r="R86" s="89"/>
      <c r="S86" s="89"/>
      <c r="T86" s="89"/>
      <c r="U86" s="89"/>
      <c r="V86" s="89"/>
      <c r="W86" s="89"/>
      <c r="X86" s="89"/>
      <c r="Y86" s="89"/>
      <c r="Z86" s="89"/>
      <c r="AA86" s="89"/>
    </row>
    <row r="87" ht="14.25" customHeight="1">
      <c r="A87" s="143">
        <v>2026.0</v>
      </c>
      <c r="B87" s="157">
        <v>3.0</v>
      </c>
      <c r="C87" s="160"/>
      <c r="D87" s="156">
        <v>46090.0</v>
      </c>
      <c r="E87" s="161" t="s">
        <v>1753</v>
      </c>
      <c r="F87" s="162">
        <v>-1613.45</v>
      </c>
      <c r="G87" s="163" t="s">
        <v>42</v>
      </c>
      <c r="H87" s="164" t="s">
        <v>1680</v>
      </c>
      <c r="I87" s="130" t="s">
        <v>1731</v>
      </c>
      <c r="J87" s="160"/>
      <c r="K87" s="89"/>
      <c r="L87" s="89"/>
      <c r="M87" s="89"/>
      <c r="N87" s="89"/>
      <c r="O87" s="89"/>
      <c r="P87" s="89"/>
      <c r="Q87" s="89"/>
      <c r="R87" s="89"/>
      <c r="S87" s="89"/>
      <c r="T87" s="89"/>
      <c r="U87" s="89"/>
      <c r="V87" s="89"/>
      <c r="W87" s="89"/>
      <c r="X87" s="89"/>
      <c r="Y87" s="89"/>
      <c r="Z87" s="89"/>
      <c r="AA87" s="89"/>
    </row>
    <row r="88" ht="14.25" customHeight="1">
      <c r="A88" s="143">
        <v>2026.0</v>
      </c>
      <c r="B88" s="157">
        <v>3.0</v>
      </c>
      <c r="C88" s="160"/>
      <c r="D88" s="156">
        <v>46090.0</v>
      </c>
      <c r="E88" s="161" t="s">
        <v>1754</v>
      </c>
      <c r="F88" s="162">
        <v>-1.3</v>
      </c>
      <c r="G88" s="163" t="s">
        <v>1653</v>
      </c>
      <c r="H88" s="164" t="s">
        <v>1658</v>
      </c>
      <c r="I88" s="130" t="s">
        <v>1731</v>
      </c>
      <c r="J88" s="160"/>
      <c r="K88" s="89"/>
      <c r="L88" s="89"/>
      <c r="M88" s="89"/>
      <c r="N88" s="89"/>
      <c r="O88" s="89"/>
      <c r="P88" s="89"/>
      <c r="Q88" s="89"/>
      <c r="R88" s="89"/>
      <c r="S88" s="89"/>
      <c r="T88" s="89"/>
      <c r="U88" s="89"/>
      <c r="V88" s="89"/>
      <c r="W88" s="89"/>
      <c r="X88" s="89"/>
      <c r="Y88" s="89"/>
      <c r="Z88" s="89"/>
      <c r="AA88" s="89"/>
    </row>
    <row r="89" ht="14.25" customHeight="1">
      <c r="A89" s="143">
        <v>2026.0</v>
      </c>
      <c r="B89" s="154">
        <v>3.0</v>
      </c>
      <c r="C89" s="155"/>
      <c r="D89" s="165">
        <v>46091.0</v>
      </c>
      <c r="E89" s="166" t="s">
        <v>1755</v>
      </c>
      <c r="F89" s="167">
        <v>-309.87</v>
      </c>
      <c r="G89" s="168" t="s">
        <v>1650</v>
      </c>
      <c r="H89" s="169"/>
      <c r="I89" s="130" t="s">
        <v>1731</v>
      </c>
      <c r="J89" s="155"/>
      <c r="K89" s="89"/>
      <c r="L89" s="89"/>
      <c r="M89" s="89"/>
      <c r="N89" s="89"/>
      <c r="O89" s="89"/>
      <c r="P89" s="89"/>
      <c r="Q89" s="89"/>
      <c r="R89" s="89"/>
      <c r="S89" s="89"/>
      <c r="T89" s="89"/>
      <c r="U89" s="89"/>
      <c r="V89" s="89"/>
      <c r="W89" s="89"/>
      <c r="X89" s="89"/>
      <c r="Y89" s="89"/>
      <c r="Z89" s="89"/>
      <c r="AA89" s="89"/>
    </row>
    <row r="90" ht="14.25" customHeight="1">
      <c r="A90" s="143">
        <v>2026.0</v>
      </c>
      <c r="B90" s="154">
        <v>3.0</v>
      </c>
      <c r="C90" s="155"/>
      <c r="D90" s="165">
        <v>46092.0</v>
      </c>
      <c r="E90" s="166" t="s">
        <v>1756</v>
      </c>
      <c r="F90" s="167">
        <v>-46.6</v>
      </c>
      <c r="G90" s="168" t="s">
        <v>1653</v>
      </c>
      <c r="H90" s="169" t="s">
        <v>1658</v>
      </c>
      <c r="I90" s="130" t="s">
        <v>1731</v>
      </c>
      <c r="J90" s="155"/>
      <c r="K90" s="89"/>
      <c r="L90" s="89"/>
      <c r="M90" s="89"/>
      <c r="N90" s="89"/>
      <c r="O90" s="89"/>
      <c r="P90" s="89"/>
      <c r="Q90" s="89"/>
      <c r="R90" s="89"/>
      <c r="S90" s="89"/>
      <c r="T90" s="89"/>
      <c r="U90" s="89"/>
      <c r="V90" s="89"/>
      <c r="W90" s="89"/>
      <c r="X90" s="89"/>
      <c r="Y90" s="89"/>
      <c r="Z90" s="89"/>
      <c r="AA90" s="89"/>
    </row>
    <row r="91" ht="14.25" customHeight="1">
      <c r="A91" s="143">
        <v>2026.0</v>
      </c>
      <c r="B91" s="154">
        <v>3.0</v>
      </c>
      <c r="C91" s="155"/>
      <c r="D91" s="170">
        <v>46089.0</v>
      </c>
      <c r="E91" s="171" t="s">
        <v>1757</v>
      </c>
      <c r="F91" s="172">
        <v>-425.07</v>
      </c>
      <c r="G91" s="173" t="s">
        <v>1652</v>
      </c>
      <c r="H91" s="174" t="s">
        <v>1626</v>
      </c>
      <c r="I91" s="130" t="s">
        <v>1731</v>
      </c>
      <c r="J91" s="157"/>
      <c r="K91" s="89"/>
      <c r="L91" s="89"/>
      <c r="M91" s="89"/>
      <c r="N91" s="89"/>
      <c r="O91" s="89"/>
      <c r="P91" s="89"/>
      <c r="Q91" s="89"/>
      <c r="R91" s="89"/>
      <c r="S91" s="89"/>
      <c r="T91" s="89"/>
      <c r="U91" s="89"/>
      <c r="V91" s="89"/>
      <c r="W91" s="89"/>
      <c r="X91" s="89"/>
      <c r="Y91" s="89"/>
      <c r="Z91" s="89"/>
      <c r="AA91" s="89"/>
    </row>
    <row r="92" ht="14.25" customHeight="1">
      <c r="A92" s="143">
        <v>2026.0</v>
      </c>
      <c r="B92" s="154">
        <v>3.0</v>
      </c>
      <c r="C92" s="155"/>
      <c r="D92" s="156">
        <v>46094.0</v>
      </c>
      <c r="E92" s="156" t="s">
        <v>1758</v>
      </c>
      <c r="F92" s="157">
        <v>-24.0</v>
      </c>
      <c r="G92" s="158" t="s">
        <v>42</v>
      </c>
      <c r="H92" s="156" t="s">
        <v>1658</v>
      </c>
      <c r="I92" s="130" t="s">
        <v>1731</v>
      </c>
      <c r="J92" s="157"/>
      <c r="K92" s="89"/>
      <c r="L92" s="89"/>
      <c r="M92" s="89"/>
      <c r="N92" s="89"/>
      <c r="O92" s="89"/>
      <c r="P92" s="89"/>
      <c r="Q92" s="89"/>
      <c r="R92" s="89"/>
      <c r="S92" s="89"/>
      <c r="T92" s="89"/>
      <c r="U92" s="89"/>
      <c r="V92" s="89"/>
      <c r="W92" s="89"/>
      <c r="X92" s="89"/>
      <c r="Y92" s="89"/>
      <c r="Z92" s="89"/>
      <c r="AA92" s="89"/>
    </row>
    <row r="93" ht="14.25" customHeight="1">
      <c r="A93" s="143">
        <v>2026.0</v>
      </c>
      <c r="B93" s="157">
        <v>3.0</v>
      </c>
      <c r="C93" s="160"/>
      <c r="D93" s="156">
        <v>46094.0</v>
      </c>
      <c r="E93" s="156" t="s">
        <v>1754</v>
      </c>
      <c r="F93" s="157">
        <v>-1.3</v>
      </c>
      <c r="G93" s="158" t="s">
        <v>1653</v>
      </c>
      <c r="H93" s="156" t="s">
        <v>1658</v>
      </c>
      <c r="I93" s="130" t="s">
        <v>1731</v>
      </c>
      <c r="J93" s="157"/>
      <c r="K93" s="89"/>
      <c r="L93" s="89"/>
      <c r="M93" s="89"/>
      <c r="N93" s="89"/>
      <c r="O93" s="89"/>
      <c r="P93" s="89"/>
      <c r="Q93" s="89"/>
      <c r="R93" s="89"/>
      <c r="S93" s="89"/>
      <c r="T93" s="89"/>
      <c r="U93" s="89"/>
      <c r="V93" s="89"/>
      <c r="W93" s="89"/>
      <c r="X93" s="89"/>
      <c r="Y93" s="89"/>
      <c r="Z93" s="89"/>
      <c r="AA93" s="89"/>
    </row>
    <row r="94" ht="14.25" customHeight="1">
      <c r="A94" s="143">
        <v>2026.0</v>
      </c>
      <c r="B94" s="154">
        <v>3.0</v>
      </c>
      <c r="C94" s="155"/>
      <c r="D94" s="156">
        <v>46097.0</v>
      </c>
      <c r="E94" s="156" t="s">
        <v>1759</v>
      </c>
      <c r="F94" s="157">
        <v>-1800.0</v>
      </c>
      <c r="G94" s="158" t="s">
        <v>1653</v>
      </c>
      <c r="H94" s="156" t="s">
        <v>1658</v>
      </c>
      <c r="I94" s="163" t="s">
        <v>1731</v>
      </c>
      <c r="J94" s="157"/>
      <c r="K94" s="89"/>
      <c r="L94" s="89"/>
      <c r="M94" s="89"/>
      <c r="N94" s="89"/>
      <c r="O94" s="89"/>
      <c r="P94" s="89"/>
      <c r="Q94" s="89"/>
      <c r="R94" s="89"/>
      <c r="S94" s="89"/>
      <c r="T94" s="89"/>
      <c r="U94" s="89"/>
      <c r="V94" s="89"/>
      <c r="W94" s="89"/>
      <c r="X94" s="89"/>
      <c r="Y94" s="89"/>
      <c r="Z94" s="89"/>
      <c r="AA94" s="89"/>
    </row>
    <row r="95" ht="14.25" customHeight="1">
      <c r="A95" s="143">
        <v>2026.0</v>
      </c>
      <c r="B95" s="157">
        <v>3.0</v>
      </c>
      <c r="C95" s="160"/>
      <c r="D95" s="156">
        <v>46097.0</v>
      </c>
      <c r="E95" s="156" t="s">
        <v>1760</v>
      </c>
      <c r="F95" s="157">
        <v>-10.0</v>
      </c>
      <c r="G95" s="158" t="s">
        <v>1660</v>
      </c>
      <c r="H95" s="156" t="s">
        <v>1662</v>
      </c>
      <c r="I95" s="130" t="s">
        <v>1731</v>
      </c>
      <c r="J95" s="160"/>
      <c r="K95" s="89"/>
      <c r="L95" s="89"/>
      <c r="M95" s="89"/>
      <c r="N95" s="89"/>
      <c r="O95" s="89"/>
      <c r="P95" s="89"/>
      <c r="Q95" s="89"/>
      <c r="R95" s="89"/>
      <c r="S95" s="89"/>
      <c r="T95" s="89"/>
      <c r="U95" s="89"/>
      <c r="V95" s="89"/>
      <c r="W95" s="89"/>
      <c r="X95" s="89"/>
      <c r="Y95" s="89"/>
      <c r="Z95" s="89"/>
      <c r="AA95" s="89"/>
    </row>
    <row r="96" ht="14.25" customHeight="1">
      <c r="A96" s="143">
        <v>2026.0</v>
      </c>
      <c r="B96" s="157">
        <v>3.0</v>
      </c>
      <c r="C96" s="160"/>
      <c r="D96" s="156">
        <v>46097.0</v>
      </c>
      <c r="E96" s="156" t="s">
        <v>1754</v>
      </c>
      <c r="F96" s="157">
        <v>-1.3</v>
      </c>
      <c r="G96" s="158" t="s">
        <v>1653</v>
      </c>
      <c r="H96" s="156" t="s">
        <v>1658</v>
      </c>
      <c r="I96" s="130" t="s">
        <v>1731</v>
      </c>
      <c r="J96" s="160"/>
      <c r="K96" s="89"/>
      <c r="L96" s="89"/>
      <c r="M96" s="89"/>
      <c r="N96" s="89"/>
      <c r="O96" s="89"/>
      <c r="P96" s="89"/>
      <c r="Q96" s="89"/>
      <c r="R96" s="89"/>
      <c r="S96" s="89"/>
      <c r="T96" s="89"/>
      <c r="U96" s="89"/>
      <c r="V96" s="89"/>
      <c r="W96" s="89"/>
      <c r="X96" s="89"/>
      <c r="Y96" s="89"/>
      <c r="Z96" s="89"/>
      <c r="AA96" s="89"/>
    </row>
    <row r="97" ht="14.25" customHeight="1">
      <c r="A97" s="143">
        <v>2026.0</v>
      </c>
      <c r="B97" s="157">
        <v>3.0</v>
      </c>
      <c r="C97" s="161"/>
      <c r="D97" s="156">
        <v>46099.0</v>
      </c>
      <c r="E97" s="156" t="s">
        <v>1760</v>
      </c>
      <c r="F97" s="157">
        <v>-50.0</v>
      </c>
      <c r="G97" s="158" t="s">
        <v>1660</v>
      </c>
      <c r="H97" s="156" t="s">
        <v>1662</v>
      </c>
      <c r="I97" s="130" t="s">
        <v>1731</v>
      </c>
      <c r="J97" s="160"/>
      <c r="K97" s="89"/>
      <c r="L97" s="89"/>
      <c r="M97" s="89"/>
      <c r="N97" s="89"/>
      <c r="O97" s="89"/>
      <c r="P97" s="89"/>
      <c r="Q97" s="89"/>
      <c r="R97" s="89"/>
      <c r="S97" s="89"/>
      <c r="T97" s="89"/>
      <c r="U97" s="89"/>
      <c r="V97" s="89"/>
      <c r="W97" s="89"/>
      <c r="X97" s="89"/>
      <c r="Y97" s="89"/>
      <c r="Z97" s="89"/>
      <c r="AA97" s="89"/>
    </row>
    <row r="98" ht="14.25" customHeight="1">
      <c r="A98" s="143">
        <v>2026.0</v>
      </c>
      <c r="B98" s="157">
        <v>3.0</v>
      </c>
      <c r="C98" s="161"/>
      <c r="D98" s="156">
        <v>46097.0</v>
      </c>
      <c r="E98" s="161" t="s">
        <v>1761</v>
      </c>
      <c r="F98" s="157">
        <v>-15.05</v>
      </c>
      <c r="G98" s="158" t="s">
        <v>1660</v>
      </c>
      <c r="H98" s="161" t="s">
        <v>1662</v>
      </c>
      <c r="I98" s="130" t="s">
        <v>1731</v>
      </c>
      <c r="J98" s="160"/>
      <c r="K98" s="89"/>
      <c r="L98" s="89"/>
      <c r="M98" s="89"/>
      <c r="N98" s="89"/>
      <c r="O98" s="89"/>
      <c r="P98" s="89"/>
      <c r="Q98" s="89"/>
      <c r="R98" s="89"/>
      <c r="S98" s="89"/>
      <c r="T98" s="89"/>
      <c r="U98" s="89"/>
      <c r="V98" s="89"/>
      <c r="W98" s="89"/>
      <c r="X98" s="89"/>
      <c r="Y98" s="89"/>
      <c r="Z98" s="89"/>
      <c r="AA98" s="89"/>
    </row>
    <row r="99" ht="14.25" customHeight="1">
      <c r="A99" s="143">
        <v>2026.0</v>
      </c>
      <c r="B99" s="157">
        <v>3.0</v>
      </c>
      <c r="C99" s="161"/>
      <c r="D99" s="156">
        <v>46100.0</v>
      </c>
      <c r="E99" s="161" t="s">
        <v>1762</v>
      </c>
      <c r="F99" s="157">
        <v>-1004.87</v>
      </c>
      <c r="G99" s="158" t="s">
        <v>42</v>
      </c>
      <c r="H99" s="161" t="s">
        <v>1680</v>
      </c>
      <c r="I99" s="130" t="s">
        <v>1731</v>
      </c>
      <c r="J99" s="160"/>
      <c r="K99" s="89"/>
      <c r="L99" s="89"/>
      <c r="M99" s="89"/>
      <c r="N99" s="89"/>
      <c r="O99" s="89"/>
      <c r="P99" s="89"/>
      <c r="Q99" s="89"/>
      <c r="R99" s="89"/>
      <c r="S99" s="89"/>
      <c r="T99" s="89"/>
      <c r="U99" s="89"/>
      <c r="V99" s="89"/>
      <c r="W99" s="89"/>
      <c r="X99" s="89"/>
      <c r="Y99" s="89"/>
      <c r="Z99" s="89"/>
      <c r="AA99" s="89"/>
    </row>
    <row r="100" ht="14.25" customHeight="1">
      <c r="A100" s="143">
        <v>2026.0</v>
      </c>
      <c r="B100" s="157">
        <v>3.0</v>
      </c>
      <c r="C100" s="161"/>
      <c r="D100" s="156">
        <v>46100.0</v>
      </c>
      <c r="E100" s="161" t="s">
        <v>1760</v>
      </c>
      <c r="F100" s="157">
        <v>-100.0</v>
      </c>
      <c r="G100" s="158" t="s">
        <v>1660</v>
      </c>
      <c r="H100" s="161" t="s">
        <v>1662</v>
      </c>
      <c r="I100" s="130" t="s">
        <v>1731</v>
      </c>
      <c r="J100" s="160"/>
      <c r="K100" s="89"/>
      <c r="L100" s="89"/>
      <c r="M100" s="89"/>
      <c r="N100" s="89"/>
      <c r="O100" s="89"/>
      <c r="P100" s="89"/>
      <c r="Q100" s="89"/>
      <c r="R100" s="89"/>
      <c r="S100" s="89"/>
      <c r="T100" s="89"/>
      <c r="U100" s="89"/>
      <c r="V100" s="89"/>
      <c r="W100" s="89"/>
      <c r="X100" s="89"/>
      <c r="Y100" s="89"/>
      <c r="Z100" s="89"/>
      <c r="AA100" s="89"/>
    </row>
    <row r="101" ht="14.25" customHeight="1">
      <c r="A101" s="143">
        <v>2026.0</v>
      </c>
      <c r="B101" s="157">
        <v>3.0</v>
      </c>
      <c r="C101" s="161"/>
      <c r="D101" s="156">
        <v>46100.0</v>
      </c>
      <c r="E101" s="161" t="s">
        <v>1754</v>
      </c>
      <c r="F101" s="157">
        <v>-1.3</v>
      </c>
      <c r="G101" s="158" t="s">
        <v>1653</v>
      </c>
      <c r="H101" s="161" t="s">
        <v>1658</v>
      </c>
      <c r="I101" s="130" t="s">
        <v>1731</v>
      </c>
      <c r="J101" s="160"/>
      <c r="K101" s="89"/>
      <c r="L101" s="89"/>
      <c r="M101" s="89"/>
      <c r="N101" s="89"/>
      <c r="O101" s="89"/>
      <c r="P101" s="89"/>
      <c r="Q101" s="89"/>
      <c r="R101" s="89"/>
      <c r="S101" s="89"/>
      <c r="T101" s="89"/>
      <c r="U101" s="89"/>
      <c r="V101" s="89"/>
      <c r="W101" s="89"/>
      <c r="X101" s="89"/>
      <c r="Y101" s="89"/>
      <c r="Z101" s="89"/>
      <c r="AA101" s="89"/>
    </row>
    <row r="102" ht="14.25" customHeight="1">
      <c r="A102" s="143">
        <v>2026.0</v>
      </c>
      <c r="B102" s="157">
        <v>3.0</v>
      </c>
      <c r="C102" s="161"/>
      <c r="D102" s="156">
        <v>46098.0</v>
      </c>
      <c r="E102" s="161" t="s">
        <v>1763</v>
      </c>
      <c r="F102" s="157">
        <v>-15.0</v>
      </c>
      <c r="G102" s="158" t="s">
        <v>42</v>
      </c>
      <c r="H102" s="161" t="s">
        <v>1680</v>
      </c>
      <c r="I102" s="130" t="s">
        <v>1731</v>
      </c>
      <c r="J102" s="160"/>
      <c r="K102" s="89"/>
      <c r="L102" s="89"/>
      <c r="M102" s="89"/>
      <c r="N102" s="89"/>
      <c r="O102" s="89"/>
      <c r="P102" s="89"/>
      <c r="Q102" s="89"/>
      <c r="R102" s="89"/>
      <c r="S102" s="89"/>
      <c r="T102" s="89"/>
      <c r="U102" s="89"/>
      <c r="V102" s="89"/>
      <c r="W102" s="89"/>
      <c r="X102" s="89"/>
      <c r="Y102" s="89"/>
      <c r="Z102" s="89"/>
      <c r="AA102" s="89"/>
    </row>
    <row r="103" ht="14.25" customHeight="1">
      <c r="A103" s="143">
        <v>2026.0</v>
      </c>
      <c r="B103" s="157">
        <v>3.0</v>
      </c>
      <c r="C103" s="161"/>
      <c r="D103" s="156">
        <v>46104.0</v>
      </c>
      <c r="E103" s="161" t="s">
        <v>1764</v>
      </c>
      <c r="F103" s="157">
        <v>-69.42</v>
      </c>
      <c r="G103" s="158" t="s">
        <v>1660</v>
      </c>
      <c r="H103" s="161" t="s">
        <v>1658</v>
      </c>
      <c r="I103" s="163" t="s">
        <v>1731</v>
      </c>
      <c r="J103" s="160" t="s">
        <v>1765</v>
      </c>
      <c r="K103" s="89"/>
      <c r="L103" s="89"/>
      <c r="M103" s="89"/>
      <c r="N103" s="89"/>
      <c r="O103" s="89"/>
      <c r="P103" s="89"/>
      <c r="Q103" s="89"/>
      <c r="R103" s="89"/>
      <c r="S103" s="89"/>
      <c r="T103" s="89"/>
      <c r="U103" s="89"/>
      <c r="V103" s="89"/>
      <c r="W103" s="89"/>
      <c r="X103" s="89"/>
      <c r="Y103" s="89"/>
      <c r="Z103" s="89"/>
      <c r="AA103" s="89"/>
    </row>
    <row r="104" ht="14.25" customHeight="1">
      <c r="A104" s="143">
        <v>2026.0</v>
      </c>
      <c r="B104" s="157">
        <v>3.0</v>
      </c>
      <c r="C104" s="161"/>
      <c r="D104" s="156">
        <v>46104.0</v>
      </c>
      <c r="E104" s="161" t="s">
        <v>1741</v>
      </c>
      <c r="F104" s="157">
        <v>-1.04</v>
      </c>
      <c r="G104" s="158" t="s">
        <v>1653</v>
      </c>
      <c r="H104" s="161" t="s">
        <v>1658</v>
      </c>
      <c r="I104" s="130" t="s">
        <v>1731</v>
      </c>
      <c r="J104" s="160"/>
      <c r="K104" s="89"/>
      <c r="L104" s="89"/>
      <c r="M104" s="89"/>
      <c r="N104" s="89"/>
      <c r="O104" s="89"/>
      <c r="P104" s="89"/>
      <c r="Q104" s="89"/>
      <c r="R104" s="89"/>
      <c r="S104" s="89"/>
      <c r="T104" s="89"/>
      <c r="U104" s="89"/>
      <c r="V104" s="89"/>
      <c r="W104" s="89"/>
      <c r="X104" s="89"/>
      <c r="Y104" s="89"/>
      <c r="Z104" s="89"/>
      <c r="AA104" s="89"/>
    </row>
    <row r="105" ht="14.25" customHeight="1">
      <c r="A105" s="143">
        <v>2026.0</v>
      </c>
      <c r="B105" s="157">
        <v>3.0</v>
      </c>
      <c r="C105" s="161"/>
      <c r="D105" s="156">
        <v>46111.0</v>
      </c>
      <c r="E105" s="161" t="s">
        <v>1766</v>
      </c>
      <c r="F105" s="157">
        <v>-1331.63</v>
      </c>
      <c r="G105" s="158" t="s">
        <v>42</v>
      </c>
      <c r="H105" s="161" t="s">
        <v>1680</v>
      </c>
      <c r="I105" s="163" t="s">
        <v>1731</v>
      </c>
      <c r="J105" s="157"/>
      <c r="K105" s="89"/>
      <c r="L105" s="89"/>
      <c r="M105" s="89"/>
      <c r="N105" s="89"/>
      <c r="O105" s="89"/>
      <c r="P105" s="89"/>
      <c r="Q105" s="89"/>
      <c r="R105" s="89"/>
      <c r="S105" s="89"/>
      <c r="T105" s="89"/>
      <c r="U105" s="89"/>
      <c r="V105" s="89"/>
      <c r="W105" s="89"/>
      <c r="X105" s="89"/>
      <c r="Y105" s="89"/>
      <c r="Z105" s="89"/>
      <c r="AA105" s="89"/>
    </row>
    <row r="106" ht="14.25" customHeight="1">
      <c r="A106" s="143">
        <v>2026.0</v>
      </c>
      <c r="B106" s="157">
        <v>3.0</v>
      </c>
      <c r="C106" s="161"/>
      <c r="D106" s="156">
        <v>46111.0</v>
      </c>
      <c r="E106" s="161" t="s">
        <v>1767</v>
      </c>
      <c r="F106" s="157">
        <v>-530.7</v>
      </c>
      <c r="G106" s="158" t="s">
        <v>42</v>
      </c>
      <c r="H106" s="161" t="s">
        <v>1680</v>
      </c>
      <c r="I106" s="130" t="s">
        <v>1731</v>
      </c>
      <c r="J106" s="160"/>
      <c r="K106" s="89"/>
      <c r="L106" s="89"/>
      <c r="M106" s="89"/>
      <c r="N106" s="89"/>
      <c r="O106" s="89"/>
      <c r="P106" s="89"/>
      <c r="Q106" s="89"/>
      <c r="R106" s="89"/>
      <c r="S106" s="89"/>
      <c r="T106" s="89"/>
      <c r="U106" s="89"/>
      <c r="V106" s="89"/>
      <c r="W106" s="89"/>
      <c r="X106" s="89"/>
      <c r="Y106" s="89"/>
      <c r="Z106" s="89"/>
      <c r="AA106" s="89"/>
    </row>
    <row r="107" ht="14.25" customHeight="1">
      <c r="A107" s="143">
        <v>2026.0</v>
      </c>
      <c r="B107" s="157">
        <v>3.0</v>
      </c>
      <c r="C107" s="161"/>
      <c r="D107" s="156">
        <v>46111.0</v>
      </c>
      <c r="E107" s="161" t="s">
        <v>1760</v>
      </c>
      <c r="F107" s="157">
        <v>-200.0</v>
      </c>
      <c r="G107" s="158" t="s">
        <v>1660</v>
      </c>
      <c r="H107" s="161" t="s">
        <v>1662</v>
      </c>
      <c r="I107" s="130" t="s">
        <v>1731</v>
      </c>
      <c r="J107" s="160"/>
      <c r="K107" s="89"/>
      <c r="L107" s="89"/>
      <c r="M107" s="89"/>
      <c r="N107" s="89"/>
      <c r="O107" s="89"/>
      <c r="P107" s="89"/>
      <c r="Q107" s="89"/>
      <c r="R107" s="89"/>
      <c r="S107" s="89"/>
      <c r="T107" s="89"/>
      <c r="U107" s="89"/>
      <c r="V107" s="89"/>
      <c r="W107" s="89"/>
      <c r="X107" s="89"/>
      <c r="Y107" s="89"/>
      <c r="Z107" s="89"/>
      <c r="AA107" s="89"/>
    </row>
    <row r="108" ht="14.25" customHeight="1">
      <c r="A108" s="143">
        <v>2026.0</v>
      </c>
      <c r="B108" s="157">
        <v>3.0</v>
      </c>
      <c r="C108" s="160"/>
      <c r="D108" s="156">
        <v>46111.0</v>
      </c>
      <c r="E108" s="161" t="s">
        <v>1754</v>
      </c>
      <c r="F108" s="162">
        <v>-1.3</v>
      </c>
      <c r="G108" s="163" t="s">
        <v>1653</v>
      </c>
      <c r="H108" s="164" t="s">
        <v>1658</v>
      </c>
      <c r="I108" s="130" t="s">
        <v>1731</v>
      </c>
      <c r="J108" s="160"/>
      <c r="K108" s="89"/>
      <c r="L108" s="89"/>
      <c r="M108" s="89"/>
      <c r="N108" s="89"/>
      <c r="O108" s="89"/>
      <c r="P108" s="89"/>
      <c r="Q108" s="89"/>
      <c r="R108" s="89"/>
      <c r="S108" s="89"/>
      <c r="T108" s="89"/>
      <c r="U108" s="89"/>
      <c r="V108" s="89"/>
      <c r="W108" s="89"/>
      <c r="X108" s="89"/>
      <c r="Y108" s="89"/>
      <c r="Z108" s="89"/>
      <c r="AA108" s="89"/>
    </row>
    <row r="109" ht="14.25" customHeight="1">
      <c r="A109" s="143">
        <v>2026.0</v>
      </c>
      <c r="B109" s="157">
        <v>3.0</v>
      </c>
      <c r="C109" s="160"/>
      <c r="D109" s="156">
        <v>46111.0</v>
      </c>
      <c r="E109" s="161" t="s">
        <v>1754</v>
      </c>
      <c r="F109" s="162">
        <v>-1.3</v>
      </c>
      <c r="G109" s="163" t="s">
        <v>1653</v>
      </c>
      <c r="H109" s="164" t="s">
        <v>1658</v>
      </c>
      <c r="I109" s="130" t="s">
        <v>1731</v>
      </c>
      <c r="J109" s="160"/>
      <c r="K109" s="89"/>
      <c r="L109" s="89"/>
      <c r="M109" s="89"/>
      <c r="N109" s="89"/>
      <c r="O109" s="89"/>
      <c r="P109" s="89"/>
      <c r="Q109" s="89"/>
      <c r="R109" s="89"/>
      <c r="S109" s="89"/>
      <c r="T109" s="89"/>
      <c r="U109" s="89"/>
      <c r="V109" s="89"/>
      <c r="W109" s="89"/>
      <c r="X109" s="89"/>
      <c r="Y109" s="89"/>
      <c r="Z109" s="89"/>
      <c r="AA109" s="89"/>
    </row>
    <row r="110" ht="14.25" customHeight="1">
      <c r="A110" s="143">
        <v>2026.0</v>
      </c>
      <c r="B110" s="175">
        <v>3.0</v>
      </c>
      <c r="C110" s="176"/>
      <c r="D110" s="177">
        <v>46104.0</v>
      </c>
      <c r="E110" s="178" t="s">
        <v>1768</v>
      </c>
      <c r="F110" s="179">
        <v>-9.5</v>
      </c>
      <c r="G110" s="180" t="s">
        <v>1660</v>
      </c>
      <c r="H110" s="181" t="s">
        <v>1769</v>
      </c>
      <c r="I110" s="147" t="s">
        <v>1674</v>
      </c>
      <c r="J110" s="160"/>
      <c r="K110" s="89"/>
      <c r="L110" s="89"/>
      <c r="M110" s="89"/>
      <c r="N110" s="89"/>
      <c r="O110" s="89"/>
      <c r="P110" s="89"/>
      <c r="Q110" s="89"/>
      <c r="R110" s="89"/>
      <c r="S110" s="89"/>
      <c r="T110" s="89"/>
      <c r="U110" s="89"/>
      <c r="V110" s="89"/>
      <c r="W110" s="89"/>
      <c r="X110" s="89"/>
      <c r="Y110" s="89"/>
      <c r="Z110" s="89"/>
      <c r="AA110" s="89"/>
    </row>
    <row r="111" ht="14.25" customHeight="1">
      <c r="A111" s="143">
        <v>2026.0</v>
      </c>
      <c r="B111" s="175">
        <v>3.0</v>
      </c>
      <c r="C111" s="176"/>
      <c r="D111" s="177">
        <v>46104.0</v>
      </c>
      <c r="E111" s="178" t="s">
        <v>1770</v>
      </c>
      <c r="F111" s="179">
        <v>-17.65</v>
      </c>
      <c r="G111" s="180" t="s">
        <v>1660</v>
      </c>
      <c r="H111" s="181" t="s">
        <v>1769</v>
      </c>
      <c r="I111" s="147" t="s">
        <v>1674</v>
      </c>
      <c r="J111" s="160"/>
      <c r="K111" s="89"/>
      <c r="L111" s="89"/>
      <c r="M111" s="89"/>
      <c r="N111" s="89"/>
      <c r="O111" s="89"/>
      <c r="P111" s="89"/>
      <c r="Q111" s="89"/>
      <c r="R111" s="89"/>
      <c r="S111" s="89"/>
      <c r="T111" s="89"/>
      <c r="U111" s="89"/>
      <c r="V111" s="89"/>
      <c r="W111" s="89"/>
      <c r="X111" s="89"/>
      <c r="Y111" s="89"/>
      <c r="Z111" s="89"/>
      <c r="AA111" s="89"/>
    </row>
    <row r="112" ht="14.25" customHeight="1">
      <c r="A112" s="143">
        <v>2026.0</v>
      </c>
      <c r="B112" s="175">
        <v>3.0</v>
      </c>
      <c r="C112" s="176"/>
      <c r="D112" s="177">
        <v>46107.0</v>
      </c>
      <c r="E112" s="178" t="s">
        <v>1771</v>
      </c>
      <c r="F112" s="179">
        <v>-5.84</v>
      </c>
      <c r="G112" s="180" t="s">
        <v>1660</v>
      </c>
      <c r="H112" s="181" t="s">
        <v>1769</v>
      </c>
      <c r="I112" s="147" t="s">
        <v>1674</v>
      </c>
      <c r="J112" s="160"/>
      <c r="K112" s="89"/>
      <c r="L112" s="89"/>
      <c r="M112" s="89"/>
      <c r="N112" s="89"/>
      <c r="O112" s="89"/>
      <c r="P112" s="89"/>
      <c r="Q112" s="89"/>
      <c r="R112" s="89"/>
      <c r="S112" s="89"/>
      <c r="T112" s="89"/>
      <c r="U112" s="89"/>
      <c r="V112" s="89"/>
      <c r="W112" s="89"/>
      <c r="X112" s="89"/>
      <c r="Y112" s="89"/>
      <c r="Z112" s="89"/>
      <c r="AA112" s="89"/>
    </row>
    <row r="113" ht="14.25" customHeight="1">
      <c r="A113" s="143">
        <v>2026.0</v>
      </c>
      <c r="B113" s="151">
        <v>3.0</v>
      </c>
      <c r="C113" s="125"/>
      <c r="D113" s="177">
        <v>46111.0</v>
      </c>
      <c r="E113" s="178" t="s">
        <v>1772</v>
      </c>
      <c r="F113" s="145">
        <v>-5.6</v>
      </c>
      <c r="G113" s="147" t="s">
        <v>1653</v>
      </c>
      <c r="H113" s="140" t="s">
        <v>1658</v>
      </c>
      <c r="I113" s="147" t="s">
        <v>1674</v>
      </c>
      <c r="J113" s="131"/>
      <c r="K113" s="89"/>
      <c r="L113" s="89"/>
      <c r="M113" s="89"/>
      <c r="N113" s="89"/>
      <c r="O113" s="89"/>
      <c r="P113" s="89"/>
      <c r="Q113" s="89"/>
      <c r="R113" s="89"/>
      <c r="S113" s="89"/>
      <c r="T113" s="89"/>
      <c r="U113" s="89"/>
      <c r="V113" s="89"/>
      <c r="W113" s="89"/>
      <c r="X113" s="89"/>
      <c r="Y113" s="89"/>
      <c r="Z113" s="89"/>
      <c r="AA113" s="89"/>
    </row>
    <row r="114" ht="14.25" customHeight="1">
      <c r="A114" s="143">
        <v>2026.0</v>
      </c>
      <c r="B114" s="151">
        <v>3.0</v>
      </c>
      <c r="C114" s="125"/>
      <c r="D114" s="177">
        <v>46111.0</v>
      </c>
      <c r="E114" s="182" t="s">
        <v>1773</v>
      </c>
      <c r="F114" s="145">
        <v>-9.9</v>
      </c>
      <c r="G114" s="147" t="s">
        <v>1653</v>
      </c>
      <c r="H114" s="140" t="s">
        <v>1658</v>
      </c>
      <c r="I114" s="147" t="s">
        <v>1674</v>
      </c>
      <c r="J114" s="131"/>
      <c r="K114" s="89"/>
      <c r="L114" s="89"/>
      <c r="M114" s="89"/>
      <c r="N114" s="89"/>
      <c r="O114" s="89"/>
      <c r="P114" s="89"/>
      <c r="Q114" s="89"/>
      <c r="R114" s="89"/>
      <c r="S114" s="89"/>
      <c r="T114" s="89"/>
      <c r="U114" s="89"/>
      <c r="V114" s="89"/>
      <c r="W114" s="89"/>
      <c r="X114" s="89"/>
      <c r="Y114" s="89"/>
      <c r="Z114" s="89"/>
      <c r="AA114" s="89"/>
    </row>
    <row r="115" ht="14.25" customHeight="1">
      <c r="A115" s="143">
        <v>2026.0</v>
      </c>
      <c r="B115" s="151">
        <v>4.0</v>
      </c>
      <c r="C115" s="125"/>
      <c r="D115" s="177">
        <v>46129.0</v>
      </c>
      <c r="E115" s="182" t="s">
        <v>1774</v>
      </c>
      <c r="F115" s="145">
        <v>-8.43</v>
      </c>
      <c r="G115" s="147" t="s">
        <v>1653</v>
      </c>
      <c r="H115" s="140" t="s">
        <v>1658</v>
      </c>
      <c r="I115" s="147" t="s">
        <v>1731</v>
      </c>
      <c r="J115" s="131"/>
      <c r="K115" s="89"/>
      <c r="L115" s="89"/>
      <c r="M115" s="89"/>
      <c r="N115" s="89"/>
      <c r="O115" s="89"/>
      <c r="P115" s="89"/>
      <c r="Q115" s="89"/>
      <c r="R115" s="89"/>
      <c r="S115" s="89"/>
      <c r="T115" s="89"/>
      <c r="U115" s="89"/>
      <c r="V115" s="89"/>
      <c r="W115" s="89"/>
      <c r="X115" s="89"/>
      <c r="Y115" s="89"/>
      <c r="Z115" s="89"/>
      <c r="AA115" s="89"/>
    </row>
    <row r="116" ht="14.25" customHeight="1">
      <c r="A116" s="143">
        <v>2026.0</v>
      </c>
      <c r="B116" s="151">
        <v>4.0</v>
      </c>
      <c r="C116" s="125"/>
      <c r="D116" s="177">
        <v>46115.0</v>
      </c>
      <c r="E116" s="178" t="s">
        <v>1775</v>
      </c>
      <c r="F116" s="145">
        <v>-17.23</v>
      </c>
      <c r="G116" s="147" t="s">
        <v>1660</v>
      </c>
      <c r="H116" s="181" t="s">
        <v>1769</v>
      </c>
      <c r="I116" s="147" t="s">
        <v>1674</v>
      </c>
      <c r="J116" s="131"/>
      <c r="K116" s="89"/>
      <c r="L116" s="89"/>
      <c r="M116" s="89"/>
      <c r="N116" s="89"/>
      <c r="O116" s="89"/>
      <c r="P116" s="89"/>
      <c r="Q116" s="89"/>
      <c r="R116" s="89"/>
      <c r="S116" s="89"/>
      <c r="T116" s="89"/>
      <c r="U116" s="89"/>
      <c r="V116" s="89"/>
      <c r="W116" s="89"/>
      <c r="X116" s="89"/>
      <c r="Y116" s="89"/>
      <c r="Z116" s="89"/>
      <c r="AA116" s="89"/>
    </row>
    <row r="117" ht="14.25" customHeight="1">
      <c r="A117" s="143">
        <v>2026.0</v>
      </c>
      <c r="B117" s="151">
        <v>4.0</v>
      </c>
      <c r="C117" s="125"/>
      <c r="D117" s="177">
        <v>46122.0</v>
      </c>
      <c r="E117" s="182" t="s">
        <v>1776</v>
      </c>
      <c r="F117" s="145">
        <v>-13.7</v>
      </c>
      <c r="G117" s="147" t="s">
        <v>1660</v>
      </c>
      <c r="H117" s="140" t="s">
        <v>1658</v>
      </c>
      <c r="I117" s="147" t="s">
        <v>1674</v>
      </c>
      <c r="J117" s="131"/>
      <c r="K117" s="89"/>
      <c r="L117" s="89"/>
      <c r="M117" s="89"/>
      <c r="N117" s="89"/>
      <c r="O117" s="89"/>
      <c r="P117" s="89"/>
      <c r="Q117" s="89"/>
      <c r="R117" s="89"/>
      <c r="S117" s="89"/>
      <c r="T117" s="89"/>
      <c r="U117" s="89"/>
      <c r="V117" s="89"/>
      <c r="W117" s="89"/>
      <c r="X117" s="89"/>
      <c r="Y117" s="89"/>
      <c r="Z117" s="89"/>
      <c r="AA117" s="89"/>
    </row>
    <row r="118" ht="14.25" customHeight="1">
      <c r="A118" s="143">
        <v>2026.0</v>
      </c>
      <c r="B118" s="151">
        <v>4.0</v>
      </c>
      <c r="C118" s="125"/>
      <c r="D118" s="177">
        <v>46122.0</v>
      </c>
      <c r="E118" s="182" t="s">
        <v>1777</v>
      </c>
      <c r="F118" s="145">
        <v>-19.0</v>
      </c>
      <c r="G118" s="147" t="s">
        <v>1660</v>
      </c>
      <c r="H118" s="140" t="s">
        <v>1658</v>
      </c>
      <c r="I118" s="147" t="s">
        <v>1674</v>
      </c>
      <c r="J118" s="131"/>
      <c r="K118" s="89"/>
      <c r="L118" s="89"/>
      <c r="M118" s="89"/>
      <c r="N118" s="89"/>
      <c r="O118" s="89"/>
      <c r="P118" s="89"/>
      <c r="Q118" s="89"/>
      <c r="R118" s="89"/>
      <c r="S118" s="89"/>
      <c r="T118" s="89"/>
      <c r="U118" s="89"/>
      <c r="V118" s="89"/>
      <c r="W118" s="89"/>
      <c r="X118" s="89"/>
      <c r="Y118" s="89"/>
      <c r="Z118" s="89"/>
      <c r="AA118" s="89"/>
    </row>
    <row r="119" ht="14.25" customHeight="1">
      <c r="A119" s="143">
        <v>2026.0</v>
      </c>
      <c r="B119" s="151">
        <v>4.0</v>
      </c>
      <c r="C119" s="125"/>
      <c r="D119" s="177">
        <v>46122.0</v>
      </c>
      <c r="E119" s="182" t="s">
        <v>1778</v>
      </c>
      <c r="F119" s="145">
        <v>-6.9</v>
      </c>
      <c r="G119" s="147" t="s">
        <v>1660</v>
      </c>
      <c r="H119" s="140" t="s">
        <v>1658</v>
      </c>
      <c r="I119" s="147" t="s">
        <v>1674</v>
      </c>
      <c r="J119" s="131"/>
      <c r="K119" s="89"/>
      <c r="L119" s="89"/>
      <c r="M119" s="89"/>
      <c r="N119" s="89"/>
      <c r="O119" s="89"/>
      <c r="P119" s="89"/>
      <c r="Q119" s="89"/>
      <c r="R119" s="89"/>
      <c r="S119" s="89"/>
      <c r="T119" s="89"/>
      <c r="U119" s="89"/>
      <c r="V119" s="89"/>
      <c r="W119" s="89"/>
      <c r="X119" s="89"/>
      <c r="Y119" s="89"/>
      <c r="Z119" s="89"/>
      <c r="AA119" s="89"/>
    </row>
    <row r="120" ht="14.25" customHeight="1">
      <c r="A120" s="143">
        <v>2026.0</v>
      </c>
      <c r="B120" s="151">
        <v>4.0</v>
      </c>
      <c r="C120" s="125"/>
      <c r="D120" s="177">
        <v>46122.0</v>
      </c>
      <c r="E120" s="182" t="s">
        <v>1779</v>
      </c>
      <c r="F120" s="145">
        <v>-19.68</v>
      </c>
      <c r="G120" s="147" t="s">
        <v>1660</v>
      </c>
      <c r="H120" s="140" t="s">
        <v>1658</v>
      </c>
      <c r="I120" s="147" t="s">
        <v>1674</v>
      </c>
      <c r="J120" s="131"/>
      <c r="K120" s="89"/>
      <c r="L120" s="89"/>
      <c r="M120" s="89"/>
      <c r="N120" s="89"/>
      <c r="O120" s="89"/>
      <c r="P120" s="89"/>
      <c r="Q120" s="89"/>
      <c r="R120" s="89"/>
      <c r="S120" s="89"/>
      <c r="T120" s="89"/>
      <c r="U120" s="89"/>
      <c r="V120" s="89"/>
      <c r="W120" s="89"/>
      <c r="X120" s="89"/>
      <c r="Y120" s="89"/>
      <c r="Z120" s="89"/>
      <c r="AA120" s="89"/>
    </row>
    <row r="121" ht="14.25" customHeight="1">
      <c r="A121" s="143">
        <v>2026.0</v>
      </c>
      <c r="B121" s="151">
        <v>4.0</v>
      </c>
      <c r="C121" s="125"/>
      <c r="D121" s="177">
        <v>46122.0</v>
      </c>
      <c r="E121" s="178" t="s">
        <v>1780</v>
      </c>
      <c r="F121" s="145">
        <v>-1000.0</v>
      </c>
      <c r="G121" s="147" t="s">
        <v>1649</v>
      </c>
      <c r="H121" s="140" t="s">
        <v>1730</v>
      </c>
      <c r="I121" s="147" t="s">
        <v>1674</v>
      </c>
      <c r="J121" s="131"/>
      <c r="K121" s="89"/>
      <c r="L121" s="89"/>
      <c r="M121" s="89"/>
      <c r="N121" s="89"/>
      <c r="O121" s="89"/>
      <c r="P121" s="89"/>
      <c r="Q121" s="89"/>
      <c r="R121" s="89"/>
      <c r="S121" s="89"/>
      <c r="T121" s="89"/>
      <c r="U121" s="89"/>
      <c r="V121" s="89"/>
      <c r="W121" s="89"/>
      <c r="X121" s="89"/>
      <c r="Y121" s="89"/>
      <c r="Z121" s="89"/>
      <c r="AA121" s="89"/>
    </row>
    <row r="122" ht="14.25" customHeight="1">
      <c r="A122" s="143">
        <v>2026.0</v>
      </c>
      <c r="B122" s="151">
        <v>4.0</v>
      </c>
      <c r="C122" s="125"/>
      <c r="D122" s="177">
        <v>46125.0</v>
      </c>
      <c r="E122" s="182" t="s">
        <v>1781</v>
      </c>
      <c r="F122" s="145">
        <v>-1.5</v>
      </c>
      <c r="G122" s="147" t="s">
        <v>1653</v>
      </c>
      <c r="H122" s="140" t="s">
        <v>1658</v>
      </c>
      <c r="I122" s="147" t="s">
        <v>1674</v>
      </c>
      <c r="J122" s="131"/>
      <c r="K122" s="89"/>
      <c r="L122" s="89"/>
      <c r="M122" s="89"/>
      <c r="N122" s="89"/>
      <c r="O122" s="89"/>
      <c r="P122" s="89"/>
      <c r="Q122" s="89"/>
      <c r="R122" s="89"/>
      <c r="S122" s="89"/>
      <c r="T122" s="89"/>
      <c r="U122" s="89"/>
      <c r="V122" s="89"/>
      <c r="W122" s="89"/>
      <c r="X122" s="89"/>
      <c r="Y122" s="89"/>
      <c r="Z122" s="89"/>
      <c r="AA122" s="89"/>
    </row>
    <row r="123" ht="14.25" customHeight="1">
      <c r="A123" s="143">
        <v>2026.0</v>
      </c>
      <c r="B123" s="151">
        <v>4.0</v>
      </c>
      <c r="C123" s="125"/>
      <c r="D123" s="177">
        <v>46125.0</v>
      </c>
      <c r="E123" s="182" t="s">
        <v>1782</v>
      </c>
      <c r="F123" s="145">
        <v>-14.5</v>
      </c>
      <c r="G123" s="147" t="s">
        <v>1660</v>
      </c>
      <c r="H123" s="140" t="s">
        <v>1658</v>
      </c>
      <c r="I123" s="147" t="s">
        <v>1674</v>
      </c>
      <c r="J123" s="131"/>
      <c r="K123" s="89"/>
      <c r="L123" s="89"/>
      <c r="M123" s="89"/>
      <c r="N123" s="89"/>
      <c r="O123" s="89"/>
      <c r="P123" s="89"/>
      <c r="Q123" s="89"/>
      <c r="R123" s="89"/>
      <c r="S123" s="89"/>
      <c r="T123" s="89"/>
      <c r="U123" s="89"/>
      <c r="V123" s="89"/>
      <c r="W123" s="89"/>
      <c r="X123" s="89"/>
      <c r="Y123" s="89"/>
      <c r="Z123" s="89"/>
      <c r="AA123" s="89"/>
    </row>
    <row r="124" ht="14.25" customHeight="1">
      <c r="A124" s="143">
        <v>2026.0</v>
      </c>
      <c r="B124" s="151">
        <v>4.0</v>
      </c>
      <c r="C124" s="125"/>
      <c r="D124" s="177">
        <v>46126.0</v>
      </c>
      <c r="E124" s="182" t="s">
        <v>1783</v>
      </c>
      <c r="F124" s="145">
        <v>-1.2</v>
      </c>
      <c r="G124" s="147" t="s">
        <v>1660</v>
      </c>
      <c r="H124" s="140" t="s">
        <v>1658</v>
      </c>
      <c r="I124" s="147" t="s">
        <v>1674</v>
      </c>
      <c r="J124" s="131"/>
      <c r="K124" s="89"/>
      <c r="L124" s="89"/>
      <c r="M124" s="89"/>
      <c r="N124" s="89"/>
      <c r="O124" s="89"/>
      <c r="P124" s="89"/>
      <c r="Q124" s="89"/>
      <c r="R124" s="89"/>
      <c r="S124" s="89"/>
      <c r="T124" s="89"/>
      <c r="U124" s="89"/>
      <c r="V124" s="89"/>
      <c r="W124" s="89"/>
      <c r="X124" s="89"/>
      <c r="Y124" s="89"/>
      <c r="Z124" s="89"/>
      <c r="AA124" s="89"/>
    </row>
    <row r="125" ht="14.25" customHeight="1">
      <c r="A125" s="143">
        <v>2026.0</v>
      </c>
      <c r="B125" s="151">
        <v>4.0</v>
      </c>
      <c r="C125" s="125"/>
      <c r="D125" s="177">
        <v>46126.0</v>
      </c>
      <c r="E125" s="182" t="s">
        <v>1784</v>
      </c>
      <c r="F125" s="145">
        <v>-14.1</v>
      </c>
      <c r="G125" s="147" t="s">
        <v>1660</v>
      </c>
      <c r="H125" s="140" t="s">
        <v>1658</v>
      </c>
      <c r="I125" s="147" t="s">
        <v>1674</v>
      </c>
      <c r="J125" s="131"/>
      <c r="K125" s="89"/>
      <c r="L125" s="89"/>
      <c r="M125" s="89"/>
      <c r="N125" s="89"/>
      <c r="O125" s="89"/>
      <c r="P125" s="89"/>
      <c r="Q125" s="89"/>
      <c r="R125" s="89"/>
      <c r="S125" s="89"/>
      <c r="T125" s="89"/>
      <c r="U125" s="89"/>
      <c r="V125" s="89"/>
      <c r="W125" s="89"/>
      <c r="X125" s="89"/>
      <c r="Y125" s="89"/>
      <c r="Z125" s="89"/>
      <c r="AA125" s="89"/>
    </row>
    <row r="126" ht="14.25" customHeight="1">
      <c r="A126" s="143">
        <v>2026.0</v>
      </c>
      <c r="B126" s="151">
        <v>4.0</v>
      </c>
      <c r="C126" s="125"/>
      <c r="D126" s="177">
        <v>46128.0</v>
      </c>
      <c r="E126" s="182" t="s">
        <v>1785</v>
      </c>
      <c r="F126" s="145">
        <v>-4.9</v>
      </c>
      <c r="G126" s="147" t="s">
        <v>1660</v>
      </c>
      <c r="H126" s="140" t="s">
        <v>1658</v>
      </c>
      <c r="I126" s="147" t="s">
        <v>1674</v>
      </c>
      <c r="J126" s="131"/>
      <c r="K126" s="89"/>
      <c r="L126" s="89"/>
      <c r="M126" s="89"/>
      <c r="N126" s="89"/>
      <c r="O126" s="89"/>
      <c r="P126" s="89"/>
      <c r="Q126" s="89"/>
      <c r="R126" s="89"/>
      <c r="S126" s="89"/>
      <c r="T126" s="89"/>
      <c r="U126" s="89"/>
      <c r="V126" s="89"/>
      <c r="W126" s="89"/>
      <c r="X126" s="89"/>
      <c r="Y126" s="89"/>
      <c r="Z126" s="89"/>
      <c r="AA126" s="89"/>
    </row>
    <row r="127" ht="14.25" customHeight="1">
      <c r="A127" s="143">
        <v>2026.0</v>
      </c>
      <c r="B127" s="151">
        <v>4.0</v>
      </c>
      <c r="C127" s="125"/>
      <c r="D127" s="177">
        <v>46128.0</v>
      </c>
      <c r="E127" s="182" t="s">
        <v>1786</v>
      </c>
      <c r="F127" s="145">
        <v>-6.98</v>
      </c>
      <c r="G127" s="147" t="s">
        <v>1660</v>
      </c>
      <c r="H127" s="140" t="s">
        <v>1658</v>
      </c>
      <c r="I127" s="147" t="s">
        <v>1674</v>
      </c>
      <c r="J127" s="131"/>
      <c r="K127" s="89"/>
      <c r="L127" s="89"/>
      <c r="M127" s="89"/>
      <c r="N127" s="89"/>
      <c r="O127" s="89"/>
      <c r="P127" s="89"/>
      <c r="Q127" s="89"/>
      <c r="R127" s="89"/>
      <c r="S127" s="89"/>
      <c r="T127" s="89"/>
      <c r="U127" s="89"/>
      <c r="V127" s="89"/>
      <c r="W127" s="89"/>
      <c r="X127" s="89"/>
      <c r="Y127" s="89"/>
      <c r="Z127" s="89"/>
      <c r="AA127" s="89"/>
    </row>
    <row r="128" ht="14.25" customHeight="1">
      <c r="A128" s="143">
        <v>2026.0</v>
      </c>
      <c r="B128" s="151">
        <v>4.0</v>
      </c>
      <c r="C128" s="125"/>
      <c r="D128" s="177">
        <v>46129.0</v>
      </c>
      <c r="E128" s="182" t="s">
        <v>1787</v>
      </c>
      <c r="F128" s="145">
        <v>-20.0</v>
      </c>
      <c r="G128" s="147" t="s">
        <v>1652</v>
      </c>
      <c r="H128" s="140" t="s">
        <v>1626</v>
      </c>
      <c r="I128" s="147" t="s">
        <v>1674</v>
      </c>
      <c r="J128" s="131"/>
      <c r="K128" s="89"/>
      <c r="L128" s="89"/>
      <c r="M128" s="89"/>
      <c r="N128" s="89"/>
      <c r="O128" s="89"/>
      <c r="P128" s="89"/>
      <c r="Q128" s="89"/>
      <c r="R128" s="89"/>
      <c r="S128" s="89"/>
      <c r="T128" s="89"/>
      <c r="U128" s="89"/>
      <c r="V128" s="89"/>
      <c r="W128" s="89"/>
      <c r="X128" s="89"/>
      <c r="Y128" s="89"/>
      <c r="Z128" s="89"/>
      <c r="AA128" s="89"/>
    </row>
    <row r="129" ht="14.25" customHeight="1">
      <c r="A129" s="143">
        <v>2026.0</v>
      </c>
      <c r="B129" s="151">
        <v>4.0</v>
      </c>
      <c r="C129" s="125"/>
      <c r="D129" s="177">
        <v>46129.0</v>
      </c>
      <c r="E129" s="178" t="s">
        <v>1788</v>
      </c>
      <c r="F129" s="145">
        <v>-11.82</v>
      </c>
      <c r="G129" s="147" t="s">
        <v>1653</v>
      </c>
      <c r="H129" s="140" t="s">
        <v>1658</v>
      </c>
      <c r="I129" s="147" t="s">
        <v>1674</v>
      </c>
      <c r="J129" s="131"/>
      <c r="K129" s="89"/>
      <c r="L129" s="89"/>
      <c r="M129" s="89"/>
      <c r="N129" s="89"/>
      <c r="O129" s="89"/>
      <c r="P129" s="89"/>
      <c r="Q129" s="89"/>
      <c r="R129" s="89"/>
      <c r="S129" s="89"/>
      <c r="T129" s="89"/>
      <c r="U129" s="89"/>
      <c r="V129" s="89"/>
      <c r="W129" s="89"/>
      <c r="X129" s="89"/>
      <c r="Y129" s="89"/>
      <c r="Z129" s="89"/>
      <c r="AA129" s="89"/>
    </row>
    <row r="130" ht="14.25" customHeight="1">
      <c r="A130" s="143">
        <v>2026.0</v>
      </c>
      <c r="B130" s="151">
        <v>4.0</v>
      </c>
      <c r="C130" s="125"/>
      <c r="D130" s="177">
        <v>46129.0</v>
      </c>
      <c r="E130" s="178" t="s">
        <v>1789</v>
      </c>
      <c r="F130" s="145">
        <v>-9.74</v>
      </c>
      <c r="G130" s="147" t="s">
        <v>1653</v>
      </c>
      <c r="H130" s="140" t="s">
        <v>1658</v>
      </c>
      <c r="I130" s="147" t="s">
        <v>1674</v>
      </c>
      <c r="J130" s="131"/>
      <c r="K130" s="89"/>
      <c r="L130" s="89"/>
      <c r="M130" s="89"/>
      <c r="N130" s="89"/>
      <c r="O130" s="89"/>
      <c r="P130" s="89"/>
      <c r="Q130" s="89"/>
      <c r="R130" s="89"/>
      <c r="S130" s="89"/>
      <c r="T130" s="89"/>
      <c r="U130" s="89"/>
      <c r="V130" s="89"/>
      <c r="W130" s="89"/>
      <c r="X130" s="89"/>
      <c r="Y130" s="89"/>
      <c r="Z130" s="89"/>
      <c r="AA130" s="89"/>
    </row>
    <row r="131" ht="14.25" customHeight="1">
      <c r="A131" s="143">
        <v>2026.0</v>
      </c>
      <c r="B131" s="151">
        <v>4.0</v>
      </c>
      <c r="C131" s="125"/>
      <c r="D131" s="177">
        <v>46132.0</v>
      </c>
      <c r="E131" s="178" t="s">
        <v>1790</v>
      </c>
      <c r="F131" s="145">
        <v>-31.0</v>
      </c>
      <c r="G131" s="147" t="s">
        <v>1660</v>
      </c>
      <c r="H131" s="140" t="s">
        <v>1658</v>
      </c>
      <c r="I131" s="147" t="s">
        <v>1674</v>
      </c>
      <c r="J131" s="131"/>
      <c r="K131" s="89"/>
      <c r="L131" s="89"/>
      <c r="M131" s="89"/>
      <c r="N131" s="89"/>
      <c r="O131" s="89"/>
      <c r="P131" s="89"/>
      <c r="Q131" s="89"/>
      <c r="R131" s="89"/>
      <c r="S131" s="89"/>
      <c r="T131" s="89"/>
      <c r="U131" s="89"/>
      <c r="V131" s="89"/>
      <c r="W131" s="89"/>
      <c r="X131" s="89"/>
      <c r="Y131" s="89"/>
      <c r="Z131" s="89"/>
      <c r="AA131" s="89"/>
    </row>
    <row r="132" ht="14.25" customHeight="1">
      <c r="A132" s="143">
        <v>2026.0</v>
      </c>
      <c r="B132" s="151">
        <v>4.0</v>
      </c>
      <c r="C132" s="125"/>
      <c r="D132" s="177">
        <v>46132.0</v>
      </c>
      <c r="E132" s="178" t="s">
        <v>1776</v>
      </c>
      <c r="F132" s="145">
        <v>-2.8</v>
      </c>
      <c r="G132" s="147" t="s">
        <v>1660</v>
      </c>
      <c r="H132" s="140" t="s">
        <v>1658</v>
      </c>
      <c r="I132" s="147" t="s">
        <v>1674</v>
      </c>
      <c r="J132" s="131"/>
      <c r="K132" s="89"/>
      <c r="L132" s="89"/>
      <c r="M132" s="89"/>
      <c r="N132" s="89"/>
      <c r="O132" s="89"/>
      <c r="P132" s="89"/>
      <c r="Q132" s="89"/>
      <c r="R132" s="89"/>
      <c r="S132" s="89"/>
      <c r="T132" s="89"/>
      <c r="U132" s="89"/>
      <c r="V132" s="89"/>
      <c r="W132" s="89"/>
      <c r="X132" s="89"/>
      <c r="Y132" s="89"/>
      <c r="Z132" s="89"/>
      <c r="AA132" s="89"/>
    </row>
    <row r="133" ht="14.25" customHeight="1">
      <c r="A133" s="143">
        <v>2026.0</v>
      </c>
      <c r="B133" s="151">
        <v>4.0</v>
      </c>
      <c r="C133" s="125"/>
      <c r="D133" s="177">
        <v>46132.0</v>
      </c>
      <c r="E133" s="182" t="s">
        <v>1791</v>
      </c>
      <c r="F133" s="145">
        <v>-552.0</v>
      </c>
      <c r="G133" s="147" t="s">
        <v>1649</v>
      </c>
      <c r="H133" s="140" t="s">
        <v>1730</v>
      </c>
      <c r="I133" s="147" t="s">
        <v>1674</v>
      </c>
      <c r="J133" s="131"/>
      <c r="K133" s="89"/>
      <c r="L133" s="89"/>
      <c r="M133" s="89"/>
      <c r="N133" s="89"/>
      <c r="O133" s="89"/>
      <c r="P133" s="89"/>
      <c r="Q133" s="89"/>
      <c r="R133" s="89"/>
      <c r="S133" s="89"/>
      <c r="T133" s="89"/>
      <c r="U133" s="89"/>
      <c r="V133" s="89"/>
      <c r="W133" s="89"/>
      <c r="X133" s="89"/>
      <c r="Y133" s="89"/>
      <c r="Z133" s="89"/>
      <c r="AA133" s="89"/>
    </row>
    <row r="134" ht="14.25" customHeight="1">
      <c r="A134" s="143">
        <v>2026.0</v>
      </c>
      <c r="B134" s="151">
        <v>4.0</v>
      </c>
      <c r="C134" s="125"/>
      <c r="D134" s="177">
        <v>46132.0</v>
      </c>
      <c r="E134" s="182" t="s">
        <v>1792</v>
      </c>
      <c r="F134" s="145">
        <v>-6.6</v>
      </c>
      <c r="G134" s="147" t="s">
        <v>1653</v>
      </c>
      <c r="H134" s="140" t="s">
        <v>1658</v>
      </c>
      <c r="I134" s="147" t="s">
        <v>1674</v>
      </c>
      <c r="J134" s="131"/>
      <c r="K134" s="89"/>
      <c r="L134" s="89"/>
      <c r="M134" s="89"/>
      <c r="N134" s="89"/>
      <c r="O134" s="89"/>
      <c r="P134" s="89"/>
      <c r="Q134" s="89"/>
      <c r="R134" s="89"/>
      <c r="S134" s="89"/>
      <c r="T134" s="89"/>
      <c r="U134" s="89"/>
      <c r="V134" s="89"/>
      <c r="W134" s="89"/>
      <c r="X134" s="89"/>
      <c r="Y134" s="89"/>
      <c r="Z134" s="89"/>
      <c r="AA134" s="89"/>
    </row>
    <row r="135" ht="14.25" customHeight="1">
      <c r="A135" s="143">
        <v>2026.0</v>
      </c>
      <c r="B135" s="151">
        <v>4.0</v>
      </c>
      <c r="C135" s="125"/>
      <c r="D135" s="177">
        <v>46132.0</v>
      </c>
      <c r="E135" s="182" t="s">
        <v>1793</v>
      </c>
      <c r="F135" s="145">
        <v>-27.0</v>
      </c>
      <c r="G135" s="147" t="s">
        <v>1653</v>
      </c>
      <c r="H135" s="140" t="s">
        <v>1658</v>
      </c>
      <c r="I135" s="147" t="s">
        <v>1674</v>
      </c>
      <c r="J135" s="131"/>
      <c r="K135" s="89"/>
      <c r="L135" s="89"/>
      <c r="M135" s="89"/>
      <c r="N135" s="89"/>
      <c r="O135" s="89"/>
      <c r="P135" s="89"/>
      <c r="Q135" s="89"/>
      <c r="R135" s="89"/>
      <c r="S135" s="89"/>
      <c r="T135" s="89"/>
      <c r="U135" s="89"/>
      <c r="V135" s="89"/>
      <c r="W135" s="89"/>
      <c r="X135" s="89"/>
      <c r="Y135" s="89"/>
      <c r="Z135" s="89"/>
      <c r="AA135" s="89"/>
    </row>
    <row r="136" ht="14.25" customHeight="1">
      <c r="A136" s="143">
        <v>2026.0</v>
      </c>
      <c r="B136" s="151">
        <v>4.0</v>
      </c>
      <c r="C136" s="125"/>
      <c r="D136" s="177">
        <v>46132.0</v>
      </c>
      <c r="E136" s="182" t="s">
        <v>1794</v>
      </c>
      <c r="F136" s="145">
        <v>-5.5</v>
      </c>
      <c r="G136" s="147" t="s">
        <v>1653</v>
      </c>
      <c r="H136" s="140" t="s">
        <v>1658</v>
      </c>
      <c r="I136" s="147" t="s">
        <v>1674</v>
      </c>
      <c r="J136" s="131"/>
      <c r="K136" s="89"/>
      <c r="L136" s="89"/>
      <c r="M136" s="89"/>
      <c r="N136" s="89"/>
      <c r="O136" s="89"/>
      <c r="P136" s="89"/>
      <c r="Q136" s="89"/>
      <c r="R136" s="89"/>
      <c r="S136" s="89"/>
      <c r="T136" s="89"/>
      <c r="U136" s="89"/>
      <c r="V136" s="89"/>
      <c r="W136" s="89"/>
      <c r="X136" s="89"/>
      <c r="Y136" s="89"/>
      <c r="Z136" s="89"/>
      <c r="AA136" s="89"/>
    </row>
    <row r="137" ht="14.25" customHeight="1">
      <c r="A137" s="143">
        <v>2026.0</v>
      </c>
      <c r="B137" s="151">
        <v>4.0</v>
      </c>
      <c r="C137" s="125"/>
      <c r="D137" s="177">
        <v>46135.0</v>
      </c>
      <c r="E137" s="182" t="s">
        <v>1795</v>
      </c>
      <c r="F137" s="145">
        <v>-11.09</v>
      </c>
      <c r="G137" s="147" t="s">
        <v>1653</v>
      </c>
      <c r="H137" s="140" t="s">
        <v>1658</v>
      </c>
      <c r="I137" s="147" t="s">
        <v>1674</v>
      </c>
      <c r="J137" s="131"/>
      <c r="K137" s="89"/>
      <c r="L137" s="89"/>
      <c r="M137" s="89"/>
      <c r="N137" s="89"/>
      <c r="O137" s="89"/>
      <c r="P137" s="89"/>
      <c r="Q137" s="89"/>
      <c r="R137" s="89"/>
      <c r="S137" s="89"/>
      <c r="T137" s="89"/>
      <c r="U137" s="89"/>
      <c r="V137" s="89"/>
      <c r="W137" s="89"/>
      <c r="X137" s="89"/>
      <c r="Y137" s="89"/>
      <c r="Z137" s="89"/>
      <c r="AA137" s="89"/>
    </row>
    <row r="138" ht="14.25" customHeight="1">
      <c r="A138" s="143">
        <v>2026.0</v>
      </c>
      <c r="B138" s="151">
        <v>4.0</v>
      </c>
      <c r="C138" s="125"/>
      <c r="D138" s="177">
        <v>46136.0</v>
      </c>
      <c r="E138" s="178" t="s">
        <v>1796</v>
      </c>
      <c r="F138" s="145">
        <v>-4.2</v>
      </c>
      <c r="G138" s="147" t="s">
        <v>1660</v>
      </c>
      <c r="H138" s="140" t="s">
        <v>1658</v>
      </c>
      <c r="I138" s="147" t="s">
        <v>1674</v>
      </c>
      <c r="J138" s="131"/>
      <c r="K138" s="89"/>
      <c r="L138" s="89"/>
      <c r="M138" s="89"/>
      <c r="N138" s="89"/>
      <c r="O138" s="89"/>
      <c r="P138" s="89"/>
      <c r="Q138" s="89"/>
      <c r="R138" s="89"/>
      <c r="S138" s="89"/>
      <c r="T138" s="89"/>
      <c r="U138" s="89"/>
      <c r="V138" s="89"/>
      <c r="W138" s="89"/>
      <c r="X138" s="89"/>
      <c r="Y138" s="89"/>
      <c r="Z138" s="89"/>
      <c r="AA138" s="89"/>
    </row>
    <row r="139" ht="14.25" customHeight="1">
      <c r="A139" s="143">
        <v>2026.0</v>
      </c>
      <c r="B139" s="151">
        <v>4.0</v>
      </c>
      <c r="C139" s="125"/>
      <c r="D139" s="177">
        <v>46139.0</v>
      </c>
      <c r="E139" s="178" t="s">
        <v>1797</v>
      </c>
      <c r="F139" s="145">
        <v>-2.7</v>
      </c>
      <c r="G139" s="147" t="s">
        <v>1660</v>
      </c>
      <c r="H139" s="140" t="s">
        <v>1658</v>
      </c>
      <c r="I139" s="147" t="s">
        <v>1674</v>
      </c>
      <c r="J139" s="131"/>
      <c r="K139" s="89"/>
      <c r="L139" s="89"/>
      <c r="M139" s="89"/>
      <c r="N139" s="89"/>
      <c r="O139" s="89"/>
      <c r="P139" s="89"/>
      <c r="Q139" s="89"/>
      <c r="R139" s="89"/>
      <c r="S139" s="89"/>
      <c r="T139" s="89"/>
      <c r="U139" s="89"/>
      <c r="V139" s="89"/>
      <c r="W139" s="89"/>
      <c r="X139" s="89"/>
      <c r="Y139" s="89"/>
      <c r="Z139" s="89"/>
      <c r="AA139" s="89"/>
    </row>
    <row r="140" ht="14.25" customHeight="1">
      <c r="A140" s="143">
        <v>2026.0</v>
      </c>
      <c r="B140" s="151">
        <v>4.0</v>
      </c>
      <c r="C140" s="125"/>
      <c r="D140" s="177">
        <v>46139.0</v>
      </c>
      <c r="E140" s="178" t="s">
        <v>1798</v>
      </c>
      <c r="F140" s="145">
        <v>-2.5</v>
      </c>
      <c r="G140" s="147" t="s">
        <v>1660</v>
      </c>
      <c r="H140" s="140" t="s">
        <v>1658</v>
      </c>
      <c r="I140" s="147" t="s">
        <v>1674</v>
      </c>
      <c r="J140" s="131"/>
      <c r="K140" s="89"/>
      <c r="L140" s="89"/>
      <c r="M140" s="89"/>
      <c r="N140" s="89"/>
      <c r="O140" s="89"/>
      <c r="P140" s="89"/>
      <c r="Q140" s="89"/>
      <c r="R140" s="89"/>
      <c r="S140" s="89"/>
      <c r="T140" s="89"/>
      <c r="U140" s="89"/>
      <c r="V140" s="89"/>
      <c r="W140" s="89"/>
      <c r="X140" s="89"/>
      <c r="Y140" s="89"/>
      <c r="Z140" s="89"/>
      <c r="AA140" s="89"/>
    </row>
    <row r="141" ht="14.25" customHeight="1">
      <c r="A141" s="143">
        <v>2026.0</v>
      </c>
      <c r="B141" s="151">
        <v>4.0</v>
      </c>
      <c r="C141" s="125"/>
      <c r="D141" s="177">
        <v>46139.0</v>
      </c>
      <c r="E141" s="178" t="s">
        <v>1799</v>
      </c>
      <c r="F141" s="145">
        <v>-4.0</v>
      </c>
      <c r="G141" s="147" t="s">
        <v>1660</v>
      </c>
      <c r="H141" s="140" t="s">
        <v>1658</v>
      </c>
      <c r="I141" s="147" t="s">
        <v>1674</v>
      </c>
      <c r="J141" s="131"/>
      <c r="K141" s="89"/>
      <c r="L141" s="89"/>
      <c r="M141" s="89"/>
      <c r="N141" s="89"/>
      <c r="O141" s="89"/>
      <c r="P141" s="89"/>
      <c r="Q141" s="89"/>
      <c r="R141" s="89"/>
      <c r="S141" s="89"/>
      <c r="T141" s="89"/>
      <c r="U141" s="89"/>
      <c r="V141" s="89"/>
      <c r="W141" s="89"/>
      <c r="X141" s="89"/>
      <c r="Y141" s="89"/>
      <c r="Z141" s="89"/>
      <c r="AA141" s="89"/>
    </row>
    <row r="142" ht="14.25" customHeight="1">
      <c r="A142" s="143">
        <v>2026.0</v>
      </c>
      <c r="B142" s="151">
        <v>4.0</v>
      </c>
      <c r="C142" s="125"/>
      <c r="D142" s="177">
        <v>46141.0</v>
      </c>
      <c r="E142" s="182" t="s">
        <v>1800</v>
      </c>
      <c r="F142" s="145">
        <v>-8.7</v>
      </c>
      <c r="G142" s="147" t="s">
        <v>1653</v>
      </c>
      <c r="H142" s="140" t="s">
        <v>1658</v>
      </c>
      <c r="I142" s="147" t="s">
        <v>1674</v>
      </c>
      <c r="J142" s="131"/>
      <c r="K142" s="89"/>
      <c r="L142" s="89"/>
      <c r="M142" s="89"/>
      <c r="N142" s="89"/>
      <c r="O142" s="89"/>
      <c r="P142" s="89"/>
      <c r="Q142" s="89"/>
      <c r="R142" s="89"/>
      <c r="S142" s="89"/>
      <c r="T142" s="89"/>
      <c r="U142" s="89"/>
      <c r="V142" s="89"/>
      <c r="W142" s="89"/>
      <c r="X142" s="89"/>
      <c r="Y142" s="89"/>
      <c r="Z142" s="89"/>
      <c r="AA142" s="89"/>
    </row>
    <row r="143" ht="14.25" customHeight="1">
      <c r="A143" s="151">
        <v>2026.0</v>
      </c>
      <c r="B143" s="151">
        <v>4.0</v>
      </c>
      <c r="C143" s="125"/>
      <c r="D143" s="149">
        <v>46113.625</v>
      </c>
      <c r="E143" s="144" t="s">
        <v>1801</v>
      </c>
      <c r="F143" s="145">
        <v>-16.16</v>
      </c>
      <c r="G143" s="147" t="s">
        <v>1653</v>
      </c>
      <c r="H143" s="140" t="s">
        <v>1658</v>
      </c>
      <c r="I143" s="147" t="s">
        <v>1731</v>
      </c>
      <c r="J143" s="150" t="s">
        <v>1802</v>
      </c>
      <c r="K143" s="89"/>
      <c r="L143" s="89"/>
      <c r="M143" s="89"/>
      <c r="N143" s="89"/>
      <c r="O143" s="89"/>
      <c r="P143" s="89"/>
      <c r="Q143" s="89"/>
      <c r="R143" s="89"/>
      <c r="S143" s="89"/>
      <c r="T143" s="89"/>
      <c r="U143" s="89"/>
      <c r="V143" s="89"/>
      <c r="W143" s="89"/>
      <c r="X143" s="89"/>
      <c r="Y143" s="89"/>
      <c r="Z143" s="89"/>
      <c r="AA143" s="89"/>
    </row>
    <row r="144" ht="14.25" customHeight="1">
      <c r="A144" s="151">
        <v>2026.0</v>
      </c>
      <c r="B144" s="151">
        <v>4.0</v>
      </c>
      <c r="C144" s="125"/>
      <c r="D144" s="149">
        <v>46113.625</v>
      </c>
      <c r="E144" s="144" t="s">
        <v>1803</v>
      </c>
      <c r="F144" s="145">
        <v>-43.46</v>
      </c>
      <c r="G144" s="147" t="s">
        <v>1660</v>
      </c>
      <c r="H144" s="140" t="s">
        <v>1662</v>
      </c>
      <c r="I144" s="147" t="s">
        <v>1731</v>
      </c>
      <c r="J144" s="150" t="s">
        <v>1802</v>
      </c>
      <c r="K144" s="89"/>
      <c r="L144" s="89"/>
      <c r="M144" s="89"/>
      <c r="N144" s="89"/>
      <c r="O144" s="89"/>
      <c r="P144" s="89"/>
      <c r="Q144" s="89"/>
      <c r="R144" s="89"/>
      <c r="S144" s="89"/>
      <c r="T144" s="89"/>
      <c r="U144" s="89"/>
      <c r="V144" s="89"/>
      <c r="W144" s="89"/>
      <c r="X144" s="89"/>
      <c r="Y144" s="89"/>
      <c r="Z144" s="89"/>
      <c r="AA144" s="89"/>
    </row>
    <row r="145" ht="14.25" customHeight="1">
      <c r="A145" s="151">
        <v>2026.0</v>
      </c>
      <c r="B145" s="151">
        <v>4.0</v>
      </c>
      <c r="C145" s="125"/>
      <c r="D145" s="149">
        <v>46114.625</v>
      </c>
      <c r="E145" s="144" t="s">
        <v>1804</v>
      </c>
      <c r="F145" s="145">
        <v>-1.3</v>
      </c>
      <c r="G145" s="147" t="s">
        <v>1653</v>
      </c>
      <c r="H145" s="140" t="s">
        <v>1658</v>
      </c>
      <c r="I145" s="147" t="s">
        <v>1731</v>
      </c>
      <c r="J145" s="150" t="s">
        <v>1802</v>
      </c>
      <c r="K145" s="89"/>
      <c r="L145" s="89"/>
      <c r="M145" s="89"/>
      <c r="N145" s="89"/>
      <c r="O145" s="89"/>
      <c r="P145" s="89"/>
      <c r="Q145" s="89"/>
      <c r="R145" s="89"/>
      <c r="S145" s="89"/>
      <c r="T145" s="89"/>
      <c r="U145" s="89"/>
      <c r="V145" s="89"/>
      <c r="W145" s="89"/>
      <c r="X145" s="89"/>
      <c r="Y145" s="89"/>
      <c r="Z145" s="89"/>
      <c r="AA145" s="89"/>
    </row>
    <row r="146" ht="14.25" customHeight="1">
      <c r="A146" s="151">
        <v>2026.0</v>
      </c>
      <c r="B146" s="151">
        <v>4.0</v>
      </c>
      <c r="C146" s="125"/>
      <c r="D146" s="149">
        <v>46114.625</v>
      </c>
      <c r="E146" s="144" t="s">
        <v>1805</v>
      </c>
      <c r="F146" s="145">
        <v>-146.4</v>
      </c>
      <c r="G146" s="147" t="s">
        <v>1660</v>
      </c>
      <c r="H146" s="140" t="s">
        <v>1661</v>
      </c>
      <c r="I146" s="147" t="s">
        <v>1731</v>
      </c>
      <c r="J146" s="150" t="s">
        <v>1806</v>
      </c>
      <c r="K146" s="89"/>
      <c r="L146" s="89"/>
      <c r="M146" s="89"/>
      <c r="N146" s="89"/>
      <c r="O146" s="89"/>
      <c r="P146" s="89"/>
      <c r="Q146" s="89"/>
      <c r="R146" s="89"/>
      <c r="S146" s="89"/>
      <c r="T146" s="89"/>
      <c r="U146" s="89"/>
      <c r="V146" s="89"/>
      <c r="W146" s="89"/>
      <c r="X146" s="89"/>
      <c r="Y146" s="89"/>
      <c r="Z146" s="89"/>
      <c r="AA146" s="89"/>
    </row>
    <row r="147" ht="14.25" customHeight="1">
      <c r="A147" s="151">
        <v>2026.0</v>
      </c>
      <c r="B147" s="151">
        <v>4.0</v>
      </c>
      <c r="C147" s="125"/>
      <c r="D147" s="149">
        <v>46114.625</v>
      </c>
      <c r="E147" s="144" t="s">
        <v>1807</v>
      </c>
      <c r="F147" s="145">
        <v>-1.3</v>
      </c>
      <c r="G147" s="147" t="s">
        <v>1653</v>
      </c>
      <c r="H147" s="140" t="s">
        <v>1658</v>
      </c>
      <c r="I147" s="147" t="s">
        <v>1731</v>
      </c>
      <c r="J147" s="150" t="s">
        <v>1802</v>
      </c>
      <c r="K147" s="89"/>
      <c r="L147" s="89"/>
      <c r="M147" s="89"/>
      <c r="N147" s="89"/>
      <c r="O147" s="89"/>
      <c r="P147" s="89"/>
      <c r="Q147" s="89"/>
      <c r="R147" s="89"/>
      <c r="S147" s="89"/>
      <c r="T147" s="89"/>
      <c r="U147" s="89"/>
      <c r="V147" s="89"/>
      <c r="W147" s="89"/>
      <c r="X147" s="89"/>
      <c r="Y147" s="89"/>
      <c r="Z147" s="89"/>
      <c r="AA147" s="89"/>
    </row>
    <row r="148" ht="14.25" customHeight="1">
      <c r="A148" s="151">
        <v>2026.0</v>
      </c>
      <c r="B148" s="151">
        <v>4.0</v>
      </c>
      <c r="C148" s="125"/>
      <c r="D148" s="149">
        <v>46114.625</v>
      </c>
      <c r="E148" s="144" t="s">
        <v>1808</v>
      </c>
      <c r="F148" s="145">
        <v>-88.57</v>
      </c>
      <c r="G148" s="147" t="s">
        <v>1652</v>
      </c>
      <c r="H148" s="140" t="s">
        <v>1809</v>
      </c>
      <c r="I148" s="147" t="s">
        <v>1731</v>
      </c>
      <c r="J148" s="150" t="s">
        <v>1802</v>
      </c>
      <c r="K148" s="89"/>
      <c r="L148" s="89"/>
      <c r="M148" s="89"/>
      <c r="N148" s="89"/>
      <c r="O148" s="89"/>
      <c r="P148" s="89"/>
      <c r="Q148" s="89"/>
      <c r="R148" s="89"/>
      <c r="S148" s="89"/>
      <c r="T148" s="89"/>
      <c r="U148" s="89"/>
      <c r="V148" s="89"/>
      <c r="W148" s="89"/>
      <c r="X148" s="89"/>
      <c r="Y148" s="89"/>
      <c r="Z148" s="89"/>
      <c r="AA148" s="89"/>
    </row>
    <row r="149" ht="14.25" customHeight="1">
      <c r="A149" s="151">
        <v>2026.0</v>
      </c>
      <c r="B149" s="151">
        <v>4.0</v>
      </c>
      <c r="C149" s="125"/>
      <c r="D149" s="149">
        <v>46118.625</v>
      </c>
      <c r="E149" s="144" t="s">
        <v>1810</v>
      </c>
      <c r="F149" s="145">
        <v>-1.3</v>
      </c>
      <c r="G149" s="147" t="s">
        <v>1653</v>
      </c>
      <c r="H149" s="140" t="s">
        <v>1658</v>
      </c>
      <c r="I149" s="147" t="s">
        <v>1731</v>
      </c>
      <c r="J149" s="150" t="s">
        <v>1802</v>
      </c>
      <c r="K149" s="89"/>
      <c r="L149" s="89"/>
      <c r="M149" s="89"/>
      <c r="N149" s="89"/>
      <c r="O149" s="89"/>
      <c r="P149" s="89"/>
      <c r="Q149" s="89"/>
      <c r="R149" s="89"/>
      <c r="S149" s="89"/>
      <c r="T149" s="89"/>
      <c r="U149" s="89"/>
      <c r="V149" s="89"/>
      <c r="W149" s="89"/>
      <c r="X149" s="89"/>
      <c r="Y149" s="89"/>
      <c r="Z149" s="89"/>
      <c r="AA149" s="89"/>
    </row>
    <row r="150" ht="14.25" customHeight="1">
      <c r="A150" s="151">
        <v>2026.0</v>
      </c>
      <c r="B150" s="151">
        <v>4.0</v>
      </c>
      <c r="C150" s="125"/>
      <c r="D150" s="149">
        <v>46118.625</v>
      </c>
      <c r="E150" s="144" t="s">
        <v>1811</v>
      </c>
      <c r="F150" s="145">
        <v>-1220.0</v>
      </c>
      <c r="G150" s="147" t="s">
        <v>1660</v>
      </c>
      <c r="H150" s="140" t="s">
        <v>1661</v>
      </c>
      <c r="I150" s="147" t="s">
        <v>1731</v>
      </c>
      <c r="J150" s="150" t="s">
        <v>1806</v>
      </c>
      <c r="K150" s="89"/>
      <c r="L150" s="89"/>
      <c r="M150" s="89"/>
      <c r="N150" s="89"/>
      <c r="O150" s="89"/>
      <c r="P150" s="89"/>
      <c r="Q150" s="89"/>
      <c r="R150" s="89"/>
      <c r="S150" s="89"/>
      <c r="T150" s="89"/>
      <c r="U150" s="89"/>
      <c r="V150" s="89"/>
      <c r="W150" s="89"/>
      <c r="X150" s="89"/>
      <c r="Y150" s="89"/>
      <c r="Z150" s="89"/>
      <c r="AA150" s="89"/>
    </row>
    <row r="151" ht="14.25" customHeight="1">
      <c r="A151" s="151">
        <v>2026.0</v>
      </c>
      <c r="B151" s="151">
        <v>4.0</v>
      </c>
      <c r="C151" s="125"/>
      <c r="D151" s="149">
        <v>46118.625</v>
      </c>
      <c r="E151" s="144" t="s">
        <v>1812</v>
      </c>
      <c r="F151" s="145">
        <v>-1.3</v>
      </c>
      <c r="G151" s="147" t="s">
        <v>1653</v>
      </c>
      <c r="H151" s="140" t="s">
        <v>1658</v>
      </c>
      <c r="I151" s="147" t="s">
        <v>1731</v>
      </c>
      <c r="J151" s="150" t="s">
        <v>1802</v>
      </c>
      <c r="K151" s="89"/>
      <c r="L151" s="89"/>
      <c r="M151" s="89"/>
      <c r="N151" s="89"/>
      <c r="O151" s="89"/>
      <c r="P151" s="89"/>
      <c r="Q151" s="89"/>
      <c r="R151" s="89"/>
      <c r="S151" s="89"/>
      <c r="T151" s="89"/>
      <c r="U151" s="89"/>
      <c r="V151" s="89"/>
      <c r="W151" s="89"/>
      <c r="X151" s="89"/>
      <c r="Y151" s="89"/>
      <c r="Z151" s="89"/>
      <c r="AA151" s="89"/>
    </row>
    <row r="152" ht="14.25" customHeight="1">
      <c r="A152" s="151">
        <v>2026.0</v>
      </c>
      <c r="B152" s="151">
        <v>4.0</v>
      </c>
      <c r="C152" s="125"/>
      <c r="D152" s="149">
        <v>46118.625</v>
      </c>
      <c r="E152" s="144" t="s">
        <v>1813</v>
      </c>
      <c r="F152" s="145">
        <v>-1488.4</v>
      </c>
      <c r="G152" s="147" t="s">
        <v>42</v>
      </c>
      <c r="H152" s="140" t="s">
        <v>1814</v>
      </c>
      <c r="I152" s="147" t="s">
        <v>1731</v>
      </c>
      <c r="J152" s="150" t="s">
        <v>1802</v>
      </c>
      <c r="K152" s="89"/>
      <c r="L152" s="89"/>
      <c r="M152" s="89"/>
      <c r="N152" s="89"/>
      <c r="O152" s="89"/>
      <c r="P152" s="89"/>
      <c r="Q152" s="89"/>
      <c r="R152" s="89"/>
      <c r="S152" s="89"/>
      <c r="T152" s="89"/>
      <c r="U152" s="89"/>
      <c r="V152" s="89"/>
      <c r="W152" s="89"/>
      <c r="X152" s="89"/>
      <c r="Y152" s="89"/>
      <c r="Z152" s="89"/>
      <c r="AA152" s="89"/>
    </row>
    <row r="153" ht="14.25" customHeight="1">
      <c r="A153" s="151">
        <v>2026.0</v>
      </c>
      <c r="B153" s="151">
        <v>4.0</v>
      </c>
      <c r="C153" s="125"/>
      <c r="D153" s="149">
        <v>46118.625</v>
      </c>
      <c r="E153" s="144" t="s">
        <v>1815</v>
      </c>
      <c r="F153" s="145">
        <v>-19.76</v>
      </c>
      <c r="G153" s="147" t="s">
        <v>1653</v>
      </c>
      <c r="H153" s="140" t="s">
        <v>1658</v>
      </c>
      <c r="I153" s="147" t="s">
        <v>1731</v>
      </c>
      <c r="J153" s="150" t="s">
        <v>1802</v>
      </c>
      <c r="K153" s="89"/>
      <c r="L153" s="89"/>
      <c r="M153" s="89"/>
      <c r="N153" s="89"/>
      <c r="O153" s="89"/>
      <c r="P153" s="89"/>
      <c r="Q153" s="89"/>
      <c r="R153" s="89"/>
      <c r="S153" s="89"/>
      <c r="T153" s="89"/>
      <c r="U153" s="89"/>
      <c r="V153" s="89"/>
      <c r="W153" s="89"/>
      <c r="X153" s="89"/>
      <c r="Y153" s="89"/>
      <c r="Z153" s="89"/>
      <c r="AA153" s="89"/>
    </row>
    <row r="154" ht="14.25" customHeight="1">
      <c r="A154" s="151">
        <v>2026.0</v>
      </c>
      <c r="B154" s="151">
        <v>4.0</v>
      </c>
      <c r="C154" s="125"/>
      <c r="D154" s="149">
        <v>46119.625</v>
      </c>
      <c r="E154" s="144" t="s">
        <v>1816</v>
      </c>
      <c r="F154" s="145">
        <v>-20.0</v>
      </c>
      <c r="G154" s="147" t="s">
        <v>1653</v>
      </c>
      <c r="H154" s="140" t="s">
        <v>1658</v>
      </c>
      <c r="I154" s="147" t="s">
        <v>1731</v>
      </c>
      <c r="J154" s="150" t="s">
        <v>1802</v>
      </c>
      <c r="K154" s="89"/>
      <c r="L154" s="89"/>
      <c r="M154" s="89"/>
      <c r="N154" s="89"/>
      <c r="O154" s="89"/>
      <c r="P154" s="89"/>
      <c r="Q154" s="89"/>
      <c r="R154" s="89"/>
      <c r="S154" s="89"/>
      <c r="T154" s="89"/>
      <c r="U154" s="89"/>
      <c r="V154" s="89"/>
      <c r="W154" s="89"/>
      <c r="X154" s="89"/>
      <c r="Y154" s="89"/>
      <c r="Z154" s="89"/>
      <c r="AA154" s="89"/>
    </row>
    <row r="155" ht="14.25" customHeight="1">
      <c r="A155" s="151">
        <v>2026.0</v>
      </c>
      <c r="B155" s="151">
        <v>4.0</v>
      </c>
      <c r="C155" s="125"/>
      <c r="D155" s="149">
        <v>46119.625</v>
      </c>
      <c r="E155" s="144" t="s">
        <v>1817</v>
      </c>
      <c r="F155" s="145">
        <v>-1.3</v>
      </c>
      <c r="G155" s="147" t="s">
        <v>1653</v>
      </c>
      <c r="H155" s="140" t="s">
        <v>1658</v>
      </c>
      <c r="I155" s="147" t="s">
        <v>1731</v>
      </c>
      <c r="J155" s="150" t="s">
        <v>1802</v>
      </c>
      <c r="K155" s="89"/>
      <c r="L155" s="89"/>
      <c r="M155" s="89"/>
      <c r="N155" s="89"/>
      <c r="O155" s="89"/>
      <c r="P155" s="89"/>
      <c r="Q155" s="89"/>
      <c r="R155" s="89"/>
      <c r="S155" s="89"/>
      <c r="T155" s="89"/>
      <c r="U155" s="89"/>
      <c r="V155" s="89"/>
      <c r="W155" s="89"/>
      <c r="X155" s="89"/>
      <c r="Y155" s="89"/>
      <c r="Z155" s="89"/>
      <c r="AA155" s="89"/>
    </row>
    <row r="156" ht="14.25" customHeight="1">
      <c r="A156" s="151">
        <v>2026.0</v>
      </c>
      <c r="B156" s="151">
        <v>4.0</v>
      </c>
      <c r="C156" s="125"/>
      <c r="D156" s="149">
        <v>46119.625</v>
      </c>
      <c r="E156" s="144" t="s">
        <v>1818</v>
      </c>
      <c r="F156" s="145">
        <v>-309.15</v>
      </c>
      <c r="G156" s="147" t="s">
        <v>42</v>
      </c>
      <c r="H156" s="140" t="s">
        <v>1819</v>
      </c>
      <c r="I156" s="147" t="s">
        <v>1731</v>
      </c>
      <c r="J156" s="150" t="s">
        <v>1802</v>
      </c>
      <c r="K156" s="89"/>
      <c r="L156" s="89"/>
      <c r="M156" s="89"/>
      <c r="N156" s="89"/>
      <c r="O156" s="89"/>
      <c r="P156" s="89"/>
      <c r="Q156" s="89"/>
      <c r="R156" s="89"/>
      <c r="S156" s="89"/>
      <c r="T156" s="89"/>
      <c r="U156" s="89"/>
      <c r="V156" s="89"/>
      <c r="W156" s="89"/>
      <c r="X156" s="89"/>
      <c r="Y156" s="89"/>
      <c r="Z156" s="89"/>
      <c r="AA156" s="89"/>
    </row>
    <row r="157" ht="14.25" customHeight="1">
      <c r="A157" s="151">
        <v>2026.0</v>
      </c>
      <c r="B157" s="151">
        <v>4.0</v>
      </c>
      <c r="C157" s="125"/>
      <c r="D157" s="149">
        <v>46119.625</v>
      </c>
      <c r="E157" s="144" t="s">
        <v>1820</v>
      </c>
      <c r="F157" s="145">
        <v>-1.3</v>
      </c>
      <c r="G157" s="147" t="s">
        <v>1653</v>
      </c>
      <c r="H157" s="140" t="s">
        <v>1658</v>
      </c>
      <c r="I157" s="147" t="s">
        <v>1731</v>
      </c>
      <c r="J157" s="150" t="s">
        <v>1802</v>
      </c>
      <c r="K157" s="89"/>
      <c r="L157" s="89"/>
      <c r="M157" s="89"/>
      <c r="N157" s="89"/>
      <c r="O157" s="89"/>
      <c r="P157" s="89"/>
      <c r="Q157" s="89"/>
      <c r="R157" s="89"/>
      <c r="S157" s="89"/>
      <c r="T157" s="89"/>
      <c r="U157" s="89"/>
      <c r="V157" s="89"/>
      <c r="W157" s="89"/>
      <c r="X157" s="89"/>
      <c r="Y157" s="89"/>
      <c r="Z157" s="89"/>
      <c r="AA157" s="89"/>
    </row>
    <row r="158" ht="14.25" customHeight="1">
      <c r="A158" s="151">
        <v>2026.0</v>
      </c>
      <c r="B158" s="151">
        <v>4.0</v>
      </c>
      <c r="C158" s="125"/>
      <c r="D158" s="149">
        <v>46119.625</v>
      </c>
      <c r="E158" s="144" t="s">
        <v>1821</v>
      </c>
      <c r="F158" s="145">
        <v>-309.15</v>
      </c>
      <c r="G158" s="147" t="s">
        <v>42</v>
      </c>
      <c r="H158" s="140" t="s">
        <v>1822</v>
      </c>
      <c r="I158" s="147" t="s">
        <v>1731</v>
      </c>
      <c r="J158" s="150" t="s">
        <v>1802</v>
      </c>
      <c r="K158" s="89"/>
      <c r="L158" s="89"/>
      <c r="M158" s="89"/>
      <c r="N158" s="89"/>
      <c r="O158" s="89"/>
      <c r="P158" s="89"/>
      <c r="Q158" s="89"/>
      <c r="R158" s="89"/>
      <c r="S158" s="89"/>
      <c r="T158" s="89"/>
      <c r="U158" s="89"/>
      <c r="V158" s="89"/>
      <c r="W158" s="89"/>
      <c r="X158" s="89"/>
      <c r="Y158" s="89"/>
      <c r="Z158" s="89"/>
      <c r="AA158" s="89"/>
    </row>
    <row r="159" ht="14.25" customHeight="1">
      <c r="A159" s="151">
        <v>2026.0</v>
      </c>
      <c r="B159" s="151">
        <v>4.0</v>
      </c>
      <c r="C159" s="125"/>
      <c r="D159" s="149">
        <v>46119.625</v>
      </c>
      <c r="E159" s="144" t="s">
        <v>1823</v>
      </c>
      <c r="F159" s="145">
        <v>-153.88</v>
      </c>
      <c r="G159" s="147" t="s">
        <v>1660</v>
      </c>
      <c r="H159" s="140" t="s">
        <v>1658</v>
      </c>
      <c r="I159" s="147" t="s">
        <v>1731</v>
      </c>
      <c r="J159" s="150" t="s">
        <v>1802</v>
      </c>
      <c r="K159" s="89"/>
      <c r="L159" s="89"/>
      <c r="M159" s="89"/>
      <c r="N159" s="89"/>
      <c r="O159" s="89"/>
      <c r="P159" s="89"/>
      <c r="Q159" s="89"/>
      <c r="R159" s="89"/>
      <c r="S159" s="89"/>
      <c r="T159" s="89"/>
      <c r="U159" s="89"/>
      <c r="V159" s="89"/>
      <c r="W159" s="89"/>
      <c r="X159" s="89"/>
      <c r="Y159" s="89"/>
      <c r="Z159" s="89"/>
      <c r="AA159" s="89"/>
    </row>
    <row r="160" ht="14.25" customHeight="1">
      <c r="A160" s="151">
        <v>2026.0</v>
      </c>
      <c r="B160" s="151">
        <v>4.0</v>
      </c>
      <c r="C160" s="125"/>
      <c r="D160" s="149">
        <v>46121.625</v>
      </c>
      <c r="E160" s="144" t="s">
        <v>1824</v>
      </c>
      <c r="F160" s="145">
        <v>-1.3</v>
      </c>
      <c r="G160" s="147" t="s">
        <v>1653</v>
      </c>
      <c r="H160" s="140" t="s">
        <v>1658</v>
      </c>
      <c r="I160" s="147" t="s">
        <v>1731</v>
      </c>
      <c r="J160" s="150" t="s">
        <v>1802</v>
      </c>
      <c r="K160" s="89"/>
      <c r="L160" s="89"/>
      <c r="M160" s="89"/>
      <c r="N160" s="89"/>
      <c r="O160" s="89"/>
      <c r="P160" s="89"/>
      <c r="Q160" s="89"/>
      <c r="R160" s="89"/>
      <c r="S160" s="89"/>
      <c r="T160" s="89"/>
      <c r="U160" s="89"/>
      <c r="V160" s="89"/>
      <c r="W160" s="89"/>
      <c r="X160" s="89"/>
      <c r="Y160" s="89"/>
      <c r="Z160" s="89"/>
      <c r="AA160" s="89"/>
    </row>
    <row r="161" ht="14.25" customHeight="1">
      <c r="A161" s="151">
        <v>2026.0</v>
      </c>
      <c r="B161" s="151">
        <v>4.0</v>
      </c>
      <c r="C161" s="125"/>
      <c r="D161" s="149">
        <v>46121.625</v>
      </c>
      <c r="E161" s="144" t="s">
        <v>1825</v>
      </c>
      <c r="F161" s="145">
        <v>-500.0</v>
      </c>
      <c r="G161" s="147" t="s">
        <v>1660</v>
      </c>
      <c r="H161" s="140" t="s">
        <v>1658</v>
      </c>
      <c r="I161" s="147" t="s">
        <v>1731</v>
      </c>
      <c r="J161" s="150" t="s">
        <v>1826</v>
      </c>
      <c r="K161" s="89"/>
      <c r="L161" s="89"/>
      <c r="M161" s="89"/>
      <c r="N161" s="89"/>
      <c r="O161" s="89"/>
      <c r="P161" s="89"/>
      <c r="Q161" s="89"/>
      <c r="R161" s="89"/>
      <c r="S161" s="89"/>
      <c r="T161" s="89"/>
      <c r="U161" s="89"/>
      <c r="V161" s="89"/>
      <c r="W161" s="89"/>
      <c r="X161" s="89"/>
      <c r="Y161" s="89"/>
      <c r="Z161" s="89"/>
      <c r="AA161" s="89"/>
    </row>
    <row r="162" ht="14.25" customHeight="1">
      <c r="A162" s="151">
        <v>2026.0</v>
      </c>
      <c r="B162" s="151">
        <v>4.0</v>
      </c>
      <c r="C162" s="125"/>
      <c r="D162" s="149">
        <v>46121.625</v>
      </c>
      <c r="E162" s="144" t="s">
        <v>1827</v>
      </c>
      <c r="F162" s="145">
        <v>-26.0</v>
      </c>
      <c r="G162" s="147" t="s">
        <v>1653</v>
      </c>
      <c r="H162" s="140" t="s">
        <v>1658</v>
      </c>
      <c r="I162" s="147" t="s">
        <v>1731</v>
      </c>
      <c r="J162" s="150" t="s">
        <v>1826</v>
      </c>
      <c r="K162" s="89"/>
      <c r="L162" s="89"/>
      <c r="M162" s="89"/>
      <c r="N162" s="89"/>
      <c r="O162" s="89"/>
      <c r="P162" s="89"/>
      <c r="Q162" s="89"/>
      <c r="R162" s="89"/>
      <c r="S162" s="89"/>
      <c r="T162" s="89"/>
      <c r="U162" s="89"/>
      <c r="V162" s="89"/>
      <c r="W162" s="89"/>
      <c r="X162" s="89"/>
      <c r="Y162" s="89"/>
      <c r="Z162" s="89"/>
      <c r="AA162" s="89"/>
    </row>
    <row r="163" ht="14.25" customHeight="1">
      <c r="A163" s="151">
        <v>2026.0</v>
      </c>
      <c r="B163" s="151">
        <v>4.0</v>
      </c>
      <c r="C163" s="125"/>
      <c r="D163" s="149">
        <v>46124.625</v>
      </c>
      <c r="E163" s="144" t="s">
        <v>1828</v>
      </c>
      <c r="F163" s="145">
        <v>-28.2</v>
      </c>
      <c r="G163" s="147" t="s">
        <v>1653</v>
      </c>
      <c r="H163" s="140" t="s">
        <v>1658</v>
      </c>
      <c r="I163" s="147" t="s">
        <v>1731</v>
      </c>
      <c r="J163" s="150" t="s">
        <v>1829</v>
      </c>
      <c r="K163" s="89"/>
      <c r="L163" s="89"/>
      <c r="M163" s="89"/>
      <c r="N163" s="89"/>
      <c r="O163" s="89"/>
      <c r="P163" s="89"/>
      <c r="Q163" s="89"/>
      <c r="R163" s="89"/>
      <c r="S163" s="89"/>
      <c r="T163" s="89"/>
      <c r="U163" s="89"/>
      <c r="V163" s="89"/>
      <c r="W163" s="89"/>
      <c r="X163" s="89"/>
      <c r="Y163" s="89"/>
      <c r="Z163" s="89"/>
      <c r="AA163" s="89"/>
    </row>
    <row r="164" ht="14.25" customHeight="1">
      <c r="A164" s="151">
        <v>2026.0</v>
      </c>
      <c r="B164" s="151">
        <v>4.0</v>
      </c>
      <c r="C164" s="125"/>
      <c r="D164" s="149">
        <v>46124.625</v>
      </c>
      <c r="E164" s="144" t="s">
        <v>1830</v>
      </c>
      <c r="F164" s="145">
        <v>-76.34</v>
      </c>
      <c r="G164" s="147" t="s">
        <v>1660</v>
      </c>
      <c r="H164" s="140" t="s">
        <v>1658</v>
      </c>
      <c r="I164" s="147" t="s">
        <v>1731</v>
      </c>
      <c r="J164" s="150" t="s">
        <v>1826</v>
      </c>
      <c r="K164" s="89"/>
      <c r="L164" s="89"/>
      <c r="M164" s="89"/>
      <c r="N164" s="89"/>
      <c r="O164" s="89"/>
      <c r="P164" s="89"/>
      <c r="Q164" s="89"/>
      <c r="R164" s="89"/>
      <c r="S164" s="89"/>
      <c r="T164" s="89"/>
      <c r="U164" s="89"/>
      <c r="V164" s="89"/>
      <c r="W164" s="89"/>
      <c r="X164" s="89"/>
      <c r="Y164" s="89"/>
      <c r="Z164" s="89"/>
      <c r="AA164" s="89"/>
    </row>
    <row r="165" ht="14.25" customHeight="1">
      <c r="A165" s="151">
        <v>2026.0</v>
      </c>
      <c r="B165" s="151">
        <v>4.0</v>
      </c>
      <c r="C165" s="125"/>
      <c r="D165" s="149">
        <v>46125.625</v>
      </c>
      <c r="E165" s="144" t="s">
        <v>1831</v>
      </c>
      <c r="F165" s="145">
        <v>-1.3</v>
      </c>
      <c r="G165" s="147" t="s">
        <v>1653</v>
      </c>
      <c r="H165" s="140" t="s">
        <v>1658</v>
      </c>
      <c r="I165" s="147" t="s">
        <v>1731</v>
      </c>
      <c r="J165" s="150" t="s">
        <v>1802</v>
      </c>
      <c r="K165" s="89"/>
      <c r="L165" s="89"/>
      <c r="M165" s="89"/>
      <c r="N165" s="89"/>
      <c r="O165" s="89"/>
      <c r="P165" s="89"/>
      <c r="Q165" s="89"/>
      <c r="R165" s="89"/>
      <c r="S165" s="89"/>
      <c r="T165" s="89"/>
      <c r="U165" s="89"/>
      <c r="V165" s="89"/>
      <c r="W165" s="89"/>
      <c r="X165" s="89"/>
      <c r="Y165" s="89"/>
      <c r="Z165" s="89"/>
      <c r="AA165" s="89"/>
    </row>
    <row r="166" ht="14.25" customHeight="1">
      <c r="A166" s="151">
        <v>2026.0</v>
      </c>
      <c r="B166" s="151">
        <v>4.0</v>
      </c>
      <c r="C166" s="125"/>
      <c r="D166" s="149">
        <v>46125.625</v>
      </c>
      <c r="E166" s="144" t="s">
        <v>1832</v>
      </c>
      <c r="F166" s="145">
        <v>-466.49</v>
      </c>
      <c r="G166" s="147" t="s">
        <v>1652</v>
      </c>
      <c r="H166" s="140" t="s">
        <v>1809</v>
      </c>
      <c r="I166" s="147" t="s">
        <v>1731</v>
      </c>
      <c r="J166" s="150" t="s">
        <v>1802</v>
      </c>
      <c r="K166" s="89"/>
      <c r="L166" s="89"/>
      <c r="M166" s="89"/>
      <c r="N166" s="89"/>
      <c r="O166" s="89"/>
      <c r="P166" s="89"/>
      <c r="Q166" s="89"/>
      <c r="R166" s="89"/>
      <c r="S166" s="89"/>
      <c r="T166" s="89"/>
      <c r="U166" s="89"/>
      <c r="V166" s="89"/>
      <c r="W166" s="89"/>
      <c r="X166" s="89"/>
      <c r="Y166" s="89"/>
      <c r="Z166" s="89"/>
      <c r="AA166" s="89"/>
    </row>
    <row r="167" ht="14.25" customHeight="1">
      <c r="A167" s="151">
        <v>2026.0</v>
      </c>
      <c r="B167" s="151">
        <v>4.0</v>
      </c>
      <c r="C167" s="125"/>
      <c r="D167" s="149">
        <v>46127.625</v>
      </c>
      <c r="E167" s="144" t="s">
        <v>1833</v>
      </c>
      <c r="F167" s="145">
        <v>-236.57</v>
      </c>
      <c r="G167" s="147" t="s">
        <v>1650</v>
      </c>
      <c r="H167" s="140" t="s">
        <v>1834</v>
      </c>
      <c r="I167" s="147" t="s">
        <v>1731</v>
      </c>
      <c r="J167" s="150" t="s">
        <v>1802</v>
      </c>
      <c r="K167" s="89"/>
      <c r="L167" s="89"/>
      <c r="M167" s="89"/>
      <c r="N167" s="89"/>
      <c r="O167" s="89"/>
      <c r="P167" s="89"/>
      <c r="Q167" s="89"/>
      <c r="R167" s="89"/>
      <c r="S167" s="89"/>
      <c r="T167" s="89"/>
      <c r="U167" s="89"/>
      <c r="V167" s="89"/>
      <c r="W167" s="89"/>
      <c r="X167" s="89"/>
      <c r="Y167" s="89"/>
      <c r="Z167" s="89"/>
      <c r="AA167" s="89"/>
    </row>
    <row r="168" ht="14.25" customHeight="1">
      <c r="A168" s="151">
        <v>2026.0</v>
      </c>
      <c r="B168" s="151">
        <v>4.0</v>
      </c>
      <c r="C168" s="125"/>
      <c r="D168" s="149">
        <v>46128.625</v>
      </c>
      <c r="E168" s="144" t="s">
        <v>1835</v>
      </c>
      <c r="F168" s="145">
        <v>-1.3</v>
      </c>
      <c r="G168" s="147" t="s">
        <v>1653</v>
      </c>
      <c r="H168" s="140" t="s">
        <v>1658</v>
      </c>
      <c r="I168" s="147" t="s">
        <v>1731</v>
      </c>
      <c r="J168" s="150" t="s">
        <v>1802</v>
      </c>
      <c r="K168" s="89"/>
      <c r="L168" s="89"/>
      <c r="M168" s="89"/>
      <c r="N168" s="89"/>
      <c r="O168" s="89"/>
      <c r="P168" s="89"/>
      <c r="Q168" s="89"/>
      <c r="R168" s="89"/>
      <c r="S168" s="89"/>
      <c r="T168" s="89"/>
      <c r="U168" s="89"/>
      <c r="V168" s="89"/>
      <c r="W168" s="89"/>
      <c r="X168" s="89"/>
      <c r="Y168" s="89"/>
      <c r="Z168" s="89"/>
      <c r="AA168" s="89"/>
    </row>
    <row r="169" ht="14.25" customHeight="1">
      <c r="A169" s="151">
        <v>2026.0</v>
      </c>
      <c r="B169" s="151">
        <v>4.0</v>
      </c>
      <c r="C169" s="125"/>
      <c r="D169" s="149">
        <v>46128.625</v>
      </c>
      <c r="E169" s="144" t="s">
        <v>1836</v>
      </c>
      <c r="F169" s="145">
        <v>-549.0</v>
      </c>
      <c r="G169" s="147" t="s">
        <v>1660</v>
      </c>
      <c r="H169" s="140" t="s">
        <v>1658</v>
      </c>
      <c r="I169" s="147" t="s">
        <v>1731</v>
      </c>
      <c r="J169" s="150" t="s">
        <v>1826</v>
      </c>
      <c r="K169" s="89"/>
      <c r="L169" s="89"/>
      <c r="M169" s="89"/>
      <c r="N169" s="89"/>
      <c r="O169" s="89"/>
      <c r="P169" s="89"/>
      <c r="Q169" s="89"/>
      <c r="R169" s="89"/>
      <c r="S169" s="89"/>
      <c r="T169" s="89"/>
      <c r="U169" s="89"/>
      <c r="V169" s="89"/>
      <c r="W169" s="89"/>
      <c r="X169" s="89"/>
      <c r="Y169" s="89"/>
      <c r="Z169" s="89"/>
      <c r="AA169" s="89"/>
    </row>
    <row r="170" ht="14.25" customHeight="1">
      <c r="A170" s="151">
        <v>2026.0</v>
      </c>
      <c r="B170" s="151">
        <v>4.0</v>
      </c>
      <c r="C170" s="125"/>
      <c r="D170" s="149">
        <v>46128.625</v>
      </c>
      <c r="E170" s="144" t="s">
        <v>1837</v>
      </c>
      <c r="F170" s="145">
        <v>-300.0</v>
      </c>
      <c r="G170" s="147" t="s">
        <v>1660</v>
      </c>
      <c r="H170" s="140" t="s">
        <v>1658</v>
      </c>
      <c r="I170" s="147" t="s">
        <v>1731</v>
      </c>
      <c r="J170" s="150" t="s">
        <v>1802</v>
      </c>
      <c r="K170" s="89"/>
      <c r="L170" s="89"/>
      <c r="M170" s="89"/>
      <c r="N170" s="89"/>
      <c r="O170" s="89"/>
      <c r="P170" s="89"/>
      <c r="Q170" s="89"/>
      <c r="R170" s="89"/>
      <c r="S170" s="89"/>
      <c r="T170" s="89"/>
      <c r="U170" s="89"/>
      <c r="V170" s="89"/>
      <c r="W170" s="89"/>
      <c r="X170" s="89"/>
      <c r="Y170" s="89"/>
      <c r="Z170" s="89"/>
      <c r="AA170" s="89"/>
    </row>
    <row r="171" ht="14.25" customHeight="1">
      <c r="A171" s="151">
        <v>2026.0</v>
      </c>
      <c r="B171" s="151">
        <v>4.0</v>
      </c>
      <c r="C171" s="125"/>
      <c r="D171" s="149">
        <v>46131.625</v>
      </c>
      <c r="E171" s="144" t="s">
        <v>1838</v>
      </c>
      <c r="F171" s="145">
        <v>-1.3</v>
      </c>
      <c r="G171" s="147" t="s">
        <v>1653</v>
      </c>
      <c r="H171" s="140" t="s">
        <v>1658</v>
      </c>
      <c r="I171" s="147" t="s">
        <v>1731</v>
      </c>
      <c r="J171" s="150" t="s">
        <v>1802</v>
      </c>
      <c r="K171" s="89"/>
      <c r="L171" s="89"/>
      <c r="M171" s="89"/>
      <c r="N171" s="89"/>
      <c r="O171" s="89"/>
      <c r="P171" s="89"/>
      <c r="Q171" s="89"/>
      <c r="R171" s="89"/>
      <c r="S171" s="89"/>
      <c r="T171" s="89"/>
      <c r="U171" s="89"/>
      <c r="V171" s="89"/>
      <c r="W171" s="89"/>
      <c r="X171" s="89"/>
      <c r="Y171" s="89"/>
      <c r="Z171" s="89"/>
      <c r="AA171" s="89"/>
    </row>
    <row r="172" ht="14.25" customHeight="1">
      <c r="A172" s="151">
        <v>2026.0</v>
      </c>
      <c r="B172" s="151">
        <v>4.0</v>
      </c>
      <c r="C172" s="125"/>
      <c r="D172" s="149">
        <v>46131.625</v>
      </c>
      <c r="E172" s="144" t="s">
        <v>1839</v>
      </c>
      <c r="F172" s="145">
        <v>-1020.68</v>
      </c>
      <c r="G172" s="147" t="s">
        <v>1653</v>
      </c>
      <c r="H172" s="140" t="s">
        <v>1654</v>
      </c>
      <c r="I172" s="147" t="s">
        <v>1731</v>
      </c>
      <c r="J172" s="150" t="s">
        <v>1829</v>
      </c>
      <c r="K172" s="89"/>
      <c r="L172" s="89"/>
      <c r="M172" s="89"/>
      <c r="N172" s="89"/>
      <c r="O172" s="89"/>
      <c r="P172" s="89"/>
      <c r="Q172" s="89"/>
      <c r="R172" s="89"/>
      <c r="S172" s="89"/>
      <c r="T172" s="89"/>
      <c r="U172" s="89"/>
      <c r="V172" s="89"/>
      <c r="W172" s="89"/>
      <c r="X172" s="89"/>
      <c r="Y172" s="89"/>
      <c r="Z172" s="89"/>
      <c r="AA172" s="89"/>
    </row>
    <row r="173" ht="14.25" customHeight="1">
      <c r="A173" s="151">
        <v>2026.0</v>
      </c>
      <c r="B173" s="151">
        <v>4.0</v>
      </c>
      <c r="C173" s="125"/>
      <c r="D173" s="149">
        <v>46131.625</v>
      </c>
      <c r="E173" s="144" t="s">
        <v>1840</v>
      </c>
      <c r="F173" s="145">
        <v>-786.29</v>
      </c>
      <c r="G173" s="147" t="s">
        <v>42</v>
      </c>
      <c r="H173" s="140" t="s">
        <v>1841</v>
      </c>
      <c r="I173" s="147" t="s">
        <v>1731</v>
      </c>
      <c r="J173" s="150" t="s">
        <v>1806</v>
      </c>
      <c r="K173" s="89"/>
      <c r="L173" s="89"/>
      <c r="M173" s="89"/>
      <c r="N173" s="89"/>
      <c r="O173" s="89"/>
      <c r="P173" s="89"/>
      <c r="Q173" s="89"/>
      <c r="R173" s="89"/>
      <c r="S173" s="89"/>
      <c r="T173" s="89"/>
      <c r="U173" s="89"/>
      <c r="V173" s="89"/>
      <c r="W173" s="89"/>
      <c r="X173" s="89"/>
      <c r="Y173" s="89"/>
      <c r="Z173" s="89"/>
      <c r="AA173" s="89"/>
    </row>
    <row r="174" ht="14.25" customHeight="1">
      <c r="A174" s="151">
        <v>2026.0</v>
      </c>
      <c r="B174" s="151">
        <v>4.0</v>
      </c>
      <c r="C174" s="125"/>
      <c r="D174" s="149">
        <v>46131.625</v>
      </c>
      <c r="E174" s="144" t="s">
        <v>1842</v>
      </c>
      <c r="F174" s="145">
        <v>-165.2</v>
      </c>
      <c r="G174" s="147" t="s">
        <v>42</v>
      </c>
      <c r="H174" s="140" t="s">
        <v>1843</v>
      </c>
      <c r="I174" s="147" t="s">
        <v>1731</v>
      </c>
      <c r="J174" s="150" t="s">
        <v>1806</v>
      </c>
      <c r="K174" s="89"/>
      <c r="L174" s="89"/>
      <c r="M174" s="89"/>
      <c r="N174" s="89"/>
      <c r="O174" s="89"/>
      <c r="P174" s="89"/>
      <c r="Q174" s="89"/>
      <c r="R174" s="89"/>
      <c r="S174" s="89"/>
      <c r="T174" s="89"/>
      <c r="U174" s="89"/>
      <c r="V174" s="89"/>
      <c r="W174" s="89"/>
      <c r="X174" s="89"/>
      <c r="Y174" s="89"/>
      <c r="Z174" s="89"/>
      <c r="AA174" s="89"/>
    </row>
    <row r="175" ht="14.25" customHeight="1">
      <c r="A175" s="151">
        <v>2026.0</v>
      </c>
      <c r="B175" s="151">
        <v>4.0</v>
      </c>
      <c r="C175" s="125"/>
      <c r="D175" s="149">
        <v>46131.625</v>
      </c>
      <c r="E175" s="144" t="s">
        <v>1844</v>
      </c>
      <c r="F175" s="145">
        <v>-19.28</v>
      </c>
      <c r="G175" s="147" t="s">
        <v>42</v>
      </c>
      <c r="H175" s="140" t="s">
        <v>1845</v>
      </c>
      <c r="I175" s="147" t="s">
        <v>1731</v>
      </c>
      <c r="J175" s="150" t="s">
        <v>1806</v>
      </c>
      <c r="K175" s="89"/>
      <c r="L175" s="89"/>
      <c r="M175" s="89"/>
      <c r="N175" s="89"/>
      <c r="O175" s="89"/>
      <c r="P175" s="89"/>
      <c r="Q175" s="89"/>
      <c r="R175" s="89"/>
      <c r="S175" s="89"/>
      <c r="T175" s="89"/>
      <c r="U175" s="89"/>
      <c r="V175" s="89"/>
      <c r="W175" s="89"/>
      <c r="X175" s="89"/>
      <c r="Y175" s="89"/>
      <c r="Z175" s="89"/>
      <c r="AA175" s="89"/>
    </row>
    <row r="176" ht="14.25" customHeight="1">
      <c r="A176" s="151">
        <v>2026.0</v>
      </c>
      <c r="B176" s="151">
        <v>4.0</v>
      </c>
      <c r="C176" s="125"/>
      <c r="D176" s="149">
        <v>46132.625</v>
      </c>
      <c r="E176" s="144" t="s">
        <v>1846</v>
      </c>
      <c r="F176" s="145">
        <v>-1.3</v>
      </c>
      <c r="G176" s="147" t="s">
        <v>1653</v>
      </c>
      <c r="H176" s="140" t="s">
        <v>1658</v>
      </c>
      <c r="I176" s="147" t="s">
        <v>1731</v>
      </c>
      <c r="J176" s="150" t="s">
        <v>1802</v>
      </c>
      <c r="K176" s="89"/>
      <c r="L176" s="89"/>
      <c r="M176" s="89"/>
      <c r="N176" s="89"/>
      <c r="O176" s="89"/>
      <c r="P176" s="89"/>
      <c r="Q176" s="89"/>
      <c r="R176" s="89"/>
      <c r="S176" s="89"/>
      <c r="T176" s="89"/>
      <c r="U176" s="89"/>
      <c r="V176" s="89"/>
      <c r="W176" s="89"/>
      <c r="X176" s="89"/>
      <c r="Y176" s="89"/>
      <c r="Z176" s="89"/>
      <c r="AA176" s="89"/>
    </row>
    <row r="177" ht="14.25" customHeight="1">
      <c r="A177" s="151">
        <v>2026.0</v>
      </c>
      <c r="B177" s="151">
        <v>4.0</v>
      </c>
      <c r="C177" s="125"/>
      <c r="D177" s="149">
        <v>46132.625</v>
      </c>
      <c r="E177" s="144" t="s">
        <v>1847</v>
      </c>
      <c r="F177" s="145">
        <v>-2225.28</v>
      </c>
      <c r="G177" s="147" t="s">
        <v>42</v>
      </c>
      <c r="H177" s="140" t="s">
        <v>1814</v>
      </c>
      <c r="I177" s="147" t="s">
        <v>1731</v>
      </c>
      <c r="J177" s="150" t="s">
        <v>1802</v>
      </c>
      <c r="K177" s="89"/>
      <c r="L177" s="89"/>
      <c r="M177" s="89"/>
      <c r="N177" s="89"/>
      <c r="O177" s="89"/>
      <c r="P177" s="89"/>
      <c r="Q177" s="89"/>
      <c r="R177" s="89"/>
      <c r="S177" s="89"/>
      <c r="T177" s="89"/>
      <c r="U177" s="89"/>
      <c r="V177" s="89"/>
      <c r="W177" s="89"/>
      <c r="X177" s="89"/>
      <c r="Y177" s="89"/>
      <c r="Z177" s="89"/>
      <c r="AA177" s="89"/>
    </row>
    <row r="178" ht="14.25" customHeight="1">
      <c r="A178" s="151">
        <v>2026.0</v>
      </c>
      <c r="B178" s="151">
        <v>4.0</v>
      </c>
      <c r="C178" s="125"/>
      <c r="D178" s="149">
        <v>46132.625</v>
      </c>
      <c r="E178" s="144" t="s">
        <v>1848</v>
      </c>
      <c r="F178" s="145">
        <v>-18.3</v>
      </c>
      <c r="G178" s="147" t="s">
        <v>1653</v>
      </c>
      <c r="H178" s="140" t="s">
        <v>1658</v>
      </c>
      <c r="I178" s="147" t="s">
        <v>1731</v>
      </c>
      <c r="J178" s="150" t="s">
        <v>1802</v>
      </c>
      <c r="K178" s="89"/>
      <c r="L178" s="89"/>
      <c r="M178" s="89"/>
      <c r="N178" s="89"/>
      <c r="O178" s="89"/>
      <c r="P178" s="89"/>
      <c r="Q178" s="89"/>
      <c r="R178" s="89"/>
      <c r="S178" s="89"/>
      <c r="T178" s="89"/>
      <c r="U178" s="89"/>
      <c r="V178" s="89"/>
      <c r="W178" s="89"/>
      <c r="X178" s="89"/>
      <c r="Y178" s="89"/>
      <c r="Z178" s="89"/>
      <c r="AA178" s="89"/>
    </row>
    <row r="179" ht="14.25" customHeight="1">
      <c r="A179" s="151">
        <v>2026.0</v>
      </c>
      <c r="B179" s="151">
        <v>4.0</v>
      </c>
      <c r="C179" s="125"/>
      <c r="D179" s="149">
        <v>46132.625</v>
      </c>
      <c r="E179" s="144" t="s">
        <v>1849</v>
      </c>
      <c r="F179" s="145">
        <v>-15.6</v>
      </c>
      <c r="G179" s="147" t="s">
        <v>1653</v>
      </c>
      <c r="H179" s="140" t="s">
        <v>1658</v>
      </c>
      <c r="I179" s="147" t="s">
        <v>1731</v>
      </c>
      <c r="J179" s="150" t="s">
        <v>1802</v>
      </c>
      <c r="K179" s="89"/>
      <c r="L179" s="89"/>
      <c r="M179" s="89"/>
      <c r="N179" s="89"/>
      <c r="O179" s="89"/>
      <c r="P179" s="89"/>
      <c r="Q179" s="89"/>
      <c r="R179" s="89"/>
      <c r="S179" s="89"/>
      <c r="T179" s="89"/>
      <c r="U179" s="89"/>
      <c r="V179" s="89"/>
      <c r="W179" s="89"/>
      <c r="X179" s="89"/>
      <c r="Y179" s="89"/>
      <c r="Z179" s="89"/>
      <c r="AA179" s="89"/>
    </row>
    <row r="180" ht="14.25" customHeight="1">
      <c r="A180" s="151">
        <v>2026.0</v>
      </c>
      <c r="B180" s="151">
        <v>4.0</v>
      </c>
      <c r="C180" s="125"/>
      <c r="D180" s="149">
        <v>46132.625</v>
      </c>
      <c r="E180" s="144" t="s">
        <v>1850</v>
      </c>
      <c r="F180" s="145">
        <v>-30.7</v>
      </c>
      <c r="G180" s="147" t="s">
        <v>1660</v>
      </c>
      <c r="H180" s="140" t="s">
        <v>1658</v>
      </c>
      <c r="I180" s="147" t="s">
        <v>1731</v>
      </c>
      <c r="J180" s="150" t="s">
        <v>1826</v>
      </c>
      <c r="K180" s="89"/>
      <c r="L180" s="89"/>
      <c r="M180" s="89"/>
      <c r="N180" s="89"/>
      <c r="O180" s="89"/>
      <c r="P180" s="89"/>
      <c r="Q180" s="89"/>
      <c r="R180" s="89"/>
      <c r="S180" s="89"/>
      <c r="T180" s="89"/>
      <c r="U180" s="89"/>
      <c r="V180" s="89"/>
      <c r="W180" s="89"/>
      <c r="X180" s="89"/>
      <c r="Y180" s="89"/>
      <c r="Z180" s="89"/>
      <c r="AA180" s="89"/>
    </row>
    <row r="181" ht="14.25" customHeight="1">
      <c r="A181" s="151">
        <v>2026.0</v>
      </c>
      <c r="B181" s="151">
        <v>4.0</v>
      </c>
      <c r="C181" s="125"/>
      <c r="D181" s="149">
        <v>46134.625</v>
      </c>
      <c r="E181" s="144" t="s">
        <v>1851</v>
      </c>
      <c r="F181" s="145">
        <v>-1.3</v>
      </c>
      <c r="G181" s="147" t="s">
        <v>1653</v>
      </c>
      <c r="H181" s="140" t="s">
        <v>1658</v>
      </c>
      <c r="I181" s="147" t="s">
        <v>1731</v>
      </c>
      <c r="J181" s="150" t="s">
        <v>1802</v>
      </c>
      <c r="K181" s="89"/>
      <c r="L181" s="89"/>
      <c r="M181" s="89"/>
      <c r="N181" s="89"/>
      <c r="O181" s="89"/>
      <c r="P181" s="89"/>
      <c r="Q181" s="89"/>
      <c r="R181" s="89"/>
      <c r="S181" s="89"/>
      <c r="T181" s="89"/>
      <c r="U181" s="89"/>
      <c r="V181" s="89"/>
      <c r="W181" s="89"/>
      <c r="X181" s="89"/>
      <c r="Y181" s="89"/>
      <c r="Z181" s="89"/>
      <c r="AA181" s="89"/>
    </row>
    <row r="182" ht="14.25" customHeight="1">
      <c r="A182" s="151">
        <v>2026.0</v>
      </c>
      <c r="B182" s="151">
        <v>4.0</v>
      </c>
      <c r="C182" s="125"/>
      <c r="D182" s="149">
        <v>46134.625</v>
      </c>
      <c r="E182" s="144" t="s">
        <v>1852</v>
      </c>
      <c r="F182" s="145">
        <v>-159.75</v>
      </c>
      <c r="G182" s="147" t="s">
        <v>42</v>
      </c>
      <c r="H182" s="140" t="s">
        <v>1819</v>
      </c>
      <c r="I182" s="147" t="s">
        <v>1731</v>
      </c>
      <c r="J182" s="150" t="s">
        <v>1802</v>
      </c>
      <c r="K182" s="89"/>
      <c r="L182" s="89"/>
      <c r="M182" s="89"/>
      <c r="N182" s="89"/>
      <c r="O182" s="89"/>
      <c r="P182" s="89"/>
      <c r="Q182" s="89"/>
      <c r="R182" s="89"/>
      <c r="S182" s="89"/>
      <c r="T182" s="89"/>
      <c r="U182" s="89"/>
      <c r="V182" s="89"/>
      <c r="W182" s="89"/>
      <c r="X182" s="89"/>
      <c r="Y182" s="89"/>
      <c r="Z182" s="89"/>
      <c r="AA182" s="89"/>
    </row>
    <row r="183" ht="14.25" customHeight="1">
      <c r="A183" s="151">
        <v>2026.0</v>
      </c>
      <c r="B183" s="151">
        <v>4.0</v>
      </c>
      <c r="C183" s="125"/>
      <c r="D183" s="149">
        <v>46134.625</v>
      </c>
      <c r="E183" s="144" t="s">
        <v>1853</v>
      </c>
      <c r="F183" s="145">
        <v>-1.3</v>
      </c>
      <c r="G183" s="147" t="s">
        <v>1653</v>
      </c>
      <c r="H183" s="140" t="s">
        <v>1658</v>
      </c>
      <c r="I183" s="147" t="s">
        <v>1731</v>
      </c>
      <c r="J183" s="150" t="s">
        <v>1802</v>
      </c>
      <c r="K183" s="89"/>
      <c r="L183" s="89"/>
      <c r="M183" s="89"/>
      <c r="N183" s="89"/>
      <c r="O183" s="89"/>
      <c r="P183" s="89"/>
      <c r="Q183" s="89"/>
      <c r="R183" s="89"/>
      <c r="S183" s="89"/>
      <c r="T183" s="89"/>
      <c r="U183" s="89"/>
      <c r="V183" s="89"/>
      <c r="W183" s="89"/>
      <c r="X183" s="89"/>
      <c r="Y183" s="89"/>
      <c r="Z183" s="89"/>
      <c r="AA183" s="89"/>
    </row>
    <row r="184" ht="14.25" customHeight="1">
      <c r="A184" s="151">
        <v>2026.0</v>
      </c>
      <c r="B184" s="151">
        <v>4.0</v>
      </c>
      <c r="C184" s="125"/>
      <c r="D184" s="149">
        <v>46134.625</v>
      </c>
      <c r="E184" s="144" t="s">
        <v>1854</v>
      </c>
      <c r="F184" s="145">
        <v>-159.75</v>
      </c>
      <c r="G184" s="147" t="s">
        <v>42</v>
      </c>
      <c r="H184" s="140" t="s">
        <v>1822</v>
      </c>
      <c r="I184" s="147" t="s">
        <v>1731</v>
      </c>
      <c r="J184" s="150" t="s">
        <v>1802</v>
      </c>
      <c r="K184" s="89"/>
      <c r="L184" s="89"/>
      <c r="M184" s="89"/>
      <c r="N184" s="89"/>
      <c r="O184" s="89"/>
      <c r="P184" s="89"/>
      <c r="Q184" s="89"/>
      <c r="R184" s="89"/>
      <c r="S184" s="89"/>
      <c r="T184" s="89"/>
      <c r="U184" s="89"/>
      <c r="V184" s="89"/>
      <c r="W184" s="89"/>
      <c r="X184" s="89"/>
      <c r="Y184" s="89"/>
      <c r="Z184" s="89"/>
      <c r="AA184" s="89"/>
    </row>
    <row r="185" ht="14.25" customHeight="1">
      <c r="A185" s="151">
        <v>2026.0</v>
      </c>
      <c r="B185" s="151">
        <v>4.0</v>
      </c>
      <c r="C185" s="125"/>
      <c r="D185" s="149">
        <v>46138.625</v>
      </c>
      <c r="E185" s="144" t="s">
        <v>1855</v>
      </c>
      <c r="F185" s="145">
        <v>-68.36</v>
      </c>
      <c r="G185" s="147" t="s">
        <v>1660</v>
      </c>
      <c r="H185" s="140" t="s">
        <v>1658</v>
      </c>
      <c r="I185" s="147" t="s">
        <v>1731</v>
      </c>
      <c r="J185" s="150" t="s">
        <v>1802</v>
      </c>
      <c r="K185" s="89"/>
      <c r="L185" s="89"/>
      <c r="M185" s="89"/>
      <c r="N185" s="89"/>
      <c r="O185" s="89"/>
      <c r="P185" s="89"/>
      <c r="Q185" s="89"/>
      <c r="R185" s="89"/>
      <c r="S185" s="89"/>
      <c r="T185" s="89"/>
      <c r="U185" s="89"/>
      <c r="V185" s="89"/>
      <c r="W185" s="89"/>
      <c r="X185" s="89"/>
      <c r="Y185" s="89"/>
      <c r="Z185" s="89"/>
      <c r="AA185" s="89"/>
    </row>
    <row r="186" ht="14.25" customHeight="1">
      <c r="A186" s="151">
        <v>2026.0</v>
      </c>
      <c r="B186" s="151">
        <v>4.0</v>
      </c>
      <c r="C186" s="125"/>
      <c r="D186" s="149">
        <v>46138.625</v>
      </c>
      <c r="E186" s="144" t="s">
        <v>1856</v>
      </c>
      <c r="F186" s="145">
        <v>-20.0</v>
      </c>
      <c r="G186" s="147" t="s">
        <v>1653</v>
      </c>
      <c r="H186" s="140" t="s">
        <v>1658</v>
      </c>
      <c r="I186" s="147" t="s">
        <v>1731</v>
      </c>
      <c r="J186" s="150" t="s">
        <v>1826</v>
      </c>
      <c r="K186" s="89"/>
      <c r="L186" s="89"/>
      <c r="M186" s="89"/>
      <c r="N186" s="89"/>
      <c r="O186" s="89"/>
      <c r="P186" s="89"/>
      <c r="Q186" s="89"/>
      <c r="R186" s="89"/>
      <c r="S186" s="89"/>
      <c r="T186" s="89"/>
      <c r="U186" s="89"/>
      <c r="V186" s="89"/>
      <c r="W186" s="89"/>
      <c r="X186" s="89"/>
      <c r="Y186" s="89"/>
      <c r="Z186" s="89"/>
      <c r="AA186" s="89"/>
    </row>
    <row r="187" ht="14.25" customHeight="1">
      <c r="A187" s="151">
        <v>2026.0</v>
      </c>
      <c r="B187" s="151">
        <v>4.0</v>
      </c>
      <c r="C187" s="125"/>
      <c r="D187" s="149">
        <v>46140.625</v>
      </c>
      <c r="E187" s="144" t="s">
        <v>1857</v>
      </c>
      <c r="F187" s="145">
        <v>-1.3</v>
      </c>
      <c r="G187" s="147" t="s">
        <v>1653</v>
      </c>
      <c r="H187" s="140" t="s">
        <v>1658</v>
      </c>
      <c r="I187" s="147" t="s">
        <v>1731</v>
      </c>
      <c r="J187" s="150" t="s">
        <v>1802</v>
      </c>
      <c r="K187" s="89"/>
      <c r="L187" s="89"/>
      <c r="M187" s="89"/>
      <c r="N187" s="89"/>
      <c r="O187" s="89"/>
      <c r="P187" s="89"/>
      <c r="Q187" s="89"/>
      <c r="R187" s="89"/>
      <c r="S187" s="89"/>
      <c r="T187" s="89"/>
      <c r="U187" s="89"/>
      <c r="V187" s="89"/>
      <c r="W187" s="89"/>
      <c r="X187" s="89"/>
      <c r="Y187" s="89"/>
      <c r="Z187" s="89"/>
      <c r="AA187" s="89"/>
    </row>
    <row r="188" ht="14.25" customHeight="1">
      <c r="A188" s="151">
        <v>2026.0</v>
      </c>
      <c r="B188" s="151">
        <v>4.0</v>
      </c>
      <c r="C188" s="125"/>
      <c r="D188" s="149">
        <v>46140.625</v>
      </c>
      <c r="E188" s="144" t="s">
        <v>1858</v>
      </c>
      <c r="F188" s="145">
        <v>-66.9</v>
      </c>
      <c r="G188" s="147" t="s">
        <v>42</v>
      </c>
      <c r="H188" s="140" t="s">
        <v>1658</v>
      </c>
      <c r="I188" s="147" t="s">
        <v>1731</v>
      </c>
      <c r="J188" s="150" t="s">
        <v>1826</v>
      </c>
      <c r="K188" s="89"/>
      <c r="L188" s="89"/>
      <c r="M188" s="89"/>
      <c r="N188" s="89"/>
      <c r="O188" s="89"/>
      <c r="P188" s="89"/>
      <c r="Q188" s="89"/>
      <c r="R188" s="89"/>
      <c r="S188" s="89"/>
      <c r="T188" s="89"/>
      <c r="U188" s="89"/>
      <c r="V188" s="89"/>
      <c r="W188" s="89"/>
      <c r="X188" s="89"/>
      <c r="Y188" s="89"/>
      <c r="Z188" s="89"/>
      <c r="AA188" s="89"/>
    </row>
    <row r="189" ht="14.25" customHeight="1">
      <c r="A189" s="151">
        <v>2026.0</v>
      </c>
      <c r="B189" s="151">
        <v>4.0</v>
      </c>
      <c r="C189" s="125"/>
      <c r="D189" s="149">
        <v>46138.625</v>
      </c>
      <c r="E189" s="144" t="s">
        <v>1741</v>
      </c>
      <c r="F189" s="145">
        <v>-1.03</v>
      </c>
      <c r="G189" s="147" t="s">
        <v>1653</v>
      </c>
      <c r="H189" s="140" t="s">
        <v>1658</v>
      </c>
      <c r="I189" s="147" t="s">
        <v>1731</v>
      </c>
      <c r="J189" s="150" t="s">
        <v>1802</v>
      </c>
      <c r="K189" s="89"/>
      <c r="L189" s="89"/>
      <c r="M189" s="89"/>
      <c r="N189" s="89"/>
      <c r="O189" s="89"/>
      <c r="P189" s="89"/>
      <c r="Q189" s="89"/>
      <c r="R189" s="89"/>
      <c r="S189" s="89"/>
      <c r="T189" s="89"/>
      <c r="U189" s="89"/>
      <c r="V189" s="89"/>
      <c r="W189" s="89"/>
      <c r="X189" s="89"/>
      <c r="Y189" s="89"/>
      <c r="Z189" s="89"/>
      <c r="AA189" s="89"/>
    </row>
    <row r="190" ht="14.25" customHeight="1">
      <c r="A190" s="151">
        <v>2026.0</v>
      </c>
      <c r="B190" s="151">
        <v>5.0</v>
      </c>
      <c r="C190" s="125"/>
      <c r="D190" s="149">
        <v>46145.625</v>
      </c>
      <c r="E190" s="144" t="s">
        <v>1859</v>
      </c>
      <c r="F190" s="145">
        <v>-88.28</v>
      </c>
      <c r="G190" s="147" t="s">
        <v>1660</v>
      </c>
      <c r="H190" s="140" t="s">
        <v>1662</v>
      </c>
      <c r="I190" s="147" t="s">
        <v>1731</v>
      </c>
      <c r="J190" s="150" t="s">
        <v>1802</v>
      </c>
      <c r="K190" s="89"/>
      <c r="L190" s="89"/>
      <c r="M190" s="89"/>
      <c r="N190" s="89"/>
      <c r="O190" s="89"/>
      <c r="P190" s="89"/>
      <c r="Q190" s="89"/>
      <c r="R190" s="89"/>
      <c r="S190" s="89"/>
      <c r="T190" s="89"/>
      <c r="U190" s="89"/>
      <c r="V190" s="89"/>
      <c r="W190" s="89"/>
      <c r="X190" s="89"/>
      <c r="Y190" s="89"/>
      <c r="Z190" s="89"/>
      <c r="AA190" s="89"/>
    </row>
    <row r="191" ht="14.25" customHeight="1">
      <c r="A191" s="151">
        <v>2026.0</v>
      </c>
      <c r="B191" s="151">
        <v>5.0</v>
      </c>
      <c r="C191" s="125"/>
      <c r="D191" s="149">
        <v>46145.625</v>
      </c>
      <c r="E191" s="144" t="s">
        <v>1860</v>
      </c>
      <c r="F191" s="145">
        <v>-19.76</v>
      </c>
      <c r="G191" s="147" t="s">
        <v>1653</v>
      </c>
      <c r="H191" s="140" t="s">
        <v>1656</v>
      </c>
      <c r="I191" s="147" t="s">
        <v>1731</v>
      </c>
      <c r="J191" s="150" t="s">
        <v>1802</v>
      </c>
      <c r="K191" s="89"/>
      <c r="L191" s="89"/>
      <c r="M191" s="89"/>
      <c r="N191" s="89"/>
      <c r="O191" s="89"/>
      <c r="P191" s="89"/>
      <c r="Q191" s="89"/>
      <c r="R191" s="89"/>
      <c r="S191" s="89"/>
      <c r="T191" s="89"/>
      <c r="U191" s="89"/>
      <c r="V191" s="89"/>
      <c r="W191" s="89"/>
      <c r="X191" s="89"/>
      <c r="Y191" s="89"/>
      <c r="Z191" s="89"/>
      <c r="AA191" s="89"/>
    </row>
    <row r="192" ht="14.25" customHeight="1">
      <c r="A192" s="151">
        <v>2026.0</v>
      </c>
      <c r="B192" s="151">
        <v>5.0</v>
      </c>
      <c r="C192" s="125"/>
      <c r="D192" s="149">
        <v>46146.625</v>
      </c>
      <c r="E192" s="144" t="s">
        <v>1861</v>
      </c>
      <c r="F192" s="145">
        <v>-500.0</v>
      </c>
      <c r="G192" s="147" t="s">
        <v>1653</v>
      </c>
      <c r="H192" s="140" t="s">
        <v>1658</v>
      </c>
      <c r="I192" s="147" t="s">
        <v>1731</v>
      </c>
      <c r="J192" s="150" t="s">
        <v>1829</v>
      </c>
      <c r="K192" s="89"/>
      <c r="L192" s="89"/>
      <c r="M192" s="89"/>
      <c r="N192" s="89"/>
      <c r="O192" s="89"/>
      <c r="P192" s="89"/>
      <c r="Q192" s="89"/>
      <c r="R192" s="89"/>
      <c r="S192" s="89"/>
      <c r="T192" s="89"/>
      <c r="U192" s="89"/>
      <c r="V192" s="89"/>
      <c r="W192" s="89"/>
      <c r="X192" s="89"/>
      <c r="Y192" s="89"/>
      <c r="Z192" s="89"/>
      <c r="AA192" s="89"/>
    </row>
    <row r="193" ht="14.25" customHeight="1">
      <c r="A193" s="151">
        <v>2026.0</v>
      </c>
      <c r="B193" s="151">
        <v>5.0</v>
      </c>
      <c r="C193" s="125"/>
      <c r="D193" s="149">
        <v>46146.625</v>
      </c>
      <c r="E193" s="144" t="s">
        <v>1862</v>
      </c>
      <c r="F193" s="145">
        <v>-1.3</v>
      </c>
      <c r="G193" s="147" t="s">
        <v>1653</v>
      </c>
      <c r="H193" s="140" t="s">
        <v>1658</v>
      </c>
      <c r="I193" s="147" t="s">
        <v>1731</v>
      </c>
      <c r="J193" s="150" t="s">
        <v>1802</v>
      </c>
      <c r="K193" s="89"/>
      <c r="L193" s="89"/>
      <c r="M193" s="89"/>
      <c r="N193" s="89"/>
      <c r="O193" s="89"/>
      <c r="P193" s="89"/>
      <c r="Q193" s="89"/>
      <c r="R193" s="89"/>
      <c r="S193" s="89"/>
      <c r="T193" s="89"/>
      <c r="U193" s="89"/>
      <c r="V193" s="89"/>
      <c r="W193" s="89"/>
      <c r="X193" s="89"/>
      <c r="Y193" s="89"/>
      <c r="Z193" s="89"/>
      <c r="AA193" s="89"/>
    </row>
    <row r="194" ht="14.25" customHeight="1">
      <c r="A194" s="151">
        <v>2026.0</v>
      </c>
      <c r="B194" s="151">
        <v>5.0</v>
      </c>
      <c r="C194" s="125"/>
      <c r="D194" s="149">
        <v>46147.625</v>
      </c>
      <c r="E194" s="144" t="s">
        <v>1863</v>
      </c>
      <c r="F194" s="145">
        <v>-304.34</v>
      </c>
      <c r="G194" s="147" t="s">
        <v>1660</v>
      </c>
      <c r="H194" s="140" t="s">
        <v>1658</v>
      </c>
      <c r="I194" s="147" t="s">
        <v>1731</v>
      </c>
      <c r="J194" s="150" t="s">
        <v>1802</v>
      </c>
      <c r="K194" s="89"/>
      <c r="L194" s="89"/>
      <c r="M194" s="89"/>
      <c r="N194" s="89"/>
      <c r="O194" s="89"/>
      <c r="P194" s="89"/>
      <c r="Q194" s="89"/>
      <c r="R194" s="89"/>
      <c r="S194" s="89"/>
      <c r="T194" s="89"/>
      <c r="U194" s="89"/>
      <c r="V194" s="89"/>
      <c r="W194" s="89"/>
      <c r="X194" s="89"/>
      <c r="Y194" s="89"/>
      <c r="Z194" s="89"/>
      <c r="AA194" s="89"/>
    </row>
    <row r="195" ht="14.25" customHeight="1">
      <c r="A195" s="151">
        <v>2026.0</v>
      </c>
      <c r="B195" s="151">
        <v>5.0</v>
      </c>
      <c r="C195" s="125"/>
      <c r="D195" s="149">
        <v>46149.625</v>
      </c>
      <c r="E195" s="144" t="s">
        <v>1864</v>
      </c>
      <c r="F195" s="145">
        <v>-721.35</v>
      </c>
      <c r="G195" s="147" t="s">
        <v>42</v>
      </c>
      <c r="H195" s="140" t="s">
        <v>1819</v>
      </c>
      <c r="I195" s="147" t="s">
        <v>1731</v>
      </c>
      <c r="J195" s="150" t="s">
        <v>1802</v>
      </c>
      <c r="K195" s="89"/>
      <c r="L195" s="89"/>
      <c r="M195" s="89"/>
      <c r="N195" s="89"/>
      <c r="O195" s="89"/>
      <c r="P195" s="89"/>
      <c r="Q195" s="89"/>
      <c r="R195" s="89"/>
      <c r="S195" s="89"/>
      <c r="T195" s="89"/>
      <c r="U195" s="89"/>
      <c r="V195" s="89"/>
      <c r="W195" s="89"/>
      <c r="X195" s="89"/>
      <c r="Y195" s="89"/>
      <c r="Z195" s="89"/>
      <c r="AA195" s="89"/>
    </row>
    <row r="196" ht="14.25" customHeight="1">
      <c r="A196" s="151">
        <v>2026.0</v>
      </c>
      <c r="B196" s="151">
        <v>5.0</v>
      </c>
      <c r="C196" s="125"/>
      <c r="D196" s="149">
        <v>46149.625</v>
      </c>
      <c r="E196" s="144" t="s">
        <v>1865</v>
      </c>
      <c r="F196" s="145">
        <v>-721.35</v>
      </c>
      <c r="G196" s="147" t="s">
        <v>42</v>
      </c>
      <c r="H196" s="140" t="s">
        <v>1822</v>
      </c>
      <c r="I196" s="147" t="s">
        <v>1731</v>
      </c>
      <c r="J196" s="150" t="s">
        <v>1802</v>
      </c>
      <c r="K196" s="89"/>
      <c r="L196" s="89"/>
      <c r="M196" s="89"/>
      <c r="N196" s="89"/>
      <c r="O196" s="89"/>
      <c r="P196" s="89"/>
      <c r="Q196" s="89"/>
      <c r="R196" s="89"/>
      <c r="S196" s="89"/>
      <c r="T196" s="89"/>
      <c r="U196" s="89"/>
      <c r="V196" s="89"/>
      <c r="W196" s="89"/>
      <c r="X196" s="89"/>
      <c r="Y196" s="89"/>
      <c r="Z196" s="89"/>
      <c r="AA196" s="89"/>
    </row>
    <row r="197" ht="14.25" customHeight="1">
      <c r="A197" s="151">
        <v>2026.0</v>
      </c>
      <c r="B197" s="151">
        <v>5.0</v>
      </c>
      <c r="C197" s="125"/>
      <c r="D197" s="149">
        <v>46149.625</v>
      </c>
      <c r="E197" s="144" t="s">
        <v>1866</v>
      </c>
      <c r="F197" s="145">
        <v>-57.75</v>
      </c>
      <c r="G197" s="147" t="s">
        <v>42</v>
      </c>
      <c r="H197" s="140" t="s">
        <v>1843</v>
      </c>
      <c r="I197" s="147" t="s">
        <v>1731</v>
      </c>
      <c r="J197" s="150" t="s">
        <v>1802</v>
      </c>
      <c r="K197" s="89"/>
      <c r="L197" s="89"/>
      <c r="M197" s="89"/>
      <c r="N197" s="89"/>
      <c r="O197" s="89"/>
      <c r="P197" s="89"/>
      <c r="Q197" s="89"/>
      <c r="R197" s="89"/>
      <c r="S197" s="89"/>
      <c r="T197" s="89"/>
      <c r="U197" s="89"/>
      <c r="V197" s="89"/>
      <c r="W197" s="89"/>
      <c r="X197" s="89"/>
      <c r="Y197" s="89"/>
      <c r="Z197" s="89"/>
      <c r="AA197" s="89"/>
    </row>
    <row r="198" ht="14.25" customHeight="1">
      <c r="A198" s="151">
        <v>2026.0</v>
      </c>
      <c r="B198" s="151">
        <v>5.0</v>
      </c>
      <c r="C198" s="125"/>
      <c r="D198" s="149">
        <v>46149.625</v>
      </c>
      <c r="E198" s="144" t="s">
        <v>1816</v>
      </c>
      <c r="F198" s="145">
        <v>-20.0</v>
      </c>
      <c r="G198" s="147" t="s">
        <v>1653</v>
      </c>
      <c r="H198" s="140" t="s">
        <v>1658</v>
      </c>
      <c r="I198" s="147" t="s">
        <v>1731</v>
      </c>
      <c r="J198" s="150" t="s">
        <v>1802</v>
      </c>
      <c r="K198" s="89"/>
      <c r="L198" s="89"/>
      <c r="M198" s="89"/>
      <c r="N198" s="89"/>
      <c r="O198" s="89"/>
      <c r="P198" s="89"/>
      <c r="Q198" s="89"/>
      <c r="R198" s="89"/>
      <c r="S198" s="89"/>
      <c r="T198" s="89"/>
      <c r="U198" s="89"/>
      <c r="V198" s="89"/>
      <c r="W198" s="89"/>
      <c r="X198" s="89"/>
      <c r="Y198" s="89"/>
      <c r="Z198" s="89"/>
      <c r="AA198" s="89"/>
    </row>
    <row r="199" ht="14.25" customHeight="1">
      <c r="A199" s="151">
        <v>2026.0</v>
      </c>
      <c r="B199" s="151">
        <v>5.0</v>
      </c>
      <c r="C199" s="125"/>
      <c r="D199" s="149">
        <v>46149.625</v>
      </c>
      <c r="E199" s="144" t="s">
        <v>1867</v>
      </c>
      <c r="F199" s="145">
        <v>-17.12</v>
      </c>
      <c r="G199" s="147" t="s">
        <v>1660</v>
      </c>
      <c r="H199" s="140" t="s">
        <v>1658</v>
      </c>
      <c r="I199" s="147" t="s">
        <v>1731</v>
      </c>
      <c r="J199" s="150" t="s">
        <v>1802</v>
      </c>
      <c r="K199" s="89"/>
      <c r="L199" s="89"/>
      <c r="M199" s="89"/>
      <c r="N199" s="89"/>
      <c r="O199" s="89"/>
      <c r="P199" s="89"/>
      <c r="Q199" s="89"/>
      <c r="R199" s="89"/>
      <c r="S199" s="89"/>
      <c r="T199" s="89"/>
      <c r="U199" s="89"/>
      <c r="V199" s="89"/>
      <c r="W199" s="89"/>
      <c r="X199" s="89"/>
      <c r="Y199" s="89"/>
      <c r="Z199" s="89"/>
      <c r="AA199" s="89"/>
    </row>
    <row r="200" ht="14.25" customHeight="1">
      <c r="A200" s="151">
        <v>2026.0</v>
      </c>
      <c r="B200" s="151">
        <v>5.0</v>
      </c>
      <c r="C200" s="125"/>
      <c r="D200" s="149">
        <v>46149.625</v>
      </c>
      <c r="E200" s="144" t="s">
        <v>1868</v>
      </c>
      <c r="F200" s="145">
        <v>-1.3</v>
      </c>
      <c r="G200" s="147" t="s">
        <v>1653</v>
      </c>
      <c r="H200" s="140" t="s">
        <v>1658</v>
      </c>
      <c r="I200" s="147" t="s">
        <v>1731</v>
      </c>
      <c r="J200" s="150" t="s">
        <v>1802</v>
      </c>
      <c r="K200" s="89"/>
      <c r="L200" s="89"/>
      <c r="M200" s="89"/>
      <c r="N200" s="89"/>
      <c r="O200" s="89"/>
      <c r="P200" s="89"/>
      <c r="Q200" s="89"/>
      <c r="R200" s="89"/>
      <c r="S200" s="89"/>
      <c r="T200" s="89"/>
      <c r="U200" s="89"/>
      <c r="V200" s="89"/>
      <c r="W200" s="89"/>
      <c r="X200" s="89"/>
      <c r="Y200" s="89"/>
      <c r="Z200" s="89"/>
      <c r="AA200" s="89"/>
    </row>
    <row r="201" ht="14.25" customHeight="1">
      <c r="A201" s="151">
        <v>2026.0</v>
      </c>
      <c r="B201" s="151">
        <v>5.0</v>
      </c>
      <c r="C201" s="125"/>
      <c r="D201" s="149">
        <v>46149.625</v>
      </c>
      <c r="E201" s="144" t="s">
        <v>1869</v>
      </c>
      <c r="F201" s="145">
        <v>-1.3</v>
      </c>
      <c r="G201" s="147" t="s">
        <v>1653</v>
      </c>
      <c r="H201" s="140" t="s">
        <v>1658</v>
      </c>
      <c r="I201" s="147" t="s">
        <v>1731</v>
      </c>
      <c r="J201" s="150" t="s">
        <v>1802</v>
      </c>
      <c r="K201" s="89"/>
      <c r="L201" s="89"/>
      <c r="M201" s="89"/>
      <c r="N201" s="89"/>
      <c r="O201" s="89"/>
      <c r="P201" s="89"/>
      <c r="Q201" s="89"/>
      <c r="R201" s="89"/>
      <c r="S201" s="89"/>
      <c r="T201" s="89"/>
      <c r="U201" s="89"/>
      <c r="V201" s="89"/>
      <c r="W201" s="89"/>
      <c r="X201" s="89"/>
      <c r="Y201" s="89"/>
      <c r="Z201" s="89"/>
      <c r="AA201" s="89"/>
    </row>
    <row r="202" ht="14.25" customHeight="1">
      <c r="A202" s="151">
        <v>2026.0</v>
      </c>
      <c r="B202" s="151">
        <v>5.0</v>
      </c>
      <c r="C202" s="125"/>
      <c r="D202" s="149">
        <v>46149.625</v>
      </c>
      <c r="E202" s="144" t="s">
        <v>1870</v>
      </c>
      <c r="F202" s="145">
        <v>-1.0</v>
      </c>
      <c r="G202" s="147" t="s">
        <v>1653</v>
      </c>
      <c r="H202" s="140" t="s">
        <v>1658</v>
      </c>
      <c r="I202" s="147" t="s">
        <v>1731</v>
      </c>
      <c r="J202" s="150" t="s">
        <v>1829</v>
      </c>
      <c r="K202" s="89"/>
      <c r="L202" s="89"/>
      <c r="M202" s="89"/>
      <c r="N202" s="89"/>
      <c r="O202" s="89"/>
      <c r="P202" s="89"/>
      <c r="Q202" s="89"/>
      <c r="R202" s="89"/>
      <c r="S202" s="89"/>
      <c r="T202" s="89"/>
      <c r="U202" s="89"/>
      <c r="V202" s="89"/>
      <c r="W202" s="89"/>
      <c r="X202" s="89"/>
      <c r="Y202" s="89"/>
      <c r="Z202" s="89"/>
      <c r="AA202" s="89"/>
    </row>
    <row r="203" ht="14.25" customHeight="1">
      <c r="A203" s="151">
        <v>2026.0</v>
      </c>
      <c r="B203" s="151">
        <v>5.0</v>
      </c>
      <c r="C203" s="125"/>
      <c r="D203" s="149">
        <v>46149.625</v>
      </c>
      <c r="E203" s="144" t="s">
        <v>1741</v>
      </c>
      <c r="F203" s="145">
        <v>-1.0</v>
      </c>
      <c r="G203" s="147" t="s">
        <v>1653</v>
      </c>
      <c r="H203" s="140" t="s">
        <v>1658</v>
      </c>
      <c r="I203" s="147" t="s">
        <v>1731</v>
      </c>
      <c r="J203" s="150" t="s">
        <v>1802</v>
      </c>
      <c r="K203" s="89"/>
      <c r="L203" s="89"/>
      <c r="M203" s="89"/>
      <c r="N203" s="89"/>
      <c r="O203" s="89"/>
      <c r="P203" s="89"/>
      <c r="Q203" s="89"/>
      <c r="R203" s="89"/>
      <c r="S203" s="89"/>
      <c r="T203" s="89"/>
      <c r="U203" s="89"/>
      <c r="V203" s="89"/>
      <c r="W203" s="89"/>
      <c r="X203" s="89"/>
      <c r="Y203" s="89"/>
      <c r="Z203" s="89"/>
      <c r="AA203" s="89"/>
    </row>
    <row r="204" ht="14.25" customHeight="1">
      <c r="A204" s="151">
        <v>2026.0</v>
      </c>
      <c r="B204" s="151">
        <v>5.0</v>
      </c>
      <c r="C204" s="125"/>
      <c r="D204" s="149">
        <v>46152.625</v>
      </c>
      <c r="E204" s="144" t="s">
        <v>1871</v>
      </c>
      <c r="F204" s="145">
        <v>-1015.42</v>
      </c>
      <c r="G204" s="147" t="s">
        <v>1652</v>
      </c>
      <c r="H204" s="140" t="s">
        <v>1626</v>
      </c>
      <c r="I204" s="147" t="s">
        <v>1731</v>
      </c>
      <c r="J204" s="150" t="s">
        <v>1829</v>
      </c>
      <c r="K204" s="89"/>
      <c r="L204" s="89"/>
      <c r="M204" s="89"/>
      <c r="N204" s="89"/>
      <c r="O204" s="89"/>
      <c r="P204" s="89"/>
      <c r="Q204" s="89"/>
      <c r="R204" s="89"/>
      <c r="S204" s="89"/>
      <c r="T204" s="89"/>
      <c r="U204" s="89"/>
      <c r="V204" s="89"/>
      <c r="W204" s="89"/>
      <c r="X204" s="89"/>
      <c r="Y204" s="89"/>
      <c r="Z204" s="89"/>
      <c r="AA204" s="89"/>
    </row>
    <row r="205" ht="14.25" customHeight="1">
      <c r="A205" s="151">
        <v>2026.0</v>
      </c>
      <c r="B205" s="151">
        <v>5.0</v>
      </c>
      <c r="C205" s="125"/>
      <c r="D205" s="149">
        <v>46152.625</v>
      </c>
      <c r="E205" s="144" t="s">
        <v>1872</v>
      </c>
      <c r="F205" s="145">
        <v>-610.0</v>
      </c>
      <c r="G205" s="147" t="s">
        <v>1660</v>
      </c>
      <c r="H205" s="140" t="s">
        <v>1658</v>
      </c>
      <c r="I205" s="147" t="s">
        <v>1731</v>
      </c>
      <c r="J205" s="150" t="s">
        <v>1829</v>
      </c>
      <c r="K205" s="89"/>
      <c r="L205" s="89"/>
      <c r="M205" s="89"/>
      <c r="N205" s="89"/>
      <c r="O205" s="89"/>
      <c r="P205" s="89"/>
      <c r="Q205" s="89"/>
      <c r="R205" s="89"/>
      <c r="S205" s="89"/>
      <c r="T205" s="89"/>
      <c r="U205" s="89"/>
      <c r="V205" s="89"/>
      <c r="W205" s="89"/>
      <c r="X205" s="89"/>
      <c r="Y205" s="89"/>
      <c r="Z205" s="89"/>
      <c r="AA205" s="89"/>
    </row>
    <row r="206" ht="14.25" customHeight="1">
      <c r="A206" s="151">
        <v>2026.0</v>
      </c>
      <c r="B206" s="151">
        <v>5.0</v>
      </c>
      <c r="C206" s="125"/>
      <c r="D206" s="149">
        <v>46152.625</v>
      </c>
      <c r="E206" s="144" t="s">
        <v>1873</v>
      </c>
      <c r="F206" s="145">
        <v>-1.3</v>
      </c>
      <c r="G206" s="147" t="s">
        <v>1653</v>
      </c>
      <c r="H206" s="140" t="s">
        <v>1658</v>
      </c>
      <c r="I206" s="147" t="s">
        <v>1731</v>
      </c>
      <c r="J206" s="150" t="s">
        <v>1802</v>
      </c>
      <c r="K206" s="89"/>
      <c r="L206" s="89"/>
      <c r="M206" s="89"/>
      <c r="N206" s="89"/>
      <c r="O206" s="89"/>
      <c r="P206" s="89"/>
      <c r="Q206" s="89"/>
      <c r="R206" s="89"/>
      <c r="S206" s="89"/>
      <c r="T206" s="89"/>
      <c r="U206" s="89"/>
      <c r="V206" s="89"/>
      <c r="W206" s="89"/>
      <c r="X206" s="89"/>
      <c r="Y206" s="89"/>
      <c r="Z206" s="89"/>
      <c r="AA206" s="89"/>
    </row>
    <row r="207" ht="14.25" customHeight="1">
      <c r="A207" s="151">
        <v>2026.0</v>
      </c>
      <c r="B207" s="151">
        <v>5.0</v>
      </c>
      <c r="C207" s="125"/>
      <c r="D207" s="149">
        <v>46156.625</v>
      </c>
      <c r="E207" s="144" t="s">
        <v>1874</v>
      </c>
      <c r="F207" s="145">
        <v>-1265.9</v>
      </c>
      <c r="G207" s="147" t="s">
        <v>1687</v>
      </c>
      <c r="H207" s="140" t="s">
        <v>1658</v>
      </c>
      <c r="I207" s="147" t="s">
        <v>1731</v>
      </c>
      <c r="J207" s="150" t="s">
        <v>1829</v>
      </c>
      <c r="K207" s="89"/>
      <c r="L207" s="89"/>
      <c r="M207" s="89"/>
      <c r="N207" s="89"/>
      <c r="O207" s="89"/>
      <c r="P207" s="89"/>
      <c r="Q207" s="89"/>
      <c r="R207" s="89"/>
      <c r="S207" s="89"/>
      <c r="T207" s="89"/>
      <c r="U207" s="89"/>
      <c r="V207" s="89"/>
      <c r="W207" s="89"/>
      <c r="X207" s="89"/>
      <c r="Y207" s="89"/>
      <c r="Z207" s="89"/>
      <c r="AA207" s="89"/>
    </row>
    <row r="208" ht="14.25" customHeight="1">
      <c r="A208" s="151">
        <v>2026.0</v>
      </c>
      <c r="B208" s="151">
        <v>5.0</v>
      </c>
      <c r="C208" s="125"/>
      <c r="D208" s="149">
        <v>46156.625</v>
      </c>
      <c r="E208" s="144" t="s">
        <v>1875</v>
      </c>
      <c r="F208" s="145">
        <v>-18.0</v>
      </c>
      <c r="G208" s="147" t="s">
        <v>1653</v>
      </c>
      <c r="H208" s="140" t="s">
        <v>1658</v>
      </c>
      <c r="I208" s="147" t="s">
        <v>1731</v>
      </c>
      <c r="J208" s="150" t="s">
        <v>1829</v>
      </c>
      <c r="K208" s="89"/>
      <c r="L208" s="89"/>
      <c r="M208" s="89"/>
      <c r="N208" s="89"/>
      <c r="O208" s="89"/>
      <c r="P208" s="89"/>
      <c r="Q208" s="89"/>
      <c r="R208" s="89"/>
      <c r="S208" s="89"/>
      <c r="T208" s="89"/>
      <c r="U208" s="89"/>
      <c r="V208" s="89"/>
      <c r="W208" s="89"/>
      <c r="X208" s="89"/>
      <c r="Y208" s="89"/>
      <c r="Z208" s="89"/>
      <c r="AA208" s="89"/>
    </row>
    <row r="209" ht="14.25" customHeight="1">
      <c r="A209" s="151">
        <v>2026.0</v>
      </c>
      <c r="B209" s="151">
        <v>5.0</v>
      </c>
      <c r="C209" s="125"/>
      <c r="D209" s="149">
        <v>46159.625</v>
      </c>
      <c r="E209" s="144" t="s">
        <v>1876</v>
      </c>
      <c r="F209" s="145">
        <v>-800.41</v>
      </c>
      <c r="G209" s="147" t="s">
        <v>1650</v>
      </c>
      <c r="H209" s="140" t="s">
        <v>1834</v>
      </c>
      <c r="I209" s="147" t="s">
        <v>1731</v>
      </c>
      <c r="J209" s="150" t="s">
        <v>1802</v>
      </c>
      <c r="K209" s="89"/>
      <c r="L209" s="89"/>
      <c r="M209" s="89"/>
      <c r="N209" s="89"/>
      <c r="O209" s="89"/>
      <c r="P209" s="89"/>
      <c r="Q209" s="89"/>
      <c r="R209" s="89"/>
      <c r="S209" s="89"/>
      <c r="T209" s="89"/>
      <c r="U209" s="89"/>
      <c r="V209" s="89"/>
      <c r="W209" s="89"/>
      <c r="X209" s="89"/>
      <c r="Y209" s="89"/>
      <c r="Z209" s="89"/>
      <c r="AA209" s="89"/>
    </row>
    <row r="210" ht="14.25" customHeight="1">
      <c r="A210" s="151">
        <v>2026.0</v>
      </c>
      <c r="B210" s="151">
        <v>5.0</v>
      </c>
      <c r="C210" s="125"/>
      <c r="D210" s="149">
        <v>46159.625</v>
      </c>
      <c r="E210" s="144" t="s">
        <v>1877</v>
      </c>
      <c r="F210" s="145">
        <v>-390.4</v>
      </c>
      <c r="G210" s="147" t="s">
        <v>42</v>
      </c>
      <c r="H210" s="140" t="s">
        <v>1658</v>
      </c>
      <c r="I210" s="147" t="s">
        <v>1731</v>
      </c>
      <c r="J210" s="150" t="s">
        <v>1829</v>
      </c>
      <c r="K210" s="89"/>
      <c r="L210" s="89"/>
      <c r="M210" s="89"/>
      <c r="N210" s="89"/>
      <c r="O210" s="89"/>
      <c r="P210" s="89"/>
      <c r="Q210" s="89"/>
      <c r="R210" s="89"/>
      <c r="S210" s="89"/>
      <c r="T210" s="89"/>
      <c r="U210" s="89"/>
      <c r="V210" s="89"/>
      <c r="W210" s="89"/>
      <c r="X210" s="89"/>
      <c r="Y210" s="89"/>
      <c r="Z210" s="89"/>
      <c r="AA210" s="89"/>
    </row>
    <row r="211" ht="14.25" customHeight="1">
      <c r="A211" s="151">
        <v>2026.0</v>
      </c>
      <c r="B211" s="151">
        <v>5.0</v>
      </c>
      <c r="C211" s="125"/>
      <c r="D211" s="149">
        <v>46159.625</v>
      </c>
      <c r="E211" s="144" t="s">
        <v>1878</v>
      </c>
      <c r="F211" s="145">
        <v>-355.23</v>
      </c>
      <c r="G211" s="147" t="s">
        <v>1652</v>
      </c>
      <c r="H211" s="140" t="s">
        <v>1809</v>
      </c>
      <c r="I211" s="147" t="s">
        <v>1731</v>
      </c>
      <c r="J211" s="150" t="s">
        <v>1802</v>
      </c>
      <c r="K211" s="89"/>
      <c r="L211" s="89"/>
      <c r="M211" s="89"/>
      <c r="N211" s="89"/>
      <c r="O211" s="89"/>
      <c r="P211" s="89"/>
      <c r="Q211" s="89"/>
      <c r="R211" s="89"/>
      <c r="S211" s="89"/>
      <c r="T211" s="89"/>
      <c r="U211" s="89"/>
      <c r="V211" s="89"/>
      <c r="W211" s="89"/>
      <c r="X211" s="89"/>
      <c r="Y211" s="89"/>
      <c r="Z211" s="89"/>
      <c r="AA211" s="89"/>
    </row>
    <row r="212" ht="14.25" customHeight="1">
      <c r="A212" s="151">
        <v>2026.0</v>
      </c>
      <c r="B212" s="151">
        <v>5.0</v>
      </c>
      <c r="C212" s="125"/>
      <c r="D212" s="149">
        <v>46159.625</v>
      </c>
      <c r="E212" s="144" t="s">
        <v>1879</v>
      </c>
      <c r="F212" s="145">
        <v>-219.6</v>
      </c>
      <c r="G212" s="147" t="s">
        <v>42</v>
      </c>
      <c r="H212" s="140" t="s">
        <v>1658</v>
      </c>
      <c r="I212" s="147" t="s">
        <v>1731</v>
      </c>
      <c r="J212" s="150" t="s">
        <v>1829</v>
      </c>
      <c r="K212" s="89"/>
      <c r="L212" s="89"/>
      <c r="M212" s="89"/>
      <c r="N212" s="89"/>
      <c r="O212" s="89"/>
      <c r="P212" s="89"/>
      <c r="Q212" s="89"/>
      <c r="R212" s="89"/>
      <c r="S212" s="89"/>
      <c r="T212" s="89"/>
      <c r="U212" s="89"/>
      <c r="V212" s="89"/>
      <c r="W212" s="89"/>
      <c r="X212" s="89"/>
      <c r="Y212" s="89"/>
      <c r="Z212" s="89"/>
      <c r="AA212" s="89"/>
    </row>
    <row r="213" ht="14.25" customHeight="1">
      <c r="A213" s="151">
        <v>2026.0</v>
      </c>
      <c r="B213" s="151">
        <v>5.0</v>
      </c>
      <c r="C213" s="125"/>
      <c r="D213" s="149">
        <v>46159.625</v>
      </c>
      <c r="E213" s="144" t="s">
        <v>1880</v>
      </c>
      <c r="F213" s="145">
        <v>-52.0</v>
      </c>
      <c r="G213" s="147" t="s">
        <v>1653</v>
      </c>
      <c r="H213" s="140" t="s">
        <v>1658</v>
      </c>
      <c r="I213" s="147" t="s">
        <v>1731</v>
      </c>
      <c r="J213" s="150" t="s">
        <v>1829</v>
      </c>
      <c r="K213" s="89"/>
      <c r="L213" s="89"/>
      <c r="M213" s="89"/>
      <c r="N213" s="89"/>
      <c r="O213" s="89"/>
      <c r="P213" s="89"/>
      <c r="Q213" s="89"/>
      <c r="R213" s="89"/>
      <c r="S213" s="89"/>
      <c r="T213" s="89"/>
      <c r="U213" s="89"/>
      <c r="V213" s="89"/>
      <c r="W213" s="89"/>
      <c r="X213" s="89"/>
      <c r="Y213" s="89"/>
      <c r="Z213" s="89"/>
      <c r="AA213" s="89"/>
    </row>
    <row r="214" ht="14.25" customHeight="1">
      <c r="A214" s="151">
        <v>2026.0</v>
      </c>
      <c r="B214" s="151">
        <v>5.0</v>
      </c>
      <c r="C214" s="125"/>
      <c r="D214" s="149">
        <v>46159.625</v>
      </c>
      <c r="E214" s="144" t="s">
        <v>1881</v>
      </c>
      <c r="F214" s="145">
        <v>-1.3</v>
      </c>
      <c r="G214" s="147" t="s">
        <v>1653</v>
      </c>
      <c r="H214" s="140" t="s">
        <v>1658</v>
      </c>
      <c r="I214" s="147" t="s">
        <v>1731</v>
      </c>
      <c r="J214" s="150" t="s">
        <v>1802</v>
      </c>
      <c r="K214" s="89"/>
      <c r="L214" s="89"/>
      <c r="M214" s="89"/>
      <c r="N214" s="89"/>
      <c r="O214" s="89"/>
      <c r="P214" s="89"/>
      <c r="Q214" s="89"/>
      <c r="R214" s="89"/>
      <c r="S214" s="89"/>
      <c r="T214" s="89"/>
      <c r="U214" s="89"/>
      <c r="V214" s="89"/>
      <c r="W214" s="89"/>
      <c r="X214" s="89"/>
      <c r="Y214" s="89"/>
      <c r="Z214" s="89"/>
      <c r="AA214" s="89"/>
    </row>
    <row r="215" ht="14.25" customHeight="1">
      <c r="A215" s="151">
        <v>2026.0</v>
      </c>
      <c r="B215" s="151">
        <v>5.0</v>
      </c>
      <c r="C215" s="125"/>
      <c r="D215" s="149">
        <v>46159.625</v>
      </c>
      <c r="E215" s="144" t="s">
        <v>1882</v>
      </c>
      <c r="F215" s="145">
        <v>-1.3</v>
      </c>
      <c r="G215" s="147" t="s">
        <v>1653</v>
      </c>
      <c r="H215" s="140" t="s">
        <v>1658</v>
      </c>
      <c r="I215" s="147" t="s">
        <v>1731</v>
      </c>
      <c r="J215" s="150" t="s">
        <v>1802</v>
      </c>
      <c r="K215" s="89"/>
      <c r="L215" s="89"/>
      <c r="M215" s="89"/>
      <c r="N215" s="89"/>
      <c r="O215" s="89"/>
      <c r="P215" s="89"/>
      <c r="Q215" s="89"/>
      <c r="R215" s="89"/>
      <c r="S215" s="89"/>
      <c r="T215" s="89"/>
      <c r="U215" s="89"/>
      <c r="V215" s="89"/>
      <c r="W215" s="89"/>
      <c r="X215" s="89"/>
      <c r="Y215" s="89"/>
      <c r="Z215" s="89"/>
      <c r="AA215" s="89"/>
    </row>
    <row r="216" ht="14.25" customHeight="1">
      <c r="A216" s="151">
        <v>2026.0</v>
      </c>
      <c r="B216" s="151">
        <v>5.0</v>
      </c>
      <c r="C216" s="125"/>
      <c r="D216" s="149">
        <v>46159.625</v>
      </c>
      <c r="E216" s="144" t="s">
        <v>1883</v>
      </c>
      <c r="F216" s="145">
        <v>-1.3</v>
      </c>
      <c r="G216" s="147" t="s">
        <v>1653</v>
      </c>
      <c r="H216" s="140" t="s">
        <v>1658</v>
      </c>
      <c r="I216" s="147" t="s">
        <v>1731</v>
      </c>
      <c r="J216" s="150" t="s">
        <v>1802</v>
      </c>
      <c r="K216" s="89"/>
      <c r="L216" s="89"/>
      <c r="M216" s="89"/>
      <c r="N216" s="89"/>
      <c r="O216" s="89"/>
      <c r="P216" s="89"/>
      <c r="Q216" s="89"/>
      <c r="R216" s="89"/>
      <c r="S216" s="89"/>
      <c r="T216" s="89"/>
      <c r="U216" s="89"/>
      <c r="V216" s="89"/>
      <c r="W216" s="89"/>
      <c r="X216" s="89"/>
      <c r="Y216" s="89"/>
      <c r="Z216" s="89"/>
      <c r="AA216" s="89"/>
    </row>
    <row r="217" ht="14.25" customHeight="1">
      <c r="A217" s="151">
        <v>2026.0</v>
      </c>
      <c r="B217" s="151">
        <v>5.0</v>
      </c>
      <c r="C217" s="125"/>
      <c r="D217" s="149">
        <v>46161.625</v>
      </c>
      <c r="E217" s="144" t="s">
        <v>1884</v>
      </c>
      <c r="F217" s="145">
        <v>-118.6</v>
      </c>
      <c r="G217" s="147" t="s">
        <v>1653</v>
      </c>
      <c r="H217" s="140" t="s">
        <v>1658</v>
      </c>
      <c r="I217" s="147" t="s">
        <v>1731</v>
      </c>
      <c r="J217" s="150" t="s">
        <v>1885</v>
      </c>
      <c r="K217" s="89"/>
      <c r="L217" s="89"/>
      <c r="M217" s="89"/>
      <c r="N217" s="89"/>
      <c r="O217" s="89"/>
      <c r="P217" s="89"/>
      <c r="Q217" s="89"/>
      <c r="R217" s="89"/>
      <c r="S217" s="89"/>
      <c r="T217" s="89"/>
      <c r="U217" s="89"/>
      <c r="V217" s="89"/>
      <c r="W217" s="89"/>
      <c r="X217" s="89"/>
      <c r="Y217" s="89"/>
      <c r="Z217" s="89"/>
      <c r="AA217" s="89"/>
    </row>
    <row r="218" ht="14.25" customHeight="1">
      <c r="A218" s="151">
        <v>2026.0</v>
      </c>
      <c r="B218" s="151">
        <v>5.0</v>
      </c>
      <c r="C218" s="125"/>
      <c r="D218" s="149">
        <v>46162.625</v>
      </c>
      <c r="E218" s="144" t="s">
        <v>1886</v>
      </c>
      <c r="F218" s="145">
        <v>-1715.93</v>
      </c>
      <c r="G218" s="147" t="s">
        <v>42</v>
      </c>
      <c r="H218" s="140" t="s">
        <v>1814</v>
      </c>
      <c r="I218" s="147" t="s">
        <v>1731</v>
      </c>
      <c r="J218" s="150" t="s">
        <v>1802</v>
      </c>
      <c r="K218" s="89"/>
      <c r="L218" s="89"/>
      <c r="M218" s="89"/>
      <c r="N218" s="89"/>
      <c r="O218" s="89"/>
      <c r="P218" s="89"/>
      <c r="Q218" s="89"/>
      <c r="R218" s="89"/>
      <c r="S218" s="89"/>
      <c r="T218" s="89"/>
      <c r="U218" s="89"/>
      <c r="V218" s="89"/>
      <c r="W218" s="89"/>
      <c r="X218" s="89"/>
      <c r="Y218" s="89"/>
      <c r="Z218" s="89"/>
      <c r="AA218" s="89"/>
    </row>
    <row r="219" ht="14.25" customHeight="1">
      <c r="A219" s="151">
        <v>2026.0</v>
      </c>
      <c r="B219" s="151">
        <v>5.0</v>
      </c>
      <c r="C219" s="125"/>
      <c r="D219" s="149">
        <v>46162.625</v>
      </c>
      <c r="E219" s="144" t="s">
        <v>1887</v>
      </c>
      <c r="F219" s="145">
        <v>-21.29</v>
      </c>
      <c r="G219" s="147" t="s">
        <v>1653</v>
      </c>
      <c r="H219" s="140" t="s">
        <v>1658</v>
      </c>
      <c r="I219" s="147" t="s">
        <v>1731</v>
      </c>
      <c r="J219" s="150" t="s">
        <v>1829</v>
      </c>
      <c r="K219" s="89"/>
      <c r="L219" s="89"/>
      <c r="M219" s="89"/>
      <c r="N219" s="89"/>
      <c r="O219" s="89"/>
      <c r="P219" s="89"/>
      <c r="Q219" s="89"/>
      <c r="R219" s="89"/>
      <c r="S219" s="89"/>
      <c r="T219" s="89"/>
      <c r="U219" s="89"/>
      <c r="V219" s="89"/>
      <c r="W219" s="89"/>
      <c r="X219" s="89"/>
      <c r="Y219" s="89"/>
      <c r="Z219" s="89"/>
      <c r="AA219" s="89"/>
    </row>
    <row r="220" ht="14.25" customHeight="1">
      <c r="A220" s="151">
        <v>2026.0</v>
      </c>
      <c r="B220" s="151">
        <v>5.0</v>
      </c>
      <c r="C220" s="125"/>
      <c r="D220" s="149">
        <v>46162.625</v>
      </c>
      <c r="E220" s="144" t="s">
        <v>1888</v>
      </c>
      <c r="F220" s="145">
        <v>-1.3</v>
      </c>
      <c r="G220" s="147" t="s">
        <v>1653</v>
      </c>
      <c r="H220" s="140" t="s">
        <v>1658</v>
      </c>
      <c r="I220" s="147" t="s">
        <v>1731</v>
      </c>
      <c r="J220" s="150" t="s">
        <v>1802</v>
      </c>
      <c r="K220" s="89"/>
      <c r="L220" s="89"/>
      <c r="M220" s="89"/>
      <c r="N220" s="89"/>
      <c r="O220" s="89"/>
      <c r="P220" s="89"/>
      <c r="Q220" s="89"/>
      <c r="R220" s="89"/>
      <c r="S220" s="89"/>
      <c r="T220" s="89"/>
      <c r="U220" s="89"/>
      <c r="V220" s="89"/>
      <c r="W220" s="89"/>
      <c r="X220" s="89"/>
      <c r="Y220" s="89"/>
      <c r="Z220" s="89"/>
      <c r="AA220" s="89"/>
    </row>
    <row r="221" ht="14.25" customHeight="1">
      <c r="A221" s="151">
        <v>2026.0</v>
      </c>
      <c r="B221" s="151">
        <v>5.0</v>
      </c>
      <c r="C221" s="125"/>
      <c r="D221" s="149">
        <v>46163.625</v>
      </c>
      <c r="E221" s="144" t="s">
        <v>1889</v>
      </c>
      <c r="F221" s="145">
        <v>-35.2</v>
      </c>
      <c r="G221" s="147" t="s">
        <v>1653</v>
      </c>
      <c r="H221" s="140" t="s">
        <v>1658</v>
      </c>
      <c r="I221" s="147" t="s">
        <v>1731</v>
      </c>
      <c r="J221" s="150" t="s">
        <v>1829</v>
      </c>
      <c r="K221" s="89"/>
      <c r="L221" s="89"/>
      <c r="M221" s="89"/>
      <c r="N221" s="89"/>
      <c r="O221" s="89"/>
      <c r="P221" s="89"/>
      <c r="Q221" s="89"/>
      <c r="R221" s="89"/>
      <c r="S221" s="89"/>
      <c r="T221" s="89"/>
      <c r="U221" s="89"/>
      <c r="V221" s="89"/>
      <c r="W221" s="89"/>
      <c r="X221" s="89"/>
      <c r="Y221" s="89"/>
      <c r="Z221" s="89"/>
      <c r="AA221" s="89"/>
    </row>
    <row r="222" ht="14.25" customHeight="1">
      <c r="A222" s="151">
        <v>2026.0</v>
      </c>
      <c r="B222" s="151">
        <v>5.0</v>
      </c>
      <c r="C222" s="125"/>
      <c r="D222" s="149">
        <v>46163.625</v>
      </c>
      <c r="E222" s="144" t="s">
        <v>1890</v>
      </c>
      <c r="F222" s="145">
        <v>-25.59</v>
      </c>
      <c r="G222" s="147" t="s">
        <v>1653</v>
      </c>
      <c r="H222" s="140" t="s">
        <v>1658</v>
      </c>
      <c r="I222" s="147" t="s">
        <v>1731</v>
      </c>
      <c r="J222" s="150" t="s">
        <v>1829</v>
      </c>
      <c r="K222" s="89"/>
      <c r="L222" s="89"/>
      <c r="M222" s="89"/>
      <c r="N222" s="89"/>
      <c r="O222" s="89"/>
      <c r="P222" s="89"/>
      <c r="Q222" s="89"/>
      <c r="R222" s="89"/>
      <c r="S222" s="89"/>
      <c r="T222" s="89"/>
      <c r="U222" s="89"/>
      <c r="V222" s="89"/>
      <c r="W222" s="89"/>
      <c r="X222" s="89"/>
      <c r="Y222" s="89"/>
      <c r="Z222" s="89"/>
      <c r="AA222" s="89"/>
    </row>
    <row r="223" ht="14.25" customHeight="1">
      <c r="A223" s="151">
        <v>2026.0</v>
      </c>
      <c r="B223" s="151">
        <v>5.0</v>
      </c>
      <c r="C223" s="125"/>
      <c r="D223" s="149">
        <v>46166.625</v>
      </c>
      <c r="E223" s="144" t="s">
        <v>1891</v>
      </c>
      <c r="F223" s="145">
        <v>-2341.0</v>
      </c>
      <c r="G223" s="147" t="s">
        <v>1653</v>
      </c>
      <c r="H223" s="140" t="s">
        <v>1654</v>
      </c>
      <c r="I223" s="147" t="s">
        <v>1731</v>
      </c>
      <c r="J223" s="150" t="s">
        <v>1829</v>
      </c>
      <c r="K223" s="89"/>
      <c r="L223" s="89"/>
      <c r="M223" s="89"/>
      <c r="N223" s="89"/>
      <c r="O223" s="89"/>
      <c r="P223" s="89"/>
      <c r="Q223" s="89"/>
      <c r="R223" s="89"/>
      <c r="S223" s="89"/>
      <c r="T223" s="89"/>
      <c r="U223" s="89"/>
      <c r="V223" s="89"/>
      <c r="W223" s="89"/>
      <c r="X223" s="89"/>
      <c r="Y223" s="89"/>
      <c r="Z223" s="89"/>
      <c r="AA223" s="89"/>
    </row>
    <row r="224" ht="14.25" customHeight="1">
      <c r="A224" s="151">
        <v>2026.0</v>
      </c>
      <c r="B224" s="151">
        <v>5.0</v>
      </c>
      <c r="C224" s="125"/>
      <c r="D224" s="149">
        <v>46166.625</v>
      </c>
      <c r="E224" s="144" t="s">
        <v>1892</v>
      </c>
      <c r="F224" s="145">
        <v>-103.6</v>
      </c>
      <c r="G224" s="147" t="s">
        <v>42</v>
      </c>
      <c r="H224" s="140" t="s">
        <v>1658</v>
      </c>
      <c r="I224" s="147" t="s">
        <v>1731</v>
      </c>
      <c r="J224" s="150" t="s">
        <v>1893</v>
      </c>
      <c r="K224" s="89"/>
      <c r="L224" s="89"/>
      <c r="M224" s="89"/>
      <c r="N224" s="89"/>
      <c r="O224" s="89"/>
      <c r="P224" s="89"/>
      <c r="Q224" s="89"/>
      <c r="R224" s="89"/>
      <c r="S224" s="89"/>
      <c r="T224" s="89"/>
      <c r="U224" s="89"/>
      <c r="V224" s="89"/>
      <c r="W224" s="89"/>
      <c r="X224" s="89"/>
      <c r="Y224" s="89"/>
      <c r="Z224" s="89"/>
      <c r="AA224" s="89"/>
    </row>
    <row r="225" ht="14.25" customHeight="1">
      <c r="A225" s="151">
        <v>2026.0</v>
      </c>
      <c r="B225" s="151">
        <v>5.0</v>
      </c>
      <c r="C225" s="125"/>
      <c r="D225" s="149">
        <v>46166.625</v>
      </c>
      <c r="E225" s="144" t="s">
        <v>1894</v>
      </c>
      <c r="F225" s="145">
        <v>-1.3</v>
      </c>
      <c r="G225" s="147" t="s">
        <v>1653</v>
      </c>
      <c r="H225" s="140" t="s">
        <v>1658</v>
      </c>
      <c r="I225" s="147" t="s">
        <v>1731</v>
      </c>
      <c r="J225" s="150" t="s">
        <v>1802</v>
      </c>
      <c r="K225" s="89"/>
      <c r="L225" s="89"/>
      <c r="M225" s="89"/>
      <c r="N225" s="89"/>
      <c r="O225" s="89"/>
      <c r="P225" s="89"/>
      <c r="Q225" s="89"/>
      <c r="R225" s="89"/>
      <c r="S225" s="89"/>
      <c r="T225" s="89"/>
      <c r="U225" s="89"/>
      <c r="V225" s="89"/>
      <c r="W225" s="89"/>
      <c r="X225" s="89"/>
      <c r="Y225" s="89"/>
      <c r="Z225" s="89"/>
      <c r="AA225" s="89"/>
    </row>
    <row r="226" ht="14.25" customHeight="1">
      <c r="A226" s="151">
        <v>2026.0</v>
      </c>
      <c r="B226" s="151">
        <v>5.0</v>
      </c>
      <c r="C226" s="125"/>
      <c r="D226" s="149">
        <v>46166.625</v>
      </c>
      <c r="E226" s="144" t="s">
        <v>1895</v>
      </c>
      <c r="F226" s="145">
        <v>-1.3</v>
      </c>
      <c r="G226" s="147" t="s">
        <v>1653</v>
      </c>
      <c r="H226" s="140" t="s">
        <v>1658</v>
      </c>
      <c r="I226" s="147" t="s">
        <v>1731</v>
      </c>
      <c r="J226" s="150" t="s">
        <v>1802</v>
      </c>
      <c r="K226" s="89"/>
      <c r="L226" s="89"/>
      <c r="M226" s="89"/>
      <c r="N226" s="89"/>
      <c r="O226" s="89"/>
      <c r="P226" s="89"/>
      <c r="Q226" s="89"/>
      <c r="R226" s="89"/>
      <c r="S226" s="89"/>
      <c r="T226" s="89"/>
      <c r="U226" s="89"/>
      <c r="V226" s="89"/>
      <c r="W226" s="89"/>
      <c r="X226" s="89"/>
      <c r="Y226" s="89"/>
      <c r="Z226" s="89"/>
      <c r="AA226" s="89"/>
    </row>
    <row r="227" ht="14.25" customHeight="1">
      <c r="A227" s="151">
        <v>2026.0</v>
      </c>
      <c r="B227" s="151">
        <v>5.0</v>
      </c>
      <c r="C227" s="125"/>
      <c r="D227" s="149">
        <v>46167.625</v>
      </c>
      <c r="E227" s="144" t="s">
        <v>1896</v>
      </c>
      <c r="F227" s="145">
        <v>-67.23</v>
      </c>
      <c r="G227" s="147" t="s">
        <v>1653</v>
      </c>
      <c r="H227" s="140" t="s">
        <v>1658</v>
      </c>
      <c r="I227" s="147" t="s">
        <v>1731</v>
      </c>
      <c r="J227" s="150" t="s">
        <v>1897</v>
      </c>
      <c r="K227" s="89"/>
      <c r="L227" s="89"/>
      <c r="M227" s="89"/>
      <c r="N227" s="89"/>
      <c r="O227" s="89"/>
      <c r="P227" s="89"/>
      <c r="Q227" s="89"/>
      <c r="R227" s="89"/>
      <c r="S227" s="89"/>
      <c r="T227" s="89"/>
      <c r="U227" s="89"/>
      <c r="V227" s="89"/>
      <c r="W227" s="89"/>
      <c r="X227" s="89"/>
      <c r="Y227" s="89"/>
      <c r="Z227" s="89"/>
      <c r="AA227" s="89"/>
    </row>
    <row r="228" ht="14.25" customHeight="1">
      <c r="A228" s="151">
        <v>2026.0</v>
      </c>
      <c r="B228" s="151">
        <v>5.0</v>
      </c>
      <c r="C228" s="125"/>
      <c r="D228" s="149">
        <v>46167.625</v>
      </c>
      <c r="E228" s="144" t="s">
        <v>1898</v>
      </c>
      <c r="F228" s="145">
        <v>-21.4</v>
      </c>
      <c r="G228" s="147" t="s">
        <v>1660</v>
      </c>
      <c r="H228" s="140" t="s">
        <v>1658</v>
      </c>
      <c r="I228" s="147" t="s">
        <v>1731</v>
      </c>
      <c r="J228" s="150" t="s">
        <v>1829</v>
      </c>
      <c r="K228" s="89"/>
      <c r="L228" s="89"/>
      <c r="M228" s="89"/>
      <c r="N228" s="89"/>
      <c r="O228" s="89"/>
      <c r="P228" s="89"/>
      <c r="Q228" s="89"/>
      <c r="R228" s="89"/>
      <c r="S228" s="89"/>
      <c r="T228" s="89"/>
      <c r="U228" s="89"/>
      <c r="V228" s="89"/>
      <c r="W228" s="89"/>
      <c r="X228" s="89"/>
      <c r="Y228" s="89"/>
      <c r="Z228" s="89"/>
      <c r="AA228" s="89"/>
    </row>
    <row r="229" ht="14.25" customHeight="1">
      <c r="A229" s="151">
        <v>2026.0</v>
      </c>
      <c r="B229" s="151">
        <v>5.0</v>
      </c>
      <c r="C229" s="125"/>
      <c r="D229" s="149">
        <v>46168.625</v>
      </c>
      <c r="E229" s="144" t="s">
        <v>1899</v>
      </c>
      <c r="F229" s="145">
        <v>-372.5</v>
      </c>
      <c r="G229" s="147" t="s">
        <v>42</v>
      </c>
      <c r="H229" s="140" t="s">
        <v>1822</v>
      </c>
      <c r="I229" s="147" t="s">
        <v>1731</v>
      </c>
      <c r="J229" s="150" t="s">
        <v>1900</v>
      </c>
      <c r="K229" s="89"/>
      <c r="L229" s="89"/>
      <c r="M229" s="89"/>
      <c r="N229" s="89"/>
      <c r="O229" s="89"/>
      <c r="P229" s="89"/>
      <c r="Q229" s="89"/>
      <c r="R229" s="89"/>
      <c r="S229" s="89"/>
      <c r="T229" s="89"/>
      <c r="U229" s="89"/>
      <c r="V229" s="89"/>
      <c r="W229" s="89"/>
      <c r="X229" s="89"/>
      <c r="Y229" s="89"/>
      <c r="Z229" s="89"/>
      <c r="AA229" s="89"/>
    </row>
    <row r="230" ht="14.25" customHeight="1">
      <c r="A230" s="151">
        <v>2026.0</v>
      </c>
      <c r="B230" s="151">
        <v>5.0</v>
      </c>
      <c r="C230" s="125"/>
      <c r="D230" s="149">
        <v>46168.625</v>
      </c>
      <c r="E230" s="144" t="s">
        <v>1901</v>
      </c>
      <c r="F230" s="145">
        <v>-372.5</v>
      </c>
      <c r="G230" s="147" t="s">
        <v>42</v>
      </c>
      <c r="H230" s="140" t="s">
        <v>1819</v>
      </c>
      <c r="I230" s="147" t="s">
        <v>1731</v>
      </c>
      <c r="J230" s="150" t="s">
        <v>1902</v>
      </c>
      <c r="K230" s="89"/>
      <c r="L230" s="89"/>
      <c r="M230" s="89"/>
      <c r="N230" s="89"/>
      <c r="O230" s="89"/>
      <c r="P230" s="89"/>
      <c r="Q230" s="89"/>
      <c r="R230" s="89"/>
      <c r="S230" s="89"/>
      <c r="T230" s="89"/>
      <c r="U230" s="89"/>
      <c r="V230" s="89"/>
      <c r="W230" s="89"/>
      <c r="X230" s="89"/>
      <c r="Y230" s="89"/>
      <c r="Z230" s="89"/>
      <c r="AA230" s="89"/>
    </row>
    <row r="231" ht="14.25" customHeight="1">
      <c r="A231" s="151">
        <v>2026.0</v>
      </c>
      <c r="B231" s="151">
        <v>5.0</v>
      </c>
      <c r="C231" s="125"/>
      <c r="D231" s="149">
        <v>46168.625</v>
      </c>
      <c r="E231" s="144" t="s">
        <v>1903</v>
      </c>
      <c r="F231" s="145">
        <v>-86.3</v>
      </c>
      <c r="G231" s="147" t="s">
        <v>1660</v>
      </c>
      <c r="H231" s="140" t="s">
        <v>1658</v>
      </c>
      <c r="I231" s="147" t="s">
        <v>1731</v>
      </c>
      <c r="J231" s="150" t="s">
        <v>1802</v>
      </c>
      <c r="K231" s="89"/>
      <c r="L231" s="89"/>
      <c r="M231" s="89"/>
      <c r="N231" s="89"/>
      <c r="O231" s="89"/>
      <c r="P231" s="89"/>
      <c r="Q231" s="89"/>
      <c r="R231" s="89"/>
      <c r="S231" s="89"/>
      <c r="T231" s="89"/>
      <c r="U231" s="89"/>
      <c r="V231" s="89"/>
      <c r="W231" s="89"/>
      <c r="X231" s="89"/>
      <c r="Y231" s="89"/>
      <c r="Z231" s="89"/>
      <c r="AA231" s="89"/>
    </row>
    <row r="232" ht="14.25" customHeight="1">
      <c r="A232" s="151">
        <v>2026.0</v>
      </c>
      <c r="B232" s="151">
        <v>5.0</v>
      </c>
      <c r="C232" s="125"/>
      <c r="D232" s="149">
        <v>46168.625</v>
      </c>
      <c r="E232" s="144" t="s">
        <v>1904</v>
      </c>
      <c r="F232" s="145">
        <v>-54.1</v>
      </c>
      <c r="G232" s="147" t="s">
        <v>1660</v>
      </c>
      <c r="H232" s="140" t="s">
        <v>1658</v>
      </c>
      <c r="I232" s="147" t="s">
        <v>1731</v>
      </c>
      <c r="J232" s="150" t="s">
        <v>1829</v>
      </c>
      <c r="K232" s="89"/>
      <c r="L232" s="89"/>
      <c r="M232" s="89"/>
      <c r="N232" s="89"/>
      <c r="O232" s="89"/>
      <c r="P232" s="89"/>
      <c r="Q232" s="89"/>
      <c r="R232" s="89"/>
      <c r="S232" s="89"/>
      <c r="T232" s="89"/>
      <c r="U232" s="89"/>
      <c r="V232" s="89"/>
      <c r="W232" s="89"/>
      <c r="X232" s="89"/>
      <c r="Y232" s="89"/>
      <c r="Z232" s="89"/>
      <c r="AA232" s="89"/>
    </row>
    <row r="233" ht="14.25" customHeight="1">
      <c r="A233" s="151">
        <v>2026.0</v>
      </c>
      <c r="B233" s="151">
        <v>5.0</v>
      </c>
      <c r="C233" s="125"/>
      <c r="D233" s="149">
        <v>46168.625</v>
      </c>
      <c r="E233" s="144" t="s">
        <v>1741</v>
      </c>
      <c r="F233" s="145">
        <v>-1.29</v>
      </c>
      <c r="G233" s="147" t="s">
        <v>1653</v>
      </c>
      <c r="H233" s="140" t="s">
        <v>1658</v>
      </c>
      <c r="I233" s="147" t="s">
        <v>1731</v>
      </c>
      <c r="J233" s="150" t="s">
        <v>1802</v>
      </c>
      <c r="K233" s="89"/>
      <c r="L233" s="89"/>
      <c r="M233" s="89"/>
      <c r="N233" s="89"/>
      <c r="O233" s="89"/>
      <c r="P233" s="89"/>
      <c r="Q233" s="89"/>
      <c r="R233" s="89"/>
      <c r="S233" s="89"/>
      <c r="T233" s="89"/>
      <c r="U233" s="89"/>
      <c r="V233" s="89"/>
      <c r="W233" s="89"/>
      <c r="X233" s="89"/>
      <c r="Y233" s="89"/>
      <c r="Z233" s="89"/>
      <c r="AA233" s="89"/>
    </row>
    <row r="234" ht="14.25" customHeight="1">
      <c r="A234" s="151">
        <v>2026.0</v>
      </c>
      <c r="B234" s="151">
        <v>5.0</v>
      </c>
      <c r="C234" s="125"/>
      <c r="D234" s="149">
        <v>46169.625</v>
      </c>
      <c r="E234" s="144" t="s">
        <v>1905</v>
      </c>
      <c r="F234" s="145">
        <v>-30.41</v>
      </c>
      <c r="G234" s="147" t="s">
        <v>1653</v>
      </c>
      <c r="H234" s="140" t="s">
        <v>1658</v>
      </c>
      <c r="I234" s="147" t="s">
        <v>1731</v>
      </c>
      <c r="J234" s="150" t="s">
        <v>1829</v>
      </c>
      <c r="K234" s="89"/>
      <c r="L234" s="89"/>
      <c r="M234" s="89"/>
      <c r="N234" s="89"/>
      <c r="O234" s="89"/>
      <c r="P234" s="89"/>
      <c r="Q234" s="89"/>
      <c r="R234" s="89"/>
      <c r="S234" s="89"/>
      <c r="T234" s="89"/>
      <c r="U234" s="89"/>
      <c r="V234" s="89"/>
      <c r="W234" s="89"/>
      <c r="X234" s="89"/>
      <c r="Y234" s="89"/>
      <c r="Z234" s="89"/>
      <c r="AA234" s="89"/>
    </row>
    <row r="235" ht="14.25" customHeight="1">
      <c r="A235" s="151">
        <v>2026.0</v>
      </c>
      <c r="B235" s="151">
        <v>5.0</v>
      </c>
      <c r="C235" s="125"/>
      <c r="D235" s="149">
        <v>46169.625</v>
      </c>
      <c r="E235" s="144" t="s">
        <v>1905</v>
      </c>
      <c r="F235" s="145">
        <v>-24.1</v>
      </c>
      <c r="G235" s="147" t="s">
        <v>1653</v>
      </c>
      <c r="H235" s="140" t="s">
        <v>1658</v>
      </c>
      <c r="I235" s="147" t="s">
        <v>1731</v>
      </c>
      <c r="J235" s="150" t="s">
        <v>1829</v>
      </c>
      <c r="K235" s="89"/>
      <c r="L235" s="89"/>
      <c r="M235" s="89"/>
      <c r="N235" s="89"/>
      <c r="O235" s="89"/>
      <c r="P235" s="89"/>
      <c r="Q235" s="89"/>
      <c r="R235" s="89"/>
      <c r="S235" s="89"/>
      <c r="T235" s="89"/>
      <c r="U235" s="89"/>
      <c r="V235" s="89"/>
      <c r="W235" s="89"/>
      <c r="X235" s="89"/>
      <c r="Y235" s="89"/>
      <c r="Z235" s="89"/>
      <c r="AA235" s="89"/>
    </row>
    <row r="236" ht="14.25" customHeight="1">
      <c r="A236" s="151">
        <v>2026.0</v>
      </c>
      <c r="B236" s="151">
        <v>5.0</v>
      </c>
      <c r="C236" s="125"/>
      <c r="D236" s="149">
        <v>46170.625</v>
      </c>
      <c r="E236" s="144" t="s">
        <v>1906</v>
      </c>
      <c r="F236" s="145">
        <v>-225.45</v>
      </c>
      <c r="G236" s="147" t="s">
        <v>42</v>
      </c>
      <c r="H236" s="140" t="s">
        <v>1822</v>
      </c>
      <c r="I236" s="147" t="s">
        <v>1731</v>
      </c>
      <c r="J236" s="150" t="s">
        <v>1907</v>
      </c>
      <c r="K236" s="89"/>
      <c r="L236" s="89"/>
      <c r="M236" s="89"/>
      <c r="N236" s="89"/>
      <c r="O236" s="89"/>
      <c r="P236" s="89"/>
      <c r="Q236" s="89"/>
      <c r="R236" s="89"/>
      <c r="S236" s="89"/>
      <c r="T236" s="89"/>
      <c r="U236" s="89"/>
      <c r="V236" s="89"/>
      <c r="W236" s="89"/>
      <c r="X236" s="89"/>
      <c r="Y236" s="89"/>
      <c r="Z236" s="89"/>
      <c r="AA236" s="89"/>
    </row>
    <row r="237" ht="14.25" customHeight="1">
      <c r="A237" s="151">
        <v>2026.0</v>
      </c>
      <c r="B237" s="151">
        <v>5.0</v>
      </c>
      <c r="C237" s="125"/>
      <c r="D237" s="149">
        <v>46170.625</v>
      </c>
      <c r="E237" s="144" t="s">
        <v>1908</v>
      </c>
      <c r="F237" s="145">
        <v>-225.45</v>
      </c>
      <c r="G237" s="147" t="s">
        <v>42</v>
      </c>
      <c r="H237" s="140" t="s">
        <v>1819</v>
      </c>
      <c r="I237" s="147" t="s">
        <v>1731</v>
      </c>
      <c r="J237" s="150" t="s">
        <v>1907</v>
      </c>
      <c r="K237" s="89"/>
      <c r="L237" s="89"/>
      <c r="M237" s="89"/>
      <c r="N237" s="89"/>
      <c r="O237" s="89"/>
      <c r="P237" s="89"/>
      <c r="Q237" s="89"/>
      <c r="R237" s="89"/>
      <c r="S237" s="89"/>
      <c r="T237" s="89"/>
      <c r="U237" s="89"/>
      <c r="V237" s="89"/>
      <c r="W237" s="89"/>
      <c r="X237" s="89"/>
      <c r="Y237" s="89"/>
      <c r="Z237" s="89"/>
      <c r="AA237" s="89"/>
    </row>
    <row r="238" ht="14.25" customHeight="1">
      <c r="A238" s="151">
        <v>2026.0</v>
      </c>
      <c r="B238" s="151">
        <v>5.0</v>
      </c>
      <c r="C238" s="125"/>
      <c r="D238" s="149">
        <v>46171.625</v>
      </c>
      <c r="E238" s="144" t="s">
        <v>1909</v>
      </c>
      <c r="F238" s="145">
        <v>-561.43</v>
      </c>
      <c r="G238" s="147" t="s">
        <v>1660</v>
      </c>
      <c r="H238" s="140" t="s">
        <v>1662</v>
      </c>
      <c r="I238" s="147" t="s">
        <v>1731</v>
      </c>
      <c r="J238" s="150" t="s">
        <v>1907</v>
      </c>
      <c r="K238" s="89"/>
      <c r="L238" s="89"/>
      <c r="M238" s="89"/>
      <c r="N238" s="89"/>
      <c r="O238" s="89"/>
      <c r="P238" s="89"/>
      <c r="Q238" s="89"/>
      <c r="R238" s="89"/>
      <c r="S238" s="89"/>
      <c r="T238" s="89"/>
      <c r="U238" s="89"/>
      <c r="V238" s="89"/>
      <c r="W238" s="89"/>
      <c r="X238" s="89"/>
      <c r="Y238" s="89"/>
      <c r="Z238" s="89"/>
      <c r="AA238" s="89"/>
    </row>
    <row r="239" ht="14.25" customHeight="1">
      <c r="A239" s="151">
        <v>2026.0</v>
      </c>
      <c r="B239" s="151">
        <v>6.0</v>
      </c>
      <c r="C239" s="125"/>
      <c r="D239" s="149">
        <v>46174.125</v>
      </c>
      <c r="E239" s="144" t="s">
        <v>1910</v>
      </c>
      <c r="F239" s="145">
        <v>-1.3</v>
      </c>
      <c r="G239" s="147" t="s">
        <v>1653</v>
      </c>
      <c r="H239" s="140" t="s">
        <v>1658</v>
      </c>
      <c r="I239" s="147" t="s">
        <v>1731</v>
      </c>
      <c r="J239" s="150" t="s">
        <v>1802</v>
      </c>
      <c r="K239" s="89"/>
      <c r="L239" s="89"/>
      <c r="M239" s="89"/>
      <c r="N239" s="89"/>
      <c r="O239" s="89"/>
      <c r="P239" s="89"/>
      <c r="Q239" s="89"/>
      <c r="R239" s="89"/>
      <c r="S239" s="89"/>
      <c r="T239" s="89"/>
      <c r="U239" s="89"/>
      <c r="V239" s="89"/>
      <c r="W239" s="89"/>
      <c r="X239" s="89"/>
      <c r="Y239" s="89"/>
      <c r="Z239" s="89"/>
      <c r="AA239" s="89"/>
    </row>
    <row r="240" ht="14.25" customHeight="1">
      <c r="A240" s="151">
        <v>2026.0</v>
      </c>
      <c r="B240" s="151">
        <v>6.0</v>
      </c>
      <c r="C240" s="125"/>
      <c r="D240" s="149">
        <v>46174.125</v>
      </c>
      <c r="E240" s="144" t="s">
        <v>1911</v>
      </c>
      <c r="F240" s="145">
        <v>-1717.93</v>
      </c>
      <c r="G240" s="147" t="s">
        <v>42</v>
      </c>
      <c r="H240" s="140" t="s">
        <v>1814</v>
      </c>
      <c r="I240" s="147" t="s">
        <v>1731</v>
      </c>
      <c r="J240" s="150" t="s">
        <v>1802</v>
      </c>
      <c r="K240" s="89"/>
      <c r="L240" s="89"/>
      <c r="M240" s="89"/>
      <c r="N240" s="89"/>
      <c r="O240" s="89"/>
      <c r="P240" s="89"/>
      <c r="Q240" s="89"/>
      <c r="R240" s="89"/>
      <c r="S240" s="89"/>
      <c r="T240" s="89"/>
      <c r="U240" s="89"/>
      <c r="V240" s="89"/>
      <c r="W240" s="89"/>
      <c r="X240" s="89"/>
      <c r="Y240" s="89"/>
      <c r="Z240" s="89"/>
      <c r="AA240" s="89"/>
    </row>
    <row r="241" ht="14.25" customHeight="1">
      <c r="A241" s="151">
        <v>2026.0</v>
      </c>
      <c r="B241" s="151">
        <v>6.0</v>
      </c>
      <c r="C241" s="125"/>
      <c r="D241" s="149">
        <v>46176.125</v>
      </c>
      <c r="E241" s="144" t="s">
        <v>1912</v>
      </c>
      <c r="F241" s="145">
        <v>-15.0</v>
      </c>
      <c r="G241" s="147" t="s">
        <v>1653</v>
      </c>
      <c r="H241" s="140" t="s">
        <v>1658</v>
      </c>
      <c r="I241" s="147" t="s">
        <v>1731</v>
      </c>
      <c r="J241" s="150" t="s">
        <v>1913</v>
      </c>
      <c r="K241" s="89"/>
      <c r="L241" s="89"/>
      <c r="M241" s="89"/>
      <c r="N241" s="89"/>
      <c r="O241" s="89"/>
      <c r="P241" s="89"/>
      <c r="Q241" s="89"/>
      <c r="R241" s="89"/>
      <c r="S241" s="89"/>
      <c r="T241" s="89"/>
      <c r="U241" s="89"/>
      <c r="V241" s="89"/>
      <c r="W241" s="89"/>
      <c r="X241" s="89"/>
      <c r="Y241" s="89"/>
      <c r="Z241" s="89"/>
      <c r="AA241" s="89"/>
    </row>
    <row r="242" ht="14.25" customHeight="1">
      <c r="A242" s="151">
        <v>2026.0</v>
      </c>
      <c r="B242" s="151">
        <v>6.0</v>
      </c>
      <c r="C242" s="125"/>
      <c r="D242" s="149">
        <v>46177.125</v>
      </c>
      <c r="E242" s="144" t="s">
        <v>1914</v>
      </c>
      <c r="F242" s="145">
        <v>-23.59</v>
      </c>
      <c r="G242" s="147" t="s">
        <v>1653</v>
      </c>
      <c r="H242" s="140" t="s">
        <v>1656</v>
      </c>
      <c r="I242" s="147" t="s">
        <v>1731</v>
      </c>
      <c r="J242" s="150" t="s">
        <v>1802</v>
      </c>
      <c r="K242" s="89"/>
      <c r="L242" s="89"/>
      <c r="M242" s="89"/>
      <c r="N242" s="89"/>
      <c r="O242" s="89"/>
      <c r="P242" s="89"/>
      <c r="Q242" s="89"/>
      <c r="R242" s="89"/>
      <c r="S242" s="89"/>
      <c r="T242" s="89"/>
      <c r="U242" s="89"/>
      <c r="V242" s="89"/>
      <c r="W242" s="89"/>
      <c r="X242" s="89"/>
      <c r="Y242" s="89"/>
      <c r="Z242" s="89"/>
      <c r="AA242" s="89"/>
    </row>
    <row r="243" ht="14.25" customHeight="1">
      <c r="A243" s="151">
        <v>2026.0</v>
      </c>
      <c r="B243" s="151">
        <v>6.0</v>
      </c>
      <c r="C243" s="125"/>
      <c r="D243" s="149">
        <v>46178.125</v>
      </c>
      <c r="E243" s="144" t="s">
        <v>1915</v>
      </c>
      <c r="F243" s="145">
        <v>-1.3</v>
      </c>
      <c r="G243" s="147" t="s">
        <v>1653</v>
      </c>
      <c r="H243" s="140" t="s">
        <v>1658</v>
      </c>
      <c r="I243" s="147" t="s">
        <v>1731</v>
      </c>
      <c r="J243" s="150" t="s">
        <v>1802</v>
      </c>
      <c r="K243" s="89"/>
      <c r="L243" s="89"/>
      <c r="M243" s="89"/>
      <c r="N243" s="89"/>
      <c r="O243" s="89"/>
      <c r="P243" s="89"/>
      <c r="Q243" s="89"/>
      <c r="R243" s="89"/>
      <c r="S243" s="89"/>
      <c r="T243" s="89"/>
      <c r="U243" s="89"/>
      <c r="V243" s="89"/>
      <c r="W243" s="89"/>
      <c r="X243" s="89"/>
      <c r="Y243" s="89"/>
      <c r="Z243" s="89"/>
      <c r="AA243" s="89"/>
    </row>
    <row r="244" ht="14.25" customHeight="1">
      <c r="A244" s="151">
        <v>2026.0</v>
      </c>
      <c r="B244" s="151">
        <v>6.0</v>
      </c>
      <c r="C244" s="125"/>
      <c r="D244" s="149">
        <v>46178.125</v>
      </c>
      <c r="E244" s="144" t="s">
        <v>1916</v>
      </c>
      <c r="F244" s="145">
        <v>-707.6</v>
      </c>
      <c r="G244" s="147" t="s">
        <v>1660</v>
      </c>
      <c r="H244" s="140" t="s">
        <v>1661</v>
      </c>
      <c r="I244" s="147" t="s">
        <v>1731</v>
      </c>
      <c r="J244" s="150" t="s">
        <v>1802</v>
      </c>
      <c r="K244" s="89"/>
      <c r="L244" s="89"/>
      <c r="M244" s="89"/>
      <c r="N244" s="89"/>
      <c r="O244" s="89"/>
      <c r="P244" s="89"/>
      <c r="Q244" s="89"/>
      <c r="R244" s="89"/>
      <c r="S244" s="89"/>
      <c r="T244" s="89"/>
      <c r="U244" s="89"/>
      <c r="V244" s="89"/>
      <c r="W244" s="89"/>
      <c r="X244" s="89"/>
      <c r="Y244" s="89"/>
      <c r="Z244" s="89"/>
      <c r="AA244" s="89"/>
    </row>
    <row r="245" ht="14.25" customHeight="1">
      <c r="A245" s="151">
        <v>2026.0</v>
      </c>
      <c r="B245" s="151">
        <v>6.0</v>
      </c>
      <c r="C245" s="125"/>
      <c r="D245" s="149">
        <v>46182.125</v>
      </c>
      <c r="E245" s="144" t="s">
        <v>1917</v>
      </c>
      <c r="F245" s="145">
        <v>-1.3</v>
      </c>
      <c r="G245" s="147" t="s">
        <v>1653</v>
      </c>
      <c r="H245" s="140" t="s">
        <v>1658</v>
      </c>
      <c r="I245" s="147" t="s">
        <v>1731</v>
      </c>
      <c r="J245" s="150" t="s">
        <v>1802</v>
      </c>
      <c r="K245" s="89"/>
      <c r="L245" s="89"/>
      <c r="M245" s="89"/>
      <c r="N245" s="89"/>
      <c r="O245" s="89"/>
      <c r="P245" s="89"/>
      <c r="Q245" s="89"/>
      <c r="R245" s="89"/>
      <c r="S245" s="89"/>
      <c r="T245" s="89"/>
      <c r="U245" s="89"/>
      <c r="V245" s="89"/>
      <c r="W245" s="89"/>
      <c r="X245" s="89"/>
      <c r="Y245" s="89"/>
      <c r="Z245" s="89"/>
      <c r="AA245" s="89"/>
    </row>
    <row r="246" ht="14.25" customHeight="1">
      <c r="A246" s="151">
        <v>2026.0</v>
      </c>
      <c r="B246" s="151">
        <v>6.0</v>
      </c>
      <c r="C246" s="125"/>
      <c r="D246" s="149">
        <v>46182.125</v>
      </c>
      <c r="E246" s="144" t="s">
        <v>1918</v>
      </c>
      <c r="F246" s="145">
        <v>-20.0</v>
      </c>
      <c r="G246" s="147" t="s">
        <v>1653</v>
      </c>
      <c r="H246" s="140" t="s">
        <v>1658</v>
      </c>
      <c r="I246" s="147" t="s">
        <v>1731</v>
      </c>
      <c r="J246" s="150" t="s">
        <v>1802</v>
      </c>
      <c r="K246" s="89"/>
      <c r="L246" s="89"/>
      <c r="M246" s="89"/>
      <c r="N246" s="89"/>
      <c r="O246" s="89"/>
      <c r="P246" s="89"/>
      <c r="Q246" s="89"/>
      <c r="R246" s="89"/>
      <c r="S246" s="89"/>
      <c r="T246" s="89"/>
      <c r="U246" s="89"/>
      <c r="V246" s="89"/>
      <c r="W246" s="89"/>
      <c r="X246" s="89"/>
      <c r="Y246" s="89"/>
      <c r="Z246" s="89"/>
      <c r="AA246" s="89"/>
    </row>
    <row r="247" ht="14.25" customHeight="1">
      <c r="A247" s="151">
        <v>2026.0</v>
      </c>
      <c r="B247" s="151">
        <v>6.0</v>
      </c>
      <c r="C247" s="125"/>
      <c r="D247" s="149">
        <v>46182.125</v>
      </c>
      <c r="E247" s="144" t="s">
        <v>1919</v>
      </c>
      <c r="F247" s="145">
        <v>-92.8</v>
      </c>
      <c r="G247" s="147" t="s">
        <v>1653</v>
      </c>
      <c r="H247" s="140" t="s">
        <v>1658</v>
      </c>
      <c r="I247" s="147" t="s">
        <v>1731</v>
      </c>
      <c r="J247" s="150" t="s">
        <v>1920</v>
      </c>
      <c r="K247" s="89"/>
      <c r="L247" s="89"/>
      <c r="M247" s="89"/>
      <c r="N247" s="89"/>
      <c r="O247" s="89"/>
      <c r="P247" s="89"/>
      <c r="Q247" s="89"/>
      <c r="R247" s="89"/>
      <c r="S247" s="89"/>
      <c r="T247" s="89"/>
      <c r="U247" s="89"/>
      <c r="V247" s="89"/>
      <c r="W247" s="89"/>
      <c r="X247" s="89"/>
      <c r="Y247" s="89"/>
      <c r="Z247" s="89"/>
      <c r="AA247" s="89"/>
    </row>
    <row r="248" ht="14.25" customHeight="1">
      <c r="A248" s="151">
        <v>2026.0</v>
      </c>
      <c r="B248" s="151">
        <v>6.0</v>
      </c>
      <c r="C248" s="125"/>
      <c r="D248" s="149">
        <v>46182.125</v>
      </c>
      <c r="E248" s="144" t="s">
        <v>1921</v>
      </c>
      <c r="F248" s="145">
        <v>-533.5</v>
      </c>
      <c r="G248" s="147" t="s">
        <v>1653</v>
      </c>
      <c r="H248" s="140" t="s">
        <v>1658</v>
      </c>
      <c r="I248" s="147" t="s">
        <v>1731</v>
      </c>
      <c r="J248" s="150" t="s">
        <v>1922</v>
      </c>
      <c r="K248" s="89"/>
      <c r="L248" s="89"/>
      <c r="M248" s="89"/>
      <c r="N248" s="89"/>
      <c r="O248" s="89"/>
      <c r="P248" s="89"/>
      <c r="Q248" s="89"/>
      <c r="R248" s="89"/>
      <c r="S248" s="89"/>
      <c r="T248" s="89"/>
      <c r="U248" s="89"/>
      <c r="V248" s="89"/>
      <c r="W248" s="89"/>
      <c r="X248" s="89"/>
      <c r="Y248" s="89"/>
      <c r="Z248" s="89"/>
      <c r="AA248" s="89"/>
    </row>
    <row r="249" ht="14.25" customHeight="1">
      <c r="A249" s="151">
        <v>2026.0</v>
      </c>
      <c r="B249" s="151">
        <v>6.0</v>
      </c>
      <c r="C249" s="125"/>
      <c r="D249" s="149">
        <v>46183.125</v>
      </c>
      <c r="E249" s="144" t="s">
        <v>1923</v>
      </c>
      <c r="F249" s="145">
        <v>-1.3</v>
      </c>
      <c r="G249" s="147" t="s">
        <v>1653</v>
      </c>
      <c r="H249" s="140" t="s">
        <v>1658</v>
      </c>
      <c r="I249" s="147" t="s">
        <v>1731</v>
      </c>
      <c r="J249" s="150" t="s">
        <v>1802</v>
      </c>
      <c r="K249" s="89"/>
      <c r="L249" s="89"/>
      <c r="M249" s="89"/>
      <c r="N249" s="89"/>
      <c r="O249" s="89"/>
      <c r="P249" s="89"/>
      <c r="Q249" s="89"/>
      <c r="R249" s="89"/>
      <c r="S249" s="89"/>
      <c r="T249" s="89"/>
      <c r="U249" s="89"/>
      <c r="V249" s="89"/>
      <c r="W249" s="89"/>
      <c r="X249" s="89"/>
      <c r="Y249" s="89"/>
      <c r="Z249" s="89"/>
      <c r="AA249" s="89"/>
    </row>
    <row r="250" ht="14.25" customHeight="1">
      <c r="A250" s="151">
        <v>2026.0</v>
      </c>
      <c r="B250" s="151">
        <v>6.0</v>
      </c>
      <c r="C250" s="125"/>
      <c r="D250" s="149">
        <v>46183.125</v>
      </c>
      <c r="E250" s="144" t="s">
        <v>1924</v>
      </c>
      <c r="F250" s="145">
        <v>-85.22</v>
      </c>
      <c r="G250" s="147" t="s">
        <v>1653</v>
      </c>
      <c r="H250" s="140" t="s">
        <v>1658</v>
      </c>
      <c r="I250" s="147" t="s">
        <v>1731</v>
      </c>
      <c r="J250" s="150" t="s">
        <v>1925</v>
      </c>
      <c r="K250" s="89"/>
      <c r="L250" s="89"/>
      <c r="M250" s="89"/>
      <c r="N250" s="89"/>
      <c r="O250" s="89"/>
      <c r="P250" s="89"/>
      <c r="Q250" s="89"/>
      <c r="R250" s="89"/>
      <c r="S250" s="89"/>
      <c r="T250" s="89"/>
      <c r="U250" s="89"/>
      <c r="V250" s="89"/>
      <c r="W250" s="89"/>
      <c r="X250" s="89"/>
      <c r="Y250" s="89"/>
      <c r="Z250" s="89"/>
      <c r="AA250" s="89"/>
    </row>
    <row r="251" ht="14.25" customHeight="1">
      <c r="A251" s="151">
        <v>2026.0</v>
      </c>
      <c r="B251" s="151">
        <v>6.0</v>
      </c>
      <c r="C251" s="125"/>
      <c r="D251" s="149">
        <v>46184.125</v>
      </c>
      <c r="E251" s="144" t="s">
        <v>1926</v>
      </c>
      <c r="F251" s="145">
        <v>-1.3</v>
      </c>
      <c r="G251" s="147" t="s">
        <v>1653</v>
      </c>
      <c r="H251" s="140" t="s">
        <v>1658</v>
      </c>
      <c r="I251" s="147" t="s">
        <v>1731</v>
      </c>
      <c r="J251" s="150" t="s">
        <v>1802</v>
      </c>
      <c r="K251" s="89"/>
      <c r="L251" s="89"/>
      <c r="M251" s="89"/>
      <c r="N251" s="89"/>
      <c r="O251" s="89"/>
      <c r="P251" s="89"/>
      <c r="Q251" s="89"/>
      <c r="R251" s="89"/>
      <c r="S251" s="89"/>
      <c r="T251" s="89"/>
      <c r="U251" s="89"/>
      <c r="V251" s="89"/>
      <c r="W251" s="89"/>
      <c r="X251" s="89"/>
      <c r="Y251" s="89"/>
      <c r="Z251" s="89"/>
      <c r="AA251" s="89"/>
    </row>
    <row r="252" ht="14.25" customHeight="1">
      <c r="A252" s="151">
        <v>2026.0</v>
      </c>
      <c r="B252" s="151">
        <v>6.0</v>
      </c>
      <c r="C252" s="125"/>
      <c r="D252" s="149">
        <v>46184.125</v>
      </c>
      <c r="E252" s="144" t="s">
        <v>1927</v>
      </c>
      <c r="F252" s="145">
        <v>-146.4</v>
      </c>
      <c r="G252" s="147" t="s">
        <v>42</v>
      </c>
      <c r="H252" s="140" t="s">
        <v>1841</v>
      </c>
      <c r="I252" s="147" t="s">
        <v>1731</v>
      </c>
      <c r="J252" s="150" t="s">
        <v>1802</v>
      </c>
      <c r="K252" s="89"/>
      <c r="L252" s="89"/>
      <c r="M252" s="89"/>
      <c r="N252" s="89"/>
      <c r="O252" s="89"/>
      <c r="P252" s="89"/>
      <c r="Q252" s="89"/>
      <c r="R252" s="89"/>
      <c r="S252" s="89"/>
      <c r="T252" s="89"/>
      <c r="U252" s="89"/>
      <c r="V252" s="89"/>
      <c r="W252" s="89"/>
      <c r="X252" s="89"/>
      <c r="Y252" s="89"/>
      <c r="Z252" s="89"/>
      <c r="AA252" s="89"/>
    </row>
    <row r="253" ht="14.25" customHeight="1">
      <c r="A253" s="151">
        <v>2026.0</v>
      </c>
      <c r="B253" s="151">
        <v>6.0</v>
      </c>
      <c r="C253" s="125"/>
      <c r="D253" s="149">
        <v>46185.125</v>
      </c>
      <c r="E253" s="144" t="s">
        <v>1741</v>
      </c>
      <c r="F253" s="145">
        <v>-2.39</v>
      </c>
      <c r="G253" s="147" t="s">
        <v>1653</v>
      </c>
      <c r="H253" s="140" t="s">
        <v>1658</v>
      </c>
      <c r="I253" s="147" t="s">
        <v>1731</v>
      </c>
      <c r="J253" s="150" t="s">
        <v>1802</v>
      </c>
      <c r="K253" s="89"/>
      <c r="L253" s="89"/>
      <c r="M253" s="89"/>
      <c r="N253" s="89"/>
      <c r="O253" s="89"/>
      <c r="P253" s="89"/>
      <c r="Q253" s="89"/>
      <c r="R253" s="89"/>
      <c r="S253" s="89"/>
      <c r="T253" s="89"/>
      <c r="U253" s="89"/>
      <c r="V253" s="89"/>
      <c r="W253" s="89"/>
      <c r="X253" s="89"/>
      <c r="Y253" s="89"/>
      <c r="Z253" s="89"/>
      <c r="AA253" s="89"/>
    </row>
    <row r="254" ht="14.25" customHeight="1">
      <c r="A254" s="151">
        <v>2026.0</v>
      </c>
      <c r="B254" s="151">
        <v>6.0</v>
      </c>
      <c r="C254" s="125"/>
      <c r="D254" s="149">
        <v>46185.125</v>
      </c>
      <c r="E254" s="144" t="s">
        <v>1928</v>
      </c>
      <c r="F254" s="145">
        <v>-6.6</v>
      </c>
      <c r="G254" s="147" t="s">
        <v>1653</v>
      </c>
      <c r="H254" s="140" t="s">
        <v>1658</v>
      </c>
      <c r="I254" s="147" t="s">
        <v>1731</v>
      </c>
      <c r="J254" s="150" t="s">
        <v>1920</v>
      </c>
      <c r="K254" s="89"/>
      <c r="L254" s="89"/>
      <c r="M254" s="89"/>
      <c r="N254" s="89"/>
      <c r="O254" s="89"/>
      <c r="P254" s="89"/>
      <c r="Q254" s="89"/>
      <c r="R254" s="89"/>
      <c r="S254" s="89"/>
      <c r="T254" s="89"/>
      <c r="U254" s="89"/>
      <c r="V254" s="89"/>
      <c r="W254" s="89"/>
      <c r="X254" s="89"/>
      <c r="Y254" s="89"/>
      <c r="Z254" s="89"/>
      <c r="AA254" s="89"/>
    </row>
    <row r="255" ht="14.25" customHeight="1">
      <c r="A255" s="151">
        <v>2026.0</v>
      </c>
      <c r="B255" s="151">
        <v>6.0</v>
      </c>
      <c r="C255" s="125"/>
      <c r="D255" s="149">
        <v>46185.125</v>
      </c>
      <c r="E255" s="144" t="s">
        <v>1929</v>
      </c>
      <c r="F255" s="145">
        <v>-109.0</v>
      </c>
      <c r="G255" s="147" t="s">
        <v>1653</v>
      </c>
      <c r="H255" s="140" t="s">
        <v>1658</v>
      </c>
      <c r="I255" s="147" t="s">
        <v>1731</v>
      </c>
      <c r="J255" s="150" t="s">
        <v>1920</v>
      </c>
      <c r="K255" s="89"/>
      <c r="L255" s="89"/>
      <c r="M255" s="89"/>
      <c r="N255" s="89"/>
      <c r="O255" s="89"/>
      <c r="P255" s="89"/>
      <c r="Q255" s="89"/>
      <c r="R255" s="89"/>
      <c r="S255" s="89"/>
      <c r="T255" s="89"/>
      <c r="U255" s="89"/>
      <c r="V255" s="89"/>
      <c r="W255" s="89"/>
      <c r="X255" s="89"/>
      <c r="Y255" s="89"/>
      <c r="Z255" s="89"/>
      <c r="AA255" s="89"/>
    </row>
    <row r="256" ht="14.25" customHeight="1">
      <c r="A256" s="151">
        <v>2026.0</v>
      </c>
      <c r="B256" s="151">
        <v>6.0</v>
      </c>
      <c r="C256" s="125"/>
      <c r="D256" s="149">
        <v>46185.125</v>
      </c>
      <c r="E256" s="144" t="s">
        <v>1930</v>
      </c>
      <c r="F256" s="145">
        <v>-159.15</v>
      </c>
      <c r="G256" s="147" t="s">
        <v>1653</v>
      </c>
      <c r="H256" s="140" t="s">
        <v>1658</v>
      </c>
      <c r="I256" s="147" t="s">
        <v>1731</v>
      </c>
      <c r="J256" s="150" t="s">
        <v>1931</v>
      </c>
      <c r="K256" s="89"/>
      <c r="L256" s="89"/>
      <c r="M256" s="89"/>
      <c r="N256" s="89"/>
      <c r="O256" s="89"/>
      <c r="P256" s="89"/>
      <c r="Q256" s="89"/>
      <c r="R256" s="89"/>
      <c r="S256" s="89"/>
      <c r="T256" s="89"/>
      <c r="U256" s="89"/>
      <c r="V256" s="89"/>
      <c r="W256" s="89"/>
      <c r="X256" s="89"/>
      <c r="Y256" s="89"/>
      <c r="Z256" s="89"/>
      <c r="AA256" s="89"/>
    </row>
    <row r="257" ht="14.25" customHeight="1">
      <c r="A257" s="151">
        <v>2026.0</v>
      </c>
      <c r="B257" s="151">
        <v>6.0</v>
      </c>
      <c r="C257" s="125"/>
      <c r="D257" s="149">
        <v>46189.125</v>
      </c>
      <c r="E257" s="144" t="s">
        <v>1932</v>
      </c>
      <c r="F257" s="145">
        <v>-1848.99</v>
      </c>
      <c r="G257" s="147" t="s">
        <v>1650</v>
      </c>
      <c r="H257" s="140" t="s">
        <v>1834</v>
      </c>
      <c r="I257" s="147" t="s">
        <v>1731</v>
      </c>
      <c r="J257" s="150" t="s">
        <v>1802</v>
      </c>
      <c r="K257" s="89"/>
      <c r="L257" s="89"/>
      <c r="M257" s="89"/>
      <c r="N257" s="89"/>
      <c r="O257" s="89"/>
      <c r="P257" s="89"/>
      <c r="Q257" s="89"/>
      <c r="R257" s="89"/>
      <c r="S257" s="89"/>
      <c r="T257" s="89"/>
      <c r="U257" s="89"/>
      <c r="V257" s="89"/>
      <c r="W257" s="89"/>
      <c r="X257" s="89"/>
      <c r="Y257" s="89"/>
      <c r="Z257" s="89"/>
      <c r="AA257" s="89"/>
    </row>
    <row r="258" ht="14.25" customHeight="1">
      <c r="A258" s="151">
        <v>2026.0</v>
      </c>
      <c r="B258" s="151">
        <v>6.0</v>
      </c>
      <c r="C258" s="125"/>
      <c r="D258" s="149">
        <v>46190.125</v>
      </c>
      <c r="E258" s="144" t="s">
        <v>1933</v>
      </c>
      <c r="F258" s="145">
        <v>-18.0</v>
      </c>
      <c r="G258" s="147" t="s">
        <v>1653</v>
      </c>
      <c r="H258" s="140" t="s">
        <v>1658</v>
      </c>
      <c r="I258" s="147" t="s">
        <v>1731</v>
      </c>
      <c r="J258" s="150" t="s">
        <v>1934</v>
      </c>
      <c r="K258" s="89"/>
      <c r="L258" s="89"/>
      <c r="M258" s="89"/>
      <c r="N258" s="89"/>
      <c r="O258" s="89"/>
      <c r="P258" s="89"/>
      <c r="Q258" s="89"/>
      <c r="R258" s="89"/>
      <c r="S258" s="89"/>
      <c r="T258" s="89"/>
      <c r="U258" s="89"/>
      <c r="V258" s="89"/>
      <c r="W258" s="89"/>
      <c r="X258" s="89"/>
      <c r="Y258" s="89"/>
      <c r="Z258" s="89"/>
      <c r="AA258" s="89"/>
    </row>
    <row r="259" ht="14.25" customHeight="1">
      <c r="A259" s="151">
        <v>2026.0</v>
      </c>
      <c r="B259" s="151">
        <v>6.0</v>
      </c>
      <c r="C259" s="125"/>
      <c r="D259" s="149">
        <v>46190.125</v>
      </c>
      <c r="E259" s="144" t="s">
        <v>1935</v>
      </c>
      <c r="F259" s="145">
        <v>-1744.8</v>
      </c>
      <c r="G259" s="147" t="s">
        <v>42</v>
      </c>
      <c r="H259" s="140" t="s">
        <v>1936</v>
      </c>
      <c r="I259" s="147" t="s">
        <v>1731</v>
      </c>
      <c r="J259" s="150" t="s">
        <v>1937</v>
      </c>
      <c r="K259" s="89"/>
      <c r="L259" s="89"/>
      <c r="M259" s="89"/>
      <c r="N259" s="89"/>
      <c r="O259" s="89"/>
      <c r="P259" s="89"/>
      <c r="Q259" s="89"/>
      <c r="R259" s="89"/>
      <c r="S259" s="89"/>
      <c r="T259" s="89"/>
      <c r="U259" s="89"/>
      <c r="V259" s="89"/>
      <c r="W259" s="89"/>
      <c r="X259" s="89"/>
      <c r="Y259" s="89"/>
      <c r="Z259" s="89"/>
      <c r="AA259" s="89"/>
    </row>
    <row r="260" ht="14.25" customHeight="1">
      <c r="A260" s="151">
        <v>2026.0</v>
      </c>
      <c r="B260" s="151">
        <v>6.0</v>
      </c>
      <c r="C260" s="125"/>
      <c r="D260" s="149">
        <v>46191.125</v>
      </c>
      <c r="E260" s="144" t="s">
        <v>1938</v>
      </c>
      <c r="F260" s="145">
        <v>-2.5</v>
      </c>
      <c r="G260" s="147" t="s">
        <v>1653</v>
      </c>
      <c r="H260" s="140" t="s">
        <v>1658</v>
      </c>
      <c r="I260" s="147" t="s">
        <v>1731</v>
      </c>
      <c r="J260" s="150" t="s">
        <v>1920</v>
      </c>
      <c r="K260" s="89"/>
      <c r="L260" s="89"/>
      <c r="M260" s="89"/>
      <c r="N260" s="89"/>
      <c r="O260" s="89"/>
      <c r="P260" s="89"/>
      <c r="Q260" s="89"/>
      <c r="R260" s="89"/>
      <c r="S260" s="89"/>
      <c r="T260" s="89"/>
      <c r="U260" s="89"/>
      <c r="V260" s="89"/>
      <c r="W260" s="89"/>
      <c r="X260" s="89"/>
      <c r="Y260" s="89"/>
      <c r="Z260" s="89"/>
      <c r="AA260" s="89"/>
    </row>
    <row r="261" ht="14.25" customHeight="1">
      <c r="A261" s="151">
        <v>2026.0</v>
      </c>
      <c r="B261" s="151">
        <v>6.0</v>
      </c>
      <c r="C261" s="125"/>
      <c r="D261" s="149">
        <v>46191.125</v>
      </c>
      <c r="E261" s="144" t="s">
        <v>1939</v>
      </c>
      <c r="F261" s="145">
        <v>-52.0</v>
      </c>
      <c r="G261" s="147" t="s">
        <v>1653</v>
      </c>
      <c r="H261" s="140" t="s">
        <v>1658</v>
      </c>
      <c r="I261" s="147" t="s">
        <v>1731</v>
      </c>
      <c r="J261" s="150" t="s">
        <v>1931</v>
      </c>
      <c r="K261" s="89"/>
      <c r="L261" s="89"/>
      <c r="M261" s="89"/>
      <c r="N261" s="89"/>
      <c r="O261" s="89"/>
      <c r="P261" s="89"/>
      <c r="Q261" s="89"/>
      <c r="R261" s="89"/>
      <c r="S261" s="89"/>
      <c r="T261" s="89"/>
      <c r="U261" s="89"/>
      <c r="V261" s="89"/>
      <c r="W261" s="89"/>
      <c r="X261" s="89"/>
      <c r="Y261" s="89"/>
      <c r="Z261" s="89"/>
      <c r="AA261" s="89"/>
    </row>
    <row r="262" ht="14.25" customHeight="1">
      <c r="A262" s="151">
        <v>2026.0</v>
      </c>
      <c r="B262" s="151">
        <v>6.0</v>
      </c>
      <c r="C262" s="125"/>
      <c r="D262" s="149">
        <v>46192.125</v>
      </c>
      <c r="E262" s="144" t="s">
        <v>1940</v>
      </c>
      <c r="F262" s="145">
        <v>-1.3</v>
      </c>
      <c r="G262" s="147" t="s">
        <v>1653</v>
      </c>
      <c r="H262" s="140" t="s">
        <v>1658</v>
      </c>
      <c r="I262" s="147" t="s">
        <v>1731</v>
      </c>
      <c r="J262" s="150" t="s">
        <v>1802</v>
      </c>
      <c r="K262" s="89"/>
      <c r="L262" s="89"/>
      <c r="M262" s="89"/>
      <c r="N262" s="89"/>
      <c r="O262" s="89"/>
      <c r="P262" s="89"/>
      <c r="Q262" s="89"/>
      <c r="R262" s="89"/>
      <c r="S262" s="89"/>
      <c r="T262" s="89"/>
      <c r="U262" s="89"/>
      <c r="V262" s="89"/>
      <c r="W262" s="89"/>
      <c r="X262" s="89"/>
      <c r="Y262" s="89"/>
      <c r="Z262" s="89"/>
      <c r="AA262" s="89"/>
    </row>
    <row r="263" ht="14.25" customHeight="1">
      <c r="A263" s="151">
        <v>2026.0</v>
      </c>
      <c r="B263" s="151">
        <v>6.0</v>
      </c>
      <c r="C263" s="125"/>
      <c r="D263" s="149">
        <v>46192.125</v>
      </c>
      <c r="E263" s="144" t="s">
        <v>1941</v>
      </c>
      <c r="F263" s="145">
        <v>-2.4</v>
      </c>
      <c r="G263" s="147" t="s">
        <v>1653</v>
      </c>
      <c r="H263" s="140" t="s">
        <v>1658</v>
      </c>
      <c r="I263" s="147" t="s">
        <v>1731</v>
      </c>
      <c r="J263" s="150" t="s">
        <v>1920</v>
      </c>
      <c r="K263" s="89"/>
      <c r="L263" s="89"/>
      <c r="M263" s="89"/>
      <c r="N263" s="89"/>
      <c r="O263" s="89"/>
      <c r="P263" s="89"/>
      <c r="Q263" s="89"/>
      <c r="R263" s="89"/>
      <c r="S263" s="89"/>
      <c r="T263" s="89"/>
      <c r="U263" s="89"/>
      <c r="V263" s="89"/>
      <c r="W263" s="89"/>
      <c r="X263" s="89"/>
      <c r="Y263" s="89"/>
      <c r="Z263" s="89"/>
      <c r="AA263" s="89"/>
    </row>
    <row r="264" ht="14.25" customHeight="1">
      <c r="A264" s="151">
        <v>2026.0</v>
      </c>
      <c r="B264" s="151">
        <v>6.0</v>
      </c>
      <c r="C264" s="125"/>
      <c r="D264" s="149">
        <v>46192.125</v>
      </c>
      <c r="E264" s="144" t="s">
        <v>1942</v>
      </c>
      <c r="F264" s="145">
        <v>-195.65</v>
      </c>
      <c r="G264" s="147" t="s">
        <v>42</v>
      </c>
      <c r="H264" s="140" t="s">
        <v>1843</v>
      </c>
      <c r="I264" s="147" t="s">
        <v>1731</v>
      </c>
      <c r="J264" s="150" t="s">
        <v>1802</v>
      </c>
      <c r="K264" s="89"/>
      <c r="L264" s="89"/>
      <c r="M264" s="89"/>
      <c r="N264" s="89"/>
      <c r="O264" s="89"/>
      <c r="P264" s="89"/>
      <c r="Q264" s="89"/>
      <c r="R264" s="89"/>
      <c r="S264" s="89"/>
      <c r="T264" s="89"/>
      <c r="U264" s="89"/>
      <c r="V264" s="89"/>
      <c r="W264" s="89"/>
      <c r="X264" s="89"/>
      <c r="Y264" s="89"/>
      <c r="Z264" s="89"/>
      <c r="AA264" s="89"/>
    </row>
    <row r="265" ht="14.25" customHeight="1">
      <c r="A265" s="151">
        <v>2026.0</v>
      </c>
      <c r="B265" s="151">
        <v>6.0</v>
      </c>
      <c r="C265" s="125"/>
      <c r="D265" s="149">
        <v>46192.125</v>
      </c>
      <c r="E265" s="144" t="s">
        <v>1943</v>
      </c>
      <c r="F265" s="145">
        <v>-388.51</v>
      </c>
      <c r="G265" s="147" t="s">
        <v>42</v>
      </c>
      <c r="H265" s="140" t="s">
        <v>1814</v>
      </c>
      <c r="I265" s="147" t="s">
        <v>1731</v>
      </c>
      <c r="J265" s="150" t="s">
        <v>1802</v>
      </c>
      <c r="K265" s="89"/>
      <c r="L265" s="89"/>
      <c r="M265" s="89"/>
      <c r="N265" s="89"/>
      <c r="O265" s="89"/>
      <c r="P265" s="89"/>
      <c r="Q265" s="89"/>
      <c r="R265" s="89"/>
      <c r="S265" s="89"/>
      <c r="T265" s="89"/>
      <c r="U265" s="89"/>
      <c r="V265" s="89"/>
      <c r="W265" s="89"/>
      <c r="X265" s="89"/>
      <c r="Y265" s="89"/>
      <c r="Z265" s="89"/>
      <c r="AA265" s="89"/>
    </row>
    <row r="266" ht="14.25" customHeight="1">
      <c r="A266" s="151">
        <v>2026.0</v>
      </c>
      <c r="B266" s="151">
        <v>6.0</v>
      </c>
      <c r="C266" s="125"/>
      <c r="D266" s="149">
        <v>46195.125</v>
      </c>
      <c r="E266" s="144" t="s">
        <v>1944</v>
      </c>
      <c r="F266" s="145">
        <v>-3.6</v>
      </c>
      <c r="G266" s="147" t="s">
        <v>1653</v>
      </c>
      <c r="H266" s="140" t="s">
        <v>1658</v>
      </c>
      <c r="I266" s="147" t="s">
        <v>1731</v>
      </c>
      <c r="J266" s="150" t="s">
        <v>1920</v>
      </c>
      <c r="K266" s="89"/>
      <c r="L266" s="89"/>
      <c r="M266" s="89"/>
      <c r="N266" s="89"/>
      <c r="O266" s="89"/>
      <c r="P266" s="89"/>
      <c r="Q266" s="89"/>
      <c r="R266" s="89"/>
      <c r="S266" s="89"/>
      <c r="T266" s="89"/>
      <c r="U266" s="89"/>
      <c r="V266" s="89"/>
      <c r="W266" s="89"/>
      <c r="X266" s="89"/>
      <c r="Y266" s="89"/>
      <c r="Z266" s="89"/>
      <c r="AA266" s="89"/>
    </row>
    <row r="267" ht="14.25" customHeight="1">
      <c r="A267" s="151">
        <v>2026.0</v>
      </c>
      <c r="B267" s="151">
        <v>6.0</v>
      </c>
      <c r="C267" s="125"/>
      <c r="D267" s="149">
        <v>46195.125</v>
      </c>
      <c r="E267" s="144" t="s">
        <v>1945</v>
      </c>
      <c r="F267" s="145">
        <v>-35.2</v>
      </c>
      <c r="G267" s="147" t="s">
        <v>1653</v>
      </c>
      <c r="H267" s="140" t="s">
        <v>1658</v>
      </c>
      <c r="I267" s="147" t="s">
        <v>1731</v>
      </c>
      <c r="J267" s="150" t="s">
        <v>1931</v>
      </c>
      <c r="K267" s="89"/>
      <c r="L267" s="89"/>
      <c r="M267" s="89"/>
      <c r="N267" s="89"/>
      <c r="O267" s="89"/>
      <c r="P267" s="89"/>
      <c r="Q267" s="89"/>
      <c r="R267" s="89"/>
      <c r="S267" s="89"/>
      <c r="T267" s="89"/>
      <c r="U267" s="89"/>
      <c r="V267" s="89"/>
      <c r="W267" s="89"/>
      <c r="X267" s="89"/>
      <c r="Y267" s="89"/>
      <c r="Z267" s="89"/>
      <c r="AA267" s="89"/>
    </row>
    <row r="268" ht="14.25" customHeight="1">
      <c r="A268" s="151">
        <v>2026.0</v>
      </c>
      <c r="B268" s="151">
        <v>6.0</v>
      </c>
      <c r="C268" s="125"/>
      <c r="D268" s="149">
        <v>46195.125</v>
      </c>
      <c r="E268" s="144" t="s">
        <v>1946</v>
      </c>
      <c r="F268" s="145">
        <v>-61.0</v>
      </c>
      <c r="G268" s="147" t="s">
        <v>1653</v>
      </c>
      <c r="H268" s="140" t="s">
        <v>1658</v>
      </c>
      <c r="I268" s="147" t="s">
        <v>1731</v>
      </c>
      <c r="J268" s="150" t="s">
        <v>1947</v>
      </c>
      <c r="K268" s="89"/>
      <c r="L268" s="89"/>
      <c r="M268" s="89"/>
      <c r="N268" s="89"/>
      <c r="O268" s="89"/>
      <c r="P268" s="89"/>
      <c r="Q268" s="89"/>
      <c r="R268" s="89"/>
      <c r="S268" s="89"/>
      <c r="T268" s="89"/>
      <c r="U268" s="89"/>
      <c r="V268" s="89"/>
      <c r="W268" s="89"/>
      <c r="X268" s="89"/>
      <c r="Y268" s="89"/>
      <c r="Z268" s="89"/>
      <c r="AA268" s="89"/>
    </row>
    <row r="269" ht="14.25" customHeight="1">
      <c r="A269" s="151">
        <v>2026.0</v>
      </c>
      <c r="B269" s="151">
        <v>6.0</v>
      </c>
      <c r="C269" s="125"/>
      <c r="D269" s="149">
        <v>46196.125</v>
      </c>
      <c r="E269" s="144" t="s">
        <v>1948</v>
      </c>
      <c r="F269" s="145">
        <v>-29.99</v>
      </c>
      <c r="G269" s="147" t="s">
        <v>1653</v>
      </c>
      <c r="H269" s="140" t="s">
        <v>1658</v>
      </c>
      <c r="I269" s="147" t="s">
        <v>1731</v>
      </c>
      <c r="J269" s="150" t="s">
        <v>1931</v>
      </c>
      <c r="K269" s="89"/>
      <c r="L269" s="89"/>
      <c r="M269" s="89"/>
      <c r="N269" s="89"/>
      <c r="O269" s="89"/>
      <c r="P269" s="89"/>
      <c r="Q269" s="89"/>
      <c r="R269" s="89"/>
      <c r="S269" s="89"/>
      <c r="T269" s="89"/>
      <c r="U269" s="89"/>
      <c r="V269" s="89"/>
      <c r="W269" s="89"/>
      <c r="X269" s="89"/>
      <c r="Y269" s="89"/>
      <c r="Z269" s="89"/>
      <c r="AA269" s="89"/>
    </row>
    <row r="270" ht="14.25" customHeight="1">
      <c r="A270" s="151">
        <v>2026.0</v>
      </c>
      <c r="B270" s="151">
        <v>6.0</v>
      </c>
      <c r="C270" s="125"/>
      <c r="D270" s="149">
        <v>46198.125</v>
      </c>
      <c r="E270" s="144" t="s">
        <v>1949</v>
      </c>
      <c r="F270" s="145">
        <v>-2.5</v>
      </c>
      <c r="G270" s="147" t="s">
        <v>1653</v>
      </c>
      <c r="H270" s="140" t="s">
        <v>1658</v>
      </c>
      <c r="I270" s="147" t="s">
        <v>1731</v>
      </c>
      <c r="J270" s="150" t="s">
        <v>1920</v>
      </c>
      <c r="K270" s="89"/>
      <c r="L270" s="89"/>
      <c r="M270" s="89"/>
      <c r="N270" s="89"/>
      <c r="O270" s="89"/>
      <c r="P270" s="89"/>
      <c r="Q270" s="89"/>
      <c r="R270" s="89"/>
      <c r="S270" s="89"/>
      <c r="T270" s="89"/>
      <c r="U270" s="89"/>
      <c r="V270" s="89"/>
      <c r="W270" s="89"/>
      <c r="X270" s="89"/>
      <c r="Y270" s="89"/>
      <c r="Z270" s="89"/>
      <c r="AA270" s="89"/>
    </row>
    <row r="271" ht="14.25" customHeight="1">
      <c r="A271" s="151">
        <v>2026.0</v>
      </c>
      <c r="B271" s="151">
        <v>6.0</v>
      </c>
      <c r="C271" s="125"/>
      <c r="D271" s="149">
        <v>46199.125</v>
      </c>
      <c r="E271" s="144" t="s">
        <v>1741</v>
      </c>
      <c r="F271" s="145">
        <v>-1.31</v>
      </c>
      <c r="G271" s="147" t="s">
        <v>1653</v>
      </c>
      <c r="H271" s="140" t="s">
        <v>1658</v>
      </c>
      <c r="I271" s="147" t="s">
        <v>1731</v>
      </c>
      <c r="J271" s="150" t="s">
        <v>1802</v>
      </c>
      <c r="K271" s="89"/>
      <c r="L271" s="89"/>
      <c r="M271" s="89"/>
      <c r="N271" s="89"/>
      <c r="O271" s="89"/>
      <c r="P271" s="89"/>
      <c r="Q271" s="89"/>
      <c r="R271" s="89"/>
      <c r="S271" s="89"/>
      <c r="T271" s="89"/>
      <c r="U271" s="89"/>
      <c r="V271" s="89"/>
      <c r="W271" s="89"/>
      <c r="X271" s="89"/>
      <c r="Y271" s="89"/>
      <c r="Z271" s="89"/>
      <c r="AA271" s="89"/>
    </row>
    <row r="272" ht="14.25" customHeight="1">
      <c r="A272" s="151">
        <v>2026.0</v>
      </c>
      <c r="B272" s="151">
        <v>6.0</v>
      </c>
      <c r="C272" s="125"/>
      <c r="D272" s="149">
        <v>46199.125</v>
      </c>
      <c r="E272" s="144" t="s">
        <v>1950</v>
      </c>
      <c r="F272" s="145">
        <v>-4.1</v>
      </c>
      <c r="G272" s="147" t="s">
        <v>1653</v>
      </c>
      <c r="H272" s="140" t="s">
        <v>1658</v>
      </c>
      <c r="I272" s="147" t="s">
        <v>1731</v>
      </c>
      <c r="J272" s="150" t="s">
        <v>1920</v>
      </c>
      <c r="K272" s="89"/>
      <c r="L272" s="89"/>
      <c r="M272" s="89"/>
      <c r="N272" s="89"/>
      <c r="O272" s="89"/>
      <c r="P272" s="89"/>
      <c r="Q272" s="89"/>
      <c r="R272" s="89"/>
      <c r="S272" s="89"/>
      <c r="T272" s="89"/>
      <c r="U272" s="89"/>
      <c r="V272" s="89"/>
      <c r="W272" s="89"/>
      <c r="X272" s="89"/>
      <c r="Y272" s="89"/>
      <c r="Z272" s="89"/>
      <c r="AA272" s="89"/>
    </row>
    <row r="273" ht="14.25" customHeight="1">
      <c r="A273" s="151">
        <v>2026.0</v>
      </c>
      <c r="B273" s="151">
        <v>6.0</v>
      </c>
      <c r="C273" s="125"/>
      <c r="D273" s="149">
        <v>46199.125</v>
      </c>
      <c r="E273" s="144" t="s">
        <v>1951</v>
      </c>
      <c r="F273" s="145">
        <v>-21.31</v>
      </c>
      <c r="G273" s="147" t="s">
        <v>1653</v>
      </c>
      <c r="H273" s="140" t="s">
        <v>1658</v>
      </c>
      <c r="I273" s="147" t="s">
        <v>1731</v>
      </c>
      <c r="J273" s="150" t="s">
        <v>1920</v>
      </c>
      <c r="K273" s="89"/>
      <c r="L273" s="89"/>
      <c r="M273" s="89"/>
      <c r="N273" s="89"/>
      <c r="O273" s="89"/>
      <c r="P273" s="89"/>
      <c r="Q273" s="89"/>
      <c r="R273" s="89"/>
      <c r="S273" s="89"/>
      <c r="T273" s="89"/>
      <c r="U273" s="89"/>
      <c r="V273" s="89"/>
      <c r="W273" s="89"/>
      <c r="X273" s="89"/>
      <c r="Y273" s="89"/>
      <c r="Z273" s="89"/>
      <c r="AA273" s="89"/>
    </row>
    <row r="274" ht="14.25" customHeight="1">
      <c r="A274" s="151">
        <v>2026.0</v>
      </c>
      <c r="B274" s="151">
        <v>6.0</v>
      </c>
      <c r="C274" s="125"/>
      <c r="D274" s="149">
        <v>46199.125</v>
      </c>
      <c r="E274" s="144" t="s">
        <v>1952</v>
      </c>
      <c r="F274" s="145">
        <v>-87.58</v>
      </c>
      <c r="G274" s="147" t="s">
        <v>1660</v>
      </c>
      <c r="H274" s="140" t="s">
        <v>1658</v>
      </c>
      <c r="I274" s="147" t="s">
        <v>1731</v>
      </c>
      <c r="J274" s="150" t="s">
        <v>1802</v>
      </c>
      <c r="K274" s="89"/>
      <c r="L274" s="89"/>
      <c r="M274" s="89"/>
      <c r="N274" s="89"/>
      <c r="O274" s="89"/>
      <c r="P274" s="89"/>
      <c r="Q274" s="89"/>
      <c r="R274" s="89"/>
      <c r="S274" s="89"/>
      <c r="T274" s="89"/>
      <c r="U274" s="89"/>
      <c r="V274" s="89"/>
      <c r="W274" s="89"/>
      <c r="X274" s="89"/>
      <c r="Y274" s="89"/>
      <c r="Z274" s="89"/>
      <c r="AA274" s="89"/>
    </row>
    <row r="275" ht="14.25" customHeight="1">
      <c r="A275" s="151">
        <v>2026.0</v>
      </c>
      <c r="B275" s="151">
        <v>6.0</v>
      </c>
      <c r="C275" s="125"/>
      <c r="D275" s="149">
        <v>46202.125</v>
      </c>
      <c r="E275" s="144" t="s">
        <v>1953</v>
      </c>
      <c r="F275" s="145">
        <v>-526.05</v>
      </c>
      <c r="G275" s="147" t="s">
        <v>42</v>
      </c>
      <c r="H275" s="140" t="s">
        <v>1822</v>
      </c>
      <c r="I275" s="147" t="s">
        <v>1731</v>
      </c>
      <c r="J275" s="150" t="s">
        <v>1954</v>
      </c>
      <c r="K275" s="89"/>
      <c r="L275" s="89"/>
      <c r="M275" s="89"/>
      <c r="N275" s="89"/>
      <c r="O275" s="89"/>
      <c r="P275" s="89"/>
      <c r="Q275" s="89"/>
      <c r="R275" s="89"/>
      <c r="S275" s="89"/>
      <c r="T275" s="89"/>
      <c r="U275" s="89"/>
      <c r="V275" s="89"/>
      <c r="W275" s="89"/>
      <c r="X275" s="89"/>
      <c r="Y275" s="89"/>
      <c r="Z275" s="89"/>
      <c r="AA275" s="89"/>
    </row>
    <row r="276" ht="14.25" customHeight="1">
      <c r="A276" s="151">
        <v>2026.0</v>
      </c>
      <c r="B276" s="151">
        <v>6.0</v>
      </c>
      <c r="C276" s="125"/>
      <c r="D276" s="149">
        <v>46202.125</v>
      </c>
      <c r="E276" s="144" t="s">
        <v>1955</v>
      </c>
      <c r="F276" s="145">
        <v>-526.5</v>
      </c>
      <c r="G276" s="147" t="s">
        <v>42</v>
      </c>
      <c r="H276" s="140" t="s">
        <v>1819</v>
      </c>
      <c r="I276" s="147" t="s">
        <v>1731</v>
      </c>
      <c r="J276" s="150" t="s">
        <v>1954</v>
      </c>
      <c r="K276" s="89"/>
      <c r="L276" s="89"/>
      <c r="M276" s="89"/>
      <c r="N276" s="89"/>
      <c r="O276" s="89"/>
      <c r="P276" s="89"/>
      <c r="Q276" s="89"/>
      <c r="R276" s="89"/>
      <c r="S276" s="89"/>
      <c r="T276" s="89"/>
      <c r="U276" s="89"/>
      <c r="V276" s="89"/>
      <c r="W276" s="89"/>
      <c r="X276" s="89"/>
      <c r="Y276" s="89"/>
      <c r="Z276" s="89"/>
      <c r="AA276" s="89"/>
    </row>
    <row r="277" ht="14.25" customHeight="1">
      <c r="A277" s="151">
        <v>2026.0</v>
      </c>
      <c r="B277" s="151">
        <v>6.0</v>
      </c>
      <c r="C277" s="125"/>
      <c r="D277" s="149">
        <v>46202.125</v>
      </c>
      <c r="E277" s="144" t="s">
        <v>1955</v>
      </c>
      <c r="F277" s="145">
        <v>-54.0</v>
      </c>
      <c r="G277" s="147" t="s">
        <v>42</v>
      </c>
      <c r="H277" s="140" t="s">
        <v>1819</v>
      </c>
      <c r="I277" s="147" t="s">
        <v>1731</v>
      </c>
      <c r="J277" s="150" t="s">
        <v>1954</v>
      </c>
      <c r="K277" s="89"/>
      <c r="L277" s="89"/>
      <c r="M277" s="89"/>
      <c r="N277" s="89"/>
      <c r="O277" s="89"/>
      <c r="P277" s="89"/>
      <c r="Q277" s="89"/>
      <c r="R277" s="89"/>
      <c r="S277" s="89"/>
      <c r="T277" s="89"/>
      <c r="U277" s="89"/>
      <c r="V277" s="89"/>
      <c r="W277" s="89"/>
      <c r="X277" s="89"/>
      <c r="Y277" s="89"/>
      <c r="Z277" s="89"/>
      <c r="AA277" s="89"/>
    </row>
    <row r="278" ht="14.25" customHeight="1">
      <c r="A278" s="151">
        <v>2026.0</v>
      </c>
      <c r="B278" s="151">
        <v>6.0</v>
      </c>
      <c r="C278" s="125"/>
      <c r="D278" s="149">
        <v>46202.125</v>
      </c>
      <c r="E278" s="144" t="s">
        <v>1953</v>
      </c>
      <c r="F278" s="145">
        <v>-54.0</v>
      </c>
      <c r="G278" s="147" t="s">
        <v>42</v>
      </c>
      <c r="H278" s="140" t="s">
        <v>1822</v>
      </c>
      <c r="I278" s="147" t="s">
        <v>1731</v>
      </c>
      <c r="J278" s="150" t="s">
        <v>1954</v>
      </c>
      <c r="K278" s="89"/>
      <c r="L278" s="89"/>
      <c r="M278" s="89"/>
      <c r="N278" s="89"/>
      <c r="O278" s="89"/>
      <c r="P278" s="89"/>
      <c r="Q278" s="89"/>
      <c r="R278" s="89"/>
      <c r="S278" s="89"/>
      <c r="T278" s="89"/>
      <c r="U278" s="89"/>
      <c r="V278" s="89"/>
      <c r="W278" s="89"/>
      <c r="X278" s="89"/>
      <c r="Y278" s="89"/>
      <c r="Z278" s="89"/>
      <c r="AA278" s="89"/>
    </row>
    <row r="279" ht="14.25" customHeight="1">
      <c r="A279" s="151">
        <v>2026.0</v>
      </c>
      <c r="B279" s="151">
        <v>6.0</v>
      </c>
      <c r="C279" s="125"/>
      <c r="D279" s="149">
        <v>46202.125</v>
      </c>
      <c r="E279" s="144" t="s">
        <v>1956</v>
      </c>
      <c r="F279" s="145">
        <v>-188.35</v>
      </c>
      <c r="G279" s="147" t="s">
        <v>42</v>
      </c>
      <c r="H279" s="140" t="s">
        <v>1957</v>
      </c>
      <c r="I279" s="147" t="s">
        <v>1731</v>
      </c>
      <c r="J279" s="150" t="s">
        <v>1958</v>
      </c>
      <c r="K279" s="89"/>
      <c r="L279" s="89"/>
      <c r="M279" s="89"/>
      <c r="N279" s="89"/>
      <c r="O279" s="89"/>
      <c r="P279" s="89"/>
      <c r="Q279" s="89"/>
      <c r="R279" s="89"/>
      <c r="S279" s="89"/>
      <c r="T279" s="89"/>
      <c r="U279" s="89"/>
      <c r="V279" s="89"/>
      <c r="W279" s="89"/>
      <c r="X279" s="89"/>
      <c r="Y279" s="89"/>
      <c r="Z279" s="89"/>
      <c r="AA279" s="89"/>
    </row>
    <row r="280" ht="14.25" customHeight="1">
      <c r="A280" s="151"/>
      <c r="B280" s="151"/>
      <c r="C280" s="125"/>
      <c r="D280" s="126"/>
      <c r="E280" s="144"/>
      <c r="F280" s="145"/>
      <c r="G280" s="183"/>
      <c r="H280" s="140"/>
      <c r="I280" s="183"/>
      <c r="J280" s="131"/>
      <c r="K280" s="89"/>
      <c r="L280" s="89"/>
      <c r="M280" s="89"/>
      <c r="N280" s="89"/>
      <c r="O280" s="89"/>
      <c r="P280" s="89"/>
      <c r="Q280" s="89"/>
      <c r="R280" s="89"/>
      <c r="S280" s="89"/>
      <c r="T280" s="89"/>
      <c r="U280" s="89"/>
      <c r="V280" s="89"/>
      <c r="W280" s="89"/>
      <c r="X280" s="89"/>
      <c r="Y280" s="89"/>
      <c r="Z280" s="89"/>
      <c r="AA280" s="89"/>
    </row>
    <row r="281" ht="14.25" customHeight="1">
      <c r="A281" s="143"/>
      <c r="B281" s="143"/>
      <c r="C281" s="125"/>
      <c r="D281" s="126"/>
      <c r="E281" s="144"/>
      <c r="F281" s="145"/>
      <c r="G281" s="183"/>
      <c r="H281" s="140"/>
      <c r="I281" s="183"/>
      <c r="J281" s="131"/>
      <c r="K281" s="89"/>
      <c r="L281" s="89"/>
      <c r="M281" s="89"/>
      <c r="N281" s="89"/>
      <c r="O281" s="89"/>
      <c r="P281" s="89"/>
      <c r="Q281" s="89"/>
      <c r="R281" s="89"/>
      <c r="S281" s="89"/>
      <c r="T281" s="89"/>
      <c r="U281" s="89"/>
      <c r="V281" s="89"/>
      <c r="W281" s="89"/>
      <c r="X281" s="89"/>
      <c r="Y281" s="89"/>
      <c r="Z281" s="89"/>
      <c r="AA281" s="89"/>
    </row>
    <row r="282" ht="14.25" customHeight="1">
      <c r="A282" s="143"/>
      <c r="B282" s="143"/>
      <c r="C282" s="125"/>
      <c r="D282" s="126"/>
      <c r="E282" s="144"/>
      <c r="F282" s="145"/>
      <c r="G282" s="183"/>
      <c r="H282" s="140"/>
      <c r="I282" s="183"/>
      <c r="J282" s="131"/>
      <c r="K282" s="89"/>
      <c r="L282" s="89"/>
      <c r="M282" s="89"/>
      <c r="N282" s="89"/>
      <c r="O282" s="89"/>
      <c r="P282" s="89"/>
      <c r="Q282" s="89"/>
      <c r="R282" s="89"/>
      <c r="S282" s="89"/>
      <c r="T282" s="89"/>
      <c r="U282" s="89"/>
      <c r="V282" s="89"/>
      <c r="W282" s="89"/>
      <c r="X282" s="89"/>
      <c r="Y282" s="89"/>
      <c r="Z282" s="89"/>
      <c r="AA282" s="89"/>
    </row>
    <row r="283" ht="14.25" customHeight="1">
      <c r="A283" s="143"/>
      <c r="B283" s="143"/>
      <c r="C283" s="125"/>
      <c r="D283" s="126"/>
      <c r="E283" s="144"/>
      <c r="F283" s="145"/>
      <c r="G283" s="183"/>
      <c r="H283" s="140"/>
      <c r="I283" s="183"/>
      <c r="J283" s="131"/>
      <c r="K283" s="89"/>
      <c r="L283" s="89"/>
      <c r="M283" s="89"/>
      <c r="N283" s="89"/>
      <c r="O283" s="89"/>
      <c r="P283" s="89"/>
      <c r="Q283" s="89"/>
      <c r="R283" s="89"/>
      <c r="S283" s="89"/>
      <c r="T283" s="89"/>
      <c r="U283" s="89"/>
      <c r="V283" s="89"/>
      <c r="W283" s="89"/>
      <c r="X283" s="89"/>
      <c r="Y283" s="89"/>
      <c r="Z283" s="89"/>
      <c r="AA283" s="89"/>
    </row>
    <row r="284" ht="14.25" customHeight="1">
      <c r="A284" s="143"/>
      <c r="B284" s="143"/>
      <c r="C284" s="125"/>
      <c r="D284" s="126"/>
      <c r="E284" s="144"/>
      <c r="F284" s="145"/>
      <c r="G284" s="183"/>
      <c r="H284" s="140"/>
      <c r="I284" s="183"/>
      <c r="J284" s="131"/>
      <c r="K284" s="89"/>
      <c r="L284" s="89"/>
      <c r="M284" s="89"/>
      <c r="N284" s="89"/>
      <c r="O284" s="89"/>
      <c r="P284" s="89"/>
      <c r="Q284" s="89"/>
      <c r="R284" s="89"/>
      <c r="S284" s="89"/>
      <c r="T284" s="89"/>
      <c r="U284" s="89"/>
      <c r="V284" s="89"/>
      <c r="W284" s="89"/>
      <c r="X284" s="89"/>
      <c r="Y284" s="89"/>
      <c r="Z284" s="89"/>
      <c r="AA284" s="89"/>
    </row>
    <row r="285" ht="14.25" customHeight="1">
      <c r="A285" s="143"/>
      <c r="B285" s="143"/>
      <c r="C285" s="125"/>
      <c r="D285" s="126"/>
      <c r="E285" s="144"/>
      <c r="F285" s="145"/>
      <c r="G285" s="183"/>
      <c r="H285" s="140"/>
      <c r="I285" s="183"/>
      <c r="J285" s="131"/>
      <c r="K285" s="89"/>
      <c r="L285" s="89"/>
      <c r="M285" s="89"/>
      <c r="N285" s="89"/>
      <c r="O285" s="89"/>
      <c r="P285" s="89"/>
      <c r="Q285" s="89"/>
      <c r="R285" s="89"/>
      <c r="S285" s="89"/>
      <c r="T285" s="89"/>
      <c r="U285" s="89"/>
      <c r="V285" s="89"/>
      <c r="W285" s="89"/>
      <c r="X285" s="89"/>
      <c r="Y285" s="89"/>
      <c r="Z285" s="89"/>
      <c r="AA285" s="89"/>
    </row>
    <row r="286" ht="14.25" customHeight="1">
      <c r="A286" s="143"/>
      <c r="B286" s="143"/>
      <c r="C286" s="125"/>
      <c r="D286" s="126"/>
      <c r="E286" s="144"/>
      <c r="F286" s="145"/>
      <c r="G286" s="183"/>
      <c r="H286" s="140"/>
      <c r="I286" s="183"/>
      <c r="J286" s="131"/>
      <c r="K286" s="89"/>
      <c r="L286" s="89"/>
      <c r="M286" s="89"/>
      <c r="N286" s="89"/>
      <c r="O286" s="89"/>
      <c r="P286" s="89"/>
      <c r="Q286" s="89"/>
      <c r="R286" s="89"/>
      <c r="S286" s="89"/>
      <c r="T286" s="89"/>
      <c r="U286" s="89"/>
      <c r="V286" s="89"/>
      <c r="W286" s="89"/>
      <c r="X286" s="89"/>
      <c r="Y286" s="89"/>
      <c r="Z286" s="89"/>
      <c r="AA286" s="89"/>
    </row>
    <row r="287" ht="14.25" customHeight="1">
      <c r="A287" s="143"/>
      <c r="B287" s="143"/>
      <c r="C287" s="125"/>
      <c r="D287" s="126"/>
      <c r="E287" s="144"/>
      <c r="F287" s="145"/>
      <c r="G287" s="183"/>
      <c r="H287" s="140"/>
      <c r="I287" s="183"/>
      <c r="J287" s="131"/>
      <c r="K287" s="89"/>
      <c r="L287" s="89"/>
      <c r="M287" s="89"/>
      <c r="N287" s="89"/>
      <c r="O287" s="89"/>
      <c r="P287" s="89"/>
      <c r="Q287" s="89"/>
      <c r="R287" s="89"/>
      <c r="S287" s="89"/>
      <c r="T287" s="89"/>
      <c r="U287" s="89"/>
      <c r="V287" s="89"/>
      <c r="W287" s="89"/>
      <c r="X287" s="89"/>
      <c r="Y287" s="89"/>
      <c r="Z287" s="89"/>
      <c r="AA287" s="89"/>
    </row>
    <row r="288" ht="14.25" customHeight="1">
      <c r="A288" s="143"/>
      <c r="B288" s="143"/>
      <c r="C288" s="125"/>
      <c r="D288" s="126"/>
      <c r="E288" s="144"/>
      <c r="F288" s="145"/>
      <c r="G288" s="183"/>
      <c r="H288" s="140"/>
      <c r="I288" s="183"/>
      <c r="J288" s="131"/>
      <c r="K288" s="89"/>
      <c r="L288" s="89"/>
      <c r="M288" s="89"/>
      <c r="N288" s="89"/>
      <c r="O288" s="89"/>
      <c r="P288" s="89"/>
      <c r="Q288" s="89"/>
      <c r="R288" s="89"/>
      <c r="S288" s="89"/>
      <c r="T288" s="89"/>
      <c r="U288" s="89"/>
      <c r="V288" s="89"/>
      <c r="W288" s="89"/>
      <c r="X288" s="89"/>
      <c r="Y288" s="89"/>
      <c r="Z288" s="89"/>
      <c r="AA288" s="89"/>
    </row>
    <row r="289" ht="14.25" customHeight="1">
      <c r="A289" s="143"/>
      <c r="B289" s="143"/>
      <c r="C289" s="125"/>
      <c r="D289" s="126"/>
      <c r="E289" s="144"/>
      <c r="F289" s="145"/>
      <c r="G289" s="183"/>
      <c r="H289" s="140"/>
      <c r="I289" s="183"/>
      <c r="J289" s="131"/>
      <c r="K289" s="89"/>
      <c r="L289" s="89"/>
      <c r="M289" s="89"/>
      <c r="N289" s="89"/>
      <c r="O289" s="89"/>
      <c r="P289" s="89"/>
      <c r="Q289" s="89"/>
      <c r="R289" s="89"/>
      <c r="S289" s="89"/>
      <c r="T289" s="89"/>
      <c r="U289" s="89"/>
      <c r="V289" s="89"/>
      <c r="W289" s="89"/>
      <c r="X289" s="89"/>
      <c r="Y289" s="89"/>
      <c r="Z289" s="89"/>
      <c r="AA289" s="89"/>
    </row>
    <row r="290" ht="14.25" customHeight="1">
      <c r="A290" s="151"/>
      <c r="B290" s="151"/>
      <c r="C290" s="125"/>
      <c r="D290" s="126"/>
      <c r="E290" s="144"/>
      <c r="F290" s="145"/>
      <c r="G290" s="183"/>
      <c r="H290" s="140"/>
      <c r="I290" s="183"/>
      <c r="J290" s="131"/>
      <c r="K290" s="89"/>
      <c r="L290" s="89"/>
      <c r="M290" s="89"/>
      <c r="N290" s="89"/>
      <c r="O290" s="89"/>
      <c r="P290" s="89"/>
      <c r="Q290" s="89"/>
      <c r="R290" s="89"/>
      <c r="S290" s="89"/>
      <c r="T290" s="89"/>
      <c r="U290" s="89"/>
      <c r="V290" s="89"/>
      <c r="W290" s="89"/>
      <c r="X290" s="89"/>
      <c r="Y290" s="89"/>
      <c r="Z290" s="89"/>
      <c r="AA290" s="89"/>
    </row>
    <row r="291" ht="14.25" customHeight="1">
      <c r="A291" s="143"/>
      <c r="B291" s="143"/>
      <c r="C291" s="125"/>
      <c r="D291" s="126"/>
      <c r="E291" s="144"/>
      <c r="F291" s="145"/>
      <c r="G291" s="183"/>
      <c r="H291" s="140"/>
      <c r="I291" s="183"/>
      <c r="J291" s="131"/>
      <c r="K291" s="89"/>
      <c r="L291" s="89"/>
      <c r="M291" s="89"/>
      <c r="N291" s="89"/>
      <c r="O291" s="89"/>
      <c r="P291" s="89"/>
      <c r="Q291" s="89"/>
      <c r="R291" s="89"/>
      <c r="S291" s="89"/>
      <c r="T291" s="89"/>
      <c r="U291" s="89"/>
      <c r="V291" s="89"/>
      <c r="W291" s="89"/>
      <c r="X291" s="89"/>
      <c r="Y291" s="89"/>
      <c r="Z291" s="89"/>
      <c r="AA291" s="89"/>
    </row>
    <row r="292" ht="14.25" customHeight="1">
      <c r="A292" s="143"/>
      <c r="B292" s="143"/>
      <c r="C292" s="125"/>
      <c r="D292" s="126"/>
      <c r="E292" s="144"/>
      <c r="F292" s="145"/>
      <c r="G292" s="183"/>
      <c r="H292" s="140"/>
      <c r="I292" s="183"/>
      <c r="J292" s="131"/>
      <c r="K292" s="89"/>
      <c r="L292" s="89"/>
      <c r="M292" s="89"/>
      <c r="N292" s="89"/>
      <c r="O292" s="89"/>
      <c r="P292" s="89"/>
      <c r="Q292" s="89"/>
      <c r="R292" s="89"/>
      <c r="S292" s="89"/>
      <c r="T292" s="89"/>
      <c r="U292" s="89"/>
      <c r="V292" s="89"/>
      <c r="W292" s="89"/>
      <c r="X292" s="89"/>
      <c r="Y292" s="89"/>
      <c r="Z292" s="89"/>
      <c r="AA292" s="89"/>
    </row>
    <row r="293" ht="14.25" customHeight="1">
      <c r="A293" s="143"/>
      <c r="B293" s="143"/>
      <c r="C293" s="125"/>
      <c r="D293" s="126"/>
      <c r="E293" s="144"/>
      <c r="F293" s="145"/>
      <c r="G293" s="183"/>
      <c r="H293" s="140"/>
      <c r="I293" s="183"/>
      <c r="J293" s="131"/>
      <c r="K293" s="89"/>
      <c r="L293" s="89"/>
      <c r="M293" s="89"/>
      <c r="N293" s="89"/>
      <c r="O293" s="89"/>
      <c r="P293" s="89"/>
      <c r="Q293" s="89"/>
      <c r="R293" s="89"/>
      <c r="S293" s="89"/>
      <c r="T293" s="89"/>
      <c r="U293" s="89"/>
      <c r="V293" s="89"/>
      <c r="W293" s="89"/>
      <c r="X293" s="89"/>
      <c r="Y293" s="89"/>
      <c r="Z293" s="89"/>
      <c r="AA293" s="89"/>
    </row>
    <row r="294" ht="14.25" customHeight="1">
      <c r="A294" s="143"/>
      <c r="B294" s="143"/>
      <c r="C294" s="125"/>
      <c r="D294" s="126"/>
      <c r="E294" s="144"/>
      <c r="F294" s="145"/>
      <c r="G294" s="183"/>
      <c r="H294" s="140"/>
      <c r="I294" s="183"/>
      <c r="J294" s="131"/>
      <c r="K294" s="89"/>
      <c r="L294" s="89"/>
      <c r="M294" s="89"/>
      <c r="N294" s="89"/>
      <c r="O294" s="89"/>
      <c r="P294" s="89"/>
      <c r="Q294" s="89"/>
      <c r="R294" s="89"/>
      <c r="S294" s="89"/>
      <c r="T294" s="89"/>
      <c r="U294" s="89"/>
      <c r="V294" s="89"/>
      <c r="W294" s="89"/>
      <c r="X294" s="89"/>
      <c r="Y294" s="89"/>
      <c r="Z294" s="89"/>
      <c r="AA294" s="89"/>
    </row>
    <row r="295" ht="14.25" customHeight="1">
      <c r="A295" s="143"/>
      <c r="B295" s="143"/>
      <c r="C295" s="125"/>
      <c r="D295" s="126"/>
      <c r="E295" s="144"/>
      <c r="F295" s="145"/>
      <c r="G295" s="183"/>
      <c r="H295" s="140"/>
      <c r="I295" s="183"/>
      <c r="J295" s="131"/>
      <c r="K295" s="89"/>
      <c r="L295" s="89"/>
      <c r="M295" s="89"/>
      <c r="N295" s="89"/>
      <c r="O295" s="89"/>
      <c r="P295" s="89"/>
      <c r="Q295" s="89"/>
      <c r="R295" s="89"/>
      <c r="S295" s="89"/>
      <c r="T295" s="89"/>
      <c r="U295" s="89"/>
      <c r="V295" s="89"/>
      <c r="W295" s="89"/>
      <c r="X295" s="89"/>
      <c r="Y295" s="89"/>
      <c r="Z295" s="89"/>
      <c r="AA295" s="89"/>
    </row>
    <row r="296" ht="14.25" customHeight="1">
      <c r="A296" s="143"/>
      <c r="B296" s="143"/>
      <c r="C296" s="125"/>
      <c r="D296" s="126"/>
      <c r="E296" s="144"/>
      <c r="F296" s="145"/>
      <c r="G296" s="183"/>
      <c r="H296" s="140"/>
      <c r="I296" s="183"/>
      <c r="J296" s="131"/>
      <c r="K296" s="89"/>
      <c r="L296" s="89"/>
      <c r="M296" s="89"/>
      <c r="N296" s="89"/>
      <c r="O296" s="89"/>
      <c r="P296" s="89"/>
      <c r="Q296" s="89"/>
      <c r="R296" s="89"/>
      <c r="S296" s="89"/>
      <c r="T296" s="89"/>
      <c r="U296" s="89"/>
      <c r="V296" s="89"/>
      <c r="W296" s="89"/>
      <c r="X296" s="89"/>
      <c r="Y296" s="89"/>
      <c r="Z296" s="89"/>
      <c r="AA296" s="89"/>
    </row>
    <row r="297" ht="14.25" customHeight="1">
      <c r="A297" s="143"/>
      <c r="B297" s="143"/>
      <c r="C297" s="125"/>
      <c r="D297" s="126"/>
      <c r="E297" s="144"/>
      <c r="F297" s="145"/>
      <c r="G297" s="183"/>
      <c r="H297" s="140"/>
      <c r="I297" s="183"/>
      <c r="J297" s="131"/>
      <c r="K297" s="89"/>
      <c r="L297" s="89"/>
      <c r="M297" s="89"/>
      <c r="N297" s="89"/>
      <c r="O297" s="89"/>
      <c r="P297" s="89"/>
      <c r="Q297" s="89"/>
      <c r="R297" s="89"/>
      <c r="S297" s="89"/>
      <c r="T297" s="89"/>
      <c r="U297" s="89"/>
      <c r="V297" s="89"/>
      <c r="W297" s="89"/>
      <c r="X297" s="89"/>
      <c r="Y297" s="89"/>
      <c r="Z297" s="89"/>
      <c r="AA297" s="89"/>
    </row>
    <row r="298" ht="14.25" customHeight="1">
      <c r="A298" s="143"/>
      <c r="B298" s="143"/>
      <c r="C298" s="125"/>
      <c r="D298" s="126"/>
      <c r="E298" s="144"/>
      <c r="F298" s="145"/>
      <c r="G298" s="183"/>
      <c r="H298" s="140"/>
      <c r="I298" s="183"/>
      <c r="J298" s="131"/>
      <c r="K298" s="89"/>
      <c r="L298" s="89"/>
      <c r="M298" s="89"/>
      <c r="N298" s="89"/>
      <c r="O298" s="89"/>
      <c r="P298" s="89"/>
      <c r="Q298" s="89"/>
      <c r="R298" s="89"/>
      <c r="S298" s="89"/>
      <c r="T298" s="89"/>
      <c r="U298" s="89"/>
      <c r="V298" s="89"/>
      <c r="W298" s="89"/>
      <c r="X298" s="89"/>
      <c r="Y298" s="89"/>
      <c r="Z298" s="89"/>
      <c r="AA298" s="89"/>
    </row>
    <row r="299" ht="14.25" customHeight="1">
      <c r="A299" s="143"/>
      <c r="B299" s="143"/>
      <c r="C299" s="125"/>
      <c r="D299" s="126"/>
      <c r="E299" s="144"/>
      <c r="F299" s="145"/>
      <c r="G299" s="183"/>
      <c r="H299" s="140"/>
      <c r="I299" s="183"/>
      <c r="J299" s="131"/>
      <c r="K299" s="89"/>
      <c r="L299" s="89"/>
      <c r="M299" s="89"/>
      <c r="N299" s="89"/>
      <c r="O299" s="89"/>
      <c r="P299" s="89"/>
      <c r="Q299" s="89"/>
      <c r="R299" s="89"/>
      <c r="S299" s="89"/>
      <c r="T299" s="89"/>
      <c r="U299" s="89"/>
      <c r="V299" s="89"/>
      <c r="W299" s="89"/>
      <c r="X299" s="89"/>
      <c r="Y299" s="89"/>
      <c r="Z299" s="89"/>
      <c r="AA299" s="89"/>
    </row>
    <row r="300" ht="14.25" customHeight="1">
      <c r="A300" s="151"/>
      <c r="B300" s="151"/>
      <c r="C300" s="125"/>
      <c r="D300" s="126"/>
      <c r="E300" s="144"/>
      <c r="F300" s="145"/>
      <c r="G300" s="183"/>
      <c r="H300" s="140"/>
      <c r="I300" s="183"/>
      <c r="J300" s="131"/>
      <c r="K300" s="89"/>
      <c r="L300" s="89"/>
      <c r="M300" s="89"/>
      <c r="N300" s="89"/>
      <c r="O300" s="89"/>
      <c r="P300" s="89"/>
      <c r="Q300" s="89"/>
      <c r="R300" s="89"/>
      <c r="S300" s="89"/>
      <c r="T300" s="89"/>
      <c r="U300" s="89"/>
      <c r="V300" s="89"/>
      <c r="W300" s="89"/>
      <c r="X300" s="89"/>
      <c r="Y300" s="89"/>
      <c r="Z300" s="89"/>
      <c r="AA300" s="89"/>
    </row>
    <row r="301" ht="14.25" customHeight="1">
      <c r="A301" s="143"/>
      <c r="B301" s="143"/>
      <c r="C301" s="125"/>
      <c r="D301" s="126"/>
      <c r="E301" s="144"/>
      <c r="F301" s="145"/>
      <c r="G301" s="183"/>
      <c r="H301" s="140"/>
      <c r="I301" s="183"/>
      <c r="J301" s="131"/>
      <c r="K301" s="89"/>
      <c r="L301" s="89"/>
      <c r="M301" s="89"/>
      <c r="N301" s="89"/>
      <c r="O301" s="89"/>
      <c r="P301" s="89"/>
      <c r="Q301" s="89"/>
      <c r="R301" s="89"/>
      <c r="S301" s="89"/>
      <c r="T301" s="89"/>
      <c r="U301" s="89"/>
      <c r="V301" s="89"/>
      <c r="W301" s="89"/>
      <c r="X301" s="89"/>
      <c r="Y301" s="89"/>
      <c r="Z301" s="89"/>
      <c r="AA301" s="89"/>
    </row>
    <row r="302" ht="14.25" customHeight="1">
      <c r="A302" s="143"/>
      <c r="B302" s="143"/>
      <c r="C302" s="125"/>
      <c r="D302" s="126"/>
      <c r="E302" s="144"/>
      <c r="F302" s="145"/>
      <c r="G302" s="183"/>
      <c r="H302" s="140"/>
      <c r="I302" s="183"/>
      <c r="J302" s="131"/>
      <c r="K302" s="89"/>
      <c r="L302" s="89"/>
      <c r="M302" s="89"/>
      <c r="N302" s="89"/>
      <c r="O302" s="89"/>
      <c r="P302" s="89"/>
      <c r="Q302" s="89"/>
      <c r="R302" s="89"/>
      <c r="S302" s="89"/>
      <c r="T302" s="89"/>
      <c r="U302" s="89"/>
      <c r="V302" s="89"/>
      <c r="W302" s="89"/>
      <c r="X302" s="89"/>
      <c r="Y302" s="89"/>
      <c r="Z302" s="89"/>
      <c r="AA302" s="89"/>
    </row>
    <row r="303" ht="14.25" customHeight="1">
      <c r="A303" s="143"/>
      <c r="B303" s="143"/>
      <c r="C303" s="125"/>
      <c r="D303" s="126"/>
      <c r="E303" s="144"/>
      <c r="F303" s="145"/>
      <c r="G303" s="183"/>
      <c r="H303" s="140"/>
      <c r="I303" s="183"/>
      <c r="J303" s="131"/>
      <c r="K303" s="89"/>
      <c r="L303" s="89"/>
      <c r="M303" s="89"/>
      <c r="N303" s="89"/>
      <c r="O303" s="89"/>
      <c r="P303" s="89"/>
      <c r="Q303" s="89"/>
      <c r="R303" s="89"/>
      <c r="S303" s="89"/>
      <c r="T303" s="89"/>
      <c r="U303" s="89"/>
      <c r="V303" s="89"/>
      <c r="W303" s="89"/>
      <c r="X303" s="89"/>
      <c r="Y303" s="89"/>
      <c r="Z303" s="89"/>
      <c r="AA303" s="89"/>
    </row>
    <row r="304" ht="14.25" customHeight="1">
      <c r="A304" s="143"/>
      <c r="B304" s="143"/>
      <c r="C304" s="125"/>
      <c r="D304" s="126"/>
      <c r="E304" s="144"/>
      <c r="F304" s="145"/>
      <c r="G304" s="183"/>
      <c r="H304" s="140"/>
      <c r="I304" s="183"/>
      <c r="J304" s="131"/>
      <c r="K304" s="89"/>
      <c r="L304" s="89"/>
      <c r="M304" s="89"/>
      <c r="N304" s="89"/>
      <c r="O304" s="89"/>
      <c r="P304" s="89"/>
      <c r="Q304" s="89"/>
      <c r="R304" s="89"/>
      <c r="S304" s="89"/>
      <c r="T304" s="89"/>
      <c r="U304" s="89"/>
      <c r="V304" s="89"/>
      <c r="W304" s="89"/>
      <c r="X304" s="89"/>
      <c r="Y304" s="89"/>
      <c r="Z304" s="89"/>
      <c r="AA304" s="89"/>
    </row>
    <row r="305" ht="14.25" customHeight="1">
      <c r="A305" s="143"/>
      <c r="B305" s="143"/>
      <c r="C305" s="125"/>
      <c r="D305" s="126"/>
      <c r="E305" s="144"/>
      <c r="F305" s="145"/>
      <c r="G305" s="183"/>
      <c r="H305" s="140"/>
      <c r="I305" s="183"/>
      <c r="J305" s="131"/>
      <c r="K305" s="89"/>
      <c r="L305" s="89"/>
      <c r="M305" s="89"/>
      <c r="N305" s="89"/>
      <c r="O305" s="89"/>
      <c r="P305" s="89"/>
      <c r="Q305" s="89"/>
      <c r="R305" s="89"/>
      <c r="S305" s="89"/>
      <c r="T305" s="89"/>
      <c r="U305" s="89"/>
      <c r="V305" s="89"/>
      <c r="W305" s="89"/>
      <c r="X305" s="89"/>
      <c r="Y305" s="89"/>
      <c r="Z305" s="89"/>
      <c r="AA305" s="89"/>
    </row>
    <row r="306" ht="14.25" customHeight="1">
      <c r="A306" s="143"/>
      <c r="B306" s="143"/>
      <c r="C306" s="125"/>
      <c r="D306" s="126"/>
      <c r="E306" s="144"/>
      <c r="F306" s="145"/>
      <c r="G306" s="183"/>
      <c r="H306" s="140"/>
      <c r="I306" s="183"/>
      <c r="J306" s="131"/>
      <c r="K306" s="89"/>
      <c r="L306" s="89"/>
      <c r="M306" s="89"/>
      <c r="N306" s="89"/>
      <c r="O306" s="89"/>
      <c r="P306" s="89"/>
      <c r="Q306" s="89"/>
      <c r="R306" s="89"/>
      <c r="S306" s="89"/>
      <c r="T306" s="89"/>
      <c r="U306" s="89"/>
      <c r="V306" s="89"/>
      <c r="W306" s="89"/>
      <c r="X306" s="89"/>
      <c r="Y306" s="89"/>
      <c r="Z306" s="89"/>
      <c r="AA306" s="89"/>
    </row>
    <row r="307" ht="14.25" customHeight="1">
      <c r="A307" s="143"/>
      <c r="B307" s="143"/>
      <c r="C307" s="125"/>
      <c r="D307" s="126"/>
      <c r="E307" s="144"/>
      <c r="F307" s="145"/>
      <c r="G307" s="183"/>
      <c r="H307" s="140"/>
      <c r="I307" s="183"/>
      <c r="J307" s="131"/>
      <c r="K307" s="89"/>
      <c r="L307" s="89"/>
      <c r="M307" s="89"/>
      <c r="N307" s="89"/>
      <c r="O307" s="89"/>
      <c r="P307" s="89"/>
      <c r="Q307" s="89"/>
      <c r="R307" s="89"/>
      <c r="S307" s="89"/>
      <c r="T307" s="89"/>
      <c r="U307" s="89"/>
      <c r="V307" s="89"/>
      <c r="W307" s="89"/>
      <c r="X307" s="89"/>
      <c r="Y307" s="89"/>
      <c r="Z307" s="89"/>
      <c r="AA307" s="89"/>
    </row>
    <row r="308" ht="14.25" customHeight="1">
      <c r="A308" s="143"/>
      <c r="B308" s="143"/>
      <c r="C308" s="125"/>
      <c r="D308" s="126"/>
      <c r="E308" s="144"/>
      <c r="F308" s="145"/>
      <c r="G308" s="183"/>
      <c r="H308" s="140"/>
      <c r="I308" s="183"/>
      <c r="J308" s="131"/>
      <c r="K308" s="89"/>
      <c r="L308" s="89"/>
      <c r="M308" s="89"/>
      <c r="N308" s="89"/>
      <c r="O308" s="89"/>
      <c r="P308" s="89"/>
      <c r="Q308" s="89"/>
      <c r="R308" s="89"/>
      <c r="S308" s="89"/>
      <c r="T308" s="89"/>
      <c r="U308" s="89"/>
      <c r="V308" s="89"/>
      <c r="W308" s="89"/>
      <c r="X308" s="89"/>
      <c r="Y308" s="89"/>
      <c r="Z308" s="89"/>
      <c r="AA308" s="89"/>
    </row>
    <row r="309" ht="14.25" customHeight="1">
      <c r="A309" s="143"/>
      <c r="B309" s="143"/>
      <c r="C309" s="125"/>
      <c r="D309" s="126"/>
      <c r="E309" s="144"/>
      <c r="F309" s="145"/>
      <c r="G309" s="183"/>
      <c r="H309" s="140"/>
      <c r="I309" s="183"/>
      <c r="J309" s="131"/>
      <c r="K309" s="89"/>
      <c r="L309" s="89"/>
      <c r="M309" s="89"/>
      <c r="N309" s="89"/>
      <c r="O309" s="89"/>
      <c r="P309" s="89"/>
      <c r="Q309" s="89"/>
      <c r="R309" s="89"/>
      <c r="S309" s="89"/>
      <c r="T309" s="89"/>
      <c r="U309" s="89"/>
      <c r="V309" s="89"/>
      <c r="W309" s="89"/>
      <c r="X309" s="89"/>
      <c r="Y309" s="89"/>
      <c r="Z309" s="89"/>
      <c r="AA309" s="89"/>
    </row>
    <row r="310" ht="14.25" customHeight="1">
      <c r="A310" s="151"/>
      <c r="B310" s="151"/>
      <c r="C310" s="125"/>
      <c r="D310" s="126"/>
      <c r="E310" s="144"/>
      <c r="F310" s="145"/>
      <c r="G310" s="183"/>
      <c r="H310" s="140"/>
      <c r="I310" s="183"/>
      <c r="J310" s="131"/>
      <c r="K310" s="89"/>
      <c r="L310" s="89"/>
      <c r="M310" s="89"/>
      <c r="N310" s="89"/>
      <c r="O310" s="89"/>
      <c r="P310" s="89"/>
      <c r="Q310" s="89"/>
      <c r="R310" s="89"/>
      <c r="S310" s="89"/>
      <c r="T310" s="89"/>
      <c r="U310" s="89"/>
      <c r="V310" s="89"/>
      <c r="W310" s="89"/>
      <c r="X310" s="89"/>
      <c r="Y310" s="89"/>
      <c r="Z310" s="89"/>
      <c r="AA310" s="89"/>
    </row>
    <row r="311" ht="14.25" customHeight="1">
      <c r="A311" s="143"/>
      <c r="B311" s="143"/>
      <c r="C311" s="125"/>
      <c r="D311" s="126"/>
      <c r="E311" s="144"/>
      <c r="F311" s="145"/>
      <c r="G311" s="183"/>
      <c r="H311" s="140"/>
      <c r="I311" s="183"/>
      <c r="J311" s="131"/>
      <c r="K311" s="89"/>
      <c r="L311" s="89"/>
      <c r="M311" s="89"/>
      <c r="N311" s="89"/>
      <c r="O311" s="89"/>
      <c r="P311" s="89"/>
      <c r="Q311" s="89"/>
      <c r="R311" s="89"/>
      <c r="S311" s="89"/>
      <c r="T311" s="89"/>
      <c r="U311" s="89"/>
      <c r="V311" s="89"/>
      <c r="W311" s="89"/>
      <c r="X311" s="89"/>
      <c r="Y311" s="89"/>
      <c r="Z311" s="89"/>
      <c r="AA311" s="89"/>
    </row>
    <row r="312" ht="14.25" customHeight="1">
      <c r="A312" s="143"/>
      <c r="B312" s="143"/>
      <c r="C312" s="125"/>
      <c r="D312" s="126"/>
      <c r="E312" s="144"/>
      <c r="F312" s="145"/>
      <c r="G312" s="183"/>
      <c r="H312" s="140"/>
      <c r="I312" s="183"/>
      <c r="J312" s="131"/>
      <c r="K312" s="89"/>
      <c r="L312" s="89"/>
      <c r="M312" s="89"/>
      <c r="N312" s="89"/>
      <c r="O312" s="89"/>
      <c r="P312" s="89"/>
      <c r="Q312" s="89"/>
      <c r="R312" s="89"/>
      <c r="S312" s="89"/>
      <c r="T312" s="89"/>
      <c r="U312" s="89"/>
      <c r="V312" s="89"/>
      <c r="W312" s="89"/>
      <c r="X312" s="89"/>
      <c r="Y312" s="89"/>
      <c r="Z312" s="89"/>
      <c r="AA312" s="89"/>
    </row>
    <row r="313" ht="14.25" customHeight="1">
      <c r="A313" s="143"/>
      <c r="B313" s="143"/>
      <c r="C313" s="125"/>
      <c r="D313" s="126"/>
      <c r="E313" s="144"/>
      <c r="F313" s="145"/>
      <c r="G313" s="183"/>
      <c r="H313" s="140"/>
      <c r="I313" s="183"/>
      <c r="J313" s="131"/>
      <c r="K313" s="89"/>
      <c r="L313" s="89"/>
      <c r="M313" s="89"/>
      <c r="N313" s="89"/>
      <c r="O313" s="89"/>
      <c r="P313" s="89"/>
      <c r="Q313" s="89"/>
      <c r="R313" s="89"/>
      <c r="S313" s="89"/>
      <c r="T313" s="89"/>
      <c r="U313" s="89"/>
      <c r="V313" s="89"/>
      <c r="W313" s="89"/>
      <c r="X313" s="89"/>
      <c r="Y313" s="89"/>
      <c r="Z313" s="89"/>
      <c r="AA313" s="89"/>
    </row>
    <row r="314" ht="14.25" customHeight="1">
      <c r="A314" s="143"/>
      <c r="B314" s="143"/>
      <c r="C314" s="125"/>
      <c r="D314" s="126"/>
      <c r="E314" s="144"/>
      <c r="F314" s="145"/>
      <c r="G314" s="183"/>
      <c r="H314" s="140"/>
      <c r="I314" s="183"/>
      <c r="J314" s="131"/>
      <c r="K314" s="89"/>
      <c r="L314" s="89"/>
      <c r="M314" s="89"/>
      <c r="N314" s="89"/>
      <c r="O314" s="89"/>
      <c r="P314" s="89"/>
      <c r="Q314" s="89"/>
      <c r="R314" s="89"/>
      <c r="S314" s="89"/>
      <c r="T314" s="89"/>
      <c r="U314" s="89"/>
      <c r="V314" s="89"/>
      <c r="W314" s="89"/>
      <c r="X314" s="89"/>
      <c r="Y314" s="89"/>
      <c r="Z314" s="89"/>
      <c r="AA314" s="89"/>
    </row>
    <row r="315" ht="14.25" customHeight="1">
      <c r="A315" s="143"/>
      <c r="B315" s="143"/>
      <c r="C315" s="125"/>
      <c r="D315" s="126"/>
      <c r="E315" s="144"/>
      <c r="F315" s="145"/>
      <c r="G315" s="183"/>
      <c r="H315" s="140"/>
      <c r="I315" s="183"/>
      <c r="J315" s="131"/>
      <c r="K315" s="89"/>
      <c r="L315" s="89"/>
      <c r="M315" s="89"/>
      <c r="N315" s="89"/>
      <c r="O315" s="89"/>
      <c r="P315" s="89"/>
      <c r="Q315" s="89"/>
      <c r="R315" s="89"/>
      <c r="S315" s="89"/>
      <c r="T315" s="89"/>
      <c r="U315" s="89"/>
      <c r="V315" s="89"/>
      <c r="W315" s="89"/>
      <c r="X315" s="89"/>
      <c r="Y315" s="89"/>
      <c r="Z315" s="89"/>
      <c r="AA315" s="89"/>
    </row>
    <row r="316" ht="14.25" customHeight="1">
      <c r="A316" s="143"/>
      <c r="B316" s="143"/>
      <c r="C316" s="125"/>
      <c r="D316" s="126"/>
      <c r="E316" s="144"/>
      <c r="F316" s="145"/>
      <c r="G316" s="183"/>
      <c r="H316" s="140"/>
      <c r="I316" s="183"/>
      <c r="J316" s="131"/>
      <c r="K316" s="89"/>
      <c r="L316" s="89"/>
      <c r="M316" s="89"/>
      <c r="N316" s="89"/>
      <c r="O316" s="89"/>
      <c r="P316" s="89"/>
      <c r="Q316" s="89"/>
      <c r="R316" s="89"/>
      <c r="S316" s="89"/>
      <c r="T316" s="89"/>
      <c r="U316" s="89"/>
      <c r="V316" s="89"/>
      <c r="W316" s="89"/>
      <c r="X316" s="89"/>
      <c r="Y316" s="89"/>
      <c r="Z316" s="89"/>
      <c r="AA316" s="89"/>
    </row>
    <row r="317" ht="14.25" customHeight="1">
      <c r="A317" s="143"/>
      <c r="B317" s="143"/>
      <c r="C317" s="125"/>
      <c r="D317" s="126"/>
      <c r="E317" s="144"/>
      <c r="F317" s="145"/>
      <c r="G317" s="183"/>
      <c r="H317" s="140"/>
      <c r="I317" s="183"/>
      <c r="J317" s="131"/>
      <c r="K317" s="89"/>
      <c r="L317" s="89"/>
      <c r="M317" s="89"/>
      <c r="N317" s="89"/>
      <c r="O317" s="89"/>
      <c r="P317" s="89"/>
      <c r="Q317" s="89"/>
      <c r="R317" s="89"/>
      <c r="S317" s="89"/>
      <c r="T317" s="89"/>
      <c r="U317" s="89"/>
      <c r="V317" s="89"/>
      <c r="W317" s="89"/>
      <c r="X317" s="89"/>
      <c r="Y317" s="89"/>
      <c r="Z317" s="89"/>
      <c r="AA317" s="89"/>
    </row>
    <row r="318" ht="14.25" customHeight="1">
      <c r="A318" s="143"/>
      <c r="B318" s="143"/>
      <c r="C318" s="125"/>
      <c r="D318" s="126"/>
      <c r="E318" s="144"/>
      <c r="F318" s="145"/>
      <c r="G318" s="183"/>
      <c r="H318" s="140"/>
      <c r="I318" s="183"/>
      <c r="J318" s="131"/>
      <c r="K318" s="89"/>
      <c r="L318" s="89"/>
      <c r="M318" s="89"/>
      <c r="N318" s="89"/>
      <c r="O318" s="89"/>
      <c r="P318" s="89"/>
      <c r="Q318" s="89"/>
      <c r="R318" s="89"/>
      <c r="S318" s="89"/>
      <c r="T318" s="89"/>
      <c r="U318" s="89"/>
      <c r="V318" s="89"/>
      <c r="W318" s="89"/>
      <c r="X318" s="89"/>
      <c r="Y318" s="89"/>
      <c r="Z318" s="89"/>
      <c r="AA318" s="89"/>
    </row>
    <row r="319" ht="14.25" customHeight="1">
      <c r="A319" s="143"/>
      <c r="B319" s="143"/>
      <c r="C319" s="125"/>
      <c r="D319" s="126"/>
      <c r="E319" s="144"/>
      <c r="F319" s="145"/>
      <c r="G319" s="183"/>
      <c r="H319" s="140"/>
      <c r="I319" s="183"/>
      <c r="J319" s="131"/>
      <c r="K319" s="89"/>
      <c r="L319" s="89"/>
      <c r="M319" s="89"/>
      <c r="N319" s="89"/>
      <c r="O319" s="89"/>
      <c r="P319" s="89"/>
      <c r="Q319" s="89"/>
      <c r="R319" s="89"/>
      <c r="S319" s="89"/>
      <c r="T319" s="89"/>
      <c r="U319" s="89"/>
      <c r="V319" s="89"/>
      <c r="W319" s="89"/>
      <c r="X319" s="89"/>
      <c r="Y319" s="89"/>
      <c r="Z319" s="89"/>
      <c r="AA319" s="89"/>
    </row>
    <row r="320" ht="14.25" customHeight="1">
      <c r="A320" s="151"/>
      <c r="B320" s="151"/>
      <c r="C320" s="125"/>
      <c r="D320" s="126"/>
      <c r="E320" s="144"/>
      <c r="F320" s="145"/>
      <c r="G320" s="183"/>
      <c r="H320" s="140"/>
      <c r="I320" s="183"/>
      <c r="J320" s="131"/>
      <c r="K320" s="89"/>
      <c r="L320" s="89"/>
      <c r="M320" s="89"/>
      <c r="N320" s="89"/>
      <c r="O320" s="89"/>
      <c r="P320" s="89"/>
      <c r="Q320" s="89"/>
      <c r="R320" s="89"/>
      <c r="S320" s="89"/>
      <c r="T320" s="89"/>
      <c r="U320" s="89"/>
      <c r="V320" s="89"/>
      <c r="W320" s="89"/>
      <c r="X320" s="89"/>
      <c r="Y320" s="89"/>
      <c r="Z320" s="89"/>
      <c r="AA320" s="89"/>
    </row>
    <row r="321" ht="14.25" customHeight="1">
      <c r="A321" s="143"/>
      <c r="B321" s="143"/>
      <c r="C321" s="125"/>
      <c r="D321" s="126"/>
      <c r="E321" s="144"/>
      <c r="F321" s="145"/>
      <c r="G321" s="183"/>
      <c r="H321" s="140"/>
      <c r="I321" s="183"/>
      <c r="J321" s="131"/>
      <c r="K321" s="89"/>
      <c r="L321" s="89"/>
      <c r="M321" s="89"/>
      <c r="N321" s="89"/>
      <c r="O321" s="89"/>
      <c r="P321" s="89"/>
      <c r="Q321" s="89"/>
      <c r="R321" s="89"/>
      <c r="S321" s="89"/>
      <c r="T321" s="89"/>
      <c r="U321" s="89"/>
      <c r="V321" s="89"/>
      <c r="W321" s="89"/>
      <c r="X321" s="89"/>
      <c r="Y321" s="89"/>
      <c r="Z321" s="89"/>
      <c r="AA321" s="89"/>
    </row>
    <row r="322" ht="14.25" customHeight="1">
      <c r="A322" s="143"/>
      <c r="B322" s="143"/>
      <c r="C322" s="125"/>
      <c r="D322" s="126"/>
      <c r="E322" s="144"/>
      <c r="F322" s="145"/>
      <c r="G322" s="183"/>
      <c r="H322" s="140"/>
      <c r="I322" s="183"/>
      <c r="J322" s="131"/>
      <c r="K322" s="89"/>
      <c r="L322" s="89"/>
      <c r="M322" s="89"/>
      <c r="N322" s="89"/>
      <c r="O322" s="89"/>
      <c r="P322" s="89"/>
      <c r="Q322" s="89"/>
      <c r="R322" s="89"/>
      <c r="S322" s="89"/>
      <c r="T322" s="89"/>
      <c r="U322" s="89"/>
      <c r="V322" s="89"/>
      <c r="W322" s="89"/>
      <c r="X322" s="89"/>
      <c r="Y322" s="89"/>
      <c r="Z322" s="89"/>
      <c r="AA322" s="89"/>
    </row>
    <row r="323" ht="14.25" customHeight="1">
      <c r="A323" s="143"/>
      <c r="B323" s="143"/>
      <c r="C323" s="125"/>
      <c r="D323" s="126"/>
      <c r="E323" s="144"/>
      <c r="F323" s="145"/>
      <c r="G323" s="183"/>
      <c r="H323" s="140"/>
      <c r="I323" s="183"/>
      <c r="J323" s="131"/>
      <c r="K323" s="89"/>
      <c r="L323" s="89"/>
      <c r="M323" s="89"/>
      <c r="N323" s="89"/>
      <c r="O323" s="89"/>
      <c r="P323" s="89"/>
      <c r="Q323" s="89"/>
      <c r="R323" s="89"/>
      <c r="S323" s="89"/>
      <c r="T323" s="89"/>
      <c r="U323" s="89"/>
      <c r="V323" s="89"/>
      <c r="W323" s="89"/>
      <c r="X323" s="89"/>
      <c r="Y323" s="89"/>
      <c r="Z323" s="89"/>
      <c r="AA323" s="89"/>
    </row>
    <row r="324" ht="14.25" customHeight="1">
      <c r="A324" s="143"/>
      <c r="B324" s="143"/>
      <c r="C324" s="125"/>
      <c r="D324" s="126"/>
      <c r="E324" s="144"/>
      <c r="F324" s="145"/>
      <c r="G324" s="183"/>
      <c r="H324" s="140"/>
      <c r="I324" s="183"/>
      <c r="J324" s="131"/>
      <c r="K324" s="89"/>
      <c r="L324" s="89"/>
      <c r="M324" s="89"/>
      <c r="N324" s="89"/>
      <c r="O324" s="89"/>
      <c r="P324" s="89"/>
      <c r="Q324" s="89"/>
      <c r="R324" s="89"/>
      <c r="S324" s="89"/>
      <c r="T324" s="89"/>
      <c r="U324" s="89"/>
      <c r="V324" s="89"/>
      <c r="W324" s="89"/>
      <c r="X324" s="89"/>
      <c r="Y324" s="89"/>
      <c r="Z324" s="89"/>
      <c r="AA324" s="89"/>
    </row>
    <row r="325" ht="14.25" customHeight="1">
      <c r="A325" s="143"/>
      <c r="B325" s="143"/>
      <c r="C325" s="125"/>
      <c r="D325" s="126"/>
      <c r="E325" s="144"/>
      <c r="F325" s="145"/>
      <c r="G325" s="183"/>
      <c r="H325" s="140"/>
      <c r="I325" s="183"/>
      <c r="J325" s="131"/>
      <c r="K325" s="89"/>
      <c r="L325" s="89"/>
      <c r="M325" s="89"/>
      <c r="N325" s="89"/>
      <c r="O325" s="89"/>
      <c r="P325" s="89"/>
      <c r="Q325" s="89"/>
      <c r="R325" s="89"/>
      <c r="S325" s="89"/>
      <c r="T325" s="89"/>
      <c r="U325" s="89"/>
      <c r="V325" s="89"/>
      <c r="W325" s="89"/>
      <c r="X325" s="89"/>
      <c r="Y325" s="89"/>
      <c r="Z325" s="89"/>
      <c r="AA325" s="89"/>
    </row>
    <row r="326" ht="14.25" customHeight="1">
      <c r="A326" s="143"/>
      <c r="B326" s="143"/>
      <c r="C326" s="125"/>
      <c r="D326" s="126"/>
      <c r="E326" s="144"/>
      <c r="F326" s="145"/>
      <c r="G326" s="183"/>
      <c r="H326" s="140"/>
      <c r="I326" s="183"/>
      <c r="J326" s="131"/>
      <c r="K326" s="89"/>
      <c r="L326" s="89"/>
      <c r="M326" s="89"/>
      <c r="N326" s="89"/>
      <c r="O326" s="89"/>
      <c r="P326" s="89"/>
      <c r="Q326" s="89"/>
      <c r="R326" s="89"/>
      <c r="S326" s="89"/>
      <c r="T326" s="89"/>
      <c r="U326" s="89"/>
      <c r="V326" s="89"/>
      <c r="W326" s="89"/>
      <c r="X326" s="89"/>
      <c r="Y326" s="89"/>
      <c r="Z326" s="89"/>
      <c r="AA326" s="89"/>
    </row>
    <row r="327" ht="14.25" customHeight="1">
      <c r="A327" s="143"/>
      <c r="B327" s="143"/>
      <c r="C327" s="125"/>
      <c r="D327" s="126"/>
      <c r="E327" s="144"/>
      <c r="F327" s="145"/>
      <c r="G327" s="183"/>
      <c r="H327" s="140"/>
      <c r="I327" s="183"/>
      <c r="J327" s="131"/>
      <c r="K327" s="89"/>
      <c r="L327" s="89"/>
      <c r="M327" s="89"/>
      <c r="N327" s="89"/>
      <c r="O327" s="89"/>
      <c r="P327" s="89"/>
      <c r="Q327" s="89"/>
      <c r="R327" s="89"/>
      <c r="S327" s="89"/>
      <c r="T327" s="89"/>
      <c r="U327" s="89"/>
      <c r="V327" s="89"/>
      <c r="W327" s="89"/>
      <c r="X327" s="89"/>
      <c r="Y327" s="89"/>
      <c r="Z327" s="89"/>
      <c r="AA327" s="89"/>
    </row>
    <row r="328" ht="14.25" customHeight="1">
      <c r="A328" s="143"/>
      <c r="B328" s="143"/>
      <c r="C328" s="125"/>
      <c r="D328" s="126"/>
      <c r="E328" s="144"/>
      <c r="F328" s="145"/>
      <c r="G328" s="183"/>
      <c r="H328" s="140"/>
      <c r="I328" s="183"/>
      <c r="J328" s="131"/>
      <c r="K328" s="89"/>
      <c r="L328" s="89"/>
      <c r="M328" s="89"/>
      <c r="N328" s="89"/>
      <c r="O328" s="89"/>
      <c r="P328" s="89"/>
      <c r="Q328" s="89"/>
      <c r="R328" s="89"/>
      <c r="S328" s="89"/>
      <c r="T328" s="89"/>
      <c r="U328" s="89"/>
      <c r="V328" s="89"/>
      <c r="W328" s="89"/>
      <c r="X328" s="89"/>
      <c r="Y328" s="89"/>
      <c r="Z328" s="89"/>
      <c r="AA328" s="89"/>
    </row>
    <row r="329" ht="14.25" customHeight="1">
      <c r="A329" s="143"/>
      <c r="B329" s="143"/>
      <c r="C329" s="125"/>
      <c r="D329" s="126"/>
      <c r="E329" s="144"/>
      <c r="F329" s="145"/>
      <c r="G329" s="183"/>
      <c r="H329" s="140"/>
      <c r="I329" s="183"/>
      <c r="J329" s="131"/>
      <c r="K329" s="89"/>
      <c r="L329" s="89"/>
      <c r="M329" s="89"/>
      <c r="N329" s="89"/>
      <c r="O329" s="89"/>
      <c r="P329" s="89"/>
      <c r="Q329" s="89"/>
      <c r="R329" s="89"/>
      <c r="S329" s="89"/>
      <c r="T329" s="89"/>
      <c r="U329" s="89"/>
      <c r="V329" s="89"/>
      <c r="W329" s="89"/>
      <c r="X329" s="89"/>
      <c r="Y329" s="89"/>
      <c r="Z329" s="89"/>
      <c r="AA329" s="89"/>
    </row>
    <row r="330" ht="14.25" customHeight="1">
      <c r="A330" s="151"/>
      <c r="B330" s="151"/>
      <c r="C330" s="125"/>
      <c r="D330" s="126"/>
      <c r="E330" s="144"/>
      <c r="F330" s="145"/>
      <c r="G330" s="183"/>
      <c r="H330" s="140"/>
      <c r="I330" s="183"/>
      <c r="J330" s="131"/>
      <c r="K330" s="89"/>
      <c r="L330" s="89"/>
      <c r="M330" s="89"/>
      <c r="N330" s="89"/>
      <c r="O330" s="89"/>
      <c r="P330" s="89"/>
      <c r="Q330" s="89"/>
      <c r="R330" s="89"/>
      <c r="S330" s="89"/>
      <c r="T330" s="89"/>
      <c r="U330" s="89"/>
      <c r="V330" s="89"/>
      <c r="W330" s="89"/>
      <c r="X330" s="89"/>
      <c r="Y330" s="89"/>
      <c r="Z330" s="89"/>
      <c r="AA330" s="89"/>
    </row>
    <row r="331" ht="14.25" customHeight="1">
      <c r="A331" s="143"/>
      <c r="B331" s="143"/>
      <c r="C331" s="125"/>
      <c r="D331" s="126"/>
      <c r="E331" s="144"/>
      <c r="F331" s="145"/>
      <c r="G331" s="183"/>
      <c r="H331" s="140"/>
      <c r="I331" s="183"/>
      <c r="J331" s="131"/>
      <c r="K331" s="89"/>
      <c r="L331" s="89"/>
      <c r="M331" s="89"/>
      <c r="N331" s="89"/>
      <c r="O331" s="89"/>
      <c r="P331" s="89"/>
      <c r="Q331" s="89"/>
      <c r="R331" s="89"/>
      <c r="S331" s="89"/>
      <c r="T331" s="89"/>
      <c r="U331" s="89"/>
      <c r="V331" s="89"/>
      <c r="W331" s="89"/>
      <c r="X331" s="89"/>
      <c r="Y331" s="89"/>
      <c r="Z331" s="89"/>
      <c r="AA331" s="89"/>
    </row>
    <row r="332" ht="14.25" customHeight="1">
      <c r="A332" s="143"/>
      <c r="B332" s="143"/>
      <c r="C332" s="125"/>
      <c r="D332" s="126"/>
      <c r="E332" s="144"/>
      <c r="F332" s="145"/>
      <c r="G332" s="183"/>
      <c r="H332" s="140"/>
      <c r="I332" s="183"/>
      <c r="J332" s="131"/>
      <c r="K332" s="89"/>
      <c r="L332" s="89"/>
      <c r="M332" s="89"/>
      <c r="N332" s="89"/>
      <c r="O332" s="89"/>
      <c r="P332" s="89"/>
      <c r="Q332" s="89"/>
      <c r="R332" s="89"/>
      <c r="S332" s="89"/>
      <c r="T332" s="89"/>
      <c r="U332" s="89"/>
      <c r="V332" s="89"/>
      <c r="W332" s="89"/>
      <c r="X332" s="89"/>
      <c r="Y332" s="89"/>
      <c r="Z332" s="89"/>
      <c r="AA332" s="89"/>
    </row>
    <row r="333" ht="14.25" customHeight="1">
      <c r="A333" s="143"/>
      <c r="B333" s="143"/>
      <c r="C333" s="125"/>
      <c r="D333" s="126"/>
      <c r="E333" s="144"/>
      <c r="F333" s="145"/>
      <c r="G333" s="183"/>
      <c r="H333" s="140"/>
      <c r="I333" s="183"/>
      <c r="J333" s="131"/>
      <c r="K333" s="89"/>
      <c r="L333" s="89"/>
      <c r="M333" s="89"/>
      <c r="N333" s="89"/>
      <c r="O333" s="89"/>
      <c r="P333" s="89"/>
      <c r="Q333" s="89"/>
      <c r="R333" s="89"/>
      <c r="S333" s="89"/>
      <c r="T333" s="89"/>
      <c r="U333" s="89"/>
      <c r="V333" s="89"/>
      <c r="W333" s="89"/>
      <c r="X333" s="89"/>
      <c r="Y333" s="89"/>
      <c r="Z333" s="89"/>
      <c r="AA333" s="89"/>
    </row>
    <row r="334" ht="14.25" customHeight="1">
      <c r="A334" s="143"/>
      <c r="B334" s="143"/>
      <c r="C334" s="125"/>
      <c r="D334" s="126"/>
      <c r="E334" s="144"/>
      <c r="F334" s="145"/>
      <c r="G334" s="183"/>
      <c r="H334" s="140"/>
      <c r="I334" s="183"/>
      <c r="J334" s="131"/>
      <c r="K334" s="89"/>
      <c r="L334" s="89"/>
      <c r="M334" s="89"/>
      <c r="N334" s="89"/>
      <c r="O334" s="89"/>
      <c r="P334" s="89"/>
      <c r="Q334" s="89"/>
      <c r="R334" s="89"/>
      <c r="S334" s="89"/>
      <c r="T334" s="89"/>
      <c r="U334" s="89"/>
      <c r="V334" s="89"/>
      <c r="W334" s="89"/>
      <c r="X334" s="89"/>
      <c r="Y334" s="89"/>
      <c r="Z334" s="89"/>
      <c r="AA334" s="89"/>
    </row>
    <row r="335" ht="14.25" customHeight="1">
      <c r="A335" s="143"/>
      <c r="B335" s="143"/>
      <c r="C335" s="125"/>
      <c r="D335" s="126"/>
      <c r="E335" s="144"/>
      <c r="F335" s="145"/>
      <c r="G335" s="183"/>
      <c r="H335" s="140"/>
      <c r="I335" s="183"/>
      <c r="J335" s="131"/>
      <c r="K335" s="89"/>
      <c r="L335" s="89"/>
      <c r="M335" s="89"/>
      <c r="N335" s="89"/>
      <c r="O335" s="89"/>
      <c r="P335" s="89"/>
      <c r="Q335" s="89"/>
      <c r="R335" s="89"/>
      <c r="S335" s="89"/>
      <c r="T335" s="89"/>
      <c r="U335" s="89"/>
      <c r="V335" s="89"/>
      <c r="W335" s="89"/>
      <c r="X335" s="89"/>
      <c r="Y335" s="89"/>
      <c r="Z335" s="89"/>
      <c r="AA335" s="89"/>
    </row>
    <row r="336" ht="14.25" customHeight="1">
      <c r="A336" s="143"/>
      <c r="B336" s="143"/>
      <c r="C336" s="125"/>
      <c r="D336" s="126"/>
      <c r="E336" s="144"/>
      <c r="F336" s="145"/>
      <c r="G336" s="183"/>
      <c r="H336" s="140"/>
      <c r="I336" s="183"/>
      <c r="J336" s="131"/>
      <c r="K336" s="89"/>
      <c r="L336" s="89"/>
      <c r="M336" s="89"/>
      <c r="N336" s="89"/>
      <c r="O336" s="89"/>
      <c r="P336" s="89"/>
      <c r="Q336" s="89"/>
      <c r="R336" s="89"/>
      <c r="S336" s="89"/>
      <c r="T336" s="89"/>
      <c r="U336" s="89"/>
      <c r="V336" s="89"/>
      <c r="W336" s="89"/>
      <c r="X336" s="89"/>
      <c r="Y336" s="89"/>
      <c r="Z336" s="89"/>
      <c r="AA336" s="89"/>
    </row>
    <row r="337" ht="14.25" customHeight="1">
      <c r="A337" s="143"/>
      <c r="B337" s="143"/>
      <c r="C337" s="125"/>
      <c r="D337" s="126"/>
      <c r="E337" s="144"/>
      <c r="F337" s="145"/>
      <c r="G337" s="183"/>
      <c r="H337" s="140"/>
      <c r="I337" s="183"/>
      <c r="J337" s="131"/>
      <c r="K337" s="89"/>
      <c r="L337" s="89"/>
      <c r="M337" s="89"/>
      <c r="N337" s="89"/>
      <c r="O337" s="89"/>
      <c r="P337" s="89"/>
      <c r="Q337" s="89"/>
      <c r="R337" s="89"/>
      <c r="S337" s="89"/>
      <c r="T337" s="89"/>
      <c r="U337" s="89"/>
      <c r="V337" s="89"/>
      <c r="W337" s="89"/>
      <c r="X337" s="89"/>
      <c r="Y337" s="89"/>
      <c r="Z337" s="89"/>
      <c r="AA337" s="89"/>
    </row>
    <row r="338" ht="14.25" customHeight="1">
      <c r="A338" s="143"/>
      <c r="B338" s="143"/>
      <c r="C338" s="125"/>
      <c r="D338" s="126"/>
      <c r="E338" s="144"/>
      <c r="F338" s="145"/>
      <c r="G338" s="183"/>
      <c r="H338" s="140"/>
      <c r="I338" s="183"/>
      <c r="J338" s="131"/>
      <c r="K338" s="89"/>
      <c r="L338" s="89"/>
      <c r="M338" s="89"/>
      <c r="N338" s="89"/>
      <c r="O338" s="89"/>
      <c r="P338" s="89"/>
      <c r="Q338" s="89"/>
      <c r="R338" s="89"/>
      <c r="S338" s="89"/>
      <c r="T338" s="89"/>
      <c r="U338" s="89"/>
      <c r="V338" s="89"/>
      <c r="W338" s="89"/>
      <c r="X338" s="89"/>
      <c r="Y338" s="89"/>
      <c r="Z338" s="89"/>
      <c r="AA338" s="89"/>
    </row>
    <row r="339" ht="14.25" customHeight="1">
      <c r="A339" s="143"/>
      <c r="B339" s="143"/>
      <c r="C339" s="125"/>
      <c r="D339" s="126"/>
      <c r="E339" s="144"/>
      <c r="F339" s="145"/>
      <c r="G339" s="183"/>
      <c r="H339" s="140"/>
      <c r="I339" s="183"/>
      <c r="J339" s="131"/>
      <c r="K339" s="89"/>
      <c r="L339" s="89"/>
      <c r="M339" s="89"/>
      <c r="N339" s="89"/>
      <c r="O339" s="89"/>
      <c r="P339" s="89"/>
      <c r="Q339" s="89"/>
      <c r="R339" s="89"/>
      <c r="S339" s="89"/>
      <c r="T339" s="89"/>
      <c r="U339" s="89"/>
      <c r="V339" s="89"/>
      <c r="W339" s="89"/>
      <c r="X339" s="89"/>
      <c r="Y339" s="89"/>
      <c r="Z339" s="89"/>
      <c r="AA339" s="89"/>
    </row>
    <row r="340" ht="14.25" customHeight="1">
      <c r="A340" s="151"/>
      <c r="B340" s="151"/>
      <c r="C340" s="125"/>
      <c r="D340" s="126"/>
      <c r="E340" s="144"/>
      <c r="F340" s="145"/>
      <c r="G340" s="183"/>
      <c r="H340" s="140"/>
      <c r="I340" s="183"/>
      <c r="J340" s="131"/>
      <c r="K340" s="89"/>
      <c r="L340" s="89"/>
      <c r="M340" s="89"/>
      <c r="N340" s="89"/>
      <c r="O340" s="89"/>
      <c r="P340" s="89"/>
      <c r="Q340" s="89"/>
      <c r="R340" s="89"/>
      <c r="S340" s="89"/>
      <c r="T340" s="89"/>
      <c r="U340" s="89"/>
      <c r="V340" s="89"/>
      <c r="W340" s="89"/>
      <c r="X340" s="89"/>
      <c r="Y340" s="89"/>
      <c r="Z340" s="89"/>
      <c r="AA340" s="89"/>
    </row>
    <row r="341" ht="14.25" customHeight="1">
      <c r="A341" s="143"/>
      <c r="B341" s="143"/>
      <c r="C341" s="125"/>
      <c r="D341" s="126"/>
      <c r="E341" s="144"/>
      <c r="F341" s="145"/>
      <c r="G341" s="183"/>
      <c r="H341" s="140"/>
      <c r="I341" s="183"/>
      <c r="J341" s="131"/>
      <c r="K341" s="89"/>
      <c r="L341" s="89"/>
      <c r="M341" s="89"/>
      <c r="N341" s="89"/>
      <c r="O341" s="89"/>
      <c r="P341" s="89"/>
      <c r="Q341" s="89"/>
      <c r="R341" s="89"/>
      <c r="S341" s="89"/>
      <c r="T341" s="89"/>
      <c r="U341" s="89"/>
      <c r="V341" s="89"/>
      <c r="W341" s="89"/>
      <c r="X341" s="89"/>
      <c r="Y341" s="89"/>
      <c r="Z341" s="89"/>
      <c r="AA341" s="89"/>
    </row>
    <row r="342" ht="14.25" customHeight="1">
      <c r="A342" s="143"/>
      <c r="B342" s="143"/>
      <c r="C342" s="125"/>
      <c r="D342" s="126"/>
      <c r="E342" s="144"/>
      <c r="F342" s="145"/>
      <c r="G342" s="183"/>
      <c r="H342" s="140"/>
      <c r="I342" s="183"/>
      <c r="J342" s="131"/>
      <c r="K342" s="89"/>
      <c r="L342" s="89"/>
      <c r="M342" s="89"/>
      <c r="N342" s="89"/>
      <c r="O342" s="89"/>
      <c r="P342" s="89"/>
      <c r="Q342" s="89"/>
      <c r="R342" s="89"/>
      <c r="S342" s="89"/>
      <c r="T342" s="89"/>
      <c r="U342" s="89"/>
      <c r="V342" s="89"/>
      <c r="W342" s="89"/>
      <c r="X342" s="89"/>
      <c r="Y342" s="89"/>
      <c r="Z342" s="89"/>
      <c r="AA342" s="89"/>
    </row>
    <row r="343" ht="14.25" customHeight="1">
      <c r="A343" s="143"/>
      <c r="B343" s="143"/>
      <c r="C343" s="125"/>
      <c r="D343" s="126"/>
      <c r="E343" s="144"/>
      <c r="F343" s="145"/>
      <c r="G343" s="183"/>
      <c r="H343" s="140"/>
      <c r="I343" s="183"/>
      <c r="J343" s="131"/>
      <c r="K343" s="89"/>
      <c r="L343" s="89"/>
      <c r="M343" s="89"/>
      <c r="N343" s="89"/>
      <c r="O343" s="89"/>
      <c r="P343" s="89"/>
      <c r="Q343" s="89"/>
      <c r="R343" s="89"/>
      <c r="S343" s="89"/>
      <c r="T343" s="89"/>
      <c r="U343" s="89"/>
      <c r="V343" s="89"/>
      <c r="W343" s="89"/>
      <c r="X343" s="89"/>
      <c r="Y343" s="89"/>
      <c r="Z343" s="89"/>
      <c r="AA343" s="89"/>
    </row>
    <row r="344" ht="14.25" customHeight="1">
      <c r="A344" s="143"/>
      <c r="B344" s="143"/>
      <c r="C344" s="125"/>
      <c r="D344" s="126"/>
      <c r="E344" s="144"/>
      <c r="F344" s="145"/>
      <c r="G344" s="183"/>
      <c r="H344" s="140"/>
      <c r="I344" s="183"/>
      <c r="J344" s="131"/>
      <c r="K344" s="89"/>
      <c r="L344" s="89"/>
      <c r="M344" s="89"/>
      <c r="N344" s="89"/>
      <c r="O344" s="89"/>
      <c r="P344" s="89"/>
      <c r="Q344" s="89"/>
      <c r="R344" s="89"/>
      <c r="S344" s="89"/>
      <c r="T344" s="89"/>
      <c r="U344" s="89"/>
      <c r="V344" s="89"/>
      <c r="W344" s="89"/>
      <c r="X344" s="89"/>
      <c r="Y344" s="89"/>
      <c r="Z344" s="89"/>
      <c r="AA344" s="89"/>
    </row>
    <row r="345" ht="14.25" customHeight="1">
      <c r="A345" s="143"/>
      <c r="B345" s="143"/>
      <c r="C345" s="125"/>
      <c r="D345" s="126"/>
      <c r="E345" s="144"/>
      <c r="F345" s="145"/>
      <c r="G345" s="183"/>
      <c r="H345" s="140"/>
      <c r="I345" s="183"/>
      <c r="J345" s="131"/>
      <c r="K345" s="89"/>
      <c r="L345" s="89"/>
      <c r="M345" s="89"/>
      <c r="N345" s="89"/>
      <c r="O345" s="89"/>
      <c r="P345" s="89"/>
      <c r="Q345" s="89"/>
      <c r="R345" s="89"/>
      <c r="S345" s="89"/>
      <c r="T345" s="89"/>
      <c r="U345" s="89"/>
      <c r="V345" s="89"/>
      <c r="W345" s="89"/>
      <c r="X345" s="89"/>
      <c r="Y345" s="89"/>
      <c r="Z345" s="89"/>
      <c r="AA345" s="89"/>
    </row>
    <row r="346" ht="14.25" customHeight="1">
      <c r="A346" s="143"/>
      <c r="B346" s="143"/>
      <c r="C346" s="125"/>
      <c r="D346" s="126"/>
      <c r="E346" s="144"/>
      <c r="F346" s="145"/>
      <c r="G346" s="183"/>
      <c r="H346" s="140"/>
      <c r="I346" s="183"/>
      <c r="J346" s="131"/>
      <c r="K346" s="89"/>
      <c r="L346" s="89"/>
      <c r="M346" s="89"/>
      <c r="N346" s="89"/>
      <c r="O346" s="89"/>
      <c r="P346" s="89"/>
      <c r="Q346" s="89"/>
      <c r="R346" s="89"/>
      <c r="S346" s="89"/>
      <c r="T346" s="89"/>
      <c r="U346" s="89"/>
      <c r="V346" s="89"/>
      <c r="W346" s="89"/>
      <c r="X346" s="89"/>
      <c r="Y346" s="89"/>
      <c r="Z346" s="89"/>
      <c r="AA346" s="89"/>
    </row>
    <row r="347" ht="14.25" customHeight="1">
      <c r="A347" s="143"/>
      <c r="B347" s="143"/>
      <c r="C347" s="125"/>
      <c r="D347" s="126"/>
      <c r="E347" s="144"/>
      <c r="F347" s="145"/>
      <c r="G347" s="183"/>
      <c r="H347" s="140"/>
      <c r="I347" s="183"/>
      <c r="J347" s="131"/>
      <c r="K347" s="89"/>
      <c r="L347" s="89"/>
      <c r="M347" s="89"/>
      <c r="N347" s="89"/>
      <c r="O347" s="89"/>
      <c r="P347" s="89"/>
      <c r="Q347" s="89"/>
      <c r="R347" s="89"/>
      <c r="S347" s="89"/>
      <c r="T347" s="89"/>
      <c r="U347" s="89"/>
      <c r="V347" s="89"/>
      <c r="W347" s="89"/>
      <c r="X347" s="89"/>
      <c r="Y347" s="89"/>
      <c r="Z347" s="89"/>
      <c r="AA347" s="89"/>
    </row>
    <row r="348" ht="14.25" customHeight="1">
      <c r="A348" s="143"/>
      <c r="B348" s="143"/>
      <c r="C348" s="125"/>
      <c r="D348" s="126"/>
      <c r="E348" s="144"/>
      <c r="F348" s="145"/>
      <c r="G348" s="183"/>
      <c r="H348" s="140"/>
      <c r="I348" s="183"/>
      <c r="J348" s="131"/>
      <c r="K348" s="89"/>
      <c r="L348" s="89"/>
      <c r="M348" s="89"/>
      <c r="N348" s="89"/>
      <c r="O348" s="89"/>
      <c r="P348" s="89"/>
      <c r="Q348" s="89"/>
      <c r="R348" s="89"/>
      <c r="S348" s="89"/>
      <c r="T348" s="89"/>
      <c r="U348" s="89"/>
      <c r="V348" s="89"/>
      <c r="W348" s="89"/>
      <c r="X348" s="89"/>
      <c r="Y348" s="89"/>
      <c r="Z348" s="89"/>
      <c r="AA348" s="89"/>
    </row>
    <row r="349" ht="14.25" customHeight="1">
      <c r="A349" s="143"/>
      <c r="B349" s="143"/>
      <c r="C349" s="125"/>
      <c r="D349" s="126"/>
      <c r="E349" s="144"/>
      <c r="F349" s="145"/>
      <c r="G349" s="183"/>
      <c r="H349" s="140"/>
      <c r="I349" s="183"/>
      <c r="J349" s="131"/>
      <c r="K349" s="89"/>
      <c r="L349" s="89"/>
      <c r="M349" s="89"/>
      <c r="N349" s="89"/>
      <c r="O349" s="89"/>
      <c r="P349" s="89"/>
      <c r="Q349" s="89"/>
      <c r="R349" s="89"/>
      <c r="S349" s="89"/>
      <c r="T349" s="89"/>
      <c r="U349" s="89"/>
      <c r="V349" s="89"/>
      <c r="W349" s="89"/>
      <c r="X349" s="89"/>
      <c r="Y349" s="89"/>
      <c r="Z349" s="89"/>
      <c r="AA349" s="89"/>
    </row>
    <row r="350" ht="14.25" customHeight="1">
      <c r="A350" s="151"/>
      <c r="B350" s="151"/>
      <c r="C350" s="125"/>
      <c r="D350" s="126"/>
      <c r="E350" s="144"/>
      <c r="F350" s="145"/>
      <c r="G350" s="183"/>
      <c r="H350" s="140"/>
      <c r="I350" s="183"/>
      <c r="J350" s="131"/>
      <c r="K350" s="89"/>
      <c r="L350" s="89"/>
      <c r="M350" s="89"/>
      <c r="N350" s="89"/>
      <c r="O350" s="89"/>
      <c r="P350" s="89"/>
      <c r="Q350" s="89"/>
      <c r="R350" s="89"/>
      <c r="S350" s="89"/>
      <c r="T350" s="89"/>
      <c r="U350" s="89"/>
      <c r="V350" s="89"/>
      <c r="W350" s="89"/>
      <c r="X350" s="89"/>
      <c r="Y350" s="89"/>
      <c r="Z350" s="89"/>
      <c r="AA350" s="89"/>
    </row>
    <row r="351" ht="14.25" customHeight="1">
      <c r="A351" s="143"/>
      <c r="B351" s="143"/>
      <c r="C351" s="125"/>
      <c r="D351" s="126"/>
      <c r="E351" s="144"/>
      <c r="F351" s="145"/>
      <c r="G351" s="183"/>
      <c r="H351" s="140"/>
      <c r="I351" s="183"/>
      <c r="J351" s="131"/>
      <c r="K351" s="89"/>
      <c r="L351" s="89"/>
      <c r="M351" s="89"/>
      <c r="N351" s="89"/>
      <c r="O351" s="89"/>
      <c r="P351" s="89"/>
      <c r="Q351" s="89"/>
      <c r="R351" s="89"/>
      <c r="S351" s="89"/>
      <c r="T351" s="89"/>
      <c r="U351" s="89"/>
      <c r="V351" s="89"/>
      <c r="W351" s="89"/>
      <c r="X351" s="89"/>
      <c r="Y351" s="89"/>
      <c r="Z351" s="89"/>
      <c r="AA351" s="89"/>
    </row>
    <row r="352" ht="14.25" customHeight="1">
      <c r="A352" s="143"/>
      <c r="B352" s="143"/>
      <c r="C352" s="125"/>
      <c r="D352" s="126"/>
      <c r="E352" s="144"/>
      <c r="F352" s="145"/>
      <c r="G352" s="183"/>
      <c r="H352" s="140"/>
      <c r="I352" s="183"/>
      <c r="J352" s="131"/>
      <c r="K352" s="89"/>
      <c r="L352" s="89"/>
      <c r="M352" s="89"/>
      <c r="N352" s="89"/>
      <c r="O352" s="89"/>
      <c r="P352" s="89"/>
      <c r="Q352" s="89"/>
      <c r="R352" s="89"/>
      <c r="S352" s="89"/>
      <c r="T352" s="89"/>
      <c r="U352" s="89"/>
      <c r="V352" s="89"/>
      <c r="W352" s="89"/>
      <c r="X352" s="89"/>
      <c r="Y352" s="89"/>
      <c r="Z352" s="89"/>
      <c r="AA352" s="89"/>
    </row>
    <row r="353" ht="14.25" customHeight="1">
      <c r="A353" s="143"/>
      <c r="B353" s="143"/>
      <c r="C353" s="125"/>
      <c r="D353" s="126"/>
      <c r="E353" s="144"/>
      <c r="F353" s="145"/>
      <c r="G353" s="183"/>
      <c r="H353" s="140"/>
      <c r="I353" s="183"/>
      <c r="J353" s="131"/>
      <c r="K353" s="89"/>
      <c r="L353" s="89"/>
      <c r="M353" s="89"/>
      <c r="N353" s="89"/>
      <c r="O353" s="89"/>
      <c r="P353" s="89"/>
      <c r="Q353" s="89"/>
      <c r="R353" s="89"/>
      <c r="S353" s="89"/>
      <c r="T353" s="89"/>
      <c r="U353" s="89"/>
      <c r="V353" s="89"/>
      <c r="W353" s="89"/>
      <c r="X353" s="89"/>
      <c r="Y353" s="89"/>
      <c r="Z353" s="89"/>
      <c r="AA353" s="89"/>
    </row>
    <row r="354" ht="14.25" customHeight="1">
      <c r="A354" s="143"/>
      <c r="B354" s="143"/>
      <c r="C354" s="125"/>
      <c r="D354" s="126"/>
      <c r="E354" s="144"/>
      <c r="F354" s="145"/>
      <c r="G354" s="183"/>
      <c r="H354" s="140"/>
      <c r="I354" s="183"/>
      <c r="J354" s="131"/>
      <c r="K354" s="89"/>
      <c r="L354" s="89"/>
      <c r="M354" s="89"/>
      <c r="N354" s="89"/>
      <c r="O354" s="89"/>
      <c r="P354" s="89"/>
      <c r="Q354" s="89"/>
      <c r="R354" s="89"/>
      <c r="S354" s="89"/>
      <c r="T354" s="89"/>
      <c r="U354" s="89"/>
      <c r="V354" s="89"/>
      <c r="W354" s="89"/>
      <c r="X354" s="89"/>
      <c r="Y354" s="89"/>
      <c r="Z354" s="89"/>
      <c r="AA354" s="89"/>
    </row>
    <row r="355" ht="14.25" customHeight="1">
      <c r="A355" s="143"/>
      <c r="B355" s="143"/>
      <c r="C355" s="125"/>
      <c r="D355" s="126"/>
      <c r="E355" s="144"/>
      <c r="F355" s="145"/>
      <c r="G355" s="183"/>
      <c r="H355" s="140"/>
      <c r="I355" s="183"/>
      <c r="J355" s="131"/>
      <c r="K355" s="89"/>
      <c r="L355" s="89"/>
      <c r="M355" s="89"/>
      <c r="N355" s="89"/>
      <c r="O355" s="89"/>
      <c r="P355" s="89"/>
      <c r="Q355" s="89"/>
      <c r="R355" s="89"/>
      <c r="S355" s="89"/>
      <c r="T355" s="89"/>
      <c r="U355" s="89"/>
      <c r="V355" s="89"/>
      <c r="W355" s="89"/>
      <c r="X355" s="89"/>
      <c r="Y355" s="89"/>
      <c r="Z355" s="89"/>
      <c r="AA355" s="89"/>
    </row>
    <row r="356" ht="14.25" customHeight="1">
      <c r="A356" s="143"/>
      <c r="B356" s="143"/>
      <c r="C356" s="125"/>
      <c r="D356" s="126"/>
      <c r="E356" s="144"/>
      <c r="F356" s="145"/>
      <c r="G356" s="183"/>
      <c r="H356" s="140"/>
      <c r="I356" s="183"/>
      <c r="J356" s="131"/>
      <c r="K356" s="89"/>
      <c r="L356" s="89"/>
      <c r="M356" s="89"/>
      <c r="N356" s="89"/>
      <c r="O356" s="89"/>
      <c r="P356" s="89"/>
      <c r="Q356" s="89"/>
      <c r="R356" s="89"/>
      <c r="S356" s="89"/>
      <c r="T356" s="89"/>
      <c r="U356" s="89"/>
      <c r="V356" s="89"/>
      <c r="W356" s="89"/>
      <c r="X356" s="89"/>
      <c r="Y356" s="89"/>
      <c r="Z356" s="89"/>
      <c r="AA356" s="89"/>
    </row>
    <row r="357" ht="14.25" customHeight="1">
      <c r="A357" s="143"/>
      <c r="B357" s="143"/>
      <c r="C357" s="125"/>
      <c r="D357" s="126"/>
      <c r="E357" s="144"/>
      <c r="F357" s="145"/>
      <c r="G357" s="183"/>
      <c r="H357" s="140"/>
      <c r="I357" s="183"/>
      <c r="J357" s="131"/>
      <c r="K357" s="89"/>
      <c r="L357" s="89"/>
      <c r="M357" s="89"/>
      <c r="N357" s="89"/>
      <c r="O357" s="89"/>
      <c r="P357" s="89"/>
      <c r="Q357" s="89"/>
      <c r="R357" s="89"/>
      <c r="S357" s="89"/>
      <c r="T357" s="89"/>
      <c r="U357" s="89"/>
      <c r="V357" s="89"/>
      <c r="W357" s="89"/>
      <c r="X357" s="89"/>
      <c r="Y357" s="89"/>
      <c r="Z357" s="89"/>
      <c r="AA357" s="89"/>
    </row>
    <row r="358" ht="14.25" customHeight="1">
      <c r="A358" s="143"/>
      <c r="B358" s="143"/>
      <c r="C358" s="125"/>
      <c r="D358" s="126"/>
      <c r="E358" s="144"/>
      <c r="F358" s="145"/>
      <c r="G358" s="183"/>
      <c r="H358" s="140"/>
      <c r="I358" s="183"/>
      <c r="J358" s="131"/>
      <c r="K358" s="89"/>
      <c r="L358" s="89"/>
      <c r="M358" s="89"/>
      <c r="N358" s="89"/>
      <c r="O358" s="89"/>
      <c r="P358" s="89"/>
      <c r="Q358" s="89"/>
      <c r="R358" s="89"/>
      <c r="S358" s="89"/>
      <c r="T358" s="89"/>
      <c r="U358" s="89"/>
      <c r="V358" s="89"/>
      <c r="W358" s="89"/>
      <c r="X358" s="89"/>
      <c r="Y358" s="89"/>
      <c r="Z358" s="89"/>
      <c r="AA358" s="89"/>
    </row>
    <row r="359" ht="14.25" customHeight="1">
      <c r="A359" s="143"/>
      <c r="B359" s="143"/>
      <c r="C359" s="125"/>
      <c r="D359" s="126"/>
      <c r="E359" s="144"/>
      <c r="F359" s="145"/>
      <c r="G359" s="183"/>
      <c r="H359" s="140"/>
      <c r="I359" s="183"/>
      <c r="J359" s="131"/>
      <c r="K359" s="89"/>
      <c r="L359" s="89"/>
      <c r="M359" s="89"/>
      <c r="N359" s="89"/>
      <c r="O359" s="89"/>
      <c r="P359" s="89"/>
      <c r="Q359" s="89"/>
      <c r="R359" s="89"/>
      <c r="S359" s="89"/>
      <c r="T359" s="89"/>
      <c r="U359" s="89"/>
      <c r="V359" s="89"/>
      <c r="W359" s="89"/>
      <c r="X359" s="89"/>
      <c r="Y359" s="89"/>
      <c r="Z359" s="89"/>
      <c r="AA359" s="89"/>
    </row>
    <row r="360" ht="14.25" customHeight="1">
      <c r="A360" s="151"/>
      <c r="B360" s="151"/>
      <c r="C360" s="125"/>
      <c r="D360" s="126"/>
      <c r="E360" s="144"/>
      <c r="F360" s="145"/>
      <c r="G360" s="183"/>
      <c r="H360" s="140"/>
      <c r="I360" s="183"/>
      <c r="J360" s="131"/>
      <c r="K360" s="89"/>
      <c r="L360" s="89"/>
      <c r="M360" s="89"/>
      <c r="N360" s="89"/>
      <c r="O360" s="89"/>
      <c r="P360" s="89"/>
      <c r="Q360" s="89"/>
      <c r="R360" s="89"/>
      <c r="S360" s="89"/>
      <c r="T360" s="89"/>
      <c r="U360" s="89"/>
      <c r="V360" s="89"/>
      <c r="W360" s="89"/>
      <c r="X360" s="89"/>
      <c r="Y360" s="89"/>
      <c r="Z360" s="89"/>
      <c r="AA360" s="89"/>
    </row>
    <row r="361" ht="14.25" customHeight="1">
      <c r="A361" s="143"/>
      <c r="B361" s="143"/>
      <c r="C361" s="125"/>
      <c r="D361" s="126"/>
      <c r="E361" s="144"/>
      <c r="F361" s="145"/>
      <c r="G361" s="183"/>
      <c r="H361" s="140"/>
      <c r="I361" s="183"/>
      <c r="J361" s="131"/>
      <c r="K361" s="89"/>
      <c r="L361" s="89"/>
      <c r="M361" s="89"/>
      <c r="N361" s="89"/>
      <c r="O361" s="89"/>
      <c r="P361" s="89"/>
      <c r="Q361" s="89"/>
      <c r="R361" s="89"/>
      <c r="S361" s="89"/>
      <c r="T361" s="89"/>
      <c r="U361" s="89"/>
      <c r="V361" s="89"/>
      <c r="W361" s="89"/>
      <c r="X361" s="89"/>
      <c r="Y361" s="89"/>
      <c r="Z361" s="89"/>
      <c r="AA361" s="89"/>
    </row>
    <row r="362" ht="14.25" customHeight="1">
      <c r="A362" s="143"/>
      <c r="B362" s="143"/>
      <c r="C362" s="125"/>
      <c r="D362" s="126"/>
      <c r="E362" s="144"/>
      <c r="F362" s="145"/>
      <c r="G362" s="183"/>
      <c r="H362" s="140"/>
      <c r="I362" s="183"/>
      <c r="J362" s="131"/>
      <c r="K362" s="89"/>
      <c r="L362" s="89"/>
      <c r="M362" s="89"/>
      <c r="N362" s="89"/>
      <c r="O362" s="89"/>
      <c r="P362" s="89"/>
      <c r="Q362" s="89"/>
      <c r="R362" s="89"/>
      <c r="S362" s="89"/>
      <c r="T362" s="89"/>
      <c r="U362" s="89"/>
      <c r="V362" s="89"/>
      <c r="W362" s="89"/>
      <c r="X362" s="89"/>
      <c r="Y362" s="89"/>
      <c r="Z362" s="89"/>
      <c r="AA362" s="89"/>
    </row>
    <row r="363" ht="14.25" customHeight="1">
      <c r="A363" s="143"/>
      <c r="B363" s="143"/>
      <c r="C363" s="125"/>
      <c r="D363" s="126"/>
      <c r="E363" s="144"/>
      <c r="F363" s="145"/>
      <c r="G363" s="183"/>
      <c r="H363" s="140"/>
      <c r="I363" s="183"/>
      <c r="J363" s="131"/>
      <c r="K363" s="89"/>
      <c r="L363" s="89"/>
      <c r="M363" s="89"/>
      <c r="N363" s="89"/>
      <c r="O363" s="89"/>
      <c r="P363" s="89"/>
      <c r="Q363" s="89"/>
      <c r="R363" s="89"/>
      <c r="S363" s="89"/>
      <c r="T363" s="89"/>
      <c r="U363" s="89"/>
      <c r="V363" s="89"/>
      <c r="W363" s="89"/>
      <c r="X363" s="89"/>
      <c r="Y363" s="89"/>
      <c r="Z363" s="89"/>
      <c r="AA363" s="89"/>
    </row>
    <row r="364" ht="14.25" customHeight="1">
      <c r="A364" s="143"/>
      <c r="B364" s="143"/>
      <c r="C364" s="125"/>
      <c r="D364" s="126"/>
      <c r="E364" s="144"/>
      <c r="F364" s="145"/>
      <c r="G364" s="183"/>
      <c r="H364" s="140"/>
      <c r="I364" s="183"/>
      <c r="J364" s="131"/>
      <c r="K364" s="89"/>
      <c r="L364" s="89"/>
      <c r="M364" s="89"/>
      <c r="N364" s="89"/>
      <c r="O364" s="89"/>
      <c r="P364" s="89"/>
      <c r="Q364" s="89"/>
      <c r="R364" s="89"/>
      <c r="S364" s="89"/>
      <c r="T364" s="89"/>
      <c r="U364" s="89"/>
      <c r="V364" s="89"/>
      <c r="W364" s="89"/>
      <c r="X364" s="89"/>
      <c r="Y364" s="89"/>
      <c r="Z364" s="89"/>
      <c r="AA364" s="89"/>
    </row>
    <row r="365" ht="14.25" customHeight="1">
      <c r="A365" s="143"/>
      <c r="B365" s="143"/>
      <c r="C365" s="125"/>
      <c r="D365" s="126"/>
      <c r="E365" s="144"/>
      <c r="F365" s="145"/>
      <c r="G365" s="183"/>
      <c r="H365" s="140"/>
      <c r="I365" s="183"/>
      <c r="J365" s="131"/>
      <c r="K365" s="89"/>
      <c r="L365" s="89"/>
      <c r="M365" s="89"/>
      <c r="N365" s="89"/>
      <c r="O365" s="89"/>
      <c r="P365" s="89"/>
      <c r="Q365" s="89"/>
      <c r="R365" s="89"/>
      <c r="S365" s="89"/>
      <c r="T365" s="89"/>
      <c r="U365" s="89"/>
      <c r="V365" s="89"/>
      <c r="W365" s="89"/>
      <c r="X365" s="89"/>
      <c r="Y365" s="89"/>
      <c r="Z365" s="89"/>
      <c r="AA365" s="89"/>
    </row>
    <row r="366" ht="14.25" customHeight="1">
      <c r="A366" s="143"/>
      <c r="B366" s="143"/>
      <c r="C366" s="125"/>
      <c r="D366" s="126"/>
      <c r="E366" s="144"/>
      <c r="F366" s="145"/>
      <c r="G366" s="183"/>
      <c r="H366" s="140"/>
      <c r="I366" s="183"/>
      <c r="J366" s="131"/>
      <c r="K366" s="89"/>
      <c r="L366" s="89"/>
      <c r="M366" s="89"/>
      <c r="N366" s="89"/>
      <c r="O366" s="89"/>
      <c r="P366" s="89"/>
      <c r="Q366" s="89"/>
      <c r="R366" s="89"/>
      <c r="S366" s="89"/>
      <c r="T366" s="89"/>
      <c r="U366" s="89"/>
      <c r="V366" s="89"/>
      <c r="W366" s="89"/>
      <c r="X366" s="89"/>
      <c r="Y366" s="89"/>
      <c r="Z366" s="89"/>
      <c r="AA366" s="89"/>
    </row>
    <row r="367" ht="14.25" customHeight="1">
      <c r="A367" s="143"/>
      <c r="B367" s="143"/>
      <c r="C367" s="125"/>
      <c r="D367" s="126"/>
      <c r="E367" s="144"/>
      <c r="F367" s="145"/>
      <c r="G367" s="183"/>
      <c r="H367" s="140"/>
      <c r="I367" s="183"/>
      <c r="J367" s="131"/>
      <c r="K367" s="89"/>
      <c r="L367" s="89"/>
      <c r="M367" s="89"/>
      <c r="N367" s="89"/>
      <c r="O367" s="89"/>
      <c r="P367" s="89"/>
      <c r="Q367" s="89"/>
      <c r="R367" s="89"/>
      <c r="S367" s="89"/>
      <c r="T367" s="89"/>
      <c r="U367" s="89"/>
      <c r="V367" s="89"/>
      <c r="W367" s="89"/>
      <c r="X367" s="89"/>
      <c r="Y367" s="89"/>
      <c r="Z367" s="89"/>
      <c r="AA367" s="89"/>
    </row>
    <row r="368" ht="14.25" customHeight="1">
      <c r="A368" s="143"/>
      <c r="B368" s="143"/>
      <c r="C368" s="125"/>
      <c r="D368" s="126"/>
      <c r="E368" s="144"/>
      <c r="F368" s="145"/>
      <c r="G368" s="183"/>
      <c r="H368" s="140"/>
      <c r="I368" s="183"/>
      <c r="J368" s="131"/>
      <c r="K368" s="89"/>
      <c r="L368" s="89"/>
      <c r="M368" s="89"/>
      <c r="N368" s="89"/>
      <c r="O368" s="89"/>
      <c r="P368" s="89"/>
      <c r="Q368" s="89"/>
      <c r="R368" s="89"/>
      <c r="S368" s="89"/>
      <c r="T368" s="89"/>
      <c r="U368" s="89"/>
      <c r="V368" s="89"/>
      <c r="W368" s="89"/>
      <c r="X368" s="89"/>
      <c r="Y368" s="89"/>
      <c r="Z368" s="89"/>
      <c r="AA368" s="89"/>
    </row>
    <row r="369" ht="14.25" customHeight="1">
      <c r="A369" s="143"/>
      <c r="B369" s="143"/>
      <c r="C369" s="125"/>
      <c r="D369" s="126"/>
      <c r="E369" s="144"/>
      <c r="F369" s="145"/>
      <c r="G369" s="183"/>
      <c r="H369" s="140"/>
      <c r="I369" s="183"/>
      <c r="J369" s="131"/>
      <c r="K369" s="89"/>
      <c r="L369" s="89"/>
      <c r="M369" s="89"/>
      <c r="N369" s="89"/>
      <c r="O369" s="89"/>
      <c r="P369" s="89"/>
      <c r="Q369" s="89"/>
      <c r="R369" s="89"/>
      <c r="S369" s="89"/>
      <c r="T369" s="89"/>
      <c r="U369" s="89"/>
      <c r="V369" s="89"/>
      <c r="W369" s="89"/>
      <c r="X369" s="89"/>
      <c r="Y369" s="89"/>
      <c r="Z369" s="89"/>
      <c r="AA369" s="89"/>
    </row>
    <row r="370" ht="14.25" customHeight="1">
      <c r="A370" s="151"/>
      <c r="B370" s="151"/>
      <c r="C370" s="125"/>
      <c r="D370" s="126"/>
      <c r="E370" s="144"/>
      <c r="F370" s="145"/>
      <c r="G370" s="183"/>
      <c r="H370" s="140"/>
      <c r="I370" s="183"/>
      <c r="J370" s="131"/>
      <c r="K370" s="89"/>
      <c r="L370" s="89"/>
      <c r="M370" s="89"/>
      <c r="N370" s="89"/>
      <c r="O370" s="89"/>
      <c r="P370" s="89"/>
      <c r="Q370" s="89"/>
      <c r="R370" s="89"/>
      <c r="S370" s="89"/>
      <c r="T370" s="89"/>
      <c r="U370" s="89"/>
      <c r="V370" s="89"/>
      <c r="W370" s="89"/>
      <c r="X370" s="89"/>
      <c r="Y370" s="89"/>
      <c r="Z370" s="89"/>
      <c r="AA370" s="89"/>
    </row>
    <row r="371" ht="14.25" customHeight="1">
      <c r="A371" s="143"/>
      <c r="B371" s="143"/>
      <c r="C371" s="125"/>
      <c r="D371" s="126"/>
      <c r="E371" s="144"/>
      <c r="F371" s="145"/>
      <c r="G371" s="183"/>
      <c r="H371" s="140"/>
      <c r="I371" s="183"/>
      <c r="J371" s="131"/>
      <c r="K371" s="89"/>
      <c r="L371" s="89"/>
      <c r="M371" s="89"/>
      <c r="N371" s="89"/>
      <c r="O371" s="89"/>
      <c r="P371" s="89"/>
      <c r="Q371" s="89"/>
      <c r="R371" s="89"/>
      <c r="S371" s="89"/>
      <c r="T371" s="89"/>
      <c r="U371" s="89"/>
      <c r="V371" s="89"/>
      <c r="W371" s="89"/>
      <c r="X371" s="89"/>
      <c r="Y371" s="89"/>
      <c r="Z371" s="89"/>
      <c r="AA371" s="89"/>
    </row>
    <row r="372" ht="14.25" customHeight="1">
      <c r="A372" s="143"/>
      <c r="B372" s="143"/>
      <c r="C372" s="125"/>
      <c r="D372" s="126"/>
      <c r="E372" s="144"/>
      <c r="F372" s="145"/>
      <c r="G372" s="183"/>
      <c r="H372" s="140"/>
      <c r="I372" s="183"/>
      <c r="J372" s="131"/>
      <c r="K372" s="89"/>
      <c r="L372" s="89"/>
      <c r="M372" s="89"/>
      <c r="N372" s="89"/>
      <c r="O372" s="89"/>
      <c r="P372" s="89"/>
      <c r="Q372" s="89"/>
      <c r="R372" s="89"/>
      <c r="S372" s="89"/>
      <c r="T372" s="89"/>
      <c r="U372" s="89"/>
      <c r="V372" s="89"/>
      <c r="W372" s="89"/>
      <c r="X372" s="89"/>
      <c r="Y372" s="89"/>
      <c r="Z372" s="89"/>
      <c r="AA372" s="89"/>
    </row>
    <row r="373" ht="14.25" customHeight="1">
      <c r="A373" s="143"/>
      <c r="B373" s="143"/>
      <c r="C373" s="125"/>
      <c r="D373" s="126"/>
      <c r="E373" s="144"/>
      <c r="F373" s="145"/>
      <c r="G373" s="183"/>
      <c r="H373" s="140"/>
      <c r="I373" s="183"/>
      <c r="J373" s="131"/>
      <c r="K373" s="89"/>
      <c r="L373" s="89"/>
      <c r="M373" s="89"/>
      <c r="N373" s="89"/>
      <c r="O373" s="89"/>
      <c r="P373" s="89"/>
      <c r="Q373" s="89"/>
      <c r="R373" s="89"/>
      <c r="S373" s="89"/>
      <c r="T373" s="89"/>
      <c r="U373" s="89"/>
      <c r="V373" s="89"/>
      <c r="W373" s="89"/>
      <c r="X373" s="89"/>
      <c r="Y373" s="89"/>
      <c r="Z373" s="89"/>
      <c r="AA373" s="89"/>
    </row>
    <row r="374" ht="14.25" customHeight="1">
      <c r="A374" s="143"/>
      <c r="B374" s="143"/>
      <c r="C374" s="125"/>
      <c r="D374" s="126"/>
      <c r="E374" s="144"/>
      <c r="F374" s="145"/>
      <c r="G374" s="183"/>
      <c r="H374" s="140"/>
      <c r="I374" s="183"/>
      <c r="J374" s="131"/>
      <c r="K374" s="89"/>
      <c r="L374" s="89"/>
      <c r="M374" s="89"/>
      <c r="N374" s="89"/>
      <c r="O374" s="89"/>
      <c r="P374" s="89"/>
      <c r="Q374" s="89"/>
      <c r="R374" s="89"/>
      <c r="S374" s="89"/>
      <c r="T374" s="89"/>
      <c r="U374" s="89"/>
      <c r="V374" s="89"/>
      <c r="W374" s="89"/>
      <c r="X374" s="89"/>
      <c r="Y374" s="89"/>
      <c r="Z374" s="89"/>
      <c r="AA374" s="89"/>
    </row>
    <row r="375" ht="14.25" customHeight="1">
      <c r="A375" s="143"/>
      <c r="B375" s="143"/>
      <c r="C375" s="125"/>
      <c r="D375" s="126"/>
      <c r="E375" s="144"/>
      <c r="F375" s="145"/>
      <c r="G375" s="183"/>
      <c r="H375" s="140"/>
      <c r="I375" s="183"/>
      <c r="J375" s="131"/>
      <c r="K375" s="89"/>
      <c r="L375" s="89"/>
      <c r="M375" s="89"/>
      <c r="N375" s="89"/>
      <c r="O375" s="89"/>
      <c r="P375" s="89"/>
      <c r="Q375" s="89"/>
      <c r="R375" s="89"/>
      <c r="S375" s="89"/>
      <c r="T375" s="89"/>
      <c r="U375" s="89"/>
      <c r="V375" s="89"/>
      <c r="W375" s="89"/>
      <c r="X375" s="89"/>
      <c r="Y375" s="89"/>
      <c r="Z375" s="89"/>
      <c r="AA375" s="89"/>
    </row>
    <row r="376" ht="14.25" customHeight="1">
      <c r="A376" s="143"/>
      <c r="B376" s="143"/>
      <c r="C376" s="125"/>
      <c r="D376" s="126"/>
      <c r="E376" s="144"/>
      <c r="F376" s="145"/>
      <c r="G376" s="183"/>
      <c r="H376" s="140"/>
      <c r="I376" s="183"/>
      <c r="J376" s="131"/>
      <c r="K376" s="89"/>
      <c r="L376" s="89"/>
      <c r="M376" s="89"/>
      <c r="N376" s="89"/>
      <c r="O376" s="89"/>
      <c r="P376" s="89"/>
      <c r="Q376" s="89"/>
      <c r="R376" s="89"/>
      <c r="S376" s="89"/>
      <c r="T376" s="89"/>
      <c r="U376" s="89"/>
      <c r="V376" s="89"/>
      <c r="W376" s="89"/>
      <c r="X376" s="89"/>
      <c r="Y376" s="89"/>
      <c r="Z376" s="89"/>
      <c r="AA376" s="89"/>
    </row>
    <row r="377" ht="14.25" customHeight="1">
      <c r="A377" s="143"/>
      <c r="B377" s="143"/>
      <c r="C377" s="125"/>
      <c r="D377" s="126"/>
      <c r="E377" s="144"/>
      <c r="F377" s="145"/>
      <c r="G377" s="183"/>
      <c r="H377" s="140"/>
      <c r="I377" s="183"/>
      <c r="J377" s="131"/>
      <c r="K377" s="89"/>
      <c r="L377" s="89"/>
      <c r="M377" s="89"/>
      <c r="N377" s="89"/>
      <c r="O377" s="89"/>
      <c r="P377" s="89"/>
      <c r="Q377" s="89"/>
      <c r="R377" s="89"/>
      <c r="S377" s="89"/>
      <c r="T377" s="89"/>
      <c r="U377" s="89"/>
      <c r="V377" s="89"/>
      <c r="W377" s="89"/>
      <c r="X377" s="89"/>
      <c r="Y377" s="89"/>
      <c r="Z377" s="89"/>
      <c r="AA377" s="89"/>
    </row>
    <row r="378" ht="14.25" customHeight="1">
      <c r="A378" s="143"/>
      <c r="B378" s="143"/>
      <c r="C378" s="125"/>
      <c r="D378" s="126"/>
      <c r="E378" s="144"/>
      <c r="F378" s="145"/>
      <c r="G378" s="183"/>
      <c r="H378" s="140"/>
      <c r="I378" s="183"/>
      <c r="J378" s="131"/>
      <c r="K378" s="89"/>
      <c r="L378" s="89"/>
      <c r="M378" s="89"/>
      <c r="N378" s="89"/>
      <c r="O378" s="89"/>
      <c r="P378" s="89"/>
      <c r="Q378" s="89"/>
      <c r="R378" s="89"/>
      <c r="S378" s="89"/>
      <c r="T378" s="89"/>
      <c r="U378" s="89"/>
      <c r="V378" s="89"/>
      <c r="W378" s="89"/>
      <c r="X378" s="89"/>
      <c r="Y378" s="89"/>
      <c r="Z378" s="89"/>
      <c r="AA378" s="89"/>
    </row>
    <row r="379" ht="14.25" customHeight="1">
      <c r="A379" s="143"/>
      <c r="B379" s="143"/>
      <c r="C379" s="125"/>
      <c r="D379" s="126"/>
      <c r="E379" s="144"/>
      <c r="F379" s="145"/>
      <c r="G379" s="183"/>
      <c r="H379" s="140"/>
      <c r="I379" s="183"/>
      <c r="J379" s="131"/>
      <c r="K379" s="89"/>
      <c r="L379" s="89"/>
      <c r="M379" s="89"/>
      <c r="N379" s="89"/>
      <c r="O379" s="89"/>
      <c r="P379" s="89"/>
      <c r="Q379" s="89"/>
      <c r="R379" s="89"/>
      <c r="S379" s="89"/>
      <c r="T379" s="89"/>
      <c r="U379" s="89"/>
      <c r="V379" s="89"/>
      <c r="W379" s="89"/>
      <c r="X379" s="89"/>
      <c r="Y379" s="89"/>
      <c r="Z379" s="89"/>
      <c r="AA379" s="89"/>
    </row>
    <row r="380" ht="14.25" customHeight="1">
      <c r="A380" s="151"/>
      <c r="B380" s="151"/>
      <c r="C380" s="125"/>
      <c r="D380" s="126"/>
      <c r="E380" s="144"/>
      <c r="F380" s="145"/>
      <c r="G380" s="183"/>
      <c r="H380" s="140"/>
      <c r="I380" s="183"/>
      <c r="J380" s="131"/>
      <c r="K380" s="89"/>
      <c r="L380" s="89"/>
      <c r="M380" s="89"/>
      <c r="N380" s="89"/>
      <c r="O380" s="89"/>
      <c r="P380" s="89"/>
      <c r="Q380" s="89"/>
      <c r="R380" s="89"/>
      <c r="S380" s="89"/>
      <c r="T380" s="89"/>
      <c r="U380" s="89"/>
      <c r="V380" s="89"/>
      <c r="W380" s="89"/>
      <c r="X380" s="89"/>
      <c r="Y380" s="89"/>
      <c r="Z380" s="89"/>
      <c r="AA380" s="89"/>
    </row>
    <row r="381" ht="14.25" customHeight="1">
      <c r="A381" s="143"/>
      <c r="B381" s="143"/>
      <c r="C381" s="125"/>
      <c r="D381" s="126"/>
      <c r="E381" s="144"/>
      <c r="F381" s="145"/>
      <c r="G381" s="183"/>
      <c r="H381" s="140"/>
      <c r="I381" s="183"/>
      <c r="J381" s="131"/>
      <c r="K381" s="89"/>
      <c r="L381" s="89"/>
      <c r="M381" s="89"/>
      <c r="N381" s="89"/>
      <c r="O381" s="89"/>
      <c r="P381" s="89"/>
      <c r="Q381" s="89"/>
      <c r="R381" s="89"/>
      <c r="S381" s="89"/>
      <c r="T381" s="89"/>
      <c r="U381" s="89"/>
      <c r="V381" s="89"/>
      <c r="W381" s="89"/>
      <c r="X381" s="89"/>
      <c r="Y381" s="89"/>
      <c r="Z381" s="89"/>
      <c r="AA381" s="89"/>
    </row>
    <row r="382" ht="14.25" customHeight="1">
      <c r="A382" s="143"/>
      <c r="B382" s="143"/>
      <c r="C382" s="125"/>
      <c r="D382" s="126"/>
      <c r="E382" s="144"/>
      <c r="F382" s="145"/>
      <c r="G382" s="183"/>
      <c r="H382" s="140"/>
      <c r="I382" s="183"/>
      <c r="J382" s="131"/>
      <c r="K382" s="89"/>
      <c r="L382" s="89"/>
      <c r="M382" s="89"/>
      <c r="N382" s="89"/>
      <c r="O382" s="89"/>
      <c r="P382" s="89"/>
      <c r="Q382" s="89"/>
      <c r="R382" s="89"/>
      <c r="S382" s="89"/>
      <c r="T382" s="89"/>
      <c r="U382" s="89"/>
      <c r="V382" s="89"/>
      <c r="W382" s="89"/>
      <c r="X382" s="89"/>
      <c r="Y382" s="89"/>
      <c r="Z382" s="89"/>
      <c r="AA382" s="89"/>
    </row>
    <row r="383" ht="14.25" customHeight="1">
      <c r="A383" s="143"/>
      <c r="B383" s="143"/>
      <c r="C383" s="125"/>
      <c r="D383" s="126"/>
      <c r="E383" s="144"/>
      <c r="F383" s="145"/>
      <c r="G383" s="183"/>
      <c r="H383" s="140"/>
      <c r="I383" s="183"/>
      <c r="J383" s="131"/>
      <c r="K383" s="89"/>
      <c r="L383" s="89"/>
      <c r="M383" s="89"/>
      <c r="N383" s="89"/>
      <c r="O383" s="89"/>
      <c r="P383" s="89"/>
      <c r="Q383" s="89"/>
      <c r="R383" s="89"/>
      <c r="S383" s="89"/>
      <c r="T383" s="89"/>
      <c r="U383" s="89"/>
      <c r="V383" s="89"/>
      <c r="W383" s="89"/>
      <c r="X383" s="89"/>
      <c r="Y383" s="89"/>
      <c r="Z383" s="89"/>
      <c r="AA383" s="89"/>
    </row>
    <row r="384" ht="14.25" customHeight="1">
      <c r="A384" s="143"/>
      <c r="B384" s="143"/>
      <c r="C384" s="125"/>
      <c r="D384" s="126"/>
      <c r="E384" s="144"/>
      <c r="F384" s="145"/>
      <c r="G384" s="183"/>
      <c r="H384" s="140"/>
      <c r="I384" s="183"/>
      <c r="J384" s="131"/>
      <c r="K384" s="89"/>
      <c r="L384" s="89"/>
      <c r="M384" s="89"/>
      <c r="N384" s="89"/>
      <c r="O384" s="89"/>
      <c r="P384" s="89"/>
      <c r="Q384" s="89"/>
      <c r="R384" s="89"/>
      <c r="S384" s="89"/>
      <c r="T384" s="89"/>
      <c r="U384" s="89"/>
      <c r="V384" s="89"/>
      <c r="W384" s="89"/>
      <c r="X384" s="89"/>
      <c r="Y384" s="89"/>
      <c r="Z384" s="89"/>
      <c r="AA384" s="89"/>
    </row>
    <row r="385" ht="14.25" customHeight="1">
      <c r="A385" s="143"/>
      <c r="B385" s="143"/>
      <c r="C385" s="125"/>
      <c r="D385" s="126"/>
      <c r="E385" s="144"/>
      <c r="F385" s="145"/>
      <c r="G385" s="183"/>
      <c r="H385" s="140"/>
      <c r="I385" s="183"/>
      <c r="J385" s="131"/>
      <c r="K385" s="89"/>
      <c r="L385" s="89"/>
      <c r="M385" s="89"/>
      <c r="N385" s="89"/>
      <c r="O385" s="89"/>
      <c r="P385" s="89"/>
      <c r="Q385" s="89"/>
      <c r="R385" s="89"/>
      <c r="S385" s="89"/>
      <c r="T385" s="89"/>
      <c r="U385" s="89"/>
      <c r="V385" s="89"/>
      <c r="W385" s="89"/>
      <c r="X385" s="89"/>
      <c r="Y385" s="89"/>
      <c r="Z385" s="89"/>
      <c r="AA385" s="89"/>
    </row>
    <row r="386" ht="14.25" customHeight="1">
      <c r="A386" s="143"/>
      <c r="B386" s="143"/>
      <c r="C386" s="125"/>
      <c r="D386" s="126"/>
      <c r="E386" s="144"/>
      <c r="F386" s="145"/>
      <c r="G386" s="183"/>
      <c r="H386" s="140"/>
      <c r="I386" s="183"/>
      <c r="J386" s="131"/>
      <c r="K386" s="89"/>
      <c r="L386" s="89"/>
      <c r="M386" s="89"/>
      <c r="N386" s="89"/>
      <c r="O386" s="89"/>
      <c r="P386" s="89"/>
      <c r="Q386" s="89"/>
      <c r="R386" s="89"/>
      <c r="S386" s="89"/>
      <c r="T386" s="89"/>
      <c r="U386" s="89"/>
      <c r="V386" s="89"/>
      <c r="W386" s="89"/>
      <c r="X386" s="89"/>
      <c r="Y386" s="89"/>
      <c r="Z386" s="89"/>
      <c r="AA386" s="89"/>
    </row>
    <row r="387" ht="14.25" customHeight="1">
      <c r="A387" s="143"/>
      <c r="B387" s="143"/>
      <c r="C387" s="125"/>
      <c r="D387" s="126"/>
      <c r="E387" s="144"/>
      <c r="F387" s="145"/>
      <c r="G387" s="183"/>
      <c r="H387" s="140"/>
      <c r="I387" s="183"/>
      <c r="J387" s="131"/>
      <c r="K387" s="89"/>
      <c r="L387" s="89"/>
      <c r="M387" s="89"/>
      <c r="N387" s="89"/>
      <c r="O387" s="89"/>
      <c r="P387" s="89"/>
      <c r="Q387" s="89"/>
      <c r="R387" s="89"/>
      <c r="S387" s="89"/>
      <c r="T387" s="89"/>
      <c r="U387" s="89"/>
      <c r="V387" s="89"/>
      <c r="W387" s="89"/>
      <c r="X387" s="89"/>
      <c r="Y387" s="89"/>
      <c r="Z387" s="89"/>
      <c r="AA387" s="89"/>
    </row>
    <row r="388" ht="14.25" customHeight="1">
      <c r="A388" s="143"/>
      <c r="B388" s="143"/>
      <c r="C388" s="125"/>
      <c r="D388" s="126"/>
      <c r="E388" s="144"/>
      <c r="F388" s="145"/>
      <c r="G388" s="183"/>
      <c r="H388" s="140"/>
      <c r="I388" s="183"/>
      <c r="J388" s="131"/>
      <c r="K388" s="89"/>
      <c r="L388" s="89"/>
      <c r="M388" s="89"/>
      <c r="N388" s="89"/>
      <c r="O388" s="89"/>
      <c r="P388" s="89"/>
      <c r="Q388" s="89"/>
      <c r="R388" s="89"/>
      <c r="S388" s="89"/>
      <c r="T388" s="89"/>
      <c r="U388" s="89"/>
      <c r="V388" s="89"/>
      <c r="W388" s="89"/>
      <c r="X388" s="89"/>
      <c r="Y388" s="89"/>
      <c r="Z388" s="89"/>
      <c r="AA388" s="89"/>
    </row>
    <row r="389" ht="14.25" customHeight="1">
      <c r="A389" s="143"/>
      <c r="B389" s="143"/>
      <c r="C389" s="125"/>
      <c r="D389" s="126"/>
      <c r="E389" s="144"/>
      <c r="F389" s="145"/>
      <c r="G389" s="183"/>
      <c r="H389" s="140"/>
      <c r="I389" s="183"/>
      <c r="J389" s="131"/>
      <c r="K389" s="89"/>
      <c r="L389" s="89"/>
      <c r="M389" s="89"/>
      <c r="N389" s="89"/>
      <c r="O389" s="89"/>
      <c r="P389" s="89"/>
      <c r="Q389" s="89"/>
      <c r="R389" s="89"/>
      <c r="S389" s="89"/>
      <c r="T389" s="89"/>
      <c r="U389" s="89"/>
      <c r="V389" s="89"/>
      <c r="W389" s="89"/>
      <c r="X389" s="89"/>
      <c r="Y389" s="89"/>
      <c r="Z389" s="89"/>
      <c r="AA389" s="89"/>
    </row>
    <row r="390" ht="14.25" customHeight="1">
      <c r="A390" s="151"/>
      <c r="B390" s="151"/>
      <c r="C390" s="125"/>
      <c r="D390" s="126"/>
      <c r="E390" s="144"/>
      <c r="F390" s="145"/>
      <c r="G390" s="183"/>
      <c r="H390" s="140"/>
      <c r="I390" s="183"/>
      <c r="J390" s="131"/>
      <c r="K390" s="89"/>
      <c r="L390" s="89"/>
      <c r="M390" s="89"/>
      <c r="N390" s="89"/>
      <c r="O390" s="89"/>
      <c r="P390" s="89"/>
      <c r="Q390" s="89"/>
      <c r="R390" s="89"/>
      <c r="S390" s="89"/>
      <c r="T390" s="89"/>
      <c r="U390" s="89"/>
      <c r="V390" s="89"/>
      <c r="W390" s="89"/>
      <c r="X390" s="89"/>
      <c r="Y390" s="89"/>
      <c r="Z390" s="89"/>
      <c r="AA390" s="89"/>
    </row>
    <row r="391" ht="14.25" customHeight="1">
      <c r="A391" s="143"/>
      <c r="B391" s="143"/>
      <c r="C391" s="125"/>
      <c r="D391" s="126"/>
      <c r="E391" s="144"/>
      <c r="F391" s="145"/>
      <c r="G391" s="183"/>
      <c r="H391" s="140"/>
      <c r="I391" s="183"/>
      <c r="J391" s="131"/>
      <c r="K391" s="89"/>
      <c r="L391" s="89"/>
      <c r="M391" s="89"/>
      <c r="N391" s="89"/>
      <c r="O391" s="89"/>
      <c r="P391" s="89"/>
      <c r="Q391" s="89"/>
      <c r="R391" s="89"/>
      <c r="S391" s="89"/>
      <c r="T391" s="89"/>
      <c r="U391" s="89"/>
      <c r="V391" s="89"/>
      <c r="W391" s="89"/>
      <c r="X391" s="89"/>
      <c r="Y391" s="89"/>
      <c r="Z391" s="89"/>
      <c r="AA391" s="89"/>
    </row>
    <row r="392" ht="14.25" customHeight="1">
      <c r="A392" s="143"/>
      <c r="B392" s="143"/>
      <c r="C392" s="125"/>
      <c r="D392" s="126"/>
      <c r="E392" s="144"/>
      <c r="F392" s="145"/>
      <c r="G392" s="183"/>
      <c r="H392" s="140"/>
      <c r="I392" s="183"/>
      <c r="J392" s="131"/>
      <c r="K392" s="89"/>
      <c r="L392" s="89"/>
      <c r="M392" s="89"/>
      <c r="N392" s="89"/>
      <c r="O392" s="89"/>
      <c r="P392" s="89"/>
      <c r="Q392" s="89"/>
      <c r="R392" s="89"/>
      <c r="S392" s="89"/>
      <c r="T392" s="89"/>
      <c r="U392" s="89"/>
      <c r="V392" s="89"/>
      <c r="W392" s="89"/>
      <c r="X392" s="89"/>
      <c r="Y392" s="89"/>
      <c r="Z392" s="89"/>
      <c r="AA392" s="89"/>
    </row>
    <row r="393" ht="14.25" customHeight="1">
      <c r="A393" s="143"/>
      <c r="B393" s="143"/>
      <c r="C393" s="125"/>
      <c r="D393" s="126"/>
      <c r="E393" s="144"/>
      <c r="F393" s="145"/>
      <c r="G393" s="183"/>
      <c r="H393" s="140"/>
      <c r="I393" s="183"/>
      <c r="J393" s="131"/>
      <c r="K393" s="89"/>
      <c r="L393" s="89"/>
      <c r="M393" s="89"/>
      <c r="N393" s="89"/>
      <c r="O393" s="89"/>
      <c r="P393" s="89"/>
      <c r="Q393" s="89"/>
      <c r="R393" s="89"/>
      <c r="S393" s="89"/>
      <c r="T393" s="89"/>
      <c r="U393" s="89"/>
      <c r="V393" s="89"/>
      <c r="W393" s="89"/>
      <c r="X393" s="89"/>
      <c r="Y393" s="89"/>
      <c r="Z393" s="89"/>
      <c r="AA393" s="89"/>
    </row>
    <row r="394" ht="14.25" customHeight="1">
      <c r="A394" s="143"/>
      <c r="B394" s="143"/>
      <c r="C394" s="125"/>
      <c r="D394" s="126"/>
      <c r="E394" s="144"/>
      <c r="F394" s="145"/>
      <c r="G394" s="183"/>
      <c r="H394" s="140"/>
      <c r="I394" s="183"/>
      <c r="J394" s="131"/>
      <c r="K394" s="89"/>
      <c r="L394" s="89"/>
      <c r="M394" s="89"/>
      <c r="N394" s="89"/>
      <c r="O394" s="89"/>
      <c r="P394" s="89"/>
      <c r="Q394" s="89"/>
      <c r="R394" s="89"/>
      <c r="S394" s="89"/>
      <c r="T394" s="89"/>
      <c r="U394" s="89"/>
      <c r="V394" s="89"/>
      <c r="W394" s="89"/>
      <c r="X394" s="89"/>
      <c r="Y394" s="89"/>
      <c r="Z394" s="89"/>
      <c r="AA394" s="89"/>
    </row>
    <row r="395" ht="14.25" customHeight="1">
      <c r="A395" s="143"/>
      <c r="B395" s="143"/>
      <c r="C395" s="125"/>
      <c r="D395" s="126"/>
      <c r="E395" s="144"/>
      <c r="F395" s="145"/>
      <c r="G395" s="183"/>
      <c r="H395" s="140"/>
      <c r="I395" s="183"/>
      <c r="J395" s="131"/>
      <c r="K395" s="89"/>
      <c r="L395" s="89"/>
      <c r="M395" s="89"/>
      <c r="N395" s="89"/>
      <c r="O395" s="89"/>
      <c r="P395" s="89"/>
      <c r="Q395" s="89"/>
      <c r="R395" s="89"/>
      <c r="S395" s="89"/>
      <c r="T395" s="89"/>
      <c r="U395" s="89"/>
      <c r="V395" s="89"/>
      <c r="W395" s="89"/>
      <c r="X395" s="89"/>
      <c r="Y395" s="89"/>
      <c r="Z395" s="89"/>
      <c r="AA395" s="89"/>
    </row>
    <row r="396" ht="14.25" customHeight="1">
      <c r="A396" s="143"/>
      <c r="B396" s="143"/>
      <c r="C396" s="125"/>
      <c r="D396" s="126"/>
      <c r="E396" s="144"/>
      <c r="F396" s="145"/>
      <c r="G396" s="183"/>
      <c r="H396" s="140"/>
      <c r="I396" s="183"/>
      <c r="J396" s="131"/>
      <c r="K396" s="89"/>
      <c r="L396" s="89"/>
      <c r="M396" s="89"/>
      <c r="N396" s="89"/>
      <c r="O396" s="89"/>
      <c r="P396" s="89"/>
      <c r="Q396" s="89"/>
      <c r="R396" s="89"/>
      <c r="S396" s="89"/>
      <c r="T396" s="89"/>
      <c r="U396" s="89"/>
      <c r="V396" s="89"/>
      <c r="W396" s="89"/>
      <c r="X396" s="89"/>
      <c r="Y396" s="89"/>
      <c r="Z396" s="89"/>
      <c r="AA396" s="89"/>
    </row>
    <row r="397" ht="14.25" customHeight="1">
      <c r="A397" s="143"/>
      <c r="B397" s="143"/>
      <c r="C397" s="125"/>
      <c r="D397" s="126"/>
      <c r="E397" s="144"/>
      <c r="F397" s="145"/>
      <c r="G397" s="183"/>
      <c r="H397" s="140"/>
      <c r="I397" s="183"/>
      <c r="J397" s="131"/>
      <c r="K397" s="89"/>
      <c r="L397" s="89"/>
      <c r="M397" s="89"/>
      <c r="N397" s="89"/>
      <c r="O397" s="89"/>
      <c r="P397" s="89"/>
      <c r="Q397" s="89"/>
      <c r="R397" s="89"/>
      <c r="S397" s="89"/>
      <c r="T397" s="89"/>
      <c r="U397" s="89"/>
      <c r="V397" s="89"/>
      <c r="W397" s="89"/>
      <c r="X397" s="89"/>
      <c r="Y397" s="89"/>
      <c r="Z397" s="89"/>
      <c r="AA397" s="89"/>
    </row>
    <row r="398" ht="14.25" customHeight="1">
      <c r="A398" s="143"/>
      <c r="B398" s="143"/>
      <c r="C398" s="125"/>
      <c r="D398" s="126"/>
      <c r="E398" s="144"/>
      <c r="F398" s="145"/>
      <c r="G398" s="183"/>
      <c r="H398" s="140"/>
      <c r="I398" s="183"/>
      <c r="J398" s="131"/>
      <c r="K398" s="89"/>
      <c r="L398" s="89"/>
      <c r="M398" s="89"/>
      <c r="N398" s="89"/>
      <c r="O398" s="89"/>
      <c r="P398" s="89"/>
      <c r="Q398" s="89"/>
      <c r="R398" s="89"/>
      <c r="S398" s="89"/>
      <c r="T398" s="89"/>
      <c r="U398" s="89"/>
      <c r="V398" s="89"/>
      <c r="W398" s="89"/>
      <c r="X398" s="89"/>
      <c r="Y398" s="89"/>
      <c r="Z398" s="89"/>
      <c r="AA398" s="89"/>
    </row>
    <row r="399" ht="14.25" customHeight="1">
      <c r="A399" s="143"/>
      <c r="B399" s="143"/>
      <c r="C399" s="125"/>
      <c r="D399" s="126"/>
      <c r="E399" s="144"/>
      <c r="F399" s="145"/>
      <c r="G399" s="183"/>
      <c r="H399" s="140"/>
      <c r="I399" s="183"/>
      <c r="J399" s="131"/>
      <c r="K399" s="89"/>
      <c r="L399" s="89"/>
      <c r="M399" s="89"/>
      <c r="N399" s="89"/>
      <c r="O399" s="89"/>
      <c r="P399" s="89"/>
      <c r="Q399" s="89"/>
      <c r="R399" s="89"/>
      <c r="S399" s="89"/>
      <c r="T399" s="89"/>
      <c r="U399" s="89"/>
      <c r="V399" s="89"/>
      <c r="W399" s="89"/>
      <c r="X399" s="89"/>
      <c r="Y399" s="89"/>
      <c r="Z399" s="89"/>
      <c r="AA399" s="89"/>
    </row>
    <row r="400" ht="14.25" customHeight="1">
      <c r="A400" s="151"/>
      <c r="B400" s="151"/>
      <c r="C400" s="125"/>
      <c r="D400" s="126"/>
      <c r="E400" s="144"/>
      <c r="F400" s="145"/>
      <c r="G400" s="183"/>
      <c r="H400" s="140"/>
      <c r="I400" s="183"/>
      <c r="J400" s="131"/>
      <c r="K400" s="89"/>
      <c r="L400" s="89"/>
      <c r="M400" s="89"/>
      <c r="N400" s="89"/>
      <c r="O400" s="89"/>
      <c r="P400" s="89"/>
      <c r="Q400" s="89"/>
      <c r="R400" s="89"/>
      <c r="S400" s="89"/>
      <c r="T400" s="89"/>
      <c r="U400" s="89"/>
      <c r="V400" s="89"/>
      <c r="W400" s="89"/>
      <c r="X400" s="89"/>
      <c r="Y400" s="89"/>
      <c r="Z400" s="89"/>
      <c r="AA400" s="89"/>
    </row>
    <row r="401" ht="14.25" customHeight="1">
      <c r="A401" s="143"/>
      <c r="B401" s="143"/>
      <c r="C401" s="125"/>
      <c r="D401" s="126"/>
      <c r="E401" s="144"/>
      <c r="F401" s="145"/>
      <c r="G401" s="183"/>
      <c r="H401" s="140"/>
      <c r="I401" s="183"/>
      <c r="J401" s="131"/>
      <c r="K401" s="89"/>
      <c r="L401" s="89"/>
      <c r="M401" s="89"/>
      <c r="N401" s="89"/>
      <c r="O401" s="89"/>
      <c r="P401" s="89"/>
      <c r="Q401" s="89"/>
      <c r="R401" s="89"/>
      <c r="S401" s="89"/>
      <c r="T401" s="89"/>
      <c r="U401" s="89"/>
      <c r="V401" s="89"/>
      <c r="W401" s="89"/>
      <c r="X401" s="89"/>
      <c r="Y401" s="89"/>
      <c r="Z401" s="89"/>
      <c r="AA401" s="89"/>
    </row>
    <row r="402" ht="14.25" customHeight="1">
      <c r="A402" s="143"/>
      <c r="B402" s="143"/>
      <c r="C402" s="125"/>
      <c r="D402" s="126"/>
      <c r="E402" s="144"/>
      <c r="F402" s="145"/>
      <c r="G402" s="183"/>
      <c r="H402" s="140"/>
      <c r="I402" s="183"/>
      <c r="J402" s="131"/>
      <c r="K402" s="89"/>
      <c r="L402" s="89"/>
      <c r="M402" s="89"/>
      <c r="N402" s="89"/>
      <c r="O402" s="89"/>
      <c r="P402" s="89"/>
      <c r="Q402" s="89"/>
      <c r="R402" s="89"/>
      <c r="S402" s="89"/>
      <c r="T402" s="89"/>
      <c r="U402" s="89"/>
      <c r="V402" s="89"/>
      <c r="W402" s="89"/>
      <c r="X402" s="89"/>
      <c r="Y402" s="89"/>
      <c r="Z402" s="89"/>
      <c r="AA402" s="89"/>
    </row>
    <row r="403" ht="14.25" customHeight="1">
      <c r="A403" s="143"/>
      <c r="B403" s="143"/>
      <c r="C403" s="125"/>
      <c r="D403" s="126"/>
      <c r="E403" s="144"/>
      <c r="F403" s="145"/>
      <c r="G403" s="183"/>
      <c r="H403" s="140"/>
      <c r="I403" s="183"/>
      <c r="J403" s="131"/>
      <c r="K403" s="89"/>
      <c r="L403" s="89"/>
      <c r="M403" s="89"/>
      <c r="N403" s="89"/>
      <c r="O403" s="89"/>
      <c r="P403" s="89"/>
      <c r="Q403" s="89"/>
      <c r="R403" s="89"/>
      <c r="S403" s="89"/>
      <c r="T403" s="89"/>
      <c r="U403" s="89"/>
      <c r="V403" s="89"/>
      <c r="W403" s="89"/>
      <c r="X403" s="89"/>
      <c r="Y403" s="89"/>
      <c r="Z403" s="89"/>
      <c r="AA403" s="89"/>
    </row>
    <row r="404" ht="14.25" customHeight="1">
      <c r="A404" s="143"/>
      <c r="B404" s="143"/>
      <c r="C404" s="125"/>
      <c r="D404" s="126"/>
      <c r="E404" s="144"/>
      <c r="F404" s="145"/>
      <c r="G404" s="183"/>
      <c r="H404" s="140"/>
      <c r="I404" s="183"/>
      <c r="J404" s="131"/>
      <c r="K404" s="89"/>
      <c r="L404" s="89"/>
      <c r="M404" s="89"/>
      <c r="N404" s="89"/>
      <c r="O404" s="89"/>
      <c r="P404" s="89"/>
      <c r="Q404" s="89"/>
      <c r="R404" s="89"/>
      <c r="S404" s="89"/>
      <c r="T404" s="89"/>
      <c r="U404" s="89"/>
      <c r="V404" s="89"/>
      <c r="W404" s="89"/>
      <c r="X404" s="89"/>
      <c r="Y404" s="89"/>
      <c r="Z404" s="89"/>
      <c r="AA404" s="89"/>
    </row>
    <row r="405" ht="14.25" customHeight="1">
      <c r="A405" s="143"/>
      <c r="B405" s="143"/>
      <c r="C405" s="125"/>
      <c r="D405" s="126"/>
      <c r="E405" s="144"/>
      <c r="F405" s="145"/>
      <c r="G405" s="183"/>
      <c r="H405" s="140"/>
      <c r="I405" s="183"/>
      <c r="J405" s="131"/>
      <c r="K405" s="89"/>
      <c r="L405" s="89"/>
      <c r="M405" s="89"/>
      <c r="N405" s="89"/>
      <c r="O405" s="89"/>
      <c r="P405" s="89"/>
      <c r="Q405" s="89"/>
      <c r="R405" s="89"/>
      <c r="S405" s="89"/>
      <c r="T405" s="89"/>
      <c r="U405" s="89"/>
      <c r="V405" s="89"/>
      <c r="W405" s="89"/>
      <c r="X405" s="89"/>
      <c r="Y405" s="89"/>
      <c r="Z405" s="89"/>
      <c r="AA405" s="89"/>
    </row>
    <row r="406" ht="14.25" customHeight="1">
      <c r="A406" s="143"/>
      <c r="B406" s="143"/>
      <c r="C406" s="125"/>
      <c r="D406" s="126"/>
      <c r="E406" s="144"/>
      <c r="F406" s="145"/>
      <c r="G406" s="183"/>
      <c r="H406" s="140"/>
      <c r="I406" s="183"/>
      <c r="J406" s="131"/>
      <c r="K406" s="89"/>
      <c r="L406" s="89"/>
      <c r="M406" s="89"/>
      <c r="N406" s="89"/>
      <c r="O406" s="89"/>
      <c r="P406" s="89"/>
      <c r="Q406" s="89"/>
      <c r="R406" s="89"/>
      <c r="S406" s="89"/>
      <c r="T406" s="89"/>
      <c r="U406" s="89"/>
      <c r="V406" s="89"/>
      <c r="W406" s="89"/>
      <c r="X406" s="89"/>
      <c r="Y406" s="89"/>
      <c r="Z406" s="89"/>
      <c r="AA406" s="89"/>
    </row>
    <row r="407" ht="14.25" customHeight="1">
      <c r="A407" s="143"/>
      <c r="B407" s="143"/>
      <c r="C407" s="125"/>
      <c r="D407" s="126"/>
      <c r="E407" s="144"/>
      <c r="F407" s="145"/>
      <c r="G407" s="183"/>
      <c r="H407" s="140"/>
      <c r="I407" s="183"/>
      <c r="J407" s="131"/>
      <c r="K407" s="89"/>
      <c r="L407" s="89"/>
      <c r="M407" s="89"/>
      <c r="N407" s="89"/>
      <c r="O407" s="89"/>
      <c r="P407" s="89"/>
      <c r="Q407" s="89"/>
      <c r="R407" s="89"/>
      <c r="S407" s="89"/>
      <c r="T407" s="89"/>
      <c r="U407" s="89"/>
      <c r="V407" s="89"/>
      <c r="W407" s="89"/>
      <c r="X407" s="89"/>
      <c r="Y407" s="89"/>
      <c r="Z407" s="89"/>
      <c r="AA407" s="89"/>
    </row>
    <row r="408" ht="14.25" customHeight="1">
      <c r="A408" s="143"/>
      <c r="B408" s="143"/>
      <c r="C408" s="125"/>
      <c r="D408" s="126"/>
      <c r="E408" s="144"/>
      <c r="F408" s="145"/>
      <c r="G408" s="183"/>
      <c r="H408" s="140"/>
      <c r="I408" s="183"/>
      <c r="J408" s="131"/>
      <c r="K408" s="89"/>
      <c r="L408" s="89"/>
      <c r="M408" s="89"/>
      <c r="N408" s="89"/>
      <c r="O408" s="89"/>
      <c r="P408" s="89"/>
      <c r="Q408" s="89"/>
      <c r="R408" s="89"/>
      <c r="S408" s="89"/>
      <c r="T408" s="89"/>
      <c r="U408" s="89"/>
      <c r="V408" s="89"/>
      <c r="W408" s="89"/>
      <c r="X408" s="89"/>
      <c r="Y408" s="89"/>
      <c r="Z408" s="89"/>
      <c r="AA408" s="89"/>
    </row>
    <row r="409" ht="14.25" customHeight="1">
      <c r="A409" s="143"/>
      <c r="B409" s="143"/>
      <c r="C409" s="125"/>
      <c r="D409" s="126"/>
      <c r="E409" s="144"/>
      <c r="F409" s="145"/>
      <c r="G409" s="183"/>
      <c r="H409" s="140"/>
      <c r="I409" s="183"/>
      <c r="J409" s="131"/>
      <c r="K409" s="89"/>
      <c r="L409" s="89"/>
      <c r="M409" s="89"/>
      <c r="N409" s="89"/>
      <c r="O409" s="89"/>
      <c r="P409" s="89"/>
      <c r="Q409" s="89"/>
      <c r="R409" s="89"/>
      <c r="S409" s="89"/>
      <c r="T409" s="89"/>
      <c r="U409" s="89"/>
      <c r="V409" s="89"/>
      <c r="W409" s="89"/>
      <c r="X409" s="89"/>
      <c r="Y409" s="89"/>
      <c r="Z409" s="89"/>
      <c r="AA409" s="89"/>
    </row>
    <row r="410" ht="14.25" customHeight="1">
      <c r="A410" s="151"/>
      <c r="B410" s="151"/>
      <c r="C410" s="125"/>
      <c r="D410" s="126"/>
      <c r="E410" s="144"/>
      <c r="F410" s="145"/>
      <c r="G410" s="183"/>
      <c r="H410" s="140"/>
      <c r="I410" s="183"/>
      <c r="J410" s="131"/>
      <c r="K410" s="89"/>
      <c r="L410" s="89"/>
      <c r="M410" s="89"/>
      <c r="N410" s="89"/>
      <c r="O410" s="89"/>
      <c r="P410" s="89"/>
      <c r="Q410" s="89"/>
      <c r="R410" s="89"/>
      <c r="S410" s="89"/>
      <c r="T410" s="89"/>
      <c r="U410" s="89"/>
      <c r="V410" s="89"/>
      <c r="W410" s="89"/>
      <c r="X410" s="89"/>
      <c r="Y410" s="89"/>
      <c r="Z410" s="89"/>
      <c r="AA410" s="89"/>
    </row>
    <row r="411" ht="14.25" customHeight="1">
      <c r="A411" s="143"/>
      <c r="B411" s="143"/>
      <c r="C411" s="125"/>
      <c r="D411" s="126"/>
      <c r="E411" s="144"/>
      <c r="F411" s="145"/>
      <c r="G411" s="183"/>
      <c r="H411" s="140"/>
      <c r="I411" s="183"/>
      <c r="J411" s="131"/>
      <c r="K411" s="89"/>
      <c r="L411" s="89"/>
      <c r="M411" s="89"/>
      <c r="N411" s="89"/>
      <c r="O411" s="89"/>
      <c r="P411" s="89"/>
      <c r="Q411" s="89"/>
      <c r="R411" s="89"/>
      <c r="S411" s="89"/>
      <c r="T411" s="89"/>
      <c r="U411" s="89"/>
      <c r="V411" s="89"/>
      <c r="W411" s="89"/>
      <c r="X411" s="89"/>
      <c r="Y411" s="89"/>
      <c r="Z411" s="89"/>
      <c r="AA411" s="89"/>
    </row>
    <row r="412" ht="14.25" customHeight="1">
      <c r="A412" s="143"/>
      <c r="B412" s="143"/>
      <c r="C412" s="125"/>
      <c r="D412" s="126"/>
      <c r="E412" s="144"/>
      <c r="F412" s="145"/>
      <c r="G412" s="183"/>
      <c r="H412" s="140"/>
      <c r="I412" s="183"/>
      <c r="J412" s="131"/>
      <c r="K412" s="89"/>
      <c r="L412" s="89"/>
      <c r="M412" s="89"/>
      <c r="N412" s="89"/>
      <c r="O412" s="89"/>
      <c r="P412" s="89"/>
      <c r="Q412" s="89"/>
      <c r="R412" s="89"/>
      <c r="S412" s="89"/>
      <c r="T412" s="89"/>
      <c r="U412" s="89"/>
      <c r="V412" s="89"/>
      <c r="W412" s="89"/>
      <c r="X412" s="89"/>
      <c r="Y412" s="89"/>
      <c r="Z412" s="89"/>
      <c r="AA412" s="89"/>
    </row>
    <row r="413" ht="14.25" customHeight="1">
      <c r="A413" s="143"/>
      <c r="B413" s="143"/>
      <c r="C413" s="125"/>
      <c r="D413" s="126"/>
      <c r="E413" s="144"/>
      <c r="F413" s="145"/>
      <c r="G413" s="183"/>
      <c r="H413" s="140"/>
      <c r="I413" s="183"/>
      <c r="J413" s="131"/>
      <c r="K413" s="89"/>
      <c r="L413" s="89"/>
      <c r="M413" s="89"/>
      <c r="N413" s="89"/>
      <c r="O413" s="89"/>
      <c r="P413" s="89"/>
      <c r="Q413" s="89"/>
      <c r="R413" s="89"/>
      <c r="S413" s="89"/>
      <c r="T413" s="89"/>
      <c r="U413" s="89"/>
      <c r="V413" s="89"/>
      <c r="W413" s="89"/>
      <c r="X413" s="89"/>
      <c r="Y413" s="89"/>
      <c r="Z413" s="89"/>
      <c r="AA413" s="89"/>
    </row>
    <row r="414" ht="14.25" customHeight="1">
      <c r="A414" s="143"/>
      <c r="B414" s="143"/>
      <c r="C414" s="125"/>
      <c r="D414" s="126"/>
      <c r="E414" s="144"/>
      <c r="F414" s="145"/>
      <c r="G414" s="183"/>
      <c r="H414" s="140"/>
      <c r="I414" s="183"/>
      <c r="J414" s="131"/>
      <c r="K414" s="89"/>
      <c r="L414" s="89"/>
      <c r="M414" s="89"/>
      <c r="N414" s="89"/>
      <c r="O414" s="89"/>
      <c r="P414" s="89"/>
      <c r="Q414" s="89"/>
      <c r="R414" s="89"/>
      <c r="S414" s="89"/>
      <c r="T414" s="89"/>
      <c r="U414" s="89"/>
      <c r="V414" s="89"/>
      <c r="W414" s="89"/>
      <c r="X414" s="89"/>
      <c r="Y414" s="89"/>
      <c r="Z414" s="89"/>
      <c r="AA414" s="89"/>
    </row>
    <row r="415" ht="14.25" customHeight="1">
      <c r="A415" s="143"/>
      <c r="B415" s="143"/>
      <c r="C415" s="125"/>
      <c r="D415" s="126"/>
      <c r="E415" s="144"/>
      <c r="F415" s="145"/>
      <c r="G415" s="183"/>
      <c r="H415" s="140"/>
      <c r="I415" s="183"/>
      <c r="J415" s="131"/>
      <c r="K415" s="89"/>
      <c r="L415" s="89"/>
      <c r="M415" s="89"/>
      <c r="N415" s="89"/>
      <c r="O415" s="89"/>
      <c r="P415" s="89"/>
      <c r="Q415" s="89"/>
      <c r="R415" s="89"/>
      <c r="S415" s="89"/>
      <c r="T415" s="89"/>
      <c r="U415" s="89"/>
      <c r="V415" s="89"/>
      <c r="W415" s="89"/>
      <c r="X415" s="89"/>
      <c r="Y415" s="89"/>
      <c r="Z415" s="89"/>
      <c r="AA415" s="89"/>
    </row>
    <row r="416" ht="14.25" customHeight="1">
      <c r="A416" s="143"/>
      <c r="B416" s="143"/>
      <c r="C416" s="125"/>
      <c r="D416" s="126"/>
      <c r="E416" s="144"/>
      <c r="F416" s="145"/>
      <c r="G416" s="183"/>
      <c r="H416" s="140"/>
      <c r="I416" s="183"/>
      <c r="J416" s="131"/>
      <c r="K416" s="89"/>
      <c r="L416" s="89"/>
      <c r="M416" s="89"/>
      <c r="N416" s="89"/>
      <c r="O416" s="89"/>
      <c r="P416" s="89"/>
      <c r="Q416" s="89"/>
      <c r="R416" s="89"/>
      <c r="S416" s="89"/>
      <c r="T416" s="89"/>
      <c r="U416" s="89"/>
      <c r="V416" s="89"/>
      <c r="W416" s="89"/>
      <c r="X416" s="89"/>
      <c r="Y416" s="89"/>
      <c r="Z416" s="89"/>
      <c r="AA416" s="89"/>
    </row>
    <row r="417" ht="14.25" customHeight="1">
      <c r="A417" s="143"/>
      <c r="B417" s="143"/>
      <c r="C417" s="125"/>
      <c r="D417" s="126"/>
      <c r="E417" s="144"/>
      <c r="F417" s="145"/>
      <c r="G417" s="183"/>
      <c r="H417" s="140"/>
      <c r="I417" s="183"/>
      <c r="J417" s="131"/>
      <c r="K417" s="89"/>
      <c r="L417" s="89"/>
      <c r="M417" s="89"/>
      <c r="N417" s="89"/>
      <c r="O417" s="89"/>
      <c r="P417" s="89"/>
      <c r="Q417" s="89"/>
      <c r="R417" s="89"/>
      <c r="S417" s="89"/>
      <c r="T417" s="89"/>
      <c r="U417" s="89"/>
      <c r="V417" s="89"/>
      <c r="W417" s="89"/>
      <c r="X417" s="89"/>
      <c r="Y417" s="89"/>
      <c r="Z417" s="89"/>
      <c r="AA417" s="89"/>
    </row>
    <row r="418" ht="14.25" customHeight="1">
      <c r="A418" s="143"/>
      <c r="B418" s="143"/>
      <c r="C418" s="125"/>
      <c r="D418" s="126"/>
      <c r="E418" s="144"/>
      <c r="F418" s="145"/>
      <c r="G418" s="183"/>
      <c r="H418" s="140"/>
      <c r="I418" s="183"/>
      <c r="J418" s="131"/>
      <c r="K418" s="89"/>
      <c r="L418" s="89"/>
      <c r="M418" s="89"/>
      <c r="N418" s="89"/>
      <c r="O418" s="89"/>
      <c r="P418" s="89"/>
      <c r="Q418" s="89"/>
      <c r="R418" s="89"/>
      <c r="S418" s="89"/>
      <c r="T418" s="89"/>
      <c r="U418" s="89"/>
      <c r="V418" s="89"/>
      <c r="W418" s="89"/>
      <c r="X418" s="89"/>
      <c r="Y418" s="89"/>
      <c r="Z418" s="89"/>
      <c r="AA418" s="89"/>
    </row>
    <row r="419" ht="14.25" customHeight="1">
      <c r="A419" s="143"/>
      <c r="B419" s="143"/>
      <c r="C419" s="125"/>
      <c r="D419" s="126"/>
      <c r="E419" s="144"/>
      <c r="F419" s="145"/>
      <c r="G419" s="183"/>
      <c r="H419" s="140"/>
      <c r="I419" s="183"/>
      <c r="J419" s="131"/>
      <c r="K419" s="89"/>
      <c r="L419" s="89"/>
      <c r="M419" s="89"/>
      <c r="N419" s="89"/>
      <c r="O419" s="89"/>
      <c r="P419" s="89"/>
      <c r="Q419" s="89"/>
      <c r="R419" s="89"/>
      <c r="S419" s="89"/>
      <c r="T419" s="89"/>
      <c r="U419" s="89"/>
      <c r="V419" s="89"/>
      <c r="W419" s="89"/>
      <c r="X419" s="89"/>
      <c r="Y419" s="89"/>
      <c r="Z419" s="89"/>
      <c r="AA419" s="89"/>
    </row>
    <row r="420" ht="14.25" customHeight="1">
      <c r="A420" s="151"/>
      <c r="B420" s="151"/>
      <c r="C420" s="125"/>
      <c r="D420" s="126"/>
      <c r="E420" s="144"/>
      <c r="F420" s="145"/>
      <c r="G420" s="183"/>
      <c r="H420" s="140"/>
      <c r="I420" s="183"/>
      <c r="J420" s="131"/>
      <c r="K420" s="89"/>
      <c r="L420" s="89"/>
      <c r="M420" s="89"/>
      <c r="N420" s="89"/>
      <c r="O420" s="89"/>
      <c r="P420" s="89"/>
      <c r="Q420" s="89"/>
      <c r="R420" s="89"/>
      <c r="S420" s="89"/>
      <c r="T420" s="89"/>
      <c r="U420" s="89"/>
      <c r="V420" s="89"/>
      <c r="W420" s="89"/>
      <c r="X420" s="89"/>
      <c r="Y420" s="89"/>
      <c r="Z420" s="89"/>
      <c r="AA420" s="89"/>
    </row>
    <row r="421" ht="14.25" customHeight="1">
      <c r="A421" s="143"/>
      <c r="B421" s="143"/>
      <c r="C421" s="125"/>
      <c r="D421" s="126"/>
      <c r="E421" s="144"/>
      <c r="F421" s="145"/>
      <c r="G421" s="183"/>
      <c r="H421" s="140"/>
      <c r="I421" s="183"/>
      <c r="J421" s="131"/>
      <c r="K421" s="89"/>
      <c r="L421" s="89"/>
      <c r="M421" s="89"/>
      <c r="N421" s="89"/>
      <c r="O421" s="89"/>
      <c r="P421" s="89"/>
      <c r="Q421" s="89"/>
      <c r="R421" s="89"/>
      <c r="S421" s="89"/>
      <c r="T421" s="89"/>
      <c r="U421" s="89"/>
      <c r="V421" s="89"/>
      <c r="W421" s="89"/>
      <c r="X421" s="89"/>
      <c r="Y421" s="89"/>
      <c r="Z421" s="89"/>
      <c r="AA421" s="89"/>
    </row>
    <row r="422" ht="14.25" customHeight="1">
      <c r="A422" s="143"/>
      <c r="B422" s="143"/>
      <c r="C422" s="125"/>
      <c r="D422" s="126"/>
      <c r="E422" s="144"/>
      <c r="F422" s="145"/>
      <c r="G422" s="183"/>
      <c r="H422" s="140"/>
      <c r="I422" s="183"/>
      <c r="J422" s="131"/>
      <c r="K422" s="89"/>
      <c r="L422" s="89"/>
      <c r="M422" s="89"/>
      <c r="N422" s="89"/>
      <c r="O422" s="89"/>
      <c r="P422" s="89"/>
      <c r="Q422" s="89"/>
      <c r="R422" s="89"/>
      <c r="S422" s="89"/>
      <c r="T422" s="89"/>
      <c r="U422" s="89"/>
      <c r="V422" s="89"/>
      <c r="W422" s="89"/>
      <c r="X422" s="89"/>
      <c r="Y422" s="89"/>
      <c r="Z422" s="89"/>
      <c r="AA422" s="89"/>
    </row>
    <row r="423" ht="14.25" customHeight="1">
      <c r="A423" s="143"/>
      <c r="B423" s="143"/>
      <c r="C423" s="125"/>
      <c r="D423" s="126"/>
      <c r="E423" s="144"/>
      <c r="F423" s="145"/>
      <c r="G423" s="183"/>
      <c r="H423" s="140"/>
      <c r="I423" s="183"/>
      <c r="J423" s="131"/>
      <c r="K423" s="89"/>
      <c r="L423" s="89"/>
      <c r="M423" s="89"/>
      <c r="N423" s="89"/>
      <c r="O423" s="89"/>
      <c r="P423" s="89"/>
      <c r="Q423" s="89"/>
      <c r="R423" s="89"/>
      <c r="S423" s="89"/>
      <c r="T423" s="89"/>
      <c r="U423" s="89"/>
      <c r="V423" s="89"/>
      <c r="W423" s="89"/>
      <c r="X423" s="89"/>
      <c r="Y423" s="89"/>
      <c r="Z423" s="89"/>
      <c r="AA423" s="89"/>
    </row>
    <row r="424" ht="14.25" customHeight="1">
      <c r="A424" s="143"/>
      <c r="B424" s="143"/>
      <c r="C424" s="125"/>
      <c r="D424" s="126"/>
      <c r="E424" s="144"/>
      <c r="F424" s="145"/>
      <c r="G424" s="183"/>
      <c r="H424" s="140"/>
      <c r="I424" s="183"/>
      <c r="J424" s="131"/>
      <c r="K424" s="89"/>
      <c r="L424" s="89"/>
      <c r="M424" s="89"/>
      <c r="N424" s="89"/>
      <c r="O424" s="89"/>
      <c r="P424" s="89"/>
      <c r="Q424" s="89"/>
      <c r="R424" s="89"/>
      <c r="S424" s="89"/>
      <c r="T424" s="89"/>
      <c r="U424" s="89"/>
      <c r="V424" s="89"/>
      <c r="W424" s="89"/>
      <c r="X424" s="89"/>
      <c r="Y424" s="89"/>
      <c r="Z424" s="89"/>
      <c r="AA424" s="89"/>
    </row>
    <row r="425" ht="14.25" customHeight="1">
      <c r="A425" s="143"/>
      <c r="B425" s="143"/>
      <c r="C425" s="125"/>
      <c r="D425" s="126"/>
      <c r="E425" s="144"/>
      <c r="F425" s="145"/>
      <c r="G425" s="183"/>
      <c r="H425" s="140"/>
      <c r="I425" s="183"/>
      <c r="J425" s="131"/>
      <c r="K425" s="89"/>
      <c r="L425" s="89"/>
      <c r="M425" s="89"/>
      <c r="N425" s="89"/>
      <c r="O425" s="89"/>
      <c r="P425" s="89"/>
      <c r="Q425" s="89"/>
      <c r="R425" s="89"/>
      <c r="S425" s="89"/>
      <c r="T425" s="89"/>
      <c r="U425" s="89"/>
      <c r="V425" s="89"/>
      <c r="W425" s="89"/>
      <c r="X425" s="89"/>
      <c r="Y425" s="89"/>
      <c r="Z425" s="89"/>
      <c r="AA425" s="89"/>
    </row>
    <row r="426" ht="14.25" customHeight="1">
      <c r="A426" s="143"/>
      <c r="B426" s="143"/>
      <c r="C426" s="125"/>
      <c r="D426" s="126"/>
      <c r="E426" s="144"/>
      <c r="F426" s="145"/>
      <c r="G426" s="183"/>
      <c r="H426" s="140"/>
      <c r="I426" s="183"/>
      <c r="J426" s="131"/>
      <c r="K426" s="89"/>
      <c r="L426" s="89"/>
      <c r="M426" s="89"/>
      <c r="N426" s="89"/>
      <c r="O426" s="89"/>
      <c r="P426" s="89"/>
      <c r="Q426" s="89"/>
      <c r="R426" s="89"/>
      <c r="S426" s="89"/>
      <c r="T426" s="89"/>
      <c r="U426" s="89"/>
      <c r="V426" s="89"/>
      <c r="W426" s="89"/>
      <c r="X426" s="89"/>
      <c r="Y426" s="89"/>
      <c r="Z426" s="89"/>
      <c r="AA426" s="89"/>
    </row>
    <row r="427" ht="14.25" customHeight="1">
      <c r="A427" s="143"/>
      <c r="B427" s="143"/>
      <c r="C427" s="125"/>
      <c r="D427" s="126"/>
      <c r="E427" s="144"/>
      <c r="F427" s="145"/>
      <c r="G427" s="183"/>
      <c r="H427" s="140"/>
      <c r="I427" s="183"/>
      <c r="J427" s="131"/>
      <c r="K427" s="89"/>
      <c r="L427" s="89"/>
      <c r="M427" s="89"/>
      <c r="N427" s="89"/>
      <c r="O427" s="89"/>
      <c r="P427" s="89"/>
      <c r="Q427" s="89"/>
      <c r="R427" s="89"/>
      <c r="S427" s="89"/>
      <c r="T427" s="89"/>
      <c r="U427" s="89"/>
      <c r="V427" s="89"/>
      <c r="W427" s="89"/>
      <c r="X427" s="89"/>
      <c r="Y427" s="89"/>
      <c r="Z427" s="89"/>
      <c r="AA427" s="89"/>
    </row>
    <row r="428" ht="14.25" customHeight="1">
      <c r="A428" s="143"/>
      <c r="B428" s="143"/>
      <c r="C428" s="125"/>
      <c r="D428" s="126"/>
      <c r="E428" s="144"/>
      <c r="F428" s="145"/>
      <c r="G428" s="183"/>
      <c r="H428" s="140"/>
      <c r="I428" s="183"/>
      <c r="J428" s="131"/>
      <c r="K428" s="89"/>
      <c r="L428" s="89"/>
      <c r="M428" s="89"/>
      <c r="N428" s="89"/>
      <c r="O428" s="89"/>
      <c r="P428" s="89"/>
      <c r="Q428" s="89"/>
      <c r="R428" s="89"/>
      <c r="S428" s="89"/>
      <c r="T428" s="89"/>
      <c r="U428" s="89"/>
      <c r="V428" s="89"/>
      <c r="W428" s="89"/>
      <c r="X428" s="89"/>
      <c r="Y428" s="89"/>
      <c r="Z428" s="89"/>
      <c r="AA428" s="89"/>
    </row>
    <row r="429" ht="14.25" customHeight="1">
      <c r="A429" s="143"/>
      <c r="B429" s="143"/>
      <c r="C429" s="125"/>
      <c r="D429" s="126"/>
      <c r="E429" s="144"/>
      <c r="F429" s="145"/>
      <c r="G429" s="183"/>
      <c r="H429" s="140"/>
      <c r="I429" s="183"/>
      <c r="J429" s="131"/>
      <c r="K429" s="89"/>
      <c r="L429" s="89"/>
      <c r="M429" s="89"/>
      <c r="N429" s="89"/>
      <c r="O429" s="89"/>
      <c r="P429" s="89"/>
      <c r="Q429" s="89"/>
      <c r="R429" s="89"/>
      <c r="S429" s="89"/>
      <c r="T429" s="89"/>
      <c r="U429" s="89"/>
      <c r="V429" s="89"/>
      <c r="W429" s="89"/>
      <c r="X429" s="89"/>
      <c r="Y429" s="89"/>
      <c r="Z429" s="89"/>
      <c r="AA429" s="89"/>
    </row>
    <row r="430" ht="14.25" customHeight="1">
      <c r="A430" s="151"/>
      <c r="B430" s="151"/>
      <c r="C430" s="125"/>
      <c r="D430" s="126"/>
      <c r="E430" s="144"/>
      <c r="F430" s="145"/>
      <c r="G430" s="183"/>
      <c r="H430" s="140"/>
      <c r="I430" s="183"/>
      <c r="J430" s="131"/>
      <c r="K430" s="89"/>
      <c r="L430" s="89"/>
      <c r="M430" s="89"/>
      <c r="N430" s="89"/>
      <c r="O430" s="89"/>
      <c r="P430" s="89"/>
      <c r="Q430" s="89"/>
      <c r="R430" s="89"/>
      <c r="S430" s="89"/>
      <c r="T430" s="89"/>
      <c r="U430" s="89"/>
      <c r="V430" s="89"/>
      <c r="W430" s="89"/>
      <c r="X430" s="89"/>
      <c r="Y430" s="89"/>
      <c r="Z430" s="89"/>
      <c r="AA430" s="89"/>
    </row>
    <row r="431" ht="14.25" customHeight="1">
      <c r="A431" s="143"/>
      <c r="B431" s="143"/>
      <c r="C431" s="125"/>
      <c r="D431" s="126"/>
      <c r="E431" s="144"/>
      <c r="F431" s="145"/>
      <c r="G431" s="183"/>
      <c r="H431" s="140"/>
      <c r="I431" s="183"/>
      <c r="J431" s="131"/>
      <c r="K431" s="89"/>
      <c r="L431" s="89"/>
      <c r="M431" s="89"/>
      <c r="N431" s="89"/>
      <c r="O431" s="89"/>
      <c r="P431" s="89"/>
      <c r="Q431" s="89"/>
      <c r="R431" s="89"/>
      <c r="S431" s="89"/>
      <c r="T431" s="89"/>
      <c r="U431" s="89"/>
      <c r="V431" s="89"/>
      <c r="W431" s="89"/>
      <c r="X431" s="89"/>
      <c r="Y431" s="89"/>
      <c r="Z431" s="89"/>
      <c r="AA431" s="89"/>
    </row>
    <row r="432" ht="14.25" customHeight="1">
      <c r="A432" s="143"/>
      <c r="B432" s="143"/>
      <c r="C432" s="125"/>
      <c r="D432" s="126"/>
      <c r="E432" s="144"/>
      <c r="F432" s="145"/>
      <c r="G432" s="183"/>
      <c r="H432" s="140"/>
      <c r="I432" s="183"/>
      <c r="J432" s="131"/>
      <c r="K432" s="89"/>
      <c r="L432" s="89"/>
      <c r="M432" s="89"/>
      <c r="N432" s="89"/>
      <c r="O432" s="89"/>
      <c r="P432" s="89"/>
      <c r="Q432" s="89"/>
      <c r="R432" s="89"/>
      <c r="S432" s="89"/>
      <c r="T432" s="89"/>
      <c r="U432" s="89"/>
      <c r="V432" s="89"/>
      <c r="W432" s="89"/>
      <c r="X432" s="89"/>
      <c r="Y432" s="89"/>
      <c r="Z432" s="89"/>
      <c r="AA432" s="89"/>
    </row>
    <row r="433" ht="14.25" customHeight="1">
      <c r="A433" s="143"/>
      <c r="B433" s="143"/>
      <c r="C433" s="125"/>
      <c r="D433" s="126"/>
      <c r="E433" s="144"/>
      <c r="F433" s="145"/>
      <c r="G433" s="183"/>
      <c r="H433" s="140"/>
      <c r="I433" s="183"/>
      <c r="J433" s="131"/>
      <c r="K433" s="89"/>
      <c r="L433" s="89"/>
      <c r="M433" s="89"/>
      <c r="N433" s="89"/>
      <c r="O433" s="89"/>
      <c r="P433" s="89"/>
      <c r="Q433" s="89"/>
      <c r="R433" s="89"/>
      <c r="S433" s="89"/>
      <c r="T433" s="89"/>
      <c r="U433" s="89"/>
      <c r="V433" s="89"/>
      <c r="W433" s="89"/>
      <c r="X433" s="89"/>
      <c r="Y433" s="89"/>
      <c r="Z433" s="89"/>
      <c r="AA433" s="89"/>
    </row>
    <row r="434" ht="14.25" customHeight="1">
      <c r="A434" s="143"/>
      <c r="B434" s="143"/>
      <c r="C434" s="125"/>
      <c r="D434" s="126"/>
      <c r="E434" s="144"/>
      <c r="F434" s="145"/>
      <c r="G434" s="183"/>
      <c r="H434" s="140"/>
      <c r="I434" s="183"/>
      <c r="J434" s="131"/>
      <c r="K434" s="89"/>
      <c r="L434" s="89"/>
      <c r="M434" s="89"/>
      <c r="N434" s="89"/>
      <c r="O434" s="89"/>
      <c r="P434" s="89"/>
      <c r="Q434" s="89"/>
      <c r="R434" s="89"/>
      <c r="S434" s="89"/>
      <c r="T434" s="89"/>
      <c r="U434" s="89"/>
      <c r="V434" s="89"/>
      <c r="W434" s="89"/>
      <c r="X434" s="89"/>
      <c r="Y434" s="89"/>
      <c r="Z434" s="89"/>
      <c r="AA434" s="89"/>
    </row>
    <row r="435" ht="14.25" customHeight="1">
      <c r="A435" s="143"/>
      <c r="B435" s="143"/>
      <c r="C435" s="125"/>
      <c r="D435" s="126"/>
      <c r="E435" s="144"/>
      <c r="F435" s="145"/>
      <c r="G435" s="183"/>
      <c r="H435" s="140"/>
      <c r="I435" s="183"/>
      <c r="J435" s="131"/>
      <c r="K435" s="89"/>
      <c r="L435" s="89"/>
      <c r="M435" s="89"/>
      <c r="N435" s="89"/>
      <c r="O435" s="89"/>
      <c r="P435" s="89"/>
      <c r="Q435" s="89"/>
      <c r="R435" s="89"/>
      <c r="S435" s="89"/>
      <c r="T435" s="89"/>
      <c r="U435" s="89"/>
      <c r="V435" s="89"/>
      <c r="W435" s="89"/>
      <c r="X435" s="89"/>
      <c r="Y435" s="89"/>
      <c r="Z435" s="89"/>
      <c r="AA435" s="89"/>
    </row>
    <row r="436" ht="14.25" customHeight="1">
      <c r="A436" s="143"/>
      <c r="B436" s="143"/>
      <c r="C436" s="125"/>
      <c r="D436" s="126"/>
      <c r="E436" s="144"/>
      <c r="F436" s="145"/>
      <c r="G436" s="183"/>
      <c r="H436" s="140"/>
      <c r="I436" s="183"/>
      <c r="J436" s="131"/>
      <c r="K436" s="89"/>
      <c r="L436" s="89"/>
      <c r="M436" s="89"/>
      <c r="N436" s="89"/>
      <c r="O436" s="89"/>
      <c r="P436" s="89"/>
      <c r="Q436" s="89"/>
      <c r="R436" s="89"/>
      <c r="S436" s="89"/>
      <c r="T436" s="89"/>
      <c r="U436" s="89"/>
      <c r="V436" s="89"/>
      <c r="W436" s="89"/>
      <c r="X436" s="89"/>
      <c r="Y436" s="89"/>
      <c r="Z436" s="89"/>
      <c r="AA436" s="89"/>
    </row>
    <row r="437" ht="14.25" customHeight="1">
      <c r="A437" s="143"/>
      <c r="B437" s="143"/>
      <c r="C437" s="125"/>
      <c r="D437" s="126"/>
      <c r="E437" s="144"/>
      <c r="F437" s="145"/>
      <c r="G437" s="183"/>
      <c r="H437" s="140"/>
      <c r="I437" s="183"/>
      <c r="J437" s="131"/>
      <c r="K437" s="89"/>
      <c r="L437" s="89"/>
      <c r="M437" s="89"/>
      <c r="N437" s="89"/>
      <c r="O437" s="89"/>
      <c r="P437" s="89"/>
      <c r="Q437" s="89"/>
      <c r="R437" s="89"/>
      <c r="S437" s="89"/>
      <c r="T437" s="89"/>
      <c r="U437" s="89"/>
      <c r="V437" s="89"/>
      <c r="W437" s="89"/>
      <c r="X437" s="89"/>
      <c r="Y437" s="89"/>
      <c r="Z437" s="89"/>
      <c r="AA437" s="89"/>
    </row>
    <row r="438" ht="14.25" customHeight="1">
      <c r="A438" s="143"/>
      <c r="B438" s="143"/>
      <c r="C438" s="125"/>
      <c r="D438" s="126"/>
      <c r="E438" s="144"/>
      <c r="F438" s="145"/>
      <c r="G438" s="183"/>
      <c r="H438" s="140"/>
      <c r="I438" s="183"/>
      <c r="J438" s="131"/>
      <c r="K438" s="89"/>
      <c r="L438" s="89"/>
      <c r="M438" s="89"/>
      <c r="N438" s="89"/>
      <c r="O438" s="89"/>
      <c r="P438" s="89"/>
      <c r="Q438" s="89"/>
      <c r="R438" s="89"/>
      <c r="S438" s="89"/>
      <c r="T438" s="89"/>
      <c r="U438" s="89"/>
      <c r="V438" s="89"/>
      <c r="W438" s="89"/>
      <c r="X438" s="89"/>
      <c r="Y438" s="89"/>
      <c r="Z438" s="89"/>
      <c r="AA438" s="89"/>
    </row>
    <row r="439" ht="14.25" customHeight="1">
      <c r="A439" s="143"/>
      <c r="B439" s="143"/>
      <c r="C439" s="125"/>
      <c r="D439" s="126"/>
      <c r="E439" s="144"/>
      <c r="F439" s="145"/>
      <c r="G439" s="183"/>
      <c r="H439" s="140"/>
      <c r="I439" s="183"/>
      <c r="J439" s="131"/>
      <c r="K439" s="89"/>
      <c r="L439" s="89"/>
      <c r="M439" s="89"/>
      <c r="N439" s="89"/>
      <c r="O439" s="89"/>
      <c r="P439" s="89"/>
      <c r="Q439" s="89"/>
      <c r="R439" s="89"/>
      <c r="S439" s="89"/>
      <c r="T439" s="89"/>
      <c r="U439" s="89"/>
      <c r="V439" s="89"/>
      <c r="W439" s="89"/>
      <c r="X439" s="89"/>
      <c r="Y439" s="89"/>
      <c r="Z439" s="89"/>
      <c r="AA439" s="89"/>
    </row>
    <row r="440" ht="14.25" customHeight="1">
      <c r="A440" s="151"/>
      <c r="B440" s="151"/>
      <c r="C440" s="125"/>
      <c r="D440" s="126"/>
      <c r="E440" s="144"/>
      <c r="F440" s="145"/>
      <c r="G440" s="183"/>
      <c r="H440" s="140"/>
      <c r="I440" s="183"/>
      <c r="J440" s="131"/>
      <c r="K440" s="89"/>
      <c r="L440" s="89"/>
      <c r="M440" s="89"/>
      <c r="N440" s="89"/>
      <c r="O440" s="89"/>
      <c r="P440" s="89"/>
      <c r="Q440" s="89"/>
      <c r="R440" s="89"/>
      <c r="S440" s="89"/>
      <c r="T440" s="89"/>
      <c r="U440" s="89"/>
      <c r="V440" s="89"/>
      <c r="W440" s="89"/>
      <c r="X440" s="89"/>
      <c r="Y440" s="89"/>
      <c r="Z440" s="89"/>
      <c r="AA440" s="89"/>
    </row>
    <row r="441" ht="14.25" customHeight="1">
      <c r="A441" s="143"/>
      <c r="B441" s="143"/>
      <c r="C441" s="125"/>
      <c r="D441" s="126"/>
      <c r="E441" s="144"/>
      <c r="F441" s="145"/>
      <c r="G441" s="183"/>
      <c r="H441" s="140"/>
      <c r="I441" s="183"/>
      <c r="J441" s="131"/>
      <c r="K441" s="89"/>
      <c r="L441" s="89"/>
      <c r="M441" s="89"/>
      <c r="N441" s="89"/>
      <c r="O441" s="89"/>
      <c r="P441" s="89"/>
      <c r="Q441" s="89"/>
      <c r="R441" s="89"/>
      <c r="S441" s="89"/>
      <c r="T441" s="89"/>
      <c r="U441" s="89"/>
      <c r="V441" s="89"/>
      <c r="W441" s="89"/>
      <c r="X441" s="89"/>
      <c r="Y441" s="89"/>
      <c r="Z441" s="89"/>
      <c r="AA441" s="89"/>
    </row>
    <row r="442" ht="14.25" customHeight="1">
      <c r="A442" s="143"/>
      <c r="B442" s="143"/>
      <c r="C442" s="125"/>
      <c r="D442" s="126"/>
      <c r="E442" s="144"/>
      <c r="F442" s="145"/>
      <c r="G442" s="183"/>
      <c r="H442" s="140"/>
      <c r="I442" s="183"/>
      <c r="J442" s="131"/>
      <c r="K442" s="89"/>
      <c r="L442" s="89"/>
      <c r="M442" s="89"/>
      <c r="N442" s="89"/>
      <c r="O442" s="89"/>
      <c r="P442" s="89"/>
      <c r="Q442" s="89"/>
      <c r="R442" s="89"/>
      <c r="S442" s="89"/>
      <c r="T442" s="89"/>
      <c r="U442" s="89"/>
      <c r="V442" s="89"/>
      <c r="W442" s="89"/>
      <c r="X442" s="89"/>
      <c r="Y442" s="89"/>
      <c r="Z442" s="89"/>
      <c r="AA442" s="89"/>
    </row>
    <row r="443" ht="14.25" customHeight="1">
      <c r="A443" s="143"/>
      <c r="B443" s="143"/>
      <c r="C443" s="125"/>
      <c r="D443" s="126"/>
      <c r="E443" s="144"/>
      <c r="F443" s="145"/>
      <c r="G443" s="183"/>
      <c r="H443" s="140"/>
      <c r="I443" s="183"/>
      <c r="J443" s="131"/>
      <c r="K443" s="89"/>
      <c r="L443" s="89"/>
      <c r="M443" s="89"/>
      <c r="N443" s="89"/>
      <c r="O443" s="89"/>
      <c r="P443" s="89"/>
      <c r="Q443" s="89"/>
      <c r="R443" s="89"/>
      <c r="S443" s="89"/>
      <c r="T443" s="89"/>
      <c r="U443" s="89"/>
      <c r="V443" s="89"/>
      <c r="W443" s="89"/>
      <c r="X443" s="89"/>
      <c r="Y443" s="89"/>
      <c r="Z443" s="89"/>
      <c r="AA443" s="89"/>
    </row>
    <row r="444" ht="14.25" customHeight="1">
      <c r="A444" s="143"/>
      <c r="B444" s="143"/>
      <c r="C444" s="125"/>
      <c r="D444" s="126"/>
      <c r="E444" s="144"/>
      <c r="F444" s="145"/>
      <c r="G444" s="183"/>
      <c r="H444" s="140"/>
      <c r="I444" s="183"/>
      <c r="J444" s="131"/>
      <c r="K444" s="89"/>
      <c r="L444" s="89"/>
      <c r="M444" s="89"/>
      <c r="N444" s="89"/>
      <c r="O444" s="89"/>
      <c r="P444" s="89"/>
      <c r="Q444" s="89"/>
      <c r="R444" s="89"/>
      <c r="S444" s="89"/>
      <c r="T444" s="89"/>
      <c r="U444" s="89"/>
      <c r="V444" s="89"/>
      <c r="W444" s="89"/>
      <c r="X444" s="89"/>
      <c r="Y444" s="89"/>
      <c r="Z444" s="89"/>
      <c r="AA444" s="89"/>
    </row>
    <row r="445" ht="14.25" customHeight="1">
      <c r="A445" s="143"/>
      <c r="B445" s="143"/>
      <c r="C445" s="125"/>
      <c r="D445" s="126"/>
      <c r="E445" s="144"/>
      <c r="F445" s="145"/>
      <c r="G445" s="183"/>
      <c r="H445" s="140"/>
      <c r="I445" s="183"/>
      <c r="J445" s="131"/>
      <c r="K445" s="89"/>
      <c r="L445" s="89"/>
      <c r="M445" s="89"/>
      <c r="N445" s="89"/>
      <c r="O445" s="89"/>
      <c r="P445" s="89"/>
      <c r="Q445" s="89"/>
      <c r="R445" s="89"/>
      <c r="S445" s="89"/>
      <c r="T445" s="89"/>
      <c r="U445" s="89"/>
      <c r="V445" s="89"/>
      <c r="W445" s="89"/>
      <c r="X445" s="89"/>
      <c r="Y445" s="89"/>
      <c r="Z445" s="89"/>
      <c r="AA445" s="89"/>
    </row>
    <row r="446" ht="14.25" customHeight="1">
      <c r="A446" s="143"/>
      <c r="B446" s="143"/>
      <c r="C446" s="125"/>
      <c r="D446" s="126"/>
      <c r="E446" s="144"/>
      <c r="F446" s="145"/>
      <c r="G446" s="183"/>
      <c r="H446" s="140"/>
      <c r="I446" s="183"/>
      <c r="J446" s="131"/>
      <c r="K446" s="89"/>
      <c r="L446" s="89"/>
      <c r="M446" s="89"/>
      <c r="N446" s="89"/>
      <c r="O446" s="89"/>
      <c r="P446" s="89"/>
      <c r="Q446" s="89"/>
      <c r="R446" s="89"/>
      <c r="S446" s="89"/>
      <c r="T446" s="89"/>
      <c r="U446" s="89"/>
      <c r="V446" s="89"/>
      <c r="W446" s="89"/>
      <c r="X446" s="89"/>
      <c r="Y446" s="89"/>
      <c r="Z446" s="89"/>
      <c r="AA446" s="89"/>
    </row>
    <row r="447" ht="14.25" customHeight="1">
      <c r="A447" s="143"/>
      <c r="B447" s="143"/>
      <c r="C447" s="125"/>
      <c r="D447" s="126"/>
      <c r="E447" s="144"/>
      <c r="F447" s="145"/>
      <c r="G447" s="183"/>
      <c r="H447" s="140"/>
      <c r="I447" s="183"/>
      <c r="J447" s="131"/>
      <c r="K447" s="89"/>
      <c r="L447" s="89"/>
      <c r="M447" s="89"/>
      <c r="N447" s="89"/>
      <c r="O447" s="89"/>
      <c r="P447" s="89"/>
      <c r="Q447" s="89"/>
      <c r="R447" s="89"/>
      <c r="S447" s="89"/>
      <c r="T447" s="89"/>
      <c r="U447" s="89"/>
      <c r="V447" s="89"/>
      <c r="W447" s="89"/>
      <c r="X447" s="89"/>
      <c r="Y447" s="89"/>
      <c r="Z447" s="89"/>
      <c r="AA447" s="89"/>
    </row>
    <row r="448" ht="14.25" customHeight="1">
      <c r="A448" s="143"/>
      <c r="B448" s="143"/>
      <c r="C448" s="125"/>
      <c r="D448" s="126"/>
      <c r="E448" s="144"/>
      <c r="F448" s="145"/>
      <c r="G448" s="183"/>
      <c r="H448" s="140"/>
      <c r="I448" s="183"/>
      <c r="J448" s="131"/>
      <c r="K448" s="89"/>
      <c r="L448" s="89"/>
      <c r="M448" s="89"/>
      <c r="N448" s="89"/>
      <c r="O448" s="89"/>
      <c r="P448" s="89"/>
      <c r="Q448" s="89"/>
      <c r="R448" s="89"/>
      <c r="S448" s="89"/>
      <c r="T448" s="89"/>
      <c r="U448" s="89"/>
      <c r="V448" s="89"/>
      <c r="W448" s="89"/>
      <c r="X448" s="89"/>
      <c r="Y448" s="89"/>
      <c r="Z448" s="89"/>
      <c r="AA448" s="89"/>
    </row>
    <row r="449" ht="14.25" customHeight="1">
      <c r="A449" s="143"/>
      <c r="B449" s="143"/>
      <c r="C449" s="125"/>
      <c r="D449" s="126"/>
      <c r="E449" s="144"/>
      <c r="F449" s="145"/>
      <c r="G449" s="183"/>
      <c r="H449" s="140"/>
      <c r="I449" s="183"/>
      <c r="J449" s="131"/>
      <c r="K449" s="89"/>
      <c r="L449" s="89"/>
      <c r="M449" s="89"/>
      <c r="N449" s="89"/>
      <c r="O449" s="89"/>
      <c r="P449" s="89"/>
      <c r="Q449" s="89"/>
      <c r="R449" s="89"/>
      <c r="S449" s="89"/>
      <c r="T449" s="89"/>
      <c r="U449" s="89"/>
      <c r="V449" s="89"/>
      <c r="W449" s="89"/>
      <c r="X449" s="89"/>
      <c r="Y449" s="89"/>
      <c r="Z449" s="89"/>
      <c r="AA449" s="89"/>
    </row>
    <row r="450" ht="14.25" customHeight="1">
      <c r="A450" s="151"/>
      <c r="B450" s="151"/>
      <c r="C450" s="125"/>
      <c r="D450" s="126"/>
      <c r="E450" s="144"/>
      <c r="F450" s="145"/>
      <c r="G450" s="183"/>
      <c r="H450" s="140"/>
      <c r="I450" s="183"/>
      <c r="J450" s="131"/>
      <c r="K450" s="89"/>
      <c r="L450" s="89"/>
      <c r="M450" s="89"/>
      <c r="N450" s="89"/>
      <c r="O450" s="89"/>
      <c r="P450" s="89"/>
      <c r="Q450" s="89"/>
      <c r="R450" s="89"/>
      <c r="S450" s="89"/>
      <c r="T450" s="89"/>
      <c r="U450" s="89"/>
      <c r="V450" s="89"/>
      <c r="W450" s="89"/>
      <c r="X450" s="89"/>
      <c r="Y450" s="89"/>
      <c r="Z450" s="89"/>
      <c r="AA450" s="89"/>
    </row>
    <row r="451" ht="14.25" customHeight="1">
      <c r="A451" s="143"/>
      <c r="B451" s="143"/>
      <c r="C451" s="125"/>
      <c r="D451" s="126"/>
      <c r="E451" s="144"/>
      <c r="F451" s="145"/>
      <c r="G451" s="183"/>
      <c r="H451" s="140"/>
      <c r="I451" s="183"/>
      <c r="J451" s="131"/>
      <c r="K451" s="89"/>
      <c r="L451" s="89"/>
      <c r="M451" s="89"/>
      <c r="N451" s="89"/>
      <c r="O451" s="89"/>
      <c r="P451" s="89"/>
      <c r="Q451" s="89"/>
      <c r="R451" s="89"/>
      <c r="S451" s="89"/>
      <c r="T451" s="89"/>
      <c r="U451" s="89"/>
      <c r="V451" s="89"/>
      <c r="W451" s="89"/>
      <c r="X451" s="89"/>
      <c r="Y451" s="89"/>
      <c r="Z451" s="89"/>
      <c r="AA451" s="89"/>
    </row>
    <row r="452" ht="14.25" customHeight="1">
      <c r="A452" s="143"/>
      <c r="B452" s="143"/>
      <c r="C452" s="125"/>
      <c r="D452" s="126"/>
      <c r="E452" s="144"/>
      <c r="F452" s="145"/>
      <c r="G452" s="183"/>
      <c r="H452" s="140"/>
      <c r="I452" s="183"/>
      <c r="J452" s="131"/>
      <c r="K452" s="89"/>
      <c r="L452" s="89"/>
      <c r="M452" s="89"/>
      <c r="N452" s="89"/>
      <c r="O452" s="89"/>
      <c r="P452" s="89"/>
      <c r="Q452" s="89"/>
      <c r="R452" s="89"/>
      <c r="S452" s="89"/>
      <c r="T452" s="89"/>
      <c r="U452" s="89"/>
      <c r="V452" s="89"/>
      <c r="W452" s="89"/>
      <c r="X452" s="89"/>
      <c r="Y452" s="89"/>
      <c r="Z452" s="89"/>
      <c r="AA452" s="89"/>
    </row>
    <row r="453" ht="14.25" customHeight="1">
      <c r="A453" s="143"/>
      <c r="B453" s="143"/>
      <c r="C453" s="125"/>
      <c r="D453" s="126"/>
      <c r="E453" s="144"/>
      <c r="F453" s="145"/>
      <c r="G453" s="183"/>
      <c r="H453" s="140"/>
      <c r="I453" s="183"/>
      <c r="J453" s="131"/>
      <c r="K453" s="89"/>
      <c r="L453" s="89"/>
      <c r="M453" s="89"/>
      <c r="N453" s="89"/>
      <c r="O453" s="89"/>
      <c r="P453" s="89"/>
      <c r="Q453" s="89"/>
      <c r="R453" s="89"/>
      <c r="S453" s="89"/>
      <c r="T453" s="89"/>
      <c r="U453" s="89"/>
      <c r="V453" s="89"/>
      <c r="W453" s="89"/>
      <c r="X453" s="89"/>
      <c r="Y453" s="89"/>
      <c r="Z453" s="89"/>
      <c r="AA453" s="89"/>
    </row>
    <row r="454" ht="14.25" customHeight="1">
      <c r="A454" s="143"/>
      <c r="B454" s="143"/>
      <c r="C454" s="125"/>
      <c r="D454" s="126"/>
      <c r="E454" s="144"/>
      <c r="F454" s="145"/>
      <c r="G454" s="183"/>
      <c r="H454" s="140"/>
      <c r="I454" s="183"/>
      <c r="J454" s="131"/>
      <c r="K454" s="89"/>
      <c r="L454" s="89"/>
      <c r="M454" s="89"/>
      <c r="N454" s="89"/>
      <c r="O454" s="89"/>
      <c r="P454" s="89"/>
      <c r="Q454" s="89"/>
      <c r="R454" s="89"/>
      <c r="S454" s="89"/>
      <c r="T454" s="89"/>
      <c r="U454" s="89"/>
      <c r="V454" s="89"/>
      <c r="W454" s="89"/>
      <c r="X454" s="89"/>
      <c r="Y454" s="89"/>
      <c r="Z454" s="89"/>
      <c r="AA454" s="89"/>
    </row>
    <row r="455" ht="14.25" customHeight="1">
      <c r="A455" s="143"/>
      <c r="B455" s="143"/>
      <c r="C455" s="125"/>
      <c r="D455" s="126"/>
      <c r="E455" s="144"/>
      <c r="F455" s="145"/>
      <c r="G455" s="183"/>
      <c r="H455" s="140"/>
      <c r="I455" s="183"/>
      <c r="J455" s="131"/>
      <c r="K455" s="89"/>
      <c r="L455" s="89"/>
      <c r="M455" s="89"/>
      <c r="N455" s="89"/>
      <c r="O455" s="89"/>
      <c r="P455" s="89"/>
      <c r="Q455" s="89"/>
      <c r="R455" s="89"/>
      <c r="S455" s="89"/>
      <c r="T455" s="89"/>
      <c r="U455" s="89"/>
      <c r="V455" s="89"/>
      <c r="W455" s="89"/>
      <c r="X455" s="89"/>
      <c r="Y455" s="89"/>
      <c r="Z455" s="89"/>
      <c r="AA455" s="89"/>
    </row>
    <row r="456" ht="14.25" customHeight="1">
      <c r="A456" s="143"/>
      <c r="B456" s="143"/>
      <c r="C456" s="125"/>
      <c r="D456" s="126"/>
      <c r="E456" s="144"/>
      <c r="F456" s="145"/>
      <c r="G456" s="183"/>
      <c r="H456" s="140"/>
      <c r="I456" s="183"/>
      <c r="J456" s="131"/>
      <c r="K456" s="89"/>
      <c r="L456" s="89"/>
      <c r="M456" s="89"/>
      <c r="N456" s="89"/>
      <c r="O456" s="89"/>
      <c r="P456" s="89"/>
      <c r="Q456" s="89"/>
      <c r="R456" s="89"/>
      <c r="S456" s="89"/>
      <c r="T456" s="89"/>
      <c r="U456" s="89"/>
      <c r="V456" s="89"/>
      <c r="W456" s="89"/>
      <c r="X456" s="89"/>
      <c r="Y456" s="89"/>
      <c r="Z456" s="89"/>
      <c r="AA456" s="89"/>
    </row>
    <row r="457" ht="14.25" customHeight="1">
      <c r="A457" s="143"/>
      <c r="B457" s="143"/>
      <c r="C457" s="125"/>
      <c r="D457" s="126"/>
      <c r="E457" s="144"/>
      <c r="F457" s="145"/>
      <c r="G457" s="183"/>
      <c r="H457" s="140"/>
      <c r="I457" s="183"/>
      <c r="J457" s="131"/>
      <c r="K457" s="89"/>
      <c r="L457" s="89"/>
      <c r="M457" s="89"/>
      <c r="N457" s="89"/>
      <c r="O457" s="89"/>
      <c r="P457" s="89"/>
      <c r="Q457" s="89"/>
      <c r="R457" s="89"/>
      <c r="S457" s="89"/>
      <c r="T457" s="89"/>
      <c r="U457" s="89"/>
      <c r="V457" s="89"/>
      <c r="W457" s="89"/>
      <c r="X457" s="89"/>
      <c r="Y457" s="89"/>
      <c r="Z457" s="89"/>
      <c r="AA457" s="89"/>
    </row>
    <row r="458" ht="14.25" customHeight="1">
      <c r="A458" s="143"/>
      <c r="B458" s="143"/>
      <c r="C458" s="125"/>
      <c r="D458" s="126"/>
      <c r="E458" s="144"/>
      <c r="F458" s="145"/>
      <c r="G458" s="183"/>
      <c r="H458" s="140"/>
      <c r="I458" s="183"/>
      <c r="J458" s="131"/>
      <c r="K458" s="89"/>
      <c r="L458" s="89"/>
      <c r="M458" s="89"/>
      <c r="N458" s="89"/>
      <c r="O458" s="89"/>
      <c r="P458" s="89"/>
      <c r="Q458" s="89"/>
      <c r="R458" s="89"/>
      <c r="S458" s="89"/>
      <c r="T458" s="89"/>
      <c r="U458" s="89"/>
      <c r="V458" s="89"/>
      <c r="W458" s="89"/>
      <c r="X458" s="89"/>
      <c r="Y458" s="89"/>
      <c r="Z458" s="89"/>
      <c r="AA458" s="89"/>
    </row>
    <row r="459" ht="14.25" customHeight="1">
      <c r="A459" s="143"/>
      <c r="B459" s="143"/>
      <c r="C459" s="125"/>
      <c r="D459" s="126"/>
      <c r="E459" s="144"/>
      <c r="F459" s="145"/>
      <c r="G459" s="183"/>
      <c r="H459" s="140"/>
      <c r="I459" s="183"/>
      <c r="J459" s="131"/>
      <c r="K459" s="89"/>
      <c r="L459" s="89"/>
      <c r="M459" s="89"/>
      <c r="N459" s="89"/>
      <c r="O459" s="89"/>
      <c r="P459" s="89"/>
      <c r="Q459" s="89"/>
      <c r="R459" s="89"/>
      <c r="S459" s="89"/>
      <c r="T459" s="89"/>
      <c r="U459" s="89"/>
      <c r="V459" s="89"/>
      <c r="W459" s="89"/>
      <c r="X459" s="89"/>
      <c r="Y459" s="89"/>
      <c r="Z459" s="89"/>
      <c r="AA459" s="89"/>
    </row>
    <row r="460" ht="14.25" customHeight="1">
      <c r="A460" s="151"/>
      <c r="B460" s="151"/>
      <c r="C460" s="125"/>
      <c r="D460" s="126"/>
      <c r="E460" s="144"/>
      <c r="F460" s="145"/>
      <c r="G460" s="183"/>
      <c r="H460" s="140"/>
      <c r="I460" s="183"/>
      <c r="J460" s="131"/>
      <c r="K460" s="89"/>
      <c r="L460" s="89"/>
      <c r="M460" s="89"/>
      <c r="N460" s="89"/>
      <c r="O460" s="89"/>
      <c r="P460" s="89"/>
      <c r="Q460" s="89"/>
      <c r="R460" s="89"/>
      <c r="S460" s="89"/>
      <c r="T460" s="89"/>
      <c r="U460" s="89"/>
      <c r="V460" s="89"/>
      <c r="W460" s="89"/>
      <c r="X460" s="89"/>
      <c r="Y460" s="89"/>
      <c r="Z460" s="89"/>
      <c r="AA460" s="89"/>
    </row>
    <row r="461" ht="14.25" customHeight="1">
      <c r="A461" s="143"/>
      <c r="B461" s="143"/>
      <c r="C461" s="125"/>
      <c r="D461" s="126"/>
      <c r="E461" s="144"/>
      <c r="F461" s="145"/>
      <c r="G461" s="183"/>
      <c r="H461" s="140"/>
      <c r="I461" s="183"/>
      <c r="J461" s="131"/>
      <c r="K461" s="89"/>
      <c r="L461" s="89"/>
      <c r="M461" s="89"/>
      <c r="N461" s="89"/>
      <c r="O461" s="89"/>
      <c r="P461" s="89"/>
      <c r="Q461" s="89"/>
      <c r="R461" s="89"/>
      <c r="S461" s="89"/>
      <c r="T461" s="89"/>
      <c r="U461" s="89"/>
      <c r="V461" s="89"/>
      <c r="W461" s="89"/>
      <c r="X461" s="89"/>
      <c r="Y461" s="89"/>
      <c r="Z461" s="89"/>
      <c r="AA461" s="89"/>
    </row>
    <row r="462" ht="14.25" customHeight="1">
      <c r="A462" s="143"/>
      <c r="B462" s="143"/>
      <c r="C462" s="125"/>
      <c r="D462" s="126"/>
      <c r="E462" s="144"/>
      <c r="F462" s="145"/>
      <c r="G462" s="183"/>
      <c r="H462" s="140"/>
      <c r="I462" s="183"/>
      <c r="J462" s="131"/>
      <c r="K462" s="89"/>
      <c r="L462" s="89"/>
      <c r="M462" s="89"/>
      <c r="N462" s="89"/>
      <c r="O462" s="89"/>
      <c r="P462" s="89"/>
      <c r="Q462" s="89"/>
      <c r="R462" s="89"/>
      <c r="S462" s="89"/>
      <c r="T462" s="89"/>
      <c r="U462" s="89"/>
      <c r="V462" s="89"/>
      <c r="W462" s="89"/>
      <c r="X462" s="89"/>
      <c r="Y462" s="89"/>
      <c r="Z462" s="89"/>
      <c r="AA462" s="89"/>
    </row>
    <row r="463" ht="14.25" customHeight="1">
      <c r="A463" s="143"/>
      <c r="B463" s="143"/>
      <c r="C463" s="125"/>
      <c r="D463" s="126"/>
      <c r="E463" s="144"/>
      <c r="F463" s="145"/>
      <c r="G463" s="183"/>
      <c r="H463" s="140"/>
      <c r="I463" s="183"/>
      <c r="J463" s="131"/>
      <c r="K463" s="89"/>
      <c r="L463" s="89"/>
      <c r="M463" s="89"/>
      <c r="N463" s="89"/>
      <c r="O463" s="89"/>
      <c r="P463" s="89"/>
      <c r="Q463" s="89"/>
      <c r="R463" s="89"/>
      <c r="S463" s="89"/>
      <c r="T463" s="89"/>
      <c r="U463" s="89"/>
      <c r="V463" s="89"/>
      <c r="W463" s="89"/>
      <c r="X463" s="89"/>
      <c r="Y463" s="89"/>
      <c r="Z463" s="89"/>
      <c r="AA463" s="89"/>
    </row>
    <row r="464" ht="14.25" customHeight="1">
      <c r="A464" s="143"/>
      <c r="B464" s="143"/>
      <c r="C464" s="125"/>
      <c r="D464" s="126"/>
      <c r="E464" s="144"/>
      <c r="F464" s="145"/>
      <c r="G464" s="183"/>
      <c r="H464" s="140"/>
      <c r="I464" s="183"/>
      <c r="J464" s="131"/>
      <c r="K464" s="89"/>
      <c r="L464" s="89"/>
      <c r="M464" s="89"/>
      <c r="N464" s="89"/>
      <c r="O464" s="89"/>
      <c r="P464" s="89"/>
      <c r="Q464" s="89"/>
      <c r="R464" s="89"/>
      <c r="S464" s="89"/>
      <c r="T464" s="89"/>
      <c r="U464" s="89"/>
      <c r="V464" s="89"/>
      <c r="W464" s="89"/>
      <c r="X464" s="89"/>
      <c r="Y464" s="89"/>
      <c r="Z464" s="89"/>
      <c r="AA464" s="89"/>
    </row>
    <row r="465" ht="14.25" customHeight="1">
      <c r="A465" s="143"/>
      <c r="B465" s="143"/>
      <c r="C465" s="125"/>
      <c r="D465" s="126"/>
      <c r="E465" s="144"/>
      <c r="F465" s="145"/>
      <c r="G465" s="183"/>
      <c r="H465" s="140"/>
      <c r="I465" s="183"/>
      <c r="J465" s="131"/>
      <c r="K465" s="89"/>
      <c r="L465" s="89"/>
      <c r="M465" s="89"/>
      <c r="N465" s="89"/>
      <c r="O465" s="89"/>
      <c r="P465" s="89"/>
      <c r="Q465" s="89"/>
      <c r="R465" s="89"/>
      <c r="S465" s="89"/>
      <c r="T465" s="89"/>
      <c r="U465" s="89"/>
      <c r="V465" s="89"/>
      <c r="W465" s="89"/>
      <c r="X465" s="89"/>
      <c r="Y465" s="89"/>
      <c r="Z465" s="89"/>
      <c r="AA465" s="89"/>
    </row>
    <row r="466" ht="14.25" customHeight="1">
      <c r="A466" s="143"/>
      <c r="B466" s="143"/>
      <c r="C466" s="125"/>
      <c r="D466" s="126"/>
      <c r="E466" s="144"/>
      <c r="F466" s="145"/>
      <c r="G466" s="183"/>
      <c r="H466" s="140"/>
      <c r="I466" s="183"/>
      <c r="J466" s="131"/>
      <c r="K466" s="89"/>
      <c r="L466" s="89"/>
      <c r="M466" s="89"/>
      <c r="N466" s="89"/>
      <c r="O466" s="89"/>
      <c r="P466" s="89"/>
      <c r="Q466" s="89"/>
      <c r="R466" s="89"/>
      <c r="S466" s="89"/>
      <c r="T466" s="89"/>
      <c r="U466" s="89"/>
      <c r="V466" s="89"/>
      <c r="W466" s="89"/>
      <c r="X466" s="89"/>
      <c r="Y466" s="89"/>
      <c r="Z466" s="89"/>
      <c r="AA466" s="89"/>
    </row>
    <row r="467" ht="14.25" customHeight="1">
      <c r="A467" s="143"/>
      <c r="B467" s="143"/>
      <c r="C467" s="125"/>
      <c r="D467" s="126"/>
      <c r="E467" s="144"/>
      <c r="F467" s="145"/>
      <c r="G467" s="183"/>
      <c r="H467" s="140"/>
      <c r="I467" s="183"/>
      <c r="J467" s="131"/>
      <c r="K467" s="89"/>
      <c r="L467" s="89"/>
      <c r="M467" s="89"/>
      <c r="N467" s="89"/>
      <c r="O467" s="89"/>
      <c r="P467" s="89"/>
      <c r="Q467" s="89"/>
      <c r="R467" s="89"/>
      <c r="S467" s="89"/>
      <c r="T467" s="89"/>
      <c r="U467" s="89"/>
      <c r="V467" s="89"/>
      <c r="W467" s="89"/>
      <c r="X467" s="89"/>
      <c r="Y467" s="89"/>
      <c r="Z467" s="89"/>
      <c r="AA467" s="89"/>
    </row>
    <row r="468" ht="14.25" customHeight="1">
      <c r="A468" s="143"/>
      <c r="B468" s="143"/>
      <c r="C468" s="125"/>
      <c r="D468" s="126"/>
      <c r="E468" s="144"/>
      <c r="F468" s="145"/>
      <c r="G468" s="183"/>
      <c r="H468" s="140"/>
      <c r="I468" s="183"/>
      <c r="J468" s="131"/>
      <c r="K468" s="89"/>
      <c r="L468" s="89"/>
      <c r="M468" s="89"/>
      <c r="N468" s="89"/>
      <c r="O468" s="89"/>
      <c r="P468" s="89"/>
      <c r="Q468" s="89"/>
      <c r="R468" s="89"/>
      <c r="S468" s="89"/>
      <c r="T468" s="89"/>
      <c r="U468" s="89"/>
      <c r="V468" s="89"/>
      <c r="W468" s="89"/>
      <c r="X468" s="89"/>
      <c r="Y468" s="89"/>
      <c r="Z468" s="89"/>
      <c r="AA468" s="89"/>
    </row>
    <row r="469" ht="14.25" customHeight="1">
      <c r="A469" s="143"/>
      <c r="B469" s="143"/>
      <c r="C469" s="125"/>
      <c r="D469" s="126"/>
      <c r="E469" s="144"/>
      <c r="F469" s="145"/>
      <c r="G469" s="183"/>
      <c r="H469" s="140"/>
      <c r="I469" s="183"/>
      <c r="J469" s="131"/>
      <c r="K469" s="89"/>
      <c r="L469" s="89"/>
      <c r="M469" s="89"/>
      <c r="N469" s="89"/>
      <c r="O469" s="89"/>
      <c r="P469" s="89"/>
      <c r="Q469" s="89"/>
      <c r="R469" s="89"/>
      <c r="S469" s="89"/>
      <c r="T469" s="89"/>
      <c r="U469" s="89"/>
      <c r="V469" s="89"/>
      <c r="W469" s="89"/>
      <c r="X469" s="89"/>
      <c r="Y469" s="89"/>
      <c r="Z469" s="89"/>
      <c r="AA469" s="89"/>
    </row>
    <row r="470" ht="14.25" customHeight="1">
      <c r="A470" s="151"/>
      <c r="B470" s="151"/>
      <c r="C470" s="125"/>
      <c r="D470" s="126"/>
      <c r="E470" s="144"/>
      <c r="F470" s="145"/>
      <c r="G470" s="183"/>
      <c r="H470" s="140"/>
      <c r="I470" s="183"/>
      <c r="J470" s="131"/>
      <c r="K470" s="89"/>
      <c r="L470" s="89"/>
      <c r="M470" s="89"/>
      <c r="N470" s="89"/>
      <c r="O470" s="89"/>
      <c r="P470" s="89"/>
      <c r="Q470" s="89"/>
      <c r="R470" s="89"/>
      <c r="S470" s="89"/>
      <c r="T470" s="89"/>
      <c r="U470" s="89"/>
      <c r="V470" s="89"/>
      <c r="W470" s="89"/>
      <c r="X470" s="89"/>
      <c r="Y470" s="89"/>
      <c r="Z470" s="89"/>
      <c r="AA470" s="89"/>
    </row>
    <row r="471" ht="14.25" customHeight="1">
      <c r="A471" s="143"/>
      <c r="B471" s="143"/>
      <c r="C471" s="125"/>
      <c r="D471" s="126"/>
      <c r="E471" s="144"/>
      <c r="F471" s="145"/>
      <c r="G471" s="183"/>
      <c r="H471" s="140"/>
      <c r="I471" s="183"/>
      <c r="J471" s="131"/>
      <c r="K471" s="89"/>
      <c r="L471" s="89"/>
      <c r="M471" s="89"/>
      <c r="N471" s="89"/>
      <c r="O471" s="89"/>
      <c r="P471" s="89"/>
      <c r="Q471" s="89"/>
      <c r="R471" s="89"/>
      <c r="S471" s="89"/>
      <c r="T471" s="89"/>
      <c r="U471" s="89"/>
      <c r="V471" s="89"/>
      <c r="W471" s="89"/>
      <c r="X471" s="89"/>
      <c r="Y471" s="89"/>
      <c r="Z471" s="89"/>
      <c r="AA471" s="89"/>
    </row>
    <row r="472" ht="14.25" customHeight="1">
      <c r="A472" s="143"/>
      <c r="B472" s="143"/>
      <c r="C472" s="125"/>
      <c r="D472" s="126"/>
      <c r="E472" s="144"/>
      <c r="F472" s="145"/>
      <c r="G472" s="183"/>
      <c r="H472" s="140"/>
      <c r="I472" s="183"/>
      <c r="J472" s="131"/>
      <c r="K472" s="89"/>
      <c r="L472" s="89"/>
      <c r="M472" s="89"/>
      <c r="N472" s="89"/>
      <c r="O472" s="89"/>
      <c r="P472" s="89"/>
      <c r="Q472" s="89"/>
      <c r="R472" s="89"/>
      <c r="S472" s="89"/>
      <c r="T472" s="89"/>
      <c r="U472" s="89"/>
      <c r="V472" s="89"/>
      <c r="W472" s="89"/>
      <c r="X472" s="89"/>
      <c r="Y472" s="89"/>
      <c r="Z472" s="89"/>
      <c r="AA472" s="89"/>
    </row>
    <row r="473" ht="14.25" customHeight="1">
      <c r="A473" s="143"/>
      <c r="B473" s="143"/>
      <c r="C473" s="125"/>
      <c r="D473" s="126"/>
      <c r="E473" s="144"/>
      <c r="F473" s="145"/>
      <c r="G473" s="183"/>
      <c r="H473" s="140"/>
      <c r="I473" s="183"/>
      <c r="J473" s="131"/>
      <c r="K473" s="89"/>
      <c r="L473" s="89"/>
      <c r="M473" s="89"/>
      <c r="N473" s="89"/>
      <c r="O473" s="89"/>
      <c r="P473" s="89"/>
      <c r="Q473" s="89"/>
      <c r="R473" s="89"/>
      <c r="S473" s="89"/>
      <c r="T473" s="89"/>
      <c r="U473" s="89"/>
      <c r="V473" s="89"/>
      <c r="W473" s="89"/>
      <c r="X473" s="89"/>
      <c r="Y473" s="89"/>
      <c r="Z473" s="89"/>
      <c r="AA473" s="89"/>
    </row>
    <row r="474" ht="14.25" customHeight="1">
      <c r="A474" s="143"/>
      <c r="B474" s="143"/>
      <c r="C474" s="125"/>
      <c r="D474" s="126"/>
      <c r="E474" s="144"/>
      <c r="F474" s="145"/>
      <c r="G474" s="183"/>
      <c r="H474" s="140"/>
      <c r="I474" s="183"/>
      <c r="J474" s="131"/>
      <c r="K474" s="89"/>
      <c r="L474" s="89"/>
      <c r="M474" s="89"/>
      <c r="N474" s="89"/>
      <c r="O474" s="89"/>
      <c r="P474" s="89"/>
      <c r="Q474" s="89"/>
      <c r="R474" s="89"/>
      <c r="S474" s="89"/>
      <c r="T474" s="89"/>
      <c r="U474" s="89"/>
      <c r="V474" s="89"/>
      <c r="W474" s="89"/>
      <c r="X474" s="89"/>
      <c r="Y474" s="89"/>
      <c r="Z474" s="89"/>
      <c r="AA474" s="89"/>
    </row>
    <row r="475" ht="14.25" customHeight="1">
      <c r="A475" s="143"/>
      <c r="B475" s="143"/>
      <c r="C475" s="125"/>
      <c r="D475" s="126"/>
      <c r="E475" s="144"/>
      <c r="F475" s="145"/>
      <c r="G475" s="183"/>
      <c r="H475" s="140"/>
      <c r="I475" s="183"/>
      <c r="J475" s="131"/>
      <c r="K475" s="89"/>
      <c r="L475" s="89"/>
      <c r="M475" s="89"/>
      <c r="N475" s="89"/>
      <c r="O475" s="89"/>
      <c r="P475" s="89"/>
      <c r="Q475" s="89"/>
      <c r="R475" s="89"/>
      <c r="S475" s="89"/>
      <c r="T475" s="89"/>
      <c r="U475" s="89"/>
      <c r="V475" s="89"/>
      <c r="W475" s="89"/>
      <c r="X475" s="89"/>
      <c r="Y475" s="89"/>
      <c r="Z475" s="89"/>
      <c r="AA475" s="89"/>
    </row>
    <row r="476" ht="14.25" customHeight="1">
      <c r="A476" s="143"/>
      <c r="B476" s="143"/>
      <c r="C476" s="125"/>
      <c r="D476" s="126"/>
      <c r="E476" s="144"/>
      <c r="F476" s="145"/>
      <c r="G476" s="183"/>
      <c r="H476" s="140"/>
      <c r="I476" s="183"/>
      <c r="J476" s="131"/>
      <c r="K476" s="89"/>
      <c r="L476" s="89"/>
      <c r="M476" s="89"/>
      <c r="N476" s="89"/>
      <c r="O476" s="89"/>
      <c r="P476" s="89"/>
      <c r="Q476" s="89"/>
      <c r="R476" s="89"/>
      <c r="S476" s="89"/>
      <c r="T476" s="89"/>
      <c r="U476" s="89"/>
      <c r="V476" s="89"/>
      <c r="W476" s="89"/>
      <c r="X476" s="89"/>
      <c r="Y476" s="89"/>
      <c r="Z476" s="89"/>
      <c r="AA476" s="89"/>
    </row>
    <row r="477" ht="14.25" customHeight="1">
      <c r="A477" s="143"/>
      <c r="B477" s="143"/>
      <c r="C477" s="125"/>
      <c r="D477" s="126"/>
      <c r="E477" s="144"/>
      <c r="F477" s="145"/>
      <c r="G477" s="183"/>
      <c r="H477" s="140"/>
      <c r="I477" s="183"/>
      <c r="J477" s="131"/>
      <c r="K477" s="89"/>
      <c r="L477" s="89"/>
      <c r="M477" s="89"/>
      <c r="N477" s="89"/>
      <c r="O477" s="89"/>
      <c r="P477" s="89"/>
      <c r="Q477" s="89"/>
      <c r="R477" s="89"/>
      <c r="S477" s="89"/>
      <c r="T477" s="89"/>
      <c r="U477" s="89"/>
      <c r="V477" s="89"/>
      <c r="W477" s="89"/>
      <c r="X477" s="89"/>
      <c r="Y477" s="89"/>
      <c r="Z477" s="89"/>
      <c r="AA477" s="89"/>
    </row>
    <row r="478" ht="14.25" customHeight="1">
      <c r="A478" s="143"/>
      <c r="B478" s="143"/>
      <c r="C478" s="125"/>
      <c r="D478" s="126"/>
      <c r="E478" s="144"/>
      <c r="F478" s="145"/>
      <c r="G478" s="183"/>
      <c r="H478" s="140"/>
      <c r="I478" s="183"/>
      <c r="J478" s="131"/>
      <c r="K478" s="89"/>
      <c r="L478" s="89"/>
      <c r="M478" s="89"/>
      <c r="N478" s="89"/>
      <c r="O478" s="89"/>
      <c r="P478" s="89"/>
      <c r="Q478" s="89"/>
      <c r="R478" s="89"/>
      <c r="S478" s="89"/>
      <c r="T478" s="89"/>
      <c r="U478" s="89"/>
      <c r="V478" s="89"/>
      <c r="W478" s="89"/>
      <c r="X478" s="89"/>
      <c r="Y478" s="89"/>
      <c r="Z478" s="89"/>
      <c r="AA478" s="89"/>
    </row>
    <row r="479" ht="14.25" customHeight="1">
      <c r="A479" s="143"/>
      <c r="B479" s="143"/>
      <c r="C479" s="125"/>
      <c r="D479" s="126"/>
      <c r="E479" s="144"/>
      <c r="F479" s="145"/>
      <c r="G479" s="183"/>
      <c r="H479" s="140"/>
      <c r="I479" s="183"/>
      <c r="J479" s="131"/>
      <c r="K479" s="89"/>
      <c r="L479" s="89"/>
      <c r="M479" s="89"/>
      <c r="N479" s="89"/>
      <c r="O479" s="89"/>
      <c r="P479" s="89"/>
      <c r="Q479" s="89"/>
      <c r="R479" s="89"/>
      <c r="S479" s="89"/>
      <c r="T479" s="89"/>
      <c r="U479" s="89"/>
      <c r="V479" s="89"/>
      <c r="W479" s="89"/>
      <c r="X479" s="89"/>
      <c r="Y479" s="89"/>
      <c r="Z479" s="89"/>
      <c r="AA479" s="89"/>
    </row>
    <row r="480" ht="14.25" customHeight="1">
      <c r="A480" s="151"/>
      <c r="B480" s="151"/>
      <c r="C480" s="125"/>
      <c r="D480" s="126"/>
      <c r="E480" s="144"/>
      <c r="F480" s="145"/>
      <c r="G480" s="183"/>
      <c r="H480" s="140"/>
      <c r="I480" s="183"/>
      <c r="J480" s="131"/>
      <c r="K480" s="89"/>
      <c r="L480" s="89"/>
      <c r="M480" s="89"/>
      <c r="N480" s="89"/>
      <c r="O480" s="89"/>
      <c r="P480" s="89"/>
      <c r="Q480" s="89"/>
      <c r="R480" s="89"/>
      <c r="S480" s="89"/>
      <c r="T480" s="89"/>
      <c r="U480" s="89"/>
      <c r="V480" s="89"/>
      <c r="W480" s="89"/>
      <c r="X480" s="89"/>
      <c r="Y480" s="89"/>
      <c r="Z480" s="89"/>
      <c r="AA480" s="89"/>
    </row>
    <row r="481" ht="14.25" customHeight="1">
      <c r="A481" s="143"/>
      <c r="B481" s="143"/>
      <c r="C481" s="125"/>
      <c r="D481" s="126"/>
      <c r="E481" s="144"/>
      <c r="F481" s="145"/>
      <c r="G481" s="183"/>
      <c r="H481" s="140"/>
      <c r="I481" s="183"/>
      <c r="J481" s="131"/>
      <c r="K481" s="89"/>
      <c r="L481" s="89"/>
      <c r="M481" s="89"/>
      <c r="N481" s="89"/>
      <c r="O481" s="89"/>
      <c r="P481" s="89"/>
      <c r="Q481" s="89"/>
      <c r="R481" s="89"/>
      <c r="S481" s="89"/>
      <c r="T481" s="89"/>
      <c r="U481" s="89"/>
      <c r="V481" s="89"/>
      <c r="W481" s="89"/>
      <c r="X481" s="89"/>
      <c r="Y481" s="89"/>
      <c r="Z481" s="89"/>
      <c r="AA481" s="89"/>
    </row>
    <row r="482" ht="14.25" customHeight="1">
      <c r="A482" s="143"/>
      <c r="B482" s="143"/>
      <c r="C482" s="125"/>
      <c r="D482" s="126"/>
      <c r="E482" s="144"/>
      <c r="F482" s="145"/>
      <c r="G482" s="183"/>
      <c r="H482" s="140"/>
      <c r="I482" s="183"/>
      <c r="J482" s="131"/>
      <c r="K482" s="89"/>
      <c r="L482" s="89"/>
      <c r="M482" s="89"/>
      <c r="N482" s="89"/>
      <c r="O482" s="89"/>
      <c r="P482" s="89"/>
      <c r="Q482" s="89"/>
      <c r="R482" s="89"/>
      <c r="S482" s="89"/>
      <c r="T482" s="89"/>
      <c r="U482" s="89"/>
      <c r="V482" s="89"/>
      <c r="W482" s="89"/>
      <c r="X482" s="89"/>
      <c r="Y482" s="89"/>
      <c r="Z482" s="89"/>
      <c r="AA482" s="89"/>
    </row>
    <row r="483" ht="14.25" customHeight="1">
      <c r="A483" s="143"/>
      <c r="B483" s="143"/>
      <c r="C483" s="125"/>
      <c r="D483" s="126"/>
      <c r="E483" s="144"/>
      <c r="F483" s="145"/>
      <c r="G483" s="183"/>
      <c r="H483" s="140"/>
      <c r="I483" s="183"/>
      <c r="J483" s="131"/>
      <c r="K483" s="89"/>
      <c r="L483" s="89"/>
      <c r="M483" s="89"/>
      <c r="N483" s="89"/>
      <c r="O483" s="89"/>
      <c r="P483" s="89"/>
      <c r="Q483" s="89"/>
      <c r="R483" s="89"/>
      <c r="S483" s="89"/>
      <c r="T483" s="89"/>
      <c r="U483" s="89"/>
      <c r="V483" s="89"/>
      <c r="W483" s="89"/>
      <c r="X483" s="89"/>
      <c r="Y483" s="89"/>
      <c r="Z483" s="89"/>
      <c r="AA483" s="89"/>
    </row>
    <row r="484" ht="14.25" customHeight="1">
      <c r="A484" s="143"/>
      <c r="B484" s="143"/>
      <c r="C484" s="125"/>
      <c r="D484" s="126"/>
      <c r="E484" s="144"/>
      <c r="F484" s="145"/>
      <c r="G484" s="183"/>
      <c r="H484" s="140"/>
      <c r="I484" s="183"/>
      <c r="J484" s="131"/>
      <c r="K484" s="89"/>
      <c r="L484" s="89"/>
      <c r="M484" s="89"/>
      <c r="N484" s="89"/>
      <c r="O484" s="89"/>
      <c r="P484" s="89"/>
      <c r="Q484" s="89"/>
      <c r="R484" s="89"/>
      <c r="S484" s="89"/>
      <c r="T484" s="89"/>
      <c r="U484" s="89"/>
      <c r="V484" s="89"/>
      <c r="W484" s="89"/>
      <c r="X484" s="89"/>
      <c r="Y484" s="89"/>
      <c r="Z484" s="89"/>
      <c r="AA484" s="89"/>
    </row>
    <row r="485" ht="14.25" customHeight="1">
      <c r="A485" s="143"/>
      <c r="B485" s="143"/>
      <c r="C485" s="125"/>
      <c r="D485" s="126"/>
      <c r="E485" s="144"/>
      <c r="F485" s="145"/>
      <c r="G485" s="183"/>
      <c r="H485" s="140"/>
      <c r="I485" s="183"/>
      <c r="J485" s="131"/>
      <c r="K485" s="89"/>
      <c r="L485" s="89"/>
      <c r="M485" s="89"/>
      <c r="N485" s="89"/>
      <c r="O485" s="89"/>
      <c r="P485" s="89"/>
      <c r="Q485" s="89"/>
      <c r="R485" s="89"/>
      <c r="S485" s="89"/>
      <c r="T485" s="89"/>
      <c r="U485" s="89"/>
      <c r="V485" s="89"/>
      <c r="W485" s="89"/>
      <c r="X485" s="89"/>
      <c r="Y485" s="89"/>
      <c r="Z485" s="89"/>
      <c r="AA485" s="89"/>
    </row>
    <row r="486" ht="14.25" customHeight="1">
      <c r="A486" s="143"/>
      <c r="B486" s="143"/>
      <c r="C486" s="125"/>
      <c r="D486" s="126"/>
      <c r="E486" s="144"/>
      <c r="F486" s="145"/>
      <c r="G486" s="183"/>
      <c r="H486" s="140"/>
      <c r="I486" s="183"/>
      <c r="J486" s="131"/>
      <c r="K486" s="89"/>
      <c r="L486" s="89"/>
      <c r="M486" s="89"/>
      <c r="N486" s="89"/>
      <c r="O486" s="89"/>
      <c r="P486" s="89"/>
      <c r="Q486" s="89"/>
      <c r="R486" s="89"/>
      <c r="S486" s="89"/>
      <c r="T486" s="89"/>
      <c r="U486" s="89"/>
      <c r="V486" s="89"/>
      <c r="W486" s="89"/>
      <c r="X486" s="89"/>
      <c r="Y486" s="89"/>
      <c r="Z486" s="89"/>
      <c r="AA486" s="89"/>
    </row>
    <row r="487" ht="14.25" customHeight="1">
      <c r="A487" s="143"/>
      <c r="B487" s="143"/>
      <c r="C487" s="125"/>
      <c r="D487" s="126"/>
      <c r="E487" s="144"/>
      <c r="F487" s="145"/>
      <c r="G487" s="183"/>
      <c r="H487" s="140"/>
      <c r="I487" s="183"/>
      <c r="J487" s="131"/>
      <c r="K487" s="89"/>
      <c r="L487" s="89"/>
      <c r="M487" s="89"/>
      <c r="N487" s="89"/>
      <c r="O487" s="89"/>
      <c r="P487" s="89"/>
      <c r="Q487" s="89"/>
      <c r="R487" s="89"/>
      <c r="S487" s="89"/>
      <c r="T487" s="89"/>
      <c r="U487" s="89"/>
      <c r="V487" s="89"/>
      <c r="W487" s="89"/>
      <c r="X487" s="89"/>
      <c r="Y487" s="89"/>
      <c r="Z487" s="89"/>
      <c r="AA487" s="89"/>
    </row>
    <row r="488" ht="14.25" customHeight="1">
      <c r="A488" s="143"/>
      <c r="B488" s="143"/>
      <c r="C488" s="125"/>
      <c r="D488" s="126"/>
      <c r="E488" s="144"/>
      <c r="F488" s="145"/>
      <c r="G488" s="183"/>
      <c r="H488" s="140"/>
      <c r="I488" s="183"/>
      <c r="J488" s="131"/>
      <c r="K488" s="89"/>
      <c r="L488" s="89"/>
      <c r="M488" s="89"/>
      <c r="N488" s="89"/>
      <c r="O488" s="89"/>
      <c r="P488" s="89"/>
      <c r="Q488" s="89"/>
      <c r="R488" s="89"/>
      <c r="S488" s="89"/>
      <c r="T488" s="89"/>
      <c r="U488" s="89"/>
      <c r="V488" s="89"/>
      <c r="W488" s="89"/>
      <c r="X488" s="89"/>
      <c r="Y488" s="89"/>
      <c r="Z488" s="89"/>
      <c r="AA488" s="89"/>
    </row>
    <row r="489" ht="14.25" customHeight="1">
      <c r="A489" s="143"/>
      <c r="B489" s="143"/>
      <c r="C489" s="125"/>
      <c r="D489" s="126"/>
      <c r="E489" s="144"/>
      <c r="F489" s="145"/>
      <c r="G489" s="183"/>
      <c r="H489" s="140"/>
      <c r="I489" s="183"/>
      <c r="J489" s="131"/>
      <c r="K489" s="89"/>
      <c r="L489" s="89"/>
      <c r="M489" s="89"/>
      <c r="N489" s="89"/>
      <c r="O489" s="89"/>
      <c r="P489" s="89"/>
      <c r="Q489" s="89"/>
      <c r="R489" s="89"/>
      <c r="S489" s="89"/>
      <c r="T489" s="89"/>
      <c r="U489" s="89"/>
      <c r="V489" s="89"/>
      <c r="W489" s="89"/>
      <c r="X489" s="89"/>
      <c r="Y489" s="89"/>
      <c r="Z489" s="89"/>
      <c r="AA489" s="89"/>
    </row>
    <row r="490" ht="14.25" customHeight="1">
      <c r="A490" s="151"/>
      <c r="B490" s="151"/>
      <c r="C490" s="125"/>
      <c r="D490" s="126"/>
      <c r="E490" s="144"/>
      <c r="F490" s="145"/>
      <c r="G490" s="183"/>
      <c r="H490" s="140"/>
      <c r="I490" s="183"/>
      <c r="J490" s="131"/>
      <c r="K490" s="89"/>
      <c r="L490" s="89"/>
      <c r="M490" s="89"/>
      <c r="N490" s="89"/>
      <c r="O490" s="89"/>
      <c r="P490" s="89"/>
      <c r="Q490" s="89"/>
      <c r="R490" s="89"/>
      <c r="S490" s="89"/>
      <c r="T490" s="89"/>
      <c r="U490" s="89"/>
      <c r="V490" s="89"/>
      <c r="W490" s="89"/>
      <c r="X490" s="89"/>
      <c r="Y490" s="89"/>
      <c r="Z490" s="89"/>
      <c r="AA490" s="89"/>
    </row>
    <row r="491" ht="14.25" customHeight="1">
      <c r="A491" s="143"/>
      <c r="B491" s="143"/>
      <c r="C491" s="125"/>
      <c r="D491" s="126"/>
      <c r="E491" s="144"/>
      <c r="F491" s="145"/>
      <c r="G491" s="183"/>
      <c r="H491" s="140"/>
      <c r="I491" s="183"/>
      <c r="J491" s="131"/>
      <c r="K491" s="89"/>
      <c r="L491" s="89"/>
      <c r="M491" s="89"/>
      <c r="N491" s="89"/>
      <c r="O491" s="89"/>
      <c r="P491" s="89"/>
      <c r="Q491" s="89"/>
      <c r="R491" s="89"/>
      <c r="S491" s="89"/>
      <c r="T491" s="89"/>
      <c r="U491" s="89"/>
      <c r="V491" s="89"/>
      <c r="W491" s="89"/>
      <c r="X491" s="89"/>
      <c r="Y491" s="89"/>
      <c r="Z491" s="89"/>
      <c r="AA491" s="89"/>
    </row>
    <row r="492" ht="14.25" customHeight="1">
      <c r="A492" s="143"/>
      <c r="B492" s="143"/>
      <c r="C492" s="125"/>
      <c r="D492" s="126"/>
      <c r="E492" s="144"/>
      <c r="F492" s="145"/>
      <c r="G492" s="183"/>
      <c r="H492" s="140"/>
      <c r="I492" s="183"/>
      <c r="J492" s="131"/>
      <c r="K492" s="89"/>
      <c r="L492" s="89"/>
      <c r="M492" s="89"/>
      <c r="N492" s="89"/>
      <c r="O492" s="89"/>
      <c r="P492" s="89"/>
      <c r="Q492" s="89"/>
      <c r="R492" s="89"/>
      <c r="S492" s="89"/>
      <c r="T492" s="89"/>
      <c r="U492" s="89"/>
      <c r="V492" s="89"/>
      <c r="W492" s="89"/>
      <c r="X492" s="89"/>
      <c r="Y492" s="89"/>
      <c r="Z492" s="89"/>
      <c r="AA492" s="89"/>
    </row>
    <row r="493" ht="14.25" customHeight="1">
      <c r="A493" s="143"/>
      <c r="B493" s="143"/>
      <c r="C493" s="125"/>
      <c r="D493" s="126"/>
      <c r="E493" s="144"/>
      <c r="F493" s="145"/>
      <c r="G493" s="183"/>
      <c r="H493" s="140"/>
      <c r="I493" s="183"/>
      <c r="J493" s="131"/>
      <c r="K493" s="89"/>
      <c r="L493" s="89"/>
      <c r="M493" s="89"/>
      <c r="N493" s="89"/>
      <c r="O493" s="89"/>
      <c r="P493" s="89"/>
      <c r="Q493" s="89"/>
      <c r="R493" s="89"/>
      <c r="S493" s="89"/>
      <c r="T493" s="89"/>
      <c r="U493" s="89"/>
      <c r="V493" s="89"/>
      <c r="W493" s="89"/>
      <c r="X493" s="89"/>
      <c r="Y493" s="89"/>
      <c r="Z493" s="89"/>
      <c r="AA493" s="89"/>
    </row>
    <row r="494" ht="14.25" customHeight="1">
      <c r="A494" s="143"/>
      <c r="B494" s="143"/>
      <c r="C494" s="125"/>
      <c r="D494" s="126"/>
      <c r="E494" s="144"/>
      <c r="F494" s="145"/>
      <c r="G494" s="183"/>
      <c r="H494" s="140"/>
      <c r="I494" s="183"/>
      <c r="J494" s="131"/>
      <c r="K494" s="89"/>
      <c r="L494" s="89"/>
      <c r="M494" s="89"/>
      <c r="N494" s="89"/>
      <c r="O494" s="89"/>
      <c r="P494" s="89"/>
      <c r="Q494" s="89"/>
      <c r="R494" s="89"/>
      <c r="S494" s="89"/>
      <c r="T494" s="89"/>
      <c r="U494" s="89"/>
      <c r="V494" s="89"/>
      <c r="W494" s="89"/>
      <c r="X494" s="89"/>
      <c r="Y494" s="89"/>
      <c r="Z494" s="89"/>
      <c r="AA494" s="89"/>
    </row>
    <row r="495" ht="14.25" customHeight="1">
      <c r="A495" s="143"/>
      <c r="B495" s="143"/>
      <c r="C495" s="125"/>
      <c r="D495" s="126"/>
      <c r="E495" s="144"/>
      <c r="F495" s="145"/>
      <c r="G495" s="183"/>
      <c r="H495" s="140"/>
      <c r="I495" s="183"/>
      <c r="J495" s="131"/>
      <c r="K495" s="89"/>
      <c r="L495" s="89"/>
      <c r="M495" s="89"/>
      <c r="N495" s="89"/>
      <c r="O495" s="89"/>
      <c r="P495" s="89"/>
      <c r="Q495" s="89"/>
      <c r="R495" s="89"/>
      <c r="S495" s="89"/>
      <c r="T495" s="89"/>
      <c r="U495" s="89"/>
      <c r="V495" s="89"/>
      <c r="W495" s="89"/>
      <c r="X495" s="89"/>
      <c r="Y495" s="89"/>
      <c r="Z495" s="89"/>
      <c r="AA495" s="89"/>
    </row>
    <row r="496" ht="14.25" customHeight="1">
      <c r="A496" s="143"/>
      <c r="B496" s="143"/>
      <c r="C496" s="125"/>
      <c r="D496" s="126"/>
      <c r="E496" s="144"/>
      <c r="F496" s="145"/>
      <c r="G496" s="183"/>
      <c r="H496" s="140"/>
      <c r="I496" s="183"/>
      <c r="J496" s="131"/>
      <c r="K496" s="89"/>
      <c r="L496" s="89"/>
      <c r="M496" s="89"/>
      <c r="N496" s="89"/>
      <c r="O496" s="89"/>
      <c r="P496" s="89"/>
      <c r="Q496" s="89"/>
      <c r="R496" s="89"/>
      <c r="S496" s="89"/>
      <c r="T496" s="89"/>
      <c r="U496" s="89"/>
      <c r="V496" s="89"/>
      <c r="W496" s="89"/>
      <c r="X496" s="89"/>
      <c r="Y496" s="89"/>
      <c r="Z496" s="89"/>
      <c r="AA496" s="89"/>
    </row>
    <row r="497" ht="14.25" customHeight="1">
      <c r="A497" s="143"/>
      <c r="B497" s="143"/>
      <c r="C497" s="125"/>
      <c r="D497" s="126"/>
      <c r="E497" s="144"/>
      <c r="F497" s="145"/>
      <c r="G497" s="183"/>
      <c r="H497" s="140"/>
      <c r="I497" s="183"/>
      <c r="J497" s="131"/>
      <c r="K497" s="89"/>
      <c r="L497" s="89"/>
      <c r="M497" s="89"/>
      <c r="N497" s="89"/>
      <c r="O497" s="89"/>
      <c r="P497" s="89"/>
      <c r="Q497" s="89"/>
      <c r="R497" s="89"/>
      <c r="S497" s="89"/>
      <c r="T497" s="89"/>
      <c r="U497" s="89"/>
      <c r="V497" s="89"/>
      <c r="W497" s="89"/>
      <c r="X497" s="89"/>
      <c r="Y497" s="89"/>
      <c r="Z497" s="89"/>
      <c r="AA497" s="89"/>
    </row>
    <row r="498" ht="14.25" customHeight="1">
      <c r="A498" s="143"/>
      <c r="B498" s="143"/>
      <c r="C498" s="125"/>
      <c r="D498" s="126"/>
      <c r="E498" s="144"/>
      <c r="F498" s="145"/>
      <c r="G498" s="183"/>
      <c r="H498" s="140"/>
      <c r="I498" s="183"/>
      <c r="J498" s="131"/>
      <c r="K498" s="89"/>
      <c r="L498" s="89"/>
      <c r="M498" s="89"/>
      <c r="N498" s="89"/>
      <c r="O498" s="89"/>
      <c r="P498" s="89"/>
      <c r="Q498" s="89"/>
      <c r="R498" s="89"/>
      <c r="S498" s="89"/>
      <c r="T498" s="89"/>
      <c r="U498" s="89"/>
      <c r="V498" s="89"/>
      <c r="W498" s="89"/>
      <c r="X498" s="89"/>
      <c r="Y498" s="89"/>
      <c r="Z498" s="89"/>
      <c r="AA498" s="89"/>
    </row>
    <row r="499" ht="14.25" customHeight="1">
      <c r="A499" s="143"/>
      <c r="B499" s="143"/>
      <c r="C499" s="125"/>
      <c r="D499" s="126"/>
      <c r="E499" s="144"/>
      <c r="F499" s="145"/>
      <c r="G499" s="183"/>
      <c r="H499" s="140"/>
      <c r="I499" s="183"/>
      <c r="J499" s="131"/>
      <c r="K499" s="89"/>
      <c r="L499" s="89"/>
      <c r="M499" s="89"/>
      <c r="N499" s="89"/>
      <c r="O499" s="89"/>
      <c r="P499" s="89"/>
      <c r="Q499" s="89"/>
      <c r="R499" s="89"/>
      <c r="S499" s="89"/>
      <c r="T499" s="89"/>
      <c r="U499" s="89"/>
      <c r="V499" s="89"/>
      <c r="W499" s="89"/>
      <c r="X499" s="89"/>
      <c r="Y499" s="89"/>
      <c r="Z499" s="89"/>
      <c r="AA499" s="89"/>
    </row>
    <row r="500" ht="14.25" customHeight="1">
      <c r="A500" s="151"/>
      <c r="B500" s="151"/>
      <c r="C500" s="125"/>
      <c r="D500" s="126"/>
      <c r="E500" s="144"/>
      <c r="F500" s="145"/>
      <c r="G500" s="183"/>
      <c r="H500" s="140"/>
      <c r="I500" s="183"/>
      <c r="J500" s="131"/>
      <c r="K500" s="89"/>
      <c r="L500" s="89"/>
      <c r="M500" s="89"/>
      <c r="N500" s="89"/>
      <c r="O500" s="89"/>
      <c r="P500" s="89"/>
      <c r="Q500" s="89"/>
      <c r="R500" s="89"/>
      <c r="S500" s="89"/>
      <c r="T500" s="89"/>
      <c r="U500" s="89"/>
      <c r="V500" s="89"/>
      <c r="W500" s="89"/>
      <c r="X500" s="89"/>
      <c r="Y500" s="89"/>
      <c r="Z500" s="89"/>
      <c r="AA500" s="89"/>
    </row>
    <row r="501" ht="14.25" customHeight="1">
      <c r="A501" s="143"/>
      <c r="B501" s="143"/>
      <c r="C501" s="125"/>
      <c r="D501" s="126"/>
      <c r="E501" s="144"/>
      <c r="F501" s="145"/>
      <c r="G501" s="183"/>
      <c r="H501" s="140"/>
      <c r="I501" s="183"/>
      <c r="J501" s="131"/>
      <c r="K501" s="89"/>
      <c r="L501" s="89"/>
      <c r="M501" s="89"/>
      <c r="N501" s="89"/>
      <c r="O501" s="89"/>
      <c r="P501" s="89"/>
      <c r="Q501" s="89"/>
      <c r="R501" s="89"/>
      <c r="S501" s="89"/>
      <c r="T501" s="89"/>
      <c r="U501" s="89"/>
      <c r="V501" s="89"/>
      <c r="W501" s="89"/>
      <c r="X501" s="89"/>
      <c r="Y501" s="89"/>
      <c r="Z501" s="89"/>
      <c r="AA501" s="89"/>
    </row>
    <row r="502" ht="14.25" customHeight="1">
      <c r="A502" s="143"/>
      <c r="B502" s="143"/>
      <c r="C502" s="125"/>
      <c r="D502" s="126"/>
      <c r="E502" s="144"/>
      <c r="F502" s="145"/>
      <c r="G502" s="183"/>
      <c r="H502" s="140"/>
      <c r="I502" s="183"/>
      <c r="J502" s="131"/>
      <c r="K502" s="89"/>
      <c r="L502" s="89"/>
      <c r="M502" s="89"/>
      <c r="N502" s="89"/>
      <c r="O502" s="89"/>
      <c r="P502" s="89"/>
      <c r="Q502" s="89"/>
      <c r="R502" s="89"/>
      <c r="S502" s="89"/>
      <c r="T502" s="89"/>
      <c r="U502" s="89"/>
      <c r="V502" s="89"/>
      <c r="W502" s="89"/>
      <c r="X502" s="89"/>
      <c r="Y502" s="89"/>
      <c r="Z502" s="89"/>
      <c r="AA502" s="89"/>
    </row>
    <row r="503" ht="14.25" customHeight="1">
      <c r="A503" s="143"/>
      <c r="B503" s="143"/>
      <c r="C503" s="125"/>
      <c r="D503" s="126"/>
      <c r="E503" s="144"/>
      <c r="F503" s="145"/>
      <c r="G503" s="183"/>
      <c r="H503" s="140"/>
      <c r="I503" s="183"/>
      <c r="J503" s="131"/>
      <c r="K503" s="89"/>
      <c r="L503" s="89"/>
      <c r="M503" s="89"/>
      <c r="N503" s="89"/>
      <c r="O503" s="89"/>
      <c r="P503" s="89"/>
      <c r="Q503" s="89"/>
      <c r="R503" s="89"/>
      <c r="S503" s="89"/>
      <c r="T503" s="89"/>
      <c r="U503" s="89"/>
      <c r="V503" s="89"/>
      <c r="W503" s="89"/>
      <c r="X503" s="89"/>
      <c r="Y503" s="89"/>
      <c r="Z503" s="89"/>
      <c r="AA503" s="89"/>
    </row>
    <row r="504" ht="14.25" customHeight="1">
      <c r="A504" s="143"/>
      <c r="B504" s="143"/>
      <c r="C504" s="125"/>
      <c r="D504" s="126"/>
      <c r="E504" s="144"/>
      <c r="F504" s="145"/>
      <c r="G504" s="183"/>
      <c r="H504" s="140"/>
      <c r="I504" s="183"/>
      <c r="J504" s="131"/>
      <c r="K504" s="89"/>
      <c r="L504" s="89"/>
      <c r="M504" s="89"/>
      <c r="N504" s="89"/>
      <c r="O504" s="89"/>
      <c r="P504" s="89"/>
      <c r="Q504" s="89"/>
      <c r="R504" s="89"/>
      <c r="S504" s="89"/>
      <c r="T504" s="89"/>
      <c r="U504" s="89"/>
      <c r="V504" s="89"/>
      <c r="W504" s="89"/>
      <c r="X504" s="89"/>
      <c r="Y504" s="89"/>
      <c r="Z504" s="89"/>
      <c r="AA504" s="89"/>
    </row>
    <row r="505" ht="14.25" customHeight="1">
      <c r="A505" s="143"/>
      <c r="B505" s="143"/>
      <c r="C505" s="125"/>
      <c r="D505" s="126"/>
      <c r="E505" s="144"/>
      <c r="F505" s="145"/>
      <c r="G505" s="183"/>
      <c r="H505" s="140"/>
      <c r="I505" s="183"/>
      <c r="J505" s="131"/>
      <c r="K505" s="89"/>
      <c r="L505" s="89"/>
      <c r="M505" s="89"/>
      <c r="N505" s="89"/>
      <c r="O505" s="89"/>
      <c r="P505" s="89"/>
      <c r="Q505" s="89"/>
      <c r="R505" s="89"/>
      <c r="S505" s="89"/>
      <c r="T505" s="89"/>
      <c r="U505" s="89"/>
      <c r="V505" s="89"/>
      <c r="W505" s="89"/>
      <c r="X505" s="89"/>
      <c r="Y505" s="89"/>
      <c r="Z505" s="89"/>
      <c r="AA505" s="89"/>
    </row>
    <row r="506" ht="14.25" customHeight="1">
      <c r="A506" s="143"/>
      <c r="B506" s="143"/>
      <c r="C506" s="125"/>
      <c r="D506" s="126"/>
      <c r="E506" s="144"/>
      <c r="F506" s="145"/>
      <c r="G506" s="183"/>
      <c r="H506" s="140"/>
      <c r="I506" s="183"/>
      <c r="J506" s="131"/>
      <c r="K506" s="89"/>
      <c r="L506" s="89"/>
      <c r="M506" s="89"/>
      <c r="N506" s="89"/>
      <c r="O506" s="89"/>
      <c r="P506" s="89"/>
      <c r="Q506" s="89"/>
      <c r="R506" s="89"/>
      <c r="S506" s="89"/>
      <c r="T506" s="89"/>
      <c r="U506" s="89"/>
      <c r="V506" s="89"/>
      <c r="W506" s="89"/>
      <c r="X506" s="89"/>
      <c r="Y506" s="89"/>
      <c r="Z506" s="89"/>
      <c r="AA506" s="89"/>
    </row>
    <row r="507" ht="14.25" customHeight="1">
      <c r="A507" s="143"/>
      <c r="B507" s="143"/>
      <c r="C507" s="125"/>
      <c r="D507" s="126"/>
      <c r="E507" s="144"/>
      <c r="F507" s="145"/>
      <c r="G507" s="183"/>
      <c r="H507" s="140"/>
      <c r="I507" s="183"/>
      <c r="J507" s="131"/>
      <c r="K507" s="89"/>
      <c r="L507" s="89"/>
      <c r="M507" s="89"/>
      <c r="N507" s="89"/>
      <c r="O507" s="89"/>
      <c r="P507" s="89"/>
      <c r="Q507" s="89"/>
      <c r="R507" s="89"/>
      <c r="S507" s="89"/>
      <c r="T507" s="89"/>
      <c r="U507" s="89"/>
      <c r="V507" s="89"/>
      <c r="W507" s="89"/>
      <c r="X507" s="89"/>
      <c r="Y507" s="89"/>
      <c r="Z507" s="89"/>
      <c r="AA507" s="89"/>
    </row>
    <row r="508" ht="14.25" customHeight="1">
      <c r="A508" s="143"/>
      <c r="B508" s="143"/>
      <c r="C508" s="125"/>
      <c r="D508" s="126"/>
      <c r="E508" s="144"/>
      <c r="F508" s="145"/>
      <c r="G508" s="183"/>
      <c r="H508" s="140"/>
      <c r="I508" s="183"/>
      <c r="J508" s="131"/>
      <c r="K508" s="89"/>
      <c r="L508" s="89"/>
      <c r="M508" s="89"/>
      <c r="N508" s="89"/>
      <c r="O508" s="89"/>
      <c r="P508" s="89"/>
      <c r="Q508" s="89"/>
      <c r="R508" s="89"/>
      <c r="S508" s="89"/>
      <c r="T508" s="89"/>
      <c r="U508" s="89"/>
      <c r="V508" s="89"/>
      <c r="W508" s="89"/>
      <c r="X508" s="89"/>
      <c r="Y508" s="89"/>
      <c r="Z508" s="89"/>
      <c r="AA508" s="89"/>
    </row>
    <row r="509" ht="14.25" customHeight="1">
      <c r="A509" s="143"/>
      <c r="B509" s="143"/>
      <c r="C509" s="125"/>
      <c r="D509" s="126"/>
      <c r="E509" s="144"/>
      <c r="F509" s="145"/>
      <c r="G509" s="183"/>
      <c r="H509" s="140"/>
      <c r="I509" s="183"/>
      <c r="J509" s="131"/>
      <c r="K509" s="89"/>
      <c r="L509" s="89"/>
      <c r="M509" s="89"/>
      <c r="N509" s="89"/>
      <c r="O509" s="89"/>
      <c r="P509" s="89"/>
      <c r="Q509" s="89"/>
      <c r="R509" s="89"/>
      <c r="S509" s="89"/>
      <c r="T509" s="89"/>
      <c r="U509" s="89"/>
      <c r="V509" s="89"/>
      <c r="W509" s="89"/>
      <c r="X509" s="89"/>
      <c r="Y509" s="89"/>
      <c r="Z509" s="89"/>
      <c r="AA509" s="89"/>
    </row>
    <row r="510" ht="14.25" customHeight="1">
      <c r="A510" s="151"/>
      <c r="B510" s="151"/>
      <c r="C510" s="125"/>
      <c r="D510" s="126"/>
      <c r="E510" s="144"/>
      <c r="F510" s="145"/>
      <c r="G510" s="183"/>
      <c r="H510" s="140"/>
      <c r="I510" s="183"/>
      <c r="J510" s="131"/>
      <c r="K510" s="89"/>
      <c r="L510" s="89"/>
      <c r="M510" s="89"/>
      <c r="N510" s="89"/>
      <c r="O510" s="89"/>
      <c r="P510" s="89"/>
      <c r="Q510" s="89"/>
      <c r="R510" s="89"/>
      <c r="S510" s="89"/>
      <c r="T510" s="89"/>
      <c r="U510" s="89"/>
      <c r="V510" s="89"/>
      <c r="W510" s="89"/>
      <c r="X510" s="89"/>
      <c r="Y510" s="89"/>
      <c r="Z510" s="89"/>
      <c r="AA510" s="89"/>
    </row>
    <row r="511" ht="14.25" customHeight="1">
      <c r="A511" s="143"/>
      <c r="B511" s="143"/>
      <c r="C511" s="125"/>
      <c r="D511" s="126"/>
      <c r="E511" s="144"/>
      <c r="F511" s="145"/>
      <c r="G511" s="183"/>
      <c r="H511" s="140"/>
      <c r="I511" s="183"/>
      <c r="J511" s="131"/>
      <c r="K511" s="89"/>
      <c r="L511" s="89"/>
      <c r="M511" s="89"/>
      <c r="N511" s="89"/>
      <c r="O511" s="89"/>
      <c r="P511" s="89"/>
      <c r="Q511" s="89"/>
      <c r="R511" s="89"/>
      <c r="S511" s="89"/>
      <c r="T511" s="89"/>
      <c r="U511" s="89"/>
      <c r="V511" s="89"/>
      <c r="W511" s="89"/>
      <c r="X511" s="89"/>
      <c r="Y511" s="89"/>
      <c r="Z511" s="89"/>
      <c r="AA511" s="89"/>
    </row>
    <row r="512" ht="14.25" customHeight="1">
      <c r="A512" s="143"/>
      <c r="B512" s="143"/>
      <c r="C512" s="125"/>
      <c r="D512" s="126"/>
      <c r="E512" s="144"/>
      <c r="F512" s="145"/>
      <c r="G512" s="183"/>
      <c r="H512" s="140"/>
      <c r="I512" s="183"/>
      <c r="J512" s="131"/>
      <c r="K512" s="89"/>
      <c r="L512" s="89"/>
      <c r="M512" s="89"/>
      <c r="N512" s="89"/>
      <c r="O512" s="89"/>
      <c r="P512" s="89"/>
      <c r="Q512" s="89"/>
      <c r="R512" s="89"/>
      <c r="S512" s="89"/>
      <c r="T512" s="89"/>
      <c r="U512" s="89"/>
      <c r="V512" s="89"/>
      <c r="W512" s="89"/>
      <c r="X512" s="89"/>
      <c r="Y512" s="89"/>
      <c r="Z512" s="89"/>
      <c r="AA512" s="89"/>
    </row>
    <row r="513" ht="14.25" customHeight="1">
      <c r="A513" s="143"/>
      <c r="B513" s="143"/>
      <c r="C513" s="125"/>
      <c r="D513" s="126"/>
      <c r="E513" s="144"/>
      <c r="F513" s="145"/>
      <c r="G513" s="183"/>
      <c r="H513" s="140"/>
      <c r="I513" s="183"/>
      <c r="J513" s="131"/>
      <c r="K513" s="89"/>
      <c r="L513" s="89"/>
      <c r="M513" s="89"/>
      <c r="N513" s="89"/>
      <c r="O513" s="89"/>
      <c r="P513" s="89"/>
      <c r="Q513" s="89"/>
      <c r="R513" s="89"/>
      <c r="S513" s="89"/>
      <c r="T513" s="89"/>
      <c r="U513" s="89"/>
      <c r="V513" s="89"/>
      <c r="W513" s="89"/>
      <c r="X513" s="89"/>
      <c r="Y513" s="89"/>
      <c r="Z513" s="89"/>
      <c r="AA513" s="89"/>
    </row>
    <row r="514" ht="14.25" customHeight="1">
      <c r="A514" s="143"/>
      <c r="B514" s="143"/>
      <c r="C514" s="125"/>
      <c r="D514" s="126"/>
      <c r="E514" s="144"/>
      <c r="F514" s="145"/>
      <c r="G514" s="183"/>
      <c r="H514" s="140"/>
      <c r="I514" s="183"/>
      <c r="J514" s="131"/>
      <c r="K514" s="89"/>
      <c r="L514" s="89"/>
      <c r="M514" s="89"/>
      <c r="N514" s="89"/>
      <c r="O514" s="89"/>
      <c r="P514" s="89"/>
      <c r="Q514" s="89"/>
      <c r="R514" s="89"/>
      <c r="S514" s="89"/>
      <c r="T514" s="89"/>
      <c r="U514" s="89"/>
      <c r="V514" s="89"/>
      <c r="W514" s="89"/>
      <c r="X514" s="89"/>
      <c r="Y514" s="89"/>
      <c r="Z514" s="89"/>
      <c r="AA514" s="89"/>
    </row>
    <row r="515" ht="14.25" customHeight="1">
      <c r="A515" s="143"/>
      <c r="B515" s="143"/>
      <c r="C515" s="125"/>
      <c r="D515" s="126"/>
      <c r="E515" s="144"/>
      <c r="F515" s="145"/>
      <c r="G515" s="183"/>
      <c r="H515" s="140"/>
      <c r="I515" s="183"/>
      <c r="J515" s="131"/>
      <c r="K515" s="89"/>
      <c r="L515" s="89"/>
      <c r="M515" s="89"/>
      <c r="N515" s="89"/>
      <c r="O515" s="89"/>
      <c r="P515" s="89"/>
      <c r="Q515" s="89"/>
      <c r="R515" s="89"/>
      <c r="S515" s="89"/>
      <c r="T515" s="89"/>
      <c r="U515" s="89"/>
      <c r="V515" s="89"/>
      <c r="W515" s="89"/>
      <c r="X515" s="89"/>
      <c r="Y515" s="89"/>
      <c r="Z515" s="89"/>
      <c r="AA515" s="89"/>
    </row>
    <row r="516" ht="14.25" customHeight="1">
      <c r="A516" s="143"/>
      <c r="B516" s="143"/>
      <c r="C516" s="125"/>
      <c r="D516" s="126"/>
      <c r="E516" s="144"/>
      <c r="F516" s="145"/>
      <c r="G516" s="183"/>
      <c r="H516" s="140"/>
      <c r="I516" s="183"/>
      <c r="J516" s="131"/>
      <c r="K516" s="89"/>
      <c r="L516" s="89"/>
      <c r="M516" s="89"/>
      <c r="N516" s="89"/>
      <c r="O516" s="89"/>
      <c r="P516" s="89"/>
      <c r="Q516" s="89"/>
      <c r="R516" s="89"/>
      <c r="S516" s="89"/>
      <c r="T516" s="89"/>
      <c r="U516" s="89"/>
      <c r="V516" s="89"/>
      <c r="W516" s="89"/>
      <c r="X516" s="89"/>
      <c r="Y516" s="89"/>
      <c r="Z516" s="89"/>
      <c r="AA516" s="89"/>
    </row>
    <row r="517" ht="14.25" customHeight="1">
      <c r="A517" s="143"/>
      <c r="B517" s="143"/>
      <c r="C517" s="125"/>
      <c r="D517" s="126"/>
      <c r="E517" s="144"/>
      <c r="F517" s="145"/>
      <c r="G517" s="183"/>
      <c r="H517" s="140"/>
      <c r="I517" s="183"/>
      <c r="J517" s="131"/>
      <c r="K517" s="89"/>
      <c r="L517" s="89"/>
      <c r="M517" s="89"/>
      <c r="N517" s="89"/>
      <c r="O517" s="89"/>
      <c r="P517" s="89"/>
      <c r="Q517" s="89"/>
      <c r="R517" s="89"/>
      <c r="S517" s="89"/>
      <c r="T517" s="89"/>
      <c r="U517" s="89"/>
      <c r="V517" s="89"/>
      <c r="W517" s="89"/>
      <c r="X517" s="89"/>
      <c r="Y517" s="89"/>
      <c r="Z517" s="89"/>
      <c r="AA517" s="89"/>
    </row>
    <row r="518" ht="14.25" customHeight="1">
      <c r="A518" s="143"/>
      <c r="B518" s="143"/>
      <c r="C518" s="125"/>
      <c r="D518" s="126"/>
      <c r="E518" s="144"/>
      <c r="F518" s="145"/>
      <c r="G518" s="183"/>
      <c r="H518" s="140"/>
      <c r="I518" s="183"/>
      <c r="J518" s="131"/>
      <c r="K518" s="89"/>
      <c r="L518" s="89"/>
      <c r="M518" s="89"/>
      <c r="N518" s="89"/>
      <c r="O518" s="89"/>
      <c r="P518" s="89"/>
      <c r="Q518" s="89"/>
      <c r="R518" s="89"/>
      <c r="S518" s="89"/>
      <c r="T518" s="89"/>
      <c r="U518" s="89"/>
      <c r="V518" s="89"/>
      <c r="W518" s="89"/>
      <c r="X518" s="89"/>
      <c r="Y518" s="89"/>
      <c r="Z518" s="89"/>
      <c r="AA518" s="89"/>
    </row>
    <row r="519" ht="14.25" customHeight="1">
      <c r="A519" s="143"/>
      <c r="B519" s="143"/>
      <c r="C519" s="125"/>
      <c r="D519" s="126"/>
      <c r="E519" s="144"/>
      <c r="F519" s="145"/>
      <c r="G519" s="183"/>
      <c r="H519" s="140"/>
      <c r="I519" s="183"/>
      <c r="J519" s="131"/>
      <c r="K519" s="89"/>
      <c r="L519" s="89"/>
      <c r="M519" s="89"/>
      <c r="N519" s="89"/>
      <c r="O519" s="89"/>
      <c r="P519" s="89"/>
      <c r="Q519" s="89"/>
      <c r="R519" s="89"/>
      <c r="S519" s="89"/>
      <c r="T519" s="89"/>
      <c r="U519" s="89"/>
      <c r="V519" s="89"/>
      <c r="W519" s="89"/>
      <c r="X519" s="89"/>
      <c r="Y519" s="89"/>
      <c r="Z519" s="89"/>
      <c r="AA519" s="89"/>
    </row>
    <row r="520" ht="14.25" customHeight="1">
      <c r="A520" s="151"/>
      <c r="B520" s="151"/>
      <c r="C520" s="125"/>
      <c r="D520" s="126"/>
      <c r="E520" s="144"/>
      <c r="F520" s="145"/>
      <c r="G520" s="183"/>
      <c r="H520" s="140"/>
      <c r="I520" s="183"/>
      <c r="J520" s="131"/>
      <c r="K520" s="89"/>
      <c r="L520" s="89"/>
      <c r="M520" s="89"/>
      <c r="N520" s="89"/>
      <c r="O520" s="89"/>
      <c r="P520" s="89"/>
      <c r="Q520" s="89"/>
      <c r="R520" s="89"/>
      <c r="S520" s="89"/>
      <c r="T520" s="89"/>
      <c r="U520" s="89"/>
      <c r="V520" s="89"/>
      <c r="W520" s="89"/>
      <c r="X520" s="89"/>
      <c r="Y520" s="89"/>
      <c r="Z520" s="89"/>
      <c r="AA520" s="89"/>
    </row>
    <row r="521" ht="14.25" customHeight="1">
      <c r="A521" s="143"/>
      <c r="B521" s="143"/>
      <c r="C521" s="125"/>
      <c r="D521" s="126"/>
      <c r="E521" s="144"/>
      <c r="F521" s="145"/>
      <c r="G521" s="183"/>
      <c r="H521" s="140"/>
      <c r="I521" s="183"/>
      <c r="J521" s="131"/>
      <c r="K521" s="89"/>
      <c r="L521" s="89"/>
      <c r="M521" s="89"/>
      <c r="N521" s="89"/>
      <c r="O521" s="89"/>
      <c r="P521" s="89"/>
      <c r="Q521" s="89"/>
      <c r="R521" s="89"/>
      <c r="S521" s="89"/>
      <c r="T521" s="89"/>
      <c r="U521" s="89"/>
      <c r="V521" s="89"/>
      <c r="W521" s="89"/>
      <c r="X521" s="89"/>
      <c r="Y521" s="89"/>
      <c r="Z521" s="89"/>
      <c r="AA521" s="89"/>
    </row>
    <row r="522" ht="14.25" customHeight="1">
      <c r="A522" s="143"/>
      <c r="B522" s="143"/>
      <c r="C522" s="125"/>
      <c r="D522" s="126"/>
      <c r="E522" s="144"/>
      <c r="F522" s="145"/>
      <c r="G522" s="183"/>
      <c r="H522" s="140"/>
      <c r="I522" s="183"/>
      <c r="J522" s="131"/>
      <c r="K522" s="89"/>
      <c r="L522" s="89"/>
      <c r="M522" s="89"/>
      <c r="N522" s="89"/>
      <c r="O522" s="89"/>
      <c r="P522" s="89"/>
      <c r="Q522" s="89"/>
      <c r="R522" s="89"/>
      <c r="S522" s="89"/>
      <c r="T522" s="89"/>
      <c r="U522" s="89"/>
      <c r="V522" s="89"/>
      <c r="W522" s="89"/>
      <c r="X522" s="89"/>
      <c r="Y522" s="89"/>
      <c r="Z522" s="89"/>
      <c r="AA522" s="89"/>
    </row>
    <row r="523" ht="14.25" customHeight="1">
      <c r="A523" s="143"/>
      <c r="B523" s="143"/>
      <c r="C523" s="125"/>
      <c r="D523" s="126"/>
      <c r="E523" s="144"/>
      <c r="F523" s="145"/>
      <c r="G523" s="183"/>
      <c r="H523" s="140"/>
      <c r="I523" s="183"/>
      <c r="J523" s="131"/>
      <c r="K523" s="89"/>
      <c r="L523" s="89"/>
      <c r="M523" s="89"/>
      <c r="N523" s="89"/>
      <c r="O523" s="89"/>
      <c r="P523" s="89"/>
      <c r="Q523" s="89"/>
      <c r="R523" s="89"/>
      <c r="S523" s="89"/>
      <c r="T523" s="89"/>
      <c r="U523" s="89"/>
      <c r="V523" s="89"/>
      <c r="W523" s="89"/>
      <c r="X523" s="89"/>
      <c r="Y523" s="89"/>
      <c r="Z523" s="89"/>
      <c r="AA523" s="89"/>
    </row>
    <row r="524" ht="14.25" customHeight="1">
      <c r="A524" s="143"/>
      <c r="B524" s="143"/>
      <c r="C524" s="125"/>
      <c r="D524" s="126"/>
      <c r="E524" s="144"/>
      <c r="F524" s="145"/>
      <c r="G524" s="183"/>
      <c r="H524" s="140"/>
      <c r="I524" s="183"/>
      <c r="J524" s="131"/>
      <c r="K524" s="89"/>
      <c r="L524" s="89"/>
      <c r="M524" s="89"/>
      <c r="N524" s="89"/>
      <c r="O524" s="89"/>
      <c r="P524" s="89"/>
      <c r="Q524" s="89"/>
      <c r="R524" s="89"/>
      <c r="S524" s="89"/>
      <c r="T524" s="89"/>
      <c r="U524" s="89"/>
      <c r="V524" s="89"/>
      <c r="W524" s="89"/>
      <c r="X524" s="89"/>
      <c r="Y524" s="89"/>
      <c r="Z524" s="89"/>
      <c r="AA524" s="89"/>
    </row>
    <row r="525" ht="14.25" customHeight="1">
      <c r="A525" s="143"/>
      <c r="B525" s="143"/>
      <c r="C525" s="125"/>
      <c r="D525" s="126"/>
      <c r="E525" s="144"/>
      <c r="F525" s="145"/>
      <c r="G525" s="183"/>
      <c r="H525" s="140"/>
      <c r="I525" s="183"/>
      <c r="J525" s="131"/>
      <c r="K525" s="89"/>
      <c r="L525" s="89"/>
      <c r="M525" s="89"/>
      <c r="N525" s="89"/>
      <c r="O525" s="89"/>
      <c r="P525" s="89"/>
      <c r="Q525" s="89"/>
      <c r="R525" s="89"/>
      <c r="S525" s="89"/>
      <c r="T525" s="89"/>
      <c r="U525" s="89"/>
      <c r="V525" s="89"/>
      <c r="W525" s="89"/>
      <c r="X525" s="89"/>
      <c r="Y525" s="89"/>
      <c r="Z525" s="89"/>
      <c r="AA525" s="89"/>
    </row>
    <row r="526" ht="14.25" customHeight="1">
      <c r="A526" s="143"/>
      <c r="B526" s="143"/>
      <c r="C526" s="125"/>
      <c r="D526" s="126"/>
      <c r="E526" s="144"/>
      <c r="F526" s="145"/>
      <c r="G526" s="183"/>
      <c r="H526" s="140"/>
      <c r="I526" s="183"/>
      <c r="J526" s="131"/>
      <c r="K526" s="89"/>
      <c r="L526" s="89"/>
      <c r="M526" s="89"/>
      <c r="N526" s="89"/>
      <c r="O526" s="89"/>
      <c r="P526" s="89"/>
      <c r="Q526" s="89"/>
      <c r="R526" s="89"/>
      <c r="S526" s="89"/>
      <c r="T526" s="89"/>
      <c r="U526" s="89"/>
      <c r="V526" s="89"/>
      <c r="W526" s="89"/>
      <c r="X526" s="89"/>
      <c r="Y526" s="89"/>
      <c r="Z526" s="89"/>
      <c r="AA526" s="89"/>
    </row>
    <row r="527" ht="14.25" customHeight="1">
      <c r="A527" s="143"/>
      <c r="B527" s="143"/>
      <c r="C527" s="125"/>
      <c r="D527" s="126"/>
      <c r="E527" s="144"/>
      <c r="F527" s="145"/>
      <c r="G527" s="183"/>
      <c r="H527" s="140"/>
      <c r="I527" s="183"/>
      <c r="J527" s="131"/>
      <c r="K527" s="89"/>
      <c r="L527" s="89"/>
      <c r="M527" s="89"/>
      <c r="N527" s="89"/>
      <c r="O527" s="89"/>
      <c r="P527" s="89"/>
      <c r="Q527" s="89"/>
      <c r="R527" s="89"/>
      <c r="S527" s="89"/>
      <c r="T527" s="89"/>
      <c r="U527" s="89"/>
      <c r="V527" s="89"/>
      <c r="W527" s="89"/>
      <c r="X527" s="89"/>
      <c r="Y527" s="89"/>
      <c r="Z527" s="89"/>
      <c r="AA527" s="89"/>
    </row>
    <row r="528" ht="14.25" customHeight="1">
      <c r="A528" s="143"/>
      <c r="B528" s="143"/>
      <c r="C528" s="125"/>
      <c r="D528" s="126"/>
      <c r="E528" s="144"/>
      <c r="F528" s="145"/>
      <c r="G528" s="183"/>
      <c r="H528" s="140"/>
      <c r="I528" s="183"/>
      <c r="J528" s="131"/>
      <c r="K528" s="89"/>
      <c r="L528" s="89"/>
      <c r="M528" s="89"/>
      <c r="N528" s="89"/>
      <c r="O528" s="89"/>
      <c r="P528" s="89"/>
      <c r="Q528" s="89"/>
      <c r="R528" s="89"/>
      <c r="S528" s="89"/>
      <c r="T528" s="89"/>
      <c r="U528" s="89"/>
      <c r="V528" s="89"/>
      <c r="W528" s="89"/>
      <c r="X528" s="89"/>
      <c r="Y528" s="89"/>
      <c r="Z528" s="89"/>
      <c r="AA528" s="89"/>
    </row>
    <row r="529" ht="14.25" customHeight="1">
      <c r="A529" s="143"/>
      <c r="B529" s="143"/>
      <c r="C529" s="125"/>
      <c r="D529" s="126"/>
      <c r="E529" s="144"/>
      <c r="F529" s="145"/>
      <c r="G529" s="183"/>
      <c r="H529" s="140"/>
      <c r="I529" s="183"/>
      <c r="J529" s="131"/>
      <c r="K529" s="89"/>
      <c r="L529" s="89"/>
      <c r="M529" s="89"/>
      <c r="N529" s="89"/>
      <c r="O529" s="89"/>
      <c r="P529" s="89"/>
      <c r="Q529" s="89"/>
      <c r="R529" s="89"/>
      <c r="S529" s="89"/>
      <c r="T529" s="89"/>
      <c r="U529" s="89"/>
      <c r="V529" s="89"/>
      <c r="W529" s="89"/>
      <c r="X529" s="89"/>
      <c r="Y529" s="89"/>
      <c r="Z529" s="89"/>
      <c r="AA529" s="89"/>
    </row>
    <row r="530" ht="14.25" customHeight="1">
      <c r="A530" s="151"/>
      <c r="B530" s="151"/>
      <c r="C530" s="125"/>
      <c r="D530" s="126"/>
      <c r="E530" s="144"/>
      <c r="F530" s="145"/>
      <c r="G530" s="183"/>
      <c r="H530" s="140"/>
      <c r="I530" s="183"/>
      <c r="J530" s="131"/>
      <c r="K530" s="89"/>
      <c r="L530" s="89"/>
      <c r="M530" s="89"/>
      <c r="N530" s="89"/>
      <c r="O530" s="89"/>
      <c r="P530" s="89"/>
      <c r="Q530" s="89"/>
      <c r="R530" s="89"/>
      <c r="S530" s="89"/>
      <c r="T530" s="89"/>
      <c r="U530" s="89"/>
      <c r="V530" s="89"/>
      <c r="W530" s="89"/>
      <c r="X530" s="89"/>
      <c r="Y530" s="89"/>
      <c r="Z530" s="89"/>
      <c r="AA530" s="89"/>
    </row>
    <row r="531" ht="14.25" customHeight="1">
      <c r="A531" s="143"/>
      <c r="B531" s="143"/>
      <c r="C531" s="125"/>
      <c r="D531" s="126"/>
      <c r="E531" s="144"/>
      <c r="F531" s="145"/>
      <c r="G531" s="183"/>
      <c r="H531" s="140"/>
      <c r="I531" s="183"/>
      <c r="J531" s="131"/>
      <c r="K531" s="89"/>
      <c r="L531" s="89"/>
      <c r="M531" s="89"/>
      <c r="N531" s="89"/>
      <c r="O531" s="89"/>
      <c r="P531" s="89"/>
      <c r="Q531" s="89"/>
      <c r="R531" s="89"/>
      <c r="S531" s="89"/>
      <c r="T531" s="89"/>
      <c r="U531" s="89"/>
      <c r="V531" s="89"/>
      <c r="W531" s="89"/>
      <c r="X531" s="89"/>
      <c r="Y531" s="89"/>
      <c r="Z531" s="89"/>
      <c r="AA531" s="89"/>
    </row>
    <row r="532" ht="14.25" customHeight="1">
      <c r="A532" s="143"/>
      <c r="B532" s="143"/>
      <c r="C532" s="125"/>
      <c r="D532" s="126"/>
      <c r="E532" s="144"/>
      <c r="F532" s="145"/>
      <c r="G532" s="183"/>
      <c r="H532" s="140"/>
      <c r="I532" s="183"/>
      <c r="J532" s="131"/>
      <c r="K532" s="89"/>
      <c r="L532" s="89"/>
      <c r="M532" s="89"/>
      <c r="N532" s="89"/>
      <c r="O532" s="89"/>
      <c r="P532" s="89"/>
      <c r="Q532" s="89"/>
      <c r="R532" s="89"/>
      <c r="S532" s="89"/>
      <c r="T532" s="89"/>
      <c r="U532" s="89"/>
      <c r="V532" s="89"/>
      <c r="W532" s="89"/>
      <c r="X532" s="89"/>
      <c r="Y532" s="89"/>
      <c r="Z532" s="89"/>
      <c r="AA532" s="89"/>
    </row>
    <row r="533" ht="14.25" customHeight="1">
      <c r="A533" s="143"/>
      <c r="B533" s="143"/>
      <c r="C533" s="125"/>
      <c r="D533" s="126"/>
      <c r="E533" s="144"/>
      <c r="F533" s="145"/>
      <c r="G533" s="183"/>
      <c r="H533" s="140"/>
      <c r="I533" s="183"/>
      <c r="J533" s="131"/>
      <c r="K533" s="89"/>
      <c r="L533" s="89"/>
      <c r="M533" s="89"/>
      <c r="N533" s="89"/>
      <c r="O533" s="89"/>
      <c r="P533" s="89"/>
      <c r="Q533" s="89"/>
      <c r="R533" s="89"/>
      <c r="S533" s="89"/>
      <c r="T533" s="89"/>
      <c r="U533" s="89"/>
      <c r="V533" s="89"/>
      <c r="W533" s="89"/>
      <c r="X533" s="89"/>
      <c r="Y533" s="89"/>
      <c r="Z533" s="89"/>
      <c r="AA533" s="89"/>
    </row>
    <row r="534" ht="14.25" customHeight="1">
      <c r="A534" s="143"/>
      <c r="B534" s="143"/>
      <c r="C534" s="125"/>
      <c r="D534" s="126"/>
      <c r="E534" s="144"/>
      <c r="F534" s="145"/>
      <c r="G534" s="183"/>
      <c r="H534" s="140"/>
      <c r="I534" s="183"/>
      <c r="J534" s="131"/>
      <c r="K534" s="89"/>
      <c r="L534" s="89"/>
      <c r="M534" s="89"/>
      <c r="N534" s="89"/>
      <c r="O534" s="89"/>
      <c r="P534" s="89"/>
      <c r="Q534" s="89"/>
      <c r="R534" s="89"/>
      <c r="S534" s="89"/>
      <c r="T534" s="89"/>
      <c r="U534" s="89"/>
      <c r="V534" s="89"/>
      <c r="W534" s="89"/>
      <c r="X534" s="89"/>
      <c r="Y534" s="89"/>
      <c r="Z534" s="89"/>
      <c r="AA534" s="89"/>
    </row>
    <row r="535" ht="14.25" customHeight="1">
      <c r="A535" s="143"/>
      <c r="B535" s="143"/>
      <c r="C535" s="125"/>
      <c r="D535" s="126"/>
      <c r="E535" s="144"/>
      <c r="F535" s="145"/>
      <c r="G535" s="183"/>
      <c r="H535" s="140"/>
      <c r="I535" s="183"/>
      <c r="J535" s="131"/>
      <c r="K535" s="89"/>
      <c r="L535" s="89"/>
      <c r="M535" s="89"/>
      <c r="N535" s="89"/>
      <c r="O535" s="89"/>
      <c r="P535" s="89"/>
      <c r="Q535" s="89"/>
      <c r="R535" s="89"/>
      <c r="S535" s="89"/>
      <c r="T535" s="89"/>
      <c r="U535" s="89"/>
      <c r="V535" s="89"/>
      <c r="W535" s="89"/>
      <c r="X535" s="89"/>
      <c r="Y535" s="89"/>
      <c r="Z535" s="89"/>
      <c r="AA535" s="89"/>
    </row>
    <row r="536" ht="14.25" customHeight="1">
      <c r="A536" s="143"/>
      <c r="B536" s="143"/>
      <c r="C536" s="125"/>
      <c r="D536" s="126"/>
      <c r="E536" s="144"/>
      <c r="F536" s="145"/>
      <c r="G536" s="183"/>
      <c r="H536" s="140"/>
      <c r="I536" s="183"/>
      <c r="J536" s="131"/>
      <c r="K536" s="89"/>
      <c r="L536" s="89"/>
      <c r="M536" s="89"/>
      <c r="N536" s="89"/>
      <c r="O536" s="89"/>
      <c r="P536" s="89"/>
      <c r="Q536" s="89"/>
      <c r="R536" s="89"/>
      <c r="S536" s="89"/>
      <c r="T536" s="89"/>
      <c r="U536" s="89"/>
      <c r="V536" s="89"/>
      <c r="W536" s="89"/>
      <c r="X536" s="89"/>
      <c r="Y536" s="89"/>
      <c r="Z536" s="89"/>
      <c r="AA536" s="89"/>
    </row>
    <row r="537" ht="14.25" customHeight="1">
      <c r="A537" s="143"/>
      <c r="B537" s="143"/>
      <c r="C537" s="125"/>
      <c r="D537" s="126"/>
      <c r="E537" s="144"/>
      <c r="F537" s="145"/>
      <c r="G537" s="183"/>
      <c r="H537" s="140"/>
      <c r="I537" s="183"/>
      <c r="J537" s="131"/>
      <c r="K537" s="89"/>
      <c r="L537" s="89"/>
      <c r="M537" s="89"/>
      <c r="N537" s="89"/>
      <c r="O537" s="89"/>
      <c r="P537" s="89"/>
      <c r="Q537" s="89"/>
      <c r="R537" s="89"/>
      <c r="S537" s="89"/>
      <c r="T537" s="89"/>
      <c r="U537" s="89"/>
      <c r="V537" s="89"/>
      <c r="W537" s="89"/>
      <c r="X537" s="89"/>
      <c r="Y537" s="89"/>
      <c r="Z537" s="89"/>
      <c r="AA537" s="89"/>
    </row>
    <row r="538" ht="14.25" customHeight="1">
      <c r="A538" s="143"/>
      <c r="B538" s="143"/>
      <c r="C538" s="125"/>
      <c r="D538" s="126"/>
      <c r="E538" s="144"/>
      <c r="F538" s="145"/>
      <c r="G538" s="183"/>
      <c r="H538" s="140"/>
      <c r="I538" s="183"/>
      <c r="J538" s="131"/>
      <c r="K538" s="89"/>
      <c r="L538" s="89"/>
      <c r="M538" s="89"/>
      <c r="N538" s="89"/>
      <c r="O538" s="89"/>
      <c r="P538" s="89"/>
      <c r="Q538" s="89"/>
      <c r="R538" s="89"/>
      <c r="S538" s="89"/>
      <c r="T538" s="89"/>
      <c r="U538" s="89"/>
      <c r="V538" s="89"/>
      <c r="W538" s="89"/>
      <c r="X538" s="89"/>
      <c r="Y538" s="89"/>
      <c r="Z538" s="89"/>
      <c r="AA538" s="89"/>
    </row>
    <row r="539" ht="14.25" customHeight="1">
      <c r="A539" s="143"/>
      <c r="B539" s="143"/>
      <c r="C539" s="125"/>
      <c r="D539" s="126"/>
      <c r="E539" s="144"/>
      <c r="F539" s="145"/>
      <c r="G539" s="183"/>
      <c r="H539" s="140"/>
      <c r="I539" s="183"/>
      <c r="J539" s="131"/>
      <c r="K539" s="89"/>
      <c r="L539" s="89"/>
      <c r="M539" s="89"/>
      <c r="N539" s="89"/>
      <c r="O539" s="89"/>
      <c r="P539" s="89"/>
      <c r="Q539" s="89"/>
      <c r="R539" s="89"/>
      <c r="S539" s="89"/>
      <c r="T539" s="89"/>
      <c r="U539" s="89"/>
      <c r="V539" s="89"/>
      <c r="W539" s="89"/>
      <c r="X539" s="89"/>
      <c r="Y539" s="89"/>
      <c r="Z539" s="89"/>
      <c r="AA539" s="89"/>
    </row>
    <row r="540" ht="14.25" customHeight="1">
      <c r="A540" s="151"/>
      <c r="B540" s="151"/>
      <c r="C540" s="125"/>
      <c r="D540" s="126"/>
      <c r="E540" s="144"/>
      <c r="F540" s="145"/>
      <c r="G540" s="183"/>
      <c r="H540" s="140"/>
      <c r="I540" s="183"/>
      <c r="J540" s="131"/>
      <c r="K540" s="89"/>
      <c r="L540" s="89"/>
      <c r="M540" s="89"/>
      <c r="N540" s="89"/>
      <c r="O540" s="89"/>
      <c r="P540" s="89"/>
      <c r="Q540" s="89"/>
      <c r="R540" s="89"/>
      <c r="S540" s="89"/>
      <c r="T540" s="89"/>
      <c r="U540" s="89"/>
      <c r="V540" s="89"/>
      <c r="W540" s="89"/>
      <c r="X540" s="89"/>
      <c r="Y540" s="89"/>
      <c r="Z540" s="89"/>
      <c r="AA540" s="89"/>
    </row>
    <row r="541" ht="14.25" customHeight="1">
      <c r="A541" s="143"/>
      <c r="B541" s="143"/>
      <c r="C541" s="125"/>
      <c r="D541" s="126"/>
      <c r="E541" s="144"/>
      <c r="F541" s="145"/>
      <c r="G541" s="183"/>
      <c r="H541" s="140"/>
      <c r="I541" s="183"/>
      <c r="J541" s="131"/>
      <c r="K541" s="89"/>
      <c r="L541" s="89"/>
      <c r="M541" s="89"/>
      <c r="N541" s="89"/>
      <c r="O541" s="89"/>
      <c r="P541" s="89"/>
      <c r="Q541" s="89"/>
      <c r="R541" s="89"/>
      <c r="S541" s="89"/>
      <c r="T541" s="89"/>
      <c r="U541" s="89"/>
      <c r="V541" s="89"/>
      <c r="W541" s="89"/>
      <c r="X541" s="89"/>
      <c r="Y541" s="89"/>
      <c r="Z541" s="89"/>
      <c r="AA541" s="89"/>
    </row>
    <row r="542" ht="14.25" customHeight="1">
      <c r="A542" s="143"/>
      <c r="B542" s="143"/>
      <c r="C542" s="125"/>
      <c r="D542" s="126"/>
      <c r="E542" s="144"/>
      <c r="F542" s="145"/>
      <c r="G542" s="183"/>
      <c r="H542" s="140"/>
      <c r="I542" s="183"/>
      <c r="J542" s="131"/>
      <c r="K542" s="89"/>
      <c r="L542" s="89"/>
      <c r="M542" s="89"/>
      <c r="N542" s="89"/>
      <c r="O542" s="89"/>
      <c r="P542" s="89"/>
      <c r="Q542" s="89"/>
      <c r="R542" s="89"/>
      <c r="S542" s="89"/>
      <c r="T542" s="89"/>
      <c r="U542" s="89"/>
      <c r="V542" s="89"/>
      <c r="W542" s="89"/>
      <c r="X542" s="89"/>
      <c r="Y542" s="89"/>
      <c r="Z542" s="89"/>
      <c r="AA542" s="89"/>
    </row>
    <row r="543" ht="14.25" customHeight="1">
      <c r="A543" s="143"/>
      <c r="B543" s="143"/>
      <c r="C543" s="125"/>
      <c r="D543" s="126"/>
      <c r="E543" s="144"/>
      <c r="F543" s="145"/>
      <c r="G543" s="183"/>
      <c r="H543" s="140"/>
      <c r="I543" s="183"/>
      <c r="J543" s="131"/>
      <c r="K543" s="89"/>
      <c r="L543" s="89"/>
      <c r="M543" s="89"/>
      <c r="N543" s="89"/>
      <c r="O543" s="89"/>
      <c r="P543" s="89"/>
      <c r="Q543" s="89"/>
      <c r="R543" s="89"/>
      <c r="S543" s="89"/>
      <c r="T543" s="89"/>
      <c r="U543" s="89"/>
      <c r="V543" s="89"/>
      <c r="W543" s="89"/>
      <c r="X543" s="89"/>
      <c r="Y543" s="89"/>
      <c r="Z543" s="89"/>
      <c r="AA543" s="89"/>
    </row>
    <row r="544" ht="14.25" customHeight="1">
      <c r="A544" s="143"/>
      <c r="B544" s="143"/>
      <c r="C544" s="125"/>
      <c r="D544" s="126"/>
      <c r="E544" s="144"/>
      <c r="F544" s="145"/>
      <c r="G544" s="183"/>
      <c r="H544" s="140"/>
      <c r="I544" s="183"/>
      <c r="J544" s="131"/>
      <c r="K544" s="89"/>
      <c r="L544" s="89"/>
      <c r="M544" s="89"/>
      <c r="N544" s="89"/>
      <c r="O544" s="89"/>
      <c r="P544" s="89"/>
      <c r="Q544" s="89"/>
      <c r="R544" s="89"/>
      <c r="S544" s="89"/>
      <c r="T544" s="89"/>
      <c r="U544" s="89"/>
      <c r="V544" s="89"/>
      <c r="W544" s="89"/>
      <c r="X544" s="89"/>
      <c r="Y544" s="89"/>
      <c r="Z544" s="89"/>
      <c r="AA544" s="89"/>
    </row>
    <row r="545" ht="14.25" customHeight="1">
      <c r="A545" s="143"/>
      <c r="B545" s="143"/>
      <c r="C545" s="125"/>
      <c r="D545" s="126"/>
      <c r="E545" s="144"/>
      <c r="F545" s="145"/>
      <c r="G545" s="183"/>
      <c r="H545" s="140"/>
      <c r="I545" s="183"/>
      <c r="J545" s="131"/>
      <c r="K545" s="89"/>
      <c r="L545" s="89"/>
      <c r="M545" s="89"/>
      <c r="N545" s="89"/>
      <c r="O545" s="89"/>
      <c r="P545" s="89"/>
      <c r="Q545" s="89"/>
      <c r="R545" s="89"/>
      <c r="S545" s="89"/>
      <c r="T545" s="89"/>
      <c r="U545" s="89"/>
      <c r="V545" s="89"/>
      <c r="W545" s="89"/>
      <c r="X545" s="89"/>
      <c r="Y545" s="89"/>
      <c r="Z545" s="89"/>
      <c r="AA545" s="89"/>
    </row>
    <row r="546" ht="14.25" customHeight="1">
      <c r="A546" s="143"/>
      <c r="B546" s="143"/>
      <c r="C546" s="125"/>
      <c r="D546" s="126"/>
      <c r="E546" s="144"/>
      <c r="F546" s="145"/>
      <c r="G546" s="183"/>
      <c r="H546" s="140"/>
      <c r="I546" s="183"/>
      <c r="J546" s="131"/>
      <c r="K546" s="89"/>
      <c r="L546" s="89"/>
      <c r="M546" s="89"/>
      <c r="N546" s="89"/>
      <c r="O546" s="89"/>
      <c r="P546" s="89"/>
      <c r="Q546" s="89"/>
      <c r="R546" s="89"/>
      <c r="S546" s="89"/>
      <c r="T546" s="89"/>
      <c r="U546" s="89"/>
      <c r="V546" s="89"/>
      <c r="W546" s="89"/>
      <c r="X546" s="89"/>
      <c r="Y546" s="89"/>
      <c r="Z546" s="89"/>
      <c r="AA546" s="89"/>
    </row>
    <row r="547" ht="14.25" customHeight="1">
      <c r="A547" s="143"/>
      <c r="B547" s="143"/>
      <c r="C547" s="125"/>
      <c r="D547" s="126"/>
      <c r="E547" s="144"/>
      <c r="F547" s="145"/>
      <c r="G547" s="183"/>
      <c r="H547" s="140"/>
      <c r="I547" s="183"/>
      <c r="J547" s="131"/>
      <c r="K547" s="89"/>
      <c r="L547" s="89"/>
      <c r="M547" s="89"/>
      <c r="N547" s="89"/>
      <c r="O547" s="89"/>
      <c r="P547" s="89"/>
      <c r="Q547" s="89"/>
      <c r="R547" s="89"/>
      <c r="S547" s="89"/>
      <c r="T547" s="89"/>
      <c r="U547" s="89"/>
      <c r="V547" s="89"/>
      <c r="W547" s="89"/>
      <c r="X547" s="89"/>
      <c r="Y547" s="89"/>
      <c r="Z547" s="89"/>
      <c r="AA547" s="89"/>
    </row>
    <row r="548" ht="14.25" customHeight="1">
      <c r="A548" s="143"/>
      <c r="B548" s="143"/>
      <c r="C548" s="125"/>
      <c r="D548" s="126"/>
      <c r="E548" s="144"/>
      <c r="F548" s="145"/>
      <c r="G548" s="183"/>
      <c r="H548" s="140"/>
      <c r="I548" s="183"/>
      <c r="J548" s="131"/>
      <c r="K548" s="89"/>
      <c r="L548" s="89"/>
      <c r="M548" s="89"/>
      <c r="N548" s="89"/>
      <c r="O548" s="89"/>
      <c r="P548" s="89"/>
      <c r="Q548" s="89"/>
      <c r="R548" s="89"/>
      <c r="S548" s="89"/>
      <c r="T548" s="89"/>
      <c r="U548" s="89"/>
      <c r="V548" s="89"/>
      <c r="W548" s="89"/>
      <c r="X548" s="89"/>
      <c r="Y548" s="89"/>
      <c r="Z548" s="89"/>
      <c r="AA548" s="89"/>
    </row>
    <row r="549" ht="14.25" customHeight="1">
      <c r="A549" s="143"/>
      <c r="B549" s="143"/>
      <c r="C549" s="125"/>
      <c r="D549" s="126"/>
      <c r="E549" s="144"/>
      <c r="F549" s="145"/>
      <c r="G549" s="183"/>
      <c r="H549" s="140"/>
      <c r="I549" s="183"/>
      <c r="J549" s="131"/>
      <c r="K549" s="89"/>
      <c r="L549" s="89"/>
      <c r="M549" s="89"/>
      <c r="N549" s="89"/>
      <c r="O549" s="89"/>
      <c r="P549" s="89"/>
      <c r="Q549" s="89"/>
      <c r="R549" s="89"/>
      <c r="S549" s="89"/>
      <c r="T549" s="89"/>
      <c r="U549" s="89"/>
      <c r="V549" s="89"/>
      <c r="W549" s="89"/>
      <c r="X549" s="89"/>
      <c r="Y549" s="89"/>
      <c r="Z549" s="89"/>
      <c r="AA549" s="89"/>
    </row>
    <row r="550" ht="14.25" customHeight="1">
      <c r="A550" s="151"/>
      <c r="B550" s="151"/>
      <c r="C550" s="125"/>
      <c r="D550" s="126"/>
      <c r="E550" s="144"/>
      <c r="F550" s="145"/>
      <c r="G550" s="183"/>
      <c r="H550" s="140"/>
      <c r="I550" s="183"/>
      <c r="J550" s="131"/>
      <c r="K550" s="89"/>
      <c r="L550" s="89"/>
      <c r="M550" s="89"/>
      <c r="N550" s="89"/>
      <c r="O550" s="89"/>
      <c r="P550" s="89"/>
      <c r="Q550" s="89"/>
      <c r="R550" s="89"/>
      <c r="S550" s="89"/>
      <c r="T550" s="89"/>
      <c r="U550" s="89"/>
      <c r="V550" s="89"/>
      <c r="W550" s="89"/>
      <c r="X550" s="89"/>
      <c r="Y550" s="89"/>
      <c r="Z550" s="89"/>
      <c r="AA550" s="89"/>
    </row>
    <row r="551" ht="14.25" customHeight="1">
      <c r="A551" s="143"/>
      <c r="B551" s="143"/>
      <c r="C551" s="125"/>
      <c r="D551" s="126"/>
      <c r="E551" s="144"/>
      <c r="F551" s="145"/>
      <c r="G551" s="183"/>
      <c r="H551" s="140"/>
      <c r="I551" s="183"/>
      <c r="J551" s="131"/>
      <c r="K551" s="89"/>
      <c r="L551" s="89"/>
      <c r="M551" s="89"/>
      <c r="N551" s="89"/>
      <c r="O551" s="89"/>
      <c r="P551" s="89"/>
      <c r="Q551" s="89"/>
      <c r="R551" s="89"/>
      <c r="S551" s="89"/>
      <c r="T551" s="89"/>
      <c r="U551" s="89"/>
      <c r="V551" s="89"/>
      <c r="W551" s="89"/>
      <c r="X551" s="89"/>
      <c r="Y551" s="89"/>
      <c r="Z551" s="89"/>
      <c r="AA551" s="89"/>
    </row>
    <row r="552" ht="14.25" customHeight="1">
      <c r="A552" s="143"/>
      <c r="B552" s="143"/>
      <c r="C552" s="125"/>
      <c r="D552" s="126"/>
      <c r="E552" s="144"/>
      <c r="F552" s="145"/>
      <c r="G552" s="183"/>
      <c r="H552" s="140"/>
      <c r="I552" s="183"/>
      <c r="J552" s="131"/>
      <c r="K552" s="89"/>
      <c r="L552" s="89"/>
      <c r="M552" s="89"/>
      <c r="N552" s="89"/>
      <c r="O552" s="89"/>
      <c r="P552" s="89"/>
      <c r="Q552" s="89"/>
      <c r="R552" s="89"/>
      <c r="S552" s="89"/>
      <c r="T552" s="89"/>
      <c r="U552" s="89"/>
      <c r="V552" s="89"/>
      <c r="W552" s="89"/>
      <c r="X552" s="89"/>
      <c r="Y552" s="89"/>
      <c r="Z552" s="89"/>
      <c r="AA552" s="89"/>
    </row>
    <row r="553" ht="14.25" customHeight="1">
      <c r="A553" s="143"/>
      <c r="B553" s="143"/>
      <c r="C553" s="125"/>
      <c r="D553" s="126"/>
      <c r="E553" s="144"/>
      <c r="F553" s="145"/>
      <c r="G553" s="183"/>
      <c r="H553" s="140"/>
      <c r="I553" s="183"/>
      <c r="J553" s="131"/>
      <c r="K553" s="89"/>
      <c r="L553" s="89"/>
      <c r="M553" s="89"/>
      <c r="N553" s="89"/>
      <c r="O553" s="89"/>
      <c r="P553" s="89"/>
      <c r="Q553" s="89"/>
      <c r="R553" s="89"/>
      <c r="S553" s="89"/>
      <c r="T553" s="89"/>
      <c r="U553" s="89"/>
      <c r="V553" s="89"/>
      <c r="W553" s="89"/>
      <c r="X553" s="89"/>
      <c r="Y553" s="89"/>
      <c r="Z553" s="89"/>
      <c r="AA553" s="89"/>
    </row>
    <row r="554" ht="14.25" customHeight="1">
      <c r="A554" s="143"/>
      <c r="B554" s="143"/>
      <c r="C554" s="125"/>
      <c r="D554" s="126"/>
      <c r="E554" s="144"/>
      <c r="F554" s="145"/>
      <c r="G554" s="183"/>
      <c r="H554" s="140"/>
      <c r="I554" s="183"/>
      <c r="J554" s="131"/>
      <c r="K554" s="89"/>
      <c r="L554" s="89"/>
      <c r="M554" s="89"/>
      <c r="N554" s="89"/>
      <c r="O554" s="89"/>
      <c r="P554" s="89"/>
      <c r="Q554" s="89"/>
      <c r="R554" s="89"/>
      <c r="S554" s="89"/>
      <c r="T554" s="89"/>
      <c r="U554" s="89"/>
      <c r="V554" s="89"/>
      <c r="W554" s="89"/>
      <c r="X554" s="89"/>
      <c r="Y554" s="89"/>
      <c r="Z554" s="89"/>
      <c r="AA554" s="89"/>
    </row>
    <row r="555" ht="14.25" customHeight="1">
      <c r="A555" s="143"/>
      <c r="B555" s="143"/>
      <c r="C555" s="125"/>
      <c r="D555" s="126"/>
      <c r="E555" s="144"/>
      <c r="F555" s="145"/>
      <c r="G555" s="183"/>
      <c r="H555" s="140"/>
      <c r="I555" s="183"/>
      <c r="J555" s="131"/>
      <c r="K555" s="89"/>
      <c r="L555" s="89"/>
      <c r="M555" s="89"/>
      <c r="N555" s="89"/>
      <c r="O555" s="89"/>
      <c r="P555" s="89"/>
      <c r="Q555" s="89"/>
      <c r="R555" s="89"/>
      <c r="S555" s="89"/>
      <c r="T555" s="89"/>
      <c r="U555" s="89"/>
      <c r="V555" s="89"/>
      <c r="W555" s="89"/>
      <c r="X555" s="89"/>
      <c r="Y555" s="89"/>
      <c r="Z555" s="89"/>
      <c r="AA555" s="89"/>
    </row>
    <row r="556" ht="14.25" customHeight="1">
      <c r="A556" s="143"/>
      <c r="B556" s="143"/>
      <c r="C556" s="125"/>
      <c r="D556" s="126"/>
      <c r="E556" s="144"/>
      <c r="F556" s="145"/>
      <c r="G556" s="183"/>
      <c r="H556" s="140"/>
      <c r="I556" s="183"/>
      <c r="J556" s="131"/>
      <c r="K556" s="89"/>
      <c r="L556" s="89"/>
      <c r="M556" s="89"/>
      <c r="N556" s="89"/>
      <c r="O556" s="89"/>
      <c r="P556" s="89"/>
      <c r="Q556" s="89"/>
      <c r="R556" s="89"/>
      <c r="S556" s="89"/>
      <c r="T556" s="89"/>
      <c r="U556" s="89"/>
      <c r="V556" s="89"/>
      <c r="W556" s="89"/>
      <c r="X556" s="89"/>
      <c r="Y556" s="89"/>
      <c r="Z556" s="89"/>
      <c r="AA556" s="89"/>
    </row>
    <row r="557" ht="14.25" customHeight="1">
      <c r="A557" s="143"/>
      <c r="B557" s="143"/>
      <c r="C557" s="125"/>
      <c r="D557" s="126"/>
      <c r="E557" s="144"/>
      <c r="F557" s="145"/>
      <c r="G557" s="183"/>
      <c r="H557" s="140"/>
      <c r="I557" s="183"/>
      <c r="J557" s="131"/>
      <c r="K557" s="89"/>
      <c r="L557" s="89"/>
      <c r="M557" s="89"/>
      <c r="N557" s="89"/>
      <c r="O557" s="89"/>
      <c r="P557" s="89"/>
      <c r="Q557" s="89"/>
      <c r="R557" s="89"/>
      <c r="S557" s="89"/>
      <c r="T557" s="89"/>
      <c r="U557" s="89"/>
      <c r="V557" s="89"/>
      <c r="W557" s="89"/>
      <c r="X557" s="89"/>
      <c r="Y557" s="89"/>
      <c r="Z557" s="89"/>
      <c r="AA557" s="89"/>
    </row>
    <row r="558" ht="14.25" customHeight="1">
      <c r="A558" s="143"/>
      <c r="B558" s="143"/>
      <c r="C558" s="125"/>
      <c r="D558" s="126"/>
      <c r="E558" s="144"/>
      <c r="F558" s="145"/>
      <c r="G558" s="183"/>
      <c r="H558" s="140"/>
      <c r="I558" s="183"/>
      <c r="J558" s="131"/>
      <c r="K558" s="89"/>
      <c r="L558" s="89"/>
      <c r="M558" s="89"/>
      <c r="N558" s="89"/>
      <c r="O558" s="89"/>
      <c r="P558" s="89"/>
      <c r="Q558" s="89"/>
      <c r="R558" s="89"/>
      <c r="S558" s="89"/>
      <c r="T558" s="89"/>
      <c r="U558" s="89"/>
      <c r="V558" s="89"/>
      <c r="W558" s="89"/>
      <c r="X558" s="89"/>
      <c r="Y558" s="89"/>
      <c r="Z558" s="89"/>
      <c r="AA558" s="89"/>
    </row>
    <row r="559" ht="14.25" customHeight="1">
      <c r="A559" s="143"/>
      <c r="B559" s="143"/>
      <c r="C559" s="125"/>
      <c r="D559" s="126"/>
      <c r="E559" s="144"/>
      <c r="F559" s="145"/>
      <c r="G559" s="183"/>
      <c r="H559" s="140"/>
      <c r="I559" s="183"/>
      <c r="J559" s="131"/>
      <c r="K559" s="89"/>
      <c r="L559" s="89"/>
      <c r="M559" s="89"/>
      <c r="N559" s="89"/>
      <c r="O559" s="89"/>
      <c r="P559" s="89"/>
      <c r="Q559" s="89"/>
      <c r="R559" s="89"/>
      <c r="S559" s="89"/>
      <c r="T559" s="89"/>
      <c r="U559" s="89"/>
      <c r="V559" s="89"/>
      <c r="W559" s="89"/>
      <c r="X559" s="89"/>
      <c r="Y559" s="89"/>
      <c r="Z559" s="89"/>
      <c r="AA559" s="89"/>
    </row>
    <row r="560" ht="14.25" customHeight="1">
      <c r="A560" s="151"/>
      <c r="B560" s="151"/>
      <c r="C560" s="125"/>
      <c r="D560" s="126"/>
      <c r="E560" s="144"/>
      <c r="F560" s="145"/>
      <c r="G560" s="183"/>
      <c r="H560" s="140"/>
      <c r="I560" s="183"/>
      <c r="J560" s="131"/>
      <c r="K560" s="89"/>
      <c r="L560" s="89"/>
      <c r="M560" s="89"/>
      <c r="N560" s="89"/>
      <c r="O560" s="89"/>
      <c r="P560" s="89"/>
      <c r="Q560" s="89"/>
      <c r="R560" s="89"/>
      <c r="S560" s="89"/>
      <c r="T560" s="89"/>
      <c r="U560" s="89"/>
      <c r="V560" s="89"/>
      <c r="W560" s="89"/>
      <c r="X560" s="89"/>
      <c r="Y560" s="89"/>
      <c r="Z560" s="89"/>
      <c r="AA560" s="89"/>
    </row>
    <row r="561" ht="14.25" customHeight="1">
      <c r="A561" s="143"/>
      <c r="B561" s="143"/>
      <c r="C561" s="125"/>
      <c r="D561" s="126"/>
      <c r="E561" s="144"/>
      <c r="F561" s="145"/>
      <c r="G561" s="183"/>
      <c r="H561" s="140"/>
      <c r="I561" s="183"/>
      <c r="J561" s="131"/>
      <c r="K561" s="89"/>
      <c r="L561" s="89"/>
      <c r="M561" s="89"/>
      <c r="N561" s="89"/>
      <c r="O561" s="89"/>
      <c r="P561" s="89"/>
      <c r="Q561" s="89"/>
      <c r="R561" s="89"/>
      <c r="S561" s="89"/>
      <c r="T561" s="89"/>
      <c r="U561" s="89"/>
      <c r="V561" s="89"/>
      <c r="W561" s="89"/>
      <c r="X561" s="89"/>
      <c r="Y561" s="89"/>
      <c r="Z561" s="89"/>
      <c r="AA561" s="89"/>
    </row>
    <row r="562" ht="14.25" customHeight="1">
      <c r="A562" s="143"/>
      <c r="B562" s="143"/>
      <c r="C562" s="125"/>
      <c r="D562" s="126"/>
      <c r="E562" s="144"/>
      <c r="F562" s="145"/>
      <c r="G562" s="183"/>
      <c r="H562" s="140"/>
      <c r="I562" s="183"/>
      <c r="J562" s="131"/>
      <c r="K562" s="89"/>
      <c r="L562" s="89"/>
      <c r="M562" s="89"/>
      <c r="N562" s="89"/>
      <c r="O562" s="89"/>
      <c r="P562" s="89"/>
      <c r="Q562" s="89"/>
      <c r="R562" s="89"/>
      <c r="S562" s="89"/>
      <c r="T562" s="89"/>
      <c r="U562" s="89"/>
      <c r="V562" s="89"/>
      <c r="W562" s="89"/>
      <c r="X562" s="89"/>
      <c r="Y562" s="89"/>
      <c r="Z562" s="89"/>
      <c r="AA562" s="89"/>
    </row>
    <row r="563" ht="14.25" customHeight="1">
      <c r="A563" s="143"/>
      <c r="B563" s="143"/>
      <c r="C563" s="125"/>
      <c r="D563" s="126"/>
      <c r="E563" s="144"/>
      <c r="F563" s="145"/>
      <c r="G563" s="183"/>
      <c r="H563" s="140"/>
      <c r="I563" s="183"/>
      <c r="J563" s="131"/>
      <c r="K563" s="89"/>
      <c r="L563" s="89"/>
      <c r="M563" s="89"/>
      <c r="N563" s="89"/>
      <c r="O563" s="89"/>
      <c r="P563" s="89"/>
      <c r="Q563" s="89"/>
      <c r="R563" s="89"/>
      <c r="S563" s="89"/>
      <c r="T563" s="89"/>
      <c r="U563" s="89"/>
      <c r="V563" s="89"/>
      <c r="W563" s="89"/>
      <c r="X563" s="89"/>
      <c r="Y563" s="89"/>
      <c r="Z563" s="89"/>
      <c r="AA563" s="89"/>
    </row>
    <row r="564" ht="14.25" customHeight="1">
      <c r="A564" s="143"/>
      <c r="B564" s="143"/>
      <c r="C564" s="125"/>
      <c r="D564" s="126"/>
      <c r="E564" s="144"/>
      <c r="F564" s="145"/>
      <c r="G564" s="183"/>
      <c r="H564" s="140"/>
      <c r="I564" s="183"/>
      <c r="J564" s="131"/>
      <c r="K564" s="89"/>
      <c r="L564" s="89"/>
      <c r="M564" s="89"/>
      <c r="N564" s="89"/>
      <c r="O564" s="89"/>
      <c r="P564" s="89"/>
      <c r="Q564" s="89"/>
      <c r="R564" s="89"/>
      <c r="S564" s="89"/>
      <c r="T564" s="89"/>
      <c r="U564" s="89"/>
      <c r="V564" s="89"/>
      <c r="W564" s="89"/>
      <c r="X564" s="89"/>
      <c r="Y564" s="89"/>
      <c r="Z564" s="89"/>
      <c r="AA564" s="89"/>
    </row>
    <row r="565" ht="14.25" customHeight="1">
      <c r="A565" s="143"/>
      <c r="B565" s="143"/>
      <c r="C565" s="125"/>
      <c r="D565" s="126"/>
      <c r="E565" s="144"/>
      <c r="F565" s="145"/>
      <c r="G565" s="183"/>
      <c r="H565" s="140"/>
      <c r="I565" s="183"/>
      <c r="J565" s="131"/>
      <c r="K565" s="89"/>
      <c r="L565" s="89"/>
      <c r="M565" s="89"/>
      <c r="N565" s="89"/>
      <c r="O565" s="89"/>
      <c r="P565" s="89"/>
      <c r="Q565" s="89"/>
      <c r="R565" s="89"/>
      <c r="S565" s="89"/>
      <c r="T565" s="89"/>
      <c r="U565" s="89"/>
      <c r="V565" s="89"/>
      <c r="W565" s="89"/>
      <c r="X565" s="89"/>
      <c r="Y565" s="89"/>
      <c r="Z565" s="89"/>
      <c r="AA565" s="89"/>
    </row>
    <row r="566" ht="14.25" customHeight="1">
      <c r="A566" s="143"/>
      <c r="B566" s="143"/>
      <c r="C566" s="125"/>
      <c r="D566" s="126"/>
      <c r="E566" s="144"/>
      <c r="F566" s="145"/>
      <c r="G566" s="183"/>
      <c r="H566" s="140"/>
      <c r="I566" s="183"/>
      <c r="J566" s="131"/>
      <c r="K566" s="89"/>
      <c r="L566" s="89"/>
      <c r="M566" s="89"/>
      <c r="N566" s="89"/>
      <c r="O566" s="89"/>
      <c r="P566" s="89"/>
      <c r="Q566" s="89"/>
      <c r="R566" s="89"/>
      <c r="S566" s="89"/>
      <c r="T566" s="89"/>
      <c r="U566" s="89"/>
      <c r="V566" s="89"/>
      <c r="W566" s="89"/>
      <c r="X566" s="89"/>
      <c r="Y566" s="89"/>
      <c r="Z566" s="89"/>
      <c r="AA566" s="89"/>
    </row>
    <row r="567" ht="14.25" customHeight="1">
      <c r="A567" s="143"/>
      <c r="B567" s="143"/>
      <c r="C567" s="125"/>
      <c r="D567" s="126"/>
      <c r="E567" s="144"/>
      <c r="F567" s="145"/>
      <c r="G567" s="183"/>
      <c r="H567" s="140"/>
      <c r="I567" s="183"/>
      <c r="J567" s="131"/>
      <c r="K567" s="89"/>
      <c r="L567" s="89"/>
      <c r="M567" s="89"/>
      <c r="N567" s="89"/>
      <c r="O567" s="89"/>
      <c r="P567" s="89"/>
      <c r="Q567" s="89"/>
      <c r="R567" s="89"/>
      <c r="S567" s="89"/>
      <c r="T567" s="89"/>
      <c r="U567" s="89"/>
      <c r="V567" s="89"/>
      <c r="W567" s="89"/>
      <c r="X567" s="89"/>
      <c r="Y567" s="89"/>
      <c r="Z567" s="89"/>
      <c r="AA567" s="89"/>
    </row>
    <row r="568" ht="14.25" customHeight="1">
      <c r="A568" s="143"/>
      <c r="B568" s="143"/>
      <c r="C568" s="125"/>
      <c r="D568" s="126"/>
      <c r="E568" s="144"/>
      <c r="F568" s="145"/>
      <c r="G568" s="183"/>
      <c r="H568" s="140"/>
      <c r="I568" s="183"/>
      <c r="J568" s="131"/>
      <c r="K568" s="89"/>
      <c r="L568" s="89"/>
      <c r="M568" s="89"/>
      <c r="N568" s="89"/>
      <c r="O568" s="89"/>
      <c r="P568" s="89"/>
      <c r="Q568" s="89"/>
      <c r="R568" s="89"/>
      <c r="S568" s="89"/>
      <c r="T568" s="89"/>
      <c r="U568" s="89"/>
      <c r="V568" s="89"/>
      <c r="W568" s="89"/>
      <c r="X568" s="89"/>
      <c r="Y568" s="89"/>
      <c r="Z568" s="89"/>
      <c r="AA568" s="89"/>
    </row>
    <row r="569" ht="14.25" customHeight="1">
      <c r="A569" s="143"/>
      <c r="B569" s="143"/>
      <c r="C569" s="125"/>
      <c r="D569" s="126"/>
      <c r="E569" s="144"/>
      <c r="F569" s="145"/>
      <c r="G569" s="183"/>
      <c r="H569" s="140"/>
      <c r="I569" s="183"/>
      <c r="J569" s="131"/>
      <c r="K569" s="89"/>
      <c r="L569" s="89"/>
      <c r="M569" s="89"/>
      <c r="N569" s="89"/>
      <c r="O569" s="89"/>
      <c r="P569" s="89"/>
      <c r="Q569" s="89"/>
      <c r="R569" s="89"/>
      <c r="S569" s="89"/>
      <c r="T569" s="89"/>
      <c r="U569" s="89"/>
      <c r="V569" s="89"/>
      <c r="W569" s="89"/>
      <c r="X569" s="89"/>
      <c r="Y569" s="89"/>
      <c r="Z569" s="89"/>
      <c r="AA569" s="89"/>
    </row>
    <row r="570" ht="14.25" customHeight="1">
      <c r="A570" s="151"/>
      <c r="B570" s="151"/>
      <c r="C570" s="125"/>
      <c r="D570" s="126"/>
      <c r="E570" s="144"/>
      <c r="F570" s="145"/>
      <c r="G570" s="183"/>
      <c r="H570" s="140"/>
      <c r="I570" s="183"/>
      <c r="J570" s="131"/>
      <c r="K570" s="89"/>
      <c r="L570" s="89"/>
      <c r="M570" s="89"/>
      <c r="N570" s="89"/>
      <c r="O570" s="89"/>
      <c r="P570" s="89"/>
      <c r="Q570" s="89"/>
      <c r="R570" s="89"/>
      <c r="S570" s="89"/>
      <c r="T570" s="89"/>
      <c r="U570" s="89"/>
      <c r="V570" s="89"/>
      <c r="W570" s="89"/>
      <c r="X570" s="89"/>
      <c r="Y570" s="89"/>
      <c r="Z570" s="89"/>
      <c r="AA570" s="89"/>
    </row>
    <row r="571" ht="14.25" customHeight="1">
      <c r="A571" s="143"/>
      <c r="B571" s="143"/>
      <c r="C571" s="125"/>
      <c r="D571" s="126"/>
      <c r="E571" s="144"/>
      <c r="F571" s="145"/>
      <c r="G571" s="183"/>
      <c r="H571" s="140"/>
      <c r="I571" s="183"/>
      <c r="J571" s="131"/>
      <c r="K571" s="89"/>
      <c r="L571" s="89"/>
      <c r="M571" s="89"/>
      <c r="N571" s="89"/>
      <c r="O571" s="89"/>
      <c r="P571" s="89"/>
      <c r="Q571" s="89"/>
      <c r="R571" s="89"/>
      <c r="S571" s="89"/>
      <c r="T571" s="89"/>
      <c r="U571" s="89"/>
      <c r="V571" s="89"/>
      <c r="W571" s="89"/>
      <c r="X571" s="89"/>
      <c r="Y571" s="89"/>
      <c r="Z571" s="89"/>
      <c r="AA571" s="89"/>
    </row>
    <row r="572" ht="14.25" customHeight="1">
      <c r="A572" s="143"/>
      <c r="B572" s="143"/>
      <c r="C572" s="125"/>
      <c r="D572" s="126"/>
      <c r="E572" s="144"/>
      <c r="F572" s="145"/>
      <c r="G572" s="183"/>
      <c r="H572" s="140"/>
      <c r="I572" s="183"/>
      <c r="J572" s="131"/>
      <c r="K572" s="89"/>
      <c r="L572" s="89"/>
      <c r="M572" s="89"/>
      <c r="N572" s="89"/>
      <c r="O572" s="89"/>
      <c r="P572" s="89"/>
      <c r="Q572" s="89"/>
      <c r="R572" s="89"/>
      <c r="S572" s="89"/>
      <c r="T572" s="89"/>
      <c r="U572" s="89"/>
      <c r="V572" s="89"/>
      <c r="W572" s="89"/>
      <c r="X572" s="89"/>
      <c r="Y572" s="89"/>
      <c r="Z572" s="89"/>
      <c r="AA572" s="89"/>
    </row>
    <row r="573" ht="14.25" customHeight="1">
      <c r="A573" s="143"/>
      <c r="B573" s="143"/>
      <c r="C573" s="125"/>
      <c r="D573" s="126"/>
      <c r="E573" s="144"/>
      <c r="F573" s="145"/>
      <c r="G573" s="183"/>
      <c r="H573" s="140"/>
      <c r="I573" s="183"/>
      <c r="J573" s="131"/>
      <c r="K573" s="89"/>
      <c r="L573" s="89"/>
      <c r="M573" s="89"/>
      <c r="N573" s="89"/>
      <c r="O573" s="89"/>
      <c r="P573" s="89"/>
      <c r="Q573" s="89"/>
      <c r="R573" s="89"/>
      <c r="S573" s="89"/>
      <c r="T573" s="89"/>
      <c r="U573" s="89"/>
      <c r="V573" s="89"/>
      <c r="W573" s="89"/>
      <c r="X573" s="89"/>
      <c r="Y573" s="89"/>
      <c r="Z573" s="89"/>
      <c r="AA573" s="89"/>
    </row>
    <row r="574" ht="14.25" customHeight="1">
      <c r="A574" s="143"/>
      <c r="B574" s="143"/>
      <c r="C574" s="125"/>
      <c r="D574" s="126"/>
      <c r="E574" s="144"/>
      <c r="F574" s="145"/>
      <c r="G574" s="183"/>
      <c r="H574" s="140"/>
      <c r="I574" s="183"/>
      <c r="J574" s="131"/>
      <c r="K574" s="89"/>
      <c r="L574" s="89"/>
      <c r="M574" s="89"/>
      <c r="N574" s="89"/>
      <c r="O574" s="89"/>
      <c r="P574" s="89"/>
      <c r="Q574" s="89"/>
      <c r="R574" s="89"/>
      <c r="S574" s="89"/>
      <c r="T574" s="89"/>
      <c r="U574" s="89"/>
      <c r="V574" s="89"/>
      <c r="W574" s="89"/>
      <c r="X574" s="89"/>
      <c r="Y574" s="89"/>
      <c r="Z574" s="89"/>
      <c r="AA574" s="89"/>
    </row>
    <row r="575" ht="14.25" customHeight="1">
      <c r="A575" s="143"/>
      <c r="B575" s="143"/>
      <c r="C575" s="125"/>
      <c r="D575" s="126"/>
      <c r="E575" s="144"/>
      <c r="F575" s="145"/>
      <c r="G575" s="183"/>
      <c r="H575" s="140"/>
      <c r="I575" s="183"/>
      <c r="J575" s="131"/>
      <c r="K575" s="89"/>
      <c r="L575" s="89"/>
      <c r="M575" s="89"/>
      <c r="N575" s="89"/>
      <c r="O575" s="89"/>
      <c r="P575" s="89"/>
      <c r="Q575" s="89"/>
      <c r="R575" s="89"/>
      <c r="S575" s="89"/>
      <c r="T575" s="89"/>
      <c r="U575" s="89"/>
      <c r="V575" s="89"/>
      <c r="W575" s="89"/>
      <c r="X575" s="89"/>
      <c r="Y575" s="89"/>
      <c r="Z575" s="89"/>
      <c r="AA575" s="89"/>
    </row>
    <row r="576" ht="14.25" customHeight="1">
      <c r="A576" s="143"/>
      <c r="B576" s="143"/>
      <c r="C576" s="125"/>
      <c r="D576" s="126"/>
      <c r="E576" s="144"/>
      <c r="F576" s="145"/>
      <c r="G576" s="183"/>
      <c r="H576" s="140"/>
      <c r="I576" s="183"/>
      <c r="J576" s="131"/>
      <c r="K576" s="89"/>
      <c r="L576" s="89"/>
      <c r="M576" s="89"/>
      <c r="N576" s="89"/>
      <c r="O576" s="89"/>
      <c r="P576" s="89"/>
      <c r="Q576" s="89"/>
      <c r="R576" s="89"/>
      <c r="S576" s="89"/>
      <c r="T576" s="89"/>
      <c r="U576" s="89"/>
      <c r="V576" s="89"/>
      <c r="W576" s="89"/>
      <c r="X576" s="89"/>
      <c r="Y576" s="89"/>
      <c r="Z576" s="89"/>
      <c r="AA576" s="89"/>
    </row>
    <row r="577" ht="14.25" customHeight="1">
      <c r="A577" s="143"/>
      <c r="B577" s="143"/>
      <c r="C577" s="125"/>
      <c r="D577" s="126"/>
      <c r="E577" s="144"/>
      <c r="F577" s="145"/>
      <c r="G577" s="183"/>
      <c r="H577" s="140"/>
      <c r="I577" s="183"/>
      <c r="J577" s="131"/>
      <c r="K577" s="89"/>
      <c r="L577" s="89"/>
      <c r="M577" s="89"/>
      <c r="N577" s="89"/>
      <c r="O577" s="89"/>
      <c r="P577" s="89"/>
      <c r="Q577" s="89"/>
      <c r="R577" s="89"/>
      <c r="S577" s="89"/>
      <c r="T577" s="89"/>
      <c r="U577" s="89"/>
      <c r="V577" s="89"/>
      <c r="W577" s="89"/>
      <c r="X577" s="89"/>
      <c r="Y577" s="89"/>
      <c r="Z577" s="89"/>
      <c r="AA577" s="89"/>
    </row>
    <row r="578" ht="14.25" customHeight="1">
      <c r="A578" s="143"/>
      <c r="B578" s="143"/>
      <c r="C578" s="125"/>
      <c r="D578" s="126"/>
      <c r="E578" s="144"/>
      <c r="F578" s="145"/>
      <c r="G578" s="183"/>
      <c r="H578" s="140"/>
      <c r="I578" s="183"/>
      <c r="J578" s="131"/>
      <c r="K578" s="89"/>
      <c r="L578" s="89"/>
      <c r="M578" s="89"/>
      <c r="N578" s="89"/>
      <c r="O578" s="89"/>
      <c r="P578" s="89"/>
      <c r="Q578" s="89"/>
      <c r="R578" s="89"/>
      <c r="S578" s="89"/>
      <c r="T578" s="89"/>
      <c r="U578" s="89"/>
      <c r="V578" s="89"/>
      <c r="W578" s="89"/>
      <c r="X578" s="89"/>
      <c r="Y578" s="89"/>
      <c r="Z578" s="89"/>
      <c r="AA578" s="89"/>
    </row>
    <row r="579" ht="14.25" customHeight="1">
      <c r="A579" s="143"/>
      <c r="B579" s="143"/>
      <c r="C579" s="125"/>
      <c r="D579" s="126"/>
      <c r="E579" s="144"/>
      <c r="F579" s="145"/>
      <c r="G579" s="183"/>
      <c r="H579" s="140"/>
      <c r="I579" s="183"/>
      <c r="J579" s="131"/>
      <c r="K579" s="89"/>
      <c r="L579" s="89"/>
      <c r="M579" s="89"/>
      <c r="N579" s="89"/>
      <c r="O579" s="89"/>
      <c r="P579" s="89"/>
      <c r="Q579" s="89"/>
      <c r="R579" s="89"/>
      <c r="S579" s="89"/>
      <c r="T579" s="89"/>
      <c r="U579" s="89"/>
      <c r="V579" s="89"/>
      <c r="W579" s="89"/>
      <c r="X579" s="89"/>
      <c r="Y579" s="89"/>
      <c r="Z579" s="89"/>
      <c r="AA579" s="89"/>
    </row>
    <row r="580" ht="14.25" customHeight="1">
      <c r="A580" s="151"/>
      <c r="B580" s="151"/>
      <c r="C580" s="125"/>
      <c r="D580" s="126"/>
      <c r="E580" s="144"/>
      <c r="F580" s="145"/>
      <c r="G580" s="183"/>
      <c r="H580" s="140"/>
      <c r="I580" s="183"/>
      <c r="J580" s="131"/>
      <c r="K580" s="89"/>
      <c r="L580" s="89"/>
      <c r="M580" s="89"/>
      <c r="N580" s="89"/>
      <c r="O580" s="89"/>
      <c r="P580" s="89"/>
      <c r="Q580" s="89"/>
      <c r="R580" s="89"/>
      <c r="S580" s="89"/>
      <c r="T580" s="89"/>
      <c r="U580" s="89"/>
      <c r="V580" s="89"/>
      <c r="W580" s="89"/>
      <c r="X580" s="89"/>
      <c r="Y580" s="89"/>
      <c r="Z580" s="89"/>
      <c r="AA580" s="89"/>
    </row>
    <row r="581" ht="14.25" customHeight="1">
      <c r="A581" s="143"/>
      <c r="B581" s="143"/>
      <c r="C581" s="125"/>
      <c r="D581" s="126"/>
      <c r="E581" s="144"/>
      <c r="F581" s="145"/>
      <c r="G581" s="183"/>
      <c r="H581" s="140"/>
      <c r="I581" s="183"/>
      <c r="J581" s="131"/>
      <c r="K581" s="89"/>
      <c r="L581" s="89"/>
      <c r="M581" s="89"/>
      <c r="N581" s="89"/>
      <c r="O581" s="89"/>
      <c r="P581" s="89"/>
      <c r="Q581" s="89"/>
      <c r="R581" s="89"/>
      <c r="S581" s="89"/>
      <c r="T581" s="89"/>
      <c r="U581" s="89"/>
      <c r="V581" s="89"/>
      <c r="W581" s="89"/>
      <c r="X581" s="89"/>
      <c r="Y581" s="89"/>
      <c r="Z581" s="89"/>
      <c r="AA581" s="89"/>
    </row>
    <row r="582" ht="14.25" customHeight="1">
      <c r="A582" s="143"/>
      <c r="B582" s="143"/>
      <c r="C582" s="125"/>
      <c r="D582" s="126"/>
      <c r="E582" s="144"/>
      <c r="F582" s="145"/>
      <c r="G582" s="183"/>
      <c r="H582" s="140"/>
      <c r="I582" s="183"/>
      <c r="J582" s="131"/>
      <c r="K582" s="89"/>
      <c r="L582" s="89"/>
      <c r="M582" s="89"/>
      <c r="N582" s="89"/>
      <c r="O582" s="89"/>
      <c r="P582" s="89"/>
      <c r="Q582" s="89"/>
      <c r="R582" s="89"/>
      <c r="S582" s="89"/>
      <c r="T582" s="89"/>
      <c r="U582" s="89"/>
      <c r="V582" s="89"/>
      <c r="W582" s="89"/>
      <c r="X582" s="89"/>
      <c r="Y582" s="89"/>
      <c r="Z582" s="89"/>
      <c r="AA582" s="89"/>
    </row>
    <row r="583" ht="14.25" customHeight="1">
      <c r="A583" s="143"/>
      <c r="B583" s="143"/>
      <c r="C583" s="125"/>
      <c r="D583" s="126"/>
      <c r="E583" s="144"/>
      <c r="F583" s="145"/>
      <c r="G583" s="183"/>
      <c r="H583" s="140"/>
      <c r="I583" s="183"/>
      <c r="J583" s="131"/>
      <c r="K583" s="89"/>
      <c r="L583" s="89"/>
      <c r="M583" s="89"/>
      <c r="N583" s="89"/>
      <c r="O583" s="89"/>
      <c r="P583" s="89"/>
      <c r="Q583" s="89"/>
      <c r="R583" s="89"/>
      <c r="S583" s="89"/>
      <c r="T583" s="89"/>
      <c r="U583" s="89"/>
      <c r="V583" s="89"/>
      <c r="W583" s="89"/>
      <c r="X583" s="89"/>
      <c r="Y583" s="89"/>
      <c r="Z583" s="89"/>
      <c r="AA583" s="89"/>
    </row>
    <row r="584" ht="14.25" customHeight="1">
      <c r="A584" s="143"/>
      <c r="B584" s="143"/>
      <c r="C584" s="125"/>
      <c r="D584" s="126"/>
      <c r="E584" s="144"/>
      <c r="F584" s="145"/>
      <c r="G584" s="183"/>
      <c r="H584" s="140"/>
      <c r="I584" s="183"/>
      <c r="J584" s="131"/>
      <c r="K584" s="89"/>
      <c r="L584" s="89"/>
      <c r="M584" s="89"/>
      <c r="N584" s="89"/>
      <c r="O584" s="89"/>
      <c r="P584" s="89"/>
      <c r="Q584" s="89"/>
      <c r="R584" s="89"/>
      <c r="S584" s="89"/>
      <c r="T584" s="89"/>
      <c r="U584" s="89"/>
      <c r="V584" s="89"/>
      <c r="W584" s="89"/>
      <c r="X584" s="89"/>
      <c r="Y584" s="89"/>
      <c r="Z584" s="89"/>
      <c r="AA584" s="89"/>
    </row>
    <row r="585" ht="14.25" customHeight="1">
      <c r="A585" s="143"/>
      <c r="B585" s="143"/>
      <c r="C585" s="125"/>
      <c r="D585" s="126"/>
      <c r="E585" s="144"/>
      <c r="F585" s="145"/>
      <c r="G585" s="183"/>
      <c r="H585" s="140"/>
      <c r="I585" s="183"/>
      <c r="J585" s="131"/>
      <c r="K585" s="89"/>
      <c r="L585" s="89"/>
      <c r="M585" s="89"/>
      <c r="N585" s="89"/>
      <c r="O585" s="89"/>
      <c r="P585" s="89"/>
      <c r="Q585" s="89"/>
      <c r="R585" s="89"/>
      <c r="S585" s="89"/>
      <c r="T585" s="89"/>
      <c r="U585" s="89"/>
      <c r="V585" s="89"/>
      <c r="W585" s="89"/>
      <c r="X585" s="89"/>
      <c r="Y585" s="89"/>
      <c r="Z585" s="89"/>
      <c r="AA585" s="89"/>
    </row>
    <row r="586" ht="14.25" customHeight="1">
      <c r="A586" s="143"/>
      <c r="B586" s="143"/>
      <c r="C586" s="125"/>
      <c r="D586" s="126"/>
      <c r="E586" s="144"/>
      <c r="F586" s="145"/>
      <c r="G586" s="183"/>
      <c r="H586" s="140"/>
      <c r="I586" s="183"/>
      <c r="J586" s="131"/>
      <c r="K586" s="89"/>
      <c r="L586" s="89"/>
      <c r="M586" s="89"/>
      <c r="N586" s="89"/>
      <c r="O586" s="89"/>
      <c r="P586" s="89"/>
      <c r="Q586" s="89"/>
      <c r="R586" s="89"/>
      <c r="S586" s="89"/>
      <c r="T586" s="89"/>
      <c r="U586" s="89"/>
      <c r="V586" s="89"/>
      <c r="W586" s="89"/>
      <c r="X586" s="89"/>
      <c r="Y586" s="89"/>
      <c r="Z586" s="89"/>
      <c r="AA586" s="89"/>
    </row>
    <row r="587" ht="14.25" customHeight="1">
      <c r="A587" s="143"/>
      <c r="B587" s="143"/>
      <c r="C587" s="125"/>
      <c r="D587" s="126"/>
      <c r="E587" s="144"/>
      <c r="F587" s="145"/>
      <c r="G587" s="183"/>
      <c r="H587" s="140"/>
      <c r="I587" s="183"/>
      <c r="J587" s="131"/>
      <c r="K587" s="89"/>
      <c r="L587" s="89"/>
      <c r="M587" s="89"/>
      <c r="N587" s="89"/>
      <c r="O587" s="89"/>
      <c r="P587" s="89"/>
      <c r="Q587" s="89"/>
      <c r="R587" s="89"/>
      <c r="S587" s="89"/>
      <c r="T587" s="89"/>
      <c r="U587" s="89"/>
      <c r="V587" s="89"/>
      <c r="W587" s="89"/>
      <c r="X587" s="89"/>
      <c r="Y587" s="89"/>
      <c r="Z587" s="89"/>
      <c r="AA587" s="89"/>
    </row>
    <row r="588" ht="14.25" customHeight="1">
      <c r="A588" s="143"/>
      <c r="B588" s="143"/>
      <c r="C588" s="125"/>
      <c r="D588" s="126"/>
      <c r="E588" s="144"/>
      <c r="F588" s="145"/>
      <c r="G588" s="183"/>
      <c r="H588" s="140"/>
      <c r="I588" s="183"/>
      <c r="J588" s="131"/>
      <c r="K588" s="89"/>
      <c r="L588" s="89"/>
      <c r="M588" s="89"/>
      <c r="N588" s="89"/>
      <c r="O588" s="89"/>
      <c r="P588" s="89"/>
      <c r="Q588" s="89"/>
      <c r="R588" s="89"/>
      <c r="S588" s="89"/>
      <c r="T588" s="89"/>
      <c r="U588" s="89"/>
      <c r="V588" s="89"/>
      <c r="W588" s="89"/>
      <c r="X588" s="89"/>
      <c r="Y588" s="89"/>
      <c r="Z588" s="89"/>
      <c r="AA588" s="89"/>
    </row>
    <row r="589" ht="14.25" customHeight="1">
      <c r="A589" s="143"/>
      <c r="B589" s="143"/>
      <c r="C589" s="125"/>
      <c r="D589" s="126"/>
      <c r="E589" s="144"/>
      <c r="F589" s="145"/>
      <c r="G589" s="183"/>
      <c r="H589" s="140"/>
      <c r="I589" s="183"/>
      <c r="J589" s="131"/>
      <c r="K589" s="89"/>
      <c r="L589" s="89"/>
      <c r="M589" s="89"/>
      <c r="N589" s="89"/>
      <c r="O589" s="89"/>
      <c r="P589" s="89"/>
      <c r="Q589" s="89"/>
      <c r="R589" s="89"/>
      <c r="S589" s="89"/>
      <c r="T589" s="89"/>
      <c r="U589" s="89"/>
      <c r="V589" s="89"/>
      <c r="W589" s="89"/>
      <c r="X589" s="89"/>
      <c r="Y589" s="89"/>
      <c r="Z589" s="89"/>
      <c r="AA589" s="89"/>
    </row>
    <row r="590" ht="14.25" customHeight="1">
      <c r="A590" s="151"/>
      <c r="B590" s="151"/>
      <c r="C590" s="125"/>
      <c r="D590" s="126"/>
      <c r="E590" s="144"/>
      <c r="F590" s="145"/>
      <c r="G590" s="183"/>
      <c r="H590" s="140"/>
      <c r="I590" s="183"/>
      <c r="J590" s="131"/>
      <c r="K590" s="89"/>
      <c r="L590" s="89"/>
      <c r="M590" s="89"/>
      <c r="N590" s="89"/>
      <c r="O590" s="89"/>
      <c r="P590" s="89"/>
      <c r="Q590" s="89"/>
      <c r="R590" s="89"/>
      <c r="S590" s="89"/>
      <c r="T590" s="89"/>
      <c r="U590" s="89"/>
      <c r="V590" s="89"/>
      <c r="W590" s="89"/>
      <c r="X590" s="89"/>
      <c r="Y590" s="89"/>
      <c r="Z590" s="89"/>
      <c r="AA590" s="89"/>
    </row>
    <row r="591" ht="14.25" customHeight="1">
      <c r="A591" s="143"/>
      <c r="B591" s="143"/>
      <c r="C591" s="125"/>
      <c r="D591" s="126"/>
      <c r="E591" s="144"/>
      <c r="F591" s="145"/>
      <c r="G591" s="183"/>
      <c r="H591" s="140"/>
      <c r="I591" s="183"/>
      <c r="J591" s="131"/>
      <c r="K591" s="89"/>
      <c r="L591" s="89"/>
      <c r="M591" s="89"/>
      <c r="N591" s="89"/>
      <c r="O591" s="89"/>
      <c r="P591" s="89"/>
      <c r="Q591" s="89"/>
      <c r="R591" s="89"/>
      <c r="S591" s="89"/>
      <c r="T591" s="89"/>
      <c r="U591" s="89"/>
      <c r="V591" s="89"/>
      <c r="W591" s="89"/>
      <c r="X591" s="89"/>
      <c r="Y591" s="89"/>
      <c r="Z591" s="89"/>
      <c r="AA591" s="89"/>
    </row>
    <row r="592" ht="14.25" customHeight="1">
      <c r="A592" s="143"/>
      <c r="B592" s="143"/>
      <c r="C592" s="125"/>
      <c r="D592" s="126"/>
      <c r="E592" s="144"/>
      <c r="F592" s="145"/>
      <c r="G592" s="183"/>
      <c r="H592" s="140"/>
      <c r="I592" s="183"/>
      <c r="J592" s="131"/>
      <c r="K592" s="89"/>
      <c r="L592" s="89"/>
      <c r="M592" s="89"/>
      <c r="N592" s="89"/>
      <c r="O592" s="89"/>
      <c r="P592" s="89"/>
      <c r="Q592" s="89"/>
      <c r="R592" s="89"/>
      <c r="S592" s="89"/>
      <c r="T592" s="89"/>
      <c r="U592" s="89"/>
      <c r="V592" s="89"/>
      <c r="W592" s="89"/>
      <c r="X592" s="89"/>
      <c r="Y592" s="89"/>
      <c r="Z592" s="89"/>
      <c r="AA592" s="89"/>
    </row>
    <row r="593" ht="14.25" customHeight="1">
      <c r="A593" s="143"/>
      <c r="B593" s="143"/>
      <c r="C593" s="125"/>
      <c r="D593" s="126"/>
      <c r="E593" s="144"/>
      <c r="F593" s="145"/>
      <c r="G593" s="183"/>
      <c r="H593" s="140"/>
      <c r="I593" s="183"/>
      <c r="J593" s="131"/>
      <c r="K593" s="89"/>
      <c r="L593" s="89"/>
      <c r="M593" s="89"/>
      <c r="N593" s="89"/>
      <c r="O593" s="89"/>
      <c r="P593" s="89"/>
      <c r="Q593" s="89"/>
      <c r="R593" s="89"/>
      <c r="S593" s="89"/>
      <c r="T593" s="89"/>
      <c r="U593" s="89"/>
      <c r="V593" s="89"/>
      <c r="W593" s="89"/>
      <c r="X593" s="89"/>
      <c r="Y593" s="89"/>
      <c r="Z593" s="89"/>
      <c r="AA593" s="89"/>
    </row>
    <row r="594" ht="14.25" customHeight="1">
      <c r="A594" s="143"/>
      <c r="B594" s="143"/>
      <c r="C594" s="125"/>
      <c r="D594" s="126"/>
      <c r="E594" s="144"/>
      <c r="F594" s="145"/>
      <c r="G594" s="183"/>
      <c r="H594" s="140"/>
      <c r="I594" s="183"/>
      <c r="J594" s="131"/>
      <c r="K594" s="89"/>
      <c r="L594" s="89"/>
      <c r="M594" s="89"/>
      <c r="N594" s="89"/>
      <c r="O594" s="89"/>
      <c r="P594" s="89"/>
      <c r="Q594" s="89"/>
      <c r="R594" s="89"/>
      <c r="S594" s="89"/>
      <c r="T594" s="89"/>
      <c r="U594" s="89"/>
      <c r="V594" s="89"/>
      <c r="W594" s="89"/>
      <c r="X594" s="89"/>
      <c r="Y594" s="89"/>
      <c r="Z594" s="89"/>
      <c r="AA594" s="89"/>
    </row>
    <row r="595" ht="14.25" customHeight="1">
      <c r="A595" s="143"/>
      <c r="B595" s="143"/>
      <c r="C595" s="125"/>
      <c r="D595" s="126"/>
      <c r="E595" s="144"/>
      <c r="F595" s="145"/>
      <c r="G595" s="183"/>
      <c r="H595" s="140"/>
      <c r="I595" s="183"/>
      <c r="J595" s="131"/>
      <c r="K595" s="89"/>
      <c r="L595" s="89"/>
      <c r="M595" s="89"/>
      <c r="N595" s="89"/>
      <c r="O595" s="89"/>
      <c r="P595" s="89"/>
      <c r="Q595" s="89"/>
      <c r="R595" s="89"/>
      <c r="S595" s="89"/>
      <c r="T595" s="89"/>
      <c r="U595" s="89"/>
      <c r="V595" s="89"/>
      <c r="W595" s="89"/>
      <c r="X595" s="89"/>
      <c r="Y595" s="89"/>
      <c r="Z595" s="89"/>
      <c r="AA595" s="89"/>
    </row>
    <row r="596" ht="14.25" customHeight="1">
      <c r="A596" s="143"/>
      <c r="B596" s="143"/>
      <c r="C596" s="125"/>
      <c r="D596" s="126"/>
      <c r="E596" s="144"/>
      <c r="F596" s="145"/>
      <c r="G596" s="183"/>
      <c r="H596" s="140"/>
      <c r="I596" s="183"/>
      <c r="J596" s="131"/>
      <c r="K596" s="89"/>
      <c r="L596" s="89"/>
      <c r="M596" s="89"/>
      <c r="N596" s="89"/>
      <c r="O596" s="89"/>
      <c r="P596" s="89"/>
      <c r="Q596" s="89"/>
      <c r="R596" s="89"/>
      <c r="S596" s="89"/>
      <c r="T596" s="89"/>
      <c r="U596" s="89"/>
      <c r="V596" s="89"/>
      <c r="W596" s="89"/>
      <c r="X596" s="89"/>
      <c r="Y596" s="89"/>
      <c r="Z596" s="89"/>
      <c r="AA596" s="89"/>
    </row>
    <row r="597" ht="14.25" customHeight="1">
      <c r="A597" s="143"/>
      <c r="B597" s="143"/>
      <c r="C597" s="125"/>
      <c r="D597" s="126"/>
      <c r="E597" s="144"/>
      <c r="F597" s="145"/>
      <c r="G597" s="183"/>
      <c r="H597" s="140"/>
      <c r="I597" s="183"/>
      <c r="J597" s="131"/>
      <c r="K597" s="89"/>
      <c r="L597" s="89"/>
      <c r="M597" s="89"/>
      <c r="N597" s="89"/>
      <c r="O597" s="89"/>
      <c r="P597" s="89"/>
      <c r="Q597" s="89"/>
      <c r="R597" s="89"/>
      <c r="S597" s="89"/>
      <c r="T597" s="89"/>
      <c r="U597" s="89"/>
      <c r="V597" s="89"/>
      <c r="W597" s="89"/>
      <c r="X597" s="89"/>
      <c r="Y597" s="89"/>
      <c r="Z597" s="89"/>
      <c r="AA597" s="89"/>
    </row>
    <row r="598" ht="14.25" customHeight="1">
      <c r="A598" s="143"/>
      <c r="B598" s="143"/>
      <c r="C598" s="125"/>
      <c r="D598" s="126"/>
      <c r="E598" s="144"/>
      <c r="F598" s="145"/>
      <c r="G598" s="183"/>
      <c r="H598" s="140"/>
      <c r="I598" s="183"/>
      <c r="J598" s="131"/>
      <c r="K598" s="89"/>
      <c r="L598" s="89"/>
      <c r="M598" s="89"/>
      <c r="N598" s="89"/>
      <c r="O598" s="89"/>
      <c r="P598" s="89"/>
      <c r="Q598" s="89"/>
      <c r="R598" s="89"/>
      <c r="S598" s="89"/>
      <c r="T598" s="89"/>
      <c r="U598" s="89"/>
      <c r="V598" s="89"/>
      <c r="W598" s="89"/>
      <c r="X598" s="89"/>
      <c r="Y598" s="89"/>
      <c r="Z598" s="89"/>
      <c r="AA598" s="89"/>
    </row>
    <row r="599" ht="14.25" customHeight="1">
      <c r="A599" s="143"/>
      <c r="B599" s="143"/>
      <c r="C599" s="125"/>
      <c r="D599" s="126"/>
      <c r="E599" s="144"/>
      <c r="F599" s="145"/>
      <c r="G599" s="183"/>
      <c r="H599" s="140"/>
      <c r="I599" s="183"/>
      <c r="J599" s="131"/>
      <c r="K599" s="89"/>
      <c r="L599" s="89"/>
      <c r="M599" s="89"/>
      <c r="N599" s="89"/>
      <c r="O599" s="89"/>
      <c r="P599" s="89"/>
      <c r="Q599" s="89"/>
      <c r="R599" s="89"/>
      <c r="S599" s="89"/>
      <c r="T599" s="89"/>
      <c r="U599" s="89"/>
      <c r="V599" s="89"/>
      <c r="W599" s="89"/>
      <c r="X599" s="89"/>
      <c r="Y599" s="89"/>
      <c r="Z599" s="89"/>
      <c r="AA599" s="89"/>
    </row>
    <row r="600" ht="14.25" customHeight="1">
      <c r="A600" s="151"/>
      <c r="B600" s="151"/>
      <c r="C600" s="125"/>
      <c r="D600" s="126"/>
      <c r="E600" s="144"/>
      <c r="F600" s="145"/>
      <c r="G600" s="183"/>
      <c r="H600" s="140"/>
      <c r="I600" s="183"/>
      <c r="J600" s="131"/>
      <c r="K600" s="89"/>
      <c r="L600" s="89"/>
      <c r="M600" s="89"/>
      <c r="N600" s="89"/>
      <c r="O600" s="89"/>
      <c r="P600" s="89"/>
      <c r="Q600" s="89"/>
      <c r="R600" s="89"/>
      <c r="S600" s="89"/>
      <c r="T600" s="89"/>
      <c r="U600" s="89"/>
      <c r="V600" s="89"/>
      <c r="W600" s="89"/>
      <c r="X600" s="89"/>
      <c r="Y600" s="89"/>
      <c r="Z600" s="89"/>
      <c r="AA600" s="89"/>
    </row>
    <row r="601" ht="14.25" customHeight="1">
      <c r="A601" s="143"/>
      <c r="B601" s="143"/>
      <c r="C601" s="125"/>
      <c r="D601" s="126"/>
      <c r="E601" s="144"/>
      <c r="F601" s="145"/>
      <c r="G601" s="183"/>
      <c r="H601" s="140"/>
      <c r="I601" s="183"/>
      <c r="J601" s="131"/>
      <c r="K601" s="89"/>
      <c r="L601" s="89"/>
      <c r="M601" s="89"/>
      <c r="N601" s="89"/>
      <c r="O601" s="89"/>
      <c r="P601" s="89"/>
      <c r="Q601" s="89"/>
      <c r="R601" s="89"/>
      <c r="S601" s="89"/>
      <c r="T601" s="89"/>
      <c r="U601" s="89"/>
      <c r="V601" s="89"/>
      <c r="W601" s="89"/>
      <c r="X601" s="89"/>
      <c r="Y601" s="89"/>
      <c r="Z601" s="89"/>
      <c r="AA601" s="89"/>
    </row>
    <row r="602" ht="14.25" customHeight="1">
      <c r="A602" s="143"/>
      <c r="B602" s="143"/>
      <c r="C602" s="125"/>
      <c r="D602" s="126"/>
      <c r="E602" s="144"/>
      <c r="F602" s="145"/>
      <c r="G602" s="183"/>
      <c r="H602" s="140"/>
      <c r="I602" s="183"/>
      <c r="J602" s="131"/>
      <c r="K602" s="89"/>
      <c r="L602" s="89"/>
      <c r="M602" s="89"/>
      <c r="N602" s="89"/>
      <c r="O602" s="89"/>
      <c r="P602" s="89"/>
      <c r="Q602" s="89"/>
      <c r="R602" s="89"/>
      <c r="S602" s="89"/>
      <c r="T602" s="89"/>
      <c r="U602" s="89"/>
      <c r="V602" s="89"/>
      <c r="W602" s="89"/>
      <c r="X602" s="89"/>
      <c r="Y602" s="89"/>
      <c r="Z602" s="89"/>
      <c r="AA602" s="89"/>
    </row>
    <row r="603" ht="14.25" customHeight="1">
      <c r="A603" s="143"/>
      <c r="B603" s="143"/>
      <c r="C603" s="125"/>
      <c r="D603" s="126"/>
      <c r="E603" s="144"/>
      <c r="F603" s="145"/>
      <c r="G603" s="183"/>
      <c r="H603" s="140"/>
      <c r="I603" s="183"/>
      <c r="J603" s="131"/>
      <c r="K603" s="89"/>
      <c r="L603" s="89"/>
      <c r="M603" s="89"/>
      <c r="N603" s="89"/>
      <c r="O603" s="89"/>
      <c r="P603" s="89"/>
      <c r="Q603" s="89"/>
      <c r="R603" s="89"/>
      <c r="S603" s="89"/>
      <c r="T603" s="89"/>
      <c r="U603" s="89"/>
      <c r="V603" s="89"/>
      <c r="W603" s="89"/>
      <c r="X603" s="89"/>
      <c r="Y603" s="89"/>
      <c r="Z603" s="89"/>
      <c r="AA603" s="89"/>
    </row>
    <row r="604" ht="14.25" customHeight="1">
      <c r="A604" s="143"/>
      <c r="B604" s="143"/>
      <c r="C604" s="125"/>
      <c r="D604" s="126"/>
      <c r="E604" s="144"/>
      <c r="F604" s="145"/>
      <c r="G604" s="183"/>
      <c r="H604" s="140"/>
      <c r="I604" s="183"/>
      <c r="J604" s="131"/>
      <c r="K604" s="89"/>
      <c r="L604" s="89"/>
      <c r="M604" s="89"/>
      <c r="N604" s="89"/>
      <c r="O604" s="89"/>
      <c r="P604" s="89"/>
      <c r="Q604" s="89"/>
      <c r="R604" s="89"/>
      <c r="S604" s="89"/>
      <c r="T604" s="89"/>
      <c r="U604" s="89"/>
      <c r="V604" s="89"/>
      <c r="W604" s="89"/>
      <c r="X604" s="89"/>
      <c r="Y604" s="89"/>
      <c r="Z604" s="89"/>
      <c r="AA604" s="89"/>
    </row>
    <row r="605" ht="14.25" customHeight="1">
      <c r="A605" s="143"/>
      <c r="B605" s="143"/>
      <c r="C605" s="125"/>
      <c r="D605" s="126"/>
      <c r="E605" s="144"/>
      <c r="F605" s="145"/>
      <c r="G605" s="183"/>
      <c r="H605" s="140"/>
      <c r="I605" s="183"/>
      <c r="J605" s="131"/>
      <c r="K605" s="89"/>
      <c r="L605" s="89"/>
      <c r="M605" s="89"/>
      <c r="N605" s="89"/>
      <c r="O605" s="89"/>
      <c r="P605" s="89"/>
      <c r="Q605" s="89"/>
      <c r="R605" s="89"/>
      <c r="S605" s="89"/>
      <c r="T605" s="89"/>
      <c r="U605" s="89"/>
      <c r="V605" s="89"/>
      <c r="W605" s="89"/>
      <c r="X605" s="89"/>
      <c r="Y605" s="89"/>
      <c r="Z605" s="89"/>
      <c r="AA605" s="89"/>
    </row>
    <row r="606" ht="14.25" customHeight="1">
      <c r="A606" s="143"/>
      <c r="B606" s="143"/>
      <c r="C606" s="125"/>
      <c r="D606" s="126"/>
      <c r="E606" s="144"/>
      <c r="F606" s="145"/>
      <c r="G606" s="183"/>
      <c r="H606" s="140"/>
      <c r="I606" s="183"/>
      <c r="J606" s="131"/>
      <c r="K606" s="89"/>
      <c r="L606" s="89"/>
      <c r="M606" s="89"/>
      <c r="N606" s="89"/>
      <c r="O606" s="89"/>
      <c r="P606" s="89"/>
      <c r="Q606" s="89"/>
      <c r="R606" s="89"/>
      <c r="S606" s="89"/>
      <c r="T606" s="89"/>
      <c r="U606" s="89"/>
      <c r="V606" s="89"/>
      <c r="W606" s="89"/>
      <c r="X606" s="89"/>
      <c r="Y606" s="89"/>
      <c r="Z606" s="89"/>
      <c r="AA606" s="89"/>
    </row>
    <row r="607" ht="14.25" customHeight="1">
      <c r="A607" s="143"/>
      <c r="B607" s="143"/>
      <c r="C607" s="125"/>
      <c r="D607" s="126"/>
      <c r="E607" s="144"/>
      <c r="F607" s="145"/>
      <c r="G607" s="183"/>
      <c r="H607" s="140"/>
      <c r="I607" s="183"/>
      <c r="J607" s="131"/>
      <c r="K607" s="89"/>
      <c r="L607" s="89"/>
      <c r="M607" s="89"/>
      <c r="N607" s="89"/>
      <c r="O607" s="89"/>
      <c r="P607" s="89"/>
      <c r="Q607" s="89"/>
      <c r="R607" s="89"/>
      <c r="S607" s="89"/>
      <c r="T607" s="89"/>
      <c r="U607" s="89"/>
      <c r="V607" s="89"/>
      <c r="W607" s="89"/>
      <c r="X607" s="89"/>
      <c r="Y607" s="89"/>
      <c r="Z607" s="89"/>
      <c r="AA607" s="89"/>
    </row>
    <row r="608" ht="14.25" customHeight="1">
      <c r="A608" s="143"/>
      <c r="B608" s="143"/>
      <c r="C608" s="125"/>
      <c r="D608" s="126"/>
      <c r="E608" s="144"/>
      <c r="F608" s="145"/>
      <c r="G608" s="183"/>
      <c r="H608" s="140"/>
      <c r="I608" s="183"/>
      <c r="J608" s="131"/>
      <c r="K608" s="89"/>
      <c r="L608" s="89"/>
      <c r="M608" s="89"/>
      <c r="N608" s="89"/>
      <c r="O608" s="89"/>
      <c r="P608" s="89"/>
      <c r="Q608" s="89"/>
      <c r="R608" s="89"/>
      <c r="S608" s="89"/>
      <c r="T608" s="89"/>
      <c r="U608" s="89"/>
      <c r="V608" s="89"/>
      <c r="W608" s="89"/>
      <c r="X608" s="89"/>
      <c r="Y608" s="89"/>
      <c r="Z608" s="89"/>
      <c r="AA608" s="89"/>
    </row>
    <row r="609" ht="14.25" customHeight="1">
      <c r="A609" s="143"/>
      <c r="B609" s="143"/>
      <c r="C609" s="125"/>
      <c r="D609" s="126"/>
      <c r="E609" s="144"/>
      <c r="F609" s="145"/>
      <c r="G609" s="183"/>
      <c r="H609" s="140"/>
      <c r="I609" s="183"/>
      <c r="J609" s="131"/>
      <c r="K609" s="89"/>
      <c r="L609" s="89"/>
      <c r="M609" s="89"/>
      <c r="N609" s="89"/>
      <c r="O609" s="89"/>
      <c r="P609" s="89"/>
      <c r="Q609" s="89"/>
      <c r="R609" s="89"/>
      <c r="S609" s="89"/>
      <c r="T609" s="89"/>
      <c r="U609" s="89"/>
      <c r="V609" s="89"/>
      <c r="W609" s="89"/>
      <c r="X609" s="89"/>
      <c r="Y609" s="89"/>
      <c r="Z609" s="89"/>
      <c r="AA609" s="89"/>
    </row>
    <row r="610" ht="14.25" customHeight="1">
      <c r="A610" s="151"/>
      <c r="B610" s="151"/>
      <c r="C610" s="125"/>
      <c r="D610" s="126"/>
      <c r="E610" s="144"/>
      <c r="F610" s="145"/>
      <c r="G610" s="183"/>
      <c r="H610" s="140"/>
      <c r="I610" s="183"/>
      <c r="J610" s="131"/>
      <c r="K610" s="89"/>
      <c r="L610" s="89"/>
      <c r="M610" s="89"/>
      <c r="N610" s="89"/>
      <c r="O610" s="89"/>
      <c r="P610" s="89"/>
      <c r="Q610" s="89"/>
      <c r="R610" s="89"/>
      <c r="S610" s="89"/>
      <c r="T610" s="89"/>
      <c r="U610" s="89"/>
      <c r="V610" s="89"/>
      <c r="W610" s="89"/>
      <c r="X610" s="89"/>
      <c r="Y610" s="89"/>
      <c r="Z610" s="89"/>
      <c r="AA610" s="89"/>
    </row>
    <row r="611" ht="14.25" customHeight="1">
      <c r="A611" s="143"/>
      <c r="B611" s="143"/>
      <c r="C611" s="125"/>
      <c r="D611" s="126"/>
      <c r="E611" s="144"/>
      <c r="F611" s="145"/>
      <c r="G611" s="183"/>
      <c r="H611" s="140"/>
      <c r="I611" s="183"/>
      <c r="J611" s="131"/>
      <c r="K611" s="89"/>
      <c r="L611" s="89"/>
      <c r="M611" s="89"/>
      <c r="N611" s="89"/>
      <c r="O611" s="89"/>
      <c r="P611" s="89"/>
      <c r="Q611" s="89"/>
      <c r="R611" s="89"/>
      <c r="S611" s="89"/>
      <c r="T611" s="89"/>
      <c r="U611" s="89"/>
      <c r="V611" s="89"/>
      <c r="W611" s="89"/>
      <c r="X611" s="89"/>
      <c r="Y611" s="89"/>
      <c r="Z611" s="89"/>
      <c r="AA611" s="89"/>
    </row>
    <row r="612" ht="14.25" customHeight="1">
      <c r="A612" s="143"/>
      <c r="B612" s="143"/>
      <c r="C612" s="125"/>
      <c r="D612" s="126"/>
      <c r="E612" s="144"/>
      <c r="F612" s="145"/>
      <c r="G612" s="183"/>
      <c r="H612" s="140"/>
      <c r="I612" s="183"/>
      <c r="J612" s="131"/>
      <c r="K612" s="89"/>
      <c r="L612" s="89"/>
      <c r="M612" s="89"/>
      <c r="N612" s="89"/>
      <c r="O612" s="89"/>
      <c r="P612" s="89"/>
      <c r="Q612" s="89"/>
      <c r="R612" s="89"/>
      <c r="S612" s="89"/>
      <c r="T612" s="89"/>
      <c r="U612" s="89"/>
      <c r="V612" s="89"/>
      <c r="W612" s="89"/>
      <c r="X612" s="89"/>
      <c r="Y612" s="89"/>
      <c r="Z612" s="89"/>
      <c r="AA612" s="89"/>
    </row>
    <row r="613" ht="14.25" customHeight="1">
      <c r="A613" s="143"/>
      <c r="B613" s="143"/>
      <c r="C613" s="125"/>
      <c r="D613" s="126"/>
      <c r="E613" s="144"/>
      <c r="F613" s="145"/>
      <c r="G613" s="183"/>
      <c r="H613" s="140"/>
      <c r="I613" s="183"/>
      <c r="J613" s="131"/>
      <c r="K613" s="89"/>
      <c r="L613" s="89"/>
      <c r="M613" s="89"/>
      <c r="N613" s="89"/>
      <c r="O613" s="89"/>
      <c r="P613" s="89"/>
      <c r="Q613" s="89"/>
      <c r="R613" s="89"/>
      <c r="S613" s="89"/>
      <c r="T613" s="89"/>
      <c r="U613" s="89"/>
      <c r="V613" s="89"/>
      <c r="W613" s="89"/>
      <c r="X613" s="89"/>
      <c r="Y613" s="89"/>
      <c r="Z613" s="89"/>
      <c r="AA613" s="89"/>
    </row>
    <row r="614" ht="14.25" customHeight="1">
      <c r="A614" s="143"/>
      <c r="B614" s="143"/>
      <c r="C614" s="125"/>
      <c r="D614" s="126"/>
      <c r="E614" s="144"/>
      <c r="F614" s="145"/>
      <c r="G614" s="183"/>
      <c r="H614" s="140"/>
      <c r="I614" s="183"/>
      <c r="J614" s="131"/>
      <c r="K614" s="89"/>
      <c r="L614" s="89"/>
      <c r="M614" s="89"/>
      <c r="N614" s="89"/>
      <c r="O614" s="89"/>
      <c r="P614" s="89"/>
      <c r="Q614" s="89"/>
      <c r="R614" s="89"/>
      <c r="S614" s="89"/>
      <c r="T614" s="89"/>
      <c r="U614" s="89"/>
      <c r="V614" s="89"/>
      <c r="W614" s="89"/>
      <c r="X614" s="89"/>
      <c r="Y614" s="89"/>
      <c r="Z614" s="89"/>
      <c r="AA614" s="89"/>
    </row>
    <row r="615" ht="14.25" customHeight="1">
      <c r="A615" s="143"/>
      <c r="B615" s="143"/>
      <c r="C615" s="125"/>
      <c r="D615" s="126"/>
      <c r="E615" s="144"/>
      <c r="F615" s="145"/>
      <c r="G615" s="183"/>
      <c r="H615" s="140"/>
      <c r="I615" s="183"/>
      <c r="J615" s="131"/>
      <c r="K615" s="89"/>
      <c r="L615" s="89"/>
      <c r="M615" s="89"/>
      <c r="N615" s="89"/>
      <c r="O615" s="89"/>
      <c r="P615" s="89"/>
      <c r="Q615" s="89"/>
      <c r="R615" s="89"/>
      <c r="S615" s="89"/>
      <c r="T615" s="89"/>
      <c r="U615" s="89"/>
      <c r="V615" s="89"/>
      <c r="W615" s="89"/>
      <c r="X615" s="89"/>
      <c r="Y615" s="89"/>
      <c r="Z615" s="89"/>
      <c r="AA615" s="89"/>
    </row>
    <row r="616" ht="14.25" customHeight="1">
      <c r="A616" s="143"/>
      <c r="B616" s="143"/>
      <c r="C616" s="125"/>
      <c r="D616" s="126"/>
      <c r="E616" s="144"/>
      <c r="F616" s="145"/>
      <c r="G616" s="183"/>
      <c r="H616" s="140"/>
      <c r="I616" s="183"/>
      <c r="J616" s="131"/>
      <c r="K616" s="89"/>
      <c r="L616" s="89"/>
      <c r="M616" s="89"/>
      <c r="N616" s="89"/>
      <c r="O616" s="89"/>
      <c r="P616" s="89"/>
      <c r="Q616" s="89"/>
      <c r="R616" s="89"/>
      <c r="S616" s="89"/>
      <c r="T616" s="89"/>
      <c r="U616" s="89"/>
      <c r="V616" s="89"/>
      <c r="W616" s="89"/>
      <c r="X616" s="89"/>
      <c r="Y616" s="89"/>
      <c r="Z616" s="89"/>
      <c r="AA616" s="89"/>
    </row>
    <row r="617" ht="14.25" customHeight="1">
      <c r="A617" s="143"/>
      <c r="B617" s="143"/>
      <c r="C617" s="125"/>
      <c r="D617" s="126"/>
      <c r="E617" s="144"/>
      <c r="F617" s="145"/>
      <c r="G617" s="183"/>
      <c r="H617" s="140"/>
      <c r="I617" s="183"/>
      <c r="J617" s="131"/>
      <c r="K617" s="89"/>
      <c r="L617" s="89"/>
      <c r="M617" s="89"/>
      <c r="N617" s="89"/>
      <c r="O617" s="89"/>
      <c r="P617" s="89"/>
      <c r="Q617" s="89"/>
      <c r="R617" s="89"/>
      <c r="S617" s="89"/>
      <c r="T617" s="89"/>
      <c r="U617" s="89"/>
      <c r="V617" s="89"/>
      <c r="W617" s="89"/>
      <c r="X617" s="89"/>
      <c r="Y617" s="89"/>
      <c r="Z617" s="89"/>
      <c r="AA617" s="89"/>
    </row>
    <row r="618" ht="14.25" customHeight="1">
      <c r="A618" s="143"/>
      <c r="B618" s="143"/>
      <c r="C618" s="125"/>
      <c r="D618" s="126"/>
      <c r="E618" s="144"/>
      <c r="F618" s="145"/>
      <c r="G618" s="183"/>
      <c r="H618" s="140"/>
      <c r="I618" s="183"/>
      <c r="J618" s="131"/>
      <c r="K618" s="89"/>
      <c r="L618" s="89"/>
      <c r="M618" s="89"/>
      <c r="N618" s="89"/>
      <c r="O618" s="89"/>
      <c r="P618" s="89"/>
      <c r="Q618" s="89"/>
      <c r="R618" s="89"/>
      <c r="S618" s="89"/>
      <c r="T618" s="89"/>
      <c r="U618" s="89"/>
      <c r="V618" s="89"/>
      <c r="W618" s="89"/>
      <c r="X618" s="89"/>
      <c r="Y618" s="89"/>
      <c r="Z618" s="89"/>
      <c r="AA618" s="89"/>
    </row>
    <row r="619" ht="14.25" customHeight="1">
      <c r="A619" s="143"/>
      <c r="B619" s="143"/>
      <c r="C619" s="125"/>
      <c r="D619" s="126"/>
      <c r="E619" s="144"/>
      <c r="F619" s="145"/>
      <c r="G619" s="183"/>
      <c r="H619" s="140"/>
      <c r="I619" s="183"/>
      <c r="J619" s="131"/>
      <c r="K619" s="89"/>
      <c r="L619" s="89"/>
      <c r="M619" s="89"/>
      <c r="N619" s="89"/>
      <c r="O619" s="89"/>
      <c r="P619" s="89"/>
      <c r="Q619" s="89"/>
      <c r="R619" s="89"/>
      <c r="S619" s="89"/>
      <c r="T619" s="89"/>
      <c r="U619" s="89"/>
      <c r="V619" s="89"/>
      <c r="W619" s="89"/>
      <c r="X619" s="89"/>
      <c r="Y619" s="89"/>
      <c r="Z619" s="89"/>
      <c r="AA619" s="89"/>
    </row>
    <row r="620" ht="14.25" customHeight="1">
      <c r="A620" s="151"/>
      <c r="B620" s="151"/>
      <c r="C620" s="125"/>
      <c r="D620" s="126"/>
      <c r="E620" s="144"/>
      <c r="F620" s="145"/>
      <c r="G620" s="183"/>
      <c r="H620" s="140"/>
      <c r="I620" s="183"/>
      <c r="J620" s="131"/>
      <c r="K620" s="89"/>
      <c r="L620" s="89"/>
      <c r="M620" s="89"/>
      <c r="N620" s="89"/>
      <c r="O620" s="89"/>
      <c r="P620" s="89"/>
      <c r="Q620" s="89"/>
      <c r="R620" s="89"/>
      <c r="S620" s="89"/>
      <c r="T620" s="89"/>
      <c r="U620" s="89"/>
      <c r="V620" s="89"/>
      <c r="W620" s="89"/>
      <c r="X620" s="89"/>
      <c r="Y620" s="89"/>
      <c r="Z620" s="89"/>
      <c r="AA620" s="89"/>
    </row>
    <row r="621" ht="14.25" customHeight="1">
      <c r="A621" s="143"/>
      <c r="B621" s="143"/>
      <c r="C621" s="125"/>
      <c r="D621" s="126"/>
      <c r="E621" s="144"/>
      <c r="F621" s="145"/>
      <c r="G621" s="183"/>
      <c r="H621" s="140"/>
      <c r="I621" s="183"/>
      <c r="J621" s="131"/>
      <c r="K621" s="89"/>
      <c r="L621" s="89"/>
      <c r="M621" s="89"/>
      <c r="N621" s="89"/>
      <c r="O621" s="89"/>
      <c r="P621" s="89"/>
      <c r="Q621" s="89"/>
      <c r="R621" s="89"/>
      <c r="S621" s="89"/>
      <c r="T621" s="89"/>
      <c r="U621" s="89"/>
      <c r="V621" s="89"/>
      <c r="W621" s="89"/>
      <c r="X621" s="89"/>
      <c r="Y621" s="89"/>
      <c r="Z621" s="89"/>
      <c r="AA621" s="89"/>
    </row>
    <row r="622" ht="14.25" customHeight="1">
      <c r="A622" s="143"/>
      <c r="B622" s="143"/>
      <c r="C622" s="125"/>
      <c r="D622" s="126"/>
      <c r="E622" s="144"/>
      <c r="F622" s="145"/>
      <c r="G622" s="183"/>
      <c r="H622" s="140"/>
      <c r="I622" s="183"/>
      <c r="J622" s="131"/>
      <c r="K622" s="89"/>
      <c r="L622" s="89"/>
      <c r="M622" s="89"/>
      <c r="N622" s="89"/>
      <c r="O622" s="89"/>
      <c r="P622" s="89"/>
      <c r="Q622" s="89"/>
      <c r="R622" s="89"/>
      <c r="S622" s="89"/>
      <c r="T622" s="89"/>
      <c r="U622" s="89"/>
      <c r="V622" s="89"/>
      <c r="W622" s="89"/>
      <c r="X622" s="89"/>
      <c r="Y622" s="89"/>
      <c r="Z622" s="89"/>
      <c r="AA622" s="89"/>
    </row>
    <row r="623" ht="14.25" customHeight="1">
      <c r="A623" s="143"/>
      <c r="B623" s="143"/>
      <c r="C623" s="125"/>
      <c r="D623" s="126"/>
      <c r="E623" s="144"/>
      <c r="F623" s="145"/>
      <c r="G623" s="183"/>
      <c r="H623" s="140"/>
      <c r="I623" s="183"/>
      <c r="J623" s="131"/>
      <c r="K623" s="89"/>
      <c r="L623" s="89"/>
      <c r="M623" s="89"/>
      <c r="N623" s="89"/>
      <c r="O623" s="89"/>
      <c r="P623" s="89"/>
      <c r="Q623" s="89"/>
      <c r="R623" s="89"/>
      <c r="S623" s="89"/>
      <c r="T623" s="89"/>
      <c r="U623" s="89"/>
      <c r="V623" s="89"/>
      <c r="W623" s="89"/>
      <c r="X623" s="89"/>
      <c r="Y623" s="89"/>
      <c r="Z623" s="89"/>
      <c r="AA623" s="89"/>
    </row>
    <row r="624" ht="14.25" customHeight="1">
      <c r="A624" s="143"/>
      <c r="B624" s="143"/>
      <c r="C624" s="125"/>
      <c r="D624" s="126"/>
      <c r="E624" s="144"/>
      <c r="F624" s="145"/>
      <c r="G624" s="183"/>
      <c r="H624" s="140"/>
      <c r="I624" s="183"/>
      <c r="J624" s="131"/>
      <c r="K624" s="89"/>
      <c r="L624" s="89"/>
      <c r="M624" s="89"/>
      <c r="N624" s="89"/>
      <c r="O624" s="89"/>
      <c r="P624" s="89"/>
      <c r="Q624" s="89"/>
      <c r="R624" s="89"/>
      <c r="S624" s="89"/>
      <c r="T624" s="89"/>
      <c r="U624" s="89"/>
      <c r="V624" s="89"/>
      <c r="W624" s="89"/>
      <c r="X624" s="89"/>
      <c r="Y624" s="89"/>
      <c r="Z624" s="89"/>
      <c r="AA624" s="89"/>
    </row>
    <row r="625" ht="14.25" customHeight="1">
      <c r="A625" s="143"/>
      <c r="B625" s="143"/>
      <c r="C625" s="125"/>
      <c r="D625" s="126"/>
      <c r="E625" s="144"/>
      <c r="F625" s="145"/>
      <c r="G625" s="183"/>
      <c r="H625" s="140"/>
      <c r="I625" s="183"/>
      <c r="J625" s="131"/>
      <c r="K625" s="89"/>
      <c r="L625" s="89"/>
      <c r="M625" s="89"/>
      <c r="N625" s="89"/>
      <c r="O625" s="89"/>
      <c r="P625" s="89"/>
      <c r="Q625" s="89"/>
      <c r="R625" s="89"/>
      <c r="S625" s="89"/>
      <c r="T625" s="89"/>
      <c r="U625" s="89"/>
      <c r="V625" s="89"/>
      <c r="W625" s="89"/>
      <c r="X625" s="89"/>
      <c r="Y625" s="89"/>
      <c r="Z625" s="89"/>
      <c r="AA625" s="89"/>
    </row>
    <row r="626" ht="14.25" customHeight="1">
      <c r="A626" s="143"/>
      <c r="B626" s="143"/>
      <c r="C626" s="125"/>
      <c r="D626" s="126"/>
      <c r="E626" s="144"/>
      <c r="F626" s="145"/>
      <c r="G626" s="183"/>
      <c r="H626" s="140"/>
      <c r="I626" s="183"/>
      <c r="J626" s="131"/>
      <c r="K626" s="89"/>
      <c r="L626" s="89"/>
      <c r="M626" s="89"/>
      <c r="N626" s="89"/>
      <c r="O626" s="89"/>
      <c r="P626" s="89"/>
      <c r="Q626" s="89"/>
      <c r="R626" s="89"/>
      <c r="S626" s="89"/>
      <c r="T626" s="89"/>
      <c r="U626" s="89"/>
      <c r="V626" s="89"/>
      <c r="W626" s="89"/>
      <c r="X626" s="89"/>
      <c r="Y626" s="89"/>
      <c r="Z626" s="89"/>
      <c r="AA626" s="89"/>
    </row>
    <row r="627" ht="14.25" customHeight="1">
      <c r="A627" s="143"/>
      <c r="B627" s="143"/>
      <c r="C627" s="125"/>
      <c r="D627" s="126"/>
      <c r="E627" s="144"/>
      <c r="F627" s="145"/>
      <c r="G627" s="183"/>
      <c r="H627" s="140"/>
      <c r="I627" s="183"/>
      <c r="J627" s="131"/>
      <c r="K627" s="89"/>
      <c r="L627" s="89"/>
      <c r="M627" s="89"/>
      <c r="N627" s="89"/>
      <c r="O627" s="89"/>
      <c r="P627" s="89"/>
      <c r="Q627" s="89"/>
      <c r="R627" s="89"/>
      <c r="S627" s="89"/>
      <c r="T627" s="89"/>
      <c r="U627" s="89"/>
      <c r="V627" s="89"/>
      <c r="W627" s="89"/>
      <c r="X627" s="89"/>
      <c r="Y627" s="89"/>
      <c r="Z627" s="89"/>
      <c r="AA627" s="89"/>
    </row>
    <row r="628" ht="14.25" customHeight="1">
      <c r="A628" s="143"/>
      <c r="B628" s="143"/>
      <c r="C628" s="125"/>
      <c r="D628" s="126"/>
      <c r="E628" s="144"/>
      <c r="F628" s="145"/>
      <c r="G628" s="183"/>
      <c r="H628" s="140"/>
      <c r="I628" s="183"/>
      <c r="J628" s="131"/>
      <c r="K628" s="89"/>
      <c r="L628" s="89"/>
      <c r="M628" s="89"/>
      <c r="N628" s="89"/>
      <c r="O628" s="89"/>
      <c r="P628" s="89"/>
      <c r="Q628" s="89"/>
      <c r="R628" s="89"/>
      <c r="S628" s="89"/>
      <c r="T628" s="89"/>
      <c r="U628" s="89"/>
      <c r="V628" s="89"/>
      <c r="W628" s="89"/>
      <c r="X628" s="89"/>
      <c r="Y628" s="89"/>
      <c r="Z628" s="89"/>
      <c r="AA628" s="89"/>
    </row>
    <row r="629" ht="14.25" customHeight="1">
      <c r="A629" s="143"/>
      <c r="B629" s="143"/>
      <c r="C629" s="125"/>
      <c r="D629" s="126"/>
      <c r="E629" s="144"/>
      <c r="F629" s="145"/>
      <c r="G629" s="183"/>
      <c r="H629" s="140"/>
      <c r="I629" s="183"/>
      <c r="J629" s="131"/>
      <c r="K629" s="89"/>
      <c r="L629" s="89"/>
      <c r="M629" s="89"/>
      <c r="N629" s="89"/>
      <c r="O629" s="89"/>
      <c r="P629" s="89"/>
      <c r="Q629" s="89"/>
      <c r="R629" s="89"/>
      <c r="S629" s="89"/>
      <c r="T629" s="89"/>
      <c r="U629" s="89"/>
      <c r="V629" s="89"/>
      <c r="W629" s="89"/>
      <c r="X629" s="89"/>
      <c r="Y629" s="89"/>
      <c r="Z629" s="89"/>
      <c r="AA629" s="89"/>
    </row>
    <row r="630" ht="14.25" customHeight="1">
      <c r="A630" s="151"/>
      <c r="B630" s="151"/>
      <c r="C630" s="125"/>
      <c r="D630" s="126"/>
      <c r="E630" s="144"/>
      <c r="F630" s="145"/>
      <c r="G630" s="183"/>
      <c r="H630" s="140"/>
      <c r="I630" s="183"/>
      <c r="J630" s="131"/>
      <c r="K630" s="89"/>
      <c r="L630" s="89"/>
      <c r="M630" s="89"/>
      <c r="N630" s="89"/>
      <c r="O630" s="89"/>
      <c r="P630" s="89"/>
      <c r="Q630" s="89"/>
      <c r="R630" s="89"/>
      <c r="S630" s="89"/>
      <c r="T630" s="89"/>
      <c r="U630" s="89"/>
      <c r="V630" s="89"/>
      <c r="W630" s="89"/>
      <c r="X630" s="89"/>
      <c r="Y630" s="89"/>
      <c r="Z630" s="89"/>
      <c r="AA630" s="89"/>
    </row>
    <row r="631" ht="14.25" customHeight="1">
      <c r="A631" s="143"/>
      <c r="B631" s="143"/>
      <c r="C631" s="125"/>
      <c r="D631" s="126"/>
      <c r="E631" s="144"/>
      <c r="F631" s="145"/>
      <c r="G631" s="183"/>
      <c r="H631" s="140"/>
      <c r="I631" s="183"/>
      <c r="J631" s="131"/>
      <c r="K631" s="89"/>
      <c r="L631" s="89"/>
      <c r="M631" s="89"/>
      <c r="N631" s="89"/>
      <c r="O631" s="89"/>
      <c r="P631" s="89"/>
      <c r="Q631" s="89"/>
      <c r="R631" s="89"/>
      <c r="S631" s="89"/>
      <c r="T631" s="89"/>
      <c r="U631" s="89"/>
      <c r="V631" s="89"/>
      <c r="W631" s="89"/>
      <c r="X631" s="89"/>
      <c r="Y631" s="89"/>
      <c r="Z631" s="89"/>
      <c r="AA631" s="89"/>
    </row>
    <row r="632" ht="14.25" customHeight="1">
      <c r="A632" s="143"/>
      <c r="B632" s="143"/>
      <c r="C632" s="125"/>
      <c r="D632" s="126"/>
      <c r="E632" s="144"/>
      <c r="F632" s="145"/>
      <c r="G632" s="183"/>
      <c r="H632" s="140"/>
      <c r="I632" s="183"/>
      <c r="J632" s="131"/>
      <c r="K632" s="89"/>
      <c r="L632" s="89"/>
      <c r="M632" s="89"/>
      <c r="N632" s="89"/>
      <c r="O632" s="89"/>
      <c r="P632" s="89"/>
      <c r="Q632" s="89"/>
      <c r="R632" s="89"/>
      <c r="S632" s="89"/>
      <c r="T632" s="89"/>
      <c r="U632" s="89"/>
      <c r="V632" s="89"/>
      <c r="W632" s="89"/>
      <c r="X632" s="89"/>
      <c r="Y632" s="89"/>
      <c r="Z632" s="89"/>
      <c r="AA632" s="89"/>
    </row>
    <row r="633" ht="14.25" customHeight="1">
      <c r="A633" s="143"/>
      <c r="B633" s="143"/>
      <c r="C633" s="125"/>
      <c r="D633" s="126"/>
      <c r="E633" s="144"/>
      <c r="F633" s="145"/>
      <c r="G633" s="183"/>
      <c r="H633" s="140"/>
      <c r="I633" s="183"/>
      <c r="J633" s="131"/>
      <c r="K633" s="89"/>
      <c r="L633" s="89"/>
      <c r="M633" s="89"/>
      <c r="N633" s="89"/>
      <c r="O633" s="89"/>
      <c r="P633" s="89"/>
      <c r="Q633" s="89"/>
      <c r="R633" s="89"/>
      <c r="S633" s="89"/>
      <c r="T633" s="89"/>
      <c r="U633" s="89"/>
      <c r="V633" s="89"/>
      <c r="W633" s="89"/>
      <c r="X633" s="89"/>
      <c r="Y633" s="89"/>
      <c r="Z633" s="89"/>
      <c r="AA633" s="89"/>
    </row>
    <row r="634" ht="14.25" customHeight="1">
      <c r="A634" s="143"/>
      <c r="B634" s="143"/>
      <c r="C634" s="125"/>
      <c r="D634" s="126"/>
      <c r="E634" s="144"/>
      <c r="F634" s="145"/>
      <c r="G634" s="183"/>
      <c r="H634" s="140"/>
      <c r="I634" s="183"/>
      <c r="J634" s="131"/>
      <c r="K634" s="89"/>
      <c r="L634" s="89"/>
      <c r="M634" s="89"/>
      <c r="N634" s="89"/>
      <c r="O634" s="89"/>
      <c r="P634" s="89"/>
      <c r="Q634" s="89"/>
      <c r="R634" s="89"/>
      <c r="S634" s="89"/>
      <c r="T634" s="89"/>
      <c r="U634" s="89"/>
      <c r="V634" s="89"/>
      <c r="W634" s="89"/>
      <c r="X634" s="89"/>
      <c r="Y634" s="89"/>
      <c r="Z634" s="89"/>
      <c r="AA634" s="89"/>
    </row>
    <row r="635" ht="14.25" customHeight="1">
      <c r="A635" s="143"/>
      <c r="B635" s="143"/>
      <c r="C635" s="125"/>
      <c r="D635" s="126"/>
      <c r="E635" s="144"/>
      <c r="F635" s="145"/>
      <c r="G635" s="183"/>
      <c r="H635" s="140"/>
      <c r="I635" s="183"/>
      <c r="J635" s="131"/>
      <c r="K635" s="89"/>
      <c r="L635" s="89"/>
      <c r="M635" s="89"/>
      <c r="N635" s="89"/>
      <c r="O635" s="89"/>
      <c r="P635" s="89"/>
      <c r="Q635" s="89"/>
      <c r="R635" s="89"/>
      <c r="S635" s="89"/>
      <c r="T635" s="89"/>
      <c r="U635" s="89"/>
      <c r="V635" s="89"/>
      <c r="W635" s="89"/>
      <c r="X635" s="89"/>
      <c r="Y635" s="89"/>
      <c r="Z635" s="89"/>
      <c r="AA635" s="89"/>
    </row>
    <row r="636" ht="14.25" customHeight="1">
      <c r="A636" s="143"/>
      <c r="B636" s="143"/>
      <c r="C636" s="125"/>
      <c r="D636" s="126"/>
      <c r="E636" s="144"/>
      <c r="F636" s="145"/>
      <c r="G636" s="183"/>
      <c r="H636" s="140"/>
      <c r="I636" s="183"/>
      <c r="J636" s="131"/>
      <c r="K636" s="89"/>
      <c r="L636" s="89"/>
      <c r="M636" s="89"/>
      <c r="N636" s="89"/>
      <c r="O636" s="89"/>
      <c r="P636" s="89"/>
      <c r="Q636" s="89"/>
      <c r="R636" s="89"/>
      <c r="S636" s="89"/>
      <c r="T636" s="89"/>
      <c r="U636" s="89"/>
      <c r="V636" s="89"/>
      <c r="W636" s="89"/>
      <c r="X636" s="89"/>
      <c r="Y636" s="89"/>
      <c r="Z636" s="89"/>
      <c r="AA636" s="89"/>
    </row>
    <row r="637" ht="14.25" customHeight="1">
      <c r="A637" s="143"/>
      <c r="B637" s="143"/>
      <c r="C637" s="125"/>
      <c r="D637" s="126"/>
      <c r="E637" s="144"/>
      <c r="F637" s="145"/>
      <c r="G637" s="183"/>
      <c r="H637" s="140"/>
      <c r="I637" s="183"/>
      <c r="J637" s="131"/>
      <c r="K637" s="89"/>
      <c r="L637" s="89"/>
      <c r="M637" s="89"/>
      <c r="N637" s="89"/>
      <c r="O637" s="89"/>
      <c r="P637" s="89"/>
      <c r="Q637" s="89"/>
      <c r="R637" s="89"/>
      <c r="S637" s="89"/>
      <c r="T637" s="89"/>
      <c r="U637" s="89"/>
      <c r="V637" s="89"/>
      <c r="W637" s="89"/>
      <c r="X637" s="89"/>
      <c r="Y637" s="89"/>
      <c r="Z637" s="89"/>
      <c r="AA637" s="89"/>
    </row>
    <row r="638" ht="14.25" customHeight="1">
      <c r="A638" s="143"/>
      <c r="B638" s="143"/>
      <c r="C638" s="125"/>
      <c r="D638" s="126"/>
      <c r="E638" s="144"/>
      <c r="F638" s="145"/>
      <c r="G638" s="183"/>
      <c r="H638" s="140"/>
      <c r="I638" s="183"/>
      <c r="J638" s="131"/>
      <c r="K638" s="89"/>
      <c r="L638" s="89"/>
      <c r="M638" s="89"/>
      <c r="N638" s="89"/>
      <c r="O638" s="89"/>
      <c r="P638" s="89"/>
      <c r="Q638" s="89"/>
      <c r="R638" s="89"/>
      <c r="S638" s="89"/>
      <c r="T638" s="89"/>
      <c r="U638" s="89"/>
      <c r="V638" s="89"/>
      <c r="W638" s="89"/>
      <c r="X638" s="89"/>
      <c r="Y638" s="89"/>
      <c r="Z638" s="89"/>
      <c r="AA638" s="89"/>
    </row>
    <row r="639" ht="14.25" customHeight="1">
      <c r="A639" s="143"/>
      <c r="B639" s="143"/>
      <c r="C639" s="125"/>
      <c r="D639" s="126"/>
      <c r="E639" s="144"/>
      <c r="F639" s="145"/>
      <c r="G639" s="183"/>
      <c r="H639" s="140"/>
      <c r="I639" s="183"/>
      <c r="J639" s="131"/>
      <c r="K639" s="89"/>
      <c r="L639" s="89"/>
      <c r="M639" s="89"/>
      <c r="N639" s="89"/>
      <c r="O639" s="89"/>
      <c r="P639" s="89"/>
      <c r="Q639" s="89"/>
      <c r="R639" s="89"/>
      <c r="S639" s="89"/>
      <c r="T639" s="89"/>
      <c r="U639" s="89"/>
      <c r="V639" s="89"/>
      <c r="W639" s="89"/>
      <c r="X639" s="89"/>
      <c r="Y639" s="89"/>
      <c r="Z639" s="89"/>
      <c r="AA639" s="89"/>
    </row>
    <row r="640" ht="14.25" customHeight="1">
      <c r="A640" s="151"/>
      <c r="B640" s="151"/>
      <c r="C640" s="125"/>
      <c r="D640" s="126"/>
      <c r="E640" s="144"/>
      <c r="F640" s="145"/>
      <c r="G640" s="183"/>
      <c r="H640" s="140"/>
      <c r="I640" s="183"/>
      <c r="J640" s="131"/>
      <c r="K640" s="89"/>
      <c r="L640" s="89"/>
      <c r="M640" s="89"/>
      <c r="N640" s="89"/>
      <c r="O640" s="89"/>
      <c r="P640" s="89"/>
      <c r="Q640" s="89"/>
      <c r="R640" s="89"/>
      <c r="S640" s="89"/>
      <c r="T640" s="89"/>
      <c r="U640" s="89"/>
      <c r="V640" s="89"/>
      <c r="W640" s="89"/>
      <c r="X640" s="89"/>
      <c r="Y640" s="89"/>
      <c r="Z640" s="89"/>
      <c r="AA640" s="89"/>
    </row>
    <row r="641" ht="14.25" customHeight="1">
      <c r="A641" s="143"/>
      <c r="B641" s="143"/>
      <c r="C641" s="125"/>
      <c r="D641" s="126"/>
      <c r="E641" s="144"/>
      <c r="F641" s="145"/>
      <c r="G641" s="183"/>
      <c r="H641" s="140"/>
      <c r="I641" s="183"/>
      <c r="J641" s="131"/>
      <c r="K641" s="89"/>
      <c r="L641" s="89"/>
      <c r="M641" s="89"/>
      <c r="N641" s="89"/>
      <c r="O641" s="89"/>
      <c r="P641" s="89"/>
      <c r="Q641" s="89"/>
      <c r="R641" s="89"/>
      <c r="S641" s="89"/>
      <c r="T641" s="89"/>
      <c r="U641" s="89"/>
      <c r="V641" s="89"/>
      <c r="W641" s="89"/>
      <c r="X641" s="89"/>
      <c r="Y641" s="89"/>
      <c r="Z641" s="89"/>
      <c r="AA641" s="89"/>
    </row>
    <row r="642" ht="14.25" customHeight="1">
      <c r="A642" s="143"/>
      <c r="B642" s="143"/>
      <c r="C642" s="125"/>
      <c r="D642" s="126"/>
      <c r="E642" s="144"/>
      <c r="F642" s="145"/>
      <c r="G642" s="183"/>
      <c r="H642" s="140"/>
      <c r="I642" s="183"/>
      <c r="J642" s="131"/>
      <c r="K642" s="89"/>
      <c r="L642" s="89"/>
      <c r="M642" s="89"/>
      <c r="N642" s="89"/>
      <c r="O642" s="89"/>
      <c r="P642" s="89"/>
      <c r="Q642" s="89"/>
      <c r="R642" s="89"/>
      <c r="S642" s="89"/>
      <c r="T642" s="89"/>
      <c r="U642" s="89"/>
      <c r="V642" s="89"/>
      <c r="W642" s="89"/>
      <c r="X642" s="89"/>
      <c r="Y642" s="89"/>
      <c r="Z642" s="89"/>
      <c r="AA642" s="89"/>
    </row>
    <row r="643" ht="14.25" customHeight="1">
      <c r="A643" s="143"/>
      <c r="B643" s="143"/>
      <c r="C643" s="125"/>
      <c r="D643" s="126"/>
      <c r="E643" s="144"/>
      <c r="F643" s="145"/>
      <c r="G643" s="183"/>
      <c r="H643" s="140"/>
      <c r="I643" s="183"/>
      <c r="J643" s="131"/>
      <c r="K643" s="89"/>
      <c r="L643" s="89"/>
      <c r="M643" s="89"/>
      <c r="N643" s="89"/>
      <c r="O643" s="89"/>
      <c r="P643" s="89"/>
      <c r="Q643" s="89"/>
      <c r="R643" s="89"/>
      <c r="S643" s="89"/>
      <c r="T643" s="89"/>
      <c r="U643" s="89"/>
      <c r="V643" s="89"/>
      <c r="W643" s="89"/>
      <c r="X643" s="89"/>
      <c r="Y643" s="89"/>
      <c r="Z643" s="89"/>
      <c r="AA643" s="89"/>
    </row>
    <row r="644" ht="14.25" customHeight="1">
      <c r="A644" s="143"/>
      <c r="B644" s="143"/>
      <c r="C644" s="125"/>
      <c r="D644" s="126"/>
      <c r="E644" s="144"/>
      <c r="F644" s="145"/>
      <c r="G644" s="183"/>
      <c r="H644" s="140"/>
      <c r="I644" s="183"/>
      <c r="J644" s="131"/>
      <c r="K644" s="89"/>
      <c r="L644" s="89"/>
      <c r="M644" s="89"/>
      <c r="N644" s="89"/>
      <c r="O644" s="89"/>
      <c r="P644" s="89"/>
      <c r="Q644" s="89"/>
      <c r="R644" s="89"/>
      <c r="S644" s="89"/>
      <c r="T644" s="89"/>
      <c r="U644" s="89"/>
      <c r="V644" s="89"/>
      <c r="W644" s="89"/>
      <c r="X644" s="89"/>
      <c r="Y644" s="89"/>
      <c r="Z644" s="89"/>
      <c r="AA644" s="89"/>
    </row>
    <row r="645" ht="14.25" customHeight="1">
      <c r="A645" s="143"/>
      <c r="B645" s="143"/>
      <c r="C645" s="125"/>
      <c r="D645" s="126"/>
      <c r="E645" s="144"/>
      <c r="F645" s="145"/>
      <c r="G645" s="183"/>
      <c r="H645" s="140"/>
      <c r="I645" s="183"/>
      <c r="J645" s="131"/>
      <c r="K645" s="89"/>
      <c r="L645" s="89"/>
      <c r="M645" s="89"/>
      <c r="N645" s="89"/>
      <c r="O645" s="89"/>
      <c r="P645" s="89"/>
      <c r="Q645" s="89"/>
      <c r="R645" s="89"/>
      <c r="S645" s="89"/>
      <c r="T645" s="89"/>
      <c r="U645" s="89"/>
      <c r="V645" s="89"/>
      <c r="W645" s="89"/>
      <c r="X645" s="89"/>
      <c r="Y645" s="89"/>
      <c r="Z645" s="89"/>
      <c r="AA645" s="89"/>
    </row>
    <row r="646" ht="14.25" customHeight="1">
      <c r="A646" s="143"/>
      <c r="B646" s="143"/>
      <c r="C646" s="125"/>
      <c r="D646" s="126"/>
      <c r="E646" s="144"/>
      <c r="F646" s="145"/>
      <c r="G646" s="183"/>
      <c r="H646" s="140"/>
      <c r="I646" s="183"/>
      <c r="J646" s="131"/>
      <c r="K646" s="89"/>
      <c r="L646" s="89"/>
      <c r="M646" s="89"/>
      <c r="N646" s="89"/>
      <c r="O646" s="89"/>
      <c r="P646" s="89"/>
      <c r="Q646" s="89"/>
      <c r="R646" s="89"/>
      <c r="S646" s="89"/>
      <c r="T646" s="89"/>
      <c r="U646" s="89"/>
      <c r="V646" s="89"/>
      <c r="W646" s="89"/>
      <c r="X646" s="89"/>
      <c r="Y646" s="89"/>
      <c r="Z646" s="89"/>
      <c r="AA646" s="89"/>
    </row>
    <row r="647" ht="14.25" customHeight="1">
      <c r="A647" s="143"/>
      <c r="B647" s="143"/>
      <c r="C647" s="125"/>
      <c r="D647" s="126"/>
      <c r="E647" s="144"/>
      <c r="F647" s="145"/>
      <c r="G647" s="183"/>
      <c r="H647" s="140"/>
      <c r="I647" s="183"/>
      <c r="J647" s="131"/>
      <c r="K647" s="89"/>
      <c r="L647" s="89"/>
      <c r="M647" s="89"/>
      <c r="N647" s="89"/>
      <c r="O647" s="89"/>
      <c r="P647" s="89"/>
      <c r="Q647" s="89"/>
      <c r="R647" s="89"/>
      <c r="S647" s="89"/>
      <c r="T647" s="89"/>
      <c r="U647" s="89"/>
      <c r="V647" s="89"/>
      <c r="W647" s="89"/>
      <c r="X647" s="89"/>
      <c r="Y647" s="89"/>
      <c r="Z647" s="89"/>
      <c r="AA647" s="89"/>
    </row>
    <row r="648" ht="14.25" customHeight="1">
      <c r="A648" s="143"/>
      <c r="B648" s="143"/>
      <c r="C648" s="125"/>
      <c r="D648" s="126"/>
      <c r="E648" s="144"/>
      <c r="F648" s="145"/>
      <c r="G648" s="183"/>
      <c r="H648" s="140"/>
      <c r="I648" s="183"/>
      <c r="J648" s="131"/>
      <c r="K648" s="89"/>
      <c r="L648" s="89"/>
      <c r="M648" s="89"/>
      <c r="N648" s="89"/>
      <c r="O648" s="89"/>
      <c r="P648" s="89"/>
      <c r="Q648" s="89"/>
      <c r="R648" s="89"/>
      <c r="S648" s="89"/>
      <c r="T648" s="89"/>
      <c r="U648" s="89"/>
      <c r="V648" s="89"/>
      <c r="W648" s="89"/>
      <c r="X648" s="89"/>
      <c r="Y648" s="89"/>
      <c r="Z648" s="89"/>
      <c r="AA648" s="89"/>
    </row>
    <row r="649" ht="14.25" customHeight="1">
      <c r="A649" s="143"/>
      <c r="B649" s="143"/>
      <c r="C649" s="125"/>
      <c r="D649" s="126"/>
      <c r="E649" s="144"/>
      <c r="F649" s="145"/>
      <c r="G649" s="183"/>
      <c r="H649" s="140"/>
      <c r="I649" s="183"/>
      <c r="J649" s="131"/>
      <c r="K649" s="89"/>
      <c r="L649" s="89"/>
      <c r="M649" s="89"/>
      <c r="N649" s="89"/>
      <c r="O649" s="89"/>
      <c r="P649" s="89"/>
      <c r="Q649" s="89"/>
      <c r="R649" s="89"/>
      <c r="S649" s="89"/>
      <c r="T649" s="89"/>
      <c r="U649" s="89"/>
      <c r="V649" s="89"/>
      <c r="W649" s="89"/>
      <c r="X649" s="89"/>
      <c r="Y649" s="89"/>
      <c r="Z649" s="89"/>
      <c r="AA649" s="89"/>
    </row>
    <row r="650" ht="14.25" customHeight="1">
      <c r="A650" s="151"/>
      <c r="B650" s="151"/>
      <c r="C650" s="125"/>
      <c r="D650" s="126"/>
      <c r="E650" s="144"/>
      <c r="F650" s="145"/>
      <c r="G650" s="183"/>
      <c r="H650" s="140"/>
      <c r="I650" s="183"/>
      <c r="J650" s="131"/>
      <c r="K650" s="89"/>
      <c r="L650" s="89"/>
      <c r="M650" s="89"/>
      <c r="N650" s="89"/>
      <c r="O650" s="89"/>
      <c r="P650" s="89"/>
      <c r="Q650" s="89"/>
      <c r="R650" s="89"/>
      <c r="S650" s="89"/>
      <c r="T650" s="89"/>
      <c r="U650" s="89"/>
      <c r="V650" s="89"/>
      <c r="W650" s="89"/>
      <c r="X650" s="89"/>
      <c r="Y650" s="89"/>
      <c r="Z650" s="89"/>
      <c r="AA650" s="89"/>
    </row>
    <row r="651" ht="14.25" customHeight="1">
      <c r="A651" s="143"/>
      <c r="B651" s="143"/>
      <c r="C651" s="125"/>
      <c r="D651" s="126"/>
      <c r="E651" s="144"/>
      <c r="F651" s="145"/>
      <c r="G651" s="183"/>
      <c r="H651" s="140"/>
      <c r="I651" s="183"/>
      <c r="J651" s="131"/>
      <c r="K651" s="89"/>
      <c r="L651" s="89"/>
      <c r="M651" s="89"/>
      <c r="N651" s="89"/>
      <c r="O651" s="89"/>
      <c r="P651" s="89"/>
      <c r="Q651" s="89"/>
      <c r="R651" s="89"/>
      <c r="S651" s="89"/>
      <c r="T651" s="89"/>
      <c r="U651" s="89"/>
      <c r="V651" s="89"/>
      <c r="W651" s="89"/>
      <c r="X651" s="89"/>
      <c r="Y651" s="89"/>
      <c r="Z651" s="89"/>
      <c r="AA651" s="89"/>
    </row>
    <row r="652" ht="14.25" customHeight="1">
      <c r="A652" s="143"/>
      <c r="B652" s="143"/>
      <c r="C652" s="125"/>
      <c r="D652" s="126"/>
      <c r="E652" s="144"/>
      <c r="F652" s="145"/>
      <c r="G652" s="183"/>
      <c r="H652" s="140"/>
      <c r="I652" s="183"/>
      <c r="J652" s="131"/>
      <c r="K652" s="89"/>
      <c r="L652" s="89"/>
      <c r="M652" s="89"/>
      <c r="N652" s="89"/>
      <c r="O652" s="89"/>
      <c r="P652" s="89"/>
      <c r="Q652" s="89"/>
      <c r="R652" s="89"/>
      <c r="S652" s="89"/>
      <c r="T652" s="89"/>
      <c r="U652" s="89"/>
      <c r="V652" s="89"/>
      <c r="W652" s="89"/>
      <c r="X652" s="89"/>
      <c r="Y652" s="89"/>
      <c r="Z652" s="89"/>
      <c r="AA652" s="89"/>
    </row>
    <row r="653" ht="14.25" customHeight="1">
      <c r="A653" s="143"/>
      <c r="B653" s="143"/>
      <c r="C653" s="125"/>
      <c r="D653" s="126"/>
      <c r="E653" s="144"/>
      <c r="F653" s="145"/>
      <c r="G653" s="183"/>
      <c r="H653" s="140"/>
      <c r="I653" s="183"/>
      <c r="J653" s="131"/>
      <c r="K653" s="89"/>
      <c r="L653" s="89"/>
      <c r="M653" s="89"/>
      <c r="N653" s="89"/>
      <c r="O653" s="89"/>
      <c r="P653" s="89"/>
      <c r="Q653" s="89"/>
      <c r="R653" s="89"/>
      <c r="S653" s="89"/>
      <c r="T653" s="89"/>
      <c r="U653" s="89"/>
      <c r="V653" s="89"/>
      <c r="W653" s="89"/>
      <c r="X653" s="89"/>
      <c r="Y653" s="89"/>
      <c r="Z653" s="89"/>
      <c r="AA653" s="89"/>
    </row>
    <row r="654" ht="14.25" customHeight="1">
      <c r="A654" s="143"/>
      <c r="B654" s="143"/>
      <c r="C654" s="125"/>
      <c r="D654" s="126"/>
      <c r="E654" s="144"/>
      <c r="F654" s="145"/>
      <c r="G654" s="183"/>
      <c r="H654" s="140"/>
      <c r="I654" s="183"/>
      <c r="J654" s="131"/>
      <c r="K654" s="89"/>
      <c r="L654" s="89"/>
      <c r="M654" s="89"/>
      <c r="N654" s="89"/>
      <c r="O654" s="89"/>
      <c r="P654" s="89"/>
      <c r="Q654" s="89"/>
      <c r="R654" s="89"/>
      <c r="S654" s="89"/>
      <c r="T654" s="89"/>
      <c r="U654" s="89"/>
      <c r="V654" s="89"/>
      <c r="W654" s="89"/>
      <c r="X654" s="89"/>
      <c r="Y654" s="89"/>
      <c r="Z654" s="89"/>
      <c r="AA654" s="89"/>
    </row>
    <row r="655" ht="14.25" customHeight="1">
      <c r="A655" s="143"/>
      <c r="B655" s="143"/>
      <c r="C655" s="125"/>
      <c r="D655" s="126"/>
      <c r="E655" s="144"/>
      <c r="F655" s="145"/>
      <c r="G655" s="183"/>
      <c r="H655" s="140"/>
      <c r="I655" s="183"/>
      <c r="J655" s="131"/>
      <c r="K655" s="89"/>
      <c r="L655" s="89"/>
      <c r="M655" s="89"/>
      <c r="N655" s="89"/>
      <c r="O655" s="89"/>
      <c r="P655" s="89"/>
      <c r="Q655" s="89"/>
      <c r="R655" s="89"/>
      <c r="S655" s="89"/>
      <c r="T655" s="89"/>
      <c r="U655" s="89"/>
      <c r="V655" s="89"/>
      <c r="W655" s="89"/>
      <c r="X655" s="89"/>
      <c r="Y655" s="89"/>
      <c r="Z655" s="89"/>
      <c r="AA655" s="89"/>
    </row>
    <row r="656" ht="14.25" customHeight="1">
      <c r="A656" s="143"/>
      <c r="B656" s="143"/>
      <c r="C656" s="125"/>
      <c r="D656" s="126"/>
      <c r="E656" s="144"/>
      <c r="F656" s="145"/>
      <c r="G656" s="183"/>
      <c r="H656" s="140"/>
      <c r="I656" s="183"/>
      <c r="J656" s="131"/>
      <c r="K656" s="89"/>
      <c r="L656" s="89"/>
      <c r="M656" s="89"/>
      <c r="N656" s="89"/>
      <c r="O656" s="89"/>
      <c r="P656" s="89"/>
      <c r="Q656" s="89"/>
      <c r="R656" s="89"/>
      <c r="S656" s="89"/>
      <c r="T656" s="89"/>
      <c r="U656" s="89"/>
      <c r="V656" s="89"/>
      <c r="W656" s="89"/>
      <c r="X656" s="89"/>
      <c r="Y656" s="89"/>
      <c r="Z656" s="89"/>
      <c r="AA656" s="89"/>
    </row>
    <row r="657" ht="14.25" customHeight="1">
      <c r="A657" s="143"/>
      <c r="B657" s="143"/>
      <c r="C657" s="125"/>
      <c r="D657" s="126"/>
      <c r="E657" s="144"/>
      <c r="F657" s="145"/>
      <c r="G657" s="183"/>
      <c r="H657" s="140"/>
      <c r="I657" s="183"/>
      <c r="J657" s="131"/>
      <c r="K657" s="89"/>
      <c r="L657" s="89"/>
      <c r="M657" s="89"/>
      <c r="N657" s="89"/>
      <c r="O657" s="89"/>
      <c r="P657" s="89"/>
      <c r="Q657" s="89"/>
      <c r="R657" s="89"/>
      <c r="S657" s="89"/>
      <c r="T657" s="89"/>
      <c r="U657" s="89"/>
      <c r="V657" s="89"/>
      <c r="W657" s="89"/>
      <c r="X657" s="89"/>
      <c r="Y657" s="89"/>
      <c r="Z657" s="89"/>
      <c r="AA657" s="89"/>
    </row>
    <row r="658" ht="14.25" customHeight="1">
      <c r="A658" s="143"/>
      <c r="B658" s="143"/>
      <c r="C658" s="125"/>
      <c r="D658" s="126"/>
      <c r="E658" s="144"/>
      <c r="F658" s="145"/>
      <c r="G658" s="183"/>
      <c r="H658" s="140"/>
      <c r="I658" s="183"/>
      <c r="J658" s="131"/>
      <c r="K658" s="89"/>
      <c r="L658" s="89"/>
      <c r="M658" s="89"/>
      <c r="N658" s="89"/>
      <c r="O658" s="89"/>
      <c r="P658" s="89"/>
      <c r="Q658" s="89"/>
      <c r="R658" s="89"/>
      <c r="S658" s="89"/>
      <c r="T658" s="89"/>
      <c r="U658" s="89"/>
      <c r="V658" s="89"/>
      <c r="W658" s="89"/>
      <c r="X658" s="89"/>
      <c r="Y658" s="89"/>
      <c r="Z658" s="89"/>
      <c r="AA658" s="89"/>
    </row>
    <row r="659" ht="14.25" customHeight="1">
      <c r="A659" s="143"/>
      <c r="B659" s="143"/>
      <c r="C659" s="125"/>
      <c r="D659" s="126"/>
      <c r="E659" s="144"/>
      <c r="F659" s="145"/>
      <c r="G659" s="183"/>
      <c r="H659" s="140"/>
      <c r="I659" s="183"/>
      <c r="J659" s="131"/>
      <c r="K659" s="89"/>
      <c r="L659" s="89"/>
      <c r="M659" s="89"/>
      <c r="N659" s="89"/>
      <c r="O659" s="89"/>
      <c r="P659" s="89"/>
      <c r="Q659" s="89"/>
      <c r="R659" s="89"/>
      <c r="S659" s="89"/>
      <c r="T659" s="89"/>
      <c r="U659" s="89"/>
      <c r="V659" s="89"/>
      <c r="W659" s="89"/>
      <c r="X659" s="89"/>
      <c r="Y659" s="89"/>
      <c r="Z659" s="89"/>
      <c r="AA659" s="89"/>
    </row>
    <row r="660" ht="14.25" customHeight="1">
      <c r="A660" s="151"/>
      <c r="B660" s="151"/>
      <c r="C660" s="125"/>
      <c r="D660" s="126"/>
      <c r="E660" s="144"/>
      <c r="F660" s="145"/>
      <c r="G660" s="183"/>
      <c r="H660" s="140"/>
      <c r="I660" s="183"/>
      <c r="J660" s="131"/>
      <c r="K660" s="89"/>
      <c r="L660" s="89"/>
      <c r="M660" s="89"/>
      <c r="N660" s="89"/>
      <c r="O660" s="89"/>
      <c r="P660" s="89"/>
      <c r="Q660" s="89"/>
      <c r="R660" s="89"/>
      <c r="S660" s="89"/>
      <c r="T660" s="89"/>
      <c r="U660" s="89"/>
      <c r="V660" s="89"/>
      <c r="W660" s="89"/>
      <c r="X660" s="89"/>
      <c r="Y660" s="89"/>
      <c r="Z660" s="89"/>
      <c r="AA660" s="89"/>
    </row>
    <row r="661" ht="14.25" customHeight="1">
      <c r="A661" s="143"/>
      <c r="B661" s="143"/>
      <c r="C661" s="125"/>
      <c r="D661" s="126"/>
      <c r="E661" s="144"/>
      <c r="F661" s="145"/>
      <c r="G661" s="183"/>
      <c r="H661" s="140"/>
      <c r="I661" s="183"/>
      <c r="J661" s="131"/>
      <c r="K661" s="89"/>
      <c r="L661" s="89"/>
      <c r="M661" s="89"/>
      <c r="N661" s="89"/>
      <c r="O661" s="89"/>
      <c r="P661" s="89"/>
      <c r="Q661" s="89"/>
      <c r="R661" s="89"/>
      <c r="S661" s="89"/>
      <c r="T661" s="89"/>
      <c r="U661" s="89"/>
      <c r="V661" s="89"/>
      <c r="W661" s="89"/>
      <c r="X661" s="89"/>
      <c r="Y661" s="89"/>
      <c r="Z661" s="89"/>
      <c r="AA661" s="89"/>
    </row>
    <row r="662" ht="14.25" customHeight="1">
      <c r="A662" s="143"/>
      <c r="B662" s="143"/>
      <c r="C662" s="125"/>
      <c r="D662" s="126"/>
      <c r="E662" s="144"/>
      <c r="F662" s="145"/>
      <c r="G662" s="183"/>
      <c r="H662" s="140"/>
      <c r="I662" s="183"/>
      <c r="J662" s="131"/>
      <c r="K662" s="89"/>
      <c r="L662" s="89"/>
      <c r="M662" s="89"/>
      <c r="N662" s="89"/>
      <c r="O662" s="89"/>
      <c r="P662" s="89"/>
      <c r="Q662" s="89"/>
      <c r="R662" s="89"/>
      <c r="S662" s="89"/>
      <c r="T662" s="89"/>
      <c r="U662" s="89"/>
      <c r="V662" s="89"/>
      <c r="W662" s="89"/>
      <c r="X662" s="89"/>
      <c r="Y662" s="89"/>
      <c r="Z662" s="89"/>
      <c r="AA662" s="89"/>
    </row>
    <row r="663" ht="14.25" customHeight="1">
      <c r="A663" s="143"/>
      <c r="B663" s="143"/>
      <c r="C663" s="125"/>
      <c r="D663" s="126"/>
      <c r="E663" s="144"/>
      <c r="F663" s="145"/>
      <c r="G663" s="183"/>
      <c r="H663" s="140"/>
      <c r="I663" s="183"/>
      <c r="J663" s="131"/>
      <c r="K663" s="89"/>
      <c r="L663" s="89"/>
      <c r="M663" s="89"/>
      <c r="N663" s="89"/>
      <c r="O663" s="89"/>
      <c r="P663" s="89"/>
      <c r="Q663" s="89"/>
      <c r="R663" s="89"/>
      <c r="S663" s="89"/>
      <c r="T663" s="89"/>
      <c r="U663" s="89"/>
      <c r="V663" s="89"/>
      <c r="W663" s="89"/>
      <c r="X663" s="89"/>
      <c r="Y663" s="89"/>
      <c r="Z663" s="89"/>
      <c r="AA663" s="89"/>
    </row>
    <row r="664" ht="14.25" customHeight="1">
      <c r="A664" s="143"/>
      <c r="B664" s="143"/>
      <c r="C664" s="125"/>
      <c r="D664" s="126"/>
      <c r="E664" s="144"/>
      <c r="F664" s="145"/>
      <c r="G664" s="183"/>
      <c r="H664" s="140"/>
      <c r="I664" s="183"/>
      <c r="J664" s="131"/>
      <c r="K664" s="89"/>
      <c r="L664" s="89"/>
      <c r="M664" s="89"/>
      <c r="N664" s="89"/>
      <c r="O664" s="89"/>
      <c r="P664" s="89"/>
      <c r="Q664" s="89"/>
      <c r="R664" s="89"/>
      <c r="S664" s="89"/>
      <c r="T664" s="89"/>
      <c r="U664" s="89"/>
      <c r="V664" s="89"/>
      <c r="W664" s="89"/>
      <c r="X664" s="89"/>
      <c r="Y664" s="89"/>
      <c r="Z664" s="89"/>
      <c r="AA664" s="89"/>
    </row>
    <row r="665" ht="14.25" customHeight="1">
      <c r="A665" s="143"/>
      <c r="B665" s="143"/>
      <c r="C665" s="125"/>
      <c r="D665" s="126"/>
      <c r="E665" s="144"/>
      <c r="F665" s="145"/>
      <c r="G665" s="183"/>
      <c r="H665" s="140"/>
      <c r="I665" s="183"/>
      <c r="J665" s="131"/>
      <c r="K665" s="89"/>
      <c r="L665" s="89"/>
      <c r="M665" s="89"/>
      <c r="N665" s="89"/>
      <c r="O665" s="89"/>
      <c r="P665" s="89"/>
      <c r="Q665" s="89"/>
      <c r="R665" s="89"/>
      <c r="S665" s="89"/>
      <c r="T665" s="89"/>
      <c r="U665" s="89"/>
      <c r="V665" s="89"/>
      <c r="W665" s="89"/>
      <c r="X665" s="89"/>
      <c r="Y665" s="89"/>
      <c r="Z665" s="89"/>
      <c r="AA665" s="89"/>
    </row>
    <row r="666" ht="14.25" customHeight="1">
      <c r="A666" s="143"/>
      <c r="B666" s="143"/>
      <c r="C666" s="125"/>
      <c r="D666" s="126"/>
      <c r="E666" s="144"/>
      <c r="F666" s="145"/>
      <c r="G666" s="183"/>
      <c r="H666" s="140"/>
      <c r="I666" s="183"/>
      <c r="J666" s="131"/>
      <c r="K666" s="89"/>
      <c r="L666" s="89"/>
      <c r="M666" s="89"/>
      <c r="N666" s="89"/>
      <c r="O666" s="89"/>
      <c r="P666" s="89"/>
      <c r="Q666" s="89"/>
      <c r="R666" s="89"/>
      <c r="S666" s="89"/>
      <c r="T666" s="89"/>
      <c r="U666" s="89"/>
      <c r="V666" s="89"/>
      <c r="W666" s="89"/>
      <c r="X666" s="89"/>
      <c r="Y666" s="89"/>
      <c r="Z666" s="89"/>
      <c r="AA666" s="89"/>
    </row>
    <row r="667" ht="14.25" customHeight="1">
      <c r="A667" s="143"/>
      <c r="B667" s="143"/>
      <c r="C667" s="125"/>
      <c r="D667" s="126"/>
      <c r="E667" s="144"/>
      <c r="F667" s="145"/>
      <c r="G667" s="183"/>
      <c r="H667" s="140"/>
      <c r="I667" s="183"/>
      <c r="J667" s="131"/>
      <c r="K667" s="89"/>
      <c r="L667" s="89"/>
      <c r="M667" s="89"/>
      <c r="N667" s="89"/>
      <c r="O667" s="89"/>
      <c r="P667" s="89"/>
      <c r="Q667" s="89"/>
      <c r="R667" s="89"/>
      <c r="S667" s="89"/>
      <c r="T667" s="89"/>
      <c r="U667" s="89"/>
      <c r="V667" s="89"/>
      <c r="W667" s="89"/>
      <c r="X667" s="89"/>
      <c r="Y667" s="89"/>
      <c r="Z667" s="89"/>
      <c r="AA667" s="89"/>
    </row>
    <row r="668" ht="14.25" customHeight="1">
      <c r="A668" s="143"/>
      <c r="B668" s="143"/>
      <c r="C668" s="125"/>
      <c r="D668" s="126"/>
      <c r="E668" s="144"/>
      <c r="F668" s="145"/>
      <c r="G668" s="183"/>
      <c r="H668" s="140"/>
      <c r="I668" s="183"/>
      <c r="J668" s="131"/>
      <c r="K668" s="89"/>
      <c r="L668" s="89"/>
      <c r="M668" s="89"/>
      <c r="N668" s="89"/>
      <c r="O668" s="89"/>
      <c r="P668" s="89"/>
      <c r="Q668" s="89"/>
      <c r="R668" s="89"/>
      <c r="S668" s="89"/>
      <c r="T668" s="89"/>
      <c r="U668" s="89"/>
      <c r="V668" s="89"/>
      <c r="W668" s="89"/>
      <c r="X668" s="89"/>
      <c r="Y668" s="89"/>
      <c r="Z668" s="89"/>
      <c r="AA668" s="89"/>
    </row>
    <row r="669" ht="14.25" customHeight="1">
      <c r="A669" s="143"/>
      <c r="B669" s="143"/>
      <c r="C669" s="125"/>
      <c r="D669" s="126"/>
      <c r="E669" s="144"/>
      <c r="F669" s="145"/>
      <c r="G669" s="183"/>
      <c r="H669" s="140"/>
      <c r="I669" s="183"/>
      <c r="J669" s="131"/>
      <c r="K669" s="89"/>
      <c r="L669" s="89"/>
      <c r="M669" s="89"/>
      <c r="N669" s="89"/>
      <c r="O669" s="89"/>
      <c r="P669" s="89"/>
      <c r="Q669" s="89"/>
      <c r="R669" s="89"/>
      <c r="S669" s="89"/>
      <c r="T669" s="89"/>
      <c r="U669" s="89"/>
      <c r="V669" s="89"/>
      <c r="W669" s="89"/>
      <c r="X669" s="89"/>
      <c r="Y669" s="89"/>
      <c r="Z669" s="89"/>
      <c r="AA669" s="89"/>
    </row>
    <row r="670" ht="14.25" customHeight="1">
      <c r="A670" s="151"/>
      <c r="B670" s="151"/>
      <c r="C670" s="125"/>
      <c r="D670" s="126"/>
      <c r="E670" s="144"/>
      <c r="F670" s="145"/>
      <c r="G670" s="183"/>
      <c r="H670" s="140"/>
      <c r="I670" s="183"/>
      <c r="J670" s="131"/>
      <c r="K670" s="89"/>
      <c r="L670" s="89"/>
      <c r="M670" s="89"/>
      <c r="N670" s="89"/>
      <c r="O670" s="89"/>
      <c r="P670" s="89"/>
      <c r="Q670" s="89"/>
      <c r="R670" s="89"/>
      <c r="S670" s="89"/>
      <c r="T670" s="89"/>
      <c r="U670" s="89"/>
      <c r="V670" s="89"/>
      <c r="W670" s="89"/>
      <c r="X670" s="89"/>
      <c r="Y670" s="89"/>
      <c r="Z670" s="89"/>
      <c r="AA670" s="89"/>
    </row>
    <row r="671" ht="14.25" customHeight="1">
      <c r="A671" s="143"/>
      <c r="B671" s="143"/>
      <c r="C671" s="125"/>
      <c r="D671" s="126"/>
      <c r="E671" s="144"/>
      <c r="F671" s="145"/>
      <c r="G671" s="183"/>
      <c r="H671" s="140"/>
      <c r="I671" s="183"/>
      <c r="J671" s="131"/>
      <c r="K671" s="89"/>
      <c r="L671" s="89"/>
      <c r="M671" s="89"/>
      <c r="N671" s="89"/>
      <c r="O671" s="89"/>
      <c r="P671" s="89"/>
      <c r="Q671" s="89"/>
      <c r="R671" s="89"/>
      <c r="S671" s="89"/>
      <c r="T671" s="89"/>
      <c r="U671" s="89"/>
      <c r="V671" s="89"/>
      <c r="W671" s="89"/>
      <c r="X671" s="89"/>
      <c r="Y671" s="89"/>
      <c r="Z671" s="89"/>
      <c r="AA671" s="89"/>
    </row>
    <row r="672" ht="14.25" customHeight="1">
      <c r="A672" s="143"/>
      <c r="B672" s="143"/>
      <c r="C672" s="125"/>
      <c r="D672" s="126"/>
      <c r="E672" s="144"/>
      <c r="F672" s="145"/>
      <c r="G672" s="183"/>
      <c r="H672" s="140"/>
      <c r="I672" s="183"/>
      <c r="J672" s="131"/>
      <c r="K672" s="89"/>
      <c r="L672" s="89"/>
      <c r="M672" s="89"/>
      <c r="N672" s="89"/>
      <c r="O672" s="89"/>
      <c r="P672" s="89"/>
      <c r="Q672" s="89"/>
      <c r="R672" s="89"/>
      <c r="S672" s="89"/>
      <c r="T672" s="89"/>
      <c r="U672" s="89"/>
      <c r="V672" s="89"/>
      <c r="W672" s="89"/>
      <c r="X672" s="89"/>
      <c r="Y672" s="89"/>
      <c r="Z672" s="89"/>
      <c r="AA672" s="89"/>
    </row>
    <row r="673" ht="14.25" customHeight="1">
      <c r="A673" s="143"/>
      <c r="B673" s="143"/>
      <c r="C673" s="125"/>
      <c r="D673" s="126"/>
      <c r="E673" s="144"/>
      <c r="F673" s="145"/>
      <c r="G673" s="183"/>
      <c r="H673" s="140"/>
      <c r="I673" s="183"/>
      <c r="J673" s="131"/>
      <c r="K673" s="89"/>
      <c r="L673" s="89"/>
      <c r="M673" s="89"/>
      <c r="N673" s="89"/>
      <c r="O673" s="89"/>
      <c r="P673" s="89"/>
      <c r="Q673" s="89"/>
      <c r="R673" s="89"/>
      <c r="S673" s="89"/>
      <c r="T673" s="89"/>
      <c r="U673" s="89"/>
      <c r="V673" s="89"/>
      <c r="W673" s="89"/>
      <c r="X673" s="89"/>
      <c r="Y673" s="89"/>
      <c r="Z673" s="89"/>
      <c r="AA673" s="89"/>
    </row>
    <row r="674" ht="14.25" customHeight="1">
      <c r="A674" s="143"/>
      <c r="B674" s="143"/>
      <c r="C674" s="125"/>
      <c r="D674" s="126"/>
      <c r="E674" s="144"/>
      <c r="F674" s="145"/>
      <c r="G674" s="183"/>
      <c r="H674" s="140"/>
      <c r="I674" s="183"/>
      <c r="J674" s="131"/>
      <c r="K674" s="89"/>
      <c r="L674" s="89"/>
      <c r="M674" s="89"/>
      <c r="N674" s="89"/>
      <c r="O674" s="89"/>
      <c r="P674" s="89"/>
      <c r="Q674" s="89"/>
      <c r="R674" s="89"/>
      <c r="S674" s="89"/>
      <c r="T674" s="89"/>
      <c r="U674" s="89"/>
      <c r="V674" s="89"/>
      <c r="W674" s="89"/>
      <c r="X674" s="89"/>
      <c r="Y674" s="89"/>
      <c r="Z674" s="89"/>
      <c r="AA674" s="89"/>
    </row>
    <row r="675" ht="14.25" customHeight="1">
      <c r="A675" s="143"/>
      <c r="B675" s="143"/>
      <c r="C675" s="125"/>
      <c r="D675" s="126"/>
      <c r="E675" s="144"/>
      <c r="F675" s="145"/>
      <c r="G675" s="183"/>
      <c r="H675" s="140"/>
      <c r="I675" s="183"/>
      <c r="J675" s="131"/>
      <c r="K675" s="89"/>
      <c r="L675" s="89"/>
      <c r="M675" s="89"/>
      <c r="N675" s="89"/>
      <c r="O675" s="89"/>
      <c r="P675" s="89"/>
      <c r="Q675" s="89"/>
      <c r="R675" s="89"/>
      <c r="S675" s="89"/>
      <c r="T675" s="89"/>
      <c r="U675" s="89"/>
      <c r="V675" s="89"/>
      <c r="W675" s="89"/>
      <c r="X675" s="89"/>
      <c r="Y675" s="89"/>
      <c r="Z675" s="89"/>
      <c r="AA675" s="89"/>
    </row>
    <row r="676" ht="14.25" customHeight="1">
      <c r="A676" s="143"/>
      <c r="B676" s="143"/>
      <c r="C676" s="125"/>
      <c r="D676" s="126"/>
      <c r="E676" s="144"/>
      <c r="F676" s="145"/>
      <c r="G676" s="183"/>
      <c r="H676" s="140"/>
      <c r="I676" s="183"/>
      <c r="J676" s="131"/>
      <c r="K676" s="89"/>
      <c r="L676" s="89"/>
      <c r="M676" s="89"/>
      <c r="N676" s="89"/>
      <c r="O676" s="89"/>
      <c r="P676" s="89"/>
      <c r="Q676" s="89"/>
      <c r="R676" s="89"/>
      <c r="S676" s="89"/>
      <c r="T676" s="89"/>
      <c r="U676" s="89"/>
      <c r="V676" s="89"/>
      <c r="W676" s="89"/>
      <c r="X676" s="89"/>
      <c r="Y676" s="89"/>
      <c r="Z676" s="89"/>
      <c r="AA676" s="89"/>
    </row>
    <row r="677" ht="14.25" customHeight="1">
      <c r="A677" s="143"/>
      <c r="B677" s="143"/>
      <c r="C677" s="125"/>
      <c r="D677" s="126"/>
      <c r="E677" s="144"/>
      <c r="F677" s="145"/>
      <c r="G677" s="183"/>
      <c r="H677" s="140"/>
      <c r="I677" s="183"/>
      <c r="J677" s="131"/>
      <c r="K677" s="89"/>
      <c r="L677" s="89"/>
      <c r="M677" s="89"/>
      <c r="N677" s="89"/>
      <c r="O677" s="89"/>
      <c r="P677" s="89"/>
      <c r="Q677" s="89"/>
      <c r="R677" s="89"/>
      <c r="S677" s="89"/>
      <c r="T677" s="89"/>
      <c r="U677" s="89"/>
      <c r="V677" s="89"/>
      <c r="W677" s="89"/>
      <c r="X677" s="89"/>
      <c r="Y677" s="89"/>
      <c r="Z677" s="89"/>
      <c r="AA677" s="89"/>
    </row>
    <row r="678" ht="14.25" customHeight="1">
      <c r="A678" s="143"/>
      <c r="B678" s="143"/>
      <c r="C678" s="125"/>
      <c r="D678" s="126"/>
      <c r="E678" s="144"/>
      <c r="F678" s="145"/>
      <c r="G678" s="183"/>
      <c r="H678" s="140"/>
      <c r="I678" s="183"/>
      <c r="J678" s="131"/>
      <c r="K678" s="89"/>
      <c r="L678" s="89"/>
      <c r="M678" s="89"/>
      <c r="N678" s="89"/>
      <c r="O678" s="89"/>
      <c r="P678" s="89"/>
      <c r="Q678" s="89"/>
      <c r="R678" s="89"/>
      <c r="S678" s="89"/>
      <c r="T678" s="89"/>
      <c r="U678" s="89"/>
      <c r="V678" s="89"/>
      <c r="W678" s="89"/>
      <c r="X678" s="89"/>
      <c r="Y678" s="89"/>
      <c r="Z678" s="89"/>
      <c r="AA678" s="89"/>
    </row>
    <row r="679" ht="14.25" customHeight="1">
      <c r="A679" s="143"/>
      <c r="B679" s="143"/>
      <c r="C679" s="125"/>
      <c r="D679" s="126"/>
      <c r="E679" s="144"/>
      <c r="F679" s="145"/>
      <c r="G679" s="183"/>
      <c r="H679" s="140"/>
      <c r="I679" s="183"/>
      <c r="J679" s="131"/>
      <c r="K679" s="89"/>
      <c r="L679" s="89"/>
      <c r="M679" s="89"/>
      <c r="N679" s="89"/>
      <c r="O679" s="89"/>
      <c r="P679" s="89"/>
      <c r="Q679" s="89"/>
      <c r="R679" s="89"/>
      <c r="S679" s="89"/>
      <c r="T679" s="89"/>
      <c r="U679" s="89"/>
      <c r="V679" s="89"/>
      <c r="W679" s="89"/>
      <c r="X679" s="89"/>
      <c r="Y679" s="89"/>
      <c r="Z679" s="89"/>
      <c r="AA679" s="89"/>
    </row>
    <row r="680" ht="14.25" customHeight="1">
      <c r="A680" s="151"/>
      <c r="B680" s="151"/>
      <c r="C680" s="125"/>
      <c r="D680" s="126"/>
      <c r="E680" s="144"/>
      <c r="F680" s="145"/>
      <c r="G680" s="183"/>
      <c r="H680" s="140"/>
      <c r="I680" s="183"/>
      <c r="J680" s="131"/>
      <c r="K680" s="89"/>
      <c r="L680" s="89"/>
      <c r="M680" s="89"/>
      <c r="N680" s="89"/>
      <c r="O680" s="89"/>
      <c r="P680" s="89"/>
      <c r="Q680" s="89"/>
      <c r="R680" s="89"/>
      <c r="S680" s="89"/>
      <c r="T680" s="89"/>
      <c r="U680" s="89"/>
      <c r="V680" s="89"/>
      <c r="W680" s="89"/>
      <c r="X680" s="89"/>
      <c r="Y680" s="89"/>
      <c r="Z680" s="89"/>
      <c r="AA680" s="89"/>
    </row>
    <row r="681" ht="14.25" customHeight="1">
      <c r="A681" s="143"/>
      <c r="B681" s="143"/>
      <c r="C681" s="125"/>
      <c r="D681" s="126"/>
      <c r="E681" s="144"/>
      <c r="F681" s="145"/>
      <c r="G681" s="183"/>
      <c r="H681" s="140"/>
      <c r="I681" s="183"/>
      <c r="J681" s="131"/>
      <c r="K681" s="89"/>
      <c r="L681" s="89"/>
      <c r="M681" s="89"/>
      <c r="N681" s="89"/>
      <c r="O681" s="89"/>
      <c r="P681" s="89"/>
      <c r="Q681" s="89"/>
      <c r="R681" s="89"/>
      <c r="S681" s="89"/>
      <c r="T681" s="89"/>
      <c r="U681" s="89"/>
      <c r="V681" s="89"/>
      <c r="W681" s="89"/>
      <c r="X681" s="89"/>
      <c r="Y681" s="89"/>
      <c r="Z681" s="89"/>
      <c r="AA681" s="89"/>
    </row>
    <row r="682" ht="14.25" customHeight="1">
      <c r="A682" s="143"/>
      <c r="B682" s="143"/>
      <c r="C682" s="125"/>
      <c r="D682" s="126"/>
      <c r="E682" s="144"/>
      <c r="F682" s="145"/>
      <c r="G682" s="183"/>
      <c r="H682" s="140"/>
      <c r="I682" s="183"/>
      <c r="J682" s="131"/>
      <c r="K682" s="89"/>
      <c r="L682" s="89"/>
      <c r="M682" s="89"/>
      <c r="N682" s="89"/>
      <c r="O682" s="89"/>
      <c r="P682" s="89"/>
      <c r="Q682" s="89"/>
      <c r="R682" s="89"/>
      <c r="S682" s="89"/>
      <c r="T682" s="89"/>
      <c r="U682" s="89"/>
      <c r="V682" s="89"/>
      <c r="W682" s="89"/>
      <c r="X682" s="89"/>
      <c r="Y682" s="89"/>
      <c r="Z682" s="89"/>
      <c r="AA682" s="89"/>
    </row>
    <row r="683" ht="14.25" customHeight="1">
      <c r="A683" s="143"/>
      <c r="B683" s="143"/>
      <c r="C683" s="125"/>
      <c r="D683" s="126"/>
      <c r="E683" s="144"/>
      <c r="F683" s="145"/>
      <c r="G683" s="183"/>
      <c r="H683" s="140"/>
      <c r="I683" s="183"/>
      <c r="J683" s="131"/>
      <c r="K683" s="89"/>
      <c r="L683" s="89"/>
      <c r="M683" s="89"/>
      <c r="N683" s="89"/>
      <c r="O683" s="89"/>
      <c r="P683" s="89"/>
      <c r="Q683" s="89"/>
      <c r="R683" s="89"/>
      <c r="S683" s="89"/>
      <c r="T683" s="89"/>
      <c r="U683" s="89"/>
      <c r="V683" s="89"/>
      <c r="W683" s="89"/>
      <c r="X683" s="89"/>
      <c r="Y683" s="89"/>
      <c r="Z683" s="89"/>
      <c r="AA683" s="89"/>
    </row>
    <row r="684" ht="14.25" customHeight="1">
      <c r="A684" s="143"/>
      <c r="B684" s="143"/>
      <c r="C684" s="125"/>
      <c r="D684" s="126"/>
      <c r="E684" s="144"/>
      <c r="F684" s="145"/>
      <c r="G684" s="183"/>
      <c r="H684" s="140"/>
      <c r="I684" s="183"/>
      <c r="J684" s="131"/>
      <c r="K684" s="89"/>
      <c r="L684" s="89"/>
      <c r="M684" s="89"/>
      <c r="N684" s="89"/>
      <c r="O684" s="89"/>
      <c r="P684" s="89"/>
      <c r="Q684" s="89"/>
      <c r="R684" s="89"/>
      <c r="S684" s="89"/>
      <c r="T684" s="89"/>
      <c r="U684" s="89"/>
      <c r="V684" s="89"/>
      <c r="W684" s="89"/>
      <c r="X684" s="89"/>
      <c r="Y684" s="89"/>
      <c r="Z684" s="89"/>
      <c r="AA684" s="89"/>
    </row>
    <row r="685" ht="14.25" customHeight="1">
      <c r="A685" s="143"/>
      <c r="B685" s="143"/>
      <c r="C685" s="125"/>
      <c r="D685" s="126"/>
      <c r="E685" s="144"/>
      <c r="F685" s="145"/>
      <c r="G685" s="183"/>
      <c r="H685" s="140"/>
      <c r="I685" s="183"/>
      <c r="J685" s="131"/>
      <c r="K685" s="89"/>
      <c r="L685" s="89"/>
      <c r="M685" s="89"/>
      <c r="N685" s="89"/>
      <c r="O685" s="89"/>
      <c r="P685" s="89"/>
      <c r="Q685" s="89"/>
      <c r="R685" s="89"/>
      <c r="S685" s="89"/>
      <c r="T685" s="89"/>
      <c r="U685" s="89"/>
      <c r="V685" s="89"/>
      <c r="W685" s="89"/>
      <c r="X685" s="89"/>
      <c r="Y685" s="89"/>
      <c r="Z685" s="89"/>
      <c r="AA685" s="89"/>
    </row>
    <row r="686" ht="14.25" customHeight="1">
      <c r="A686" s="143"/>
      <c r="B686" s="143"/>
      <c r="C686" s="125"/>
      <c r="D686" s="126"/>
      <c r="E686" s="144"/>
      <c r="F686" s="145"/>
      <c r="G686" s="183"/>
      <c r="H686" s="140"/>
      <c r="I686" s="183"/>
      <c r="J686" s="131"/>
      <c r="K686" s="89"/>
      <c r="L686" s="89"/>
      <c r="M686" s="89"/>
      <c r="N686" s="89"/>
      <c r="O686" s="89"/>
      <c r="P686" s="89"/>
      <c r="Q686" s="89"/>
      <c r="R686" s="89"/>
      <c r="S686" s="89"/>
      <c r="T686" s="89"/>
      <c r="U686" s="89"/>
      <c r="V686" s="89"/>
      <c r="W686" s="89"/>
      <c r="X686" s="89"/>
      <c r="Y686" s="89"/>
      <c r="Z686" s="89"/>
      <c r="AA686" s="89"/>
    </row>
    <row r="687" ht="14.25" customHeight="1">
      <c r="A687" s="143"/>
      <c r="B687" s="143"/>
      <c r="C687" s="125"/>
      <c r="D687" s="126"/>
      <c r="E687" s="144"/>
      <c r="F687" s="145"/>
      <c r="G687" s="183"/>
      <c r="H687" s="140"/>
      <c r="I687" s="183"/>
      <c r="J687" s="131"/>
      <c r="K687" s="89"/>
      <c r="L687" s="89"/>
      <c r="M687" s="89"/>
      <c r="N687" s="89"/>
      <c r="O687" s="89"/>
      <c r="P687" s="89"/>
      <c r="Q687" s="89"/>
      <c r="R687" s="89"/>
      <c r="S687" s="89"/>
      <c r="T687" s="89"/>
      <c r="U687" s="89"/>
      <c r="V687" s="89"/>
      <c r="W687" s="89"/>
      <c r="X687" s="89"/>
      <c r="Y687" s="89"/>
      <c r="Z687" s="89"/>
      <c r="AA687" s="89"/>
    </row>
    <row r="688" ht="14.25" customHeight="1">
      <c r="A688" s="143"/>
      <c r="B688" s="143"/>
      <c r="C688" s="125"/>
      <c r="D688" s="126"/>
      <c r="E688" s="144"/>
      <c r="F688" s="145"/>
      <c r="G688" s="183"/>
      <c r="H688" s="140"/>
      <c r="I688" s="183"/>
      <c r="J688" s="131"/>
      <c r="K688" s="89"/>
      <c r="L688" s="89"/>
      <c r="M688" s="89"/>
      <c r="N688" s="89"/>
      <c r="O688" s="89"/>
      <c r="P688" s="89"/>
      <c r="Q688" s="89"/>
      <c r="R688" s="89"/>
      <c r="S688" s="89"/>
      <c r="T688" s="89"/>
      <c r="U688" s="89"/>
      <c r="V688" s="89"/>
      <c r="W688" s="89"/>
      <c r="X688" s="89"/>
      <c r="Y688" s="89"/>
      <c r="Z688" s="89"/>
      <c r="AA688" s="89"/>
    </row>
    <row r="689" ht="14.25" customHeight="1">
      <c r="A689" s="143"/>
      <c r="B689" s="143"/>
      <c r="C689" s="125"/>
      <c r="D689" s="126"/>
      <c r="E689" s="144"/>
      <c r="F689" s="145"/>
      <c r="G689" s="183"/>
      <c r="H689" s="140"/>
      <c r="I689" s="183"/>
      <c r="J689" s="131"/>
      <c r="K689" s="89"/>
      <c r="L689" s="89"/>
      <c r="M689" s="89"/>
      <c r="N689" s="89"/>
      <c r="O689" s="89"/>
      <c r="P689" s="89"/>
      <c r="Q689" s="89"/>
      <c r="R689" s="89"/>
      <c r="S689" s="89"/>
      <c r="T689" s="89"/>
      <c r="U689" s="89"/>
      <c r="V689" s="89"/>
      <c r="W689" s="89"/>
      <c r="X689" s="89"/>
      <c r="Y689" s="89"/>
      <c r="Z689" s="89"/>
      <c r="AA689" s="89"/>
    </row>
    <row r="690" ht="14.25" customHeight="1">
      <c r="A690" s="151"/>
      <c r="B690" s="151"/>
      <c r="C690" s="125"/>
      <c r="D690" s="126"/>
      <c r="E690" s="144"/>
      <c r="F690" s="145"/>
      <c r="G690" s="183"/>
      <c r="H690" s="140"/>
      <c r="I690" s="183"/>
      <c r="J690" s="131"/>
      <c r="K690" s="89"/>
      <c r="L690" s="89"/>
      <c r="M690" s="89"/>
      <c r="N690" s="89"/>
      <c r="O690" s="89"/>
      <c r="P690" s="89"/>
      <c r="Q690" s="89"/>
      <c r="R690" s="89"/>
      <c r="S690" s="89"/>
      <c r="T690" s="89"/>
      <c r="U690" s="89"/>
      <c r="V690" s="89"/>
      <c r="W690" s="89"/>
      <c r="X690" s="89"/>
      <c r="Y690" s="89"/>
      <c r="Z690" s="89"/>
      <c r="AA690" s="89"/>
    </row>
    <row r="691" ht="14.25" customHeight="1">
      <c r="A691" s="143"/>
      <c r="B691" s="143"/>
      <c r="C691" s="125"/>
      <c r="D691" s="126"/>
      <c r="E691" s="144"/>
      <c r="F691" s="145"/>
      <c r="G691" s="183"/>
      <c r="H691" s="140"/>
      <c r="I691" s="183"/>
      <c r="J691" s="131"/>
      <c r="K691" s="89"/>
      <c r="L691" s="89"/>
      <c r="M691" s="89"/>
      <c r="N691" s="89"/>
      <c r="O691" s="89"/>
      <c r="P691" s="89"/>
      <c r="Q691" s="89"/>
      <c r="R691" s="89"/>
      <c r="S691" s="89"/>
      <c r="T691" s="89"/>
      <c r="U691" s="89"/>
      <c r="V691" s="89"/>
      <c r="W691" s="89"/>
      <c r="X691" s="89"/>
      <c r="Y691" s="89"/>
      <c r="Z691" s="89"/>
      <c r="AA691" s="89"/>
    </row>
    <row r="692" ht="14.25" customHeight="1">
      <c r="A692" s="143"/>
      <c r="B692" s="143"/>
      <c r="C692" s="125"/>
      <c r="D692" s="126"/>
      <c r="E692" s="144"/>
      <c r="F692" s="145"/>
      <c r="G692" s="183"/>
      <c r="H692" s="140"/>
      <c r="I692" s="183"/>
      <c r="J692" s="131"/>
      <c r="K692" s="89"/>
      <c r="L692" s="89"/>
      <c r="M692" s="89"/>
      <c r="N692" s="89"/>
      <c r="O692" s="89"/>
      <c r="P692" s="89"/>
      <c r="Q692" s="89"/>
      <c r="R692" s="89"/>
      <c r="S692" s="89"/>
      <c r="T692" s="89"/>
      <c r="U692" s="89"/>
      <c r="V692" s="89"/>
      <c r="W692" s="89"/>
      <c r="X692" s="89"/>
      <c r="Y692" s="89"/>
      <c r="Z692" s="89"/>
      <c r="AA692" s="89"/>
    </row>
    <row r="693" ht="14.25" customHeight="1">
      <c r="A693" s="143"/>
      <c r="B693" s="143"/>
      <c r="C693" s="125"/>
      <c r="D693" s="126"/>
      <c r="E693" s="144"/>
      <c r="F693" s="145"/>
      <c r="G693" s="183"/>
      <c r="H693" s="140"/>
      <c r="I693" s="183"/>
      <c r="J693" s="131"/>
      <c r="K693" s="89"/>
      <c r="L693" s="89"/>
      <c r="M693" s="89"/>
      <c r="N693" s="89"/>
      <c r="O693" s="89"/>
      <c r="P693" s="89"/>
      <c r="Q693" s="89"/>
      <c r="R693" s="89"/>
      <c r="S693" s="89"/>
      <c r="T693" s="89"/>
      <c r="U693" s="89"/>
      <c r="V693" s="89"/>
      <c r="W693" s="89"/>
      <c r="X693" s="89"/>
      <c r="Y693" s="89"/>
      <c r="Z693" s="89"/>
      <c r="AA693" s="89"/>
    </row>
    <row r="694" ht="14.25" customHeight="1">
      <c r="A694" s="143"/>
      <c r="B694" s="143"/>
      <c r="C694" s="125"/>
      <c r="D694" s="126"/>
      <c r="E694" s="144"/>
      <c r="F694" s="145"/>
      <c r="G694" s="183"/>
      <c r="H694" s="140"/>
      <c r="I694" s="183"/>
      <c r="J694" s="131"/>
      <c r="K694" s="89"/>
      <c r="L694" s="89"/>
      <c r="M694" s="89"/>
      <c r="N694" s="89"/>
      <c r="O694" s="89"/>
      <c r="P694" s="89"/>
      <c r="Q694" s="89"/>
      <c r="R694" s="89"/>
      <c r="S694" s="89"/>
      <c r="T694" s="89"/>
      <c r="U694" s="89"/>
      <c r="V694" s="89"/>
      <c r="W694" s="89"/>
      <c r="X694" s="89"/>
      <c r="Y694" s="89"/>
      <c r="Z694" s="89"/>
      <c r="AA694" s="89"/>
    </row>
    <row r="695" ht="14.25" customHeight="1">
      <c r="A695" s="143"/>
      <c r="B695" s="143"/>
      <c r="C695" s="125"/>
      <c r="D695" s="126"/>
      <c r="E695" s="144"/>
      <c r="F695" s="145"/>
      <c r="G695" s="183"/>
      <c r="H695" s="140"/>
      <c r="I695" s="183"/>
      <c r="J695" s="131"/>
      <c r="K695" s="89"/>
      <c r="L695" s="89"/>
      <c r="M695" s="89"/>
      <c r="N695" s="89"/>
      <c r="O695" s="89"/>
      <c r="P695" s="89"/>
      <c r="Q695" s="89"/>
      <c r="R695" s="89"/>
      <c r="S695" s="89"/>
      <c r="T695" s="89"/>
      <c r="U695" s="89"/>
      <c r="V695" s="89"/>
      <c r="W695" s="89"/>
      <c r="X695" s="89"/>
      <c r="Y695" s="89"/>
      <c r="Z695" s="89"/>
      <c r="AA695" s="89"/>
    </row>
    <row r="696" ht="14.25" customHeight="1">
      <c r="A696" s="143"/>
      <c r="B696" s="143"/>
      <c r="C696" s="125"/>
      <c r="D696" s="126"/>
      <c r="E696" s="144"/>
      <c r="F696" s="145"/>
      <c r="G696" s="183"/>
      <c r="H696" s="140"/>
      <c r="I696" s="183"/>
      <c r="J696" s="131"/>
      <c r="K696" s="89"/>
      <c r="L696" s="89"/>
      <c r="M696" s="89"/>
      <c r="N696" s="89"/>
      <c r="O696" s="89"/>
      <c r="P696" s="89"/>
      <c r="Q696" s="89"/>
      <c r="R696" s="89"/>
      <c r="S696" s="89"/>
      <c r="T696" s="89"/>
      <c r="U696" s="89"/>
      <c r="V696" s="89"/>
      <c r="W696" s="89"/>
      <c r="X696" s="89"/>
      <c r="Y696" s="89"/>
      <c r="Z696" s="89"/>
      <c r="AA696" s="89"/>
    </row>
    <row r="697" ht="14.25" customHeight="1">
      <c r="A697" s="143"/>
      <c r="B697" s="143"/>
      <c r="C697" s="125"/>
      <c r="D697" s="126"/>
      <c r="E697" s="144"/>
      <c r="F697" s="145"/>
      <c r="G697" s="183"/>
      <c r="H697" s="140"/>
      <c r="I697" s="183"/>
      <c r="J697" s="131"/>
      <c r="K697" s="89"/>
      <c r="L697" s="89"/>
      <c r="M697" s="89"/>
      <c r="N697" s="89"/>
      <c r="O697" s="89"/>
      <c r="P697" s="89"/>
      <c r="Q697" s="89"/>
      <c r="R697" s="89"/>
      <c r="S697" s="89"/>
      <c r="T697" s="89"/>
      <c r="U697" s="89"/>
      <c r="V697" s="89"/>
      <c r="W697" s="89"/>
      <c r="X697" s="89"/>
      <c r="Y697" s="89"/>
      <c r="Z697" s="89"/>
      <c r="AA697" s="89"/>
    </row>
    <row r="698" ht="14.25" customHeight="1">
      <c r="A698" s="143"/>
      <c r="B698" s="143"/>
      <c r="C698" s="125"/>
      <c r="D698" s="126"/>
      <c r="E698" s="144"/>
      <c r="F698" s="145"/>
      <c r="G698" s="183"/>
      <c r="H698" s="140"/>
      <c r="I698" s="183"/>
      <c r="J698" s="131"/>
      <c r="K698" s="89"/>
      <c r="L698" s="89"/>
      <c r="M698" s="89"/>
      <c r="N698" s="89"/>
      <c r="O698" s="89"/>
      <c r="P698" s="89"/>
      <c r="Q698" s="89"/>
      <c r="R698" s="89"/>
      <c r="S698" s="89"/>
      <c r="T698" s="89"/>
      <c r="U698" s="89"/>
      <c r="V698" s="89"/>
      <c r="W698" s="89"/>
      <c r="X698" s="89"/>
      <c r="Y698" s="89"/>
      <c r="Z698" s="89"/>
      <c r="AA698" s="89"/>
    </row>
    <row r="699" ht="14.25" customHeight="1">
      <c r="A699" s="143"/>
      <c r="B699" s="143"/>
      <c r="C699" s="125"/>
      <c r="D699" s="126"/>
      <c r="E699" s="144"/>
      <c r="F699" s="145"/>
      <c r="G699" s="183"/>
      <c r="H699" s="140"/>
      <c r="I699" s="183"/>
      <c r="J699" s="131"/>
      <c r="K699" s="89"/>
      <c r="L699" s="89"/>
      <c r="M699" s="89"/>
      <c r="N699" s="89"/>
      <c r="O699" s="89"/>
      <c r="P699" s="89"/>
      <c r="Q699" s="89"/>
      <c r="R699" s="89"/>
      <c r="S699" s="89"/>
      <c r="T699" s="89"/>
      <c r="U699" s="89"/>
      <c r="V699" s="89"/>
      <c r="W699" s="89"/>
      <c r="X699" s="89"/>
      <c r="Y699" s="89"/>
      <c r="Z699" s="89"/>
      <c r="AA699" s="89"/>
    </row>
    <row r="700" ht="14.25" customHeight="1">
      <c r="A700" s="151"/>
      <c r="B700" s="151"/>
      <c r="C700" s="125"/>
      <c r="D700" s="126"/>
      <c r="E700" s="144"/>
      <c r="F700" s="145"/>
      <c r="G700" s="183"/>
      <c r="H700" s="140"/>
      <c r="I700" s="183"/>
      <c r="J700" s="131"/>
      <c r="K700" s="89"/>
      <c r="L700" s="89"/>
      <c r="M700" s="89"/>
      <c r="N700" s="89"/>
      <c r="O700" s="89"/>
      <c r="P700" s="89"/>
      <c r="Q700" s="89"/>
      <c r="R700" s="89"/>
      <c r="S700" s="89"/>
      <c r="T700" s="89"/>
      <c r="U700" s="89"/>
      <c r="V700" s="89"/>
      <c r="W700" s="89"/>
      <c r="X700" s="89"/>
      <c r="Y700" s="89"/>
      <c r="Z700" s="89"/>
      <c r="AA700" s="89"/>
    </row>
    <row r="701" ht="14.25" customHeight="1">
      <c r="A701" s="143"/>
      <c r="B701" s="143"/>
      <c r="C701" s="125"/>
      <c r="D701" s="126"/>
      <c r="E701" s="144"/>
      <c r="F701" s="145"/>
      <c r="G701" s="183"/>
      <c r="H701" s="140"/>
      <c r="I701" s="183"/>
      <c r="J701" s="131"/>
      <c r="K701" s="89"/>
      <c r="L701" s="89"/>
      <c r="M701" s="89"/>
      <c r="N701" s="89"/>
      <c r="O701" s="89"/>
      <c r="P701" s="89"/>
      <c r="Q701" s="89"/>
      <c r="R701" s="89"/>
      <c r="S701" s="89"/>
      <c r="T701" s="89"/>
      <c r="U701" s="89"/>
      <c r="V701" s="89"/>
      <c r="W701" s="89"/>
      <c r="X701" s="89"/>
      <c r="Y701" s="89"/>
      <c r="Z701" s="89"/>
      <c r="AA701" s="89"/>
    </row>
    <row r="702" ht="14.25" customHeight="1">
      <c r="A702" s="143"/>
      <c r="B702" s="143"/>
      <c r="C702" s="125"/>
      <c r="D702" s="126"/>
      <c r="E702" s="144"/>
      <c r="F702" s="145"/>
      <c r="G702" s="183"/>
      <c r="H702" s="140"/>
      <c r="I702" s="183"/>
      <c r="J702" s="131"/>
      <c r="K702" s="89"/>
      <c r="L702" s="89"/>
      <c r="M702" s="89"/>
      <c r="N702" s="89"/>
      <c r="O702" s="89"/>
      <c r="P702" s="89"/>
      <c r="Q702" s="89"/>
      <c r="R702" s="89"/>
      <c r="S702" s="89"/>
      <c r="T702" s="89"/>
      <c r="U702" s="89"/>
      <c r="V702" s="89"/>
      <c r="W702" s="89"/>
      <c r="X702" s="89"/>
      <c r="Y702" s="89"/>
      <c r="Z702" s="89"/>
      <c r="AA702" s="89"/>
    </row>
    <row r="703" ht="14.25" customHeight="1">
      <c r="A703" s="143"/>
      <c r="B703" s="143"/>
      <c r="C703" s="125"/>
      <c r="D703" s="126"/>
      <c r="E703" s="144"/>
      <c r="F703" s="145"/>
      <c r="G703" s="183"/>
      <c r="H703" s="140"/>
      <c r="I703" s="183"/>
      <c r="J703" s="131"/>
      <c r="K703" s="89"/>
      <c r="L703" s="89"/>
      <c r="M703" s="89"/>
      <c r="N703" s="89"/>
      <c r="O703" s="89"/>
      <c r="P703" s="89"/>
      <c r="Q703" s="89"/>
      <c r="R703" s="89"/>
      <c r="S703" s="89"/>
      <c r="T703" s="89"/>
      <c r="U703" s="89"/>
      <c r="V703" s="89"/>
      <c r="W703" s="89"/>
      <c r="X703" s="89"/>
      <c r="Y703" s="89"/>
      <c r="Z703" s="89"/>
      <c r="AA703" s="89"/>
    </row>
    <row r="704" ht="14.25" customHeight="1">
      <c r="A704" s="143"/>
      <c r="B704" s="143"/>
      <c r="C704" s="125"/>
      <c r="D704" s="126"/>
      <c r="E704" s="144"/>
      <c r="F704" s="145"/>
      <c r="G704" s="183"/>
      <c r="H704" s="140"/>
      <c r="I704" s="183"/>
      <c r="J704" s="131"/>
      <c r="K704" s="89"/>
      <c r="L704" s="89"/>
      <c r="M704" s="89"/>
      <c r="N704" s="89"/>
      <c r="O704" s="89"/>
      <c r="P704" s="89"/>
      <c r="Q704" s="89"/>
      <c r="R704" s="89"/>
      <c r="S704" s="89"/>
      <c r="T704" s="89"/>
      <c r="U704" s="89"/>
      <c r="V704" s="89"/>
      <c r="W704" s="89"/>
      <c r="X704" s="89"/>
      <c r="Y704" s="89"/>
      <c r="Z704" s="89"/>
      <c r="AA704" s="89"/>
    </row>
    <row r="705" ht="14.25" customHeight="1">
      <c r="A705" s="143"/>
      <c r="B705" s="143"/>
      <c r="C705" s="125"/>
      <c r="D705" s="126"/>
      <c r="E705" s="144"/>
      <c r="F705" s="145"/>
      <c r="G705" s="183"/>
      <c r="H705" s="140"/>
      <c r="I705" s="183"/>
      <c r="J705" s="131"/>
      <c r="K705" s="89"/>
      <c r="L705" s="89"/>
      <c r="M705" s="89"/>
      <c r="N705" s="89"/>
      <c r="O705" s="89"/>
      <c r="P705" s="89"/>
      <c r="Q705" s="89"/>
      <c r="R705" s="89"/>
      <c r="S705" s="89"/>
      <c r="T705" s="89"/>
      <c r="U705" s="89"/>
      <c r="V705" s="89"/>
      <c r="W705" s="89"/>
      <c r="X705" s="89"/>
      <c r="Y705" s="89"/>
      <c r="Z705" s="89"/>
      <c r="AA705" s="89"/>
    </row>
    <row r="706" ht="14.25" customHeight="1">
      <c r="A706" s="143"/>
      <c r="B706" s="143"/>
      <c r="C706" s="125"/>
      <c r="D706" s="126"/>
      <c r="E706" s="144"/>
      <c r="F706" s="145"/>
      <c r="G706" s="183"/>
      <c r="H706" s="140"/>
      <c r="I706" s="183"/>
      <c r="J706" s="131"/>
      <c r="K706" s="89"/>
      <c r="L706" s="89"/>
      <c r="M706" s="89"/>
      <c r="N706" s="89"/>
      <c r="O706" s="89"/>
      <c r="P706" s="89"/>
      <c r="Q706" s="89"/>
      <c r="R706" s="89"/>
      <c r="S706" s="89"/>
      <c r="T706" s="89"/>
      <c r="U706" s="89"/>
      <c r="V706" s="89"/>
      <c r="W706" s="89"/>
      <c r="X706" s="89"/>
      <c r="Y706" s="89"/>
      <c r="Z706" s="89"/>
      <c r="AA706" s="89"/>
    </row>
    <row r="707" ht="14.25" customHeight="1">
      <c r="A707" s="143"/>
      <c r="B707" s="143"/>
      <c r="C707" s="125"/>
      <c r="D707" s="126"/>
      <c r="E707" s="144"/>
      <c r="F707" s="145"/>
      <c r="G707" s="183"/>
      <c r="H707" s="140"/>
      <c r="I707" s="183"/>
      <c r="J707" s="131"/>
      <c r="K707" s="89"/>
      <c r="L707" s="89"/>
      <c r="M707" s="89"/>
      <c r="N707" s="89"/>
      <c r="O707" s="89"/>
      <c r="P707" s="89"/>
      <c r="Q707" s="89"/>
      <c r="R707" s="89"/>
      <c r="S707" s="89"/>
      <c r="T707" s="89"/>
      <c r="U707" s="89"/>
      <c r="V707" s="89"/>
      <c r="W707" s="89"/>
      <c r="X707" s="89"/>
      <c r="Y707" s="89"/>
      <c r="Z707" s="89"/>
      <c r="AA707" s="89"/>
    </row>
    <row r="708" ht="14.25" customHeight="1">
      <c r="A708" s="143"/>
      <c r="B708" s="143"/>
      <c r="C708" s="125"/>
      <c r="D708" s="126"/>
      <c r="E708" s="144"/>
      <c r="F708" s="145"/>
      <c r="G708" s="183"/>
      <c r="H708" s="140"/>
      <c r="I708" s="183"/>
      <c r="J708" s="131"/>
      <c r="K708" s="89"/>
      <c r="L708" s="89"/>
      <c r="M708" s="89"/>
      <c r="N708" s="89"/>
      <c r="O708" s="89"/>
      <c r="P708" s="89"/>
      <c r="Q708" s="89"/>
      <c r="R708" s="89"/>
      <c r="S708" s="89"/>
      <c r="T708" s="89"/>
      <c r="U708" s="89"/>
      <c r="V708" s="89"/>
      <c r="W708" s="89"/>
      <c r="X708" s="89"/>
      <c r="Y708" s="89"/>
      <c r="Z708" s="89"/>
      <c r="AA708" s="89"/>
    </row>
    <row r="709" ht="14.25" customHeight="1">
      <c r="A709" s="143"/>
      <c r="B709" s="143"/>
      <c r="C709" s="125"/>
      <c r="D709" s="126"/>
      <c r="E709" s="144"/>
      <c r="F709" s="145"/>
      <c r="G709" s="183"/>
      <c r="H709" s="140"/>
      <c r="I709" s="183"/>
      <c r="J709" s="131"/>
      <c r="K709" s="89"/>
      <c r="L709" s="89"/>
      <c r="M709" s="89"/>
      <c r="N709" s="89"/>
      <c r="O709" s="89"/>
      <c r="P709" s="89"/>
      <c r="Q709" s="89"/>
      <c r="R709" s="89"/>
      <c r="S709" s="89"/>
      <c r="T709" s="89"/>
      <c r="U709" s="89"/>
      <c r="V709" s="89"/>
      <c r="W709" s="89"/>
      <c r="X709" s="89"/>
      <c r="Y709" s="89"/>
      <c r="Z709" s="89"/>
      <c r="AA709" s="89"/>
    </row>
    <row r="710" ht="14.25" customHeight="1">
      <c r="A710" s="151"/>
      <c r="B710" s="151"/>
      <c r="C710" s="125"/>
      <c r="D710" s="126"/>
      <c r="E710" s="144"/>
      <c r="F710" s="145"/>
      <c r="G710" s="183"/>
      <c r="H710" s="140"/>
      <c r="I710" s="183"/>
      <c r="J710" s="131"/>
      <c r="K710" s="89"/>
      <c r="L710" s="89"/>
      <c r="M710" s="89"/>
      <c r="N710" s="89"/>
      <c r="O710" s="89"/>
      <c r="P710" s="89"/>
      <c r="Q710" s="89"/>
      <c r="R710" s="89"/>
      <c r="S710" s="89"/>
      <c r="T710" s="89"/>
      <c r="U710" s="89"/>
      <c r="V710" s="89"/>
      <c r="W710" s="89"/>
      <c r="X710" s="89"/>
      <c r="Y710" s="89"/>
      <c r="Z710" s="89"/>
      <c r="AA710" s="89"/>
    </row>
    <row r="711" ht="14.25" customHeight="1">
      <c r="A711" s="143"/>
      <c r="B711" s="143"/>
      <c r="C711" s="125"/>
      <c r="D711" s="126"/>
      <c r="E711" s="144"/>
      <c r="F711" s="145"/>
      <c r="G711" s="183"/>
      <c r="H711" s="140"/>
      <c r="I711" s="183"/>
      <c r="J711" s="131"/>
      <c r="K711" s="89"/>
      <c r="L711" s="89"/>
      <c r="M711" s="89"/>
      <c r="N711" s="89"/>
      <c r="O711" s="89"/>
      <c r="P711" s="89"/>
      <c r="Q711" s="89"/>
      <c r="R711" s="89"/>
      <c r="S711" s="89"/>
      <c r="T711" s="89"/>
      <c r="U711" s="89"/>
      <c r="V711" s="89"/>
      <c r="W711" s="89"/>
      <c r="X711" s="89"/>
      <c r="Y711" s="89"/>
      <c r="Z711" s="89"/>
      <c r="AA711" s="89"/>
    </row>
    <row r="712" ht="14.25" customHeight="1">
      <c r="A712" s="143"/>
      <c r="B712" s="143"/>
      <c r="C712" s="125"/>
      <c r="D712" s="126"/>
      <c r="E712" s="144"/>
      <c r="F712" s="145"/>
      <c r="G712" s="183"/>
      <c r="H712" s="140"/>
      <c r="I712" s="183"/>
      <c r="J712" s="131"/>
      <c r="K712" s="89"/>
      <c r="L712" s="89"/>
      <c r="M712" s="89"/>
      <c r="N712" s="89"/>
      <c r="O712" s="89"/>
      <c r="P712" s="89"/>
      <c r="Q712" s="89"/>
      <c r="R712" s="89"/>
      <c r="S712" s="89"/>
      <c r="T712" s="89"/>
      <c r="U712" s="89"/>
      <c r="V712" s="89"/>
      <c r="W712" s="89"/>
      <c r="X712" s="89"/>
      <c r="Y712" s="89"/>
      <c r="Z712" s="89"/>
      <c r="AA712" s="89"/>
    </row>
    <row r="713" ht="14.25" customHeight="1">
      <c r="A713" s="143"/>
      <c r="B713" s="143"/>
      <c r="C713" s="125"/>
      <c r="D713" s="126"/>
      <c r="E713" s="144"/>
      <c r="F713" s="145"/>
      <c r="G713" s="183"/>
      <c r="H713" s="140"/>
      <c r="I713" s="183"/>
      <c r="J713" s="131"/>
      <c r="K713" s="89"/>
      <c r="L713" s="89"/>
      <c r="M713" s="89"/>
      <c r="N713" s="89"/>
      <c r="O713" s="89"/>
      <c r="P713" s="89"/>
      <c r="Q713" s="89"/>
      <c r="R713" s="89"/>
      <c r="S713" s="89"/>
      <c r="T713" s="89"/>
      <c r="U713" s="89"/>
      <c r="V713" s="89"/>
      <c r="W713" s="89"/>
      <c r="X713" s="89"/>
      <c r="Y713" s="89"/>
      <c r="Z713" s="89"/>
      <c r="AA713" s="89"/>
    </row>
    <row r="714" ht="14.25" customHeight="1">
      <c r="A714" s="143"/>
      <c r="B714" s="143"/>
      <c r="C714" s="125"/>
      <c r="D714" s="126"/>
      <c r="E714" s="144"/>
      <c r="F714" s="145"/>
      <c r="G714" s="183"/>
      <c r="H714" s="140"/>
      <c r="I714" s="183"/>
      <c r="J714" s="131"/>
      <c r="K714" s="89"/>
      <c r="L714" s="89"/>
      <c r="M714" s="89"/>
      <c r="N714" s="89"/>
      <c r="O714" s="89"/>
      <c r="P714" s="89"/>
      <c r="Q714" s="89"/>
      <c r="R714" s="89"/>
      <c r="S714" s="89"/>
      <c r="T714" s="89"/>
      <c r="U714" s="89"/>
      <c r="V714" s="89"/>
      <c r="W714" s="89"/>
      <c r="X714" s="89"/>
      <c r="Y714" s="89"/>
      <c r="Z714" s="89"/>
      <c r="AA714" s="89"/>
    </row>
    <row r="715" ht="14.25" customHeight="1">
      <c r="A715" s="143"/>
      <c r="B715" s="143"/>
      <c r="C715" s="125"/>
      <c r="D715" s="126"/>
      <c r="E715" s="144"/>
      <c r="F715" s="145"/>
      <c r="G715" s="183"/>
      <c r="H715" s="140"/>
      <c r="I715" s="183"/>
      <c r="J715" s="131"/>
      <c r="K715" s="89"/>
      <c r="L715" s="89"/>
      <c r="M715" s="89"/>
      <c r="N715" s="89"/>
      <c r="O715" s="89"/>
      <c r="P715" s="89"/>
      <c r="Q715" s="89"/>
      <c r="R715" s="89"/>
      <c r="S715" s="89"/>
      <c r="T715" s="89"/>
      <c r="U715" s="89"/>
      <c r="V715" s="89"/>
      <c r="W715" s="89"/>
      <c r="X715" s="89"/>
      <c r="Y715" s="89"/>
      <c r="Z715" s="89"/>
      <c r="AA715" s="89"/>
    </row>
    <row r="716" ht="14.25" customHeight="1">
      <c r="A716" s="143"/>
      <c r="B716" s="143"/>
      <c r="C716" s="125"/>
      <c r="D716" s="126"/>
      <c r="E716" s="144"/>
      <c r="F716" s="145"/>
      <c r="G716" s="183"/>
      <c r="H716" s="140"/>
      <c r="I716" s="183"/>
      <c r="J716" s="131"/>
      <c r="K716" s="89"/>
      <c r="L716" s="89"/>
      <c r="M716" s="89"/>
      <c r="N716" s="89"/>
      <c r="O716" s="89"/>
      <c r="P716" s="89"/>
      <c r="Q716" s="89"/>
      <c r="R716" s="89"/>
      <c r="S716" s="89"/>
      <c r="T716" s="89"/>
      <c r="U716" s="89"/>
      <c r="V716" s="89"/>
      <c r="W716" s="89"/>
      <c r="X716" s="89"/>
      <c r="Y716" s="89"/>
      <c r="Z716" s="89"/>
      <c r="AA716" s="89"/>
    </row>
    <row r="717" ht="14.25" customHeight="1">
      <c r="A717" s="143"/>
      <c r="B717" s="143"/>
      <c r="C717" s="125"/>
      <c r="D717" s="126"/>
      <c r="E717" s="144"/>
      <c r="F717" s="145"/>
      <c r="G717" s="183"/>
      <c r="H717" s="140"/>
      <c r="I717" s="183"/>
      <c r="J717" s="131"/>
      <c r="K717" s="89"/>
      <c r="L717" s="89"/>
      <c r="M717" s="89"/>
      <c r="N717" s="89"/>
      <c r="O717" s="89"/>
      <c r="P717" s="89"/>
      <c r="Q717" s="89"/>
      <c r="R717" s="89"/>
      <c r="S717" s="89"/>
      <c r="T717" s="89"/>
      <c r="U717" s="89"/>
      <c r="V717" s="89"/>
      <c r="W717" s="89"/>
      <c r="X717" s="89"/>
      <c r="Y717" s="89"/>
      <c r="Z717" s="89"/>
      <c r="AA717" s="89"/>
    </row>
    <row r="718" ht="14.25" customHeight="1">
      <c r="A718" s="143"/>
      <c r="B718" s="143"/>
      <c r="C718" s="125"/>
      <c r="D718" s="126"/>
      <c r="E718" s="144"/>
      <c r="F718" s="145"/>
      <c r="G718" s="183"/>
      <c r="H718" s="140"/>
      <c r="I718" s="183"/>
      <c r="J718" s="131"/>
      <c r="K718" s="89"/>
      <c r="L718" s="89"/>
      <c r="M718" s="89"/>
      <c r="N718" s="89"/>
      <c r="O718" s="89"/>
      <c r="P718" s="89"/>
      <c r="Q718" s="89"/>
      <c r="R718" s="89"/>
      <c r="S718" s="89"/>
      <c r="T718" s="89"/>
      <c r="U718" s="89"/>
      <c r="V718" s="89"/>
      <c r="W718" s="89"/>
      <c r="X718" s="89"/>
      <c r="Y718" s="89"/>
      <c r="Z718" s="89"/>
      <c r="AA718" s="89"/>
    </row>
    <row r="719" ht="14.25" customHeight="1">
      <c r="A719" s="143"/>
      <c r="B719" s="143"/>
      <c r="C719" s="125"/>
      <c r="D719" s="126"/>
      <c r="E719" s="144"/>
      <c r="F719" s="145"/>
      <c r="G719" s="183"/>
      <c r="H719" s="140"/>
      <c r="I719" s="183"/>
      <c r="J719" s="131"/>
      <c r="K719" s="89"/>
      <c r="L719" s="89"/>
      <c r="M719" s="89"/>
      <c r="N719" s="89"/>
      <c r="O719" s="89"/>
      <c r="P719" s="89"/>
      <c r="Q719" s="89"/>
      <c r="R719" s="89"/>
      <c r="S719" s="89"/>
      <c r="T719" s="89"/>
      <c r="U719" s="89"/>
      <c r="V719" s="89"/>
      <c r="W719" s="89"/>
      <c r="X719" s="89"/>
      <c r="Y719" s="89"/>
      <c r="Z719" s="89"/>
      <c r="AA719" s="89"/>
    </row>
    <row r="720" ht="14.25" customHeight="1">
      <c r="A720" s="151"/>
      <c r="B720" s="151"/>
      <c r="C720" s="125"/>
      <c r="D720" s="126"/>
      <c r="E720" s="144"/>
      <c r="F720" s="145"/>
      <c r="G720" s="183"/>
      <c r="H720" s="140"/>
      <c r="I720" s="183"/>
      <c r="J720" s="131"/>
      <c r="K720" s="89"/>
      <c r="L720" s="89"/>
      <c r="M720" s="89"/>
      <c r="N720" s="89"/>
      <c r="O720" s="89"/>
      <c r="P720" s="89"/>
      <c r="Q720" s="89"/>
      <c r="R720" s="89"/>
      <c r="S720" s="89"/>
      <c r="T720" s="89"/>
      <c r="U720" s="89"/>
      <c r="V720" s="89"/>
      <c r="W720" s="89"/>
      <c r="X720" s="89"/>
      <c r="Y720" s="89"/>
      <c r="Z720" s="89"/>
      <c r="AA720" s="89"/>
    </row>
    <row r="721" ht="14.25" customHeight="1">
      <c r="A721" s="143"/>
      <c r="B721" s="143"/>
      <c r="C721" s="125"/>
      <c r="D721" s="126"/>
      <c r="E721" s="144"/>
      <c r="F721" s="145"/>
      <c r="G721" s="183"/>
      <c r="H721" s="140"/>
      <c r="I721" s="183"/>
      <c r="J721" s="131"/>
      <c r="K721" s="89"/>
      <c r="L721" s="89"/>
      <c r="M721" s="89"/>
      <c r="N721" s="89"/>
      <c r="O721" s="89"/>
      <c r="P721" s="89"/>
      <c r="Q721" s="89"/>
      <c r="R721" s="89"/>
      <c r="S721" s="89"/>
      <c r="T721" s="89"/>
      <c r="U721" s="89"/>
      <c r="V721" s="89"/>
      <c r="W721" s="89"/>
      <c r="X721" s="89"/>
      <c r="Y721" s="89"/>
      <c r="Z721" s="89"/>
      <c r="AA721" s="89"/>
    </row>
    <row r="722" ht="14.25" customHeight="1">
      <c r="A722" s="143"/>
      <c r="B722" s="143"/>
      <c r="C722" s="125"/>
      <c r="D722" s="126"/>
      <c r="E722" s="144"/>
      <c r="F722" s="145"/>
      <c r="G722" s="183"/>
      <c r="H722" s="140"/>
      <c r="I722" s="183"/>
      <c r="J722" s="131"/>
      <c r="K722" s="89"/>
      <c r="L722" s="89"/>
      <c r="M722" s="89"/>
      <c r="N722" s="89"/>
      <c r="O722" s="89"/>
      <c r="P722" s="89"/>
      <c r="Q722" s="89"/>
      <c r="R722" s="89"/>
      <c r="S722" s="89"/>
      <c r="T722" s="89"/>
      <c r="U722" s="89"/>
      <c r="V722" s="89"/>
      <c r="W722" s="89"/>
      <c r="X722" s="89"/>
      <c r="Y722" s="89"/>
      <c r="Z722" s="89"/>
      <c r="AA722" s="89"/>
    </row>
    <row r="723" ht="14.25" customHeight="1">
      <c r="A723" s="143"/>
      <c r="B723" s="143"/>
      <c r="C723" s="125"/>
      <c r="D723" s="126"/>
      <c r="E723" s="144"/>
      <c r="F723" s="145"/>
      <c r="G723" s="183"/>
      <c r="H723" s="140"/>
      <c r="I723" s="183"/>
      <c r="J723" s="131"/>
      <c r="K723" s="89"/>
      <c r="L723" s="89"/>
      <c r="M723" s="89"/>
      <c r="N723" s="89"/>
      <c r="O723" s="89"/>
      <c r="P723" s="89"/>
      <c r="Q723" s="89"/>
      <c r="R723" s="89"/>
      <c r="S723" s="89"/>
      <c r="T723" s="89"/>
      <c r="U723" s="89"/>
      <c r="V723" s="89"/>
      <c r="W723" s="89"/>
      <c r="X723" s="89"/>
      <c r="Y723" s="89"/>
      <c r="Z723" s="89"/>
      <c r="AA723" s="89"/>
    </row>
    <row r="724" ht="14.25" customHeight="1">
      <c r="A724" s="143"/>
      <c r="B724" s="143"/>
      <c r="C724" s="125"/>
      <c r="D724" s="126"/>
      <c r="E724" s="144"/>
      <c r="F724" s="145"/>
      <c r="G724" s="183"/>
      <c r="H724" s="140"/>
      <c r="I724" s="183"/>
      <c r="J724" s="131"/>
      <c r="K724" s="89"/>
      <c r="L724" s="89"/>
      <c r="M724" s="89"/>
      <c r="N724" s="89"/>
      <c r="O724" s="89"/>
      <c r="P724" s="89"/>
      <c r="Q724" s="89"/>
      <c r="R724" s="89"/>
      <c r="S724" s="89"/>
      <c r="T724" s="89"/>
      <c r="U724" s="89"/>
      <c r="V724" s="89"/>
      <c r="W724" s="89"/>
      <c r="X724" s="89"/>
      <c r="Y724" s="89"/>
      <c r="Z724" s="89"/>
      <c r="AA724" s="89"/>
    </row>
    <row r="725" ht="14.25" customHeight="1">
      <c r="A725" s="143"/>
      <c r="B725" s="143"/>
      <c r="C725" s="125"/>
      <c r="D725" s="126"/>
      <c r="E725" s="144"/>
      <c r="F725" s="145"/>
      <c r="G725" s="183"/>
      <c r="H725" s="140"/>
      <c r="I725" s="183"/>
      <c r="J725" s="131"/>
      <c r="K725" s="89"/>
      <c r="L725" s="89"/>
      <c r="M725" s="89"/>
      <c r="N725" s="89"/>
      <c r="O725" s="89"/>
      <c r="P725" s="89"/>
      <c r="Q725" s="89"/>
      <c r="R725" s="89"/>
      <c r="S725" s="89"/>
      <c r="T725" s="89"/>
      <c r="U725" s="89"/>
      <c r="V725" s="89"/>
      <c r="W725" s="89"/>
      <c r="X725" s="89"/>
      <c r="Y725" s="89"/>
      <c r="Z725" s="89"/>
      <c r="AA725" s="89"/>
    </row>
    <row r="726" ht="14.25" customHeight="1">
      <c r="A726" s="143"/>
      <c r="B726" s="143"/>
      <c r="C726" s="125"/>
      <c r="D726" s="126"/>
      <c r="E726" s="144"/>
      <c r="F726" s="145"/>
      <c r="G726" s="183"/>
      <c r="H726" s="140"/>
      <c r="I726" s="183"/>
      <c r="J726" s="131"/>
      <c r="K726" s="89"/>
      <c r="L726" s="89"/>
      <c r="M726" s="89"/>
      <c r="N726" s="89"/>
      <c r="O726" s="89"/>
      <c r="P726" s="89"/>
      <c r="Q726" s="89"/>
      <c r="R726" s="89"/>
      <c r="S726" s="89"/>
      <c r="T726" s="89"/>
      <c r="U726" s="89"/>
      <c r="V726" s="89"/>
      <c r="W726" s="89"/>
      <c r="X726" s="89"/>
      <c r="Y726" s="89"/>
      <c r="Z726" s="89"/>
      <c r="AA726" s="89"/>
    </row>
    <row r="727" ht="14.25" customHeight="1">
      <c r="A727" s="143"/>
      <c r="B727" s="143"/>
      <c r="C727" s="125"/>
      <c r="D727" s="126"/>
      <c r="E727" s="144"/>
      <c r="F727" s="145"/>
      <c r="G727" s="183"/>
      <c r="H727" s="140"/>
      <c r="I727" s="183"/>
      <c r="J727" s="131"/>
      <c r="K727" s="89"/>
      <c r="L727" s="89"/>
      <c r="M727" s="89"/>
      <c r="N727" s="89"/>
      <c r="O727" s="89"/>
      <c r="P727" s="89"/>
      <c r="Q727" s="89"/>
      <c r="R727" s="89"/>
      <c r="S727" s="89"/>
      <c r="T727" s="89"/>
      <c r="U727" s="89"/>
      <c r="V727" s="89"/>
      <c r="W727" s="89"/>
      <c r="X727" s="89"/>
      <c r="Y727" s="89"/>
      <c r="Z727" s="89"/>
      <c r="AA727" s="89"/>
    </row>
    <row r="728" ht="14.25" customHeight="1">
      <c r="A728" s="143"/>
      <c r="B728" s="143"/>
      <c r="C728" s="125"/>
      <c r="D728" s="126"/>
      <c r="E728" s="144"/>
      <c r="F728" s="145"/>
      <c r="G728" s="183"/>
      <c r="H728" s="140"/>
      <c r="I728" s="183"/>
      <c r="J728" s="131"/>
      <c r="K728" s="89"/>
      <c r="L728" s="89"/>
      <c r="M728" s="89"/>
      <c r="N728" s="89"/>
      <c r="O728" s="89"/>
      <c r="P728" s="89"/>
      <c r="Q728" s="89"/>
      <c r="R728" s="89"/>
      <c r="S728" s="89"/>
      <c r="T728" s="89"/>
      <c r="U728" s="89"/>
      <c r="V728" s="89"/>
      <c r="W728" s="89"/>
      <c r="X728" s="89"/>
      <c r="Y728" s="89"/>
      <c r="Z728" s="89"/>
      <c r="AA728" s="89"/>
    </row>
    <row r="729" ht="14.25" customHeight="1">
      <c r="A729" s="143"/>
      <c r="B729" s="143"/>
      <c r="C729" s="125"/>
      <c r="D729" s="126"/>
      <c r="E729" s="144"/>
      <c r="F729" s="145"/>
      <c r="G729" s="183"/>
      <c r="H729" s="140"/>
      <c r="I729" s="183"/>
      <c r="J729" s="131"/>
      <c r="K729" s="89"/>
      <c r="L729" s="89"/>
      <c r="M729" s="89"/>
      <c r="N729" s="89"/>
      <c r="O729" s="89"/>
      <c r="P729" s="89"/>
      <c r="Q729" s="89"/>
      <c r="R729" s="89"/>
      <c r="S729" s="89"/>
      <c r="T729" s="89"/>
      <c r="U729" s="89"/>
      <c r="V729" s="89"/>
      <c r="W729" s="89"/>
      <c r="X729" s="89"/>
      <c r="Y729" s="89"/>
      <c r="Z729" s="89"/>
      <c r="AA729" s="89"/>
    </row>
    <row r="730" ht="14.25" customHeight="1">
      <c r="A730" s="151"/>
      <c r="B730" s="151"/>
      <c r="C730" s="125"/>
      <c r="D730" s="126"/>
      <c r="E730" s="144"/>
      <c r="F730" s="145"/>
      <c r="G730" s="183"/>
      <c r="H730" s="140"/>
      <c r="I730" s="183"/>
      <c r="J730" s="131"/>
      <c r="K730" s="89"/>
      <c r="L730" s="89"/>
      <c r="M730" s="89"/>
      <c r="N730" s="89"/>
      <c r="O730" s="89"/>
      <c r="P730" s="89"/>
      <c r="Q730" s="89"/>
      <c r="R730" s="89"/>
      <c r="S730" s="89"/>
      <c r="T730" s="89"/>
      <c r="U730" s="89"/>
      <c r="V730" s="89"/>
      <c r="W730" s="89"/>
      <c r="X730" s="89"/>
      <c r="Y730" s="89"/>
      <c r="Z730" s="89"/>
      <c r="AA730" s="89"/>
    </row>
    <row r="731" ht="14.25" customHeight="1">
      <c r="A731" s="143"/>
      <c r="B731" s="143"/>
      <c r="C731" s="125"/>
      <c r="D731" s="126"/>
      <c r="E731" s="144"/>
      <c r="F731" s="145"/>
      <c r="G731" s="183"/>
      <c r="H731" s="140"/>
      <c r="I731" s="183"/>
      <c r="J731" s="131"/>
      <c r="K731" s="89"/>
      <c r="L731" s="89"/>
      <c r="M731" s="89"/>
      <c r="N731" s="89"/>
      <c r="O731" s="89"/>
      <c r="P731" s="89"/>
      <c r="Q731" s="89"/>
      <c r="R731" s="89"/>
      <c r="S731" s="89"/>
      <c r="T731" s="89"/>
      <c r="U731" s="89"/>
      <c r="V731" s="89"/>
      <c r="W731" s="89"/>
      <c r="X731" s="89"/>
      <c r="Y731" s="89"/>
      <c r="Z731" s="89"/>
      <c r="AA731" s="89"/>
    </row>
    <row r="732" ht="14.25" customHeight="1">
      <c r="A732" s="143"/>
      <c r="B732" s="143"/>
      <c r="C732" s="125"/>
      <c r="D732" s="126"/>
      <c r="E732" s="144"/>
      <c r="F732" s="145"/>
      <c r="G732" s="183"/>
      <c r="H732" s="140"/>
      <c r="I732" s="183"/>
      <c r="J732" s="131"/>
      <c r="K732" s="89"/>
      <c r="L732" s="89"/>
      <c r="M732" s="89"/>
      <c r="N732" s="89"/>
      <c r="O732" s="89"/>
      <c r="P732" s="89"/>
      <c r="Q732" s="89"/>
      <c r="R732" s="89"/>
      <c r="S732" s="89"/>
      <c r="T732" s="89"/>
      <c r="U732" s="89"/>
      <c r="V732" s="89"/>
      <c r="W732" s="89"/>
      <c r="X732" s="89"/>
      <c r="Y732" s="89"/>
      <c r="Z732" s="89"/>
      <c r="AA732" s="89"/>
    </row>
    <row r="733" ht="14.25" customHeight="1">
      <c r="A733" s="143"/>
      <c r="B733" s="143"/>
      <c r="C733" s="125"/>
      <c r="D733" s="126"/>
      <c r="E733" s="144"/>
      <c r="F733" s="145"/>
      <c r="G733" s="183"/>
      <c r="H733" s="140"/>
      <c r="I733" s="183"/>
      <c r="J733" s="131"/>
      <c r="K733" s="89"/>
      <c r="L733" s="89"/>
      <c r="M733" s="89"/>
      <c r="N733" s="89"/>
      <c r="O733" s="89"/>
      <c r="P733" s="89"/>
      <c r="Q733" s="89"/>
      <c r="R733" s="89"/>
      <c r="S733" s="89"/>
      <c r="T733" s="89"/>
      <c r="U733" s="89"/>
      <c r="V733" s="89"/>
      <c r="W733" s="89"/>
      <c r="X733" s="89"/>
      <c r="Y733" s="89"/>
      <c r="Z733" s="89"/>
      <c r="AA733" s="89"/>
    </row>
    <row r="734" ht="14.25" customHeight="1">
      <c r="A734" s="143"/>
      <c r="B734" s="143"/>
      <c r="C734" s="125"/>
      <c r="D734" s="126"/>
      <c r="E734" s="144"/>
      <c r="F734" s="145"/>
      <c r="G734" s="183"/>
      <c r="H734" s="140"/>
      <c r="I734" s="183"/>
      <c r="J734" s="131"/>
      <c r="K734" s="89"/>
      <c r="L734" s="89"/>
      <c r="M734" s="89"/>
      <c r="N734" s="89"/>
      <c r="O734" s="89"/>
      <c r="P734" s="89"/>
      <c r="Q734" s="89"/>
      <c r="R734" s="89"/>
      <c r="S734" s="89"/>
      <c r="T734" s="89"/>
      <c r="U734" s="89"/>
      <c r="V734" s="89"/>
      <c r="W734" s="89"/>
      <c r="X734" s="89"/>
      <c r="Y734" s="89"/>
      <c r="Z734" s="89"/>
      <c r="AA734" s="89"/>
    </row>
    <row r="735" ht="14.25" customHeight="1">
      <c r="A735" s="143"/>
      <c r="B735" s="143"/>
      <c r="C735" s="125"/>
      <c r="D735" s="126"/>
      <c r="E735" s="144"/>
      <c r="F735" s="145"/>
      <c r="G735" s="183"/>
      <c r="H735" s="140"/>
      <c r="I735" s="183"/>
      <c r="J735" s="131"/>
      <c r="K735" s="89"/>
      <c r="L735" s="89"/>
      <c r="M735" s="89"/>
      <c r="N735" s="89"/>
      <c r="O735" s="89"/>
      <c r="P735" s="89"/>
      <c r="Q735" s="89"/>
      <c r="R735" s="89"/>
      <c r="S735" s="89"/>
      <c r="T735" s="89"/>
      <c r="U735" s="89"/>
      <c r="V735" s="89"/>
      <c r="W735" s="89"/>
      <c r="X735" s="89"/>
      <c r="Y735" s="89"/>
      <c r="Z735" s="89"/>
      <c r="AA735" s="89"/>
    </row>
    <row r="736" ht="14.25" customHeight="1">
      <c r="A736" s="143"/>
      <c r="B736" s="143"/>
      <c r="C736" s="125"/>
      <c r="D736" s="126"/>
      <c r="E736" s="144"/>
      <c r="F736" s="145"/>
      <c r="G736" s="183"/>
      <c r="H736" s="140"/>
      <c r="I736" s="183"/>
      <c r="J736" s="131"/>
      <c r="K736" s="89"/>
      <c r="L736" s="89"/>
      <c r="M736" s="89"/>
      <c r="N736" s="89"/>
      <c r="O736" s="89"/>
      <c r="P736" s="89"/>
      <c r="Q736" s="89"/>
      <c r="R736" s="89"/>
      <c r="S736" s="89"/>
      <c r="T736" s="89"/>
      <c r="U736" s="89"/>
      <c r="V736" s="89"/>
      <c r="W736" s="89"/>
      <c r="X736" s="89"/>
      <c r="Y736" s="89"/>
      <c r="Z736" s="89"/>
      <c r="AA736" s="89"/>
    </row>
    <row r="737" ht="14.25" customHeight="1">
      <c r="A737" s="143"/>
      <c r="B737" s="143"/>
      <c r="C737" s="125"/>
      <c r="D737" s="126"/>
      <c r="E737" s="144"/>
      <c r="F737" s="145"/>
      <c r="G737" s="183"/>
      <c r="H737" s="140"/>
      <c r="I737" s="183"/>
      <c r="J737" s="131"/>
      <c r="K737" s="89"/>
      <c r="L737" s="89"/>
      <c r="M737" s="89"/>
      <c r="N737" s="89"/>
      <c r="O737" s="89"/>
      <c r="P737" s="89"/>
      <c r="Q737" s="89"/>
      <c r="R737" s="89"/>
      <c r="S737" s="89"/>
      <c r="T737" s="89"/>
      <c r="U737" s="89"/>
      <c r="V737" s="89"/>
      <c r="W737" s="89"/>
      <c r="X737" s="89"/>
      <c r="Y737" s="89"/>
      <c r="Z737" s="89"/>
      <c r="AA737" s="89"/>
    </row>
    <row r="738" ht="14.25" customHeight="1">
      <c r="A738" s="143"/>
      <c r="B738" s="143"/>
      <c r="C738" s="125"/>
      <c r="D738" s="126"/>
      <c r="E738" s="144"/>
      <c r="F738" s="145"/>
      <c r="G738" s="183"/>
      <c r="H738" s="140"/>
      <c r="I738" s="183"/>
      <c r="J738" s="131"/>
      <c r="K738" s="89"/>
      <c r="L738" s="89"/>
      <c r="M738" s="89"/>
      <c r="N738" s="89"/>
      <c r="O738" s="89"/>
      <c r="P738" s="89"/>
      <c r="Q738" s="89"/>
      <c r="R738" s="89"/>
      <c r="S738" s="89"/>
      <c r="T738" s="89"/>
      <c r="U738" s="89"/>
      <c r="V738" s="89"/>
      <c r="W738" s="89"/>
      <c r="X738" s="89"/>
      <c r="Y738" s="89"/>
      <c r="Z738" s="89"/>
      <c r="AA738" s="89"/>
    </row>
    <row r="739" ht="14.25" customHeight="1">
      <c r="A739" s="143"/>
      <c r="B739" s="143"/>
      <c r="C739" s="125"/>
      <c r="D739" s="126"/>
      <c r="E739" s="144"/>
      <c r="F739" s="145"/>
      <c r="G739" s="183"/>
      <c r="H739" s="140"/>
      <c r="I739" s="183"/>
      <c r="J739" s="131"/>
      <c r="K739" s="89"/>
      <c r="L739" s="89"/>
      <c r="M739" s="89"/>
      <c r="N739" s="89"/>
      <c r="O739" s="89"/>
      <c r="P739" s="89"/>
      <c r="Q739" s="89"/>
      <c r="R739" s="89"/>
      <c r="S739" s="89"/>
      <c r="T739" s="89"/>
      <c r="U739" s="89"/>
      <c r="V739" s="89"/>
      <c r="W739" s="89"/>
      <c r="X739" s="89"/>
      <c r="Y739" s="89"/>
      <c r="Z739" s="89"/>
      <c r="AA739" s="89"/>
    </row>
    <row r="740" ht="14.25" customHeight="1">
      <c r="A740" s="151"/>
      <c r="B740" s="151"/>
      <c r="C740" s="125"/>
      <c r="D740" s="126"/>
      <c r="E740" s="144"/>
      <c r="F740" s="145"/>
      <c r="G740" s="183"/>
      <c r="H740" s="140"/>
      <c r="I740" s="183"/>
      <c r="J740" s="131"/>
      <c r="K740" s="89"/>
      <c r="L740" s="89"/>
      <c r="M740" s="89"/>
      <c r="N740" s="89"/>
      <c r="O740" s="89"/>
      <c r="P740" s="89"/>
      <c r="Q740" s="89"/>
      <c r="R740" s="89"/>
      <c r="S740" s="89"/>
      <c r="T740" s="89"/>
      <c r="U740" s="89"/>
      <c r="V740" s="89"/>
      <c r="W740" s="89"/>
      <c r="X740" s="89"/>
      <c r="Y740" s="89"/>
      <c r="Z740" s="89"/>
      <c r="AA740" s="89"/>
    </row>
    <row r="741" ht="14.25" customHeight="1">
      <c r="A741" s="143"/>
      <c r="B741" s="143"/>
      <c r="C741" s="125"/>
      <c r="D741" s="126"/>
      <c r="E741" s="144"/>
      <c r="F741" s="145"/>
      <c r="G741" s="183"/>
      <c r="H741" s="140"/>
      <c r="I741" s="183"/>
      <c r="J741" s="131"/>
      <c r="K741" s="89"/>
      <c r="L741" s="89"/>
      <c r="M741" s="89"/>
      <c r="N741" s="89"/>
      <c r="O741" s="89"/>
      <c r="P741" s="89"/>
      <c r="Q741" s="89"/>
      <c r="R741" s="89"/>
      <c r="S741" s="89"/>
      <c r="T741" s="89"/>
      <c r="U741" s="89"/>
      <c r="V741" s="89"/>
      <c r="W741" s="89"/>
      <c r="X741" s="89"/>
      <c r="Y741" s="89"/>
      <c r="Z741" s="89"/>
      <c r="AA741" s="89"/>
    </row>
    <row r="742" ht="14.25" customHeight="1">
      <c r="A742" s="143"/>
      <c r="B742" s="143"/>
      <c r="C742" s="125"/>
      <c r="D742" s="126"/>
      <c r="E742" s="144"/>
      <c r="F742" s="145"/>
      <c r="G742" s="183"/>
      <c r="H742" s="140"/>
      <c r="I742" s="183"/>
      <c r="J742" s="131"/>
      <c r="K742" s="89"/>
      <c r="L742" s="89"/>
      <c r="M742" s="89"/>
      <c r="N742" s="89"/>
      <c r="O742" s="89"/>
      <c r="P742" s="89"/>
      <c r="Q742" s="89"/>
      <c r="R742" s="89"/>
      <c r="S742" s="89"/>
      <c r="T742" s="89"/>
      <c r="U742" s="89"/>
      <c r="V742" s="89"/>
      <c r="W742" s="89"/>
      <c r="X742" s="89"/>
      <c r="Y742" s="89"/>
      <c r="Z742" s="89"/>
      <c r="AA742" s="89"/>
    </row>
    <row r="743" ht="14.25" customHeight="1">
      <c r="A743" s="143"/>
      <c r="B743" s="143"/>
      <c r="C743" s="125"/>
      <c r="D743" s="126"/>
      <c r="E743" s="144"/>
      <c r="F743" s="145"/>
      <c r="G743" s="183"/>
      <c r="H743" s="140"/>
      <c r="I743" s="183"/>
      <c r="J743" s="131"/>
      <c r="K743" s="89"/>
      <c r="L743" s="89"/>
      <c r="M743" s="89"/>
      <c r="N743" s="89"/>
      <c r="O743" s="89"/>
      <c r="P743" s="89"/>
      <c r="Q743" s="89"/>
      <c r="R743" s="89"/>
      <c r="S743" s="89"/>
      <c r="T743" s="89"/>
      <c r="U743" s="89"/>
      <c r="V743" s="89"/>
      <c r="W743" s="89"/>
      <c r="X743" s="89"/>
      <c r="Y743" s="89"/>
      <c r="Z743" s="89"/>
      <c r="AA743" s="89"/>
    </row>
    <row r="744" ht="14.25" customHeight="1">
      <c r="A744" s="143"/>
      <c r="B744" s="143"/>
      <c r="C744" s="125"/>
      <c r="D744" s="126"/>
      <c r="E744" s="144"/>
      <c r="F744" s="145"/>
      <c r="G744" s="183"/>
      <c r="H744" s="140"/>
      <c r="I744" s="183"/>
      <c r="J744" s="131"/>
      <c r="K744" s="89"/>
      <c r="L744" s="89"/>
      <c r="M744" s="89"/>
      <c r="N744" s="89"/>
      <c r="O744" s="89"/>
      <c r="P744" s="89"/>
      <c r="Q744" s="89"/>
      <c r="R744" s="89"/>
      <c r="S744" s="89"/>
      <c r="T744" s="89"/>
      <c r="U744" s="89"/>
      <c r="V744" s="89"/>
      <c r="W744" s="89"/>
      <c r="X744" s="89"/>
      <c r="Y744" s="89"/>
      <c r="Z744" s="89"/>
      <c r="AA744" s="89"/>
    </row>
    <row r="745" ht="14.25" customHeight="1">
      <c r="A745" s="143"/>
      <c r="B745" s="143"/>
      <c r="C745" s="125"/>
      <c r="D745" s="126"/>
      <c r="E745" s="144"/>
      <c r="F745" s="145"/>
      <c r="G745" s="183"/>
      <c r="H745" s="140"/>
      <c r="I745" s="183"/>
      <c r="J745" s="131"/>
      <c r="K745" s="89"/>
      <c r="L745" s="89"/>
      <c r="M745" s="89"/>
      <c r="N745" s="89"/>
      <c r="O745" s="89"/>
      <c r="P745" s="89"/>
      <c r="Q745" s="89"/>
      <c r="R745" s="89"/>
      <c r="S745" s="89"/>
      <c r="T745" s="89"/>
      <c r="U745" s="89"/>
      <c r="V745" s="89"/>
      <c r="W745" s="89"/>
      <c r="X745" s="89"/>
      <c r="Y745" s="89"/>
      <c r="Z745" s="89"/>
      <c r="AA745" s="89"/>
    </row>
    <row r="746" ht="14.25" customHeight="1">
      <c r="A746" s="143"/>
      <c r="B746" s="143"/>
      <c r="C746" s="125"/>
      <c r="D746" s="126"/>
      <c r="E746" s="144"/>
      <c r="F746" s="145"/>
      <c r="G746" s="183"/>
      <c r="H746" s="140"/>
      <c r="I746" s="183"/>
      <c r="J746" s="131"/>
      <c r="K746" s="89"/>
      <c r="L746" s="89"/>
      <c r="M746" s="89"/>
      <c r="N746" s="89"/>
      <c r="O746" s="89"/>
      <c r="P746" s="89"/>
      <c r="Q746" s="89"/>
      <c r="R746" s="89"/>
      <c r="S746" s="89"/>
      <c r="T746" s="89"/>
      <c r="U746" s="89"/>
      <c r="V746" s="89"/>
      <c r="W746" s="89"/>
      <c r="X746" s="89"/>
      <c r="Y746" s="89"/>
      <c r="Z746" s="89"/>
      <c r="AA746" s="89"/>
    </row>
    <row r="747" ht="14.25" customHeight="1">
      <c r="A747" s="143"/>
      <c r="B747" s="143"/>
      <c r="C747" s="125"/>
      <c r="D747" s="126"/>
      <c r="E747" s="144"/>
      <c r="F747" s="145"/>
      <c r="G747" s="183"/>
      <c r="H747" s="140"/>
      <c r="I747" s="183"/>
      <c r="J747" s="131"/>
      <c r="K747" s="89"/>
      <c r="L747" s="89"/>
      <c r="M747" s="89"/>
      <c r="N747" s="89"/>
      <c r="O747" s="89"/>
      <c r="P747" s="89"/>
      <c r="Q747" s="89"/>
      <c r="R747" s="89"/>
      <c r="S747" s="89"/>
      <c r="T747" s="89"/>
      <c r="U747" s="89"/>
      <c r="V747" s="89"/>
      <c r="W747" s="89"/>
      <c r="X747" s="89"/>
      <c r="Y747" s="89"/>
      <c r="Z747" s="89"/>
      <c r="AA747" s="89"/>
    </row>
    <row r="748" ht="14.25" customHeight="1">
      <c r="A748" s="143"/>
      <c r="B748" s="143"/>
      <c r="C748" s="125"/>
      <c r="D748" s="126"/>
      <c r="E748" s="144"/>
      <c r="F748" s="145"/>
      <c r="G748" s="183"/>
      <c r="H748" s="140"/>
      <c r="I748" s="183"/>
      <c r="J748" s="131"/>
      <c r="K748" s="89"/>
      <c r="L748" s="89"/>
      <c r="M748" s="89"/>
      <c r="N748" s="89"/>
      <c r="O748" s="89"/>
      <c r="P748" s="89"/>
      <c r="Q748" s="89"/>
      <c r="R748" s="89"/>
      <c r="S748" s="89"/>
      <c r="T748" s="89"/>
      <c r="U748" s="89"/>
      <c r="V748" s="89"/>
      <c r="W748" s="89"/>
      <c r="X748" s="89"/>
      <c r="Y748" s="89"/>
      <c r="Z748" s="89"/>
      <c r="AA748" s="89"/>
    </row>
    <row r="749" ht="14.25" customHeight="1">
      <c r="A749" s="143"/>
      <c r="B749" s="143"/>
      <c r="C749" s="125"/>
      <c r="D749" s="126"/>
      <c r="E749" s="144"/>
      <c r="F749" s="145"/>
      <c r="G749" s="183"/>
      <c r="H749" s="140"/>
      <c r="I749" s="183"/>
      <c r="J749" s="131"/>
      <c r="K749" s="89"/>
      <c r="L749" s="89"/>
      <c r="M749" s="89"/>
      <c r="N749" s="89"/>
      <c r="O749" s="89"/>
      <c r="P749" s="89"/>
      <c r="Q749" s="89"/>
      <c r="R749" s="89"/>
      <c r="S749" s="89"/>
      <c r="T749" s="89"/>
      <c r="U749" s="89"/>
      <c r="V749" s="89"/>
      <c r="W749" s="89"/>
      <c r="X749" s="89"/>
      <c r="Y749" s="89"/>
      <c r="Z749" s="89"/>
      <c r="AA749" s="89"/>
    </row>
    <row r="750" ht="14.25" customHeight="1">
      <c r="A750" s="151"/>
      <c r="B750" s="151"/>
      <c r="C750" s="125"/>
      <c r="D750" s="126"/>
      <c r="E750" s="144"/>
      <c r="F750" s="145"/>
      <c r="G750" s="183"/>
      <c r="H750" s="140"/>
      <c r="I750" s="183"/>
      <c r="J750" s="131"/>
      <c r="K750" s="89"/>
      <c r="L750" s="89"/>
      <c r="M750" s="89"/>
      <c r="N750" s="89"/>
      <c r="O750" s="89"/>
      <c r="P750" s="89"/>
      <c r="Q750" s="89"/>
      <c r="R750" s="89"/>
      <c r="S750" s="89"/>
      <c r="T750" s="89"/>
      <c r="U750" s="89"/>
      <c r="V750" s="89"/>
      <c r="W750" s="89"/>
      <c r="X750" s="89"/>
      <c r="Y750" s="89"/>
      <c r="Z750" s="89"/>
      <c r="AA750" s="89"/>
    </row>
    <row r="751" ht="14.25" customHeight="1">
      <c r="A751" s="143"/>
      <c r="B751" s="143"/>
      <c r="C751" s="125"/>
      <c r="D751" s="126"/>
      <c r="E751" s="144"/>
      <c r="F751" s="145"/>
      <c r="G751" s="183"/>
      <c r="H751" s="140"/>
      <c r="I751" s="183"/>
      <c r="J751" s="131"/>
      <c r="K751" s="89"/>
      <c r="L751" s="89"/>
      <c r="M751" s="89"/>
      <c r="N751" s="89"/>
      <c r="O751" s="89"/>
      <c r="P751" s="89"/>
      <c r="Q751" s="89"/>
      <c r="R751" s="89"/>
      <c r="S751" s="89"/>
      <c r="T751" s="89"/>
      <c r="U751" s="89"/>
      <c r="V751" s="89"/>
      <c r="W751" s="89"/>
      <c r="X751" s="89"/>
      <c r="Y751" s="89"/>
      <c r="Z751" s="89"/>
      <c r="AA751" s="89"/>
    </row>
    <row r="752" ht="14.25" customHeight="1">
      <c r="A752" s="143"/>
      <c r="B752" s="143"/>
      <c r="C752" s="125"/>
      <c r="D752" s="126"/>
      <c r="E752" s="144"/>
      <c r="F752" s="145"/>
      <c r="G752" s="183"/>
      <c r="H752" s="140"/>
      <c r="I752" s="183"/>
      <c r="J752" s="131"/>
      <c r="K752" s="89"/>
      <c r="L752" s="89"/>
      <c r="M752" s="89"/>
      <c r="N752" s="89"/>
      <c r="O752" s="89"/>
      <c r="P752" s="89"/>
      <c r="Q752" s="89"/>
      <c r="R752" s="89"/>
      <c r="S752" s="89"/>
      <c r="T752" s="89"/>
      <c r="U752" s="89"/>
      <c r="V752" s="89"/>
      <c r="W752" s="89"/>
      <c r="X752" s="89"/>
      <c r="Y752" s="89"/>
      <c r="Z752" s="89"/>
      <c r="AA752" s="89"/>
    </row>
    <row r="753" ht="14.25" customHeight="1">
      <c r="A753" s="143"/>
      <c r="B753" s="143"/>
      <c r="C753" s="125"/>
      <c r="D753" s="126"/>
      <c r="E753" s="144"/>
      <c r="F753" s="145"/>
      <c r="G753" s="183"/>
      <c r="H753" s="140"/>
      <c r="I753" s="183"/>
      <c r="J753" s="131"/>
      <c r="K753" s="89"/>
      <c r="L753" s="89"/>
      <c r="M753" s="89"/>
      <c r="N753" s="89"/>
      <c r="O753" s="89"/>
      <c r="P753" s="89"/>
      <c r="Q753" s="89"/>
      <c r="R753" s="89"/>
      <c r="S753" s="89"/>
      <c r="T753" s="89"/>
      <c r="U753" s="89"/>
      <c r="V753" s="89"/>
      <c r="W753" s="89"/>
      <c r="X753" s="89"/>
      <c r="Y753" s="89"/>
      <c r="Z753" s="89"/>
      <c r="AA753" s="89"/>
    </row>
    <row r="754" ht="14.25" customHeight="1">
      <c r="A754" s="143"/>
      <c r="B754" s="143"/>
      <c r="C754" s="125"/>
      <c r="D754" s="126"/>
      <c r="E754" s="144"/>
      <c r="F754" s="145"/>
      <c r="G754" s="183"/>
      <c r="H754" s="140"/>
      <c r="I754" s="183"/>
      <c r="J754" s="131"/>
      <c r="K754" s="89"/>
      <c r="L754" s="89"/>
      <c r="M754" s="89"/>
      <c r="N754" s="89"/>
      <c r="O754" s="89"/>
      <c r="P754" s="89"/>
      <c r="Q754" s="89"/>
      <c r="R754" s="89"/>
      <c r="S754" s="89"/>
      <c r="T754" s="89"/>
      <c r="U754" s="89"/>
      <c r="V754" s="89"/>
      <c r="W754" s="89"/>
      <c r="X754" s="89"/>
      <c r="Y754" s="89"/>
      <c r="Z754" s="89"/>
      <c r="AA754" s="89"/>
    </row>
    <row r="755" ht="14.25" customHeight="1">
      <c r="A755" s="143"/>
      <c r="B755" s="143"/>
      <c r="C755" s="125"/>
      <c r="D755" s="126"/>
      <c r="E755" s="144"/>
      <c r="F755" s="145"/>
      <c r="G755" s="183"/>
      <c r="H755" s="140"/>
      <c r="I755" s="183"/>
      <c r="J755" s="131"/>
      <c r="K755" s="89"/>
      <c r="L755" s="89"/>
      <c r="M755" s="89"/>
      <c r="N755" s="89"/>
      <c r="O755" s="89"/>
      <c r="P755" s="89"/>
      <c r="Q755" s="89"/>
      <c r="R755" s="89"/>
      <c r="S755" s="89"/>
      <c r="T755" s="89"/>
      <c r="U755" s="89"/>
      <c r="V755" s="89"/>
      <c r="W755" s="89"/>
      <c r="X755" s="89"/>
      <c r="Y755" s="89"/>
      <c r="Z755" s="89"/>
      <c r="AA755" s="89"/>
    </row>
    <row r="756" ht="14.25" customHeight="1">
      <c r="A756" s="143"/>
      <c r="B756" s="143"/>
      <c r="C756" s="125"/>
      <c r="D756" s="126"/>
      <c r="E756" s="144"/>
      <c r="F756" s="145"/>
      <c r="G756" s="183"/>
      <c r="H756" s="140"/>
      <c r="I756" s="183"/>
      <c r="J756" s="131"/>
      <c r="K756" s="89"/>
      <c r="L756" s="89"/>
      <c r="M756" s="89"/>
      <c r="N756" s="89"/>
      <c r="O756" s="89"/>
      <c r="P756" s="89"/>
      <c r="Q756" s="89"/>
      <c r="R756" s="89"/>
      <c r="S756" s="89"/>
      <c r="T756" s="89"/>
      <c r="U756" s="89"/>
      <c r="V756" s="89"/>
      <c r="W756" s="89"/>
      <c r="X756" s="89"/>
      <c r="Y756" s="89"/>
      <c r="Z756" s="89"/>
      <c r="AA756" s="89"/>
    </row>
    <row r="757" ht="14.25" customHeight="1">
      <c r="A757" s="143"/>
      <c r="B757" s="143"/>
      <c r="C757" s="125"/>
      <c r="D757" s="126"/>
      <c r="E757" s="144"/>
      <c r="F757" s="145"/>
      <c r="G757" s="183"/>
      <c r="H757" s="140"/>
      <c r="I757" s="183"/>
      <c r="J757" s="131"/>
      <c r="K757" s="89"/>
      <c r="L757" s="89"/>
      <c r="M757" s="89"/>
      <c r="N757" s="89"/>
      <c r="O757" s="89"/>
      <c r="P757" s="89"/>
      <c r="Q757" s="89"/>
      <c r="R757" s="89"/>
      <c r="S757" s="89"/>
      <c r="T757" s="89"/>
      <c r="U757" s="89"/>
      <c r="V757" s="89"/>
      <c r="W757" s="89"/>
      <c r="X757" s="89"/>
      <c r="Y757" s="89"/>
      <c r="Z757" s="89"/>
      <c r="AA757" s="89"/>
    </row>
    <row r="758" ht="14.25" customHeight="1">
      <c r="A758" s="143"/>
      <c r="B758" s="143"/>
      <c r="C758" s="125"/>
      <c r="D758" s="126"/>
      <c r="E758" s="144"/>
      <c r="F758" s="145"/>
      <c r="G758" s="183"/>
      <c r="H758" s="140"/>
      <c r="I758" s="183"/>
      <c r="J758" s="131"/>
      <c r="K758" s="89"/>
      <c r="L758" s="89"/>
      <c r="M758" s="89"/>
      <c r="N758" s="89"/>
      <c r="O758" s="89"/>
      <c r="P758" s="89"/>
      <c r="Q758" s="89"/>
      <c r="R758" s="89"/>
      <c r="S758" s="89"/>
      <c r="T758" s="89"/>
      <c r="U758" s="89"/>
      <c r="V758" s="89"/>
      <c r="W758" s="89"/>
      <c r="X758" s="89"/>
      <c r="Y758" s="89"/>
      <c r="Z758" s="89"/>
      <c r="AA758" s="89"/>
    </row>
    <row r="759" ht="14.25" customHeight="1">
      <c r="A759" s="143"/>
      <c r="B759" s="143"/>
      <c r="C759" s="125"/>
      <c r="D759" s="126"/>
      <c r="E759" s="144"/>
      <c r="F759" s="145"/>
      <c r="G759" s="183"/>
      <c r="H759" s="140"/>
      <c r="I759" s="183"/>
      <c r="J759" s="131"/>
      <c r="K759" s="89"/>
      <c r="L759" s="89"/>
      <c r="M759" s="89"/>
      <c r="N759" s="89"/>
      <c r="O759" s="89"/>
      <c r="P759" s="89"/>
      <c r="Q759" s="89"/>
      <c r="R759" s="89"/>
      <c r="S759" s="89"/>
      <c r="T759" s="89"/>
      <c r="U759" s="89"/>
      <c r="V759" s="89"/>
      <c r="W759" s="89"/>
      <c r="X759" s="89"/>
      <c r="Y759" s="89"/>
      <c r="Z759" s="89"/>
      <c r="AA759" s="89"/>
    </row>
    <row r="760" ht="14.25" customHeight="1">
      <c r="A760" s="151"/>
      <c r="B760" s="151"/>
      <c r="C760" s="125"/>
      <c r="D760" s="126"/>
      <c r="E760" s="144"/>
      <c r="F760" s="145"/>
      <c r="G760" s="183"/>
      <c r="H760" s="140"/>
      <c r="I760" s="183"/>
      <c r="J760" s="131"/>
      <c r="K760" s="89"/>
      <c r="L760" s="89"/>
      <c r="M760" s="89"/>
      <c r="N760" s="89"/>
      <c r="O760" s="89"/>
      <c r="P760" s="89"/>
      <c r="Q760" s="89"/>
      <c r="R760" s="89"/>
      <c r="S760" s="89"/>
      <c r="T760" s="89"/>
      <c r="U760" s="89"/>
      <c r="V760" s="89"/>
      <c r="W760" s="89"/>
      <c r="X760" s="89"/>
      <c r="Y760" s="89"/>
      <c r="Z760" s="89"/>
      <c r="AA760" s="89"/>
    </row>
    <row r="761" ht="14.25" customHeight="1">
      <c r="A761" s="143"/>
      <c r="B761" s="143"/>
      <c r="C761" s="125"/>
      <c r="D761" s="126"/>
      <c r="E761" s="144"/>
      <c r="F761" s="145"/>
      <c r="G761" s="183"/>
      <c r="H761" s="140"/>
      <c r="I761" s="183"/>
      <c r="J761" s="131"/>
      <c r="K761" s="89"/>
      <c r="L761" s="89"/>
      <c r="M761" s="89"/>
      <c r="N761" s="89"/>
      <c r="O761" s="89"/>
      <c r="P761" s="89"/>
      <c r="Q761" s="89"/>
      <c r="R761" s="89"/>
      <c r="S761" s="89"/>
      <c r="T761" s="89"/>
      <c r="U761" s="89"/>
      <c r="V761" s="89"/>
      <c r="W761" s="89"/>
      <c r="X761" s="89"/>
      <c r="Y761" s="89"/>
      <c r="Z761" s="89"/>
      <c r="AA761" s="89"/>
    </row>
    <row r="762" ht="14.25" customHeight="1">
      <c r="A762" s="143"/>
      <c r="B762" s="143"/>
      <c r="C762" s="125"/>
      <c r="D762" s="126"/>
      <c r="E762" s="144"/>
      <c r="F762" s="145"/>
      <c r="G762" s="183"/>
      <c r="H762" s="140"/>
      <c r="I762" s="183"/>
      <c r="J762" s="131"/>
      <c r="K762" s="89"/>
      <c r="L762" s="89"/>
      <c r="M762" s="89"/>
      <c r="N762" s="89"/>
      <c r="O762" s="89"/>
      <c r="P762" s="89"/>
      <c r="Q762" s="89"/>
      <c r="R762" s="89"/>
      <c r="S762" s="89"/>
      <c r="T762" s="89"/>
      <c r="U762" s="89"/>
      <c r="V762" s="89"/>
      <c r="W762" s="89"/>
      <c r="X762" s="89"/>
      <c r="Y762" s="89"/>
      <c r="Z762" s="89"/>
      <c r="AA762" s="89"/>
    </row>
    <row r="763" ht="14.25" customHeight="1">
      <c r="A763" s="143"/>
      <c r="B763" s="143"/>
      <c r="C763" s="125"/>
      <c r="D763" s="126"/>
      <c r="E763" s="144"/>
      <c r="F763" s="145"/>
      <c r="G763" s="183"/>
      <c r="H763" s="140"/>
      <c r="I763" s="183"/>
      <c r="J763" s="131"/>
      <c r="K763" s="89"/>
      <c r="L763" s="89"/>
      <c r="M763" s="89"/>
      <c r="N763" s="89"/>
      <c r="O763" s="89"/>
      <c r="P763" s="89"/>
      <c r="Q763" s="89"/>
      <c r="R763" s="89"/>
      <c r="S763" s="89"/>
      <c r="T763" s="89"/>
      <c r="U763" s="89"/>
      <c r="V763" s="89"/>
      <c r="W763" s="89"/>
      <c r="X763" s="89"/>
      <c r="Y763" s="89"/>
      <c r="Z763" s="89"/>
      <c r="AA763" s="89"/>
    </row>
    <row r="764" ht="14.25" customHeight="1">
      <c r="A764" s="143"/>
      <c r="B764" s="143"/>
      <c r="C764" s="125"/>
      <c r="D764" s="126"/>
      <c r="E764" s="144"/>
      <c r="F764" s="145"/>
      <c r="G764" s="183"/>
      <c r="H764" s="140"/>
      <c r="I764" s="183"/>
      <c r="J764" s="131"/>
      <c r="K764" s="89"/>
      <c r="L764" s="89"/>
      <c r="M764" s="89"/>
      <c r="N764" s="89"/>
      <c r="O764" s="89"/>
      <c r="P764" s="89"/>
      <c r="Q764" s="89"/>
      <c r="R764" s="89"/>
      <c r="S764" s="89"/>
      <c r="T764" s="89"/>
      <c r="U764" s="89"/>
      <c r="V764" s="89"/>
      <c r="W764" s="89"/>
      <c r="X764" s="89"/>
      <c r="Y764" s="89"/>
      <c r="Z764" s="89"/>
      <c r="AA764" s="89"/>
    </row>
    <row r="765" ht="14.25" customHeight="1">
      <c r="A765" s="143"/>
      <c r="B765" s="143"/>
      <c r="C765" s="125"/>
      <c r="D765" s="126"/>
      <c r="E765" s="144"/>
      <c r="F765" s="145"/>
      <c r="G765" s="183"/>
      <c r="H765" s="140"/>
      <c r="I765" s="183"/>
      <c r="J765" s="131"/>
      <c r="K765" s="89"/>
      <c r="L765" s="89"/>
      <c r="M765" s="89"/>
      <c r="N765" s="89"/>
      <c r="O765" s="89"/>
      <c r="P765" s="89"/>
      <c r="Q765" s="89"/>
      <c r="R765" s="89"/>
      <c r="S765" s="89"/>
      <c r="T765" s="89"/>
      <c r="U765" s="89"/>
      <c r="V765" s="89"/>
      <c r="W765" s="89"/>
      <c r="X765" s="89"/>
      <c r="Y765" s="89"/>
      <c r="Z765" s="89"/>
      <c r="AA765" s="89"/>
    </row>
    <row r="766" ht="14.25" customHeight="1">
      <c r="A766" s="143"/>
      <c r="B766" s="143"/>
      <c r="C766" s="125"/>
      <c r="D766" s="126"/>
      <c r="E766" s="144"/>
      <c r="F766" s="145"/>
      <c r="G766" s="183"/>
      <c r="H766" s="140"/>
      <c r="I766" s="183"/>
      <c r="J766" s="131"/>
      <c r="K766" s="89"/>
      <c r="L766" s="89"/>
      <c r="M766" s="89"/>
      <c r="N766" s="89"/>
      <c r="O766" s="89"/>
      <c r="P766" s="89"/>
      <c r="Q766" s="89"/>
      <c r="R766" s="89"/>
      <c r="S766" s="89"/>
      <c r="T766" s="89"/>
      <c r="U766" s="89"/>
      <c r="V766" s="89"/>
      <c r="W766" s="89"/>
      <c r="X766" s="89"/>
      <c r="Y766" s="89"/>
      <c r="Z766" s="89"/>
      <c r="AA766" s="89"/>
    </row>
    <row r="767" ht="14.25" customHeight="1">
      <c r="A767" s="143"/>
      <c r="B767" s="143"/>
      <c r="C767" s="125"/>
      <c r="D767" s="126"/>
      <c r="E767" s="144"/>
      <c r="F767" s="145"/>
      <c r="G767" s="183"/>
      <c r="H767" s="140"/>
      <c r="I767" s="183"/>
      <c r="J767" s="131"/>
      <c r="K767" s="89"/>
      <c r="L767" s="89"/>
      <c r="M767" s="89"/>
      <c r="N767" s="89"/>
      <c r="O767" s="89"/>
      <c r="P767" s="89"/>
      <c r="Q767" s="89"/>
      <c r="R767" s="89"/>
      <c r="S767" s="89"/>
      <c r="T767" s="89"/>
      <c r="U767" s="89"/>
      <c r="V767" s="89"/>
      <c r="W767" s="89"/>
      <c r="X767" s="89"/>
      <c r="Y767" s="89"/>
      <c r="Z767" s="89"/>
      <c r="AA767" s="89"/>
    </row>
    <row r="768" ht="14.25" customHeight="1">
      <c r="A768" s="143"/>
      <c r="B768" s="143"/>
      <c r="C768" s="125"/>
      <c r="D768" s="126"/>
      <c r="E768" s="144"/>
      <c r="F768" s="145"/>
      <c r="G768" s="183"/>
      <c r="H768" s="140"/>
      <c r="I768" s="183"/>
      <c r="J768" s="131"/>
      <c r="K768" s="89"/>
      <c r="L768" s="89"/>
      <c r="M768" s="89"/>
      <c r="N768" s="89"/>
      <c r="O768" s="89"/>
      <c r="P768" s="89"/>
      <c r="Q768" s="89"/>
      <c r="R768" s="89"/>
      <c r="S768" s="89"/>
      <c r="T768" s="89"/>
      <c r="U768" s="89"/>
      <c r="V768" s="89"/>
      <c r="W768" s="89"/>
      <c r="X768" s="89"/>
      <c r="Y768" s="89"/>
      <c r="Z768" s="89"/>
      <c r="AA768" s="89"/>
    </row>
    <row r="769" ht="14.25" customHeight="1">
      <c r="A769" s="143"/>
      <c r="B769" s="143"/>
      <c r="C769" s="125"/>
      <c r="D769" s="126"/>
      <c r="E769" s="144"/>
      <c r="F769" s="145"/>
      <c r="G769" s="183"/>
      <c r="H769" s="140"/>
      <c r="I769" s="183"/>
      <c r="J769" s="131"/>
      <c r="K769" s="89"/>
      <c r="L769" s="89"/>
      <c r="M769" s="89"/>
      <c r="N769" s="89"/>
      <c r="O769" s="89"/>
      <c r="P769" s="89"/>
      <c r="Q769" s="89"/>
      <c r="R769" s="89"/>
      <c r="S769" s="89"/>
      <c r="T769" s="89"/>
      <c r="U769" s="89"/>
      <c r="V769" s="89"/>
      <c r="W769" s="89"/>
      <c r="X769" s="89"/>
      <c r="Y769" s="89"/>
      <c r="Z769" s="89"/>
      <c r="AA769" s="89"/>
    </row>
    <row r="770" ht="14.25" customHeight="1">
      <c r="A770" s="151"/>
      <c r="B770" s="151"/>
      <c r="C770" s="125"/>
      <c r="D770" s="126"/>
      <c r="E770" s="144"/>
      <c r="F770" s="145"/>
      <c r="G770" s="183"/>
      <c r="H770" s="140"/>
      <c r="I770" s="183"/>
      <c r="J770" s="131"/>
      <c r="K770" s="89"/>
      <c r="L770" s="89"/>
      <c r="M770" s="89"/>
      <c r="N770" s="89"/>
      <c r="O770" s="89"/>
      <c r="P770" s="89"/>
      <c r="Q770" s="89"/>
      <c r="R770" s="89"/>
      <c r="S770" s="89"/>
      <c r="T770" s="89"/>
      <c r="U770" s="89"/>
      <c r="V770" s="89"/>
      <c r="W770" s="89"/>
      <c r="X770" s="89"/>
      <c r="Y770" s="89"/>
      <c r="Z770" s="89"/>
      <c r="AA770" s="89"/>
    </row>
    <row r="771" ht="14.25" customHeight="1">
      <c r="A771" s="143"/>
      <c r="B771" s="143"/>
      <c r="C771" s="125"/>
      <c r="D771" s="126"/>
      <c r="E771" s="144"/>
      <c r="F771" s="145"/>
      <c r="G771" s="183"/>
      <c r="H771" s="140"/>
      <c r="I771" s="183"/>
      <c r="J771" s="131"/>
      <c r="K771" s="89"/>
      <c r="L771" s="89"/>
      <c r="M771" s="89"/>
      <c r="N771" s="89"/>
      <c r="O771" s="89"/>
      <c r="P771" s="89"/>
      <c r="Q771" s="89"/>
      <c r="R771" s="89"/>
      <c r="S771" s="89"/>
      <c r="T771" s="89"/>
      <c r="U771" s="89"/>
      <c r="V771" s="89"/>
      <c r="W771" s="89"/>
      <c r="X771" s="89"/>
      <c r="Y771" s="89"/>
      <c r="Z771" s="89"/>
      <c r="AA771" s="89"/>
    </row>
    <row r="772" ht="14.25" customHeight="1">
      <c r="A772" s="143"/>
      <c r="B772" s="143"/>
      <c r="C772" s="125"/>
      <c r="D772" s="126"/>
      <c r="E772" s="144"/>
      <c r="F772" s="145"/>
      <c r="G772" s="183"/>
      <c r="H772" s="140"/>
      <c r="I772" s="183"/>
      <c r="J772" s="131"/>
      <c r="K772" s="89"/>
      <c r="L772" s="89"/>
      <c r="M772" s="89"/>
      <c r="N772" s="89"/>
      <c r="O772" s="89"/>
      <c r="P772" s="89"/>
      <c r="Q772" s="89"/>
      <c r="R772" s="89"/>
      <c r="S772" s="89"/>
      <c r="T772" s="89"/>
      <c r="U772" s="89"/>
      <c r="V772" s="89"/>
      <c r="W772" s="89"/>
      <c r="X772" s="89"/>
      <c r="Y772" s="89"/>
      <c r="Z772" s="89"/>
      <c r="AA772" s="89"/>
    </row>
    <row r="773" ht="14.25" customHeight="1">
      <c r="A773" s="143"/>
      <c r="B773" s="143"/>
      <c r="C773" s="125"/>
      <c r="D773" s="126"/>
      <c r="E773" s="144"/>
      <c r="F773" s="145"/>
      <c r="G773" s="183"/>
      <c r="H773" s="140"/>
      <c r="I773" s="183"/>
      <c r="J773" s="131"/>
      <c r="K773" s="89"/>
      <c r="L773" s="89"/>
      <c r="M773" s="89"/>
      <c r="N773" s="89"/>
      <c r="O773" s="89"/>
      <c r="P773" s="89"/>
      <c r="Q773" s="89"/>
      <c r="R773" s="89"/>
      <c r="S773" s="89"/>
      <c r="T773" s="89"/>
      <c r="U773" s="89"/>
      <c r="V773" s="89"/>
      <c r="W773" s="89"/>
      <c r="X773" s="89"/>
      <c r="Y773" s="89"/>
      <c r="Z773" s="89"/>
      <c r="AA773" s="89"/>
    </row>
    <row r="774" ht="14.25" customHeight="1">
      <c r="A774" s="143"/>
      <c r="B774" s="143"/>
      <c r="C774" s="125"/>
      <c r="D774" s="126"/>
      <c r="E774" s="144"/>
      <c r="F774" s="145"/>
      <c r="G774" s="183"/>
      <c r="H774" s="140"/>
      <c r="I774" s="183"/>
      <c r="J774" s="131"/>
      <c r="K774" s="89"/>
      <c r="L774" s="89"/>
      <c r="M774" s="89"/>
      <c r="N774" s="89"/>
      <c r="O774" s="89"/>
      <c r="P774" s="89"/>
      <c r="Q774" s="89"/>
      <c r="R774" s="89"/>
      <c r="S774" s="89"/>
      <c r="T774" s="89"/>
      <c r="U774" s="89"/>
      <c r="V774" s="89"/>
      <c r="W774" s="89"/>
      <c r="X774" s="89"/>
      <c r="Y774" s="89"/>
      <c r="Z774" s="89"/>
      <c r="AA774" s="89"/>
    </row>
    <row r="775" ht="14.25" customHeight="1">
      <c r="A775" s="143"/>
      <c r="B775" s="143"/>
      <c r="C775" s="125"/>
      <c r="D775" s="126"/>
      <c r="E775" s="144"/>
      <c r="F775" s="145"/>
      <c r="G775" s="183"/>
      <c r="H775" s="140"/>
      <c r="I775" s="183"/>
      <c r="J775" s="131"/>
      <c r="K775" s="89"/>
      <c r="L775" s="89"/>
      <c r="M775" s="89"/>
      <c r="N775" s="89"/>
      <c r="O775" s="89"/>
      <c r="P775" s="89"/>
      <c r="Q775" s="89"/>
      <c r="R775" s="89"/>
      <c r="S775" s="89"/>
      <c r="T775" s="89"/>
      <c r="U775" s="89"/>
      <c r="V775" s="89"/>
      <c r="W775" s="89"/>
      <c r="X775" s="89"/>
      <c r="Y775" s="89"/>
      <c r="Z775" s="89"/>
      <c r="AA775" s="89"/>
    </row>
    <row r="776" ht="14.25" customHeight="1">
      <c r="A776" s="143"/>
      <c r="B776" s="143"/>
      <c r="C776" s="125"/>
      <c r="D776" s="126"/>
      <c r="E776" s="144"/>
      <c r="F776" s="145"/>
      <c r="G776" s="183"/>
      <c r="H776" s="140"/>
      <c r="I776" s="183"/>
      <c r="J776" s="131"/>
      <c r="K776" s="89"/>
      <c r="L776" s="89"/>
      <c r="M776" s="89"/>
      <c r="N776" s="89"/>
      <c r="O776" s="89"/>
      <c r="P776" s="89"/>
      <c r="Q776" s="89"/>
      <c r="R776" s="89"/>
      <c r="S776" s="89"/>
      <c r="T776" s="89"/>
      <c r="U776" s="89"/>
      <c r="V776" s="89"/>
      <c r="W776" s="89"/>
      <c r="X776" s="89"/>
      <c r="Y776" s="89"/>
      <c r="Z776" s="89"/>
      <c r="AA776" s="89"/>
    </row>
    <row r="777" ht="14.25" customHeight="1">
      <c r="A777" s="143"/>
      <c r="B777" s="143"/>
      <c r="C777" s="125"/>
      <c r="D777" s="126"/>
      <c r="E777" s="144"/>
      <c r="F777" s="145"/>
      <c r="G777" s="183"/>
      <c r="H777" s="140"/>
      <c r="I777" s="183"/>
      <c r="J777" s="131"/>
      <c r="K777" s="89"/>
      <c r="L777" s="89"/>
      <c r="M777" s="89"/>
      <c r="N777" s="89"/>
      <c r="O777" s="89"/>
      <c r="P777" s="89"/>
      <c r="Q777" s="89"/>
      <c r="R777" s="89"/>
      <c r="S777" s="89"/>
      <c r="T777" s="89"/>
      <c r="U777" s="89"/>
      <c r="V777" s="89"/>
      <c r="W777" s="89"/>
      <c r="X777" s="89"/>
      <c r="Y777" s="89"/>
      <c r="Z777" s="89"/>
      <c r="AA777" s="89"/>
    </row>
    <row r="778" ht="14.25" customHeight="1">
      <c r="A778" s="143"/>
      <c r="B778" s="143"/>
      <c r="C778" s="125"/>
      <c r="D778" s="126"/>
      <c r="E778" s="144"/>
      <c r="F778" s="145"/>
      <c r="G778" s="183"/>
      <c r="H778" s="140"/>
      <c r="I778" s="183"/>
      <c r="J778" s="131"/>
      <c r="K778" s="89"/>
      <c r="L778" s="89"/>
      <c r="M778" s="89"/>
      <c r="N778" s="89"/>
      <c r="O778" s="89"/>
      <c r="P778" s="89"/>
      <c r="Q778" s="89"/>
      <c r="R778" s="89"/>
      <c r="S778" s="89"/>
      <c r="T778" s="89"/>
      <c r="U778" s="89"/>
      <c r="V778" s="89"/>
      <c r="W778" s="89"/>
      <c r="X778" s="89"/>
      <c r="Y778" s="89"/>
      <c r="Z778" s="89"/>
      <c r="AA778" s="89"/>
    </row>
    <row r="779" ht="14.25" customHeight="1">
      <c r="A779" s="143"/>
      <c r="B779" s="143"/>
      <c r="C779" s="125"/>
      <c r="D779" s="126"/>
      <c r="E779" s="144"/>
      <c r="F779" s="145"/>
      <c r="G779" s="183"/>
      <c r="H779" s="140"/>
      <c r="I779" s="183"/>
      <c r="J779" s="131"/>
      <c r="K779" s="89"/>
      <c r="L779" s="89"/>
      <c r="M779" s="89"/>
      <c r="N779" s="89"/>
      <c r="O779" s="89"/>
      <c r="P779" s="89"/>
      <c r="Q779" s="89"/>
      <c r="R779" s="89"/>
      <c r="S779" s="89"/>
      <c r="T779" s="89"/>
      <c r="U779" s="89"/>
      <c r="V779" s="89"/>
      <c r="W779" s="89"/>
      <c r="X779" s="89"/>
      <c r="Y779" s="89"/>
      <c r="Z779" s="89"/>
      <c r="AA779" s="89"/>
    </row>
    <row r="780" ht="14.25" customHeight="1">
      <c r="A780" s="151"/>
      <c r="B780" s="151"/>
      <c r="C780" s="125"/>
      <c r="D780" s="126"/>
      <c r="E780" s="144"/>
      <c r="F780" s="145"/>
      <c r="G780" s="183"/>
      <c r="H780" s="140"/>
      <c r="I780" s="183"/>
      <c r="J780" s="131"/>
      <c r="K780" s="89"/>
      <c r="L780" s="89"/>
      <c r="M780" s="89"/>
      <c r="N780" s="89"/>
      <c r="O780" s="89"/>
      <c r="P780" s="89"/>
      <c r="Q780" s="89"/>
      <c r="R780" s="89"/>
      <c r="S780" s="89"/>
      <c r="T780" s="89"/>
      <c r="U780" s="89"/>
      <c r="V780" s="89"/>
      <c r="W780" s="89"/>
      <c r="X780" s="89"/>
      <c r="Y780" s="89"/>
      <c r="Z780" s="89"/>
      <c r="AA780" s="89"/>
    </row>
    <row r="781" ht="14.25" customHeight="1">
      <c r="A781" s="143"/>
      <c r="B781" s="143"/>
      <c r="C781" s="125"/>
      <c r="D781" s="126"/>
      <c r="E781" s="144"/>
      <c r="F781" s="145"/>
      <c r="G781" s="183"/>
      <c r="H781" s="140"/>
      <c r="I781" s="183"/>
      <c r="J781" s="131"/>
      <c r="K781" s="89"/>
      <c r="L781" s="89"/>
      <c r="M781" s="89"/>
      <c r="N781" s="89"/>
      <c r="O781" s="89"/>
      <c r="P781" s="89"/>
      <c r="Q781" s="89"/>
      <c r="R781" s="89"/>
      <c r="S781" s="89"/>
      <c r="T781" s="89"/>
      <c r="U781" s="89"/>
      <c r="V781" s="89"/>
      <c r="W781" s="89"/>
      <c r="X781" s="89"/>
      <c r="Y781" s="89"/>
      <c r="Z781" s="89"/>
      <c r="AA781" s="89"/>
    </row>
    <row r="782" ht="14.25" customHeight="1">
      <c r="A782" s="143"/>
      <c r="B782" s="143"/>
      <c r="C782" s="125"/>
      <c r="D782" s="126"/>
      <c r="E782" s="144"/>
      <c r="F782" s="145"/>
      <c r="G782" s="183"/>
      <c r="H782" s="140"/>
      <c r="I782" s="183"/>
      <c r="J782" s="131"/>
      <c r="K782" s="89"/>
      <c r="L782" s="89"/>
      <c r="M782" s="89"/>
      <c r="N782" s="89"/>
      <c r="O782" s="89"/>
      <c r="P782" s="89"/>
      <c r="Q782" s="89"/>
      <c r="R782" s="89"/>
      <c r="S782" s="89"/>
      <c r="T782" s="89"/>
      <c r="U782" s="89"/>
      <c r="V782" s="89"/>
      <c r="W782" s="89"/>
      <c r="X782" s="89"/>
      <c r="Y782" s="89"/>
      <c r="Z782" s="89"/>
      <c r="AA782" s="89"/>
    </row>
    <row r="783" ht="14.25" customHeight="1">
      <c r="A783" s="143"/>
      <c r="B783" s="143"/>
      <c r="C783" s="125"/>
      <c r="D783" s="126"/>
      <c r="E783" s="144"/>
      <c r="F783" s="145"/>
      <c r="G783" s="183"/>
      <c r="H783" s="140"/>
      <c r="I783" s="183"/>
      <c r="J783" s="131"/>
      <c r="K783" s="89"/>
      <c r="L783" s="89"/>
      <c r="M783" s="89"/>
      <c r="N783" s="89"/>
      <c r="O783" s="89"/>
      <c r="P783" s="89"/>
      <c r="Q783" s="89"/>
      <c r="R783" s="89"/>
      <c r="S783" s="89"/>
      <c r="T783" s="89"/>
      <c r="U783" s="89"/>
      <c r="V783" s="89"/>
      <c r="W783" s="89"/>
      <c r="X783" s="89"/>
      <c r="Y783" s="89"/>
      <c r="Z783" s="89"/>
      <c r="AA783" s="89"/>
    </row>
    <row r="784" ht="14.25" customHeight="1">
      <c r="A784" s="143"/>
      <c r="B784" s="143"/>
      <c r="C784" s="125"/>
      <c r="D784" s="126"/>
      <c r="E784" s="144"/>
      <c r="F784" s="145"/>
      <c r="G784" s="183"/>
      <c r="H784" s="140"/>
      <c r="I784" s="183"/>
      <c r="J784" s="131"/>
      <c r="K784" s="89"/>
      <c r="L784" s="89"/>
      <c r="M784" s="89"/>
      <c r="N784" s="89"/>
      <c r="O784" s="89"/>
      <c r="P784" s="89"/>
      <c r="Q784" s="89"/>
      <c r="R784" s="89"/>
      <c r="S784" s="89"/>
      <c r="T784" s="89"/>
      <c r="U784" s="89"/>
      <c r="V784" s="89"/>
      <c r="W784" s="89"/>
      <c r="X784" s="89"/>
      <c r="Y784" s="89"/>
      <c r="Z784" s="89"/>
      <c r="AA784" s="89"/>
    </row>
    <row r="785" ht="14.25" customHeight="1">
      <c r="A785" s="143"/>
      <c r="B785" s="143"/>
      <c r="C785" s="125"/>
      <c r="D785" s="126"/>
      <c r="E785" s="144"/>
      <c r="F785" s="145"/>
      <c r="G785" s="183"/>
      <c r="H785" s="140"/>
      <c r="I785" s="183"/>
      <c r="J785" s="131"/>
      <c r="K785" s="89"/>
      <c r="L785" s="89"/>
      <c r="M785" s="89"/>
      <c r="N785" s="89"/>
      <c r="O785" s="89"/>
      <c r="P785" s="89"/>
      <c r="Q785" s="89"/>
      <c r="R785" s="89"/>
      <c r="S785" s="89"/>
      <c r="T785" s="89"/>
      <c r="U785" s="89"/>
      <c r="V785" s="89"/>
      <c r="W785" s="89"/>
      <c r="X785" s="89"/>
      <c r="Y785" s="89"/>
      <c r="Z785" s="89"/>
      <c r="AA785" s="89"/>
    </row>
    <row r="786" ht="14.25" customHeight="1">
      <c r="A786" s="143"/>
      <c r="B786" s="143"/>
      <c r="C786" s="125"/>
      <c r="D786" s="126"/>
      <c r="E786" s="144"/>
      <c r="F786" s="145"/>
      <c r="G786" s="183"/>
      <c r="H786" s="140"/>
      <c r="I786" s="183"/>
      <c r="J786" s="131"/>
      <c r="K786" s="89"/>
      <c r="L786" s="89"/>
      <c r="M786" s="89"/>
      <c r="N786" s="89"/>
      <c r="O786" s="89"/>
      <c r="P786" s="89"/>
      <c r="Q786" s="89"/>
      <c r="R786" s="89"/>
      <c r="S786" s="89"/>
      <c r="T786" s="89"/>
      <c r="U786" s="89"/>
      <c r="V786" s="89"/>
      <c r="W786" s="89"/>
      <c r="X786" s="89"/>
      <c r="Y786" s="89"/>
      <c r="Z786" s="89"/>
      <c r="AA786" s="89"/>
    </row>
    <row r="787" ht="14.25" customHeight="1">
      <c r="A787" s="143"/>
      <c r="B787" s="143"/>
      <c r="C787" s="125"/>
      <c r="D787" s="126"/>
      <c r="E787" s="144"/>
      <c r="F787" s="145"/>
      <c r="G787" s="183"/>
      <c r="H787" s="140"/>
      <c r="I787" s="183"/>
      <c r="J787" s="131"/>
      <c r="K787" s="89"/>
      <c r="L787" s="89"/>
      <c r="M787" s="89"/>
      <c r="N787" s="89"/>
      <c r="O787" s="89"/>
      <c r="P787" s="89"/>
      <c r="Q787" s="89"/>
      <c r="R787" s="89"/>
      <c r="S787" s="89"/>
      <c r="T787" s="89"/>
      <c r="U787" s="89"/>
      <c r="V787" s="89"/>
      <c r="W787" s="89"/>
      <c r="X787" s="89"/>
      <c r="Y787" s="89"/>
      <c r="Z787" s="89"/>
      <c r="AA787" s="89"/>
    </row>
    <row r="788" ht="14.25" customHeight="1">
      <c r="A788" s="143"/>
      <c r="B788" s="143"/>
      <c r="C788" s="125"/>
      <c r="D788" s="126"/>
      <c r="E788" s="144"/>
      <c r="F788" s="145"/>
      <c r="G788" s="183"/>
      <c r="H788" s="140"/>
      <c r="I788" s="183"/>
      <c r="J788" s="131"/>
      <c r="K788" s="89"/>
      <c r="L788" s="89"/>
      <c r="M788" s="89"/>
      <c r="N788" s="89"/>
      <c r="O788" s="89"/>
      <c r="P788" s="89"/>
      <c r="Q788" s="89"/>
      <c r="R788" s="89"/>
      <c r="S788" s="89"/>
      <c r="T788" s="89"/>
      <c r="U788" s="89"/>
      <c r="V788" s="89"/>
      <c r="W788" s="89"/>
      <c r="X788" s="89"/>
      <c r="Y788" s="89"/>
      <c r="Z788" s="89"/>
      <c r="AA788" s="89"/>
    </row>
    <row r="789" ht="14.25" customHeight="1">
      <c r="A789" s="143"/>
      <c r="B789" s="143"/>
      <c r="C789" s="125"/>
      <c r="D789" s="126"/>
      <c r="E789" s="144"/>
      <c r="F789" s="145"/>
      <c r="G789" s="183"/>
      <c r="H789" s="140"/>
      <c r="I789" s="183"/>
      <c r="J789" s="131"/>
      <c r="K789" s="89"/>
      <c r="L789" s="89"/>
      <c r="M789" s="89"/>
      <c r="N789" s="89"/>
      <c r="O789" s="89"/>
      <c r="P789" s="89"/>
      <c r="Q789" s="89"/>
      <c r="R789" s="89"/>
      <c r="S789" s="89"/>
      <c r="T789" s="89"/>
      <c r="U789" s="89"/>
      <c r="V789" s="89"/>
      <c r="W789" s="89"/>
      <c r="X789" s="89"/>
      <c r="Y789" s="89"/>
      <c r="Z789" s="89"/>
      <c r="AA789" s="89"/>
    </row>
    <row r="790" ht="14.25" customHeight="1">
      <c r="A790" s="151"/>
      <c r="B790" s="151"/>
      <c r="C790" s="125"/>
      <c r="D790" s="126"/>
      <c r="E790" s="144"/>
      <c r="F790" s="145"/>
      <c r="G790" s="183"/>
      <c r="H790" s="140"/>
      <c r="I790" s="183"/>
      <c r="J790" s="131"/>
      <c r="K790" s="89"/>
      <c r="L790" s="89"/>
      <c r="M790" s="89"/>
      <c r="N790" s="89"/>
      <c r="O790" s="89"/>
      <c r="P790" s="89"/>
      <c r="Q790" s="89"/>
      <c r="R790" s="89"/>
      <c r="S790" s="89"/>
      <c r="T790" s="89"/>
      <c r="U790" s="89"/>
      <c r="V790" s="89"/>
      <c r="W790" s="89"/>
      <c r="X790" s="89"/>
      <c r="Y790" s="89"/>
      <c r="Z790" s="89"/>
      <c r="AA790" s="89"/>
    </row>
    <row r="791" ht="14.25" customHeight="1">
      <c r="A791" s="143"/>
      <c r="B791" s="143"/>
      <c r="C791" s="125"/>
      <c r="D791" s="126"/>
      <c r="E791" s="144"/>
      <c r="F791" s="145"/>
      <c r="G791" s="183"/>
      <c r="H791" s="140"/>
      <c r="I791" s="183"/>
      <c r="J791" s="131"/>
      <c r="K791" s="89"/>
      <c r="L791" s="89"/>
      <c r="M791" s="89"/>
      <c r="N791" s="89"/>
      <c r="O791" s="89"/>
      <c r="P791" s="89"/>
      <c r="Q791" s="89"/>
      <c r="R791" s="89"/>
      <c r="S791" s="89"/>
      <c r="T791" s="89"/>
      <c r="U791" s="89"/>
      <c r="V791" s="89"/>
      <c r="W791" s="89"/>
      <c r="X791" s="89"/>
      <c r="Y791" s="89"/>
      <c r="Z791" s="89"/>
      <c r="AA791" s="89"/>
    </row>
    <row r="792" ht="14.25" customHeight="1">
      <c r="A792" s="143"/>
      <c r="B792" s="143"/>
      <c r="C792" s="125"/>
      <c r="D792" s="126"/>
      <c r="E792" s="144"/>
      <c r="F792" s="145"/>
      <c r="G792" s="183"/>
      <c r="H792" s="140"/>
      <c r="I792" s="183"/>
      <c r="J792" s="131"/>
      <c r="K792" s="89"/>
      <c r="L792" s="89"/>
      <c r="M792" s="89"/>
      <c r="N792" s="89"/>
      <c r="O792" s="89"/>
      <c r="P792" s="89"/>
      <c r="Q792" s="89"/>
      <c r="R792" s="89"/>
      <c r="S792" s="89"/>
      <c r="T792" s="89"/>
      <c r="U792" s="89"/>
      <c r="V792" s="89"/>
      <c r="W792" s="89"/>
      <c r="X792" s="89"/>
      <c r="Y792" s="89"/>
      <c r="Z792" s="89"/>
      <c r="AA792" s="89"/>
    </row>
    <row r="793" ht="14.25" customHeight="1">
      <c r="A793" s="143"/>
      <c r="B793" s="143"/>
      <c r="C793" s="125"/>
      <c r="D793" s="126"/>
      <c r="E793" s="144"/>
      <c r="F793" s="145"/>
      <c r="G793" s="183"/>
      <c r="H793" s="140"/>
      <c r="I793" s="183"/>
      <c r="J793" s="131"/>
      <c r="K793" s="89"/>
      <c r="L793" s="89"/>
      <c r="M793" s="89"/>
      <c r="N793" s="89"/>
      <c r="O793" s="89"/>
      <c r="P793" s="89"/>
      <c r="Q793" s="89"/>
      <c r="R793" s="89"/>
      <c r="S793" s="89"/>
      <c r="T793" s="89"/>
      <c r="U793" s="89"/>
      <c r="V793" s="89"/>
      <c r="W793" s="89"/>
      <c r="X793" s="89"/>
      <c r="Y793" s="89"/>
      <c r="Z793" s="89"/>
      <c r="AA793" s="89"/>
    </row>
    <row r="794" ht="14.25" customHeight="1">
      <c r="A794" s="143"/>
      <c r="B794" s="143"/>
      <c r="C794" s="125"/>
      <c r="D794" s="126"/>
      <c r="E794" s="144"/>
      <c r="F794" s="145"/>
      <c r="G794" s="183"/>
      <c r="H794" s="140"/>
      <c r="I794" s="183"/>
      <c r="J794" s="131"/>
      <c r="K794" s="89"/>
      <c r="L794" s="89"/>
      <c r="M794" s="89"/>
      <c r="N794" s="89"/>
      <c r="O794" s="89"/>
      <c r="P794" s="89"/>
      <c r="Q794" s="89"/>
      <c r="R794" s="89"/>
      <c r="S794" s="89"/>
      <c r="T794" s="89"/>
      <c r="U794" s="89"/>
      <c r="V794" s="89"/>
      <c r="W794" s="89"/>
      <c r="X794" s="89"/>
      <c r="Y794" s="89"/>
      <c r="Z794" s="89"/>
      <c r="AA794" s="89"/>
    </row>
    <row r="795" ht="14.25" customHeight="1">
      <c r="A795" s="143"/>
      <c r="B795" s="143"/>
      <c r="C795" s="125"/>
      <c r="D795" s="126"/>
      <c r="E795" s="144"/>
      <c r="F795" s="145"/>
      <c r="G795" s="183"/>
      <c r="H795" s="140"/>
      <c r="I795" s="183"/>
      <c r="J795" s="131"/>
      <c r="K795" s="89"/>
      <c r="L795" s="89"/>
      <c r="M795" s="89"/>
      <c r="N795" s="89"/>
      <c r="O795" s="89"/>
      <c r="P795" s="89"/>
      <c r="Q795" s="89"/>
      <c r="R795" s="89"/>
      <c r="S795" s="89"/>
      <c r="T795" s="89"/>
      <c r="U795" s="89"/>
      <c r="V795" s="89"/>
      <c r="W795" s="89"/>
      <c r="X795" s="89"/>
      <c r="Y795" s="89"/>
      <c r="Z795" s="89"/>
      <c r="AA795" s="89"/>
    </row>
    <row r="796" ht="14.25" customHeight="1">
      <c r="A796" s="143"/>
      <c r="B796" s="143"/>
      <c r="C796" s="125"/>
      <c r="D796" s="126"/>
      <c r="E796" s="144"/>
      <c r="F796" s="145"/>
      <c r="G796" s="183"/>
      <c r="H796" s="140"/>
      <c r="I796" s="183"/>
      <c r="J796" s="131"/>
      <c r="K796" s="89"/>
      <c r="L796" s="89"/>
      <c r="M796" s="89"/>
      <c r="N796" s="89"/>
      <c r="O796" s="89"/>
      <c r="P796" s="89"/>
      <c r="Q796" s="89"/>
      <c r="R796" s="89"/>
      <c r="S796" s="89"/>
      <c r="T796" s="89"/>
      <c r="U796" s="89"/>
      <c r="V796" s="89"/>
      <c r="W796" s="89"/>
      <c r="X796" s="89"/>
      <c r="Y796" s="89"/>
      <c r="Z796" s="89"/>
      <c r="AA796" s="89"/>
    </row>
    <row r="797" ht="14.25" customHeight="1">
      <c r="A797" s="143"/>
      <c r="B797" s="143"/>
      <c r="C797" s="125"/>
      <c r="D797" s="126"/>
      <c r="E797" s="144"/>
      <c r="F797" s="145"/>
      <c r="G797" s="183"/>
      <c r="H797" s="140"/>
      <c r="I797" s="183"/>
      <c r="J797" s="131"/>
      <c r="K797" s="89"/>
      <c r="L797" s="89"/>
      <c r="M797" s="89"/>
      <c r="N797" s="89"/>
      <c r="O797" s="89"/>
      <c r="P797" s="89"/>
      <c r="Q797" s="89"/>
      <c r="R797" s="89"/>
      <c r="S797" s="89"/>
      <c r="T797" s="89"/>
      <c r="U797" s="89"/>
      <c r="V797" s="89"/>
      <c r="W797" s="89"/>
      <c r="X797" s="89"/>
      <c r="Y797" s="89"/>
      <c r="Z797" s="89"/>
      <c r="AA797" s="89"/>
    </row>
    <row r="798" ht="14.25" customHeight="1">
      <c r="A798" s="143"/>
      <c r="B798" s="143"/>
      <c r="C798" s="125"/>
      <c r="D798" s="126"/>
      <c r="E798" s="144"/>
      <c r="F798" s="145"/>
      <c r="G798" s="183"/>
      <c r="H798" s="140"/>
      <c r="I798" s="183"/>
      <c r="J798" s="131"/>
      <c r="K798" s="89"/>
      <c r="L798" s="89"/>
      <c r="M798" s="89"/>
      <c r="N798" s="89"/>
      <c r="O798" s="89"/>
      <c r="P798" s="89"/>
      <c r="Q798" s="89"/>
      <c r="R798" s="89"/>
      <c r="S798" s="89"/>
      <c r="T798" s="89"/>
      <c r="U798" s="89"/>
      <c r="V798" s="89"/>
      <c r="W798" s="89"/>
      <c r="X798" s="89"/>
      <c r="Y798" s="89"/>
      <c r="Z798" s="89"/>
      <c r="AA798" s="89"/>
    </row>
    <row r="799" ht="14.25" customHeight="1">
      <c r="A799" s="143"/>
      <c r="B799" s="143"/>
      <c r="C799" s="125"/>
      <c r="D799" s="126"/>
      <c r="E799" s="144"/>
      <c r="F799" s="145"/>
      <c r="G799" s="183"/>
      <c r="H799" s="140"/>
      <c r="I799" s="183"/>
      <c r="J799" s="131"/>
      <c r="K799" s="89"/>
      <c r="L799" s="89"/>
      <c r="M799" s="89"/>
      <c r="N799" s="89"/>
      <c r="O799" s="89"/>
      <c r="P799" s="89"/>
      <c r="Q799" s="89"/>
      <c r="R799" s="89"/>
      <c r="S799" s="89"/>
      <c r="T799" s="89"/>
      <c r="U799" s="89"/>
      <c r="V799" s="89"/>
      <c r="W799" s="89"/>
      <c r="X799" s="89"/>
      <c r="Y799" s="89"/>
      <c r="Z799" s="89"/>
      <c r="AA799" s="89"/>
    </row>
    <row r="800" ht="14.25" customHeight="1">
      <c r="A800" s="151"/>
      <c r="B800" s="151"/>
      <c r="C800" s="125"/>
      <c r="D800" s="126"/>
      <c r="E800" s="144"/>
      <c r="F800" s="145"/>
      <c r="G800" s="183"/>
      <c r="H800" s="140"/>
      <c r="I800" s="183"/>
      <c r="J800" s="131"/>
      <c r="K800" s="89"/>
      <c r="L800" s="89"/>
      <c r="M800" s="89"/>
      <c r="N800" s="89"/>
      <c r="O800" s="89"/>
      <c r="P800" s="89"/>
      <c r="Q800" s="89"/>
      <c r="R800" s="89"/>
      <c r="S800" s="89"/>
      <c r="T800" s="89"/>
      <c r="U800" s="89"/>
      <c r="V800" s="89"/>
      <c r="W800" s="89"/>
      <c r="X800" s="89"/>
      <c r="Y800" s="89"/>
      <c r="Z800" s="89"/>
      <c r="AA800" s="89"/>
    </row>
    <row r="801" ht="14.25" customHeight="1">
      <c r="A801" s="143"/>
      <c r="B801" s="143"/>
      <c r="C801" s="125"/>
      <c r="D801" s="126"/>
      <c r="E801" s="144"/>
      <c r="F801" s="145"/>
      <c r="G801" s="183"/>
      <c r="H801" s="140"/>
      <c r="I801" s="183"/>
      <c r="J801" s="131"/>
      <c r="K801" s="89"/>
      <c r="L801" s="89"/>
      <c r="M801" s="89"/>
      <c r="N801" s="89"/>
      <c r="O801" s="89"/>
      <c r="P801" s="89"/>
      <c r="Q801" s="89"/>
      <c r="R801" s="89"/>
      <c r="S801" s="89"/>
      <c r="T801" s="89"/>
      <c r="U801" s="89"/>
      <c r="V801" s="89"/>
      <c r="W801" s="89"/>
      <c r="X801" s="89"/>
      <c r="Y801" s="89"/>
      <c r="Z801" s="89"/>
      <c r="AA801" s="89"/>
    </row>
    <row r="802" ht="14.25" customHeight="1">
      <c r="A802" s="143"/>
      <c r="B802" s="143"/>
      <c r="C802" s="125"/>
      <c r="D802" s="126"/>
      <c r="E802" s="144"/>
      <c r="F802" s="145"/>
      <c r="G802" s="183"/>
      <c r="H802" s="140"/>
      <c r="I802" s="183"/>
      <c r="J802" s="131"/>
      <c r="K802" s="89"/>
      <c r="L802" s="89"/>
      <c r="M802" s="89"/>
      <c r="N802" s="89"/>
      <c r="O802" s="89"/>
      <c r="P802" s="89"/>
      <c r="Q802" s="89"/>
      <c r="R802" s="89"/>
      <c r="S802" s="89"/>
      <c r="T802" s="89"/>
      <c r="U802" s="89"/>
      <c r="V802" s="89"/>
      <c r="W802" s="89"/>
      <c r="X802" s="89"/>
      <c r="Y802" s="89"/>
      <c r="Z802" s="89"/>
      <c r="AA802" s="89"/>
    </row>
    <row r="803" ht="14.25" customHeight="1">
      <c r="A803" s="143"/>
      <c r="B803" s="143"/>
      <c r="C803" s="125"/>
      <c r="D803" s="126"/>
      <c r="E803" s="144"/>
      <c r="F803" s="145"/>
      <c r="G803" s="183"/>
      <c r="H803" s="140"/>
      <c r="I803" s="183"/>
      <c r="J803" s="131"/>
      <c r="K803" s="89"/>
      <c r="L803" s="89"/>
      <c r="M803" s="89"/>
      <c r="N803" s="89"/>
      <c r="O803" s="89"/>
      <c r="P803" s="89"/>
      <c r="Q803" s="89"/>
      <c r="R803" s="89"/>
      <c r="S803" s="89"/>
      <c r="T803" s="89"/>
      <c r="U803" s="89"/>
      <c r="V803" s="89"/>
      <c r="W803" s="89"/>
      <c r="X803" s="89"/>
      <c r="Y803" s="89"/>
      <c r="Z803" s="89"/>
      <c r="AA803" s="89"/>
    </row>
    <row r="804" ht="14.25" customHeight="1">
      <c r="A804" s="143"/>
      <c r="B804" s="143"/>
      <c r="C804" s="125"/>
      <c r="D804" s="126"/>
      <c r="E804" s="144"/>
      <c r="F804" s="145"/>
      <c r="G804" s="183"/>
      <c r="H804" s="140"/>
      <c r="I804" s="183"/>
      <c r="J804" s="131"/>
      <c r="K804" s="89"/>
      <c r="L804" s="89"/>
      <c r="M804" s="89"/>
      <c r="N804" s="89"/>
      <c r="O804" s="89"/>
      <c r="P804" s="89"/>
      <c r="Q804" s="89"/>
      <c r="R804" s="89"/>
      <c r="S804" s="89"/>
      <c r="T804" s="89"/>
      <c r="U804" s="89"/>
      <c r="V804" s="89"/>
      <c r="W804" s="89"/>
      <c r="X804" s="89"/>
      <c r="Y804" s="89"/>
      <c r="Z804" s="89"/>
      <c r="AA804" s="89"/>
    </row>
    <row r="805" ht="14.25" customHeight="1">
      <c r="A805" s="143"/>
      <c r="B805" s="143"/>
      <c r="C805" s="125"/>
      <c r="D805" s="126"/>
      <c r="E805" s="144"/>
      <c r="F805" s="145"/>
      <c r="G805" s="183"/>
      <c r="H805" s="140"/>
      <c r="I805" s="183"/>
      <c r="J805" s="131"/>
      <c r="K805" s="89"/>
      <c r="L805" s="89"/>
      <c r="M805" s="89"/>
      <c r="N805" s="89"/>
      <c r="O805" s="89"/>
      <c r="P805" s="89"/>
      <c r="Q805" s="89"/>
      <c r="R805" s="89"/>
      <c r="S805" s="89"/>
      <c r="T805" s="89"/>
      <c r="U805" s="89"/>
      <c r="V805" s="89"/>
      <c r="W805" s="89"/>
      <c r="X805" s="89"/>
      <c r="Y805" s="89"/>
      <c r="Z805" s="89"/>
      <c r="AA805" s="89"/>
    </row>
    <row r="806" ht="14.25" customHeight="1">
      <c r="A806" s="143"/>
      <c r="B806" s="143"/>
      <c r="C806" s="125"/>
      <c r="D806" s="126"/>
      <c r="E806" s="144"/>
      <c r="F806" s="145"/>
      <c r="G806" s="183"/>
      <c r="H806" s="140"/>
      <c r="I806" s="183"/>
      <c r="J806" s="131"/>
      <c r="K806" s="89"/>
      <c r="L806" s="89"/>
      <c r="M806" s="89"/>
      <c r="N806" s="89"/>
      <c r="O806" s="89"/>
      <c r="P806" s="89"/>
      <c r="Q806" s="89"/>
      <c r="R806" s="89"/>
      <c r="S806" s="89"/>
      <c r="T806" s="89"/>
      <c r="U806" s="89"/>
      <c r="V806" s="89"/>
      <c r="W806" s="89"/>
      <c r="X806" s="89"/>
      <c r="Y806" s="89"/>
      <c r="Z806" s="89"/>
      <c r="AA806" s="89"/>
    </row>
    <row r="807" ht="14.25" customHeight="1">
      <c r="A807" s="143"/>
      <c r="B807" s="143"/>
      <c r="C807" s="125"/>
      <c r="D807" s="126"/>
      <c r="E807" s="144"/>
      <c r="F807" s="145"/>
      <c r="G807" s="183"/>
      <c r="H807" s="140"/>
      <c r="I807" s="183"/>
      <c r="J807" s="131"/>
      <c r="K807" s="89"/>
      <c r="L807" s="89"/>
      <c r="M807" s="89"/>
      <c r="N807" s="89"/>
      <c r="O807" s="89"/>
      <c r="P807" s="89"/>
      <c r="Q807" s="89"/>
      <c r="R807" s="89"/>
      <c r="S807" s="89"/>
      <c r="T807" s="89"/>
      <c r="U807" s="89"/>
      <c r="V807" s="89"/>
      <c r="W807" s="89"/>
      <c r="X807" s="89"/>
      <c r="Y807" s="89"/>
      <c r="Z807" s="89"/>
      <c r="AA807" s="89"/>
    </row>
    <row r="808" ht="14.25" customHeight="1">
      <c r="A808" s="143"/>
      <c r="B808" s="143"/>
      <c r="C808" s="125"/>
      <c r="D808" s="126"/>
      <c r="E808" s="144"/>
      <c r="F808" s="145"/>
      <c r="G808" s="183"/>
      <c r="H808" s="140"/>
      <c r="I808" s="183"/>
      <c r="J808" s="131"/>
      <c r="K808" s="89"/>
      <c r="L808" s="89"/>
      <c r="M808" s="89"/>
      <c r="N808" s="89"/>
      <c r="O808" s="89"/>
      <c r="P808" s="89"/>
      <c r="Q808" s="89"/>
      <c r="R808" s="89"/>
      <c r="S808" s="89"/>
      <c r="T808" s="89"/>
      <c r="U808" s="89"/>
      <c r="V808" s="89"/>
      <c r="W808" s="89"/>
      <c r="X808" s="89"/>
      <c r="Y808" s="89"/>
      <c r="Z808" s="89"/>
      <c r="AA808" s="89"/>
    </row>
    <row r="809" ht="14.25" customHeight="1">
      <c r="A809" s="143"/>
      <c r="B809" s="143"/>
      <c r="C809" s="125"/>
      <c r="D809" s="126"/>
      <c r="E809" s="144"/>
      <c r="F809" s="145"/>
      <c r="G809" s="183"/>
      <c r="H809" s="140"/>
      <c r="I809" s="183"/>
      <c r="J809" s="131"/>
      <c r="K809" s="89"/>
      <c r="L809" s="89"/>
      <c r="M809" s="89"/>
      <c r="N809" s="89"/>
      <c r="O809" s="89"/>
      <c r="P809" s="89"/>
      <c r="Q809" s="89"/>
      <c r="R809" s="89"/>
      <c r="S809" s="89"/>
      <c r="T809" s="89"/>
      <c r="U809" s="89"/>
      <c r="V809" s="89"/>
      <c r="W809" s="89"/>
      <c r="X809" s="89"/>
      <c r="Y809" s="89"/>
      <c r="Z809" s="89"/>
      <c r="AA809" s="89"/>
    </row>
    <row r="810" ht="14.25" customHeight="1">
      <c r="A810" s="151"/>
      <c r="B810" s="151"/>
      <c r="C810" s="125"/>
      <c r="D810" s="126"/>
      <c r="E810" s="144"/>
      <c r="F810" s="145"/>
      <c r="G810" s="183"/>
      <c r="H810" s="140"/>
      <c r="I810" s="183"/>
      <c r="J810" s="131"/>
      <c r="K810" s="89"/>
      <c r="L810" s="89"/>
      <c r="M810" s="89"/>
      <c r="N810" s="89"/>
      <c r="O810" s="89"/>
      <c r="P810" s="89"/>
      <c r="Q810" s="89"/>
      <c r="R810" s="89"/>
      <c r="S810" s="89"/>
      <c r="T810" s="89"/>
      <c r="U810" s="89"/>
      <c r="V810" s="89"/>
      <c r="W810" s="89"/>
      <c r="X810" s="89"/>
      <c r="Y810" s="89"/>
      <c r="Z810" s="89"/>
      <c r="AA810" s="89"/>
    </row>
    <row r="811" ht="14.25" customHeight="1">
      <c r="A811" s="143"/>
      <c r="B811" s="143"/>
      <c r="C811" s="125"/>
      <c r="D811" s="126"/>
      <c r="E811" s="144"/>
      <c r="F811" s="145"/>
      <c r="G811" s="183"/>
      <c r="H811" s="140"/>
      <c r="I811" s="183"/>
      <c r="J811" s="131"/>
      <c r="K811" s="89"/>
      <c r="L811" s="89"/>
      <c r="M811" s="89"/>
      <c r="N811" s="89"/>
      <c r="O811" s="89"/>
      <c r="P811" s="89"/>
      <c r="Q811" s="89"/>
      <c r="R811" s="89"/>
      <c r="S811" s="89"/>
      <c r="T811" s="89"/>
      <c r="U811" s="89"/>
      <c r="V811" s="89"/>
      <c r="W811" s="89"/>
      <c r="X811" s="89"/>
      <c r="Y811" s="89"/>
      <c r="Z811" s="89"/>
      <c r="AA811" s="89"/>
    </row>
    <row r="812" ht="14.25" customHeight="1">
      <c r="A812" s="143"/>
      <c r="B812" s="143"/>
      <c r="C812" s="125"/>
      <c r="D812" s="126"/>
      <c r="E812" s="144"/>
      <c r="F812" s="145"/>
      <c r="G812" s="183"/>
      <c r="H812" s="140"/>
      <c r="I812" s="183"/>
      <c r="J812" s="131"/>
      <c r="K812" s="89"/>
      <c r="L812" s="89"/>
      <c r="M812" s="89"/>
      <c r="N812" s="89"/>
      <c r="O812" s="89"/>
      <c r="P812" s="89"/>
      <c r="Q812" s="89"/>
      <c r="R812" s="89"/>
      <c r="S812" s="89"/>
      <c r="T812" s="89"/>
      <c r="U812" s="89"/>
      <c r="V812" s="89"/>
      <c r="W812" s="89"/>
      <c r="X812" s="89"/>
      <c r="Y812" s="89"/>
      <c r="Z812" s="89"/>
      <c r="AA812" s="89"/>
    </row>
    <row r="813" ht="14.25" customHeight="1">
      <c r="A813" s="143"/>
      <c r="B813" s="143"/>
      <c r="C813" s="125"/>
      <c r="D813" s="126"/>
      <c r="E813" s="144"/>
      <c r="F813" s="145"/>
      <c r="G813" s="183"/>
      <c r="H813" s="140"/>
      <c r="I813" s="183"/>
      <c r="J813" s="131"/>
      <c r="K813" s="89"/>
      <c r="L813" s="89"/>
      <c r="M813" s="89"/>
      <c r="N813" s="89"/>
      <c r="O813" s="89"/>
      <c r="P813" s="89"/>
      <c r="Q813" s="89"/>
      <c r="R813" s="89"/>
      <c r="S813" s="89"/>
      <c r="T813" s="89"/>
      <c r="U813" s="89"/>
      <c r="V813" s="89"/>
      <c r="W813" s="89"/>
      <c r="X813" s="89"/>
      <c r="Y813" s="89"/>
      <c r="Z813" s="89"/>
      <c r="AA813" s="89"/>
    </row>
    <row r="814" ht="14.25" customHeight="1">
      <c r="A814" s="143"/>
      <c r="B814" s="143"/>
      <c r="C814" s="125"/>
      <c r="D814" s="126"/>
      <c r="E814" s="144"/>
      <c r="F814" s="145"/>
      <c r="G814" s="183"/>
      <c r="H814" s="140"/>
      <c r="I814" s="183"/>
      <c r="J814" s="131"/>
      <c r="K814" s="89"/>
      <c r="L814" s="89"/>
      <c r="M814" s="89"/>
      <c r="N814" s="89"/>
      <c r="O814" s="89"/>
      <c r="P814" s="89"/>
      <c r="Q814" s="89"/>
      <c r="R814" s="89"/>
      <c r="S814" s="89"/>
      <c r="T814" s="89"/>
      <c r="U814" s="89"/>
      <c r="V814" s="89"/>
      <c r="W814" s="89"/>
      <c r="X814" s="89"/>
      <c r="Y814" s="89"/>
      <c r="Z814" s="89"/>
      <c r="AA814" s="89"/>
    </row>
    <row r="815" ht="14.25" customHeight="1">
      <c r="A815" s="143"/>
      <c r="B815" s="143"/>
      <c r="C815" s="125"/>
      <c r="D815" s="126"/>
      <c r="E815" s="144"/>
      <c r="F815" s="145"/>
      <c r="G815" s="183"/>
      <c r="H815" s="140"/>
      <c r="I815" s="183"/>
      <c r="J815" s="131"/>
      <c r="K815" s="89"/>
      <c r="L815" s="89"/>
      <c r="M815" s="89"/>
      <c r="N815" s="89"/>
      <c r="O815" s="89"/>
      <c r="P815" s="89"/>
      <c r="Q815" s="89"/>
      <c r="R815" s="89"/>
      <c r="S815" s="89"/>
      <c r="T815" s="89"/>
      <c r="U815" s="89"/>
      <c r="V815" s="89"/>
      <c r="W815" s="89"/>
      <c r="X815" s="89"/>
      <c r="Y815" s="89"/>
      <c r="Z815" s="89"/>
      <c r="AA815" s="89"/>
    </row>
    <row r="816" ht="14.25" customHeight="1">
      <c r="A816" s="143"/>
      <c r="B816" s="143"/>
      <c r="C816" s="125"/>
      <c r="D816" s="126"/>
      <c r="E816" s="144"/>
      <c r="F816" s="145"/>
      <c r="G816" s="183"/>
      <c r="H816" s="140"/>
      <c r="I816" s="183"/>
      <c r="J816" s="131"/>
      <c r="K816" s="89"/>
      <c r="L816" s="89"/>
      <c r="M816" s="89"/>
      <c r="N816" s="89"/>
      <c r="O816" s="89"/>
      <c r="P816" s="89"/>
      <c r="Q816" s="89"/>
      <c r="R816" s="89"/>
      <c r="S816" s="89"/>
      <c r="T816" s="89"/>
      <c r="U816" s="89"/>
      <c r="V816" s="89"/>
      <c r="W816" s="89"/>
      <c r="X816" s="89"/>
      <c r="Y816" s="89"/>
      <c r="Z816" s="89"/>
      <c r="AA816" s="89"/>
    </row>
    <row r="817" ht="14.25" customHeight="1">
      <c r="A817" s="143"/>
      <c r="B817" s="143"/>
      <c r="C817" s="125"/>
      <c r="D817" s="126"/>
      <c r="E817" s="144"/>
      <c r="F817" s="145"/>
      <c r="G817" s="183"/>
      <c r="H817" s="140"/>
      <c r="I817" s="183"/>
      <c r="J817" s="131"/>
      <c r="K817" s="89"/>
      <c r="L817" s="89"/>
      <c r="M817" s="89"/>
      <c r="N817" s="89"/>
      <c r="O817" s="89"/>
      <c r="P817" s="89"/>
      <c r="Q817" s="89"/>
      <c r="R817" s="89"/>
      <c r="S817" s="89"/>
      <c r="T817" s="89"/>
      <c r="U817" s="89"/>
      <c r="V817" s="89"/>
      <c r="W817" s="89"/>
      <c r="X817" s="89"/>
      <c r="Y817" s="89"/>
      <c r="Z817" s="89"/>
      <c r="AA817" s="89"/>
    </row>
    <row r="818" ht="14.25" customHeight="1">
      <c r="A818" s="143"/>
      <c r="B818" s="143"/>
      <c r="C818" s="125"/>
      <c r="D818" s="126"/>
      <c r="E818" s="144"/>
      <c r="F818" s="145"/>
      <c r="G818" s="183"/>
      <c r="H818" s="140"/>
      <c r="I818" s="183"/>
      <c r="J818" s="131"/>
      <c r="K818" s="89"/>
      <c r="L818" s="89"/>
      <c r="M818" s="89"/>
      <c r="N818" s="89"/>
      <c r="O818" s="89"/>
      <c r="P818" s="89"/>
      <c r="Q818" s="89"/>
      <c r="R818" s="89"/>
      <c r="S818" s="89"/>
      <c r="T818" s="89"/>
      <c r="U818" s="89"/>
      <c r="V818" s="89"/>
      <c r="W818" s="89"/>
      <c r="X818" s="89"/>
      <c r="Y818" s="89"/>
      <c r="Z818" s="89"/>
      <c r="AA818" s="89"/>
    </row>
    <row r="819" ht="14.25" customHeight="1">
      <c r="A819" s="143"/>
      <c r="B819" s="143"/>
      <c r="C819" s="125"/>
      <c r="D819" s="126"/>
      <c r="E819" s="144"/>
      <c r="F819" s="145"/>
      <c r="G819" s="183"/>
      <c r="H819" s="140"/>
      <c r="I819" s="183"/>
      <c r="J819" s="131"/>
      <c r="K819" s="89"/>
      <c r="L819" s="89"/>
      <c r="M819" s="89"/>
      <c r="N819" s="89"/>
      <c r="O819" s="89"/>
      <c r="P819" s="89"/>
      <c r="Q819" s="89"/>
      <c r="R819" s="89"/>
      <c r="S819" s="89"/>
      <c r="T819" s="89"/>
      <c r="U819" s="89"/>
      <c r="V819" s="89"/>
      <c r="W819" s="89"/>
      <c r="X819" s="89"/>
      <c r="Y819" s="89"/>
      <c r="Z819" s="89"/>
      <c r="AA819" s="89"/>
    </row>
    <row r="820" ht="14.25" customHeight="1">
      <c r="A820" s="151"/>
      <c r="B820" s="151"/>
      <c r="C820" s="125"/>
      <c r="D820" s="126"/>
      <c r="E820" s="144"/>
      <c r="F820" s="145"/>
      <c r="G820" s="183"/>
      <c r="H820" s="140"/>
      <c r="I820" s="183"/>
      <c r="J820" s="131"/>
      <c r="K820" s="89"/>
      <c r="L820" s="89"/>
      <c r="M820" s="89"/>
      <c r="N820" s="89"/>
      <c r="O820" s="89"/>
      <c r="P820" s="89"/>
      <c r="Q820" s="89"/>
      <c r="R820" s="89"/>
      <c r="S820" s="89"/>
      <c r="T820" s="89"/>
      <c r="U820" s="89"/>
      <c r="V820" s="89"/>
      <c r="W820" s="89"/>
      <c r="X820" s="89"/>
      <c r="Y820" s="89"/>
      <c r="Z820" s="89"/>
      <c r="AA820" s="89"/>
    </row>
    <row r="821" ht="14.25" customHeight="1">
      <c r="A821" s="143"/>
      <c r="B821" s="143"/>
      <c r="C821" s="125"/>
      <c r="D821" s="126"/>
      <c r="E821" s="144"/>
      <c r="F821" s="145"/>
      <c r="G821" s="183"/>
      <c r="H821" s="140"/>
      <c r="I821" s="183"/>
      <c r="J821" s="131"/>
      <c r="K821" s="89"/>
      <c r="L821" s="89"/>
      <c r="M821" s="89"/>
      <c r="N821" s="89"/>
      <c r="O821" s="89"/>
      <c r="P821" s="89"/>
      <c r="Q821" s="89"/>
      <c r="R821" s="89"/>
      <c r="S821" s="89"/>
      <c r="T821" s="89"/>
      <c r="U821" s="89"/>
      <c r="V821" s="89"/>
      <c r="W821" s="89"/>
      <c r="X821" s="89"/>
      <c r="Y821" s="89"/>
      <c r="Z821" s="89"/>
      <c r="AA821" s="89"/>
    </row>
    <row r="822" ht="14.25" customHeight="1">
      <c r="A822" s="143"/>
      <c r="B822" s="143"/>
      <c r="C822" s="125"/>
      <c r="D822" s="126"/>
      <c r="E822" s="144"/>
      <c r="F822" s="145"/>
      <c r="G822" s="183"/>
      <c r="H822" s="140"/>
      <c r="I822" s="183"/>
      <c r="J822" s="131"/>
      <c r="K822" s="89"/>
      <c r="L822" s="89"/>
      <c r="M822" s="89"/>
      <c r="N822" s="89"/>
      <c r="O822" s="89"/>
      <c r="P822" s="89"/>
      <c r="Q822" s="89"/>
      <c r="R822" s="89"/>
      <c r="S822" s="89"/>
      <c r="T822" s="89"/>
      <c r="U822" s="89"/>
      <c r="V822" s="89"/>
      <c r="W822" s="89"/>
      <c r="X822" s="89"/>
      <c r="Y822" s="89"/>
      <c r="Z822" s="89"/>
      <c r="AA822" s="89"/>
    </row>
    <row r="823" ht="14.25" customHeight="1">
      <c r="A823" s="143"/>
      <c r="B823" s="143"/>
      <c r="C823" s="125"/>
      <c r="D823" s="126"/>
      <c r="E823" s="144"/>
      <c r="F823" s="145"/>
      <c r="G823" s="183"/>
      <c r="H823" s="140"/>
      <c r="I823" s="183"/>
      <c r="J823" s="131"/>
      <c r="K823" s="89"/>
      <c r="L823" s="89"/>
      <c r="M823" s="89"/>
      <c r="N823" s="89"/>
      <c r="O823" s="89"/>
      <c r="P823" s="89"/>
      <c r="Q823" s="89"/>
      <c r="R823" s="89"/>
      <c r="S823" s="89"/>
      <c r="T823" s="89"/>
      <c r="U823" s="89"/>
      <c r="V823" s="89"/>
      <c r="W823" s="89"/>
      <c r="X823" s="89"/>
      <c r="Y823" s="89"/>
      <c r="Z823" s="89"/>
      <c r="AA823" s="89"/>
    </row>
    <row r="824" ht="14.25" customHeight="1">
      <c r="A824" s="143"/>
      <c r="B824" s="143"/>
      <c r="C824" s="125"/>
      <c r="D824" s="126"/>
      <c r="E824" s="144"/>
      <c r="F824" s="145"/>
      <c r="G824" s="183"/>
      <c r="H824" s="140"/>
      <c r="I824" s="183"/>
      <c r="J824" s="131"/>
      <c r="K824" s="89"/>
      <c r="L824" s="89"/>
      <c r="M824" s="89"/>
      <c r="N824" s="89"/>
      <c r="O824" s="89"/>
      <c r="P824" s="89"/>
      <c r="Q824" s="89"/>
      <c r="R824" s="89"/>
      <c r="S824" s="89"/>
      <c r="T824" s="89"/>
      <c r="U824" s="89"/>
      <c r="V824" s="89"/>
      <c r="W824" s="89"/>
      <c r="X824" s="89"/>
      <c r="Y824" s="89"/>
      <c r="Z824" s="89"/>
      <c r="AA824" s="89"/>
    </row>
    <row r="825" ht="14.25" customHeight="1">
      <c r="A825" s="143"/>
      <c r="B825" s="143"/>
      <c r="C825" s="125"/>
      <c r="D825" s="126"/>
      <c r="E825" s="144"/>
      <c r="F825" s="145"/>
      <c r="G825" s="183"/>
      <c r="H825" s="140"/>
      <c r="I825" s="183"/>
      <c r="J825" s="131"/>
      <c r="K825" s="89"/>
      <c r="L825" s="89"/>
      <c r="M825" s="89"/>
      <c r="N825" s="89"/>
      <c r="O825" s="89"/>
      <c r="P825" s="89"/>
      <c r="Q825" s="89"/>
      <c r="R825" s="89"/>
      <c r="S825" s="89"/>
      <c r="T825" s="89"/>
      <c r="U825" s="89"/>
      <c r="V825" s="89"/>
      <c r="W825" s="89"/>
      <c r="X825" s="89"/>
      <c r="Y825" s="89"/>
      <c r="Z825" s="89"/>
      <c r="AA825" s="89"/>
    </row>
    <row r="826" ht="14.25" customHeight="1">
      <c r="A826" s="143"/>
      <c r="B826" s="143"/>
      <c r="C826" s="125"/>
      <c r="D826" s="126"/>
      <c r="E826" s="144"/>
      <c r="F826" s="145"/>
      <c r="G826" s="183"/>
      <c r="H826" s="140"/>
      <c r="I826" s="183"/>
      <c r="J826" s="131"/>
      <c r="K826" s="89"/>
      <c r="L826" s="89"/>
      <c r="M826" s="89"/>
      <c r="N826" s="89"/>
      <c r="O826" s="89"/>
      <c r="P826" s="89"/>
      <c r="Q826" s="89"/>
      <c r="R826" s="89"/>
      <c r="S826" s="89"/>
      <c r="T826" s="89"/>
      <c r="U826" s="89"/>
      <c r="V826" s="89"/>
      <c r="W826" s="89"/>
      <c r="X826" s="89"/>
      <c r="Y826" s="89"/>
      <c r="Z826" s="89"/>
      <c r="AA826" s="89"/>
    </row>
    <row r="827" ht="14.25" customHeight="1">
      <c r="A827" s="143"/>
      <c r="B827" s="143"/>
      <c r="C827" s="125"/>
      <c r="D827" s="126"/>
      <c r="E827" s="144"/>
      <c r="F827" s="145"/>
      <c r="G827" s="183"/>
      <c r="H827" s="140"/>
      <c r="I827" s="183"/>
      <c r="J827" s="131"/>
      <c r="K827" s="89"/>
      <c r="L827" s="89"/>
      <c r="M827" s="89"/>
      <c r="N827" s="89"/>
      <c r="O827" s="89"/>
      <c r="P827" s="89"/>
      <c r="Q827" s="89"/>
      <c r="R827" s="89"/>
      <c r="S827" s="89"/>
      <c r="T827" s="89"/>
      <c r="U827" s="89"/>
      <c r="V827" s="89"/>
      <c r="W827" s="89"/>
      <c r="X827" s="89"/>
      <c r="Y827" s="89"/>
      <c r="Z827" s="89"/>
      <c r="AA827" s="89"/>
    </row>
    <row r="828" ht="14.25" customHeight="1">
      <c r="A828" s="143"/>
      <c r="B828" s="143"/>
      <c r="C828" s="125"/>
      <c r="D828" s="126"/>
      <c r="E828" s="144"/>
      <c r="F828" s="145"/>
      <c r="G828" s="183"/>
      <c r="H828" s="140"/>
      <c r="I828" s="183"/>
      <c r="J828" s="131"/>
      <c r="K828" s="89"/>
      <c r="L828" s="89"/>
      <c r="M828" s="89"/>
      <c r="N828" s="89"/>
      <c r="O828" s="89"/>
      <c r="P828" s="89"/>
      <c r="Q828" s="89"/>
      <c r="R828" s="89"/>
      <c r="S828" s="89"/>
      <c r="T828" s="89"/>
      <c r="U828" s="89"/>
      <c r="V828" s="89"/>
      <c r="W828" s="89"/>
      <c r="X828" s="89"/>
      <c r="Y828" s="89"/>
      <c r="Z828" s="89"/>
      <c r="AA828" s="89"/>
    </row>
    <row r="829" ht="14.25" customHeight="1">
      <c r="A829" s="143"/>
      <c r="B829" s="143"/>
      <c r="C829" s="125"/>
      <c r="D829" s="126"/>
      <c r="E829" s="144"/>
      <c r="F829" s="145"/>
      <c r="G829" s="183"/>
      <c r="H829" s="140"/>
      <c r="I829" s="183"/>
      <c r="J829" s="131"/>
      <c r="K829" s="89"/>
      <c r="L829" s="89"/>
      <c r="M829" s="89"/>
      <c r="N829" s="89"/>
      <c r="O829" s="89"/>
      <c r="P829" s="89"/>
      <c r="Q829" s="89"/>
      <c r="R829" s="89"/>
      <c r="S829" s="89"/>
      <c r="T829" s="89"/>
      <c r="U829" s="89"/>
      <c r="V829" s="89"/>
      <c r="W829" s="89"/>
      <c r="X829" s="89"/>
      <c r="Y829" s="89"/>
      <c r="Z829" s="89"/>
      <c r="AA829" s="89"/>
    </row>
    <row r="830" ht="14.25" customHeight="1">
      <c r="A830" s="151"/>
      <c r="B830" s="151"/>
      <c r="C830" s="125"/>
      <c r="D830" s="126"/>
      <c r="E830" s="144"/>
      <c r="F830" s="145"/>
      <c r="G830" s="183"/>
      <c r="H830" s="140"/>
      <c r="I830" s="183"/>
      <c r="J830" s="131"/>
      <c r="K830" s="89"/>
      <c r="L830" s="89"/>
      <c r="M830" s="89"/>
      <c r="N830" s="89"/>
      <c r="O830" s="89"/>
      <c r="P830" s="89"/>
      <c r="Q830" s="89"/>
      <c r="R830" s="89"/>
      <c r="S830" s="89"/>
      <c r="T830" s="89"/>
      <c r="U830" s="89"/>
      <c r="V830" s="89"/>
      <c r="W830" s="89"/>
      <c r="X830" s="89"/>
      <c r="Y830" s="89"/>
      <c r="Z830" s="89"/>
      <c r="AA830" s="89"/>
    </row>
    <row r="831" ht="14.25" customHeight="1">
      <c r="A831" s="143"/>
      <c r="B831" s="143"/>
      <c r="C831" s="125"/>
      <c r="D831" s="126"/>
      <c r="E831" s="144"/>
      <c r="F831" s="145"/>
      <c r="G831" s="183"/>
      <c r="H831" s="140"/>
      <c r="I831" s="183"/>
      <c r="J831" s="131"/>
      <c r="K831" s="89"/>
      <c r="L831" s="89"/>
      <c r="M831" s="89"/>
      <c r="N831" s="89"/>
      <c r="O831" s="89"/>
      <c r="P831" s="89"/>
      <c r="Q831" s="89"/>
      <c r="R831" s="89"/>
      <c r="S831" s="89"/>
      <c r="T831" s="89"/>
      <c r="U831" s="89"/>
      <c r="V831" s="89"/>
      <c r="W831" s="89"/>
      <c r="X831" s="89"/>
      <c r="Y831" s="89"/>
      <c r="Z831" s="89"/>
      <c r="AA831" s="89"/>
    </row>
    <row r="832" ht="14.25" customHeight="1">
      <c r="A832" s="143"/>
      <c r="B832" s="143"/>
      <c r="C832" s="125"/>
      <c r="D832" s="126"/>
      <c r="E832" s="144"/>
      <c r="F832" s="145"/>
      <c r="G832" s="183"/>
      <c r="H832" s="140"/>
      <c r="I832" s="183"/>
      <c r="J832" s="131"/>
      <c r="K832" s="89"/>
      <c r="L832" s="89"/>
      <c r="M832" s="89"/>
      <c r="N832" s="89"/>
      <c r="O832" s="89"/>
      <c r="P832" s="89"/>
      <c r="Q832" s="89"/>
      <c r="R832" s="89"/>
      <c r="S832" s="89"/>
      <c r="T832" s="89"/>
      <c r="U832" s="89"/>
      <c r="V832" s="89"/>
      <c r="W832" s="89"/>
      <c r="X832" s="89"/>
      <c r="Y832" s="89"/>
      <c r="Z832" s="89"/>
      <c r="AA832" s="89"/>
    </row>
    <row r="833" ht="14.25" customHeight="1">
      <c r="A833" s="143"/>
      <c r="B833" s="143"/>
      <c r="C833" s="125"/>
      <c r="D833" s="126"/>
      <c r="E833" s="144"/>
      <c r="F833" s="145"/>
      <c r="G833" s="183"/>
      <c r="H833" s="140"/>
      <c r="I833" s="183"/>
      <c r="J833" s="131"/>
      <c r="K833" s="89"/>
      <c r="L833" s="89"/>
      <c r="M833" s="89"/>
      <c r="N833" s="89"/>
      <c r="O833" s="89"/>
      <c r="P833" s="89"/>
      <c r="Q833" s="89"/>
      <c r="R833" s="89"/>
      <c r="S833" s="89"/>
      <c r="T833" s="89"/>
      <c r="U833" s="89"/>
      <c r="V833" s="89"/>
      <c r="W833" s="89"/>
      <c r="X833" s="89"/>
      <c r="Y833" s="89"/>
      <c r="Z833" s="89"/>
      <c r="AA833" s="89"/>
    </row>
    <row r="834" ht="14.25" customHeight="1">
      <c r="A834" s="143"/>
      <c r="B834" s="143"/>
      <c r="C834" s="125"/>
      <c r="D834" s="126"/>
      <c r="E834" s="144"/>
      <c r="F834" s="145"/>
      <c r="G834" s="183"/>
      <c r="H834" s="140"/>
      <c r="I834" s="183"/>
      <c r="J834" s="131"/>
      <c r="K834" s="89"/>
      <c r="L834" s="89"/>
      <c r="M834" s="89"/>
      <c r="N834" s="89"/>
      <c r="O834" s="89"/>
      <c r="P834" s="89"/>
      <c r="Q834" s="89"/>
      <c r="R834" s="89"/>
      <c r="S834" s="89"/>
      <c r="T834" s="89"/>
      <c r="U834" s="89"/>
      <c r="V834" s="89"/>
      <c r="W834" s="89"/>
      <c r="X834" s="89"/>
      <c r="Y834" s="89"/>
      <c r="Z834" s="89"/>
      <c r="AA834" s="89"/>
    </row>
    <row r="835" ht="14.25" customHeight="1">
      <c r="A835" s="143"/>
      <c r="B835" s="143"/>
      <c r="C835" s="125"/>
      <c r="D835" s="126"/>
      <c r="E835" s="144"/>
      <c r="F835" s="145"/>
      <c r="G835" s="183"/>
      <c r="H835" s="140"/>
      <c r="I835" s="183"/>
      <c r="J835" s="131"/>
      <c r="K835" s="89"/>
      <c r="L835" s="89"/>
      <c r="M835" s="89"/>
      <c r="N835" s="89"/>
      <c r="O835" s="89"/>
      <c r="P835" s="89"/>
      <c r="Q835" s="89"/>
      <c r="R835" s="89"/>
      <c r="S835" s="89"/>
      <c r="T835" s="89"/>
      <c r="U835" s="89"/>
      <c r="V835" s="89"/>
      <c r="W835" s="89"/>
      <c r="X835" s="89"/>
      <c r="Y835" s="89"/>
      <c r="Z835" s="89"/>
      <c r="AA835" s="89"/>
    </row>
    <row r="836" ht="14.25" customHeight="1">
      <c r="A836" s="143"/>
      <c r="B836" s="143"/>
      <c r="C836" s="125"/>
      <c r="D836" s="126"/>
      <c r="E836" s="144"/>
      <c r="F836" s="145"/>
      <c r="G836" s="183"/>
      <c r="H836" s="140"/>
      <c r="I836" s="183"/>
      <c r="J836" s="131"/>
      <c r="K836" s="89"/>
      <c r="L836" s="89"/>
      <c r="M836" s="89"/>
      <c r="N836" s="89"/>
      <c r="O836" s="89"/>
      <c r="P836" s="89"/>
      <c r="Q836" s="89"/>
      <c r="R836" s="89"/>
      <c r="S836" s="89"/>
      <c r="T836" s="89"/>
      <c r="U836" s="89"/>
      <c r="V836" s="89"/>
      <c r="W836" s="89"/>
      <c r="X836" s="89"/>
      <c r="Y836" s="89"/>
      <c r="Z836" s="89"/>
      <c r="AA836" s="89"/>
    </row>
    <row r="837" ht="14.25" customHeight="1">
      <c r="A837" s="143"/>
      <c r="B837" s="143"/>
      <c r="C837" s="125"/>
      <c r="D837" s="126"/>
      <c r="E837" s="144"/>
      <c r="F837" s="145"/>
      <c r="G837" s="183"/>
      <c r="H837" s="140"/>
      <c r="I837" s="183"/>
      <c r="J837" s="131"/>
      <c r="K837" s="89"/>
      <c r="L837" s="89"/>
      <c r="M837" s="89"/>
      <c r="N837" s="89"/>
      <c r="O837" s="89"/>
      <c r="P837" s="89"/>
      <c r="Q837" s="89"/>
      <c r="R837" s="89"/>
      <c r="S837" s="89"/>
      <c r="T837" s="89"/>
      <c r="U837" s="89"/>
      <c r="V837" s="89"/>
      <c r="W837" s="89"/>
      <c r="X837" s="89"/>
      <c r="Y837" s="89"/>
      <c r="Z837" s="89"/>
      <c r="AA837" s="89"/>
    </row>
    <row r="838" ht="14.25" customHeight="1">
      <c r="A838" s="143"/>
      <c r="B838" s="143"/>
      <c r="C838" s="125"/>
      <c r="D838" s="126"/>
      <c r="E838" s="144"/>
      <c r="F838" s="145"/>
      <c r="G838" s="183"/>
      <c r="H838" s="140"/>
      <c r="I838" s="183"/>
      <c r="J838" s="131"/>
      <c r="K838" s="89"/>
      <c r="L838" s="89"/>
      <c r="M838" s="89"/>
      <c r="N838" s="89"/>
      <c r="O838" s="89"/>
      <c r="P838" s="89"/>
      <c r="Q838" s="89"/>
      <c r="R838" s="89"/>
      <c r="S838" s="89"/>
      <c r="T838" s="89"/>
      <c r="U838" s="89"/>
      <c r="V838" s="89"/>
      <c r="W838" s="89"/>
      <c r="X838" s="89"/>
      <c r="Y838" s="89"/>
      <c r="Z838" s="89"/>
      <c r="AA838" s="89"/>
    </row>
    <row r="839" ht="14.25" customHeight="1">
      <c r="A839" s="143"/>
      <c r="B839" s="143"/>
      <c r="C839" s="125"/>
      <c r="D839" s="126"/>
      <c r="E839" s="144"/>
      <c r="F839" s="145"/>
      <c r="G839" s="183"/>
      <c r="H839" s="140"/>
      <c r="I839" s="183"/>
      <c r="J839" s="131"/>
      <c r="K839" s="89"/>
      <c r="L839" s="89"/>
      <c r="M839" s="89"/>
      <c r="N839" s="89"/>
      <c r="O839" s="89"/>
      <c r="P839" s="89"/>
      <c r="Q839" s="89"/>
      <c r="R839" s="89"/>
      <c r="S839" s="89"/>
      <c r="T839" s="89"/>
      <c r="U839" s="89"/>
      <c r="V839" s="89"/>
      <c r="W839" s="89"/>
      <c r="X839" s="89"/>
      <c r="Y839" s="89"/>
      <c r="Z839" s="89"/>
      <c r="AA839" s="89"/>
    </row>
    <row r="840" ht="14.25" customHeight="1">
      <c r="A840" s="151"/>
      <c r="B840" s="151"/>
      <c r="C840" s="125"/>
      <c r="D840" s="126"/>
      <c r="E840" s="144"/>
      <c r="F840" s="145"/>
      <c r="G840" s="183"/>
      <c r="H840" s="140"/>
      <c r="I840" s="183"/>
      <c r="J840" s="131"/>
      <c r="K840" s="89"/>
      <c r="L840" s="89"/>
      <c r="M840" s="89"/>
      <c r="N840" s="89"/>
      <c r="O840" s="89"/>
      <c r="P840" s="89"/>
      <c r="Q840" s="89"/>
      <c r="R840" s="89"/>
      <c r="S840" s="89"/>
      <c r="T840" s="89"/>
      <c r="U840" s="89"/>
      <c r="V840" s="89"/>
      <c r="W840" s="89"/>
      <c r="X840" s="89"/>
      <c r="Y840" s="89"/>
      <c r="Z840" s="89"/>
      <c r="AA840" s="89"/>
    </row>
    <row r="841" ht="14.25" customHeight="1">
      <c r="A841" s="143"/>
      <c r="B841" s="143"/>
      <c r="C841" s="125"/>
      <c r="D841" s="126"/>
      <c r="E841" s="144"/>
      <c r="F841" s="145"/>
      <c r="G841" s="183"/>
      <c r="H841" s="140"/>
      <c r="I841" s="183"/>
      <c r="J841" s="131"/>
      <c r="K841" s="89"/>
      <c r="L841" s="89"/>
      <c r="M841" s="89"/>
      <c r="N841" s="89"/>
      <c r="O841" s="89"/>
      <c r="P841" s="89"/>
      <c r="Q841" s="89"/>
      <c r="R841" s="89"/>
      <c r="S841" s="89"/>
      <c r="T841" s="89"/>
      <c r="U841" s="89"/>
      <c r="V841" s="89"/>
      <c r="W841" s="89"/>
      <c r="X841" s="89"/>
      <c r="Y841" s="89"/>
      <c r="Z841" s="89"/>
      <c r="AA841" s="89"/>
    </row>
    <row r="842" ht="14.25" customHeight="1">
      <c r="A842" s="143"/>
      <c r="B842" s="143"/>
      <c r="C842" s="125"/>
      <c r="D842" s="126"/>
      <c r="E842" s="144"/>
      <c r="F842" s="145"/>
      <c r="G842" s="183"/>
      <c r="H842" s="140"/>
      <c r="I842" s="183"/>
      <c r="J842" s="131"/>
      <c r="K842" s="89"/>
      <c r="L842" s="89"/>
      <c r="M842" s="89"/>
      <c r="N842" s="89"/>
      <c r="O842" s="89"/>
      <c r="P842" s="89"/>
      <c r="Q842" s="89"/>
      <c r="R842" s="89"/>
      <c r="S842" s="89"/>
      <c r="T842" s="89"/>
      <c r="U842" s="89"/>
      <c r="V842" s="89"/>
      <c r="W842" s="89"/>
      <c r="X842" s="89"/>
      <c r="Y842" s="89"/>
      <c r="Z842" s="89"/>
      <c r="AA842" s="89"/>
    </row>
    <row r="843" ht="14.25" customHeight="1">
      <c r="A843" s="143"/>
      <c r="B843" s="143"/>
      <c r="C843" s="125"/>
      <c r="D843" s="126"/>
      <c r="E843" s="144"/>
      <c r="F843" s="145"/>
      <c r="G843" s="183"/>
      <c r="H843" s="140"/>
      <c r="I843" s="183"/>
      <c r="J843" s="131"/>
      <c r="K843" s="89"/>
      <c r="L843" s="89"/>
      <c r="M843" s="89"/>
      <c r="N843" s="89"/>
      <c r="O843" s="89"/>
      <c r="P843" s="89"/>
      <c r="Q843" s="89"/>
      <c r="R843" s="89"/>
      <c r="S843" s="89"/>
      <c r="T843" s="89"/>
      <c r="U843" s="89"/>
      <c r="V843" s="89"/>
      <c r="W843" s="89"/>
      <c r="X843" s="89"/>
      <c r="Y843" s="89"/>
      <c r="Z843" s="89"/>
      <c r="AA843" s="89"/>
    </row>
    <row r="844" ht="14.25" customHeight="1">
      <c r="A844" s="143"/>
      <c r="B844" s="143"/>
      <c r="C844" s="125"/>
      <c r="D844" s="126"/>
      <c r="E844" s="144"/>
      <c r="F844" s="145"/>
      <c r="G844" s="183"/>
      <c r="H844" s="140"/>
      <c r="I844" s="183"/>
      <c r="J844" s="131"/>
      <c r="K844" s="89"/>
      <c r="L844" s="89"/>
      <c r="M844" s="89"/>
      <c r="N844" s="89"/>
      <c r="O844" s="89"/>
      <c r="P844" s="89"/>
      <c r="Q844" s="89"/>
      <c r="R844" s="89"/>
      <c r="S844" s="89"/>
      <c r="T844" s="89"/>
      <c r="U844" s="89"/>
      <c r="V844" s="89"/>
      <c r="W844" s="89"/>
      <c r="X844" s="89"/>
      <c r="Y844" s="89"/>
      <c r="Z844" s="89"/>
      <c r="AA844" s="89"/>
    </row>
    <row r="845" ht="14.25" customHeight="1">
      <c r="A845" s="143"/>
      <c r="B845" s="143"/>
      <c r="C845" s="125"/>
      <c r="D845" s="126"/>
      <c r="E845" s="144"/>
      <c r="F845" s="145"/>
      <c r="G845" s="183"/>
      <c r="H845" s="140"/>
      <c r="I845" s="183"/>
      <c r="J845" s="131"/>
      <c r="K845" s="89"/>
      <c r="L845" s="89"/>
      <c r="M845" s="89"/>
      <c r="N845" s="89"/>
      <c r="O845" s="89"/>
      <c r="P845" s="89"/>
      <c r="Q845" s="89"/>
      <c r="R845" s="89"/>
      <c r="S845" s="89"/>
      <c r="T845" s="89"/>
      <c r="U845" s="89"/>
      <c r="V845" s="89"/>
      <c r="W845" s="89"/>
      <c r="X845" s="89"/>
      <c r="Y845" s="89"/>
      <c r="Z845" s="89"/>
      <c r="AA845" s="89"/>
    </row>
    <row r="846" ht="14.25" customHeight="1">
      <c r="A846" s="143"/>
      <c r="B846" s="143"/>
      <c r="C846" s="125"/>
      <c r="D846" s="126"/>
      <c r="E846" s="144"/>
      <c r="F846" s="145"/>
      <c r="G846" s="183"/>
      <c r="H846" s="140"/>
      <c r="I846" s="183"/>
      <c r="J846" s="131"/>
      <c r="K846" s="89"/>
      <c r="L846" s="89"/>
      <c r="M846" s="89"/>
      <c r="N846" s="89"/>
      <c r="O846" s="89"/>
      <c r="P846" s="89"/>
      <c r="Q846" s="89"/>
      <c r="R846" s="89"/>
      <c r="S846" s="89"/>
      <c r="T846" s="89"/>
      <c r="U846" s="89"/>
      <c r="V846" s="89"/>
      <c r="W846" s="89"/>
      <c r="X846" s="89"/>
      <c r="Y846" s="89"/>
      <c r="Z846" s="89"/>
      <c r="AA846" s="89"/>
    </row>
    <row r="847" ht="14.25" customHeight="1">
      <c r="A847" s="143"/>
      <c r="B847" s="143"/>
      <c r="C847" s="125"/>
      <c r="D847" s="126"/>
      <c r="E847" s="144"/>
      <c r="F847" s="145"/>
      <c r="G847" s="183"/>
      <c r="H847" s="140"/>
      <c r="I847" s="183"/>
      <c r="J847" s="131"/>
      <c r="K847" s="89"/>
      <c r="L847" s="89"/>
      <c r="M847" s="89"/>
      <c r="N847" s="89"/>
      <c r="O847" s="89"/>
      <c r="P847" s="89"/>
      <c r="Q847" s="89"/>
      <c r="R847" s="89"/>
      <c r="S847" s="89"/>
      <c r="T847" s="89"/>
      <c r="U847" s="89"/>
      <c r="V847" s="89"/>
      <c r="W847" s="89"/>
      <c r="X847" s="89"/>
      <c r="Y847" s="89"/>
      <c r="Z847" s="89"/>
      <c r="AA847" s="89"/>
    </row>
    <row r="848" ht="14.25" customHeight="1">
      <c r="A848" s="143"/>
      <c r="B848" s="143"/>
      <c r="C848" s="125"/>
      <c r="D848" s="126"/>
      <c r="E848" s="144"/>
      <c r="F848" s="145"/>
      <c r="G848" s="183"/>
      <c r="H848" s="140"/>
      <c r="I848" s="183"/>
      <c r="J848" s="131"/>
      <c r="K848" s="89"/>
      <c r="L848" s="89"/>
      <c r="M848" s="89"/>
      <c r="N848" s="89"/>
      <c r="O848" s="89"/>
      <c r="P848" s="89"/>
      <c r="Q848" s="89"/>
      <c r="R848" s="89"/>
      <c r="S848" s="89"/>
      <c r="T848" s="89"/>
      <c r="U848" s="89"/>
      <c r="V848" s="89"/>
      <c r="W848" s="89"/>
      <c r="X848" s="89"/>
      <c r="Y848" s="89"/>
      <c r="Z848" s="89"/>
      <c r="AA848" s="89"/>
    </row>
    <row r="849" ht="14.25" customHeight="1">
      <c r="A849" s="143"/>
      <c r="B849" s="143"/>
      <c r="C849" s="125"/>
      <c r="D849" s="126"/>
      <c r="E849" s="144"/>
      <c r="F849" s="145"/>
      <c r="G849" s="183"/>
      <c r="H849" s="140"/>
      <c r="I849" s="183"/>
      <c r="J849" s="131"/>
      <c r="K849" s="89"/>
      <c r="L849" s="89"/>
      <c r="M849" s="89"/>
      <c r="N849" s="89"/>
      <c r="O849" s="89"/>
      <c r="P849" s="89"/>
      <c r="Q849" s="89"/>
      <c r="R849" s="89"/>
      <c r="S849" s="89"/>
      <c r="T849" s="89"/>
      <c r="U849" s="89"/>
      <c r="V849" s="89"/>
      <c r="W849" s="89"/>
      <c r="X849" s="89"/>
      <c r="Y849" s="89"/>
      <c r="Z849" s="89"/>
      <c r="AA849" s="89"/>
    </row>
    <row r="850" ht="14.25" customHeight="1">
      <c r="A850" s="151"/>
      <c r="B850" s="151"/>
      <c r="C850" s="125"/>
      <c r="D850" s="126"/>
      <c r="E850" s="144"/>
      <c r="F850" s="145"/>
      <c r="G850" s="183"/>
      <c r="H850" s="140"/>
      <c r="I850" s="183"/>
      <c r="J850" s="131"/>
      <c r="K850" s="89"/>
      <c r="L850" s="89"/>
      <c r="M850" s="89"/>
      <c r="N850" s="89"/>
      <c r="O850" s="89"/>
      <c r="P850" s="89"/>
      <c r="Q850" s="89"/>
      <c r="R850" s="89"/>
      <c r="S850" s="89"/>
      <c r="T850" s="89"/>
      <c r="U850" s="89"/>
      <c r="V850" s="89"/>
      <c r="W850" s="89"/>
      <c r="X850" s="89"/>
      <c r="Y850" s="89"/>
      <c r="Z850" s="89"/>
      <c r="AA850" s="89"/>
    </row>
    <row r="851" ht="14.25" customHeight="1">
      <c r="A851" s="143"/>
      <c r="B851" s="143"/>
      <c r="C851" s="125"/>
      <c r="D851" s="126"/>
      <c r="E851" s="144"/>
      <c r="F851" s="145"/>
      <c r="G851" s="183"/>
      <c r="H851" s="140"/>
      <c r="I851" s="183"/>
      <c r="J851" s="131"/>
      <c r="K851" s="89"/>
      <c r="L851" s="89"/>
      <c r="M851" s="89"/>
      <c r="N851" s="89"/>
      <c r="O851" s="89"/>
      <c r="P851" s="89"/>
      <c r="Q851" s="89"/>
      <c r="R851" s="89"/>
      <c r="S851" s="89"/>
      <c r="T851" s="89"/>
      <c r="U851" s="89"/>
      <c r="V851" s="89"/>
      <c r="W851" s="89"/>
      <c r="X851" s="89"/>
      <c r="Y851" s="89"/>
      <c r="Z851" s="89"/>
      <c r="AA851" s="89"/>
    </row>
    <row r="852" ht="14.25" customHeight="1">
      <c r="A852" s="143"/>
      <c r="B852" s="143"/>
      <c r="C852" s="125"/>
      <c r="D852" s="126"/>
      <c r="E852" s="144"/>
      <c r="F852" s="145"/>
      <c r="G852" s="183"/>
      <c r="H852" s="140"/>
      <c r="I852" s="183"/>
      <c r="J852" s="131"/>
      <c r="K852" s="89"/>
      <c r="L852" s="89"/>
      <c r="M852" s="89"/>
      <c r="N852" s="89"/>
      <c r="O852" s="89"/>
      <c r="P852" s="89"/>
      <c r="Q852" s="89"/>
      <c r="R852" s="89"/>
      <c r="S852" s="89"/>
      <c r="T852" s="89"/>
      <c r="U852" s="89"/>
      <c r="V852" s="89"/>
      <c r="W852" s="89"/>
      <c r="X852" s="89"/>
      <c r="Y852" s="89"/>
      <c r="Z852" s="89"/>
      <c r="AA852" s="89"/>
    </row>
    <row r="853" ht="14.25" customHeight="1">
      <c r="A853" s="143"/>
      <c r="B853" s="143"/>
      <c r="C853" s="125"/>
      <c r="D853" s="126"/>
      <c r="E853" s="144"/>
      <c r="F853" s="145"/>
      <c r="G853" s="183"/>
      <c r="H853" s="140"/>
      <c r="I853" s="183"/>
      <c r="J853" s="131"/>
      <c r="K853" s="89"/>
      <c r="L853" s="89"/>
      <c r="M853" s="89"/>
      <c r="N853" s="89"/>
      <c r="O853" s="89"/>
      <c r="P853" s="89"/>
      <c r="Q853" s="89"/>
      <c r="R853" s="89"/>
      <c r="S853" s="89"/>
      <c r="T853" s="89"/>
      <c r="U853" s="89"/>
      <c r="V853" s="89"/>
      <c r="W853" s="89"/>
      <c r="X853" s="89"/>
      <c r="Y853" s="89"/>
      <c r="Z853" s="89"/>
      <c r="AA853" s="89"/>
    </row>
    <row r="854" ht="14.25" customHeight="1">
      <c r="A854" s="143"/>
      <c r="B854" s="143"/>
      <c r="C854" s="125"/>
      <c r="D854" s="126"/>
      <c r="E854" s="144"/>
      <c r="F854" s="145"/>
      <c r="G854" s="183"/>
      <c r="H854" s="140"/>
      <c r="I854" s="183"/>
      <c r="J854" s="131"/>
      <c r="K854" s="89"/>
      <c r="L854" s="89"/>
      <c r="M854" s="89"/>
      <c r="N854" s="89"/>
      <c r="O854" s="89"/>
      <c r="P854" s="89"/>
      <c r="Q854" s="89"/>
      <c r="R854" s="89"/>
      <c r="S854" s="89"/>
      <c r="T854" s="89"/>
      <c r="U854" s="89"/>
      <c r="V854" s="89"/>
      <c r="W854" s="89"/>
      <c r="X854" s="89"/>
      <c r="Y854" s="89"/>
      <c r="Z854" s="89"/>
      <c r="AA854" s="89"/>
    </row>
    <row r="855" ht="14.25" customHeight="1">
      <c r="A855" s="143"/>
      <c r="B855" s="143"/>
      <c r="C855" s="125"/>
      <c r="D855" s="126"/>
      <c r="E855" s="144"/>
      <c r="F855" s="145"/>
      <c r="G855" s="183"/>
      <c r="H855" s="140"/>
      <c r="I855" s="183"/>
      <c r="J855" s="131"/>
      <c r="K855" s="89"/>
      <c r="L855" s="89"/>
      <c r="M855" s="89"/>
      <c r="N855" s="89"/>
      <c r="O855" s="89"/>
      <c r="P855" s="89"/>
      <c r="Q855" s="89"/>
      <c r="R855" s="89"/>
      <c r="S855" s="89"/>
      <c r="T855" s="89"/>
      <c r="U855" s="89"/>
      <c r="V855" s="89"/>
      <c r="W855" s="89"/>
      <c r="X855" s="89"/>
      <c r="Y855" s="89"/>
      <c r="Z855" s="89"/>
      <c r="AA855" s="89"/>
    </row>
    <row r="856" ht="14.25" customHeight="1">
      <c r="A856" s="143"/>
      <c r="B856" s="143"/>
      <c r="C856" s="125"/>
      <c r="D856" s="126"/>
      <c r="E856" s="144"/>
      <c r="F856" s="145"/>
      <c r="G856" s="183"/>
      <c r="H856" s="140"/>
      <c r="I856" s="183"/>
      <c r="J856" s="131"/>
      <c r="K856" s="89"/>
      <c r="L856" s="89"/>
      <c r="M856" s="89"/>
      <c r="N856" s="89"/>
      <c r="O856" s="89"/>
      <c r="P856" s="89"/>
      <c r="Q856" s="89"/>
      <c r="R856" s="89"/>
      <c r="S856" s="89"/>
      <c r="T856" s="89"/>
      <c r="U856" s="89"/>
      <c r="V856" s="89"/>
      <c r="W856" s="89"/>
      <c r="X856" s="89"/>
      <c r="Y856" s="89"/>
      <c r="Z856" s="89"/>
      <c r="AA856" s="89"/>
    </row>
    <row r="857" ht="14.25" customHeight="1">
      <c r="A857" s="143"/>
      <c r="B857" s="143"/>
      <c r="C857" s="125"/>
      <c r="D857" s="126"/>
      <c r="E857" s="144"/>
      <c r="F857" s="145"/>
      <c r="G857" s="183"/>
      <c r="H857" s="140"/>
      <c r="I857" s="183"/>
      <c r="J857" s="131"/>
      <c r="K857" s="89"/>
      <c r="L857" s="89"/>
      <c r="M857" s="89"/>
      <c r="N857" s="89"/>
      <c r="O857" s="89"/>
      <c r="P857" s="89"/>
      <c r="Q857" s="89"/>
      <c r="R857" s="89"/>
      <c r="S857" s="89"/>
      <c r="T857" s="89"/>
      <c r="U857" s="89"/>
      <c r="V857" s="89"/>
      <c r="W857" s="89"/>
      <c r="X857" s="89"/>
      <c r="Y857" s="89"/>
      <c r="Z857" s="89"/>
      <c r="AA857" s="89"/>
    </row>
    <row r="858" ht="14.25" customHeight="1">
      <c r="A858" s="143"/>
      <c r="B858" s="143"/>
      <c r="C858" s="125"/>
      <c r="D858" s="126"/>
      <c r="E858" s="144"/>
      <c r="F858" s="145"/>
      <c r="G858" s="183"/>
      <c r="H858" s="140"/>
      <c r="I858" s="183"/>
      <c r="J858" s="131"/>
      <c r="K858" s="89"/>
      <c r="L858" s="89"/>
      <c r="M858" s="89"/>
      <c r="N858" s="89"/>
      <c r="O858" s="89"/>
      <c r="P858" s="89"/>
      <c r="Q858" s="89"/>
      <c r="R858" s="89"/>
      <c r="S858" s="89"/>
      <c r="T858" s="89"/>
      <c r="U858" s="89"/>
      <c r="V858" s="89"/>
      <c r="W858" s="89"/>
      <c r="X858" s="89"/>
      <c r="Y858" s="89"/>
      <c r="Z858" s="89"/>
      <c r="AA858" s="89"/>
    </row>
    <row r="859" ht="14.25" customHeight="1">
      <c r="A859" s="143"/>
      <c r="B859" s="143"/>
      <c r="C859" s="125"/>
      <c r="D859" s="126"/>
      <c r="E859" s="144"/>
      <c r="F859" s="145"/>
      <c r="G859" s="183"/>
      <c r="H859" s="140"/>
      <c r="I859" s="183"/>
      <c r="J859" s="131"/>
      <c r="K859" s="89"/>
      <c r="L859" s="89"/>
      <c r="M859" s="89"/>
      <c r="N859" s="89"/>
      <c r="O859" s="89"/>
      <c r="P859" s="89"/>
      <c r="Q859" s="89"/>
      <c r="R859" s="89"/>
      <c r="S859" s="89"/>
      <c r="T859" s="89"/>
      <c r="U859" s="89"/>
      <c r="V859" s="89"/>
      <c r="W859" s="89"/>
      <c r="X859" s="89"/>
      <c r="Y859" s="89"/>
      <c r="Z859" s="89"/>
      <c r="AA859" s="89"/>
    </row>
    <row r="860" ht="14.25" customHeight="1">
      <c r="A860" s="151"/>
      <c r="B860" s="151"/>
      <c r="C860" s="125"/>
      <c r="D860" s="126"/>
      <c r="E860" s="144"/>
      <c r="F860" s="145"/>
      <c r="G860" s="183"/>
      <c r="H860" s="140"/>
      <c r="I860" s="183"/>
      <c r="J860" s="131"/>
      <c r="K860" s="89"/>
      <c r="L860" s="89"/>
      <c r="M860" s="89"/>
      <c r="N860" s="89"/>
      <c r="O860" s="89"/>
      <c r="P860" s="89"/>
      <c r="Q860" s="89"/>
      <c r="R860" s="89"/>
      <c r="S860" s="89"/>
      <c r="T860" s="89"/>
      <c r="U860" s="89"/>
      <c r="V860" s="89"/>
      <c r="W860" s="89"/>
      <c r="X860" s="89"/>
      <c r="Y860" s="89"/>
      <c r="Z860" s="89"/>
      <c r="AA860" s="89"/>
    </row>
    <row r="861" ht="14.25" customHeight="1">
      <c r="A861" s="143"/>
      <c r="B861" s="143"/>
      <c r="C861" s="125"/>
      <c r="D861" s="126"/>
      <c r="E861" s="144"/>
      <c r="F861" s="145"/>
      <c r="G861" s="183"/>
      <c r="H861" s="140"/>
      <c r="I861" s="183"/>
      <c r="J861" s="131"/>
      <c r="K861" s="89"/>
      <c r="L861" s="89"/>
      <c r="M861" s="89"/>
      <c r="N861" s="89"/>
      <c r="O861" s="89"/>
      <c r="P861" s="89"/>
      <c r="Q861" s="89"/>
      <c r="R861" s="89"/>
      <c r="S861" s="89"/>
      <c r="T861" s="89"/>
      <c r="U861" s="89"/>
      <c r="V861" s="89"/>
      <c r="W861" s="89"/>
      <c r="X861" s="89"/>
      <c r="Y861" s="89"/>
      <c r="Z861" s="89"/>
      <c r="AA861" s="89"/>
    </row>
    <row r="862" ht="14.25" customHeight="1">
      <c r="A862" s="143"/>
      <c r="B862" s="143"/>
      <c r="C862" s="125"/>
      <c r="D862" s="126"/>
      <c r="E862" s="144"/>
      <c r="F862" s="145"/>
      <c r="G862" s="183"/>
      <c r="H862" s="140"/>
      <c r="I862" s="183"/>
      <c r="J862" s="131"/>
      <c r="K862" s="89"/>
      <c r="L862" s="89"/>
      <c r="M862" s="89"/>
      <c r="N862" s="89"/>
      <c r="O862" s="89"/>
      <c r="P862" s="89"/>
      <c r="Q862" s="89"/>
      <c r="R862" s="89"/>
      <c r="S862" s="89"/>
      <c r="T862" s="89"/>
      <c r="U862" s="89"/>
      <c r="V862" s="89"/>
      <c r="W862" s="89"/>
      <c r="X862" s="89"/>
      <c r="Y862" s="89"/>
      <c r="Z862" s="89"/>
      <c r="AA862" s="89"/>
    </row>
    <row r="863" ht="14.25" customHeight="1">
      <c r="A863" s="143"/>
      <c r="B863" s="143"/>
      <c r="C863" s="125"/>
      <c r="D863" s="126"/>
      <c r="E863" s="144"/>
      <c r="F863" s="145"/>
      <c r="G863" s="183"/>
      <c r="H863" s="140"/>
      <c r="I863" s="183"/>
      <c r="J863" s="131"/>
      <c r="K863" s="89"/>
      <c r="L863" s="89"/>
      <c r="M863" s="89"/>
      <c r="N863" s="89"/>
      <c r="O863" s="89"/>
      <c r="P863" s="89"/>
      <c r="Q863" s="89"/>
      <c r="R863" s="89"/>
      <c r="S863" s="89"/>
      <c r="T863" s="89"/>
      <c r="U863" s="89"/>
      <c r="V863" s="89"/>
      <c r="W863" s="89"/>
      <c r="X863" s="89"/>
      <c r="Y863" s="89"/>
      <c r="Z863" s="89"/>
      <c r="AA863" s="89"/>
    </row>
    <row r="864" ht="14.25" customHeight="1">
      <c r="A864" s="143"/>
      <c r="B864" s="143"/>
      <c r="C864" s="125"/>
      <c r="D864" s="126"/>
      <c r="E864" s="144"/>
      <c r="F864" s="145"/>
      <c r="G864" s="183"/>
      <c r="H864" s="140"/>
      <c r="I864" s="183"/>
      <c r="J864" s="131"/>
      <c r="K864" s="89"/>
      <c r="L864" s="89"/>
      <c r="M864" s="89"/>
      <c r="N864" s="89"/>
      <c r="O864" s="89"/>
      <c r="P864" s="89"/>
      <c r="Q864" s="89"/>
      <c r="R864" s="89"/>
      <c r="S864" s="89"/>
      <c r="T864" s="89"/>
      <c r="U864" s="89"/>
      <c r="V864" s="89"/>
      <c r="W864" s="89"/>
      <c r="X864" s="89"/>
      <c r="Y864" s="89"/>
      <c r="Z864" s="89"/>
      <c r="AA864" s="89"/>
    </row>
    <row r="865" ht="14.25" customHeight="1">
      <c r="A865" s="143"/>
      <c r="B865" s="143"/>
      <c r="C865" s="125"/>
      <c r="D865" s="126"/>
      <c r="E865" s="144"/>
      <c r="F865" s="145"/>
      <c r="G865" s="183"/>
      <c r="H865" s="140"/>
      <c r="I865" s="183"/>
      <c r="J865" s="131"/>
      <c r="K865" s="89"/>
      <c r="L865" s="89"/>
      <c r="M865" s="89"/>
      <c r="N865" s="89"/>
      <c r="O865" s="89"/>
      <c r="P865" s="89"/>
      <c r="Q865" s="89"/>
      <c r="R865" s="89"/>
      <c r="S865" s="89"/>
      <c r="T865" s="89"/>
      <c r="U865" s="89"/>
      <c r="V865" s="89"/>
      <c r="W865" s="89"/>
      <c r="X865" s="89"/>
      <c r="Y865" s="89"/>
      <c r="Z865" s="89"/>
      <c r="AA865" s="89"/>
    </row>
    <row r="866" ht="14.25" customHeight="1">
      <c r="A866" s="143"/>
      <c r="B866" s="143"/>
      <c r="C866" s="125"/>
      <c r="D866" s="126"/>
      <c r="E866" s="144"/>
      <c r="F866" s="145"/>
      <c r="G866" s="183"/>
      <c r="H866" s="140"/>
      <c r="I866" s="183"/>
      <c r="J866" s="131"/>
      <c r="K866" s="89"/>
      <c r="L866" s="89"/>
      <c r="M866" s="89"/>
      <c r="N866" s="89"/>
      <c r="O866" s="89"/>
      <c r="P866" s="89"/>
      <c r="Q866" s="89"/>
      <c r="R866" s="89"/>
      <c r="S866" s="89"/>
      <c r="T866" s="89"/>
      <c r="U866" s="89"/>
      <c r="V866" s="89"/>
      <c r="W866" s="89"/>
      <c r="X866" s="89"/>
      <c r="Y866" s="89"/>
      <c r="Z866" s="89"/>
      <c r="AA866" s="89"/>
    </row>
    <row r="867" ht="14.25" customHeight="1">
      <c r="A867" s="143"/>
      <c r="B867" s="143"/>
      <c r="C867" s="125"/>
      <c r="D867" s="126"/>
      <c r="E867" s="144"/>
      <c r="F867" s="145"/>
      <c r="G867" s="183"/>
      <c r="H867" s="140"/>
      <c r="I867" s="183"/>
      <c r="J867" s="131"/>
      <c r="K867" s="89"/>
      <c r="L867" s="89"/>
      <c r="M867" s="89"/>
      <c r="N867" s="89"/>
      <c r="O867" s="89"/>
      <c r="P867" s="89"/>
      <c r="Q867" s="89"/>
      <c r="R867" s="89"/>
      <c r="S867" s="89"/>
      <c r="T867" s="89"/>
      <c r="U867" s="89"/>
      <c r="V867" s="89"/>
      <c r="W867" s="89"/>
      <c r="X867" s="89"/>
      <c r="Y867" s="89"/>
      <c r="Z867" s="89"/>
      <c r="AA867" s="89"/>
    </row>
    <row r="868" ht="14.25" customHeight="1">
      <c r="A868" s="143"/>
      <c r="B868" s="143"/>
      <c r="C868" s="125"/>
      <c r="D868" s="126"/>
      <c r="E868" s="144"/>
      <c r="F868" s="145"/>
      <c r="G868" s="183"/>
      <c r="H868" s="140"/>
      <c r="I868" s="183"/>
      <c r="J868" s="131"/>
      <c r="K868" s="89"/>
      <c r="L868" s="89"/>
      <c r="M868" s="89"/>
      <c r="N868" s="89"/>
      <c r="O868" s="89"/>
      <c r="P868" s="89"/>
      <c r="Q868" s="89"/>
      <c r="R868" s="89"/>
      <c r="S868" s="89"/>
      <c r="T868" s="89"/>
      <c r="U868" s="89"/>
      <c r="V868" s="89"/>
      <c r="W868" s="89"/>
      <c r="X868" s="89"/>
      <c r="Y868" s="89"/>
      <c r="Z868" s="89"/>
      <c r="AA868" s="89"/>
    </row>
    <row r="869" ht="14.25" customHeight="1">
      <c r="A869" s="143"/>
      <c r="B869" s="143"/>
      <c r="C869" s="125"/>
      <c r="D869" s="126"/>
      <c r="E869" s="144"/>
      <c r="F869" s="145"/>
      <c r="G869" s="183"/>
      <c r="H869" s="140"/>
      <c r="I869" s="183"/>
      <c r="J869" s="131"/>
      <c r="K869" s="89"/>
      <c r="L869" s="89"/>
      <c r="M869" s="89"/>
      <c r="N869" s="89"/>
      <c r="O869" s="89"/>
      <c r="P869" s="89"/>
      <c r="Q869" s="89"/>
      <c r="R869" s="89"/>
      <c r="S869" s="89"/>
      <c r="T869" s="89"/>
      <c r="U869" s="89"/>
      <c r="V869" s="89"/>
      <c r="W869" s="89"/>
      <c r="X869" s="89"/>
      <c r="Y869" s="89"/>
      <c r="Z869" s="89"/>
      <c r="AA869" s="89"/>
    </row>
    <row r="870" ht="14.25" customHeight="1">
      <c r="A870" s="151"/>
      <c r="B870" s="151"/>
      <c r="C870" s="125"/>
      <c r="D870" s="126"/>
      <c r="E870" s="144"/>
      <c r="F870" s="145"/>
      <c r="G870" s="183"/>
      <c r="H870" s="140"/>
      <c r="I870" s="183"/>
      <c r="J870" s="131"/>
      <c r="K870" s="89"/>
      <c r="L870" s="89"/>
      <c r="M870" s="89"/>
      <c r="N870" s="89"/>
      <c r="O870" s="89"/>
      <c r="P870" s="89"/>
      <c r="Q870" s="89"/>
      <c r="R870" s="89"/>
      <c r="S870" s="89"/>
      <c r="T870" s="89"/>
      <c r="U870" s="89"/>
      <c r="V870" s="89"/>
      <c r="W870" s="89"/>
      <c r="X870" s="89"/>
      <c r="Y870" s="89"/>
      <c r="Z870" s="89"/>
      <c r="AA870" s="89"/>
    </row>
    <row r="871" ht="14.25" customHeight="1">
      <c r="A871" s="143"/>
      <c r="B871" s="143"/>
      <c r="C871" s="125"/>
      <c r="D871" s="126"/>
      <c r="E871" s="144"/>
      <c r="F871" s="145"/>
      <c r="G871" s="183"/>
      <c r="H871" s="140"/>
      <c r="I871" s="183"/>
      <c r="J871" s="131"/>
      <c r="K871" s="89"/>
      <c r="L871" s="89"/>
      <c r="M871" s="89"/>
      <c r="N871" s="89"/>
      <c r="O871" s="89"/>
      <c r="P871" s="89"/>
      <c r="Q871" s="89"/>
      <c r="R871" s="89"/>
      <c r="S871" s="89"/>
      <c r="T871" s="89"/>
      <c r="U871" s="89"/>
      <c r="V871" s="89"/>
      <c r="W871" s="89"/>
      <c r="X871" s="89"/>
      <c r="Y871" s="89"/>
      <c r="Z871" s="89"/>
      <c r="AA871" s="89"/>
    </row>
    <row r="872" ht="14.25" customHeight="1">
      <c r="A872" s="143"/>
      <c r="B872" s="143"/>
      <c r="C872" s="125"/>
      <c r="D872" s="126"/>
      <c r="E872" s="144"/>
      <c r="F872" s="145"/>
      <c r="G872" s="183"/>
      <c r="H872" s="140"/>
      <c r="I872" s="183"/>
      <c r="J872" s="131"/>
      <c r="K872" s="89"/>
      <c r="L872" s="89"/>
      <c r="M872" s="89"/>
      <c r="N872" s="89"/>
      <c r="O872" s="89"/>
      <c r="P872" s="89"/>
      <c r="Q872" s="89"/>
      <c r="R872" s="89"/>
      <c r="S872" s="89"/>
      <c r="T872" s="89"/>
      <c r="U872" s="89"/>
      <c r="V872" s="89"/>
      <c r="W872" s="89"/>
      <c r="X872" s="89"/>
      <c r="Y872" s="89"/>
      <c r="Z872" s="89"/>
      <c r="AA872" s="89"/>
    </row>
    <row r="873" ht="14.25" customHeight="1">
      <c r="A873" s="143"/>
      <c r="B873" s="143"/>
      <c r="C873" s="125"/>
      <c r="D873" s="126"/>
      <c r="E873" s="144"/>
      <c r="F873" s="145"/>
      <c r="G873" s="183"/>
      <c r="H873" s="140"/>
      <c r="I873" s="183"/>
      <c r="J873" s="131"/>
      <c r="K873" s="89"/>
      <c r="L873" s="89"/>
      <c r="M873" s="89"/>
      <c r="N873" s="89"/>
      <c r="O873" s="89"/>
      <c r="P873" s="89"/>
      <c r="Q873" s="89"/>
      <c r="R873" s="89"/>
      <c r="S873" s="89"/>
      <c r="T873" s="89"/>
      <c r="U873" s="89"/>
      <c r="V873" s="89"/>
      <c r="W873" s="89"/>
      <c r="X873" s="89"/>
      <c r="Y873" s="89"/>
      <c r="Z873" s="89"/>
      <c r="AA873" s="89"/>
    </row>
    <row r="874" ht="14.25" customHeight="1">
      <c r="A874" s="143"/>
      <c r="B874" s="143"/>
      <c r="C874" s="125"/>
      <c r="D874" s="126"/>
      <c r="E874" s="144"/>
      <c r="F874" s="145"/>
      <c r="G874" s="183"/>
      <c r="H874" s="140"/>
      <c r="I874" s="183"/>
      <c r="J874" s="131"/>
      <c r="K874" s="89"/>
      <c r="L874" s="89"/>
      <c r="M874" s="89"/>
      <c r="N874" s="89"/>
      <c r="O874" s="89"/>
      <c r="P874" s="89"/>
      <c r="Q874" s="89"/>
      <c r="R874" s="89"/>
      <c r="S874" s="89"/>
      <c r="T874" s="89"/>
      <c r="U874" s="89"/>
      <c r="V874" s="89"/>
      <c r="W874" s="89"/>
      <c r="X874" s="89"/>
      <c r="Y874" s="89"/>
      <c r="Z874" s="89"/>
      <c r="AA874" s="89"/>
    </row>
    <row r="875" ht="14.25" customHeight="1">
      <c r="A875" s="143"/>
      <c r="B875" s="143"/>
      <c r="C875" s="125"/>
      <c r="D875" s="126"/>
      <c r="E875" s="144"/>
      <c r="F875" s="145"/>
      <c r="G875" s="183"/>
      <c r="H875" s="140"/>
      <c r="I875" s="183"/>
      <c r="J875" s="131"/>
      <c r="K875" s="89"/>
      <c r="L875" s="89"/>
      <c r="M875" s="89"/>
      <c r="N875" s="89"/>
      <c r="O875" s="89"/>
      <c r="P875" s="89"/>
      <c r="Q875" s="89"/>
      <c r="R875" s="89"/>
      <c r="S875" s="89"/>
      <c r="T875" s="89"/>
      <c r="U875" s="89"/>
      <c r="V875" s="89"/>
      <c r="W875" s="89"/>
      <c r="X875" s="89"/>
      <c r="Y875" s="89"/>
      <c r="Z875" s="89"/>
      <c r="AA875" s="89"/>
    </row>
    <row r="876" ht="14.25" customHeight="1">
      <c r="A876" s="143"/>
      <c r="B876" s="143"/>
      <c r="C876" s="125"/>
      <c r="D876" s="126"/>
      <c r="E876" s="144"/>
      <c r="F876" s="145"/>
      <c r="G876" s="183"/>
      <c r="H876" s="140"/>
      <c r="I876" s="183"/>
      <c r="J876" s="131"/>
      <c r="K876" s="89"/>
      <c r="L876" s="89"/>
      <c r="M876" s="89"/>
      <c r="N876" s="89"/>
      <c r="O876" s="89"/>
      <c r="P876" s="89"/>
      <c r="Q876" s="89"/>
      <c r="R876" s="89"/>
      <c r="S876" s="89"/>
      <c r="T876" s="89"/>
      <c r="U876" s="89"/>
      <c r="V876" s="89"/>
      <c r="W876" s="89"/>
      <c r="X876" s="89"/>
      <c r="Y876" s="89"/>
      <c r="Z876" s="89"/>
      <c r="AA876" s="89"/>
    </row>
    <row r="877" ht="14.25" customHeight="1">
      <c r="A877" s="143"/>
      <c r="B877" s="143"/>
      <c r="C877" s="125"/>
      <c r="D877" s="126"/>
      <c r="E877" s="144"/>
      <c r="F877" s="145"/>
      <c r="G877" s="183"/>
      <c r="H877" s="140"/>
      <c r="I877" s="183"/>
      <c r="J877" s="131"/>
      <c r="K877" s="89"/>
      <c r="L877" s="89"/>
      <c r="M877" s="89"/>
      <c r="N877" s="89"/>
      <c r="O877" s="89"/>
      <c r="P877" s="89"/>
      <c r="Q877" s="89"/>
      <c r="R877" s="89"/>
      <c r="S877" s="89"/>
      <c r="T877" s="89"/>
      <c r="U877" s="89"/>
      <c r="V877" s="89"/>
      <c r="W877" s="89"/>
      <c r="X877" s="89"/>
      <c r="Y877" s="89"/>
      <c r="Z877" s="89"/>
      <c r="AA877" s="89"/>
    </row>
    <row r="878" ht="14.25" customHeight="1">
      <c r="A878" s="143"/>
      <c r="B878" s="143"/>
      <c r="C878" s="125"/>
      <c r="D878" s="126"/>
      <c r="E878" s="144"/>
      <c r="F878" s="145"/>
      <c r="G878" s="183"/>
      <c r="H878" s="140"/>
      <c r="I878" s="183"/>
      <c r="J878" s="131"/>
      <c r="K878" s="89"/>
      <c r="L878" s="89"/>
      <c r="M878" s="89"/>
      <c r="N878" s="89"/>
      <c r="O878" s="89"/>
      <c r="P878" s="89"/>
      <c r="Q878" s="89"/>
      <c r="R878" s="89"/>
      <c r="S878" s="89"/>
      <c r="T878" s="89"/>
      <c r="U878" s="89"/>
      <c r="V878" s="89"/>
      <c r="W878" s="89"/>
      <c r="X878" s="89"/>
      <c r="Y878" s="89"/>
      <c r="Z878" s="89"/>
      <c r="AA878" s="89"/>
    </row>
    <row r="879" ht="14.25" customHeight="1">
      <c r="A879" s="143"/>
      <c r="B879" s="143"/>
      <c r="C879" s="125"/>
      <c r="D879" s="126"/>
      <c r="E879" s="144"/>
      <c r="F879" s="145"/>
      <c r="G879" s="183"/>
      <c r="H879" s="140"/>
      <c r="I879" s="183"/>
      <c r="J879" s="131"/>
      <c r="K879" s="89"/>
      <c r="L879" s="89"/>
      <c r="M879" s="89"/>
      <c r="N879" s="89"/>
      <c r="O879" s="89"/>
      <c r="P879" s="89"/>
      <c r="Q879" s="89"/>
      <c r="R879" s="89"/>
      <c r="S879" s="89"/>
      <c r="T879" s="89"/>
      <c r="U879" s="89"/>
      <c r="V879" s="89"/>
      <c r="W879" s="89"/>
      <c r="X879" s="89"/>
      <c r="Y879" s="89"/>
      <c r="Z879" s="89"/>
      <c r="AA879" s="89"/>
    </row>
    <row r="880" ht="14.25" customHeight="1">
      <c r="A880" s="151"/>
      <c r="B880" s="151"/>
      <c r="C880" s="125"/>
      <c r="D880" s="126"/>
      <c r="E880" s="144"/>
      <c r="F880" s="145"/>
      <c r="G880" s="183"/>
      <c r="H880" s="140"/>
      <c r="I880" s="183"/>
      <c r="J880" s="131"/>
      <c r="K880" s="89"/>
      <c r="L880" s="89"/>
      <c r="M880" s="89"/>
      <c r="N880" s="89"/>
      <c r="O880" s="89"/>
      <c r="P880" s="89"/>
      <c r="Q880" s="89"/>
      <c r="R880" s="89"/>
      <c r="S880" s="89"/>
      <c r="T880" s="89"/>
      <c r="U880" s="89"/>
      <c r="V880" s="89"/>
      <c r="W880" s="89"/>
      <c r="X880" s="89"/>
      <c r="Y880" s="89"/>
      <c r="Z880" s="89"/>
      <c r="AA880" s="89"/>
    </row>
    <row r="881" ht="14.25" customHeight="1">
      <c r="A881" s="143"/>
      <c r="B881" s="143"/>
      <c r="C881" s="125"/>
      <c r="D881" s="126"/>
      <c r="E881" s="144"/>
      <c r="F881" s="145"/>
      <c r="G881" s="183"/>
      <c r="H881" s="140"/>
      <c r="I881" s="183"/>
      <c r="J881" s="131"/>
      <c r="K881" s="89"/>
      <c r="L881" s="89"/>
      <c r="M881" s="89"/>
      <c r="N881" s="89"/>
      <c r="O881" s="89"/>
      <c r="P881" s="89"/>
      <c r="Q881" s="89"/>
      <c r="R881" s="89"/>
      <c r="S881" s="89"/>
      <c r="T881" s="89"/>
      <c r="U881" s="89"/>
      <c r="V881" s="89"/>
      <c r="W881" s="89"/>
      <c r="X881" s="89"/>
      <c r="Y881" s="89"/>
      <c r="Z881" s="89"/>
      <c r="AA881" s="89"/>
    </row>
    <row r="882" ht="14.25" customHeight="1">
      <c r="A882" s="143"/>
      <c r="B882" s="143"/>
      <c r="C882" s="125"/>
      <c r="D882" s="126"/>
      <c r="E882" s="144"/>
      <c r="F882" s="145"/>
      <c r="G882" s="183"/>
      <c r="H882" s="140"/>
      <c r="I882" s="183"/>
      <c r="J882" s="131"/>
      <c r="K882" s="89"/>
      <c r="L882" s="89"/>
      <c r="M882" s="89"/>
      <c r="N882" s="89"/>
      <c r="O882" s="89"/>
      <c r="P882" s="89"/>
      <c r="Q882" s="89"/>
      <c r="R882" s="89"/>
      <c r="S882" s="89"/>
      <c r="T882" s="89"/>
      <c r="U882" s="89"/>
      <c r="V882" s="89"/>
      <c r="W882" s="89"/>
      <c r="X882" s="89"/>
      <c r="Y882" s="89"/>
      <c r="Z882" s="89"/>
      <c r="AA882" s="89"/>
    </row>
    <row r="883" ht="14.25" customHeight="1">
      <c r="A883" s="143"/>
      <c r="B883" s="143"/>
      <c r="C883" s="125"/>
      <c r="D883" s="126"/>
      <c r="E883" s="144"/>
      <c r="F883" s="145"/>
      <c r="G883" s="183"/>
      <c r="H883" s="140"/>
      <c r="I883" s="183"/>
      <c r="J883" s="131"/>
      <c r="K883" s="89"/>
      <c r="L883" s="89"/>
      <c r="M883" s="89"/>
      <c r="N883" s="89"/>
      <c r="O883" s="89"/>
      <c r="P883" s="89"/>
      <c r="Q883" s="89"/>
      <c r="R883" s="89"/>
      <c r="S883" s="89"/>
      <c r="T883" s="89"/>
      <c r="U883" s="89"/>
      <c r="V883" s="89"/>
      <c r="W883" s="89"/>
      <c r="X883" s="89"/>
      <c r="Y883" s="89"/>
      <c r="Z883" s="89"/>
      <c r="AA883" s="89"/>
    </row>
    <row r="884" ht="14.25" customHeight="1">
      <c r="A884" s="143"/>
      <c r="B884" s="143"/>
      <c r="C884" s="125"/>
      <c r="D884" s="126"/>
      <c r="E884" s="144"/>
      <c r="F884" s="145"/>
      <c r="G884" s="183"/>
      <c r="H884" s="140"/>
      <c r="I884" s="183"/>
      <c r="J884" s="131"/>
      <c r="K884" s="89"/>
      <c r="L884" s="89"/>
      <c r="M884" s="89"/>
      <c r="N884" s="89"/>
      <c r="O884" s="89"/>
      <c r="P884" s="89"/>
      <c r="Q884" s="89"/>
      <c r="R884" s="89"/>
      <c r="S884" s="89"/>
      <c r="T884" s="89"/>
      <c r="U884" s="89"/>
      <c r="V884" s="89"/>
      <c r="W884" s="89"/>
      <c r="X884" s="89"/>
      <c r="Y884" s="89"/>
      <c r="Z884" s="89"/>
      <c r="AA884" s="89"/>
    </row>
    <row r="885" ht="14.25" customHeight="1">
      <c r="A885" s="143"/>
      <c r="B885" s="143"/>
      <c r="C885" s="125"/>
      <c r="D885" s="126"/>
      <c r="E885" s="144"/>
      <c r="F885" s="145"/>
      <c r="G885" s="183"/>
      <c r="H885" s="140"/>
      <c r="I885" s="183"/>
      <c r="J885" s="131"/>
      <c r="K885" s="89"/>
      <c r="L885" s="89"/>
      <c r="M885" s="89"/>
      <c r="N885" s="89"/>
      <c r="O885" s="89"/>
      <c r="P885" s="89"/>
      <c r="Q885" s="89"/>
      <c r="R885" s="89"/>
      <c r="S885" s="89"/>
      <c r="T885" s="89"/>
      <c r="U885" s="89"/>
      <c r="V885" s="89"/>
      <c r="W885" s="89"/>
      <c r="X885" s="89"/>
      <c r="Y885" s="89"/>
      <c r="Z885" s="89"/>
      <c r="AA885" s="89"/>
    </row>
    <row r="886" ht="14.25" customHeight="1">
      <c r="A886" s="143"/>
      <c r="B886" s="143"/>
      <c r="C886" s="125"/>
      <c r="D886" s="126"/>
      <c r="E886" s="144"/>
      <c r="F886" s="145"/>
      <c r="G886" s="183"/>
      <c r="H886" s="140"/>
      <c r="I886" s="183"/>
      <c r="J886" s="131"/>
      <c r="K886" s="89"/>
      <c r="L886" s="89"/>
      <c r="M886" s="89"/>
      <c r="N886" s="89"/>
      <c r="O886" s="89"/>
      <c r="P886" s="89"/>
      <c r="Q886" s="89"/>
      <c r="R886" s="89"/>
      <c r="S886" s="89"/>
      <c r="T886" s="89"/>
      <c r="U886" s="89"/>
      <c r="V886" s="89"/>
      <c r="W886" s="89"/>
      <c r="X886" s="89"/>
      <c r="Y886" s="89"/>
      <c r="Z886" s="89"/>
      <c r="AA886" s="89"/>
    </row>
    <row r="887" ht="14.25" customHeight="1">
      <c r="A887" s="143"/>
      <c r="B887" s="143"/>
      <c r="C887" s="125"/>
      <c r="D887" s="126"/>
      <c r="E887" s="144"/>
      <c r="F887" s="145"/>
      <c r="G887" s="183"/>
      <c r="H887" s="140"/>
      <c r="I887" s="183"/>
      <c r="J887" s="131"/>
      <c r="K887" s="89"/>
      <c r="L887" s="89"/>
      <c r="M887" s="89"/>
      <c r="N887" s="89"/>
      <c r="O887" s="89"/>
      <c r="P887" s="89"/>
      <c r="Q887" s="89"/>
      <c r="R887" s="89"/>
      <c r="S887" s="89"/>
      <c r="T887" s="89"/>
      <c r="U887" s="89"/>
      <c r="V887" s="89"/>
      <c r="W887" s="89"/>
      <c r="X887" s="89"/>
      <c r="Y887" s="89"/>
      <c r="Z887" s="89"/>
      <c r="AA887" s="89"/>
    </row>
    <row r="888" ht="14.25" customHeight="1">
      <c r="A888" s="143"/>
      <c r="B888" s="143"/>
      <c r="C888" s="125"/>
      <c r="D888" s="126"/>
      <c r="E888" s="144"/>
      <c r="F888" s="145"/>
      <c r="G888" s="183"/>
      <c r="H888" s="140"/>
      <c r="I888" s="183"/>
      <c r="J888" s="131"/>
      <c r="K888" s="89"/>
      <c r="L888" s="89"/>
      <c r="M888" s="89"/>
      <c r="N888" s="89"/>
      <c r="O888" s="89"/>
      <c r="P888" s="89"/>
      <c r="Q888" s="89"/>
      <c r="R888" s="89"/>
      <c r="S888" s="89"/>
      <c r="T888" s="89"/>
      <c r="U888" s="89"/>
      <c r="V888" s="89"/>
      <c r="W888" s="89"/>
      <c r="X888" s="89"/>
      <c r="Y888" s="89"/>
      <c r="Z888" s="89"/>
      <c r="AA888" s="89"/>
    </row>
    <row r="889" ht="14.25" customHeight="1">
      <c r="A889" s="143"/>
      <c r="B889" s="143"/>
      <c r="C889" s="125"/>
      <c r="D889" s="126"/>
      <c r="E889" s="144"/>
      <c r="F889" s="145"/>
      <c r="G889" s="183"/>
      <c r="H889" s="140"/>
      <c r="I889" s="183"/>
      <c r="J889" s="131"/>
      <c r="K889" s="89"/>
      <c r="L889" s="89"/>
      <c r="M889" s="89"/>
      <c r="N889" s="89"/>
      <c r="O889" s="89"/>
      <c r="P889" s="89"/>
      <c r="Q889" s="89"/>
      <c r="R889" s="89"/>
      <c r="S889" s="89"/>
      <c r="T889" s="89"/>
      <c r="U889" s="89"/>
      <c r="V889" s="89"/>
      <c r="W889" s="89"/>
      <c r="X889" s="89"/>
      <c r="Y889" s="89"/>
      <c r="Z889" s="89"/>
      <c r="AA889" s="89"/>
    </row>
    <row r="890" ht="14.25" customHeight="1">
      <c r="A890" s="151"/>
      <c r="B890" s="151"/>
      <c r="C890" s="125"/>
      <c r="D890" s="126"/>
      <c r="E890" s="144"/>
      <c r="F890" s="145"/>
      <c r="G890" s="183"/>
      <c r="H890" s="140"/>
      <c r="I890" s="183"/>
      <c r="J890" s="131"/>
      <c r="K890" s="89"/>
      <c r="L890" s="89"/>
      <c r="M890" s="89"/>
      <c r="N890" s="89"/>
      <c r="O890" s="89"/>
      <c r="P890" s="89"/>
      <c r="Q890" s="89"/>
      <c r="R890" s="89"/>
      <c r="S890" s="89"/>
      <c r="T890" s="89"/>
      <c r="U890" s="89"/>
      <c r="V890" s="89"/>
      <c r="W890" s="89"/>
      <c r="X890" s="89"/>
      <c r="Y890" s="89"/>
      <c r="Z890" s="89"/>
      <c r="AA890" s="89"/>
    </row>
    <row r="891" ht="14.25" customHeight="1">
      <c r="A891" s="143"/>
      <c r="B891" s="143"/>
      <c r="C891" s="125"/>
      <c r="D891" s="126"/>
      <c r="E891" s="144"/>
      <c r="F891" s="145"/>
      <c r="G891" s="183"/>
      <c r="H891" s="140"/>
      <c r="I891" s="183"/>
      <c r="J891" s="131"/>
      <c r="K891" s="89"/>
      <c r="L891" s="89"/>
      <c r="M891" s="89"/>
      <c r="N891" s="89"/>
      <c r="O891" s="89"/>
      <c r="P891" s="89"/>
      <c r="Q891" s="89"/>
      <c r="R891" s="89"/>
      <c r="S891" s="89"/>
      <c r="T891" s="89"/>
      <c r="U891" s="89"/>
      <c r="V891" s="89"/>
      <c r="W891" s="89"/>
      <c r="X891" s="89"/>
      <c r="Y891" s="89"/>
      <c r="Z891" s="89"/>
      <c r="AA891" s="89"/>
    </row>
    <row r="892" ht="14.25" customHeight="1">
      <c r="A892" s="143"/>
      <c r="B892" s="143"/>
      <c r="C892" s="125"/>
      <c r="D892" s="126"/>
      <c r="E892" s="144"/>
      <c r="F892" s="145"/>
      <c r="G892" s="183"/>
      <c r="H892" s="140"/>
      <c r="I892" s="183"/>
      <c r="J892" s="131"/>
      <c r="K892" s="89"/>
      <c r="L892" s="89"/>
      <c r="M892" s="89"/>
      <c r="N892" s="89"/>
      <c r="O892" s="89"/>
      <c r="P892" s="89"/>
      <c r="Q892" s="89"/>
      <c r="R892" s="89"/>
      <c r="S892" s="89"/>
      <c r="T892" s="89"/>
      <c r="U892" s="89"/>
      <c r="V892" s="89"/>
      <c r="W892" s="89"/>
      <c r="X892" s="89"/>
      <c r="Y892" s="89"/>
      <c r="Z892" s="89"/>
      <c r="AA892" s="89"/>
    </row>
    <row r="893" ht="14.25" customHeight="1">
      <c r="A893" s="143"/>
      <c r="B893" s="143"/>
      <c r="C893" s="125"/>
      <c r="D893" s="126"/>
      <c r="E893" s="144"/>
      <c r="F893" s="145"/>
      <c r="G893" s="183"/>
      <c r="H893" s="140"/>
      <c r="I893" s="183"/>
      <c r="J893" s="131"/>
      <c r="K893" s="89"/>
      <c r="L893" s="89"/>
      <c r="M893" s="89"/>
      <c r="N893" s="89"/>
      <c r="O893" s="89"/>
      <c r="P893" s="89"/>
      <c r="Q893" s="89"/>
      <c r="R893" s="89"/>
      <c r="S893" s="89"/>
      <c r="T893" s="89"/>
      <c r="U893" s="89"/>
      <c r="V893" s="89"/>
      <c r="W893" s="89"/>
      <c r="X893" s="89"/>
      <c r="Y893" s="89"/>
      <c r="Z893" s="89"/>
      <c r="AA893" s="89"/>
    </row>
    <row r="894" ht="14.25" customHeight="1">
      <c r="A894" s="143"/>
      <c r="B894" s="143"/>
      <c r="C894" s="125"/>
      <c r="D894" s="126"/>
      <c r="E894" s="144"/>
      <c r="F894" s="145"/>
      <c r="G894" s="183"/>
      <c r="H894" s="140"/>
      <c r="I894" s="183"/>
      <c r="J894" s="131"/>
      <c r="K894" s="89"/>
      <c r="L894" s="89"/>
      <c r="M894" s="89"/>
      <c r="N894" s="89"/>
      <c r="O894" s="89"/>
      <c r="P894" s="89"/>
      <c r="Q894" s="89"/>
      <c r="R894" s="89"/>
      <c r="S894" s="89"/>
      <c r="T894" s="89"/>
      <c r="U894" s="89"/>
      <c r="V894" s="89"/>
      <c r="W894" s="89"/>
      <c r="X894" s="89"/>
      <c r="Y894" s="89"/>
      <c r="Z894" s="89"/>
      <c r="AA894" s="89"/>
    </row>
    <row r="895" ht="14.25" customHeight="1">
      <c r="A895" s="143"/>
      <c r="B895" s="143"/>
      <c r="C895" s="125"/>
      <c r="D895" s="126"/>
      <c r="E895" s="144"/>
      <c r="F895" s="145"/>
      <c r="G895" s="183"/>
      <c r="H895" s="140"/>
      <c r="I895" s="183"/>
      <c r="J895" s="131"/>
      <c r="K895" s="89"/>
      <c r="L895" s="89"/>
      <c r="M895" s="89"/>
      <c r="N895" s="89"/>
      <c r="O895" s="89"/>
      <c r="P895" s="89"/>
      <c r="Q895" s="89"/>
      <c r="R895" s="89"/>
      <c r="S895" s="89"/>
      <c r="T895" s="89"/>
      <c r="U895" s="89"/>
      <c r="V895" s="89"/>
      <c r="W895" s="89"/>
      <c r="X895" s="89"/>
      <c r="Y895" s="89"/>
      <c r="Z895" s="89"/>
      <c r="AA895" s="89"/>
    </row>
    <row r="896" ht="14.25" customHeight="1">
      <c r="A896" s="143"/>
      <c r="B896" s="143"/>
      <c r="C896" s="125"/>
      <c r="D896" s="126"/>
      <c r="E896" s="144"/>
      <c r="F896" s="145"/>
      <c r="G896" s="183"/>
      <c r="H896" s="140"/>
      <c r="I896" s="183"/>
      <c r="J896" s="131"/>
      <c r="K896" s="89"/>
      <c r="L896" s="89"/>
      <c r="M896" s="89"/>
      <c r="N896" s="89"/>
      <c r="O896" s="89"/>
      <c r="P896" s="89"/>
      <c r="Q896" s="89"/>
      <c r="R896" s="89"/>
      <c r="S896" s="89"/>
      <c r="T896" s="89"/>
      <c r="U896" s="89"/>
      <c r="V896" s="89"/>
      <c r="W896" s="89"/>
      <c r="X896" s="89"/>
      <c r="Y896" s="89"/>
      <c r="Z896" s="89"/>
      <c r="AA896" s="89"/>
    </row>
    <row r="897" ht="14.25" customHeight="1">
      <c r="A897" s="143"/>
      <c r="B897" s="143"/>
      <c r="C897" s="125"/>
      <c r="D897" s="126"/>
      <c r="E897" s="144"/>
      <c r="F897" s="145"/>
      <c r="G897" s="183"/>
      <c r="H897" s="140"/>
      <c r="I897" s="183"/>
      <c r="J897" s="131"/>
      <c r="K897" s="89"/>
      <c r="L897" s="89"/>
      <c r="M897" s="89"/>
      <c r="N897" s="89"/>
      <c r="O897" s="89"/>
      <c r="P897" s="89"/>
      <c r="Q897" s="89"/>
      <c r="R897" s="89"/>
      <c r="S897" s="89"/>
      <c r="T897" s="89"/>
      <c r="U897" s="89"/>
      <c r="V897" s="89"/>
      <c r="W897" s="89"/>
      <c r="X897" s="89"/>
      <c r="Y897" s="89"/>
      <c r="Z897" s="89"/>
      <c r="AA897" s="89"/>
    </row>
    <row r="898" ht="14.25" customHeight="1">
      <c r="A898" s="143"/>
      <c r="B898" s="143"/>
      <c r="C898" s="125"/>
      <c r="D898" s="126"/>
      <c r="E898" s="144"/>
      <c r="F898" s="145"/>
      <c r="G898" s="183"/>
      <c r="H898" s="140"/>
      <c r="I898" s="183"/>
      <c r="J898" s="131"/>
      <c r="K898" s="89"/>
      <c r="L898" s="89"/>
      <c r="M898" s="89"/>
      <c r="N898" s="89"/>
      <c r="O898" s="89"/>
      <c r="P898" s="89"/>
      <c r="Q898" s="89"/>
      <c r="R898" s="89"/>
      <c r="S898" s="89"/>
      <c r="T898" s="89"/>
      <c r="U898" s="89"/>
      <c r="V898" s="89"/>
      <c r="W898" s="89"/>
      <c r="X898" s="89"/>
      <c r="Y898" s="89"/>
      <c r="Z898" s="89"/>
      <c r="AA898" s="89"/>
    </row>
    <row r="899" ht="14.25" customHeight="1">
      <c r="A899" s="143"/>
      <c r="B899" s="143"/>
      <c r="C899" s="125"/>
      <c r="D899" s="126"/>
      <c r="E899" s="144"/>
      <c r="F899" s="145"/>
      <c r="G899" s="183"/>
      <c r="H899" s="140"/>
      <c r="I899" s="183"/>
      <c r="J899" s="131"/>
      <c r="K899" s="89"/>
      <c r="L899" s="89"/>
      <c r="M899" s="89"/>
      <c r="N899" s="89"/>
      <c r="O899" s="89"/>
      <c r="P899" s="89"/>
      <c r="Q899" s="89"/>
      <c r="R899" s="89"/>
      <c r="S899" s="89"/>
      <c r="T899" s="89"/>
      <c r="U899" s="89"/>
      <c r="V899" s="89"/>
      <c r="W899" s="89"/>
      <c r="X899" s="89"/>
      <c r="Y899" s="89"/>
      <c r="Z899" s="89"/>
      <c r="AA899" s="89"/>
    </row>
    <row r="900" ht="14.25" customHeight="1">
      <c r="A900" s="151"/>
      <c r="B900" s="151"/>
      <c r="C900" s="125"/>
      <c r="D900" s="126"/>
      <c r="E900" s="144"/>
      <c r="F900" s="145"/>
      <c r="G900" s="183"/>
      <c r="H900" s="140"/>
      <c r="I900" s="183"/>
      <c r="J900" s="131"/>
      <c r="K900" s="89"/>
      <c r="L900" s="89"/>
      <c r="M900" s="89"/>
      <c r="N900" s="89"/>
      <c r="O900" s="89"/>
      <c r="P900" s="89"/>
      <c r="Q900" s="89"/>
      <c r="R900" s="89"/>
      <c r="S900" s="89"/>
      <c r="T900" s="89"/>
      <c r="U900" s="89"/>
      <c r="V900" s="89"/>
      <c r="W900" s="89"/>
      <c r="X900" s="89"/>
      <c r="Y900" s="89"/>
      <c r="Z900" s="89"/>
      <c r="AA900" s="89"/>
    </row>
    <row r="901" ht="14.25" customHeight="1">
      <c r="A901" s="143"/>
      <c r="B901" s="143"/>
      <c r="C901" s="125"/>
      <c r="D901" s="126"/>
      <c r="E901" s="144"/>
      <c r="F901" s="145"/>
      <c r="G901" s="183"/>
      <c r="H901" s="140"/>
      <c r="I901" s="183"/>
      <c r="J901" s="131"/>
      <c r="K901" s="89"/>
      <c r="L901" s="89"/>
      <c r="M901" s="89"/>
      <c r="N901" s="89"/>
      <c r="O901" s="89"/>
      <c r="P901" s="89"/>
      <c r="Q901" s="89"/>
      <c r="R901" s="89"/>
      <c r="S901" s="89"/>
      <c r="T901" s="89"/>
      <c r="U901" s="89"/>
      <c r="V901" s="89"/>
      <c r="W901" s="89"/>
      <c r="X901" s="89"/>
      <c r="Y901" s="89"/>
      <c r="Z901" s="89"/>
      <c r="AA901" s="89"/>
    </row>
    <row r="902" ht="14.25" customHeight="1">
      <c r="A902" s="143"/>
      <c r="B902" s="143"/>
      <c r="C902" s="125"/>
      <c r="D902" s="126"/>
      <c r="E902" s="144"/>
      <c r="F902" s="145"/>
      <c r="G902" s="183"/>
      <c r="H902" s="140"/>
      <c r="I902" s="183"/>
      <c r="J902" s="131"/>
      <c r="K902" s="89"/>
      <c r="L902" s="89"/>
      <c r="M902" s="89"/>
      <c r="N902" s="89"/>
      <c r="O902" s="89"/>
      <c r="P902" s="89"/>
      <c r="Q902" s="89"/>
      <c r="R902" s="89"/>
      <c r="S902" s="89"/>
      <c r="T902" s="89"/>
      <c r="U902" s="89"/>
      <c r="V902" s="89"/>
      <c r="W902" s="89"/>
      <c r="X902" s="89"/>
      <c r="Y902" s="89"/>
      <c r="Z902" s="89"/>
      <c r="AA902" s="89"/>
    </row>
    <row r="903" ht="14.25" customHeight="1">
      <c r="A903" s="143"/>
      <c r="B903" s="143"/>
      <c r="C903" s="125"/>
      <c r="D903" s="126"/>
      <c r="E903" s="144"/>
      <c r="F903" s="145"/>
      <c r="G903" s="183"/>
      <c r="H903" s="140"/>
      <c r="I903" s="183"/>
      <c r="J903" s="131"/>
      <c r="K903" s="89"/>
      <c r="L903" s="89"/>
      <c r="M903" s="89"/>
      <c r="N903" s="89"/>
      <c r="O903" s="89"/>
      <c r="P903" s="89"/>
      <c r="Q903" s="89"/>
      <c r="R903" s="89"/>
      <c r="S903" s="89"/>
      <c r="T903" s="89"/>
      <c r="U903" s="89"/>
      <c r="V903" s="89"/>
      <c r="W903" s="89"/>
      <c r="X903" s="89"/>
      <c r="Y903" s="89"/>
      <c r="Z903" s="89"/>
      <c r="AA903" s="89"/>
    </row>
    <row r="904" ht="14.25" customHeight="1">
      <c r="A904" s="143"/>
      <c r="B904" s="143"/>
      <c r="C904" s="125"/>
      <c r="D904" s="126"/>
      <c r="E904" s="144"/>
      <c r="F904" s="145"/>
      <c r="G904" s="183"/>
      <c r="H904" s="140"/>
      <c r="I904" s="183"/>
      <c r="J904" s="131"/>
      <c r="K904" s="89"/>
      <c r="L904" s="89"/>
      <c r="M904" s="89"/>
      <c r="N904" s="89"/>
      <c r="O904" s="89"/>
      <c r="P904" s="89"/>
      <c r="Q904" s="89"/>
      <c r="R904" s="89"/>
      <c r="S904" s="89"/>
      <c r="T904" s="89"/>
      <c r="U904" s="89"/>
      <c r="V904" s="89"/>
      <c r="W904" s="89"/>
      <c r="X904" s="89"/>
      <c r="Y904" s="89"/>
      <c r="Z904" s="89"/>
      <c r="AA904" s="89"/>
    </row>
    <row r="905" ht="14.25" customHeight="1">
      <c r="A905" s="143"/>
      <c r="B905" s="143"/>
      <c r="C905" s="125"/>
      <c r="D905" s="126"/>
      <c r="E905" s="144"/>
      <c r="F905" s="145"/>
      <c r="G905" s="183"/>
      <c r="H905" s="140"/>
      <c r="I905" s="183"/>
      <c r="J905" s="131"/>
      <c r="K905" s="89"/>
      <c r="L905" s="89"/>
      <c r="M905" s="89"/>
      <c r="N905" s="89"/>
      <c r="O905" s="89"/>
      <c r="P905" s="89"/>
      <c r="Q905" s="89"/>
      <c r="R905" s="89"/>
      <c r="S905" s="89"/>
      <c r="T905" s="89"/>
      <c r="U905" s="89"/>
      <c r="V905" s="89"/>
      <c r="W905" s="89"/>
      <c r="X905" s="89"/>
      <c r="Y905" s="89"/>
      <c r="Z905" s="89"/>
      <c r="AA905" s="89"/>
    </row>
    <row r="906" ht="14.25" customHeight="1">
      <c r="A906" s="143"/>
      <c r="B906" s="143"/>
      <c r="C906" s="125"/>
      <c r="D906" s="126"/>
      <c r="E906" s="144"/>
      <c r="F906" s="145"/>
      <c r="G906" s="183"/>
      <c r="H906" s="140"/>
      <c r="I906" s="183"/>
      <c r="J906" s="131"/>
      <c r="K906" s="89"/>
      <c r="L906" s="89"/>
      <c r="M906" s="89"/>
      <c r="N906" s="89"/>
      <c r="O906" s="89"/>
      <c r="P906" s="89"/>
      <c r="Q906" s="89"/>
      <c r="R906" s="89"/>
      <c r="S906" s="89"/>
      <c r="T906" s="89"/>
      <c r="U906" s="89"/>
      <c r="V906" s="89"/>
      <c r="W906" s="89"/>
      <c r="X906" s="89"/>
      <c r="Y906" s="89"/>
      <c r="Z906" s="89"/>
      <c r="AA906" s="89"/>
    </row>
    <row r="907" ht="14.25" customHeight="1">
      <c r="A907" s="143"/>
      <c r="B907" s="143"/>
      <c r="C907" s="125"/>
      <c r="D907" s="126"/>
      <c r="E907" s="144"/>
      <c r="F907" s="145"/>
      <c r="G907" s="183"/>
      <c r="H907" s="140"/>
      <c r="I907" s="183"/>
      <c r="J907" s="131"/>
      <c r="K907" s="89"/>
      <c r="L907" s="89"/>
      <c r="M907" s="89"/>
      <c r="N907" s="89"/>
      <c r="O907" s="89"/>
      <c r="P907" s="89"/>
      <c r="Q907" s="89"/>
      <c r="R907" s="89"/>
      <c r="S907" s="89"/>
      <c r="T907" s="89"/>
      <c r="U907" s="89"/>
      <c r="V907" s="89"/>
      <c r="W907" s="89"/>
      <c r="X907" s="89"/>
      <c r="Y907" s="89"/>
      <c r="Z907" s="89"/>
      <c r="AA907" s="89"/>
    </row>
    <row r="908" ht="14.25" customHeight="1">
      <c r="A908" s="143"/>
      <c r="B908" s="143"/>
      <c r="C908" s="125"/>
      <c r="D908" s="126"/>
      <c r="E908" s="144"/>
      <c r="F908" s="145"/>
      <c r="G908" s="183"/>
      <c r="H908" s="140"/>
      <c r="I908" s="183"/>
      <c r="J908" s="131"/>
      <c r="K908" s="89"/>
      <c r="L908" s="89"/>
      <c r="M908" s="89"/>
      <c r="N908" s="89"/>
      <c r="O908" s="89"/>
      <c r="P908" s="89"/>
      <c r="Q908" s="89"/>
      <c r="R908" s="89"/>
      <c r="S908" s="89"/>
      <c r="T908" s="89"/>
      <c r="U908" s="89"/>
      <c r="V908" s="89"/>
      <c r="W908" s="89"/>
      <c r="X908" s="89"/>
      <c r="Y908" s="89"/>
      <c r="Z908" s="89"/>
      <c r="AA908" s="89"/>
    </row>
    <row r="909" ht="14.25" customHeight="1">
      <c r="A909" s="143"/>
      <c r="B909" s="143"/>
      <c r="C909" s="125"/>
      <c r="D909" s="126"/>
      <c r="E909" s="144"/>
      <c r="F909" s="145"/>
      <c r="G909" s="183"/>
      <c r="H909" s="140"/>
      <c r="I909" s="183"/>
      <c r="J909" s="131"/>
      <c r="K909" s="89"/>
      <c r="L909" s="89"/>
      <c r="M909" s="89"/>
      <c r="N909" s="89"/>
      <c r="O909" s="89"/>
      <c r="P909" s="89"/>
      <c r="Q909" s="89"/>
      <c r="R909" s="89"/>
      <c r="S909" s="89"/>
      <c r="T909" s="89"/>
      <c r="U909" s="89"/>
      <c r="V909" s="89"/>
      <c r="W909" s="89"/>
      <c r="X909" s="89"/>
      <c r="Y909" s="89"/>
      <c r="Z909" s="89"/>
      <c r="AA909" s="89"/>
    </row>
    <row r="910" ht="14.25" customHeight="1">
      <c r="A910" s="151"/>
      <c r="B910" s="151"/>
      <c r="C910" s="125"/>
      <c r="D910" s="126"/>
      <c r="E910" s="144"/>
      <c r="F910" s="145"/>
      <c r="G910" s="183"/>
      <c r="H910" s="140"/>
      <c r="I910" s="183"/>
      <c r="J910" s="131"/>
      <c r="K910" s="89"/>
      <c r="L910" s="89"/>
      <c r="M910" s="89"/>
      <c r="N910" s="89"/>
      <c r="O910" s="89"/>
      <c r="P910" s="89"/>
      <c r="Q910" s="89"/>
      <c r="R910" s="89"/>
      <c r="S910" s="89"/>
      <c r="T910" s="89"/>
      <c r="U910" s="89"/>
      <c r="V910" s="89"/>
      <c r="W910" s="89"/>
      <c r="X910" s="89"/>
      <c r="Y910" s="89"/>
      <c r="Z910" s="89"/>
      <c r="AA910" s="89"/>
    </row>
    <row r="911" ht="14.25" customHeight="1">
      <c r="A911" s="143"/>
      <c r="B911" s="143"/>
      <c r="C911" s="125"/>
      <c r="D911" s="126"/>
      <c r="E911" s="144"/>
      <c r="F911" s="145"/>
      <c r="G911" s="183"/>
      <c r="H911" s="140"/>
      <c r="I911" s="183"/>
      <c r="J911" s="131"/>
      <c r="K911" s="89"/>
      <c r="L911" s="89"/>
      <c r="M911" s="89"/>
      <c r="N911" s="89"/>
      <c r="O911" s="89"/>
      <c r="P911" s="89"/>
      <c r="Q911" s="89"/>
      <c r="R911" s="89"/>
      <c r="S911" s="89"/>
      <c r="T911" s="89"/>
      <c r="U911" s="89"/>
      <c r="V911" s="89"/>
      <c r="W911" s="89"/>
      <c r="X911" s="89"/>
      <c r="Y911" s="89"/>
      <c r="Z911" s="89"/>
      <c r="AA911" s="89"/>
    </row>
    <row r="912" ht="14.25" customHeight="1">
      <c r="A912" s="143"/>
      <c r="B912" s="143"/>
      <c r="C912" s="125"/>
      <c r="D912" s="126"/>
      <c r="E912" s="144"/>
      <c r="F912" s="145"/>
      <c r="G912" s="183"/>
      <c r="H912" s="140"/>
      <c r="I912" s="183"/>
      <c r="J912" s="131"/>
      <c r="K912" s="89"/>
      <c r="L912" s="89"/>
      <c r="M912" s="89"/>
      <c r="N912" s="89"/>
      <c r="O912" s="89"/>
      <c r="P912" s="89"/>
      <c r="Q912" s="89"/>
      <c r="R912" s="89"/>
      <c r="S912" s="89"/>
      <c r="T912" s="89"/>
      <c r="U912" s="89"/>
      <c r="V912" s="89"/>
      <c r="W912" s="89"/>
      <c r="X912" s="89"/>
      <c r="Y912" s="89"/>
      <c r="Z912" s="89"/>
      <c r="AA912" s="89"/>
    </row>
    <row r="913" ht="14.25" customHeight="1">
      <c r="A913" s="143"/>
      <c r="B913" s="143"/>
      <c r="C913" s="125"/>
      <c r="D913" s="126"/>
      <c r="E913" s="144"/>
      <c r="F913" s="145"/>
      <c r="G913" s="183"/>
      <c r="H913" s="140"/>
      <c r="I913" s="183"/>
      <c r="J913" s="131"/>
      <c r="K913" s="89"/>
      <c r="L913" s="89"/>
      <c r="M913" s="89"/>
      <c r="N913" s="89"/>
      <c r="O913" s="89"/>
      <c r="P913" s="89"/>
      <c r="Q913" s="89"/>
      <c r="R913" s="89"/>
      <c r="S913" s="89"/>
      <c r="T913" s="89"/>
      <c r="U913" s="89"/>
      <c r="V913" s="89"/>
      <c r="W913" s="89"/>
      <c r="X913" s="89"/>
      <c r="Y913" s="89"/>
      <c r="Z913" s="89"/>
      <c r="AA913" s="89"/>
    </row>
    <row r="914" ht="14.25" customHeight="1">
      <c r="A914" s="143"/>
      <c r="B914" s="143"/>
      <c r="C914" s="125"/>
      <c r="D914" s="126"/>
      <c r="E914" s="144"/>
      <c r="F914" s="145"/>
      <c r="G914" s="183"/>
      <c r="H914" s="140"/>
      <c r="I914" s="183"/>
      <c r="J914" s="131"/>
      <c r="K914" s="89"/>
      <c r="L914" s="89"/>
      <c r="M914" s="89"/>
      <c r="N914" s="89"/>
      <c r="O914" s="89"/>
      <c r="P914" s="89"/>
      <c r="Q914" s="89"/>
      <c r="R914" s="89"/>
      <c r="S914" s="89"/>
      <c r="T914" s="89"/>
      <c r="U914" s="89"/>
      <c r="V914" s="89"/>
      <c r="W914" s="89"/>
      <c r="X914" s="89"/>
      <c r="Y914" s="89"/>
      <c r="Z914" s="89"/>
      <c r="AA914" s="89"/>
    </row>
    <row r="915" ht="14.25" customHeight="1">
      <c r="A915" s="143"/>
      <c r="B915" s="143"/>
      <c r="C915" s="125"/>
      <c r="D915" s="126"/>
      <c r="E915" s="144"/>
      <c r="F915" s="145"/>
      <c r="G915" s="183"/>
      <c r="H915" s="140"/>
      <c r="I915" s="183"/>
      <c r="J915" s="131"/>
      <c r="K915" s="89"/>
      <c r="L915" s="89"/>
      <c r="M915" s="89"/>
      <c r="N915" s="89"/>
      <c r="O915" s="89"/>
      <c r="P915" s="89"/>
      <c r="Q915" s="89"/>
      <c r="R915" s="89"/>
      <c r="S915" s="89"/>
      <c r="T915" s="89"/>
      <c r="U915" s="89"/>
      <c r="V915" s="89"/>
      <c r="W915" s="89"/>
      <c r="X915" s="89"/>
      <c r="Y915" s="89"/>
      <c r="Z915" s="89"/>
      <c r="AA915" s="89"/>
    </row>
    <row r="916" ht="14.25" customHeight="1">
      <c r="A916" s="143"/>
      <c r="B916" s="143"/>
      <c r="C916" s="125"/>
      <c r="D916" s="126"/>
      <c r="E916" s="144"/>
      <c r="F916" s="145"/>
      <c r="G916" s="183"/>
      <c r="H916" s="140"/>
      <c r="I916" s="183"/>
      <c r="J916" s="131"/>
      <c r="K916" s="89"/>
      <c r="L916" s="89"/>
      <c r="M916" s="89"/>
      <c r="N916" s="89"/>
      <c r="O916" s="89"/>
      <c r="P916" s="89"/>
      <c r="Q916" s="89"/>
      <c r="R916" s="89"/>
      <c r="S916" s="89"/>
      <c r="T916" s="89"/>
      <c r="U916" s="89"/>
      <c r="V916" s="89"/>
      <c r="W916" s="89"/>
      <c r="X916" s="89"/>
      <c r="Y916" s="89"/>
      <c r="Z916" s="89"/>
      <c r="AA916" s="89"/>
    </row>
    <row r="917" ht="14.25" customHeight="1">
      <c r="A917" s="143"/>
      <c r="B917" s="143"/>
      <c r="C917" s="125"/>
      <c r="D917" s="126"/>
      <c r="E917" s="144"/>
      <c r="F917" s="145"/>
      <c r="G917" s="183"/>
      <c r="H917" s="140"/>
      <c r="I917" s="183"/>
      <c r="J917" s="131"/>
      <c r="K917" s="89"/>
      <c r="L917" s="89"/>
      <c r="M917" s="89"/>
      <c r="N917" s="89"/>
      <c r="O917" s="89"/>
      <c r="P917" s="89"/>
      <c r="Q917" s="89"/>
      <c r="R917" s="89"/>
      <c r="S917" s="89"/>
      <c r="T917" s="89"/>
      <c r="U917" s="89"/>
      <c r="V917" s="89"/>
      <c r="W917" s="89"/>
      <c r="X917" s="89"/>
      <c r="Y917" s="89"/>
      <c r="Z917" s="89"/>
      <c r="AA917" s="89"/>
    </row>
    <row r="918" ht="14.25" customHeight="1">
      <c r="A918" s="143"/>
      <c r="B918" s="143"/>
      <c r="C918" s="125"/>
      <c r="D918" s="126"/>
      <c r="E918" s="144"/>
      <c r="F918" s="145"/>
      <c r="G918" s="183"/>
      <c r="H918" s="140"/>
      <c r="I918" s="183"/>
      <c r="J918" s="131"/>
      <c r="K918" s="89"/>
      <c r="L918" s="89"/>
      <c r="M918" s="89"/>
      <c r="N918" s="89"/>
      <c r="O918" s="89"/>
      <c r="P918" s="89"/>
      <c r="Q918" s="89"/>
      <c r="R918" s="89"/>
      <c r="S918" s="89"/>
      <c r="T918" s="89"/>
      <c r="U918" s="89"/>
      <c r="V918" s="89"/>
      <c r="W918" s="89"/>
      <c r="X918" s="89"/>
      <c r="Y918" s="89"/>
      <c r="Z918" s="89"/>
      <c r="AA918" s="89"/>
    </row>
    <row r="919" ht="14.25" customHeight="1">
      <c r="A919" s="143"/>
      <c r="B919" s="143"/>
      <c r="C919" s="125"/>
      <c r="D919" s="126"/>
      <c r="E919" s="144"/>
      <c r="F919" s="145"/>
      <c r="G919" s="183"/>
      <c r="H919" s="140"/>
      <c r="I919" s="183"/>
      <c r="J919" s="131"/>
      <c r="K919" s="89"/>
      <c r="L919" s="89"/>
      <c r="M919" s="89"/>
      <c r="N919" s="89"/>
      <c r="O919" s="89"/>
      <c r="P919" s="89"/>
      <c r="Q919" s="89"/>
      <c r="R919" s="89"/>
      <c r="S919" s="89"/>
      <c r="T919" s="89"/>
      <c r="U919" s="89"/>
      <c r="V919" s="89"/>
      <c r="W919" s="89"/>
      <c r="X919" s="89"/>
      <c r="Y919" s="89"/>
      <c r="Z919" s="89"/>
      <c r="AA919" s="89"/>
    </row>
    <row r="920" ht="14.25" customHeight="1">
      <c r="A920" s="151"/>
      <c r="B920" s="151"/>
      <c r="C920" s="125"/>
      <c r="D920" s="126"/>
      <c r="E920" s="144"/>
      <c r="F920" s="145"/>
      <c r="G920" s="183"/>
      <c r="H920" s="140"/>
      <c r="I920" s="183"/>
      <c r="J920" s="131"/>
      <c r="K920" s="89"/>
      <c r="L920" s="89"/>
      <c r="M920" s="89"/>
      <c r="N920" s="89"/>
      <c r="O920" s="89"/>
      <c r="P920" s="89"/>
      <c r="Q920" s="89"/>
      <c r="R920" s="89"/>
      <c r="S920" s="89"/>
      <c r="T920" s="89"/>
      <c r="U920" s="89"/>
      <c r="V920" s="89"/>
      <c r="W920" s="89"/>
      <c r="X920" s="89"/>
      <c r="Y920" s="89"/>
      <c r="Z920" s="89"/>
      <c r="AA920" s="89"/>
    </row>
    <row r="921" ht="14.25" customHeight="1">
      <c r="A921" s="143"/>
      <c r="B921" s="143"/>
      <c r="C921" s="125"/>
      <c r="D921" s="126"/>
      <c r="E921" s="144"/>
      <c r="F921" s="145"/>
      <c r="G921" s="183"/>
      <c r="H921" s="140"/>
      <c r="I921" s="183"/>
      <c r="J921" s="131"/>
      <c r="K921" s="89"/>
      <c r="L921" s="89"/>
      <c r="M921" s="89"/>
      <c r="N921" s="89"/>
      <c r="O921" s="89"/>
      <c r="P921" s="89"/>
      <c r="Q921" s="89"/>
      <c r="R921" s="89"/>
      <c r="S921" s="89"/>
      <c r="T921" s="89"/>
      <c r="U921" s="89"/>
      <c r="V921" s="89"/>
      <c r="W921" s="89"/>
      <c r="X921" s="89"/>
      <c r="Y921" s="89"/>
      <c r="Z921" s="89"/>
      <c r="AA921" s="89"/>
    </row>
    <row r="922" ht="14.25" customHeight="1">
      <c r="A922" s="143"/>
      <c r="B922" s="143"/>
      <c r="C922" s="125"/>
      <c r="D922" s="126"/>
      <c r="E922" s="144"/>
      <c r="F922" s="145"/>
      <c r="G922" s="183"/>
      <c r="H922" s="140"/>
      <c r="I922" s="183"/>
      <c r="J922" s="131"/>
      <c r="K922" s="89"/>
      <c r="L922" s="89"/>
      <c r="M922" s="89"/>
      <c r="N922" s="89"/>
      <c r="O922" s="89"/>
      <c r="P922" s="89"/>
      <c r="Q922" s="89"/>
      <c r="R922" s="89"/>
      <c r="S922" s="89"/>
      <c r="T922" s="89"/>
      <c r="U922" s="89"/>
      <c r="V922" s="89"/>
      <c r="W922" s="89"/>
      <c r="X922" s="89"/>
      <c r="Y922" s="89"/>
      <c r="Z922" s="89"/>
      <c r="AA922" s="89"/>
    </row>
    <row r="923" ht="14.25" customHeight="1">
      <c r="A923" s="143"/>
      <c r="B923" s="143"/>
      <c r="C923" s="125"/>
      <c r="D923" s="126"/>
      <c r="E923" s="144"/>
      <c r="F923" s="145"/>
      <c r="G923" s="183"/>
      <c r="H923" s="140"/>
      <c r="I923" s="183"/>
      <c r="J923" s="131"/>
      <c r="K923" s="89"/>
      <c r="L923" s="89"/>
      <c r="M923" s="89"/>
      <c r="N923" s="89"/>
      <c r="O923" s="89"/>
      <c r="P923" s="89"/>
      <c r="Q923" s="89"/>
      <c r="R923" s="89"/>
      <c r="S923" s="89"/>
      <c r="T923" s="89"/>
      <c r="U923" s="89"/>
      <c r="V923" s="89"/>
      <c r="W923" s="89"/>
      <c r="X923" s="89"/>
      <c r="Y923" s="89"/>
      <c r="Z923" s="89"/>
      <c r="AA923" s="89"/>
    </row>
    <row r="924" ht="14.25" customHeight="1">
      <c r="A924" s="143"/>
      <c r="B924" s="143"/>
      <c r="C924" s="125"/>
      <c r="D924" s="126"/>
      <c r="E924" s="144"/>
      <c r="F924" s="145"/>
      <c r="G924" s="183"/>
      <c r="H924" s="140"/>
      <c r="I924" s="183"/>
      <c r="J924" s="131"/>
      <c r="K924" s="89"/>
      <c r="L924" s="89"/>
      <c r="M924" s="89"/>
      <c r="N924" s="89"/>
      <c r="O924" s="89"/>
      <c r="P924" s="89"/>
      <c r="Q924" s="89"/>
      <c r="R924" s="89"/>
      <c r="S924" s="89"/>
      <c r="T924" s="89"/>
      <c r="U924" s="89"/>
      <c r="V924" s="89"/>
      <c r="W924" s="89"/>
      <c r="X924" s="89"/>
      <c r="Y924" s="89"/>
      <c r="Z924" s="89"/>
      <c r="AA924" s="89"/>
    </row>
    <row r="925" ht="14.25" customHeight="1">
      <c r="A925" s="143"/>
      <c r="B925" s="143"/>
      <c r="C925" s="125"/>
      <c r="D925" s="126"/>
      <c r="E925" s="144"/>
      <c r="F925" s="145"/>
      <c r="G925" s="183"/>
      <c r="H925" s="140"/>
      <c r="I925" s="183"/>
      <c r="J925" s="131"/>
      <c r="K925" s="89"/>
      <c r="L925" s="89"/>
      <c r="M925" s="89"/>
      <c r="N925" s="89"/>
      <c r="O925" s="89"/>
      <c r="P925" s="89"/>
      <c r="Q925" s="89"/>
      <c r="R925" s="89"/>
      <c r="S925" s="89"/>
      <c r="T925" s="89"/>
      <c r="U925" s="89"/>
      <c r="V925" s="89"/>
      <c r="W925" s="89"/>
      <c r="X925" s="89"/>
      <c r="Y925" s="89"/>
      <c r="Z925" s="89"/>
      <c r="AA925" s="89"/>
    </row>
    <row r="926" ht="14.25" customHeight="1">
      <c r="A926" s="143"/>
      <c r="B926" s="143"/>
      <c r="C926" s="125"/>
      <c r="D926" s="126"/>
      <c r="E926" s="144"/>
      <c r="F926" s="145"/>
      <c r="G926" s="183"/>
      <c r="H926" s="140"/>
      <c r="I926" s="183"/>
      <c r="J926" s="131"/>
      <c r="K926" s="89"/>
      <c r="L926" s="89"/>
      <c r="M926" s="89"/>
      <c r="N926" s="89"/>
      <c r="O926" s="89"/>
      <c r="P926" s="89"/>
      <c r="Q926" s="89"/>
      <c r="R926" s="89"/>
      <c r="S926" s="89"/>
      <c r="T926" s="89"/>
      <c r="U926" s="89"/>
      <c r="V926" s="89"/>
      <c r="W926" s="89"/>
      <c r="X926" s="89"/>
      <c r="Y926" s="89"/>
      <c r="Z926" s="89"/>
      <c r="AA926" s="89"/>
    </row>
    <row r="927" ht="14.25" customHeight="1">
      <c r="A927" s="143"/>
      <c r="B927" s="143"/>
      <c r="C927" s="125"/>
      <c r="D927" s="126"/>
      <c r="E927" s="144"/>
      <c r="F927" s="145"/>
      <c r="G927" s="183"/>
      <c r="H927" s="140"/>
      <c r="I927" s="183"/>
      <c r="J927" s="131"/>
      <c r="K927" s="89"/>
      <c r="L927" s="89"/>
      <c r="M927" s="89"/>
      <c r="N927" s="89"/>
      <c r="O927" s="89"/>
      <c r="P927" s="89"/>
      <c r="Q927" s="89"/>
      <c r="R927" s="89"/>
      <c r="S927" s="89"/>
      <c r="T927" s="89"/>
      <c r="U927" s="89"/>
      <c r="V927" s="89"/>
      <c r="W927" s="89"/>
      <c r="X927" s="89"/>
      <c r="Y927" s="89"/>
      <c r="Z927" s="89"/>
      <c r="AA927" s="89"/>
    </row>
    <row r="928" ht="14.25" customHeight="1">
      <c r="A928" s="143"/>
      <c r="B928" s="143"/>
      <c r="C928" s="125"/>
      <c r="D928" s="126"/>
      <c r="E928" s="144"/>
      <c r="F928" s="145"/>
      <c r="G928" s="183"/>
      <c r="H928" s="140"/>
      <c r="I928" s="183"/>
      <c r="J928" s="131"/>
      <c r="K928" s="89"/>
      <c r="L928" s="89"/>
      <c r="M928" s="89"/>
      <c r="N928" s="89"/>
      <c r="O928" s="89"/>
      <c r="P928" s="89"/>
      <c r="Q928" s="89"/>
      <c r="R928" s="89"/>
      <c r="S928" s="89"/>
      <c r="T928" s="89"/>
      <c r="U928" s="89"/>
      <c r="V928" s="89"/>
      <c r="W928" s="89"/>
      <c r="X928" s="89"/>
      <c r="Y928" s="89"/>
      <c r="Z928" s="89"/>
      <c r="AA928" s="89"/>
    </row>
    <row r="929" ht="14.25" customHeight="1">
      <c r="A929" s="143"/>
      <c r="B929" s="143"/>
      <c r="C929" s="125"/>
      <c r="D929" s="126"/>
      <c r="E929" s="144"/>
      <c r="F929" s="145"/>
      <c r="G929" s="183"/>
      <c r="H929" s="140"/>
      <c r="I929" s="183"/>
      <c r="J929" s="131"/>
      <c r="K929" s="89"/>
      <c r="L929" s="89"/>
      <c r="M929" s="89"/>
      <c r="N929" s="89"/>
      <c r="O929" s="89"/>
      <c r="P929" s="89"/>
      <c r="Q929" s="89"/>
      <c r="R929" s="89"/>
      <c r="S929" s="89"/>
      <c r="T929" s="89"/>
      <c r="U929" s="89"/>
      <c r="V929" s="89"/>
      <c r="W929" s="89"/>
      <c r="X929" s="89"/>
      <c r="Y929" s="89"/>
      <c r="Z929" s="89"/>
      <c r="AA929" s="89"/>
    </row>
    <row r="930" ht="14.25" customHeight="1">
      <c r="A930" s="151"/>
      <c r="B930" s="151"/>
      <c r="C930" s="125"/>
      <c r="D930" s="126"/>
      <c r="E930" s="144"/>
      <c r="F930" s="145"/>
      <c r="G930" s="183"/>
      <c r="H930" s="140"/>
      <c r="I930" s="183"/>
      <c r="J930" s="131"/>
      <c r="K930" s="89"/>
      <c r="L930" s="89"/>
      <c r="M930" s="89"/>
      <c r="N930" s="89"/>
      <c r="O930" s="89"/>
      <c r="P930" s="89"/>
      <c r="Q930" s="89"/>
      <c r="R930" s="89"/>
      <c r="S930" s="89"/>
      <c r="T930" s="89"/>
      <c r="U930" s="89"/>
      <c r="V930" s="89"/>
      <c r="W930" s="89"/>
      <c r="X930" s="89"/>
      <c r="Y930" s="89"/>
      <c r="Z930" s="89"/>
      <c r="AA930" s="89"/>
    </row>
    <row r="931" ht="14.25" customHeight="1">
      <c r="A931" s="143"/>
      <c r="B931" s="143"/>
      <c r="C931" s="125"/>
      <c r="D931" s="126"/>
      <c r="E931" s="144"/>
      <c r="F931" s="145"/>
      <c r="G931" s="183"/>
      <c r="H931" s="140"/>
      <c r="I931" s="183"/>
      <c r="J931" s="131"/>
      <c r="K931" s="89"/>
      <c r="L931" s="89"/>
      <c r="M931" s="89"/>
      <c r="N931" s="89"/>
      <c r="O931" s="89"/>
      <c r="P931" s="89"/>
      <c r="Q931" s="89"/>
      <c r="R931" s="89"/>
      <c r="S931" s="89"/>
      <c r="T931" s="89"/>
      <c r="U931" s="89"/>
      <c r="V931" s="89"/>
      <c r="W931" s="89"/>
      <c r="X931" s="89"/>
      <c r="Y931" s="89"/>
      <c r="Z931" s="89"/>
      <c r="AA931" s="89"/>
    </row>
    <row r="932" ht="14.25" customHeight="1">
      <c r="A932" s="143"/>
      <c r="B932" s="143"/>
      <c r="C932" s="125"/>
      <c r="D932" s="126"/>
      <c r="E932" s="144"/>
      <c r="F932" s="145"/>
      <c r="G932" s="183"/>
      <c r="H932" s="140"/>
      <c r="I932" s="183"/>
      <c r="J932" s="131"/>
      <c r="K932" s="89"/>
      <c r="L932" s="89"/>
      <c r="M932" s="89"/>
      <c r="N932" s="89"/>
      <c r="O932" s="89"/>
      <c r="P932" s="89"/>
      <c r="Q932" s="89"/>
      <c r="R932" s="89"/>
      <c r="S932" s="89"/>
      <c r="T932" s="89"/>
      <c r="U932" s="89"/>
      <c r="V932" s="89"/>
      <c r="W932" s="89"/>
      <c r="X932" s="89"/>
      <c r="Y932" s="89"/>
      <c r="Z932" s="89"/>
      <c r="AA932" s="89"/>
    </row>
    <row r="933" ht="14.25" customHeight="1">
      <c r="A933" s="143"/>
      <c r="B933" s="143"/>
      <c r="C933" s="125"/>
      <c r="D933" s="126"/>
      <c r="E933" s="144"/>
      <c r="F933" s="145"/>
      <c r="G933" s="183"/>
      <c r="H933" s="140"/>
      <c r="I933" s="183"/>
      <c r="J933" s="131"/>
      <c r="K933" s="89"/>
      <c r="L933" s="89"/>
      <c r="M933" s="89"/>
      <c r="N933" s="89"/>
      <c r="O933" s="89"/>
      <c r="P933" s="89"/>
      <c r="Q933" s="89"/>
      <c r="R933" s="89"/>
      <c r="S933" s="89"/>
      <c r="T933" s="89"/>
      <c r="U933" s="89"/>
      <c r="V933" s="89"/>
      <c r="W933" s="89"/>
      <c r="X933" s="89"/>
      <c r="Y933" s="89"/>
      <c r="Z933" s="89"/>
      <c r="AA933" s="89"/>
    </row>
    <row r="934" ht="14.25" customHeight="1">
      <c r="A934" s="143"/>
      <c r="B934" s="143"/>
      <c r="C934" s="125"/>
      <c r="D934" s="126"/>
      <c r="E934" s="144"/>
      <c r="F934" s="145"/>
      <c r="G934" s="183"/>
      <c r="H934" s="140"/>
      <c r="I934" s="183"/>
      <c r="J934" s="131"/>
      <c r="K934" s="89"/>
      <c r="L934" s="89"/>
      <c r="M934" s="89"/>
      <c r="N934" s="89"/>
      <c r="O934" s="89"/>
      <c r="P934" s="89"/>
      <c r="Q934" s="89"/>
      <c r="R934" s="89"/>
      <c r="S934" s="89"/>
      <c r="T934" s="89"/>
      <c r="U934" s="89"/>
      <c r="V934" s="89"/>
      <c r="W934" s="89"/>
      <c r="X934" s="89"/>
      <c r="Y934" s="89"/>
      <c r="Z934" s="89"/>
      <c r="AA934" s="89"/>
    </row>
    <row r="935" ht="14.25" customHeight="1">
      <c r="A935" s="143"/>
      <c r="B935" s="143"/>
      <c r="C935" s="125"/>
      <c r="D935" s="126"/>
      <c r="E935" s="144"/>
      <c r="F935" s="145"/>
      <c r="G935" s="183"/>
      <c r="H935" s="140"/>
      <c r="I935" s="183"/>
      <c r="J935" s="131"/>
      <c r="K935" s="89"/>
      <c r="L935" s="89"/>
      <c r="M935" s="89"/>
      <c r="N935" s="89"/>
      <c r="O935" s="89"/>
      <c r="P935" s="89"/>
      <c r="Q935" s="89"/>
      <c r="R935" s="89"/>
      <c r="S935" s="89"/>
      <c r="T935" s="89"/>
      <c r="U935" s="89"/>
      <c r="V935" s="89"/>
      <c r="W935" s="89"/>
      <c r="X935" s="89"/>
      <c r="Y935" s="89"/>
      <c r="Z935" s="89"/>
      <c r="AA935" s="89"/>
    </row>
    <row r="936" ht="14.25" customHeight="1">
      <c r="A936" s="143"/>
      <c r="B936" s="143"/>
      <c r="C936" s="125"/>
      <c r="D936" s="126"/>
      <c r="E936" s="144"/>
      <c r="F936" s="145"/>
      <c r="G936" s="183"/>
      <c r="H936" s="140"/>
      <c r="I936" s="183"/>
      <c r="J936" s="131"/>
      <c r="K936" s="89"/>
      <c r="L936" s="89"/>
      <c r="M936" s="89"/>
      <c r="N936" s="89"/>
      <c r="O936" s="89"/>
      <c r="P936" s="89"/>
      <c r="Q936" s="89"/>
      <c r="R936" s="89"/>
      <c r="S936" s="89"/>
      <c r="T936" s="89"/>
      <c r="U936" s="89"/>
      <c r="V936" s="89"/>
      <c r="W936" s="89"/>
      <c r="X936" s="89"/>
      <c r="Y936" s="89"/>
      <c r="Z936" s="89"/>
      <c r="AA936" s="89"/>
    </row>
    <row r="937" ht="14.25" customHeight="1">
      <c r="A937" s="143"/>
      <c r="B937" s="143"/>
      <c r="C937" s="125"/>
      <c r="D937" s="126"/>
      <c r="E937" s="144"/>
      <c r="F937" s="145"/>
      <c r="G937" s="183"/>
      <c r="H937" s="140"/>
      <c r="I937" s="183"/>
      <c r="J937" s="131"/>
      <c r="K937" s="89"/>
      <c r="L937" s="89"/>
      <c r="M937" s="89"/>
      <c r="N937" s="89"/>
      <c r="O937" s="89"/>
      <c r="P937" s="89"/>
      <c r="Q937" s="89"/>
      <c r="R937" s="89"/>
      <c r="S937" s="89"/>
      <c r="T937" s="89"/>
      <c r="U937" s="89"/>
      <c r="V937" s="89"/>
      <c r="W937" s="89"/>
      <c r="X937" s="89"/>
      <c r="Y937" s="89"/>
      <c r="Z937" s="89"/>
      <c r="AA937" s="89"/>
    </row>
    <row r="938" ht="14.25" customHeight="1">
      <c r="A938" s="143"/>
      <c r="B938" s="143"/>
      <c r="C938" s="125"/>
      <c r="D938" s="126"/>
      <c r="E938" s="144"/>
      <c r="F938" s="145"/>
      <c r="G938" s="183"/>
      <c r="H938" s="140"/>
      <c r="I938" s="183"/>
      <c r="J938" s="131"/>
      <c r="K938" s="89"/>
      <c r="L938" s="89"/>
      <c r="M938" s="89"/>
      <c r="N938" s="89"/>
      <c r="O938" s="89"/>
      <c r="P938" s="89"/>
      <c r="Q938" s="89"/>
      <c r="R938" s="89"/>
      <c r="S938" s="89"/>
      <c r="T938" s="89"/>
      <c r="U938" s="89"/>
      <c r="V938" s="89"/>
      <c r="W938" s="89"/>
      <c r="X938" s="89"/>
      <c r="Y938" s="89"/>
      <c r="Z938" s="89"/>
      <c r="AA938" s="89"/>
    </row>
    <row r="939" ht="14.25" customHeight="1">
      <c r="A939" s="143"/>
      <c r="B939" s="143"/>
      <c r="C939" s="125"/>
      <c r="D939" s="126"/>
      <c r="E939" s="144"/>
      <c r="F939" s="145"/>
      <c r="G939" s="183"/>
      <c r="H939" s="140"/>
      <c r="I939" s="183"/>
      <c r="J939" s="131"/>
      <c r="K939" s="89"/>
      <c r="L939" s="89"/>
      <c r="M939" s="89"/>
      <c r="N939" s="89"/>
      <c r="O939" s="89"/>
      <c r="P939" s="89"/>
      <c r="Q939" s="89"/>
      <c r="R939" s="89"/>
      <c r="S939" s="89"/>
      <c r="T939" s="89"/>
      <c r="U939" s="89"/>
      <c r="V939" s="89"/>
      <c r="W939" s="89"/>
      <c r="X939" s="89"/>
      <c r="Y939" s="89"/>
      <c r="Z939" s="89"/>
      <c r="AA939" s="89"/>
    </row>
    <row r="940" ht="14.25" customHeight="1">
      <c r="A940" s="151"/>
      <c r="B940" s="151"/>
      <c r="C940" s="125"/>
      <c r="D940" s="126"/>
      <c r="E940" s="144"/>
      <c r="F940" s="145"/>
      <c r="G940" s="183"/>
      <c r="H940" s="140"/>
      <c r="I940" s="183"/>
      <c r="J940" s="131"/>
      <c r="K940" s="89"/>
      <c r="L940" s="89"/>
      <c r="M940" s="89"/>
      <c r="N940" s="89"/>
      <c r="O940" s="89"/>
      <c r="P940" s="89"/>
      <c r="Q940" s="89"/>
      <c r="R940" s="89"/>
      <c r="S940" s="89"/>
      <c r="T940" s="89"/>
      <c r="U940" s="89"/>
      <c r="V940" s="89"/>
      <c r="W940" s="89"/>
      <c r="X940" s="89"/>
      <c r="Y940" s="89"/>
      <c r="Z940" s="89"/>
      <c r="AA940" s="89"/>
    </row>
    <row r="941" ht="14.25" customHeight="1">
      <c r="A941" s="143"/>
      <c r="B941" s="143"/>
      <c r="C941" s="125"/>
      <c r="D941" s="126"/>
      <c r="E941" s="144"/>
      <c r="F941" s="145"/>
      <c r="G941" s="183"/>
      <c r="H941" s="140"/>
      <c r="I941" s="183"/>
      <c r="J941" s="131"/>
      <c r="K941" s="89"/>
      <c r="L941" s="89"/>
      <c r="M941" s="89"/>
      <c r="N941" s="89"/>
      <c r="O941" s="89"/>
      <c r="P941" s="89"/>
      <c r="Q941" s="89"/>
      <c r="R941" s="89"/>
      <c r="S941" s="89"/>
      <c r="T941" s="89"/>
      <c r="U941" s="89"/>
      <c r="V941" s="89"/>
      <c r="W941" s="89"/>
      <c r="X941" s="89"/>
      <c r="Y941" s="89"/>
      <c r="Z941" s="89"/>
      <c r="AA941" s="89"/>
    </row>
    <row r="942" ht="14.25" customHeight="1">
      <c r="A942" s="143"/>
      <c r="B942" s="143"/>
      <c r="C942" s="125"/>
      <c r="D942" s="126"/>
      <c r="E942" s="144"/>
      <c r="F942" s="145"/>
      <c r="G942" s="183"/>
      <c r="H942" s="140"/>
      <c r="I942" s="183"/>
      <c r="J942" s="131"/>
      <c r="K942" s="89"/>
      <c r="L942" s="89"/>
      <c r="M942" s="89"/>
      <c r="N942" s="89"/>
      <c r="O942" s="89"/>
      <c r="P942" s="89"/>
      <c r="Q942" s="89"/>
      <c r="R942" s="89"/>
      <c r="S942" s="89"/>
      <c r="T942" s="89"/>
      <c r="U942" s="89"/>
      <c r="V942" s="89"/>
      <c r="W942" s="89"/>
      <c r="X942" s="89"/>
      <c r="Y942" s="89"/>
      <c r="Z942" s="89"/>
      <c r="AA942" s="89"/>
    </row>
    <row r="943" ht="14.25" customHeight="1">
      <c r="A943" s="143"/>
      <c r="B943" s="143"/>
      <c r="C943" s="125"/>
      <c r="D943" s="126"/>
      <c r="E943" s="144"/>
      <c r="F943" s="145"/>
      <c r="G943" s="183"/>
      <c r="H943" s="140"/>
      <c r="I943" s="183"/>
      <c r="J943" s="131"/>
      <c r="K943" s="89"/>
      <c r="L943" s="89"/>
      <c r="M943" s="89"/>
      <c r="N943" s="89"/>
      <c r="O943" s="89"/>
      <c r="P943" s="89"/>
      <c r="Q943" s="89"/>
      <c r="R943" s="89"/>
      <c r="S943" s="89"/>
      <c r="T943" s="89"/>
      <c r="U943" s="89"/>
      <c r="V943" s="89"/>
      <c r="W943" s="89"/>
      <c r="X943" s="89"/>
      <c r="Y943" s="89"/>
      <c r="Z943" s="89"/>
      <c r="AA943" s="89"/>
    </row>
    <row r="944" ht="14.25" customHeight="1">
      <c r="A944" s="143"/>
      <c r="B944" s="143"/>
      <c r="C944" s="125"/>
      <c r="D944" s="126"/>
      <c r="E944" s="144"/>
      <c r="F944" s="145"/>
      <c r="G944" s="183"/>
      <c r="H944" s="140"/>
      <c r="I944" s="183"/>
      <c r="J944" s="131"/>
      <c r="K944" s="89"/>
      <c r="L944" s="89"/>
      <c r="M944" s="89"/>
      <c r="N944" s="89"/>
      <c r="O944" s="89"/>
      <c r="P944" s="89"/>
      <c r="Q944" s="89"/>
      <c r="R944" s="89"/>
      <c r="S944" s="89"/>
      <c r="T944" s="89"/>
      <c r="U944" s="89"/>
      <c r="V944" s="89"/>
      <c r="W944" s="89"/>
      <c r="X944" s="89"/>
      <c r="Y944" s="89"/>
      <c r="Z944" s="89"/>
      <c r="AA944" s="89"/>
    </row>
    <row r="945" ht="14.25" customHeight="1">
      <c r="A945" s="143"/>
      <c r="B945" s="143"/>
      <c r="C945" s="125"/>
      <c r="D945" s="126"/>
      <c r="E945" s="144"/>
      <c r="F945" s="145"/>
      <c r="G945" s="183"/>
      <c r="H945" s="140"/>
      <c r="I945" s="183"/>
      <c r="J945" s="131"/>
      <c r="K945" s="89"/>
      <c r="L945" s="89"/>
      <c r="M945" s="89"/>
      <c r="N945" s="89"/>
      <c r="O945" s="89"/>
      <c r="P945" s="89"/>
      <c r="Q945" s="89"/>
      <c r="R945" s="89"/>
      <c r="S945" s="89"/>
      <c r="T945" s="89"/>
      <c r="U945" s="89"/>
      <c r="V945" s="89"/>
      <c r="W945" s="89"/>
      <c r="X945" s="89"/>
      <c r="Y945" s="89"/>
      <c r="Z945" s="89"/>
      <c r="AA945" s="89"/>
    </row>
    <row r="946" ht="14.25" customHeight="1">
      <c r="A946" s="143"/>
      <c r="B946" s="143"/>
      <c r="C946" s="125"/>
      <c r="D946" s="126"/>
      <c r="E946" s="144"/>
      <c r="F946" s="145"/>
      <c r="G946" s="183"/>
      <c r="H946" s="140"/>
      <c r="I946" s="183"/>
      <c r="J946" s="131"/>
      <c r="K946" s="89"/>
      <c r="L946" s="89"/>
      <c r="M946" s="89"/>
      <c r="N946" s="89"/>
      <c r="O946" s="89"/>
      <c r="P946" s="89"/>
      <c r="Q946" s="89"/>
      <c r="R946" s="89"/>
      <c r="S946" s="89"/>
      <c r="T946" s="89"/>
      <c r="U946" s="89"/>
      <c r="V946" s="89"/>
      <c r="W946" s="89"/>
      <c r="X946" s="89"/>
      <c r="Y946" s="89"/>
      <c r="Z946" s="89"/>
      <c r="AA946" s="89"/>
    </row>
    <row r="947" ht="14.25" customHeight="1">
      <c r="A947" s="143"/>
      <c r="B947" s="143"/>
      <c r="C947" s="125"/>
      <c r="D947" s="126"/>
      <c r="E947" s="144"/>
      <c r="F947" s="145"/>
      <c r="G947" s="183"/>
      <c r="H947" s="140"/>
      <c r="I947" s="183"/>
      <c r="J947" s="131"/>
      <c r="K947" s="89"/>
      <c r="L947" s="89"/>
      <c r="M947" s="89"/>
      <c r="N947" s="89"/>
      <c r="O947" s="89"/>
      <c r="P947" s="89"/>
      <c r="Q947" s="89"/>
      <c r="R947" s="89"/>
      <c r="S947" s="89"/>
      <c r="T947" s="89"/>
      <c r="U947" s="89"/>
      <c r="V947" s="89"/>
      <c r="W947" s="89"/>
      <c r="X947" s="89"/>
      <c r="Y947" s="89"/>
      <c r="Z947" s="89"/>
      <c r="AA947" s="89"/>
    </row>
    <row r="948" ht="14.25" customHeight="1">
      <c r="A948" s="143"/>
      <c r="B948" s="143"/>
      <c r="C948" s="125"/>
      <c r="D948" s="126"/>
      <c r="E948" s="144"/>
      <c r="F948" s="145"/>
      <c r="G948" s="183"/>
      <c r="H948" s="140"/>
      <c r="I948" s="183"/>
      <c r="J948" s="131"/>
      <c r="K948" s="89"/>
      <c r="L948" s="89"/>
      <c r="M948" s="89"/>
      <c r="N948" s="89"/>
      <c r="O948" s="89"/>
      <c r="P948" s="89"/>
      <c r="Q948" s="89"/>
      <c r="R948" s="89"/>
      <c r="S948" s="89"/>
      <c r="T948" s="89"/>
      <c r="U948" s="89"/>
      <c r="V948" s="89"/>
      <c r="W948" s="89"/>
      <c r="X948" s="89"/>
      <c r="Y948" s="89"/>
      <c r="Z948" s="89"/>
      <c r="AA948" s="89"/>
    </row>
    <row r="949" ht="14.25" customHeight="1">
      <c r="A949" s="143"/>
      <c r="B949" s="143"/>
      <c r="C949" s="125"/>
      <c r="D949" s="126"/>
      <c r="E949" s="144"/>
      <c r="F949" s="145"/>
      <c r="G949" s="183"/>
      <c r="H949" s="140"/>
      <c r="I949" s="183"/>
      <c r="J949" s="131"/>
      <c r="K949" s="89"/>
      <c r="L949" s="89"/>
      <c r="M949" s="89"/>
      <c r="N949" s="89"/>
      <c r="O949" s="89"/>
      <c r="P949" s="89"/>
      <c r="Q949" s="89"/>
      <c r="R949" s="89"/>
      <c r="S949" s="89"/>
      <c r="T949" s="89"/>
      <c r="U949" s="89"/>
      <c r="V949" s="89"/>
      <c r="W949" s="89"/>
      <c r="X949" s="89"/>
      <c r="Y949" s="89"/>
      <c r="Z949" s="89"/>
      <c r="AA949" s="89"/>
    </row>
    <row r="950" ht="14.25" customHeight="1">
      <c r="A950" s="151"/>
      <c r="B950" s="151"/>
      <c r="C950" s="125"/>
      <c r="D950" s="126"/>
      <c r="E950" s="144"/>
      <c r="F950" s="145"/>
      <c r="G950" s="183"/>
      <c r="H950" s="140"/>
      <c r="I950" s="183"/>
      <c r="J950" s="131"/>
      <c r="K950" s="89"/>
      <c r="L950" s="89"/>
      <c r="M950" s="89"/>
      <c r="N950" s="89"/>
      <c r="O950" s="89"/>
      <c r="P950" s="89"/>
      <c r="Q950" s="89"/>
      <c r="R950" s="89"/>
      <c r="S950" s="89"/>
      <c r="T950" s="89"/>
      <c r="U950" s="89"/>
      <c r="V950" s="89"/>
      <c r="W950" s="89"/>
      <c r="X950" s="89"/>
      <c r="Y950" s="89"/>
      <c r="Z950" s="89"/>
      <c r="AA950" s="89"/>
    </row>
    <row r="951" ht="14.25" customHeight="1">
      <c r="A951" s="143"/>
      <c r="B951" s="143"/>
      <c r="C951" s="125"/>
      <c r="D951" s="126"/>
      <c r="E951" s="144"/>
      <c r="F951" s="145"/>
      <c r="G951" s="183"/>
      <c r="H951" s="140"/>
      <c r="I951" s="183"/>
      <c r="J951" s="131"/>
      <c r="K951" s="89"/>
      <c r="L951" s="89"/>
      <c r="M951" s="89"/>
      <c r="N951" s="89"/>
      <c r="O951" s="89"/>
      <c r="P951" s="89"/>
      <c r="Q951" s="89"/>
      <c r="R951" s="89"/>
      <c r="S951" s="89"/>
      <c r="T951" s="89"/>
      <c r="U951" s="89"/>
      <c r="V951" s="89"/>
      <c r="W951" s="89"/>
      <c r="X951" s="89"/>
      <c r="Y951" s="89"/>
      <c r="Z951" s="89"/>
      <c r="AA951" s="89"/>
    </row>
    <row r="952" ht="14.25" customHeight="1">
      <c r="A952" s="143"/>
      <c r="B952" s="143"/>
      <c r="C952" s="125"/>
      <c r="D952" s="126"/>
      <c r="E952" s="144"/>
      <c r="F952" s="145"/>
      <c r="G952" s="183"/>
      <c r="H952" s="140"/>
      <c r="I952" s="183"/>
      <c r="J952" s="131"/>
      <c r="K952" s="89"/>
      <c r="L952" s="89"/>
      <c r="M952" s="89"/>
      <c r="N952" s="89"/>
      <c r="O952" s="89"/>
      <c r="P952" s="89"/>
      <c r="Q952" s="89"/>
      <c r="R952" s="89"/>
      <c r="S952" s="89"/>
      <c r="T952" s="89"/>
      <c r="U952" s="89"/>
      <c r="V952" s="89"/>
      <c r="W952" s="89"/>
      <c r="X952" s="89"/>
      <c r="Y952" s="89"/>
      <c r="Z952" s="89"/>
      <c r="AA952" s="89"/>
    </row>
    <row r="953" ht="14.25" customHeight="1">
      <c r="A953" s="143"/>
      <c r="B953" s="143"/>
      <c r="C953" s="125"/>
      <c r="D953" s="126"/>
      <c r="E953" s="144"/>
      <c r="F953" s="145"/>
      <c r="G953" s="183"/>
      <c r="H953" s="140"/>
      <c r="I953" s="183"/>
      <c r="J953" s="131"/>
      <c r="K953" s="89"/>
      <c r="L953" s="89"/>
      <c r="M953" s="89"/>
      <c r="N953" s="89"/>
      <c r="O953" s="89"/>
      <c r="P953" s="89"/>
      <c r="Q953" s="89"/>
      <c r="R953" s="89"/>
      <c r="S953" s="89"/>
      <c r="T953" s="89"/>
      <c r="U953" s="89"/>
      <c r="V953" s="89"/>
      <c r="W953" s="89"/>
      <c r="X953" s="89"/>
      <c r="Y953" s="89"/>
      <c r="Z953" s="89"/>
      <c r="AA953" s="89"/>
    </row>
    <row r="954" ht="14.25" customHeight="1">
      <c r="A954" s="143"/>
      <c r="B954" s="143"/>
      <c r="C954" s="125"/>
      <c r="D954" s="126"/>
      <c r="E954" s="144"/>
      <c r="F954" s="145"/>
      <c r="G954" s="183"/>
      <c r="H954" s="140"/>
      <c r="I954" s="183"/>
      <c r="J954" s="131"/>
      <c r="K954" s="89"/>
      <c r="L954" s="89"/>
      <c r="M954" s="89"/>
      <c r="N954" s="89"/>
      <c r="O954" s="89"/>
      <c r="P954" s="89"/>
      <c r="Q954" s="89"/>
      <c r="R954" s="89"/>
      <c r="S954" s="89"/>
      <c r="T954" s="89"/>
      <c r="U954" s="89"/>
      <c r="V954" s="89"/>
      <c r="W954" s="89"/>
      <c r="X954" s="89"/>
      <c r="Y954" s="89"/>
      <c r="Z954" s="89"/>
      <c r="AA954" s="89"/>
    </row>
    <row r="955" ht="14.25" customHeight="1">
      <c r="A955" s="143"/>
      <c r="B955" s="143"/>
      <c r="C955" s="125"/>
      <c r="D955" s="126"/>
      <c r="E955" s="144"/>
      <c r="F955" s="145"/>
      <c r="G955" s="183"/>
      <c r="H955" s="140"/>
      <c r="I955" s="183"/>
      <c r="J955" s="131"/>
      <c r="K955" s="89"/>
      <c r="L955" s="89"/>
      <c r="M955" s="89"/>
      <c r="N955" s="89"/>
      <c r="O955" s="89"/>
      <c r="P955" s="89"/>
      <c r="Q955" s="89"/>
      <c r="R955" s="89"/>
      <c r="S955" s="89"/>
      <c r="T955" s="89"/>
      <c r="U955" s="89"/>
      <c r="V955" s="89"/>
      <c r="W955" s="89"/>
      <c r="X955" s="89"/>
      <c r="Y955" s="89"/>
      <c r="Z955" s="89"/>
      <c r="AA955" s="89"/>
    </row>
    <row r="956" ht="14.25" customHeight="1">
      <c r="A956" s="143"/>
      <c r="B956" s="143"/>
      <c r="C956" s="125"/>
      <c r="D956" s="126"/>
      <c r="E956" s="144"/>
      <c r="F956" s="145"/>
      <c r="G956" s="183"/>
      <c r="H956" s="140"/>
      <c r="I956" s="183"/>
      <c r="J956" s="131"/>
      <c r="K956" s="89"/>
      <c r="L956" s="89"/>
      <c r="M956" s="89"/>
      <c r="N956" s="89"/>
      <c r="O956" s="89"/>
      <c r="P956" s="89"/>
      <c r="Q956" s="89"/>
      <c r="R956" s="89"/>
      <c r="S956" s="89"/>
      <c r="T956" s="89"/>
      <c r="U956" s="89"/>
      <c r="V956" s="89"/>
      <c r="W956" s="89"/>
      <c r="X956" s="89"/>
      <c r="Y956" s="89"/>
      <c r="Z956" s="89"/>
      <c r="AA956" s="89"/>
    </row>
    <row r="957" ht="14.25" customHeight="1">
      <c r="A957" s="143"/>
      <c r="B957" s="143"/>
      <c r="C957" s="125"/>
      <c r="D957" s="126"/>
      <c r="E957" s="144"/>
      <c r="F957" s="145"/>
      <c r="G957" s="183"/>
      <c r="H957" s="140"/>
      <c r="I957" s="183"/>
      <c r="J957" s="131"/>
      <c r="K957" s="89"/>
      <c r="L957" s="89"/>
      <c r="M957" s="89"/>
      <c r="N957" s="89"/>
      <c r="O957" s="89"/>
      <c r="P957" s="89"/>
      <c r="Q957" s="89"/>
      <c r="R957" s="89"/>
      <c r="S957" s="89"/>
      <c r="T957" s="89"/>
      <c r="U957" s="89"/>
      <c r="V957" s="89"/>
      <c r="W957" s="89"/>
      <c r="X957" s="89"/>
      <c r="Y957" s="89"/>
      <c r="Z957" s="89"/>
      <c r="AA957" s="89"/>
    </row>
    <row r="958" ht="14.25" customHeight="1">
      <c r="A958" s="143"/>
      <c r="B958" s="143"/>
      <c r="C958" s="125"/>
      <c r="D958" s="126"/>
      <c r="E958" s="144"/>
      <c r="F958" s="145"/>
      <c r="G958" s="183"/>
      <c r="H958" s="140"/>
      <c r="I958" s="183"/>
      <c r="J958" s="131"/>
      <c r="K958" s="89"/>
      <c r="L958" s="89"/>
      <c r="M958" s="89"/>
      <c r="N958" s="89"/>
      <c r="O958" s="89"/>
      <c r="P958" s="89"/>
      <c r="Q958" s="89"/>
      <c r="R958" s="89"/>
      <c r="S958" s="89"/>
      <c r="T958" s="89"/>
      <c r="U958" s="89"/>
      <c r="V958" s="89"/>
      <c r="W958" s="89"/>
      <c r="X958" s="89"/>
      <c r="Y958" s="89"/>
      <c r="Z958" s="89"/>
      <c r="AA958" s="89"/>
    </row>
    <row r="959" ht="14.25" customHeight="1">
      <c r="A959" s="143"/>
      <c r="B959" s="143"/>
      <c r="C959" s="125"/>
      <c r="D959" s="126"/>
      <c r="E959" s="144"/>
      <c r="F959" s="145"/>
      <c r="G959" s="183"/>
      <c r="H959" s="140"/>
      <c r="I959" s="183"/>
      <c r="J959" s="131"/>
      <c r="K959" s="89"/>
      <c r="L959" s="89"/>
      <c r="M959" s="89"/>
      <c r="N959" s="89"/>
      <c r="O959" s="89"/>
      <c r="P959" s="89"/>
      <c r="Q959" s="89"/>
      <c r="R959" s="89"/>
      <c r="S959" s="89"/>
      <c r="T959" s="89"/>
      <c r="U959" s="89"/>
      <c r="V959" s="89"/>
      <c r="W959" s="89"/>
      <c r="X959" s="89"/>
      <c r="Y959" s="89"/>
      <c r="Z959" s="89"/>
      <c r="AA959" s="89"/>
    </row>
    <row r="960" ht="14.25" customHeight="1">
      <c r="A960" s="138"/>
      <c r="B960" s="138"/>
      <c r="C960" s="125"/>
      <c r="D960" s="184"/>
      <c r="E960" s="144"/>
      <c r="F960" s="145"/>
      <c r="G960" s="183"/>
      <c r="H960" s="140"/>
      <c r="I960" s="183"/>
      <c r="J960" s="131"/>
      <c r="K960" s="89"/>
      <c r="L960" s="89"/>
      <c r="M960" s="89"/>
      <c r="N960" s="89"/>
      <c r="O960" s="89"/>
      <c r="P960" s="89"/>
      <c r="Q960" s="89"/>
      <c r="R960" s="89"/>
      <c r="S960" s="89"/>
      <c r="T960" s="89"/>
      <c r="U960" s="89"/>
      <c r="V960" s="89"/>
      <c r="W960" s="89"/>
      <c r="X960" s="89"/>
      <c r="Y960" s="89"/>
      <c r="Z960" s="89"/>
      <c r="AA960" s="89"/>
    </row>
    <row r="961" ht="14.25" customHeight="1">
      <c r="A961" s="138"/>
      <c r="B961" s="138"/>
      <c r="C961" s="125"/>
      <c r="D961" s="184"/>
      <c r="E961" s="144"/>
      <c r="F961" s="145"/>
      <c r="G961" s="183"/>
      <c r="H961" s="140"/>
      <c r="I961" s="183"/>
      <c r="J961" s="131"/>
      <c r="K961" s="89"/>
      <c r="L961" s="89"/>
      <c r="M961" s="89"/>
      <c r="N961" s="89"/>
      <c r="O961" s="89"/>
      <c r="P961" s="89"/>
      <c r="Q961" s="89"/>
      <c r="R961" s="89"/>
      <c r="S961" s="89"/>
      <c r="T961" s="89"/>
      <c r="U961" s="89"/>
      <c r="V961" s="89"/>
      <c r="W961" s="89"/>
      <c r="X961" s="89"/>
      <c r="Y961" s="89"/>
      <c r="Z961" s="89"/>
      <c r="AA961" s="89"/>
    </row>
    <row r="962" ht="14.25" customHeight="1">
      <c r="A962" s="138"/>
      <c r="B962" s="138"/>
      <c r="C962" s="125"/>
      <c r="D962" s="184"/>
      <c r="E962" s="144"/>
      <c r="F962" s="145"/>
      <c r="G962" s="183"/>
      <c r="H962" s="140"/>
      <c r="I962" s="183"/>
      <c r="J962" s="131"/>
      <c r="K962" s="89"/>
      <c r="L962" s="89"/>
      <c r="M962" s="89"/>
      <c r="N962" s="89"/>
      <c r="O962" s="89"/>
      <c r="P962" s="89"/>
      <c r="Q962" s="89"/>
      <c r="R962" s="89"/>
      <c r="S962" s="89"/>
      <c r="T962" s="89"/>
      <c r="U962" s="89"/>
      <c r="V962" s="89"/>
      <c r="W962" s="89"/>
      <c r="X962" s="89"/>
      <c r="Y962" s="89"/>
      <c r="Z962" s="89"/>
      <c r="AA962" s="89"/>
    </row>
    <row r="963" ht="14.25" customHeight="1">
      <c r="A963" s="138"/>
      <c r="B963" s="138"/>
      <c r="C963" s="125"/>
      <c r="D963" s="184"/>
      <c r="E963" s="144"/>
      <c r="F963" s="145"/>
      <c r="G963" s="183"/>
      <c r="H963" s="140"/>
      <c r="I963" s="183"/>
      <c r="J963" s="131"/>
      <c r="K963" s="89"/>
      <c r="L963" s="89"/>
      <c r="M963" s="89"/>
      <c r="N963" s="89"/>
      <c r="O963" s="89"/>
      <c r="P963" s="89"/>
      <c r="Q963" s="89"/>
      <c r="R963" s="89"/>
      <c r="S963" s="89"/>
      <c r="T963" s="89"/>
      <c r="U963" s="89"/>
      <c r="V963" s="89"/>
      <c r="W963" s="89"/>
      <c r="X963" s="89"/>
      <c r="Y963" s="89"/>
      <c r="Z963" s="89"/>
      <c r="AA963" s="89"/>
    </row>
    <row r="964" ht="14.25" customHeight="1">
      <c r="A964" s="138"/>
      <c r="B964" s="138"/>
      <c r="C964" s="125"/>
      <c r="D964" s="184"/>
      <c r="E964" s="144"/>
      <c r="F964" s="145"/>
      <c r="G964" s="183"/>
      <c r="H964" s="140"/>
      <c r="I964" s="183"/>
      <c r="J964" s="131"/>
      <c r="K964" s="89"/>
      <c r="L964" s="89"/>
      <c r="M964" s="89"/>
      <c r="N964" s="89"/>
      <c r="O964" s="89"/>
      <c r="P964" s="89"/>
      <c r="Q964" s="89"/>
      <c r="R964" s="89"/>
      <c r="S964" s="89"/>
      <c r="T964" s="89"/>
      <c r="U964" s="89"/>
      <c r="V964" s="89"/>
      <c r="W964" s="89"/>
      <c r="X964" s="89"/>
      <c r="Y964" s="89"/>
      <c r="Z964" s="89"/>
      <c r="AA964" s="89"/>
    </row>
    <row r="965" ht="14.25" customHeight="1">
      <c r="A965" s="138"/>
      <c r="B965" s="138"/>
      <c r="C965" s="125"/>
      <c r="D965" s="184"/>
      <c r="E965" s="144"/>
      <c r="F965" s="145"/>
      <c r="G965" s="183"/>
      <c r="H965" s="140"/>
      <c r="I965" s="183"/>
      <c r="J965" s="131"/>
      <c r="K965" s="89"/>
      <c r="L965" s="89"/>
      <c r="M965" s="89"/>
      <c r="N965" s="89"/>
      <c r="O965" s="89"/>
      <c r="P965" s="89"/>
      <c r="Q965" s="89"/>
      <c r="R965" s="89"/>
      <c r="S965" s="89"/>
      <c r="T965" s="89"/>
      <c r="U965" s="89"/>
      <c r="V965" s="89"/>
      <c r="W965" s="89"/>
      <c r="X965" s="89"/>
      <c r="Y965" s="89"/>
      <c r="Z965" s="89"/>
      <c r="AA965" s="89"/>
    </row>
    <row r="966" ht="14.25" customHeight="1">
      <c r="A966" s="138"/>
      <c r="B966" s="138"/>
      <c r="C966" s="125"/>
      <c r="D966" s="184"/>
      <c r="E966" s="144"/>
      <c r="F966" s="145"/>
      <c r="G966" s="183"/>
      <c r="H966" s="140"/>
      <c r="I966" s="183"/>
      <c r="J966" s="131"/>
      <c r="K966" s="89"/>
      <c r="L966" s="89"/>
      <c r="M966" s="89"/>
      <c r="N966" s="89"/>
      <c r="O966" s="89"/>
      <c r="P966" s="89"/>
      <c r="Q966" s="89"/>
      <c r="R966" s="89"/>
      <c r="S966" s="89"/>
      <c r="T966" s="89"/>
      <c r="U966" s="89"/>
      <c r="V966" s="89"/>
      <c r="W966" s="89"/>
      <c r="X966" s="89"/>
      <c r="Y966" s="89"/>
      <c r="Z966" s="89"/>
      <c r="AA966" s="89"/>
    </row>
    <row r="967" ht="14.25" customHeight="1">
      <c r="A967" s="138"/>
      <c r="B967" s="138"/>
      <c r="C967" s="125"/>
      <c r="D967" s="184"/>
      <c r="E967" s="144"/>
      <c r="F967" s="145"/>
      <c r="G967" s="183"/>
      <c r="H967" s="140"/>
      <c r="I967" s="183"/>
      <c r="J967" s="131"/>
      <c r="K967" s="89"/>
      <c r="L967" s="89"/>
      <c r="M967" s="89"/>
      <c r="N967" s="89"/>
      <c r="O967" s="89"/>
      <c r="P967" s="89"/>
      <c r="Q967" s="89"/>
      <c r="R967" s="89"/>
      <c r="S967" s="89"/>
      <c r="T967" s="89"/>
      <c r="U967" s="89"/>
      <c r="V967" s="89"/>
      <c r="W967" s="89"/>
      <c r="X967" s="89"/>
      <c r="Y967" s="89"/>
      <c r="Z967" s="89"/>
      <c r="AA967" s="89"/>
    </row>
    <row r="968" ht="14.25" customHeight="1">
      <c r="A968" s="138"/>
      <c r="B968" s="138"/>
      <c r="C968" s="125"/>
      <c r="D968" s="184"/>
      <c r="E968" s="144"/>
      <c r="F968" s="145"/>
      <c r="G968" s="183"/>
      <c r="H968" s="140"/>
      <c r="I968" s="183"/>
      <c r="J968" s="131"/>
      <c r="K968" s="89"/>
      <c r="L968" s="89"/>
      <c r="M968" s="89"/>
      <c r="N968" s="89"/>
      <c r="O968" s="89"/>
      <c r="P968" s="89"/>
      <c r="Q968" s="89"/>
      <c r="R968" s="89"/>
      <c r="S968" s="89"/>
      <c r="T968" s="89"/>
      <c r="U968" s="89"/>
      <c r="V968" s="89"/>
      <c r="W968" s="89"/>
      <c r="X968" s="89"/>
      <c r="Y968" s="89"/>
      <c r="Z968" s="89"/>
      <c r="AA968" s="89"/>
    </row>
    <row r="969" ht="14.25" customHeight="1">
      <c r="A969" s="138"/>
      <c r="B969" s="138"/>
      <c r="C969" s="125"/>
      <c r="D969" s="184"/>
      <c r="E969" s="144"/>
      <c r="F969" s="145"/>
      <c r="G969" s="183"/>
      <c r="H969" s="140"/>
      <c r="I969" s="183"/>
      <c r="J969" s="131"/>
      <c r="K969" s="89"/>
      <c r="L969" s="89"/>
      <c r="M969" s="89"/>
      <c r="N969" s="89"/>
      <c r="O969" s="89"/>
      <c r="P969" s="89"/>
      <c r="Q969" s="89"/>
      <c r="R969" s="89"/>
      <c r="S969" s="89"/>
      <c r="T969" s="89"/>
      <c r="U969" s="89"/>
      <c r="V969" s="89"/>
      <c r="W969" s="89"/>
      <c r="X969" s="89"/>
      <c r="Y969" s="89"/>
      <c r="Z969" s="89"/>
      <c r="AA969" s="89"/>
    </row>
    <row r="970" ht="14.25" customHeight="1">
      <c r="A970" s="138"/>
      <c r="B970" s="138"/>
      <c r="C970" s="125"/>
      <c r="D970" s="184"/>
      <c r="E970" s="144"/>
      <c r="F970" s="145"/>
      <c r="G970" s="183"/>
      <c r="H970" s="140"/>
      <c r="I970" s="183"/>
      <c r="J970" s="131"/>
      <c r="K970" s="89"/>
      <c r="L970" s="89"/>
      <c r="M970" s="89"/>
      <c r="N970" s="89"/>
      <c r="O970" s="89"/>
      <c r="P970" s="89"/>
      <c r="Q970" s="89"/>
      <c r="R970" s="89"/>
      <c r="S970" s="89"/>
      <c r="T970" s="89"/>
      <c r="U970" s="89"/>
      <c r="V970" s="89"/>
      <c r="W970" s="89"/>
      <c r="X970" s="89"/>
      <c r="Y970" s="89"/>
      <c r="Z970" s="89"/>
      <c r="AA970" s="89"/>
    </row>
    <row r="971" ht="14.25" customHeight="1">
      <c r="A971" s="138"/>
      <c r="B971" s="138"/>
      <c r="C971" s="125"/>
      <c r="D971" s="184"/>
      <c r="E971" s="144"/>
      <c r="F971" s="145"/>
      <c r="G971" s="183"/>
      <c r="H971" s="140"/>
      <c r="I971" s="183"/>
      <c r="J971" s="131"/>
      <c r="K971" s="89"/>
      <c r="L971" s="89"/>
      <c r="M971" s="89"/>
      <c r="N971" s="89"/>
      <c r="O971" s="89"/>
      <c r="P971" s="89"/>
      <c r="Q971" s="89"/>
      <c r="R971" s="89"/>
      <c r="S971" s="89"/>
      <c r="T971" s="89"/>
      <c r="U971" s="89"/>
      <c r="V971" s="89"/>
      <c r="W971" s="89"/>
      <c r="X971" s="89"/>
      <c r="Y971" s="89"/>
      <c r="Z971" s="89"/>
      <c r="AA971" s="89"/>
    </row>
    <row r="972" ht="14.25" customHeight="1">
      <c r="A972" s="138"/>
      <c r="B972" s="138"/>
      <c r="C972" s="125"/>
      <c r="D972" s="184"/>
      <c r="E972" s="144"/>
      <c r="F972" s="145"/>
      <c r="G972" s="183"/>
      <c r="H972" s="140"/>
      <c r="I972" s="183"/>
      <c r="J972" s="131"/>
      <c r="K972" s="89"/>
      <c r="L972" s="89"/>
      <c r="M972" s="89"/>
      <c r="N972" s="89"/>
      <c r="O972" s="89"/>
      <c r="P972" s="89"/>
      <c r="Q972" s="89"/>
      <c r="R972" s="89"/>
      <c r="S972" s="89"/>
      <c r="T972" s="89"/>
      <c r="U972" s="89"/>
      <c r="V972" s="89"/>
      <c r="W972" s="89"/>
      <c r="X972" s="89"/>
      <c r="Y972" s="89"/>
      <c r="Z972" s="89"/>
      <c r="AA972" s="89"/>
    </row>
    <row r="973" ht="14.25" customHeight="1">
      <c r="A973" s="138"/>
      <c r="B973" s="138"/>
      <c r="C973" s="125"/>
      <c r="D973" s="184"/>
      <c r="E973" s="144"/>
      <c r="F973" s="145"/>
      <c r="G973" s="183"/>
      <c r="H973" s="140"/>
      <c r="I973" s="183"/>
      <c r="J973" s="131"/>
      <c r="K973" s="89"/>
      <c r="L973" s="89"/>
      <c r="M973" s="89"/>
      <c r="N973" s="89"/>
      <c r="O973" s="89"/>
      <c r="P973" s="89"/>
      <c r="Q973" s="89"/>
      <c r="R973" s="89"/>
      <c r="S973" s="89"/>
      <c r="T973" s="89"/>
      <c r="U973" s="89"/>
      <c r="V973" s="89"/>
      <c r="W973" s="89"/>
      <c r="X973" s="89"/>
      <c r="Y973" s="89"/>
      <c r="Z973" s="89"/>
      <c r="AA973" s="89"/>
    </row>
    <row r="974" ht="14.25" customHeight="1">
      <c r="A974" s="138"/>
      <c r="B974" s="138"/>
      <c r="C974" s="125"/>
      <c r="D974" s="184"/>
      <c r="E974" s="144"/>
      <c r="F974" s="145"/>
      <c r="G974" s="183"/>
      <c r="H974" s="140"/>
      <c r="I974" s="183"/>
      <c r="J974" s="131"/>
      <c r="K974" s="89"/>
      <c r="L974" s="89"/>
      <c r="M974" s="89"/>
      <c r="N974" s="89"/>
      <c r="O974" s="89"/>
      <c r="P974" s="89"/>
      <c r="Q974" s="89"/>
      <c r="R974" s="89"/>
      <c r="S974" s="89"/>
      <c r="T974" s="89"/>
      <c r="U974" s="89"/>
      <c r="V974" s="89"/>
      <c r="W974" s="89"/>
      <c r="X974" s="89"/>
      <c r="Y974" s="89"/>
      <c r="Z974" s="89"/>
      <c r="AA974" s="89"/>
    </row>
    <row r="975" ht="14.25" customHeight="1">
      <c r="A975" s="138"/>
      <c r="B975" s="138"/>
      <c r="C975" s="125"/>
      <c r="D975" s="184"/>
      <c r="E975" s="144"/>
      <c r="F975" s="145"/>
      <c r="G975" s="183"/>
      <c r="H975" s="140"/>
      <c r="I975" s="183"/>
      <c r="J975" s="131"/>
      <c r="K975" s="89"/>
      <c r="L975" s="89"/>
      <c r="M975" s="89"/>
      <c r="N975" s="89"/>
      <c r="O975" s="89"/>
      <c r="P975" s="89"/>
      <c r="Q975" s="89"/>
      <c r="R975" s="89"/>
      <c r="S975" s="89"/>
      <c r="T975" s="89"/>
      <c r="U975" s="89"/>
      <c r="V975" s="89"/>
      <c r="W975" s="89"/>
      <c r="X975" s="89"/>
      <c r="Y975" s="89"/>
      <c r="Z975" s="89"/>
      <c r="AA975" s="89"/>
    </row>
    <row r="976" ht="14.25" customHeight="1">
      <c r="A976" s="138"/>
      <c r="B976" s="138"/>
      <c r="C976" s="125"/>
      <c r="D976" s="184"/>
      <c r="E976" s="144"/>
      <c r="F976" s="145"/>
      <c r="G976" s="183"/>
      <c r="H976" s="140"/>
      <c r="I976" s="183"/>
      <c r="J976" s="131"/>
      <c r="K976" s="89"/>
      <c r="L976" s="89"/>
      <c r="M976" s="89"/>
      <c r="N976" s="89"/>
      <c r="O976" s="89"/>
      <c r="P976" s="89"/>
      <c r="Q976" s="89"/>
      <c r="R976" s="89"/>
      <c r="S976" s="89"/>
      <c r="T976" s="89"/>
      <c r="U976" s="89"/>
      <c r="V976" s="89"/>
      <c r="W976" s="89"/>
      <c r="X976" s="89"/>
      <c r="Y976" s="89"/>
      <c r="Z976" s="89"/>
      <c r="AA976" s="89"/>
    </row>
    <row r="977" ht="14.25" customHeight="1">
      <c r="A977" s="138"/>
      <c r="B977" s="138"/>
      <c r="C977" s="125"/>
      <c r="D977" s="184"/>
      <c r="E977" s="144"/>
      <c r="F977" s="145"/>
      <c r="G977" s="183"/>
      <c r="H977" s="140"/>
      <c r="I977" s="183"/>
      <c r="J977" s="131"/>
      <c r="K977" s="89"/>
      <c r="L977" s="89"/>
      <c r="M977" s="89"/>
      <c r="N977" s="89"/>
      <c r="O977" s="89"/>
      <c r="P977" s="89"/>
      <c r="Q977" s="89"/>
      <c r="R977" s="89"/>
      <c r="S977" s="89"/>
      <c r="T977" s="89"/>
      <c r="U977" s="89"/>
      <c r="V977" s="89"/>
      <c r="W977" s="89"/>
      <c r="X977" s="89"/>
      <c r="Y977" s="89"/>
      <c r="Z977" s="89"/>
      <c r="AA977" s="89"/>
    </row>
    <row r="978" ht="14.25" customHeight="1">
      <c r="A978" s="138"/>
      <c r="B978" s="138"/>
      <c r="C978" s="125"/>
      <c r="D978" s="184"/>
      <c r="E978" s="144"/>
      <c r="F978" s="145"/>
      <c r="G978" s="183"/>
      <c r="H978" s="140"/>
      <c r="I978" s="183"/>
      <c r="J978" s="131"/>
      <c r="K978" s="89"/>
      <c r="L978" s="89"/>
      <c r="M978" s="89"/>
      <c r="N978" s="89"/>
      <c r="O978" s="89"/>
      <c r="P978" s="89"/>
      <c r="Q978" s="89"/>
      <c r="R978" s="89"/>
      <c r="S978" s="89"/>
      <c r="T978" s="89"/>
      <c r="U978" s="89"/>
      <c r="V978" s="89"/>
      <c r="W978" s="89"/>
      <c r="X978" s="89"/>
      <c r="Y978" s="89"/>
      <c r="Z978" s="89"/>
      <c r="AA978" s="89"/>
    </row>
    <row r="979" ht="14.25" customHeight="1">
      <c r="A979" s="138"/>
      <c r="B979" s="138"/>
      <c r="C979" s="125"/>
      <c r="D979" s="184"/>
      <c r="E979" s="144"/>
      <c r="F979" s="145"/>
      <c r="G979" s="183"/>
      <c r="H979" s="140"/>
      <c r="I979" s="183"/>
      <c r="J979" s="131"/>
      <c r="K979" s="89"/>
      <c r="L979" s="89"/>
      <c r="M979" s="89"/>
      <c r="N979" s="89"/>
      <c r="O979" s="89"/>
      <c r="P979" s="89"/>
      <c r="Q979" s="89"/>
      <c r="R979" s="89"/>
      <c r="S979" s="89"/>
      <c r="T979" s="89"/>
      <c r="U979" s="89"/>
      <c r="V979" s="89"/>
      <c r="W979" s="89"/>
      <c r="X979" s="89"/>
      <c r="Y979" s="89"/>
      <c r="Z979" s="89"/>
      <c r="AA979" s="89"/>
    </row>
    <row r="980" ht="14.25" customHeight="1">
      <c r="A980" s="138"/>
      <c r="B980" s="138"/>
      <c r="C980" s="125"/>
      <c r="D980" s="184"/>
      <c r="E980" s="144"/>
      <c r="F980" s="145"/>
      <c r="G980" s="183"/>
      <c r="H980" s="140"/>
      <c r="I980" s="183"/>
      <c r="J980" s="131"/>
      <c r="K980" s="89"/>
      <c r="L980" s="89"/>
      <c r="M980" s="89"/>
      <c r="N980" s="89"/>
      <c r="O980" s="89"/>
      <c r="P980" s="89"/>
      <c r="Q980" s="89"/>
      <c r="R980" s="89"/>
      <c r="S980" s="89"/>
      <c r="T980" s="89"/>
      <c r="U980" s="89"/>
      <c r="V980" s="89"/>
      <c r="W980" s="89"/>
      <c r="X980" s="89"/>
      <c r="Y980" s="89"/>
      <c r="Z980" s="89"/>
      <c r="AA980" s="89"/>
    </row>
    <row r="981" ht="14.25" customHeight="1">
      <c r="A981" s="138"/>
      <c r="B981" s="138"/>
      <c r="C981" s="125"/>
      <c r="D981" s="184"/>
      <c r="E981" s="144"/>
      <c r="F981" s="145"/>
      <c r="G981" s="183"/>
      <c r="H981" s="140"/>
      <c r="I981" s="183"/>
      <c r="J981" s="131"/>
      <c r="K981" s="89"/>
      <c r="L981" s="89"/>
      <c r="M981" s="89"/>
      <c r="N981" s="89"/>
      <c r="O981" s="89"/>
      <c r="P981" s="89"/>
      <c r="Q981" s="89"/>
      <c r="R981" s="89"/>
      <c r="S981" s="89"/>
      <c r="T981" s="89"/>
      <c r="U981" s="89"/>
      <c r="V981" s="89"/>
      <c r="W981" s="89"/>
      <c r="X981" s="89"/>
      <c r="Y981" s="89"/>
      <c r="Z981" s="89"/>
      <c r="AA981" s="89"/>
    </row>
    <row r="982" ht="14.25" customHeight="1">
      <c r="A982" s="138"/>
      <c r="B982" s="138"/>
      <c r="C982" s="125"/>
      <c r="D982" s="184"/>
      <c r="E982" s="144"/>
      <c r="F982" s="145"/>
      <c r="G982" s="183"/>
      <c r="H982" s="140"/>
      <c r="I982" s="183"/>
      <c r="J982" s="131"/>
      <c r="K982" s="89"/>
      <c r="L982" s="89"/>
      <c r="M982" s="89"/>
      <c r="N982" s="89"/>
      <c r="O982" s="89"/>
      <c r="P982" s="89"/>
      <c r="Q982" s="89"/>
      <c r="R982" s="89"/>
      <c r="S982" s="89"/>
      <c r="T982" s="89"/>
      <c r="U982" s="89"/>
      <c r="V982" s="89"/>
      <c r="W982" s="89"/>
      <c r="X982" s="89"/>
      <c r="Y982" s="89"/>
      <c r="Z982" s="89"/>
      <c r="AA982" s="89"/>
    </row>
    <row r="983" ht="14.25" customHeight="1">
      <c r="A983" s="138"/>
      <c r="B983" s="138"/>
      <c r="C983" s="125"/>
      <c r="D983" s="184"/>
      <c r="E983" s="144"/>
      <c r="F983" s="145"/>
      <c r="G983" s="183"/>
      <c r="H983" s="140"/>
      <c r="I983" s="183"/>
      <c r="J983" s="131"/>
      <c r="K983" s="89"/>
      <c r="L983" s="89"/>
      <c r="M983" s="89"/>
      <c r="N983" s="89"/>
      <c r="O983" s="89"/>
      <c r="P983" s="89"/>
      <c r="Q983" s="89"/>
      <c r="R983" s="89"/>
      <c r="S983" s="89"/>
      <c r="T983" s="89"/>
      <c r="U983" s="89"/>
      <c r="V983" s="89"/>
      <c r="W983" s="89"/>
      <c r="X983" s="89"/>
      <c r="Y983" s="89"/>
      <c r="Z983" s="89"/>
      <c r="AA983" s="89"/>
    </row>
    <row r="984" ht="14.25" customHeight="1">
      <c r="A984" s="138"/>
      <c r="B984" s="138"/>
      <c r="C984" s="125"/>
      <c r="D984" s="184"/>
      <c r="E984" s="144"/>
      <c r="F984" s="145"/>
      <c r="G984" s="183"/>
      <c r="H984" s="140"/>
      <c r="I984" s="183"/>
      <c r="J984" s="131"/>
      <c r="K984" s="89"/>
      <c r="L984" s="89"/>
      <c r="M984" s="89"/>
      <c r="N984" s="89"/>
      <c r="O984" s="89"/>
      <c r="P984" s="89"/>
      <c r="Q984" s="89"/>
      <c r="R984" s="89"/>
      <c r="S984" s="89"/>
      <c r="T984" s="89"/>
      <c r="U984" s="89"/>
      <c r="V984" s="89"/>
      <c r="W984" s="89"/>
      <c r="X984" s="89"/>
      <c r="Y984" s="89"/>
      <c r="Z984" s="89"/>
      <c r="AA984" s="89"/>
    </row>
    <row r="985" ht="14.25" customHeight="1">
      <c r="A985" s="138"/>
      <c r="B985" s="138"/>
      <c r="C985" s="125"/>
      <c r="D985" s="184"/>
      <c r="E985" s="144"/>
      <c r="F985" s="145"/>
      <c r="G985" s="183"/>
      <c r="H985" s="140"/>
      <c r="I985" s="183"/>
      <c r="J985" s="131"/>
      <c r="K985" s="89"/>
      <c r="L985" s="89"/>
      <c r="M985" s="89"/>
      <c r="N985" s="89"/>
      <c r="O985" s="89"/>
      <c r="P985" s="89"/>
      <c r="Q985" s="89"/>
      <c r="R985" s="89"/>
      <c r="S985" s="89"/>
      <c r="T985" s="89"/>
      <c r="U985" s="89"/>
      <c r="V985" s="89"/>
      <c r="W985" s="89"/>
      <c r="X985" s="89"/>
      <c r="Y985" s="89"/>
      <c r="Z985" s="89"/>
      <c r="AA985" s="89"/>
    </row>
    <row r="986" ht="14.25" customHeight="1">
      <c r="A986" s="138"/>
      <c r="B986" s="138"/>
      <c r="C986" s="125"/>
      <c r="D986" s="184"/>
      <c r="E986" s="144"/>
      <c r="F986" s="145"/>
      <c r="G986" s="183"/>
      <c r="H986" s="140"/>
      <c r="I986" s="183"/>
      <c r="J986" s="131"/>
      <c r="K986" s="89"/>
      <c r="L986" s="89"/>
      <c r="M986" s="89"/>
      <c r="N986" s="89"/>
      <c r="O986" s="89"/>
      <c r="P986" s="89"/>
      <c r="Q986" s="89"/>
      <c r="R986" s="89"/>
      <c r="S986" s="89"/>
      <c r="T986" s="89"/>
      <c r="U986" s="89"/>
      <c r="V986" s="89"/>
      <c r="W986" s="89"/>
      <c r="X986" s="89"/>
      <c r="Y986" s="89"/>
      <c r="Z986" s="89"/>
      <c r="AA986" s="89"/>
    </row>
    <row r="987" ht="14.25" customHeight="1">
      <c r="A987" s="138"/>
      <c r="B987" s="138"/>
      <c r="C987" s="125"/>
      <c r="D987" s="184"/>
      <c r="E987" s="144"/>
      <c r="F987" s="145"/>
      <c r="G987" s="183"/>
      <c r="H987" s="140"/>
      <c r="I987" s="183"/>
      <c r="J987" s="131"/>
      <c r="K987" s="89"/>
      <c r="L987" s="89"/>
      <c r="M987" s="89"/>
      <c r="N987" s="89"/>
      <c r="O987" s="89"/>
      <c r="P987" s="89"/>
      <c r="Q987" s="89"/>
      <c r="R987" s="89"/>
      <c r="S987" s="89"/>
      <c r="T987" s="89"/>
      <c r="U987" s="89"/>
      <c r="V987" s="89"/>
      <c r="W987" s="89"/>
      <c r="X987" s="89"/>
      <c r="Y987" s="89"/>
      <c r="Z987" s="89"/>
      <c r="AA987" s="89"/>
    </row>
    <row r="988" ht="14.25" customHeight="1">
      <c r="A988" s="138"/>
      <c r="B988" s="138"/>
      <c r="C988" s="125"/>
      <c r="D988" s="184"/>
      <c r="E988" s="144"/>
      <c r="F988" s="145"/>
      <c r="G988" s="183"/>
      <c r="H988" s="140"/>
      <c r="I988" s="183"/>
      <c r="J988" s="131"/>
      <c r="K988" s="89"/>
      <c r="L988" s="89"/>
      <c r="M988" s="89"/>
      <c r="N988" s="89"/>
      <c r="O988" s="89"/>
      <c r="P988" s="89"/>
      <c r="Q988" s="89"/>
      <c r="R988" s="89"/>
      <c r="S988" s="89"/>
      <c r="T988" s="89"/>
      <c r="U988" s="89"/>
      <c r="V988" s="89"/>
      <c r="W988" s="89"/>
      <c r="X988" s="89"/>
      <c r="Y988" s="89"/>
      <c r="Z988" s="89"/>
      <c r="AA988" s="89"/>
    </row>
    <row r="989" ht="14.25" customHeight="1">
      <c r="A989" s="138"/>
      <c r="B989" s="138"/>
      <c r="C989" s="125"/>
      <c r="D989" s="184"/>
      <c r="E989" s="144"/>
      <c r="F989" s="145"/>
      <c r="G989" s="183"/>
      <c r="H989" s="140"/>
      <c r="I989" s="183"/>
      <c r="J989" s="131"/>
      <c r="K989" s="89"/>
      <c r="L989" s="89"/>
      <c r="M989" s="89"/>
      <c r="N989" s="89"/>
      <c r="O989" s="89"/>
      <c r="P989" s="89"/>
      <c r="Q989" s="89"/>
      <c r="R989" s="89"/>
      <c r="S989" s="89"/>
      <c r="T989" s="89"/>
      <c r="U989" s="89"/>
      <c r="V989" s="89"/>
      <c r="W989" s="89"/>
      <c r="X989" s="89"/>
      <c r="Y989" s="89"/>
      <c r="Z989" s="89"/>
      <c r="AA989" s="89"/>
    </row>
    <row r="990" ht="14.25" customHeight="1">
      <c r="A990" s="138"/>
      <c r="B990" s="138"/>
      <c r="C990" s="125"/>
      <c r="D990" s="184"/>
      <c r="E990" s="144"/>
      <c r="F990" s="145"/>
      <c r="G990" s="183"/>
      <c r="H990" s="140"/>
      <c r="I990" s="183"/>
      <c r="J990" s="131"/>
      <c r="K990" s="89"/>
      <c r="L990" s="89"/>
      <c r="M990" s="89"/>
      <c r="N990" s="89"/>
      <c r="O990" s="89"/>
      <c r="P990" s="89"/>
      <c r="Q990" s="89"/>
      <c r="R990" s="89"/>
      <c r="S990" s="89"/>
      <c r="T990" s="89"/>
      <c r="U990" s="89"/>
      <c r="V990" s="89"/>
      <c r="W990" s="89"/>
      <c r="X990" s="89"/>
      <c r="Y990" s="89"/>
      <c r="Z990" s="89"/>
      <c r="AA990" s="89"/>
    </row>
    <row r="991" ht="14.25" customHeight="1">
      <c r="A991" s="138"/>
      <c r="B991" s="138"/>
      <c r="C991" s="125"/>
      <c r="D991" s="184"/>
      <c r="E991" s="144"/>
      <c r="F991" s="145"/>
      <c r="G991" s="183"/>
      <c r="H991" s="140"/>
      <c r="I991" s="183"/>
      <c r="J991" s="131"/>
      <c r="K991" s="89"/>
      <c r="L991" s="89"/>
      <c r="M991" s="89"/>
      <c r="N991" s="89"/>
      <c r="O991" s="89"/>
      <c r="P991" s="89"/>
      <c r="Q991" s="89"/>
      <c r="R991" s="89"/>
      <c r="S991" s="89"/>
      <c r="T991" s="89"/>
      <c r="U991" s="89"/>
      <c r="V991" s="89"/>
      <c r="W991" s="89"/>
      <c r="X991" s="89"/>
      <c r="Y991" s="89"/>
      <c r="Z991" s="89"/>
      <c r="AA991" s="89"/>
    </row>
    <row r="992" ht="14.25" customHeight="1">
      <c r="A992" s="138"/>
      <c r="B992" s="138"/>
      <c r="C992" s="125"/>
      <c r="D992" s="184"/>
      <c r="E992" s="144"/>
      <c r="F992" s="145"/>
      <c r="G992" s="183"/>
      <c r="H992" s="140"/>
      <c r="I992" s="183"/>
      <c r="J992" s="131"/>
      <c r="K992" s="89"/>
      <c r="L992" s="89"/>
      <c r="M992" s="89"/>
      <c r="N992" s="89"/>
      <c r="O992" s="89"/>
      <c r="P992" s="89"/>
      <c r="Q992" s="89"/>
      <c r="R992" s="89"/>
      <c r="S992" s="89"/>
      <c r="T992" s="89"/>
      <c r="U992" s="89"/>
      <c r="V992" s="89"/>
      <c r="W992" s="89"/>
      <c r="X992" s="89"/>
      <c r="Y992" s="89"/>
      <c r="Z992" s="89"/>
      <c r="AA992" s="89"/>
    </row>
    <row r="993" ht="14.25" customHeight="1">
      <c r="A993" s="138"/>
      <c r="B993" s="138"/>
      <c r="C993" s="125"/>
      <c r="D993" s="184"/>
      <c r="E993" s="144"/>
      <c r="F993" s="145"/>
      <c r="G993" s="183"/>
      <c r="H993" s="140"/>
      <c r="I993" s="183"/>
      <c r="J993" s="131"/>
      <c r="K993" s="89"/>
      <c r="L993" s="89"/>
      <c r="M993" s="89"/>
      <c r="N993" s="89"/>
      <c r="O993" s="89"/>
      <c r="P993" s="89"/>
      <c r="Q993" s="89"/>
      <c r="R993" s="89"/>
      <c r="S993" s="89"/>
      <c r="T993" s="89"/>
      <c r="U993" s="89"/>
      <c r="V993" s="89"/>
      <c r="W993" s="89"/>
      <c r="X993" s="89"/>
      <c r="Y993" s="89"/>
      <c r="Z993" s="89"/>
      <c r="AA993" s="89"/>
    </row>
    <row r="994" ht="14.25" customHeight="1">
      <c r="A994" s="138"/>
      <c r="B994" s="138"/>
      <c r="C994" s="125"/>
      <c r="D994" s="184"/>
      <c r="E994" s="144"/>
      <c r="F994" s="145"/>
      <c r="G994" s="183"/>
      <c r="H994" s="140"/>
      <c r="I994" s="183"/>
      <c r="J994" s="131"/>
      <c r="K994" s="89"/>
      <c r="L994" s="89"/>
      <c r="M994" s="89"/>
      <c r="N994" s="89"/>
      <c r="O994" s="89"/>
      <c r="P994" s="89"/>
      <c r="Q994" s="89"/>
      <c r="R994" s="89"/>
      <c r="S994" s="89"/>
      <c r="T994" s="89"/>
      <c r="U994" s="89"/>
      <c r="V994" s="89"/>
      <c r="W994" s="89"/>
      <c r="X994" s="89"/>
      <c r="Y994" s="89"/>
      <c r="Z994" s="89"/>
      <c r="AA994" s="89"/>
    </row>
    <row r="995" ht="14.25" customHeight="1">
      <c r="A995" s="138"/>
      <c r="B995" s="138"/>
      <c r="C995" s="125"/>
      <c r="D995" s="184"/>
      <c r="E995" s="144"/>
      <c r="F995" s="145"/>
      <c r="G995" s="183"/>
      <c r="H995" s="140"/>
      <c r="I995" s="183"/>
      <c r="J995" s="131"/>
      <c r="K995" s="89"/>
      <c r="L995" s="89"/>
      <c r="M995" s="89"/>
      <c r="N995" s="89"/>
      <c r="O995" s="89"/>
      <c r="P995" s="89"/>
      <c r="Q995" s="89"/>
      <c r="R995" s="89"/>
      <c r="S995" s="89"/>
      <c r="T995" s="89"/>
      <c r="U995" s="89"/>
      <c r="V995" s="89"/>
      <c r="W995" s="89"/>
      <c r="X995" s="89"/>
      <c r="Y995" s="89"/>
      <c r="Z995" s="89"/>
      <c r="AA995" s="89"/>
    </row>
    <row r="996" ht="14.25" customHeight="1">
      <c r="A996" s="138"/>
      <c r="B996" s="138"/>
      <c r="C996" s="125"/>
      <c r="D996" s="184"/>
      <c r="E996" s="144"/>
      <c r="F996" s="145"/>
      <c r="G996" s="183"/>
      <c r="H996" s="140"/>
      <c r="I996" s="183"/>
      <c r="J996" s="131"/>
      <c r="K996" s="89"/>
      <c r="L996" s="89"/>
      <c r="M996" s="89"/>
      <c r="N996" s="89"/>
      <c r="O996" s="89"/>
      <c r="P996" s="89"/>
      <c r="Q996" s="89"/>
      <c r="R996" s="89"/>
      <c r="S996" s="89"/>
      <c r="T996" s="89"/>
      <c r="U996" s="89"/>
      <c r="V996" s="89"/>
      <c r="W996" s="89"/>
      <c r="X996" s="89"/>
      <c r="Y996" s="89"/>
      <c r="Z996" s="89"/>
      <c r="AA996" s="89"/>
    </row>
    <row r="997" ht="14.25" customHeight="1">
      <c r="A997" s="138"/>
      <c r="B997" s="138"/>
      <c r="C997" s="125"/>
      <c r="D997" s="184"/>
      <c r="E997" s="144"/>
      <c r="F997" s="145"/>
      <c r="G997" s="183"/>
      <c r="H997" s="140"/>
      <c r="I997" s="183"/>
      <c r="J997" s="131"/>
      <c r="K997" s="89"/>
      <c r="L997" s="89"/>
      <c r="M997" s="89"/>
      <c r="N997" s="89"/>
      <c r="O997" s="89"/>
      <c r="P997" s="89"/>
      <c r="Q997" s="89"/>
      <c r="R997" s="89"/>
      <c r="S997" s="89"/>
      <c r="T997" s="89"/>
      <c r="U997" s="89"/>
      <c r="V997" s="89"/>
      <c r="W997" s="89"/>
      <c r="X997" s="89"/>
      <c r="Y997" s="89"/>
      <c r="Z997" s="89"/>
      <c r="AA997" s="89"/>
    </row>
    <row r="998" ht="14.25" customHeight="1">
      <c r="A998" s="138"/>
      <c r="B998" s="138"/>
      <c r="C998" s="125"/>
      <c r="D998" s="184"/>
      <c r="E998" s="144"/>
      <c r="F998" s="145"/>
      <c r="G998" s="183"/>
      <c r="H998" s="140"/>
      <c r="I998" s="183"/>
      <c r="J998" s="131"/>
      <c r="K998" s="89"/>
      <c r="L998" s="89"/>
      <c r="M998" s="89"/>
      <c r="N998" s="89"/>
      <c r="O998" s="89"/>
      <c r="P998" s="89"/>
      <c r="Q998" s="89"/>
      <c r="R998" s="89"/>
      <c r="S998" s="89"/>
      <c r="T998" s="89"/>
      <c r="U998" s="89"/>
      <c r="V998" s="89"/>
      <c r="W998" s="89"/>
      <c r="X998" s="89"/>
      <c r="Y998" s="89"/>
      <c r="Z998" s="89"/>
      <c r="AA998" s="89"/>
    </row>
    <row r="999" ht="14.25" customHeight="1">
      <c r="A999" s="138"/>
      <c r="B999" s="138"/>
      <c r="C999" s="125"/>
      <c r="D999" s="184"/>
      <c r="E999" s="144"/>
      <c r="F999" s="145"/>
      <c r="G999" s="183"/>
      <c r="H999" s="140"/>
      <c r="I999" s="183"/>
      <c r="J999" s="131"/>
      <c r="K999" s="89"/>
      <c r="L999" s="89"/>
      <c r="M999" s="89"/>
      <c r="N999" s="89"/>
      <c r="O999" s="89"/>
      <c r="P999" s="89"/>
      <c r="Q999" s="89"/>
      <c r="R999" s="89"/>
      <c r="S999" s="89"/>
      <c r="T999" s="89"/>
      <c r="U999" s="89"/>
      <c r="V999" s="89"/>
      <c r="W999" s="89"/>
      <c r="X999" s="89"/>
      <c r="Y999" s="89"/>
      <c r="Z999" s="89"/>
      <c r="AA999" s="89"/>
    </row>
    <row r="1000" ht="14.25" customHeight="1">
      <c r="A1000" s="138"/>
      <c r="B1000" s="138"/>
      <c r="C1000" s="125"/>
      <c r="D1000" s="184"/>
      <c r="E1000" s="144"/>
      <c r="F1000" s="145"/>
      <c r="G1000" s="183"/>
      <c r="H1000" s="140"/>
      <c r="I1000" s="183"/>
      <c r="J1000" s="131"/>
      <c r="K1000" s="89"/>
      <c r="L1000" s="89"/>
      <c r="M1000" s="89"/>
      <c r="N1000" s="89"/>
      <c r="O1000" s="89"/>
      <c r="P1000" s="89"/>
      <c r="Q1000" s="89"/>
      <c r="R1000" s="89"/>
      <c r="S1000" s="89"/>
      <c r="T1000" s="89"/>
      <c r="U1000" s="89"/>
      <c r="V1000" s="89"/>
      <c r="W1000" s="89"/>
      <c r="X1000" s="89"/>
      <c r="Y1000" s="89"/>
      <c r="Z1000" s="89"/>
      <c r="AA1000" s="89"/>
    </row>
    <row r="1001" ht="14.25" customHeight="1">
      <c r="A1001" s="138"/>
      <c r="B1001" s="138"/>
      <c r="C1001" s="125"/>
      <c r="D1001" s="184"/>
      <c r="E1001" s="144"/>
      <c r="F1001" s="145"/>
      <c r="G1001" s="183"/>
      <c r="H1001" s="140"/>
      <c r="I1001" s="183"/>
      <c r="J1001" s="131"/>
      <c r="K1001" s="89"/>
      <c r="L1001" s="89"/>
      <c r="M1001" s="89"/>
      <c r="N1001" s="89"/>
      <c r="O1001" s="89"/>
      <c r="P1001" s="89"/>
      <c r="Q1001" s="89"/>
      <c r="R1001" s="89"/>
      <c r="S1001" s="89"/>
      <c r="T1001" s="89"/>
      <c r="U1001" s="89"/>
      <c r="V1001" s="89"/>
      <c r="W1001" s="89"/>
      <c r="X1001" s="89"/>
      <c r="Y1001" s="89"/>
      <c r="Z1001" s="89"/>
      <c r="AA1001" s="89"/>
    </row>
    <row r="1002" ht="14.25" customHeight="1">
      <c r="A1002" s="138"/>
      <c r="B1002" s="138"/>
      <c r="C1002" s="125"/>
      <c r="D1002" s="184"/>
      <c r="E1002" s="144"/>
      <c r="F1002" s="145"/>
      <c r="G1002" s="183"/>
      <c r="H1002" s="140"/>
      <c r="I1002" s="183"/>
      <c r="J1002" s="131"/>
      <c r="K1002" s="89"/>
      <c r="L1002" s="89"/>
      <c r="M1002" s="89"/>
      <c r="N1002" s="89"/>
      <c r="O1002" s="89"/>
      <c r="P1002" s="89"/>
      <c r="Q1002" s="89"/>
      <c r="R1002" s="89"/>
      <c r="S1002" s="89"/>
      <c r="T1002" s="89"/>
      <c r="U1002" s="89"/>
      <c r="V1002" s="89"/>
      <c r="W1002" s="89"/>
      <c r="X1002" s="89"/>
      <c r="Y1002" s="89"/>
      <c r="Z1002" s="89"/>
      <c r="AA1002" s="89"/>
    </row>
    <row r="1003" ht="14.25" customHeight="1">
      <c r="A1003" s="138"/>
      <c r="B1003" s="138"/>
      <c r="C1003" s="125"/>
      <c r="D1003" s="184"/>
      <c r="E1003" s="144"/>
      <c r="F1003" s="145"/>
      <c r="G1003" s="183"/>
      <c r="H1003" s="140"/>
      <c r="I1003" s="183"/>
      <c r="J1003" s="131"/>
      <c r="K1003" s="89"/>
      <c r="L1003" s="89"/>
      <c r="M1003" s="89"/>
      <c r="N1003" s="89"/>
      <c r="O1003" s="89"/>
      <c r="P1003" s="89"/>
      <c r="Q1003" s="89"/>
      <c r="R1003" s="89"/>
      <c r="S1003" s="89"/>
      <c r="T1003" s="89"/>
      <c r="U1003" s="89"/>
      <c r="V1003" s="89"/>
      <c r="W1003" s="89"/>
      <c r="X1003" s="89"/>
      <c r="Y1003" s="89"/>
      <c r="Z1003" s="89"/>
      <c r="AA1003" s="89"/>
    </row>
    <row r="1004" ht="14.25" customHeight="1">
      <c r="A1004" s="138"/>
      <c r="B1004" s="138"/>
      <c r="C1004" s="125"/>
      <c r="D1004" s="184"/>
      <c r="E1004" s="144"/>
      <c r="F1004" s="145"/>
      <c r="G1004" s="183"/>
      <c r="H1004" s="140"/>
      <c r="I1004" s="183"/>
      <c r="J1004" s="131"/>
      <c r="K1004" s="89"/>
      <c r="L1004" s="89"/>
      <c r="M1004" s="89"/>
      <c r="N1004" s="89"/>
      <c r="O1004" s="89"/>
      <c r="P1004" s="89"/>
      <c r="Q1004" s="89"/>
      <c r="R1004" s="89"/>
      <c r="S1004" s="89"/>
      <c r="T1004" s="89"/>
      <c r="U1004" s="89"/>
      <c r="V1004" s="89"/>
      <c r="W1004" s="89"/>
      <c r="X1004" s="89"/>
      <c r="Y1004" s="89"/>
      <c r="Z1004" s="89"/>
      <c r="AA1004" s="89"/>
    </row>
    <row r="1005" ht="14.25" customHeight="1">
      <c r="A1005" s="138"/>
      <c r="B1005" s="138"/>
      <c r="C1005" s="125"/>
      <c r="D1005" s="184"/>
      <c r="E1005" s="144"/>
      <c r="F1005" s="145"/>
      <c r="G1005" s="183"/>
      <c r="H1005" s="140"/>
      <c r="I1005" s="183"/>
      <c r="J1005" s="131"/>
      <c r="K1005" s="89"/>
      <c r="L1005" s="89"/>
      <c r="M1005" s="89"/>
      <c r="N1005" s="89"/>
      <c r="O1005" s="89"/>
      <c r="P1005" s="89"/>
      <c r="Q1005" s="89"/>
      <c r="R1005" s="89"/>
      <c r="S1005" s="89"/>
      <c r="T1005" s="89"/>
      <c r="U1005" s="89"/>
      <c r="V1005" s="89"/>
      <c r="W1005" s="89"/>
      <c r="X1005" s="89"/>
      <c r="Y1005" s="89"/>
      <c r="Z1005" s="89"/>
      <c r="AA1005" s="89"/>
    </row>
    <row r="1006" ht="14.25" customHeight="1">
      <c r="A1006" s="138"/>
      <c r="B1006" s="138"/>
      <c r="C1006" s="125"/>
      <c r="D1006" s="184"/>
      <c r="E1006" s="144"/>
      <c r="F1006" s="145"/>
      <c r="G1006" s="183"/>
      <c r="H1006" s="140"/>
      <c r="I1006" s="183"/>
      <c r="J1006" s="131"/>
      <c r="K1006" s="89"/>
      <c r="L1006" s="89"/>
      <c r="M1006" s="89"/>
      <c r="N1006" s="89"/>
      <c r="O1006" s="89"/>
      <c r="P1006" s="89"/>
      <c r="Q1006" s="89"/>
      <c r="R1006" s="89"/>
      <c r="S1006" s="89"/>
      <c r="T1006" s="89"/>
      <c r="U1006" s="89"/>
      <c r="V1006" s="89"/>
      <c r="W1006" s="89"/>
      <c r="X1006" s="89"/>
      <c r="Y1006" s="89"/>
      <c r="Z1006" s="89"/>
      <c r="AA1006" s="89"/>
    </row>
    <row r="1007" ht="14.25" customHeight="1">
      <c r="A1007" s="138"/>
      <c r="B1007" s="138"/>
      <c r="C1007" s="125"/>
      <c r="D1007" s="184"/>
      <c r="E1007" s="144"/>
      <c r="F1007" s="145"/>
      <c r="G1007" s="183"/>
      <c r="H1007" s="140"/>
      <c r="I1007" s="183"/>
      <c r="J1007" s="131"/>
      <c r="K1007" s="89"/>
      <c r="L1007" s="89"/>
      <c r="M1007" s="89"/>
      <c r="N1007" s="89"/>
      <c r="O1007" s="89"/>
      <c r="P1007" s="89"/>
      <c r="Q1007" s="89"/>
      <c r="R1007" s="89"/>
      <c r="S1007" s="89"/>
      <c r="T1007" s="89"/>
      <c r="U1007" s="89"/>
      <c r="V1007" s="89"/>
      <c r="W1007" s="89"/>
      <c r="X1007" s="89"/>
      <c r="Y1007" s="89"/>
      <c r="Z1007" s="89"/>
      <c r="AA1007" s="89"/>
    </row>
    <row r="1008" ht="14.25" customHeight="1">
      <c r="A1008" s="138"/>
      <c r="B1008" s="138"/>
      <c r="C1008" s="125"/>
      <c r="D1008" s="184"/>
      <c r="E1008" s="144"/>
      <c r="F1008" s="145"/>
      <c r="G1008" s="183"/>
      <c r="H1008" s="140"/>
      <c r="I1008" s="183"/>
      <c r="J1008" s="131"/>
      <c r="K1008" s="89"/>
      <c r="L1008" s="89"/>
      <c r="M1008" s="89"/>
      <c r="N1008" s="89"/>
      <c r="O1008" s="89"/>
      <c r="P1008" s="89"/>
      <c r="Q1008" s="89"/>
      <c r="R1008" s="89"/>
      <c r="S1008" s="89"/>
      <c r="T1008" s="89"/>
      <c r="U1008" s="89"/>
      <c r="V1008" s="89"/>
      <c r="W1008" s="89"/>
      <c r="X1008" s="89"/>
      <c r="Y1008" s="89"/>
      <c r="Z1008" s="89"/>
      <c r="AA1008" s="89"/>
    </row>
    <row r="1009" ht="14.25" customHeight="1">
      <c r="A1009" s="138"/>
      <c r="B1009" s="138"/>
      <c r="C1009" s="125"/>
      <c r="D1009" s="184"/>
      <c r="E1009" s="144"/>
      <c r="F1009" s="145"/>
      <c r="G1009" s="183"/>
      <c r="H1009" s="140"/>
      <c r="I1009" s="183"/>
      <c r="J1009" s="131"/>
      <c r="K1009" s="89"/>
      <c r="L1009" s="89"/>
      <c r="M1009" s="89"/>
      <c r="N1009" s="89"/>
      <c r="O1009" s="89"/>
      <c r="P1009" s="89"/>
      <c r="Q1009" s="89"/>
      <c r="R1009" s="89"/>
      <c r="S1009" s="89"/>
      <c r="T1009" s="89"/>
      <c r="U1009" s="89"/>
      <c r="V1009" s="89"/>
      <c r="W1009" s="89"/>
      <c r="X1009" s="89"/>
      <c r="Y1009" s="89"/>
      <c r="Z1009" s="89"/>
      <c r="AA1009" s="89"/>
    </row>
    <row r="1010" ht="14.25" customHeight="1">
      <c r="A1010" s="138"/>
      <c r="B1010" s="138"/>
      <c r="C1010" s="125"/>
      <c r="D1010" s="184"/>
      <c r="E1010" s="144"/>
      <c r="F1010" s="145"/>
      <c r="G1010" s="183"/>
      <c r="H1010" s="140"/>
      <c r="I1010" s="183"/>
      <c r="J1010" s="131"/>
      <c r="K1010" s="89"/>
      <c r="L1010" s="89"/>
      <c r="M1010" s="89"/>
      <c r="N1010" s="89"/>
      <c r="O1010" s="89"/>
      <c r="P1010" s="89"/>
      <c r="Q1010" s="89"/>
      <c r="R1010" s="89"/>
      <c r="S1010" s="89"/>
      <c r="T1010" s="89"/>
      <c r="U1010" s="89"/>
      <c r="V1010" s="89"/>
      <c r="W1010" s="89"/>
      <c r="X1010" s="89"/>
      <c r="Y1010" s="89"/>
      <c r="Z1010" s="89"/>
      <c r="AA1010" s="89"/>
    </row>
    <row r="1011" ht="14.25" customHeight="1">
      <c r="A1011" s="138"/>
      <c r="B1011" s="138"/>
      <c r="C1011" s="125"/>
      <c r="D1011" s="184"/>
      <c r="E1011" s="144"/>
      <c r="F1011" s="145"/>
      <c r="G1011" s="183"/>
      <c r="H1011" s="140"/>
      <c r="I1011" s="183"/>
      <c r="J1011" s="131"/>
      <c r="K1011" s="89"/>
      <c r="L1011" s="89"/>
      <c r="M1011" s="89"/>
      <c r="N1011" s="89"/>
      <c r="O1011" s="89"/>
      <c r="P1011" s="89"/>
      <c r="Q1011" s="89"/>
      <c r="R1011" s="89"/>
      <c r="S1011" s="89"/>
      <c r="T1011" s="89"/>
      <c r="U1011" s="89"/>
      <c r="V1011" s="89"/>
      <c r="W1011" s="89"/>
      <c r="X1011" s="89"/>
      <c r="Y1011" s="89"/>
      <c r="Z1011" s="89"/>
      <c r="AA1011" s="89"/>
    </row>
    <row r="1012" ht="14.25" customHeight="1">
      <c r="A1012" s="138"/>
      <c r="B1012" s="138"/>
      <c r="C1012" s="125"/>
      <c r="D1012" s="184"/>
      <c r="E1012" s="144"/>
      <c r="F1012" s="145"/>
      <c r="G1012" s="183"/>
      <c r="H1012" s="140"/>
      <c r="I1012" s="183"/>
      <c r="J1012" s="131"/>
      <c r="K1012" s="89"/>
      <c r="L1012" s="89"/>
      <c r="M1012" s="89"/>
      <c r="N1012" s="89"/>
      <c r="O1012" s="89"/>
      <c r="P1012" s="89"/>
      <c r="Q1012" s="89"/>
      <c r="R1012" s="89"/>
      <c r="S1012" s="89"/>
      <c r="T1012" s="89"/>
      <c r="U1012" s="89"/>
      <c r="V1012" s="89"/>
      <c r="W1012" s="89"/>
      <c r="X1012" s="89"/>
      <c r="Y1012" s="89"/>
      <c r="Z1012" s="89"/>
      <c r="AA1012" s="89"/>
    </row>
    <row r="1013" ht="14.25" customHeight="1">
      <c r="A1013" s="138"/>
      <c r="B1013" s="138"/>
      <c r="C1013" s="125"/>
      <c r="D1013" s="184"/>
      <c r="E1013" s="144"/>
      <c r="F1013" s="145"/>
      <c r="G1013" s="183"/>
      <c r="H1013" s="140"/>
      <c r="I1013" s="183"/>
      <c r="J1013" s="131"/>
      <c r="K1013" s="89"/>
      <c r="L1013" s="89"/>
      <c r="M1013" s="89"/>
      <c r="N1013" s="89"/>
      <c r="O1013" s="89"/>
      <c r="P1013" s="89"/>
      <c r="Q1013" s="89"/>
      <c r="R1013" s="89"/>
      <c r="S1013" s="89"/>
      <c r="T1013" s="89"/>
      <c r="U1013" s="89"/>
      <c r="V1013" s="89"/>
      <c r="W1013" s="89"/>
      <c r="X1013" s="89"/>
      <c r="Y1013" s="89"/>
      <c r="Z1013" s="89"/>
      <c r="AA1013" s="89"/>
    </row>
    <row r="1014" ht="14.25" customHeight="1">
      <c r="A1014" s="138"/>
      <c r="B1014" s="138"/>
      <c r="C1014" s="125"/>
      <c r="D1014" s="184"/>
      <c r="E1014" s="144"/>
      <c r="F1014" s="145"/>
      <c r="G1014" s="183"/>
      <c r="H1014" s="140"/>
      <c r="I1014" s="183"/>
      <c r="J1014" s="131"/>
      <c r="K1014" s="89"/>
      <c r="L1014" s="89"/>
      <c r="M1014" s="89"/>
      <c r="N1014" s="89"/>
      <c r="O1014" s="89"/>
      <c r="P1014" s="89"/>
      <c r="Q1014" s="89"/>
      <c r="R1014" s="89"/>
      <c r="S1014" s="89"/>
      <c r="T1014" s="89"/>
      <c r="U1014" s="89"/>
      <c r="V1014" s="89"/>
      <c r="W1014" s="89"/>
      <c r="X1014" s="89"/>
      <c r="Y1014" s="89"/>
      <c r="Z1014" s="89"/>
      <c r="AA1014" s="89"/>
    </row>
    <row r="1015" ht="14.25" customHeight="1">
      <c r="A1015" s="138"/>
      <c r="B1015" s="138"/>
      <c r="C1015" s="125"/>
      <c r="D1015" s="184"/>
      <c r="E1015" s="144"/>
      <c r="F1015" s="145"/>
      <c r="G1015" s="183"/>
      <c r="H1015" s="140"/>
      <c r="I1015" s="183"/>
      <c r="J1015" s="131"/>
      <c r="K1015" s="89"/>
      <c r="L1015" s="89"/>
      <c r="M1015" s="89"/>
      <c r="N1015" s="89"/>
      <c r="O1015" s="89"/>
      <c r="P1015" s="89"/>
      <c r="Q1015" s="89"/>
      <c r="R1015" s="89"/>
      <c r="S1015" s="89"/>
      <c r="T1015" s="89"/>
      <c r="U1015" s="89"/>
      <c r="V1015" s="89"/>
      <c r="W1015" s="89"/>
      <c r="X1015" s="89"/>
      <c r="Y1015" s="89"/>
      <c r="Z1015" s="89"/>
      <c r="AA1015" s="89"/>
    </row>
    <row r="1016" ht="14.25" customHeight="1">
      <c r="A1016" s="138"/>
      <c r="B1016" s="138"/>
      <c r="C1016" s="125"/>
      <c r="D1016" s="184"/>
      <c r="E1016" s="144"/>
      <c r="F1016" s="145"/>
      <c r="G1016" s="183"/>
      <c r="H1016" s="140"/>
      <c r="I1016" s="183"/>
      <c r="J1016" s="131"/>
      <c r="K1016" s="89"/>
      <c r="L1016" s="89"/>
      <c r="M1016" s="89"/>
      <c r="N1016" s="89"/>
      <c r="O1016" s="89"/>
      <c r="P1016" s="89"/>
      <c r="Q1016" s="89"/>
      <c r="R1016" s="89"/>
      <c r="S1016" s="89"/>
      <c r="T1016" s="89"/>
      <c r="U1016" s="89"/>
      <c r="V1016" s="89"/>
      <c r="W1016" s="89"/>
      <c r="X1016" s="89"/>
      <c r="Y1016" s="89"/>
      <c r="Z1016" s="89"/>
      <c r="AA1016" s="89"/>
    </row>
    <row r="1017" ht="14.25" customHeight="1">
      <c r="A1017" s="138"/>
      <c r="B1017" s="138"/>
      <c r="C1017" s="125"/>
      <c r="D1017" s="184"/>
      <c r="E1017" s="144"/>
      <c r="F1017" s="145"/>
      <c r="G1017" s="183"/>
      <c r="H1017" s="140"/>
      <c r="I1017" s="183"/>
      <c r="J1017" s="131"/>
      <c r="K1017" s="89"/>
      <c r="L1017" s="89"/>
      <c r="M1017" s="89"/>
      <c r="N1017" s="89"/>
      <c r="O1017" s="89"/>
      <c r="P1017" s="89"/>
      <c r="Q1017" s="89"/>
      <c r="R1017" s="89"/>
      <c r="S1017" s="89"/>
      <c r="T1017" s="89"/>
      <c r="U1017" s="89"/>
      <c r="V1017" s="89"/>
      <c r="W1017" s="89"/>
      <c r="X1017" s="89"/>
      <c r="Y1017" s="89"/>
      <c r="Z1017" s="89"/>
      <c r="AA1017" s="89"/>
    </row>
    <row r="1018" ht="14.25" customHeight="1">
      <c r="A1018" s="138"/>
      <c r="B1018" s="138"/>
      <c r="C1018" s="125"/>
      <c r="D1018" s="184"/>
      <c r="E1018" s="144"/>
      <c r="F1018" s="145"/>
      <c r="G1018" s="183"/>
      <c r="H1018" s="140"/>
      <c r="I1018" s="183"/>
      <c r="J1018" s="131"/>
      <c r="K1018" s="89"/>
      <c r="L1018" s="89"/>
      <c r="M1018" s="89"/>
      <c r="N1018" s="89"/>
      <c r="O1018" s="89"/>
      <c r="P1018" s="89"/>
      <c r="Q1018" s="89"/>
      <c r="R1018" s="89"/>
      <c r="S1018" s="89"/>
      <c r="T1018" s="89"/>
      <c r="U1018" s="89"/>
      <c r="V1018" s="89"/>
      <c r="W1018" s="89"/>
      <c r="X1018" s="89"/>
      <c r="Y1018" s="89"/>
      <c r="Z1018" s="89"/>
      <c r="AA1018" s="89"/>
    </row>
    <row r="1019" ht="14.25" customHeight="1">
      <c r="A1019" s="138"/>
      <c r="B1019" s="138"/>
      <c r="C1019" s="125"/>
      <c r="D1019" s="184"/>
      <c r="E1019" s="144"/>
      <c r="F1019" s="145"/>
      <c r="G1019" s="183"/>
      <c r="H1019" s="140"/>
      <c r="I1019" s="183"/>
      <c r="J1019" s="131"/>
      <c r="K1019" s="89"/>
      <c r="L1019" s="89"/>
      <c r="M1019" s="89"/>
      <c r="N1019" s="89"/>
      <c r="O1019" s="89"/>
      <c r="P1019" s="89"/>
      <c r="Q1019" s="89"/>
      <c r="R1019" s="89"/>
      <c r="S1019" s="89"/>
      <c r="T1019" s="89"/>
      <c r="U1019" s="89"/>
      <c r="V1019" s="89"/>
      <c r="W1019" s="89"/>
      <c r="X1019" s="89"/>
      <c r="Y1019" s="89"/>
      <c r="Z1019" s="89"/>
      <c r="AA1019" s="89"/>
    </row>
    <row r="1020" ht="14.25" customHeight="1">
      <c r="A1020" s="138"/>
      <c r="B1020" s="138"/>
      <c r="C1020" s="125"/>
      <c r="D1020" s="184"/>
      <c r="E1020" s="144"/>
      <c r="F1020" s="145"/>
      <c r="G1020" s="183"/>
      <c r="H1020" s="140"/>
      <c r="I1020" s="183"/>
      <c r="J1020" s="131"/>
      <c r="K1020" s="89"/>
      <c r="L1020" s="89"/>
      <c r="M1020" s="89"/>
      <c r="N1020" s="89"/>
      <c r="O1020" s="89"/>
      <c r="P1020" s="89"/>
      <c r="Q1020" s="89"/>
      <c r="R1020" s="89"/>
      <c r="S1020" s="89"/>
      <c r="T1020" s="89"/>
      <c r="U1020" s="89"/>
      <c r="V1020" s="89"/>
      <c r="W1020" s="89"/>
      <c r="X1020" s="89"/>
      <c r="Y1020" s="89"/>
      <c r="Z1020" s="89"/>
      <c r="AA1020" s="89"/>
    </row>
    <row r="1021" ht="14.25" customHeight="1">
      <c r="A1021" s="138"/>
      <c r="B1021" s="138"/>
      <c r="C1021" s="125"/>
      <c r="D1021" s="184"/>
      <c r="E1021" s="144"/>
      <c r="F1021" s="145"/>
      <c r="G1021" s="183"/>
      <c r="H1021" s="140"/>
      <c r="I1021" s="183"/>
      <c r="J1021" s="131"/>
      <c r="K1021" s="89"/>
      <c r="L1021" s="89"/>
      <c r="M1021" s="89"/>
      <c r="N1021" s="89"/>
      <c r="O1021" s="89"/>
      <c r="P1021" s="89"/>
      <c r="Q1021" s="89"/>
      <c r="R1021" s="89"/>
      <c r="S1021" s="89"/>
      <c r="T1021" s="89"/>
      <c r="U1021" s="89"/>
      <c r="V1021" s="89"/>
      <c r="W1021" s="89"/>
      <c r="X1021" s="89"/>
      <c r="Y1021" s="89"/>
      <c r="Z1021" s="89"/>
      <c r="AA1021" s="89"/>
    </row>
    <row r="1022" ht="14.25" customHeight="1">
      <c r="A1022" s="138"/>
      <c r="B1022" s="138"/>
      <c r="C1022" s="125"/>
      <c r="D1022" s="184"/>
      <c r="E1022" s="144"/>
      <c r="F1022" s="145"/>
      <c r="G1022" s="183"/>
      <c r="H1022" s="140"/>
      <c r="I1022" s="183"/>
      <c r="J1022" s="131"/>
      <c r="K1022" s="89"/>
      <c r="L1022" s="89"/>
      <c r="M1022" s="89"/>
      <c r="N1022" s="89"/>
      <c r="O1022" s="89"/>
      <c r="P1022" s="89"/>
      <c r="Q1022" s="89"/>
      <c r="R1022" s="89"/>
      <c r="S1022" s="89"/>
      <c r="T1022" s="89"/>
      <c r="U1022" s="89"/>
      <c r="V1022" s="89"/>
      <c r="W1022" s="89"/>
      <c r="X1022" s="89"/>
      <c r="Y1022" s="89"/>
      <c r="Z1022" s="89"/>
      <c r="AA1022" s="89"/>
    </row>
    <row r="1023" ht="14.25" customHeight="1">
      <c r="A1023" s="138"/>
      <c r="B1023" s="138"/>
      <c r="C1023" s="125"/>
      <c r="D1023" s="184"/>
      <c r="E1023" s="144"/>
      <c r="F1023" s="145"/>
      <c r="G1023" s="183"/>
      <c r="H1023" s="140"/>
      <c r="I1023" s="183"/>
      <c r="J1023" s="131"/>
      <c r="K1023" s="89"/>
      <c r="L1023" s="89"/>
      <c r="M1023" s="89"/>
      <c r="N1023" s="89"/>
      <c r="O1023" s="89"/>
      <c r="P1023" s="89"/>
      <c r="Q1023" s="89"/>
      <c r="R1023" s="89"/>
      <c r="S1023" s="89"/>
      <c r="T1023" s="89"/>
      <c r="U1023" s="89"/>
      <c r="V1023" s="89"/>
      <c r="W1023" s="89"/>
      <c r="X1023" s="89"/>
      <c r="Y1023" s="89"/>
      <c r="Z1023" s="89"/>
      <c r="AA1023" s="89"/>
    </row>
    <row r="1024" ht="14.25" customHeight="1">
      <c r="A1024" s="138"/>
      <c r="B1024" s="138"/>
      <c r="C1024" s="125"/>
      <c r="D1024" s="184"/>
      <c r="E1024" s="144"/>
      <c r="F1024" s="145"/>
      <c r="G1024" s="183"/>
      <c r="H1024" s="140"/>
      <c r="I1024" s="183"/>
      <c r="J1024" s="131"/>
      <c r="K1024" s="89"/>
      <c r="L1024" s="89"/>
      <c r="M1024" s="89"/>
      <c r="N1024" s="89"/>
      <c r="O1024" s="89"/>
      <c r="P1024" s="89"/>
      <c r="Q1024" s="89"/>
      <c r="R1024" s="89"/>
      <c r="S1024" s="89"/>
      <c r="T1024" s="89"/>
      <c r="U1024" s="89"/>
      <c r="V1024" s="89"/>
      <c r="W1024" s="89"/>
      <c r="X1024" s="89"/>
      <c r="Y1024" s="89"/>
      <c r="Z1024" s="89"/>
      <c r="AA1024" s="89"/>
    </row>
    <row r="1025" ht="14.25" customHeight="1">
      <c r="A1025" s="138"/>
      <c r="B1025" s="138"/>
      <c r="C1025" s="125"/>
      <c r="D1025" s="184"/>
      <c r="E1025" s="144"/>
      <c r="F1025" s="145"/>
      <c r="G1025" s="183"/>
      <c r="H1025" s="140"/>
      <c r="I1025" s="183"/>
      <c r="J1025" s="131"/>
      <c r="K1025" s="89"/>
      <c r="L1025" s="89"/>
      <c r="M1025" s="89"/>
      <c r="N1025" s="89"/>
      <c r="O1025" s="89"/>
      <c r="P1025" s="89"/>
      <c r="Q1025" s="89"/>
      <c r="R1025" s="89"/>
      <c r="S1025" s="89"/>
      <c r="T1025" s="89"/>
      <c r="U1025" s="89"/>
      <c r="V1025" s="89"/>
      <c r="W1025" s="89"/>
      <c r="X1025" s="89"/>
      <c r="Y1025" s="89"/>
      <c r="Z1025" s="89"/>
      <c r="AA1025" s="89"/>
    </row>
    <row r="1026" ht="14.25" customHeight="1">
      <c r="A1026" s="138"/>
      <c r="B1026" s="138"/>
      <c r="C1026" s="125"/>
      <c r="D1026" s="184"/>
      <c r="E1026" s="144"/>
      <c r="F1026" s="145"/>
      <c r="G1026" s="183"/>
      <c r="H1026" s="140"/>
      <c r="I1026" s="183"/>
      <c r="J1026" s="131"/>
      <c r="K1026" s="89"/>
      <c r="L1026" s="89"/>
      <c r="M1026" s="89"/>
      <c r="N1026" s="89"/>
      <c r="O1026" s="89"/>
      <c r="P1026" s="89"/>
      <c r="Q1026" s="89"/>
      <c r="R1026" s="89"/>
      <c r="S1026" s="89"/>
      <c r="T1026" s="89"/>
      <c r="U1026" s="89"/>
      <c r="V1026" s="89"/>
      <c r="W1026" s="89"/>
      <c r="X1026" s="89"/>
      <c r="Y1026" s="89"/>
      <c r="Z1026" s="89"/>
      <c r="AA1026" s="89"/>
    </row>
    <row r="1027" ht="14.25" customHeight="1">
      <c r="A1027" s="138"/>
      <c r="B1027" s="138"/>
      <c r="C1027" s="125"/>
      <c r="D1027" s="184"/>
      <c r="E1027" s="144"/>
      <c r="F1027" s="145"/>
      <c r="G1027" s="183"/>
      <c r="H1027" s="140"/>
      <c r="I1027" s="183"/>
      <c r="J1027" s="131"/>
      <c r="K1027" s="89"/>
      <c r="L1027" s="89"/>
      <c r="M1027" s="89"/>
      <c r="N1027" s="89"/>
      <c r="O1027" s="89"/>
      <c r="P1027" s="89"/>
      <c r="Q1027" s="89"/>
      <c r="R1027" s="89"/>
      <c r="S1027" s="89"/>
      <c r="T1027" s="89"/>
      <c r="U1027" s="89"/>
      <c r="V1027" s="89"/>
      <c r="W1027" s="89"/>
      <c r="X1027" s="89"/>
      <c r="Y1027" s="89"/>
      <c r="Z1027" s="89"/>
      <c r="AA1027" s="89"/>
    </row>
    <row r="1028" ht="14.25" customHeight="1">
      <c r="A1028" s="138"/>
      <c r="B1028" s="138"/>
      <c r="C1028" s="125"/>
      <c r="D1028" s="184"/>
      <c r="E1028" s="144"/>
      <c r="F1028" s="145"/>
      <c r="G1028" s="183"/>
      <c r="H1028" s="140"/>
      <c r="I1028" s="183"/>
      <c r="J1028" s="131"/>
      <c r="K1028" s="89"/>
      <c r="L1028" s="89"/>
      <c r="M1028" s="89"/>
      <c r="N1028" s="89"/>
      <c r="O1028" s="89"/>
      <c r="P1028" s="89"/>
      <c r="Q1028" s="89"/>
      <c r="R1028" s="89"/>
      <c r="S1028" s="89"/>
      <c r="T1028" s="89"/>
      <c r="U1028" s="89"/>
      <c r="V1028" s="89"/>
      <c r="W1028" s="89"/>
      <c r="X1028" s="89"/>
      <c r="Y1028" s="89"/>
      <c r="Z1028" s="89"/>
      <c r="AA1028" s="89"/>
    </row>
    <row r="1029" ht="14.25" customHeight="1">
      <c r="A1029" s="138"/>
      <c r="B1029" s="138"/>
      <c r="C1029" s="125"/>
      <c r="D1029" s="184"/>
      <c r="E1029" s="144"/>
      <c r="F1029" s="145"/>
      <c r="G1029" s="183"/>
      <c r="H1029" s="140"/>
      <c r="I1029" s="183"/>
      <c r="J1029" s="131"/>
      <c r="K1029" s="89"/>
      <c r="L1029" s="89"/>
      <c r="M1029" s="89"/>
      <c r="N1029" s="89"/>
      <c r="O1029" s="89"/>
      <c r="P1029" s="89"/>
      <c r="Q1029" s="89"/>
      <c r="R1029" s="89"/>
      <c r="S1029" s="89"/>
      <c r="T1029" s="89"/>
      <c r="U1029" s="89"/>
      <c r="V1029" s="89"/>
      <c r="W1029" s="89"/>
      <c r="X1029" s="89"/>
      <c r="Y1029" s="89"/>
      <c r="Z1029" s="89"/>
      <c r="AA1029" s="89"/>
    </row>
    <row r="1030" ht="14.25" customHeight="1">
      <c r="A1030" s="138"/>
      <c r="B1030" s="138"/>
      <c r="C1030" s="125"/>
      <c r="D1030" s="184"/>
      <c r="E1030" s="144"/>
      <c r="F1030" s="145"/>
      <c r="G1030" s="183"/>
      <c r="H1030" s="140"/>
      <c r="I1030" s="183"/>
      <c r="J1030" s="131"/>
      <c r="K1030" s="89"/>
      <c r="L1030" s="89"/>
      <c r="M1030" s="89"/>
      <c r="N1030" s="89"/>
      <c r="O1030" s="89"/>
      <c r="P1030" s="89"/>
      <c r="Q1030" s="89"/>
      <c r="R1030" s="89"/>
      <c r="S1030" s="89"/>
      <c r="T1030" s="89"/>
      <c r="U1030" s="89"/>
      <c r="V1030" s="89"/>
      <c r="W1030" s="89"/>
      <c r="X1030" s="89"/>
      <c r="Y1030" s="89"/>
      <c r="Z1030" s="89"/>
      <c r="AA1030" s="89"/>
    </row>
    <row r="1031" ht="14.25" customHeight="1">
      <c r="A1031" s="138"/>
      <c r="B1031" s="138"/>
      <c r="C1031" s="125"/>
      <c r="D1031" s="184"/>
      <c r="E1031" s="144"/>
      <c r="F1031" s="145"/>
      <c r="G1031" s="183"/>
      <c r="H1031" s="140"/>
      <c r="I1031" s="183"/>
      <c r="J1031" s="131"/>
      <c r="K1031" s="89"/>
      <c r="L1031" s="89"/>
      <c r="M1031" s="89"/>
      <c r="N1031" s="89"/>
      <c r="O1031" s="89"/>
      <c r="P1031" s="89"/>
      <c r="Q1031" s="89"/>
      <c r="R1031" s="89"/>
      <c r="S1031" s="89"/>
      <c r="T1031" s="89"/>
      <c r="U1031" s="89"/>
      <c r="V1031" s="89"/>
      <c r="W1031" s="89"/>
      <c r="X1031" s="89"/>
      <c r="Y1031" s="89"/>
      <c r="Z1031" s="89"/>
      <c r="AA1031" s="89"/>
    </row>
    <row r="1032" ht="14.25" customHeight="1">
      <c r="A1032" s="138"/>
      <c r="B1032" s="138"/>
      <c r="C1032" s="125"/>
      <c r="D1032" s="184"/>
      <c r="E1032" s="144"/>
      <c r="F1032" s="145"/>
      <c r="G1032" s="183"/>
      <c r="H1032" s="140"/>
      <c r="I1032" s="183"/>
      <c r="J1032" s="131"/>
      <c r="K1032" s="89"/>
      <c r="L1032" s="89"/>
      <c r="M1032" s="89"/>
      <c r="N1032" s="89"/>
      <c r="O1032" s="89"/>
      <c r="P1032" s="89"/>
      <c r="Q1032" s="89"/>
      <c r="R1032" s="89"/>
      <c r="S1032" s="89"/>
      <c r="T1032" s="89"/>
      <c r="U1032" s="89"/>
      <c r="V1032" s="89"/>
      <c r="W1032" s="89"/>
      <c r="X1032" s="89"/>
      <c r="Y1032" s="89"/>
      <c r="Z1032" s="89"/>
      <c r="AA1032" s="89"/>
    </row>
    <row r="1033" ht="14.25" customHeight="1">
      <c r="A1033" s="138"/>
      <c r="B1033" s="138"/>
      <c r="C1033" s="125"/>
      <c r="D1033" s="184"/>
      <c r="E1033" s="144"/>
      <c r="F1033" s="145"/>
      <c r="G1033" s="183"/>
      <c r="H1033" s="140"/>
      <c r="I1033" s="183"/>
      <c r="J1033" s="131"/>
      <c r="K1033" s="89"/>
      <c r="L1033" s="89"/>
      <c r="M1033" s="89"/>
      <c r="N1033" s="89"/>
      <c r="O1033" s="89"/>
      <c r="P1033" s="89"/>
      <c r="Q1033" s="89"/>
      <c r="R1033" s="89"/>
      <c r="S1033" s="89"/>
      <c r="T1033" s="89"/>
      <c r="U1033" s="89"/>
      <c r="V1033" s="89"/>
      <c r="W1033" s="89"/>
      <c r="X1033" s="89"/>
      <c r="Y1033" s="89"/>
      <c r="Z1033" s="89"/>
      <c r="AA1033" s="89"/>
    </row>
    <row r="1034" ht="14.25" customHeight="1">
      <c r="A1034" s="138"/>
      <c r="B1034" s="138"/>
      <c r="C1034" s="125"/>
      <c r="D1034" s="184"/>
      <c r="E1034" s="144"/>
      <c r="F1034" s="145"/>
      <c r="G1034" s="183"/>
      <c r="H1034" s="140"/>
      <c r="I1034" s="183"/>
      <c r="J1034" s="131"/>
      <c r="K1034" s="89"/>
      <c r="L1034" s="89"/>
      <c r="M1034" s="89"/>
      <c r="N1034" s="89"/>
      <c r="O1034" s="89"/>
      <c r="P1034" s="89"/>
      <c r="Q1034" s="89"/>
      <c r="R1034" s="89"/>
      <c r="S1034" s="89"/>
      <c r="T1034" s="89"/>
      <c r="U1034" s="89"/>
      <c r="V1034" s="89"/>
      <c r="W1034" s="89"/>
      <c r="X1034" s="89"/>
      <c r="Y1034" s="89"/>
      <c r="Z1034" s="89"/>
      <c r="AA1034" s="89"/>
    </row>
    <row r="1035" ht="14.25" customHeight="1">
      <c r="A1035" s="138"/>
      <c r="B1035" s="138"/>
      <c r="C1035" s="125"/>
      <c r="D1035" s="184"/>
      <c r="E1035" s="144"/>
      <c r="F1035" s="145"/>
      <c r="G1035" s="183"/>
      <c r="H1035" s="140"/>
      <c r="I1035" s="183"/>
      <c r="J1035" s="131"/>
      <c r="K1035" s="89"/>
      <c r="L1035" s="89"/>
      <c r="M1035" s="89"/>
      <c r="N1035" s="89"/>
      <c r="O1035" s="89"/>
      <c r="P1035" s="89"/>
      <c r="Q1035" s="89"/>
      <c r="R1035" s="89"/>
      <c r="S1035" s="89"/>
      <c r="T1035" s="89"/>
      <c r="U1035" s="89"/>
      <c r="V1035" s="89"/>
      <c r="W1035" s="89"/>
      <c r="X1035" s="89"/>
      <c r="Y1035" s="89"/>
      <c r="Z1035" s="89"/>
      <c r="AA1035" s="89"/>
    </row>
    <row r="1036" ht="14.25" customHeight="1">
      <c r="A1036" s="138"/>
      <c r="B1036" s="138"/>
      <c r="C1036" s="125"/>
      <c r="D1036" s="184"/>
      <c r="E1036" s="144"/>
      <c r="F1036" s="145"/>
      <c r="G1036" s="183"/>
      <c r="H1036" s="140"/>
      <c r="I1036" s="183"/>
      <c r="J1036" s="131"/>
      <c r="K1036" s="89"/>
      <c r="L1036" s="89"/>
      <c r="M1036" s="89"/>
      <c r="N1036" s="89"/>
      <c r="O1036" s="89"/>
      <c r="P1036" s="89"/>
      <c r="Q1036" s="89"/>
      <c r="R1036" s="89"/>
      <c r="S1036" s="89"/>
      <c r="T1036" s="89"/>
      <c r="U1036" s="89"/>
      <c r="V1036" s="89"/>
      <c r="W1036" s="89"/>
      <c r="X1036" s="89"/>
      <c r="Y1036" s="89"/>
      <c r="Z1036" s="89"/>
      <c r="AA1036" s="89"/>
    </row>
    <row r="1037" ht="14.25" customHeight="1">
      <c r="A1037" s="138"/>
      <c r="B1037" s="138"/>
      <c r="C1037" s="125"/>
      <c r="D1037" s="184"/>
      <c r="E1037" s="144"/>
      <c r="F1037" s="145"/>
      <c r="G1037" s="183"/>
      <c r="H1037" s="140"/>
      <c r="I1037" s="183"/>
      <c r="J1037" s="131"/>
      <c r="K1037" s="89"/>
      <c r="L1037" s="89"/>
      <c r="M1037" s="89"/>
      <c r="N1037" s="89"/>
      <c r="O1037" s="89"/>
      <c r="P1037" s="89"/>
      <c r="Q1037" s="89"/>
      <c r="R1037" s="89"/>
      <c r="S1037" s="89"/>
      <c r="T1037" s="89"/>
      <c r="U1037" s="89"/>
      <c r="V1037" s="89"/>
      <c r="W1037" s="89"/>
      <c r="X1037" s="89"/>
      <c r="Y1037" s="89"/>
      <c r="Z1037" s="89"/>
      <c r="AA1037" s="89"/>
    </row>
    <row r="1038" ht="14.25" customHeight="1">
      <c r="A1038" s="138"/>
      <c r="B1038" s="138"/>
      <c r="C1038" s="125"/>
      <c r="D1038" s="184"/>
      <c r="E1038" s="144"/>
      <c r="F1038" s="145"/>
      <c r="G1038" s="183"/>
      <c r="H1038" s="140"/>
      <c r="I1038" s="183"/>
      <c r="J1038" s="131"/>
      <c r="K1038" s="89"/>
      <c r="L1038" s="89"/>
      <c r="M1038" s="89"/>
      <c r="N1038" s="89"/>
      <c r="O1038" s="89"/>
      <c r="P1038" s="89"/>
      <c r="Q1038" s="89"/>
      <c r="R1038" s="89"/>
      <c r="S1038" s="89"/>
      <c r="T1038" s="89"/>
      <c r="U1038" s="89"/>
      <c r="V1038" s="89"/>
      <c r="W1038" s="89"/>
      <c r="X1038" s="89"/>
      <c r="Y1038" s="89"/>
      <c r="Z1038" s="89"/>
      <c r="AA1038" s="89"/>
    </row>
    <row r="1039" ht="14.25" customHeight="1">
      <c r="A1039" s="138"/>
      <c r="B1039" s="138"/>
      <c r="C1039" s="125"/>
      <c r="D1039" s="184"/>
      <c r="E1039" s="144"/>
      <c r="F1039" s="145"/>
      <c r="G1039" s="183"/>
      <c r="H1039" s="140"/>
      <c r="I1039" s="183"/>
      <c r="J1039" s="131"/>
      <c r="K1039" s="89"/>
      <c r="L1039" s="89"/>
      <c r="M1039" s="89"/>
      <c r="N1039" s="89"/>
      <c r="O1039" s="89"/>
      <c r="P1039" s="89"/>
      <c r="Q1039" s="89"/>
      <c r="R1039" s="89"/>
      <c r="S1039" s="89"/>
      <c r="T1039" s="89"/>
      <c r="U1039" s="89"/>
      <c r="V1039" s="89"/>
      <c r="W1039" s="89"/>
      <c r="X1039" s="89"/>
      <c r="Y1039" s="89"/>
      <c r="Z1039" s="89"/>
      <c r="AA1039" s="89"/>
    </row>
    <row r="1040" ht="14.25" customHeight="1">
      <c r="A1040" s="138"/>
      <c r="B1040" s="138"/>
      <c r="C1040" s="125"/>
      <c r="D1040" s="184"/>
      <c r="E1040" s="144"/>
      <c r="F1040" s="145"/>
      <c r="G1040" s="183"/>
      <c r="H1040" s="140"/>
      <c r="I1040" s="183"/>
      <c r="J1040" s="131"/>
      <c r="K1040" s="89"/>
      <c r="L1040" s="89"/>
      <c r="M1040" s="89"/>
      <c r="N1040" s="89"/>
      <c r="O1040" s="89"/>
      <c r="P1040" s="89"/>
      <c r="Q1040" s="89"/>
      <c r="R1040" s="89"/>
      <c r="S1040" s="89"/>
      <c r="T1040" s="89"/>
      <c r="U1040" s="89"/>
      <c r="V1040" s="89"/>
      <c r="W1040" s="89"/>
      <c r="X1040" s="89"/>
      <c r="Y1040" s="89"/>
      <c r="Z1040" s="89"/>
      <c r="AA1040" s="89"/>
    </row>
    <row r="1041" ht="14.25" customHeight="1">
      <c r="A1041" s="138"/>
      <c r="B1041" s="138"/>
      <c r="C1041" s="125"/>
      <c r="D1041" s="184"/>
      <c r="E1041" s="144"/>
      <c r="F1041" s="145"/>
      <c r="G1041" s="183"/>
      <c r="H1041" s="140"/>
      <c r="I1041" s="183"/>
      <c r="J1041" s="131"/>
      <c r="K1041" s="89"/>
      <c r="L1041" s="89"/>
      <c r="M1041" s="89"/>
      <c r="N1041" s="89"/>
      <c r="O1041" s="89"/>
      <c r="P1041" s="89"/>
      <c r="Q1041" s="89"/>
      <c r="R1041" s="89"/>
      <c r="S1041" s="89"/>
      <c r="T1041" s="89"/>
      <c r="U1041" s="89"/>
      <c r="V1041" s="89"/>
      <c r="W1041" s="89"/>
      <c r="X1041" s="89"/>
      <c r="Y1041" s="89"/>
      <c r="Z1041" s="89"/>
      <c r="AA1041" s="89"/>
    </row>
    <row r="1042" ht="14.25" customHeight="1">
      <c r="A1042" s="138"/>
      <c r="B1042" s="138"/>
      <c r="C1042" s="125"/>
      <c r="D1042" s="184"/>
      <c r="E1042" s="144"/>
      <c r="F1042" s="145"/>
      <c r="G1042" s="183"/>
      <c r="H1042" s="140"/>
      <c r="I1042" s="183"/>
      <c r="J1042" s="131"/>
      <c r="K1042" s="89"/>
      <c r="L1042" s="89"/>
      <c r="M1042" s="89"/>
      <c r="N1042" s="89"/>
      <c r="O1042" s="89"/>
      <c r="P1042" s="89"/>
      <c r="Q1042" s="89"/>
      <c r="R1042" s="89"/>
      <c r="S1042" s="89"/>
      <c r="T1042" s="89"/>
      <c r="U1042" s="89"/>
      <c r="V1042" s="89"/>
      <c r="W1042" s="89"/>
      <c r="X1042" s="89"/>
      <c r="Y1042" s="89"/>
      <c r="Z1042" s="89"/>
      <c r="AA1042" s="89"/>
    </row>
    <row r="1043" ht="14.25" customHeight="1">
      <c r="A1043" s="138"/>
      <c r="B1043" s="138"/>
      <c r="C1043" s="125"/>
      <c r="D1043" s="184"/>
      <c r="E1043" s="144"/>
      <c r="F1043" s="145"/>
      <c r="G1043" s="183"/>
      <c r="H1043" s="140"/>
      <c r="I1043" s="183"/>
      <c r="J1043" s="131"/>
      <c r="K1043" s="89"/>
      <c r="L1043" s="89"/>
      <c r="M1043" s="89"/>
      <c r="N1043" s="89"/>
      <c r="O1043" s="89"/>
      <c r="P1043" s="89"/>
      <c r="Q1043" s="89"/>
      <c r="R1043" s="89"/>
      <c r="S1043" s="89"/>
      <c r="T1043" s="89"/>
      <c r="U1043" s="89"/>
      <c r="V1043" s="89"/>
      <c r="W1043" s="89"/>
      <c r="X1043" s="89"/>
      <c r="Y1043" s="89"/>
      <c r="Z1043" s="89"/>
      <c r="AA1043" s="89"/>
    </row>
    <row r="1044" ht="14.25" customHeight="1">
      <c r="A1044" s="138"/>
      <c r="B1044" s="138"/>
      <c r="C1044" s="125"/>
      <c r="D1044" s="184"/>
      <c r="E1044" s="144"/>
      <c r="F1044" s="145"/>
      <c r="G1044" s="183"/>
      <c r="H1044" s="140"/>
      <c r="I1044" s="183"/>
      <c r="J1044" s="131"/>
      <c r="K1044" s="89"/>
      <c r="L1044" s="89"/>
      <c r="M1044" s="89"/>
      <c r="N1044" s="89"/>
      <c r="O1044" s="89"/>
      <c r="P1044" s="89"/>
      <c r="Q1044" s="89"/>
      <c r="R1044" s="89"/>
      <c r="S1044" s="89"/>
      <c r="T1044" s="89"/>
      <c r="U1044" s="89"/>
      <c r="V1044" s="89"/>
      <c r="W1044" s="89"/>
      <c r="X1044" s="89"/>
      <c r="Y1044" s="89"/>
      <c r="Z1044" s="89"/>
      <c r="AA1044" s="89"/>
    </row>
    <row r="1045" ht="14.25" customHeight="1">
      <c r="A1045" s="138"/>
      <c r="B1045" s="138"/>
      <c r="C1045" s="125"/>
      <c r="D1045" s="184"/>
      <c r="E1045" s="144"/>
      <c r="F1045" s="145"/>
      <c r="G1045" s="183"/>
      <c r="H1045" s="140"/>
      <c r="I1045" s="183"/>
      <c r="J1045" s="131"/>
      <c r="K1045" s="89"/>
      <c r="L1045" s="89"/>
      <c r="M1045" s="89"/>
      <c r="N1045" s="89"/>
      <c r="O1045" s="89"/>
      <c r="P1045" s="89"/>
      <c r="Q1045" s="89"/>
      <c r="R1045" s="89"/>
      <c r="S1045" s="89"/>
      <c r="T1045" s="89"/>
      <c r="U1045" s="89"/>
      <c r="V1045" s="89"/>
      <c r="W1045" s="89"/>
      <c r="X1045" s="89"/>
      <c r="Y1045" s="89"/>
      <c r="Z1045" s="89"/>
      <c r="AA1045" s="89"/>
    </row>
    <row r="1046" ht="14.25" customHeight="1">
      <c r="A1046" s="138"/>
      <c r="B1046" s="138"/>
      <c r="C1046" s="125"/>
      <c r="D1046" s="184"/>
      <c r="E1046" s="144"/>
      <c r="F1046" s="145"/>
      <c r="G1046" s="183"/>
      <c r="H1046" s="140"/>
      <c r="I1046" s="183"/>
      <c r="J1046" s="131"/>
      <c r="K1046" s="89"/>
      <c r="L1046" s="89"/>
      <c r="M1046" s="89"/>
      <c r="N1046" s="89"/>
      <c r="O1046" s="89"/>
      <c r="P1046" s="89"/>
      <c r="Q1046" s="89"/>
      <c r="R1046" s="89"/>
      <c r="S1046" s="89"/>
      <c r="T1046" s="89"/>
      <c r="U1046" s="89"/>
      <c r="V1046" s="89"/>
      <c r="W1046" s="89"/>
      <c r="X1046" s="89"/>
      <c r="Y1046" s="89"/>
      <c r="Z1046" s="89"/>
      <c r="AA1046" s="89"/>
    </row>
    <row r="1047" ht="14.25" customHeight="1">
      <c r="A1047" s="138"/>
      <c r="B1047" s="138"/>
      <c r="C1047" s="125"/>
      <c r="D1047" s="184"/>
      <c r="E1047" s="144"/>
      <c r="F1047" s="145"/>
      <c r="G1047" s="183"/>
      <c r="H1047" s="140"/>
      <c r="I1047" s="183"/>
      <c r="J1047" s="131"/>
      <c r="K1047" s="89"/>
      <c r="L1047" s="89"/>
      <c r="M1047" s="89"/>
      <c r="N1047" s="89"/>
      <c r="O1047" s="89"/>
      <c r="P1047" s="89"/>
      <c r="Q1047" s="89"/>
      <c r="R1047" s="89"/>
      <c r="S1047" s="89"/>
      <c r="T1047" s="89"/>
      <c r="U1047" s="89"/>
      <c r="V1047" s="89"/>
      <c r="W1047" s="89"/>
      <c r="X1047" s="89"/>
      <c r="Y1047" s="89"/>
      <c r="Z1047" s="89"/>
      <c r="AA1047" s="89"/>
    </row>
    <row r="1048" ht="14.25" customHeight="1">
      <c r="A1048" s="138"/>
      <c r="B1048" s="138"/>
      <c r="C1048" s="125"/>
      <c r="D1048" s="184"/>
      <c r="E1048" s="144"/>
      <c r="F1048" s="145"/>
      <c r="G1048" s="183"/>
      <c r="H1048" s="140"/>
      <c r="I1048" s="183"/>
      <c r="J1048" s="131"/>
      <c r="K1048" s="89"/>
      <c r="L1048" s="89"/>
      <c r="M1048" s="89"/>
      <c r="N1048" s="89"/>
      <c r="O1048" s="89"/>
      <c r="P1048" s="89"/>
      <c r="Q1048" s="89"/>
      <c r="R1048" s="89"/>
      <c r="S1048" s="89"/>
      <c r="T1048" s="89"/>
      <c r="U1048" s="89"/>
      <c r="V1048" s="89"/>
      <c r="W1048" s="89"/>
      <c r="X1048" s="89"/>
      <c r="Y1048" s="89"/>
      <c r="Z1048" s="89"/>
      <c r="AA1048" s="89"/>
    </row>
    <row r="1049" ht="14.25" customHeight="1">
      <c r="A1049" s="138"/>
      <c r="B1049" s="138"/>
      <c r="C1049" s="125"/>
      <c r="D1049" s="184"/>
      <c r="E1049" s="144"/>
      <c r="F1049" s="145"/>
      <c r="G1049" s="183"/>
      <c r="H1049" s="140"/>
      <c r="I1049" s="183"/>
      <c r="J1049" s="131"/>
      <c r="K1049" s="89"/>
      <c r="L1049" s="89"/>
      <c r="M1049" s="89"/>
      <c r="N1049" s="89"/>
      <c r="O1049" s="89"/>
      <c r="P1049" s="89"/>
      <c r="Q1049" s="89"/>
      <c r="R1049" s="89"/>
      <c r="S1049" s="89"/>
      <c r="T1049" s="89"/>
      <c r="U1049" s="89"/>
      <c r="V1049" s="89"/>
      <c r="W1049" s="89"/>
      <c r="X1049" s="89"/>
      <c r="Y1049" s="89"/>
      <c r="Z1049" s="89"/>
      <c r="AA1049" s="89"/>
    </row>
    <row r="1050" ht="14.25" customHeight="1">
      <c r="A1050" s="138"/>
      <c r="B1050" s="138"/>
      <c r="C1050" s="125"/>
      <c r="D1050" s="184"/>
      <c r="E1050" s="144"/>
      <c r="F1050" s="145"/>
      <c r="G1050" s="183"/>
      <c r="H1050" s="140"/>
      <c r="I1050" s="183"/>
      <c r="J1050" s="131"/>
      <c r="K1050" s="89"/>
      <c r="L1050" s="89"/>
      <c r="M1050" s="89"/>
      <c r="N1050" s="89"/>
      <c r="O1050" s="89"/>
      <c r="P1050" s="89"/>
      <c r="Q1050" s="89"/>
      <c r="R1050" s="89"/>
      <c r="S1050" s="89"/>
      <c r="T1050" s="89"/>
      <c r="U1050" s="89"/>
      <c r="V1050" s="89"/>
      <c r="W1050" s="89"/>
      <c r="X1050" s="89"/>
      <c r="Y1050" s="89"/>
      <c r="Z1050" s="89"/>
      <c r="AA1050" s="89"/>
    </row>
    <row r="1051" ht="14.25" customHeight="1">
      <c r="A1051" s="138"/>
      <c r="B1051" s="138"/>
      <c r="C1051" s="125"/>
      <c r="D1051" s="184"/>
      <c r="E1051" s="144"/>
      <c r="F1051" s="145"/>
      <c r="G1051" s="183"/>
      <c r="H1051" s="140"/>
      <c r="I1051" s="183"/>
      <c r="J1051" s="131"/>
      <c r="K1051" s="89"/>
      <c r="L1051" s="89"/>
      <c r="M1051" s="89"/>
      <c r="N1051" s="89"/>
      <c r="O1051" s="89"/>
      <c r="P1051" s="89"/>
      <c r="Q1051" s="89"/>
      <c r="R1051" s="89"/>
      <c r="S1051" s="89"/>
      <c r="T1051" s="89"/>
      <c r="U1051" s="89"/>
      <c r="V1051" s="89"/>
      <c r="W1051" s="89"/>
      <c r="X1051" s="89"/>
      <c r="Y1051" s="89"/>
      <c r="Z1051" s="89"/>
      <c r="AA1051" s="89"/>
    </row>
    <row r="1052" ht="14.25" customHeight="1">
      <c r="A1052" s="138"/>
      <c r="B1052" s="138"/>
      <c r="C1052" s="125"/>
      <c r="D1052" s="184"/>
      <c r="E1052" s="144"/>
      <c r="F1052" s="145"/>
      <c r="G1052" s="183"/>
      <c r="H1052" s="140"/>
      <c r="I1052" s="183"/>
      <c r="J1052" s="131"/>
      <c r="K1052" s="89"/>
      <c r="L1052" s="89"/>
      <c r="M1052" s="89"/>
      <c r="N1052" s="89"/>
      <c r="O1052" s="89"/>
      <c r="P1052" s="89"/>
      <c r="Q1052" s="89"/>
      <c r="R1052" s="89"/>
      <c r="S1052" s="89"/>
      <c r="T1052" s="89"/>
      <c r="U1052" s="89"/>
      <c r="V1052" s="89"/>
      <c r="W1052" s="89"/>
      <c r="X1052" s="89"/>
      <c r="Y1052" s="89"/>
      <c r="Z1052" s="89"/>
      <c r="AA1052" s="89"/>
    </row>
    <row r="1053" ht="14.25" customHeight="1">
      <c r="A1053" s="138"/>
      <c r="B1053" s="138"/>
      <c r="C1053" s="125"/>
      <c r="D1053" s="184"/>
      <c r="E1053" s="144"/>
      <c r="F1053" s="145"/>
      <c r="G1053" s="183"/>
      <c r="H1053" s="140"/>
      <c r="I1053" s="183"/>
      <c r="J1053" s="131"/>
      <c r="K1053" s="89"/>
      <c r="L1053" s="89"/>
      <c r="M1053" s="89"/>
      <c r="N1053" s="89"/>
      <c r="O1053" s="89"/>
      <c r="P1053" s="89"/>
      <c r="Q1053" s="89"/>
      <c r="R1053" s="89"/>
      <c r="S1053" s="89"/>
      <c r="T1053" s="89"/>
      <c r="U1053" s="89"/>
      <c r="V1053" s="89"/>
      <c r="W1053" s="89"/>
      <c r="X1053" s="89"/>
      <c r="Y1053" s="89"/>
      <c r="Z1053" s="89"/>
      <c r="AA1053" s="89"/>
    </row>
    <row r="1054" ht="14.25" customHeight="1">
      <c r="A1054" s="138"/>
      <c r="B1054" s="138"/>
      <c r="C1054" s="125"/>
      <c r="D1054" s="184"/>
      <c r="E1054" s="144"/>
      <c r="F1054" s="145"/>
      <c r="G1054" s="183"/>
      <c r="H1054" s="140"/>
      <c r="I1054" s="183"/>
      <c r="J1054" s="131"/>
      <c r="K1054" s="89"/>
      <c r="L1054" s="89"/>
      <c r="M1054" s="89"/>
      <c r="N1054" s="89"/>
      <c r="O1054" s="89"/>
      <c r="P1054" s="89"/>
      <c r="Q1054" s="89"/>
      <c r="R1054" s="89"/>
      <c r="S1054" s="89"/>
      <c r="T1054" s="89"/>
      <c r="U1054" s="89"/>
      <c r="V1054" s="89"/>
      <c r="W1054" s="89"/>
      <c r="X1054" s="89"/>
      <c r="Y1054" s="89"/>
      <c r="Z1054" s="89"/>
      <c r="AA1054" s="89"/>
    </row>
    <row r="1055" ht="14.25" customHeight="1">
      <c r="A1055" s="138"/>
      <c r="B1055" s="138"/>
      <c r="C1055" s="125"/>
      <c r="D1055" s="184"/>
      <c r="E1055" s="144"/>
      <c r="F1055" s="145"/>
      <c r="G1055" s="183"/>
      <c r="H1055" s="140"/>
      <c r="I1055" s="183"/>
      <c r="J1055" s="131"/>
      <c r="K1055" s="89"/>
      <c r="L1055" s="89"/>
      <c r="M1055" s="89"/>
      <c r="N1055" s="89"/>
      <c r="O1055" s="89"/>
      <c r="P1055" s="89"/>
      <c r="Q1055" s="89"/>
      <c r="R1055" s="89"/>
      <c r="S1055" s="89"/>
      <c r="T1055" s="89"/>
      <c r="U1055" s="89"/>
      <c r="V1055" s="89"/>
      <c r="W1055" s="89"/>
      <c r="X1055" s="89"/>
      <c r="Y1055" s="89"/>
      <c r="Z1055" s="89"/>
      <c r="AA1055" s="89"/>
    </row>
    <row r="1056" ht="14.25" customHeight="1">
      <c r="A1056" s="138"/>
      <c r="B1056" s="138"/>
      <c r="C1056" s="125"/>
      <c r="D1056" s="184"/>
      <c r="E1056" s="144"/>
      <c r="F1056" s="145"/>
      <c r="G1056" s="183"/>
      <c r="H1056" s="140"/>
      <c r="I1056" s="183"/>
      <c r="J1056" s="131"/>
      <c r="K1056" s="89"/>
      <c r="L1056" s="89"/>
      <c r="M1056" s="89"/>
      <c r="N1056" s="89"/>
      <c r="O1056" s="89"/>
      <c r="P1056" s="89"/>
      <c r="Q1056" s="89"/>
      <c r="R1056" s="89"/>
      <c r="S1056" s="89"/>
      <c r="T1056" s="89"/>
      <c r="U1056" s="89"/>
      <c r="V1056" s="89"/>
      <c r="W1056" s="89"/>
      <c r="X1056" s="89"/>
      <c r="Y1056" s="89"/>
      <c r="Z1056" s="89"/>
      <c r="AA1056" s="89"/>
    </row>
    <row r="1057" ht="14.25" customHeight="1">
      <c r="A1057" s="138"/>
      <c r="B1057" s="138"/>
      <c r="C1057" s="125"/>
      <c r="D1057" s="184"/>
      <c r="E1057" s="144"/>
      <c r="F1057" s="145"/>
      <c r="G1057" s="183"/>
      <c r="H1057" s="140"/>
      <c r="I1057" s="183"/>
      <c r="J1057" s="131"/>
      <c r="K1057" s="89"/>
      <c r="L1057" s="89"/>
      <c r="M1057" s="89"/>
      <c r="N1057" s="89"/>
      <c r="O1057" s="89"/>
      <c r="P1057" s="89"/>
      <c r="Q1057" s="89"/>
      <c r="R1057" s="89"/>
      <c r="S1057" s="89"/>
      <c r="T1057" s="89"/>
      <c r="U1057" s="89"/>
      <c r="V1057" s="89"/>
      <c r="W1057" s="89"/>
      <c r="X1057" s="89"/>
      <c r="Y1057" s="89"/>
      <c r="Z1057" s="89"/>
      <c r="AA1057" s="89"/>
    </row>
    <row r="1058" ht="14.25" customHeight="1">
      <c r="A1058" s="138"/>
      <c r="B1058" s="138"/>
      <c r="C1058" s="125"/>
      <c r="D1058" s="184"/>
      <c r="E1058" s="144"/>
      <c r="F1058" s="145"/>
      <c r="G1058" s="183"/>
      <c r="H1058" s="140"/>
      <c r="I1058" s="183"/>
      <c r="J1058" s="131"/>
      <c r="K1058" s="89"/>
      <c r="L1058" s="89"/>
      <c r="M1058" s="89"/>
      <c r="N1058" s="89"/>
      <c r="O1058" s="89"/>
      <c r="P1058" s="89"/>
      <c r="Q1058" s="89"/>
      <c r="R1058" s="89"/>
      <c r="S1058" s="89"/>
      <c r="T1058" s="89"/>
      <c r="U1058" s="89"/>
      <c r="V1058" s="89"/>
      <c r="W1058" s="89"/>
      <c r="X1058" s="89"/>
      <c r="Y1058" s="89"/>
      <c r="Z1058" s="89"/>
      <c r="AA1058" s="89"/>
    </row>
    <row r="1059" ht="14.25" customHeight="1">
      <c r="A1059" s="138"/>
      <c r="B1059" s="138"/>
      <c r="C1059" s="125"/>
      <c r="D1059" s="184"/>
      <c r="E1059" s="144"/>
      <c r="F1059" s="145"/>
      <c r="G1059" s="183"/>
      <c r="H1059" s="140"/>
      <c r="I1059" s="183"/>
      <c r="J1059" s="131"/>
      <c r="K1059" s="89"/>
      <c r="L1059" s="89"/>
      <c r="M1059" s="89"/>
      <c r="N1059" s="89"/>
      <c r="O1059" s="89"/>
      <c r="P1059" s="89"/>
      <c r="Q1059" s="89"/>
      <c r="R1059" s="89"/>
      <c r="S1059" s="89"/>
      <c r="T1059" s="89"/>
      <c r="U1059" s="89"/>
      <c r="V1059" s="89"/>
      <c r="W1059" s="89"/>
      <c r="X1059" s="89"/>
      <c r="Y1059" s="89"/>
      <c r="Z1059" s="89"/>
      <c r="AA1059" s="89"/>
    </row>
  </sheetData>
  <conditionalFormatting sqref="G2:H85 I2:I93 G87:H91 I95:I102 I104 I106:I159 G108:G159 H108:H142 H144 H146 H148 H150 H152:H153 H156 H158:H159 H180 H185">
    <cfRule type="containsBlanks" dxfId="8" priority="1">
      <formula>LEN(TRIM(G2))=0</formula>
    </cfRule>
  </conditionalFormatting>
  <dataValidations>
    <dataValidation type="list" allowBlank="1" sqref="G2:G1059">
      <formula1>"COGS,LOGISTICA,MARKETING,OPEX,PACKAGING,SALARI,TASSE"</formula1>
    </dataValidation>
    <dataValidation type="custom" allowBlank="1" showDropDown="1" sqref="D2:D1059">
      <formula1>OR(NOT(ISERROR(DATEVALUE(D2))), AND(ISNUMBER(D2), LEFT(CELL("format", D2))="D"))</formula1>
    </dataValidation>
    <dataValidation type="custom" allowBlank="1" showDropDown="1" sqref="A2:B1059 F2:F1059">
      <formula1>AND(ISNUMBER(A2),(NOT(OR(NOT(ISERROR(DATEVALUE(A2))), AND(ISNUMBER(A2), LEFT(CELL("format", A2))="D")))))</formula1>
    </dataValidation>
    <dataValidation type="list" allowBlank="1" sqref="I2:I1059">
      <formula1>" No, Si,Si"</formula1>
    </dataValidation>
  </dataValidations>
  <printOptions/>
  <pageMargins bottom="0.75" footer="0.0" header="0.0" left="0.7" right="0.7" top="0.75"/>
  <pageSetup paperSize="9" orientation="portrait"/>
  <drawing r:id="rId4"/>
  <legacyDrawing r:id="rId5"/>
  <tableParts count="1">
    <tablePart r:id="rId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1.75"/>
    <col customWidth="1" min="2" max="3" width="3.38"/>
    <col customWidth="1" min="4" max="4" width="16.25"/>
    <col customWidth="1" min="5" max="5" width="12.88"/>
    <col customWidth="1" min="6" max="6" width="18.75"/>
    <col customWidth="1" min="7" max="7" width="15.38"/>
    <col customWidth="1" min="8" max="23" width="13.88"/>
    <col customWidth="1" min="24" max="25" width="16.75"/>
    <col customWidth="1" min="26" max="47" width="13.88"/>
  </cols>
  <sheetData>
    <row r="1" ht="69.0" customHeight="1">
      <c r="A1" s="185" t="s">
        <v>172</v>
      </c>
      <c r="B1" s="186" t="s">
        <v>1959</v>
      </c>
      <c r="C1" s="186" t="s">
        <v>1960</v>
      </c>
      <c r="D1" s="187" t="s">
        <v>1961</v>
      </c>
      <c r="E1" s="188" t="s">
        <v>42</v>
      </c>
      <c r="F1" s="189" t="s">
        <v>1962</v>
      </c>
      <c r="G1" s="189" t="s">
        <v>1963</v>
      </c>
      <c r="H1" s="189" t="s">
        <v>1964</v>
      </c>
      <c r="I1" s="189" t="s">
        <v>1965</v>
      </c>
      <c r="J1" s="189" t="s">
        <v>1966</v>
      </c>
      <c r="K1" s="189" t="s">
        <v>1967</v>
      </c>
      <c r="L1" s="190" t="s">
        <v>1968</v>
      </c>
      <c r="M1" s="189" t="s">
        <v>1969</v>
      </c>
      <c r="N1" s="189" t="s">
        <v>1970</v>
      </c>
      <c r="O1" s="189" t="s">
        <v>1971</v>
      </c>
      <c r="P1" s="189" t="s">
        <v>1972</v>
      </c>
      <c r="Q1" s="190" t="s">
        <v>1968</v>
      </c>
      <c r="R1" s="189" t="s">
        <v>1973</v>
      </c>
      <c r="S1" s="189" t="s">
        <v>1974</v>
      </c>
      <c r="T1" s="189" t="s">
        <v>1975</v>
      </c>
      <c r="U1" s="189" t="s">
        <v>1976</v>
      </c>
      <c r="V1" s="189" t="s">
        <v>1977</v>
      </c>
      <c r="W1" s="189" t="s">
        <v>1978</v>
      </c>
      <c r="X1" s="189" t="s">
        <v>1975</v>
      </c>
      <c r="Y1" s="189" t="s">
        <v>1976</v>
      </c>
      <c r="Z1" s="189" t="s">
        <v>1979</v>
      </c>
      <c r="AA1" s="189" t="s">
        <v>1962</v>
      </c>
      <c r="AB1" s="189" t="s">
        <v>1980</v>
      </c>
      <c r="AC1" s="189" t="s">
        <v>1981</v>
      </c>
      <c r="AD1" s="190" t="s">
        <v>1968</v>
      </c>
      <c r="AE1" s="189" t="s">
        <v>1982</v>
      </c>
      <c r="AF1" s="189" t="s">
        <v>1983</v>
      </c>
      <c r="AG1" s="189" t="s">
        <v>1984</v>
      </c>
      <c r="AH1" s="189" t="s">
        <v>1985</v>
      </c>
      <c r="AI1" s="189" t="s">
        <v>1986</v>
      </c>
      <c r="AJ1" s="189" t="s">
        <v>1987</v>
      </c>
      <c r="AK1" s="190" t="s">
        <v>1968</v>
      </c>
      <c r="AL1" s="190" t="s">
        <v>1968</v>
      </c>
      <c r="AM1" s="189" t="s">
        <v>1988</v>
      </c>
      <c r="AN1" s="189" t="s">
        <v>1989</v>
      </c>
      <c r="AO1" s="189" t="s">
        <v>1990</v>
      </c>
      <c r="AP1" s="190" t="s">
        <v>1968</v>
      </c>
      <c r="AQ1" s="190" t="s">
        <v>1968</v>
      </c>
      <c r="AR1" s="189" t="s">
        <v>1991</v>
      </c>
      <c r="AS1" s="189" t="s">
        <v>1992</v>
      </c>
      <c r="AT1" s="189" t="s">
        <v>1993</v>
      </c>
      <c r="AU1" s="189" t="s">
        <v>1994</v>
      </c>
    </row>
    <row r="2" ht="14.25" customHeight="1">
      <c r="A2" s="191" t="s">
        <v>1995</v>
      </c>
      <c r="B2" s="192"/>
      <c r="C2" s="193"/>
      <c r="D2" s="194">
        <v>170.0</v>
      </c>
      <c r="E2" s="195">
        <v>36.0</v>
      </c>
      <c r="F2" s="196">
        <f t="shared" ref="F2:F164" si="1">AA2</f>
        <v>129.5901639</v>
      </c>
      <c r="G2" s="197">
        <f t="shared" ref="G2:G164" si="2">F2/E2</f>
        <v>3.599726776</v>
      </c>
      <c r="H2" s="198">
        <v>3.5</v>
      </c>
      <c r="I2" s="198">
        <f t="shared" ref="I2:I164" si="3">H2*E2</f>
        <v>126</v>
      </c>
      <c r="J2" s="198">
        <v>1.22</v>
      </c>
      <c r="K2" s="199">
        <f t="shared" ref="K2:K164" si="4">I2/J2</f>
        <v>103.2786885</v>
      </c>
      <c r="L2" s="197"/>
      <c r="M2" s="200">
        <f t="shared" ref="M2:M164" si="5">D2</f>
        <v>170</v>
      </c>
      <c r="N2" s="200">
        <f t="shared" ref="N2:N164" si="6">M2/1.22</f>
        <v>139.3442623</v>
      </c>
      <c r="O2" s="199">
        <f t="shared" ref="O2:O164" si="7">M2/E2</f>
        <v>4.722222222</v>
      </c>
      <c r="P2" s="201">
        <f t="shared" ref="P2:P164" si="8">N2/E2</f>
        <v>3.870673953</v>
      </c>
      <c r="Q2" s="197"/>
      <c r="R2" s="197"/>
      <c r="S2" s="202">
        <v>0.8</v>
      </c>
      <c r="T2" s="202">
        <v>0.2</v>
      </c>
      <c r="U2" s="202">
        <v>0.35</v>
      </c>
      <c r="V2" s="199">
        <f t="shared" ref="V2:V164" si="9">(S2*O2)+(O2*T2*(1-U2))</f>
        <v>4.391666667</v>
      </c>
      <c r="W2" s="199">
        <f t="shared" ref="W2:W164" si="10">V2/J2</f>
        <v>3.599726776</v>
      </c>
      <c r="X2" s="202">
        <f t="shared" ref="X2:X164" si="11">P2-W2</f>
        <v>0.2709471767</v>
      </c>
      <c r="Y2" s="202">
        <f t="shared" ref="Y2:Y164" si="12">X2/P2</f>
        <v>0.07</v>
      </c>
      <c r="Z2" s="200">
        <f t="shared" ref="Z2:Z164" si="13">AA2*J2</f>
        <v>158.1</v>
      </c>
      <c r="AA2" s="200">
        <f t="shared" ref="AA2:AA164" si="14">N2*(1-Y2)</f>
        <v>129.5901639</v>
      </c>
      <c r="AB2" s="200">
        <f t="shared" ref="AB2:AB164" si="15">N2-E2</f>
        <v>103.3442623</v>
      </c>
      <c r="AC2" s="202">
        <f t="shared" ref="AC2:AC164" si="16">AB2/M2</f>
        <v>0.6079074253</v>
      </c>
      <c r="AD2" s="203"/>
      <c r="AE2" s="203"/>
      <c r="AF2" s="203"/>
      <c r="AG2" s="203"/>
      <c r="AH2" s="203"/>
      <c r="AI2" s="203"/>
      <c r="AJ2" s="203"/>
      <c r="AK2" s="203"/>
      <c r="AL2" s="203"/>
      <c r="AM2" s="203"/>
      <c r="AN2" s="203"/>
      <c r="AO2" s="203"/>
      <c r="AP2" s="203"/>
      <c r="AQ2" s="203"/>
      <c r="AR2" s="203"/>
      <c r="AS2" s="203"/>
      <c r="AT2" s="203"/>
      <c r="AU2" s="203"/>
    </row>
    <row r="3" ht="13.5" customHeight="1">
      <c r="A3" s="191" t="s">
        <v>1996</v>
      </c>
      <c r="B3" s="204"/>
      <c r="C3" s="204"/>
      <c r="D3" s="194">
        <v>110.0</v>
      </c>
      <c r="E3" s="195">
        <v>35.0</v>
      </c>
      <c r="F3" s="196">
        <f t="shared" si="1"/>
        <v>83.85245902</v>
      </c>
      <c r="G3" s="197">
        <f t="shared" si="2"/>
        <v>2.395784543</v>
      </c>
      <c r="H3" s="198">
        <v>3.5</v>
      </c>
      <c r="I3" s="198">
        <f t="shared" si="3"/>
        <v>122.5</v>
      </c>
      <c r="J3" s="198">
        <v>1.22</v>
      </c>
      <c r="K3" s="199">
        <f t="shared" si="4"/>
        <v>100.4098361</v>
      </c>
      <c r="L3" s="197"/>
      <c r="M3" s="200">
        <f t="shared" si="5"/>
        <v>110</v>
      </c>
      <c r="N3" s="200">
        <f t="shared" si="6"/>
        <v>90.16393443</v>
      </c>
      <c r="O3" s="199">
        <f t="shared" si="7"/>
        <v>3.142857143</v>
      </c>
      <c r="P3" s="201">
        <f t="shared" si="8"/>
        <v>2.576112412</v>
      </c>
      <c r="Q3" s="197"/>
      <c r="R3" s="197"/>
      <c r="S3" s="202">
        <v>0.8</v>
      </c>
      <c r="T3" s="202">
        <v>0.2</v>
      </c>
      <c r="U3" s="202">
        <v>0.35</v>
      </c>
      <c r="V3" s="199">
        <f t="shared" si="9"/>
        <v>2.922857143</v>
      </c>
      <c r="W3" s="199">
        <f t="shared" si="10"/>
        <v>2.395784543</v>
      </c>
      <c r="X3" s="202">
        <f t="shared" si="11"/>
        <v>0.1803278689</v>
      </c>
      <c r="Y3" s="202">
        <f t="shared" si="12"/>
        <v>0.07</v>
      </c>
      <c r="Z3" s="200">
        <f t="shared" si="13"/>
        <v>102.3</v>
      </c>
      <c r="AA3" s="200">
        <f t="shared" si="14"/>
        <v>83.85245902</v>
      </c>
      <c r="AB3" s="200">
        <f t="shared" si="15"/>
        <v>55.16393443</v>
      </c>
      <c r="AC3" s="202">
        <f t="shared" si="16"/>
        <v>0.501490313</v>
      </c>
      <c r="AD3" s="203"/>
      <c r="AE3" s="203"/>
      <c r="AF3" s="203"/>
      <c r="AG3" s="203"/>
      <c r="AH3" s="203"/>
      <c r="AI3" s="203"/>
      <c r="AJ3" s="203"/>
      <c r="AK3" s="203"/>
      <c r="AL3" s="203"/>
      <c r="AM3" s="203"/>
      <c r="AN3" s="203"/>
      <c r="AO3" s="203"/>
      <c r="AP3" s="203"/>
      <c r="AQ3" s="203"/>
      <c r="AR3" s="203"/>
      <c r="AS3" s="203"/>
      <c r="AT3" s="203"/>
      <c r="AU3" s="203"/>
    </row>
    <row r="4" ht="14.25" customHeight="1">
      <c r="A4" s="191" t="s">
        <v>1997</v>
      </c>
      <c r="B4" s="193"/>
      <c r="C4" s="193"/>
      <c r="D4" s="194">
        <v>32.0</v>
      </c>
      <c r="E4" s="195">
        <v>13.5</v>
      </c>
      <c r="F4" s="196">
        <f t="shared" si="1"/>
        <v>24.39344262</v>
      </c>
      <c r="G4" s="197">
        <f t="shared" si="2"/>
        <v>1.806921676</v>
      </c>
      <c r="H4" s="198">
        <v>3.5</v>
      </c>
      <c r="I4" s="198">
        <f t="shared" si="3"/>
        <v>47.25</v>
      </c>
      <c r="J4" s="198">
        <v>1.22</v>
      </c>
      <c r="K4" s="199">
        <f t="shared" si="4"/>
        <v>38.7295082</v>
      </c>
      <c r="L4" s="197"/>
      <c r="M4" s="200">
        <f t="shared" si="5"/>
        <v>32</v>
      </c>
      <c r="N4" s="200">
        <f t="shared" si="6"/>
        <v>26.2295082</v>
      </c>
      <c r="O4" s="199">
        <f t="shared" si="7"/>
        <v>2.37037037</v>
      </c>
      <c r="P4" s="201">
        <f t="shared" si="8"/>
        <v>1.942926533</v>
      </c>
      <c r="Q4" s="197"/>
      <c r="R4" s="197"/>
      <c r="S4" s="202">
        <v>0.8</v>
      </c>
      <c r="T4" s="202">
        <v>0.2</v>
      </c>
      <c r="U4" s="202">
        <v>0.35</v>
      </c>
      <c r="V4" s="199">
        <f t="shared" si="9"/>
        <v>2.204444444</v>
      </c>
      <c r="W4" s="199">
        <f t="shared" si="10"/>
        <v>1.806921676</v>
      </c>
      <c r="X4" s="202">
        <f t="shared" si="11"/>
        <v>0.1360048573</v>
      </c>
      <c r="Y4" s="202">
        <f t="shared" si="12"/>
        <v>0.07</v>
      </c>
      <c r="Z4" s="200">
        <f t="shared" si="13"/>
        <v>29.76</v>
      </c>
      <c r="AA4" s="200">
        <f t="shared" si="14"/>
        <v>24.39344262</v>
      </c>
      <c r="AB4" s="200">
        <f t="shared" si="15"/>
        <v>12.7295082</v>
      </c>
      <c r="AC4" s="202">
        <f t="shared" si="16"/>
        <v>0.3977971311</v>
      </c>
      <c r="AD4" s="203"/>
      <c r="AE4" s="203"/>
      <c r="AF4" s="203"/>
      <c r="AG4" s="203"/>
      <c r="AH4" s="203"/>
      <c r="AI4" s="203"/>
      <c r="AJ4" s="203"/>
      <c r="AK4" s="203"/>
      <c r="AL4" s="203"/>
      <c r="AM4" s="203"/>
      <c r="AN4" s="203"/>
      <c r="AO4" s="203"/>
      <c r="AP4" s="203"/>
      <c r="AQ4" s="203"/>
      <c r="AR4" s="203"/>
      <c r="AS4" s="203"/>
      <c r="AT4" s="203"/>
      <c r="AU4" s="203"/>
    </row>
    <row r="5" ht="14.25" customHeight="1">
      <c r="A5" s="191" t="s">
        <v>202</v>
      </c>
      <c r="B5" s="204"/>
      <c r="C5" s="192"/>
      <c r="D5" s="205">
        <v>120.0</v>
      </c>
      <c r="E5" s="195">
        <v>32.08</v>
      </c>
      <c r="F5" s="196">
        <f t="shared" si="1"/>
        <v>91.47540984</v>
      </c>
      <c r="G5" s="197">
        <f t="shared" si="2"/>
        <v>2.851477863</v>
      </c>
      <c r="H5" s="198">
        <v>3.5</v>
      </c>
      <c r="I5" s="198">
        <f t="shared" si="3"/>
        <v>112.28</v>
      </c>
      <c r="J5" s="198">
        <v>1.22</v>
      </c>
      <c r="K5" s="199">
        <f t="shared" si="4"/>
        <v>92.03278689</v>
      </c>
      <c r="L5" s="197"/>
      <c r="M5" s="200">
        <f t="shared" si="5"/>
        <v>120</v>
      </c>
      <c r="N5" s="200">
        <f t="shared" si="6"/>
        <v>98.36065574</v>
      </c>
      <c r="O5" s="199">
        <f t="shared" si="7"/>
        <v>3.740648379</v>
      </c>
      <c r="P5" s="201">
        <f t="shared" si="8"/>
        <v>3.066105229</v>
      </c>
      <c r="Q5" s="197"/>
      <c r="R5" s="197"/>
      <c r="S5" s="202">
        <v>0.8</v>
      </c>
      <c r="T5" s="202">
        <v>0.2</v>
      </c>
      <c r="U5" s="202">
        <v>0.35</v>
      </c>
      <c r="V5" s="199">
        <f t="shared" si="9"/>
        <v>3.478802993</v>
      </c>
      <c r="W5" s="199">
        <f t="shared" si="10"/>
        <v>2.851477863</v>
      </c>
      <c r="X5" s="202">
        <f t="shared" si="11"/>
        <v>0.214627366</v>
      </c>
      <c r="Y5" s="202">
        <f t="shared" si="12"/>
        <v>0.07</v>
      </c>
      <c r="Z5" s="200">
        <f t="shared" si="13"/>
        <v>111.6</v>
      </c>
      <c r="AA5" s="200">
        <f t="shared" si="14"/>
        <v>91.47540984</v>
      </c>
      <c r="AB5" s="200">
        <f t="shared" si="15"/>
        <v>66.28065574</v>
      </c>
      <c r="AC5" s="202">
        <f t="shared" si="16"/>
        <v>0.5523387978</v>
      </c>
      <c r="AD5" s="203"/>
      <c r="AE5" s="203"/>
      <c r="AF5" s="203"/>
      <c r="AG5" s="203"/>
      <c r="AH5" s="203"/>
      <c r="AI5" s="203"/>
      <c r="AJ5" s="203"/>
      <c r="AK5" s="203"/>
      <c r="AL5" s="203"/>
      <c r="AM5" s="203"/>
      <c r="AN5" s="203"/>
      <c r="AO5" s="203"/>
      <c r="AP5" s="203"/>
      <c r="AQ5" s="203"/>
      <c r="AR5" s="203"/>
      <c r="AS5" s="203"/>
      <c r="AT5" s="203"/>
      <c r="AU5" s="203"/>
    </row>
    <row r="6" ht="14.25" customHeight="1">
      <c r="A6" s="191" t="s">
        <v>1998</v>
      </c>
      <c r="B6" s="204"/>
      <c r="C6" s="192"/>
      <c r="D6" s="195">
        <v>110.0</v>
      </c>
      <c r="E6" s="195">
        <v>30.33</v>
      </c>
      <c r="F6" s="196">
        <f t="shared" si="1"/>
        <v>83.85245902</v>
      </c>
      <c r="G6" s="197">
        <f t="shared" si="2"/>
        <v>2.764670591</v>
      </c>
      <c r="H6" s="198">
        <v>3.5</v>
      </c>
      <c r="I6" s="198">
        <f t="shared" si="3"/>
        <v>106.155</v>
      </c>
      <c r="J6" s="198">
        <v>1.22</v>
      </c>
      <c r="K6" s="199">
        <f t="shared" si="4"/>
        <v>87.01229508</v>
      </c>
      <c r="L6" s="197"/>
      <c r="M6" s="200">
        <f t="shared" si="5"/>
        <v>110</v>
      </c>
      <c r="N6" s="200">
        <f t="shared" si="6"/>
        <v>90.16393443</v>
      </c>
      <c r="O6" s="199">
        <f t="shared" si="7"/>
        <v>3.626772173</v>
      </c>
      <c r="P6" s="201">
        <f t="shared" si="8"/>
        <v>2.972764076</v>
      </c>
      <c r="Q6" s="197"/>
      <c r="R6" s="197"/>
      <c r="S6" s="202">
        <v>0.8</v>
      </c>
      <c r="T6" s="202">
        <v>0.2</v>
      </c>
      <c r="U6" s="202">
        <v>0.35</v>
      </c>
      <c r="V6" s="199">
        <f t="shared" si="9"/>
        <v>3.372898121</v>
      </c>
      <c r="W6" s="199">
        <f t="shared" si="10"/>
        <v>2.764670591</v>
      </c>
      <c r="X6" s="202">
        <f t="shared" si="11"/>
        <v>0.2080934853</v>
      </c>
      <c r="Y6" s="202">
        <f t="shared" si="12"/>
        <v>0.07</v>
      </c>
      <c r="Z6" s="200">
        <f t="shared" si="13"/>
        <v>102.3</v>
      </c>
      <c r="AA6" s="200">
        <f t="shared" si="14"/>
        <v>83.85245902</v>
      </c>
      <c r="AB6" s="200">
        <f t="shared" si="15"/>
        <v>59.83393443</v>
      </c>
      <c r="AC6" s="202">
        <f t="shared" si="16"/>
        <v>0.5439448584</v>
      </c>
      <c r="AD6" s="203"/>
      <c r="AE6" s="203"/>
      <c r="AF6" s="203"/>
      <c r="AG6" s="203"/>
      <c r="AH6" s="203"/>
      <c r="AI6" s="203"/>
      <c r="AJ6" s="203"/>
      <c r="AK6" s="203"/>
      <c r="AL6" s="203"/>
      <c r="AM6" s="203"/>
      <c r="AN6" s="203"/>
      <c r="AO6" s="203"/>
      <c r="AP6" s="203"/>
      <c r="AQ6" s="203"/>
      <c r="AR6" s="203"/>
      <c r="AS6" s="203"/>
      <c r="AT6" s="203"/>
      <c r="AU6" s="203"/>
    </row>
    <row r="7" ht="14.25" customHeight="1">
      <c r="A7" s="191" t="s">
        <v>161</v>
      </c>
      <c r="B7" s="204"/>
      <c r="C7" s="193"/>
      <c r="D7" s="195">
        <v>120.0</v>
      </c>
      <c r="E7" s="195">
        <v>30.33</v>
      </c>
      <c r="F7" s="196">
        <f t="shared" si="1"/>
        <v>91.47540984</v>
      </c>
      <c r="G7" s="197">
        <f t="shared" si="2"/>
        <v>3.016004281</v>
      </c>
      <c r="H7" s="198">
        <v>3.5</v>
      </c>
      <c r="I7" s="198">
        <f t="shared" si="3"/>
        <v>106.155</v>
      </c>
      <c r="J7" s="198">
        <v>1.22</v>
      </c>
      <c r="K7" s="199">
        <f t="shared" si="4"/>
        <v>87.01229508</v>
      </c>
      <c r="L7" s="197"/>
      <c r="M7" s="200">
        <f t="shared" si="5"/>
        <v>120</v>
      </c>
      <c r="N7" s="200">
        <f t="shared" si="6"/>
        <v>98.36065574</v>
      </c>
      <c r="O7" s="199">
        <f t="shared" si="7"/>
        <v>3.956478734</v>
      </c>
      <c r="P7" s="201">
        <f t="shared" si="8"/>
        <v>3.243015356</v>
      </c>
      <c r="Q7" s="197"/>
      <c r="R7" s="197"/>
      <c r="S7" s="202">
        <v>0.8</v>
      </c>
      <c r="T7" s="202">
        <v>0.2</v>
      </c>
      <c r="U7" s="202">
        <v>0.35</v>
      </c>
      <c r="V7" s="199">
        <f t="shared" si="9"/>
        <v>3.679525223</v>
      </c>
      <c r="W7" s="199">
        <f t="shared" si="10"/>
        <v>3.016004281</v>
      </c>
      <c r="X7" s="202">
        <f t="shared" si="11"/>
        <v>0.2270110749</v>
      </c>
      <c r="Y7" s="202">
        <f t="shared" si="12"/>
        <v>0.07</v>
      </c>
      <c r="Z7" s="200">
        <f t="shared" si="13"/>
        <v>111.6</v>
      </c>
      <c r="AA7" s="200">
        <f t="shared" si="14"/>
        <v>91.47540984</v>
      </c>
      <c r="AB7" s="200">
        <f t="shared" si="15"/>
        <v>68.03065574</v>
      </c>
      <c r="AC7" s="202">
        <f t="shared" si="16"/>
        <v>0.5669221311</v>
      </c>
      <c r="AD7" s="203"/>
      <c r="AE7" s="203"/>
      <c r="AF7" s="203"/>
      <c r="AG7" s="203"/>
      <c r="AH7" s="203"/>
      <c r="AI7" s="203"/>
      <c r="AJ7" s="203"/>
      <c r="AK7" s="203"/>
      <c r="AL7" s="203"/>
      <c r="AM7" s="203"/>
      <c r="AN7" s="203"/>
      <c r="AO7" s="203"/>
      <c r="AP7" s="203"/>
      <c r="AQ7" s="203"/>
      <c r="AR7" s="203"/>
      <c r="AS7" s="203"/>
      <c r="AT7" s="203"/>
      <c r="AU7" s="203"/>
    </row>
    <row r="8" ht="14.25" customHeight="1">
      <c r="A8" s="191" t="s">
        <v>237</v>
      </c>
      <c r="B8" s="204"/>
      <c r="C8" s="193"/>
      <c r="D8" s="195">
        <v>120.0</v>
      </c>
      <c r="E8" s="195">
        <v>30.33</v>
      </c>
      <c r="F8" s="196">
        <f t="shared" si="1"/>
        <v>91.47540984</v>
      </c>
      <c r="G8" s="197">
        <f t="shared" si="2"/>
        <v>3.016004281</v>
      </c>
      <c r="H8" s="198">
        <v>3.5</v>
      </c>
      <c r="I8" s="198">
        <f t="shared" si="3"/>
        <v>106.155</v>
      </c>
      <c r="J8" s="198">
        <v>1.22</v>
      </c>
      <c r="K8" s="199">
        <f t="shared" si="4"/>
        <v>87.01229508</v>
      </c>
      <c r="L8" s="197"/>
      <c r="M8" s="200">
        <f t="shared" si="5"/>
        <v>120</v>
      </c>
      <c r="N8" s="200">
        <f t="shared" si="6"/>
        <v>98.36065574</v>
      </c>
      <c r="O8" s="199">
        <f t="shared" si="7"/>
        <v>3.956478734</v>
      </c>
      <c r="P8" s="201">
        <f t="shared" si="8"/>
        <v>3.243015356</v>
      </c>
      <c r="Q8" s="197"/>
      <c r="R8" s="197"/>
      <c r="S8" s="202">
        <v>0.8</v>
      </c>
      <c r="T8" s="202">
        <v>0.2</v>
      </c>
      <c r="U8" s="202">
        <v>0.35</v>
      </c>
      <c r="V8" s="199">
        <f t="shared" si="9"/>
        <v>3.679525223</v>
      </c>
      <c r="W8" s="199">
        <f t="shared" si="10"/>
        <v>3.016004281</v>
      </c>
      <c r="X8" s="202">
        <f t="shared" si="11"/>
        <v>0.2270110749</v>
      </c>
      <c r="Y8" s="202">
        <f t="shared" si="12"/>
        <v>0.07</v>
      </c>
      <c r="Z8" s="200">
        <f t="shared" si="13"/>
        <v>111.6</v>
      </c>
      <c r="AA8" s="200">
        <f t="shared" si="14"/>
        <v>91.47540984</v>
      </c>
      <c r="AB8" s="200">
        <f t="shared" si="15"/>
        <v>68.03065574</v>
      </c>
      <c r="AC8" s="202">
        <f t="shared" si="16"/>
        <v>0.5669221311</v>
      </c>
      <c r="AD8" s="203"/>
      <c r="AE8" s="203"/>
      <c r="AF8" s="203"/>
      <c r="AG8" s="203"/>
      <c r="AH8" s="203"/>
      <c r="AI8" s="203"/>
      <c r="AJ8" s="203"/>
      <c r="AK8" s="203"/>
      <c r="AL8" s="203"/>
      <c r="AM8" s="203"/>
      <c r="AN8" s="203"/>
      <c r="AO8" s="203"/>
      <c r="AP8" s="203"/>
      <c r="AQ8" s="203"/>
      <c r="AR8" s="203"/>
      <c r="AS8" s="203"/>
      <c r="AT8" s="203"/>
      <c r="AU8" s="203"/>
    </row>
    <row r="9" ht="14.25" customHeight="1">
      <c r="A9" s="191" t="s">
        <v>181</v>
      </c>
      <c r="B9" s="204"/>
      <c r="C9" s="193"/>
      <c r="D9" s="195">
        <v>150.0</v>
      </c>
      <c r="E9" s="195">
        <v>30.33</v>
      </c>
      <c r="F9" s="196">
        <f t="shared" si="1"/>
        <v>114.3442623</v>
      </c>
      <c r="G9" s="197">
        <f t="shared" si="2"/>
        <v>3.770005351</v>
      </c>
      <c r="H9" s="198">
        <v>3.5</v>
      </c>
      <c r="I9" s="198">
        <f t="shared" si="3"/>
        <v>106.155</v>
      </c>
      <c r="J9" s="198">
        <v>1.22</v>
      </c>
      <c r="K9" s="199">
        <f t="shared" si="4"/>
        <v>87.01229508</v>
      </c>
      <c r="L9" s="197"/>
      <c r="M9" s="200">
        <f t="shared" si="5"/>
        <v>150</v>
      </c>
      <c r="N9" s="200">
        <f t="shared" si="6"/>
        <v>122.9508197</v>
      </c>
      <c r="O9" s="199">
        <f t="shared" si="7"/>
        <v>4.945598417</v>
      </c>
      <c r="P9" s="201">
        <f t="shared" si="8"/>
        <v>4.053769195</v>
      </c>
      <c r="Q9" s="197"/>
      <c r="R9" s="197"/>
      <c r="S9" s="202">
        <v>0.8</v>
      </c>
      <c r="T9" s="202">
        <v>0.2</v>
      </c>
      <c r="U9" s="202">
        <v>0.35</v>
      </c>
      <c r="V9" s="199">
        <f t="shared" si="9"/>
        <v>4.599406528</v>
      </c>
      <c r="W9" s="199">
        <f t="shared" si="10"/>
        <v>3.770005351</v>
      </c>
      <c r="X9" s="202">
        <f t="shared" si="11"/>
        <v>0.2837638436</v>
      </c>
      <c r="Y9" s="202">
        <f t="shared" si="12"/>
        <v>0.07</v>
      </c>
      <c r="Z9" s="200">
        <f t="shared" si="13"/>
        <v>139.5</v>
      </c>
      <c r="AA9" s="200">
        <f t="shared" si="14"/>
        <v>114.3442623</v>
      </c>
      <c r="AB9" s="200">
        <f t="shared" si="15"/>
        <v>92.62081967</v>
      </c>
      <c r="AC9" s="202">
        <f t="shared" si="16"/>
        <v>0.6174721311</v>
      </c>
      <c r="AD9" s="203"/>
      <c r="AE9" s="203"/>
      <c r="AF9" s="203"/>
      <c r="AG9" s="203"/>
      <c r="AH9" s="203"/>
      <c r="AI9" s="203"/>
      <c r="AJ9" s="203"/>
      <c r="AK9" s="203"/>
      <c r="AL9" s="203"/>
      <c r="AM9" s="203"/>
      <c r="AN9" s="203"/>
      <c r="AO9" s="203"/>
      <c r="AP9" s="203"/>
      <c r="AQ9" s="203"/>
      <c r="AR9" s="203"/>
      <c r="AS9" s="203"/>
      <c r="AT9" s="203"/>
      <c r="AU9" s="203"/>
    </row>
    <row r="10" ht="14.25" customHeight="1">
      <c r="A10" s="206" t="s">
        <v>1999</v>
      </c>
      <c r="B10" s="204"/>
      <c r="C10" s="193"/>
      <c r="D10" s="195">
        <v>120.0</v>
      </c>
      <c r="E10" s="195">
        <v>30.33</v>
      </c>
      <c r="F10" s="196">
        <f t="shared" si="1"/>
        <v>91.47540984</v>
      </c>
      <c r="G10" s="197">
        <f t="shared" si="2"/>
        <v>3.016004281</v>
      </c>
      <c r="H10" s="198">
        <v>3.5</v>
      </c>
      <c r="I10" s="198">
        <f t="shared" si="3"/>
        <v>106.155</v>
      </c>
      <c r="J10" s="198">
        <v>1.22</v>
      </c>
      <c r="K10" s="199">
        <f t="shared" si="4"/>
        <v>87.01229508</v>
      </c>
      <c r="L10" s="197"/>
      <c r="M10" s="200">
        <f t="shared" si="5"/>
        <v>120</v>
      </c>
      <c r="N10" s="200">
        <f t="shared" si="6"/>
        <v>98.36065574</v>
      </c>
      <c r="O10" s="199">
        <f t="shared" si="7"/>
        <v>3.956478734</v>
      </c>
      <c r="P10" s="201">
        <f t="shared" si="8"/>
        <v>3.243015356</v>
      </c>
      <c r="Q10" s="197"/>
      <c r="R10" s="197"/>
      <c r="S10" s="202">
        <v>0.8</v>
      </c>
      <c r="T10" s="202">
        <v>0.2</v>
      </c>
      <c r="U10" s="202">
        <v>0.35</v>
      </c>
      <c r="V10" s="199">
        <f t="shared" si="9"/>
        <v>3.679525223</v>
      </c>
      <c r="W10" s="199">
        <f t="shared" si="10"/>
        <v>3.016004281</v>
      </c>
      <c r="X10" s="202">
        <f t="shared" si="11"/>
        <v>0.2270110749</v>
      </c>
      <c r="Y10" s="202">
        <f t="shared" si="12"/>
        <v>0.07</v>
      </c>
      <c r="Z10" s="200">
        <f t="shared" si="13"/>
        <v>111.6</v>
      </c>
      <c r="AA10" s="200">
        <f t="shared" si="14"/>
        <v>91.47540984</v>
      </c>
      <c r="AB10" s="200">
        <f t="shared" si="15"/>
        <v>68.03065574</v>
      </c>
      <c r="AC10" s="202">
        <f t="shared" si="16"/>
        <v>0.5669221311</v>
      </c>
      <c r="AD10" s="203"/>
      <c r="AE10" s="203"/>
      <c r="AF10" s="203"/>
      <c r="AG10" s="203"/>
      <c r="AH10" s="203"/>
      <c r="AI10" s="203"/>
      <c r="AJ10" s="203"/>
      <c r="AK10" s="203"/>
      <c r="AL10" s="203"/>
      <c r="AM10" s="203"/>
      <c r="AN10" s="203"/>
      <c r="AO10" s="203"/>
      <c r="AP10" s="203"/>
      <c r="AQ10" s="203"/>
      <c r="AR10" s="203"/>
      <c r="AS10" s="203"/>
      <c r="AT10" s="203"/>
      <c r="AU10" s="203"/>
    </row>
    <row r="11" ht="14.25" customHeight="1">
      <c r="A11" s="191" t="s">
        <v>231</v>
      </c>
      <c r="B11" s="204"/>
      <c r="C11" s="193"/>
      <c r="D11" s="195">
        <v>150.0</v>
      </c>
      <c r="E11" s="195">
        <v>30.33</v>
      </c>
      <c r="F11" s="196">
        <f t="shared" si="1"/>
        <v>114.3442623</v>
      </c>
      <c r="G11" s="197">
        <f t="shared" si="2"/>
        <v>3.770005351</v>
      </c>
      <c r="H11" s="198">
        <v>3.5</v>
      </c>
      <c r="I11" s="198">
        <f t="shared" si="3"/>
        <v>106.155</v>
      </c>
      <c r="J11" s="198">
        <v>1.22</v>
      </c>
      <c r="K11" s="199">
        <f t="shared" si="4"/>
        <v>87.01229508</v>
      </c>
      <c r="L11" s="197"/>
      <c r="M11" s="200">
        <f t="shared" si="5"/>
        <v>150</v>
      </c>
      <c r="N11" s="200">
        <f t="shared" si="6"/>
        <v>122.9508197</v>
      </c>
      <c r="O11" s="199">
        <f t="shared" si="7"/>
        <v>4.945598417</v>
      </c>
      <c r="P11" s="201">
        <f t="shared" si="8"/>
        <v>4.053769195</v>
      </c>
      <c r="Q11" s="197"/>
      <c r="R11" s="197"/>
      <c r="S11" s="202">
        <v>0.8</v>
      </c>
      <c r="T11" s="202">
        <v>0.2</v>
      </c>
      <c r="U11" s="202">
        <v>0.35</v>
      </c>
      <c r="V11" s="199">
        <f t="shared" si="9"/>
        <v>4.599406528</v>
      </c>
      <c r="W11" s="199">
        <f t="shared" si="10"/>
        <v>3.770005351</v>
      </c>
      <c r="X11" s="202">
        <f t="shared" si="11"/>
        <v>0.2837638436</v>
      </c>
      <c r="Y11" s="202">
        <f t="shared" si="12"/>
        <v>0.07</v>
      </c>
      <c r="Z11" s="200">
        <f t="shared" si="13"/>
        <v>139.5</v>
      </c>
      <c r="AA11" s="200">
        <f t="shared" si="14"/>
        <v>114.3442623</v>
      </c>
      <c r="AB11" s="200">
        <f t="shared" si="15"/>
        <v>92.62081967</v>
      </c>
      <c r="AC11" s="202">
        <f t="shared" si="16"/>
        <v>0.6174721311</v>
      </c>
      <c r="AD11" s="203"/>
      <c r="AE11" s="203"/>
      <c r="AF11" s="203"/>
      <c r="AG11" s="203"/>
      <c r="AH11" s="203"/>
      <c r="AI11" s="203"/>
      <c r="AJ11" s="203"/>
      <c r="AK11" s="203"/>
      <c r="AL11" s="203"/>
      <c r="AM11" s="203"/>
      <c r="AN11" s="203"/>
      <c r="AO11" s="203"/>
      <c r="AP11" s="203"/>
      <c r="AQ11" s="203"/>
      <c r="AR11" s="203"/>
      <c r="AS11" s="203"/>
      <c r="AT11" s="203"/>
      <c r="AU11" s="203"/>
    </row>
    <row r="12" ht="14.25" customHeight="1">
      <c r="A12" s="191" t="s">
        <v>2000</v>
      </c>
      <c r="B12" s="204"/>
      <c r="C12" s="193"/>
      <c r="D12" s="195">
        <v>110.0</v>
      </c>
      <c r="E12" s="195">
        <v>30.33</v>
      </c>
      <c r="F12" s="196">
        <f t="shared" si="1"/>
        <v>83.85245902</v>
      </c>
      <c r="G12" s="197">
        <f t="shared" si="2"/>
        <v>2.764670591</v>
      </c>
      <c r="H12" s="198">
        <v>3.5</v>
      </c>
      <c r="I12" s="198">
        <f t="shared" si="3"/>
        <v>106.155</v>
      </c>
      <c r="J12" s="198">
        <v>1.22</v>
      </c>
      <c r="K12" s="199">
        <f t="shared" si="4"/>
        <v>87.01229508</v>
      </c>
      <c r="L12" s="197"/>
      <c r="M12" s="200">
        <f t="shared" si="5"/>
        <v>110</v>
      </c>
      <c r="N12" s="200">
        <f t="shared" si="6"/>
        <v>90.16393443</v>
      </c>
      <c r="O12" s="199">
        <f t="shared" si="7"/>
        <v>3.626772173</v>
      </c>
      <c r="P12" s="201">
        <f t="shared" si="8"/>
        <v>2.972764076</v>
      </c>
      <c r="Q12" s="197"/>
      <c r="R12" s="197"/>
      <c r="S12" s="202">
        <v>0.8</v>
      </c>
      <c r="T12" s="202">
        <v>0.2</v>
      </c>
      <c r="U12" s="202">
        <v>0.35</v>
      </c>
      <c r="V12" s="199">
        <f t="shared" si="9"/>
        <v>3.372898121</v>
      </c>
      <c r="W12" s="199">
        <f t="shared" si="10"/>
        <v>2.764670591</v>
      </c>
      <c r="X12" s="202">
        <f t="shared" si="11"/>
        <v>0.2080934853</v>
      </c>
      <c r="Y12" s="202">
        <f t="shared" si="12"/>
        <v>0.07</v>
      </c>
      <c r="Z12" s="200">
        <f t="shared" si="13"/>
        <v>102.3</v>
      </c>
      <c r="AA12" s="200">
        <f t="shared" si="14"/>
        <v>83.85245902</v>
      </c>
      <c r="AB12" s="200">
        <f t="shared" si="15"/>
        <v>59.83393443</v>
      </c>
      <c r="AC12" s="202">
        <f t="shared" si="16"/>
        <v>0.5439448584</v>
      </c>
      <c r="AD12" s="203"/>
      <c r="AE12" s="203"/>
      <c r="AF12" s="203"/>
      <c r="AG12" s="203"/>
      <c r="AH12" s="203"/>
      <c r="AI12" s="203"/>
      <c r="AJ12" s="203"/>
      <c r="AK12" s="203"/>
      <c r="AL12" s="203"/>
      <c r="AM12" s="203"/>
      <c r="AN12" s="203"/>
      <c r="AO12" s="203"/>
      <c r="AP12" s="203"/>
      <c r="AQ12" s="203"/>
      <c r="AR12" s="203"/>
      <c r="AS12" s="203"/>
      <c r="AT12" s="203"/>
      <c r="AU12" s="203"/>
    </row>
    <row r="13" ht="14.25" customHeight="1">
      <c r="A13" s="191" t="s">
        <v>233</v>
      </c>
      <c r="B13" s="204"/>
      <c r="C13" s="193"/>
      <c r="D13" s="205">
        <v>120.0</v>
      </c>
      <c r="E13" s="195">
        <v>20.0</v>
      </c>
      <c r="F13" s="196">
        <f t="shared" si="1"/>
        <v>91.47540984</v>
      </c>
      <c r="G13" s="197">
        <f t="shared" si="2"/>
        <v>4.573770492</v>
      </c>
      <c r="H13" s="198">
        <v>3.5</v>
      </c>
      <c r="I13" s="198">
        <f t="shared" si="3"/>
        <v>70</v>
      </c>
      <c r="J13" s="198">
        <v>1.22</v>
      </c>
      <c r="K13" s="199">
        <f t="shared" si="4"/>
        <v>57.37704918</v>
      </c>
      <c r="L13" s="197"/>
      <c r="M13" s="200">
        <f t="shared" si="5"/>
        <v>120</v>
      </c>
      <c r="N13" s="200">
        <f t="shared" si="6"/>
        <v>98.36065574</v>
      </c>
      <c r="O13" s="199">
        <f t="shared" si="7"/>
        <v>6</v>
      </c>
      <c r="P13" s="201">
        <f t="shared" si="8"/>
        <v>4.918032787</v>
      </c>
      <c r="Q13" s="197"/>
      <c r="R13" s="197"/>
      <c r="S13" s="202">
        <v>0.8</v>
      </c>
      <c r="T13" s="202">
        <v>0.2</v>
      </c>
      <c r="U13" s="202">
        <v>0.35</v>
      </c>
      <c r="V13" s="199">
        <f t="shared" si="9"/>
        <v>5.58</v>
      </c>
      <c r="W13" s="199">
        <f t="shared" si="10"/>
        <v>4.573770492</v>
      </c>
      <c r="X13" s="202">
        <f t="shared" si="11"/>
        <v>0.3442622951</v>
      </c>
      <c r="Y13" s="202">
        <f t="shared" si="12"/>
        <v>0.07</v>
      </c>
      <c r="Z13" s="200">
        <f t="shared" si="13"/>
        <v>111.6</v>
      </c>
      <c r="AA13" s="200">
        <f t="shared" si="14"/>
        <v>91.47540984</v>
      </c>
      <c r="AB13" s="200">
        <f t="shared" si="15"/>
        <v>78.36065574</v>
      </c>
      <c r="AC13" s="202">
        <f t="shared" si="16"/>
        <v>0.6530054645</v>
      </c>
      <c r="AD13" s="203"/>
      <c r="AE13" s="203"/>
      <c r="AF13" s="203"/>
      <c r="AG13" s="203"/>
      <c r="AH13" s="203"/>
      <c r="AI13" s="203"/>
      <c r="AJ13" s="203"/>
      <c r="AK13" s="203"/>
      <c r="AL13" s="203"/>
      <c r="AM13" s="203"/>
      <c r="AN13" s="203"/>
      <c r="AO13" s="203"/>
      <c r="AP13" s="203"/>
      <c r="AQ13" s="203"/>
      <c r="AR13" s="203"/>
      <c r="AS13" s="203"/>
      <c r="AT13" s="203"/>
      <c r="AU13" s="203"/>
    </row>
    <row r="14" ht="14.25" customHeight="1">
      <c r="A14" s="206" t="s">
        <v>186</v>
      </c>
      <c r="B14" s="192"/>
      <c r="C14" s="192"/>
      <c r="D14" s="205">
        <v>120.0</v>
      </c>
      <c r="E14" s="205">
        <v>30.0</v>
      </c>
      <c r="F14" s="196">
        <f t="shared" si="1"/>
        <v>91.47540984</v>
      </c>
      <c r="G14" s="197">
        <f t="shared" si="2"/>
        <v>3.049180328</v>
      </c>
      <c r="H14" s="198">
        <v>3.5</v>
      </c>
      <c r="I14" s="198">
        <f t="shared" si="3"/>
        <v>105</v>
      </c>
      <c r="J14" s="198">
        <v>1.22</v>
      </c>
      <c r="K14" s="199">
        <f t="shared" si="4"/>
        <v>86.06557377</v>
      </c>
      <c r="L14" s="197"/>
      <c r="M14" s="200">
        <f t="shared" si="5"/>
        <v>120</v>
      </c>
      <c r="N14" s="200">
        <f t="shared" si="6"/>
        <v>98.36065574</v>
      </c>
      <c r="O14" s="199">
        <f t="shared" si="7"/>
        <v>4</v>
      </c>
      <c r="P14" s="201">
        <f t="shared" si="8"/>
        <v>3.278688525</v>
      </c>
      <c r="Q14" s="197"/>
      <c r="R14" s="197"/>
      <c r="S14" s="202">
        <v>0.8</v>
      </c>
      <c r="T14" s="202">
        <v>0.2</v>
      </c>
      <c r="U14" s="202">
        <v>0.35</v>
      </c>
      <c r="V14" s="199">
        <f t="shared" si="9"/>
        <v>3.72</v>
      </c>
      <c r="W14" s="199">
        <f t="shared" si="10"/>
        <v>3.049180328</v>
      </c>
      <c r="X14" s="202">
        <f t="shared" si="11"/>
        <v>0.2295081967</v>
      </c>
      <c r="Y14" s="202">
        <f t="shared" si="12"/>
        <v>0.07</v>
      </c>
      <c r="Z14" s="200">
        <f t="shared" si="13"/>
        <v>111.6</v>
      </c>
      <c r="AA14" s="200">
        <f t="shared" si="14"/>
        <v>91.47540984</v>
      </c>
      <c r="AB14" s="200">
        <f t="shared" si="15"/>
        <v>68.36065574</v>
      </c>
      <c r="AC14" s="202">
        <f t="shared" si="16"/>
        <v>0.5696721311</v>
      </c>
      <c r="AD14" s="203"/>
      <c r="AE14" s="203"/>
      <c r="AF14" s="203"/>
      <c r="AG14" s="203"/>
      <c r="AH14" s="203"/>
      <c r="AI14" s="203"/>
      <c r="AJ14" s="203"/>
      <c r="AK14" s="203"/>
      <c r="AL14" s="203"/>
      <c r="AM14" s="203"/>
      <c r="AN14" s="203"/>
      <c r="AO14" s="203"/>
      <c r="AP14" s="203"/>
      <c r="AQ14" s="203"/>
      <c r="AR14" s="203"/>
      <c r="AS14" s="203"/>
      <c r="AT14" s="203"/>
      <c r="AU14" s="203"/>
    </row>
    <row r="15" ht="14.25" customHeight="1">
      <c r="A15" s="207" t="s">
        <v>225</v>
      </c>
      <c r="B15" s="192"/>
      <c r="C15" s="192"/>
      <c r="D15" s="205">
        <v>120.0</v>
      </c>
      <c r="E15" s="205">
        <v>30.0</v>
      </c>
      <c r="F15" s="196">
        <f t="shared" si="1"/>
        <v>91.47540984</v>
      </c>
      <c r="G15" s="197">
        <f t="shared" si="2"/>
        <v>3.049180328</v>
      </c>
      <c r="H15" s="198">
        <v>3.5</v>
      </c>
      <c r="I15" s="198">
        <f t="shared" si="3"/>
        <v>105</v>
      </c>
      <c r="J15" s="198">
        <v>1.22</v>
      </c>
      <c r="K15" s="199">
        <f t="shared" si="4"/>
        <v>86.06557377</v>
      </c>
      <c r="L15" s="197"/>
      <c r="M15" s="200">
        <f t="shared" si="5"/>
        <v>120</v>
      </c>
      <c r="N15" s="200">
        <f t="shared" si="6"/>
        <v>98.36065574</v>
      </c>
      <c r="O15" s="199">
        <f t="shared" si="7"/>
        <v>4</v>
      </c>
      <c r="P15" s="201">
        <f t="shared" si="8"/>
        <v>3.278688525</v>
      </c>
      <c r="Q15" s="197"/>
      <c r="R15" s="197"/>
      <c r="S15" s="202">
        <v>0.8</v>
      </c>
      <c r="T15" s="202">
        <v>0.2</v>
      </c>
      <c r="U15" s="202">
        <v>0.35</v>
      </c>
      <c r="V15" s="199">
        <f t="shared" si="9"/>
        <v>3.72</v>
      </c>
      <c r="W15" s="199">
        <f t="shared" si="10"/>
        <v>3.049180328</v>
      </c>
      <c r="X15" s="202">
        <f t="shared" si="11"/>
        <v>0.2295081967</v>
      </c>
      <c r="Y15" s="202">
        <f t="shared" si="12"/>
        <v>0.07</v>
      </c>
      <c r="Z15" s="200">
        <f t="shared" si="13"/>
        <v>111.6</v>
      </c>
      <c r="AA15" s="200">
        <f t="shared" si="14"/>
        <v>91.47540984</v>
      </c>
      <c r="AB15" s="200">
        <f t="shared" si="15"/>
        <v>68.36065574</v>
      </c>
      <c r="AC15" s="202">
        <f t="shared" si="16"/>
        <v>0.5696721311</v>
      </c>
      <c r="AD15" s="203"/>
      <c r="AE15" s="203"/>
      <c r="AF15" s="203"/>
      <c r="AG15" s="203"/>
      <c r="AH15" s="203"/>
      <c r="AI15" s="203"/>
      <c r="AJ15" s="203"/>
      <c r="AK15" s="203"/>
      <c r="AL15" s="203"/>
      <c r="AM15" s="203"/>
      <c r="AN15" s="203"/>
      <c r="AO15" s="203"/>
      <c r="AP15" s="203"/>
      <c r="AQ15" s="203"/>
      <c r="AR15" s="203"/>
      <c r="AS15" s="203"/>
      <c r="AT15" s="203"/>
      <c r="AU15" s="203"/>
    </row>
    <row r="16" ht="14.25" customHeight="1">
      <c r="A16" s="207" t="s">
        <v>2001</v>
      </c>
      <c r="B16" s="192"/>
      <c r="C16" s="192"/>
      <c r="D16" s="205">
        <v>150.0</v>
      </c>
      <c r="E16" s="205">
        <v>30.0</v>
      </c>
      <c r="F16" s="196">
        <f t="shared" si="1"/>
        <v>114.3442623</v>
      </c>
      <c r="G16" s="197">
        <f t="shared" si="2"/>
        <v>3.81147541</v>
      </c>
      <c r="H16" s="198">
        <v>3.5</v>
      </c>
      <c r="I16" s="198">
        <f t="shared" si="3"/>
        <v>105</v>
      </c>
      <c r="J16" s="198">
        <v>1.22</v>
      </c>
      <c r="K16" s="199">
        <f t="shared" si="4"/>
        <v>86.06557377</v>
      </c>
      <c r="L16" s="197"/>
      <c r="M16" s="200">
        <f t="shared" si="5"/>
        <v>150</v>
      </c>
      <c r="N16" s="200">
        <f t="shared" si="6"/>
        <v>122.9508197</v>
      </c>
      <c r="O16" s="199">
        <f t="shared" si="7"/>
        <v>5</v>
      </c>
      <c r="P16" s="201">
        <f t="shared" si="8"/>
        <v>4.098360656</v>
      </c>
      <c r="Q16" s="197"/>
      <c r="R16" s="197"/>
      <c r="S16" s="202">
        <v>0.8</v>
      </c>
      <c r="T16" s="202">
        <v>0.2</v>
      </c>
      <c r="U16" s="202">
        <v>0.35</v>
      </c>
      <c r="V16" s="199">
        <f t="shared" si="9"/>
        <v>4.65</v>
      </c>
      <c r="W16" s="199">
        <f t="shared" si="10"/>
        <v>3.81147541</v>
      </c>
      <c r="X16" s="202">
        <f t="shared" si="11"/>
        <v>0.2868852459</v>
      </c>
      <c r="Y16" s="202">
        <f t="shared" si="12"/>
        <v>0.07</v>
      </c>
      <c r="Z16" s="200">
        <f t="shared" si="13"/>
        <v>139.5</v>
      </c>
      <c r="AA16" s="200">
        <f t="shared" si="14"/>
        <v>114.3442623</v>
      </c>
      <c r="AB16" s="200">
        <f t="shared" si="15"/>
        <v>92.95081967</v>
      </c>
      <c r="AC16" s="202">
        <f t="shared" si="16"/>
        <v>0.6196721311</v>
      </c>
      <c r="AD16" s="203"/>
      <c r="AE16" s="203"/>
      <c r="AF16" s="203"/>
      <c r="AG16" s="203"/>
      <c r="AH16" s="203"/>
      <c r="AI16" s="203"/>
      <c r="AJ16" s="203"/>
      <c r="AK16" s="203"/>
      <c r="AL16" s="203"/>
      <c r="AM16" s="203"/>
      <c r="AN16" s="203"/>
      <c r="AO16" s="203"/>
      <c r="AP16" s="203"/>
      <c r="AQ16" s="203"/>
      <c r="AR16" s="203"/>
      <c r="AS16" s="203"/>
      <c r="AT16" s="203"/>
      <c r="AU16" s="203"/>
    </row>
    <row r="17" ht="14.25" customHeight="1">
      <c r="A17" s="208" t="s">
        <v>189</v>
      </c>
      <c r="B17" s="192"/>
      <c r="C17" s="192"/>
      <c r="D17" s="205">
        <v>120.0</v>
      </c>
      <c r="E17" s="205">
        <v>30.0</v>
      </c>
      <c r="F17" s="196">
        <f t="shared" si="1"/>
        <v>91.47540984</v>
      </c>
      <c r="G17" s="197">
        <f t="shared" si="2"/>
        <v>3.049180328</v>
      </c>
      <c r="H17" s="198">
        <v>3.5</v>
      </c>
      <c r="I17" s="198">
        <f t="shared" si="3"/>
        <v>105</v>
      </c>
      <c r="J17" s="198">
        <v>1.22</v>
      </c>
      <c r="K17" s="199">
        <f t="shared" si="4"/>
        <v>86.06557377</v>
      </c>
      <c r="L17" s="197"/>
      <c r="M17" s="200">
        <f t="shared" si="5"/>
        <v>120</v>
      </c>
      <c r="N17" s="200">
        <f t="shared" si="6"/>
        <v>98.36065574</v>
      </c>
      <c r="O17" s="199">
        <f t="shared" si="7"/>
        <v>4</v>
      </c>
      <c r="P17" s="201">
        <f t="shared" si="8"/>
        <v>3.278688525</v>
      </c>
      <c r="Q17" s="197"/>
      <c r="R17" s="197"/>
      <c r="S17" s="202">
        <v>0.8</v>
      </c>
      <c r="T17" s="202">
        <v>0.2</v>
      </c>
      <c r="U17" s="202">
        <v>0.35</v>
      </c>
      <c r="V17" s="199">
        <f t="shared" si="9"/>
        <v>3.72</v>
      </c>
      <c r="W17" s="199">
        <f t="shared" si="10"/>
        <v>3.049180328</v>
      </c>
      <c r="X17" s="202">
        <f t="shared" si="11"/>
        <v>0.2295081967</v>
      </c>
      <c r="Y17" s="202">
        <f t="shared" si="12"/>
        <v>0.07</v>
      </c>
      <c r="Z17" s="200">
        <f t="shared" si="13"/>
        <v>111.6</v>
      </c>
      <c r="AA17" s="200">
        <f t="shared" si="14"/>
        <v>91.47540984</v>
      </c>
      <c r="AB17" s="200">
        <f t="shared" si="15"/>
        <v>68.36065574</v>
      </c>
      <c r="AC17" s="202">
        <f t="shared" si="16"/>
        <v>0.5696721311</v>
      </c>
      <c r="AD17" s="203"/>
      <c r="AE17" s="203"/>
      <c r="AF17" s="203"/>
      <c r="AG17" s="203"/>
      <c r="AH17" s="203"/>
      <c r="AI17" s="203"/>
      <c r="AJ17" s="203"/>
      <c r="AK17" s="203"/>
      <c r="AL17" s="203"/>
      <c r="AM17" s="203"/>
      <c r="AN17" s="203"/>
      <c r="AO17" s="203"/>
      <c r="AP17" s="203"/>
      <c r="AQ17" s="203"/>
      <c r="AR17" s="203"/>
      <c r="AS17" s="203"/>
      <c r="AT17" s="203"/>
      <c r="AU17" s="203"/>
    </row>
    <row r="18" ht="14.25" customHeight="1">
      <c r="A18" s="191" t="s">
        <v>2002</v>
      </c>
      <c r="B18" s="204"/>
      <c r="C18" s="193"/>
      <c r="D18" s="195">
        <v>120.0</v>
      </c>
      <c r="E18" s="195">
        <v>30.33</v>
      </c>
      <c r="F18" s="196">
        <f t="shared" si="1"/>
        <v>91.47540984</v>
      </c>
      <c r="G18" s="197">
        <f t="shared" si="2"/>
        <v>3.016004281</v>
      </c>
      <c r="H18" s="198">
        <v>3.5</v>
      </c>
      <c r="I18" s="198">
        <f t="shared" si="3"/>
        <v>106.155</v>
      </c>
      <c r="J18" s="198">
        <v>1.22</v>
      </c>
      <c r="K18" s="199">
        <f t="shared" si="4"/>
        <v>87.01229508</v>
      </c>
      <c r="L18" s="197"/>
      <c r="M18" s="200">
        <f t="shared" si="5"/>
        <v>120</v>
      </c>
      <c r="N18" s="200">
        <f t="shared" si="6"/>
        <v>98.36065574</v>
      </c>
      <c r="O18" s="199">
        <f t="shared" si="7"/>
        <v>3.956478734</v>
      </c>
      <c r="P18" s="201">
        <f t="shared" si="8"/>
        <v>3.243015356</v>
      </c>
      <c r="Q18" s="197"/>
      <c r="R18" s="197"/>
      <c r="S18" s="202">
        <v>0.8</v>
      </c>
      <c r="T18" s="202">
        <v>0.2</v>
      </c>
      <c r="U18" s="202">
        <v>0.35</v>
      </c>
      <c r="V18" s="199">
        <f t="shared" si="9"/>
        <v>3.679525223</v>
      </c>
      <c r="W18" s="199">
        <f t="shared" si="10"/>
        <v>3.016004281</v>
      </c>
      <c r="X18" s="202">
        <f t="shared" si="11"/>
        <v>0.2270110749</v>
      </c>
      <c r="Y18" s="202">
        <f t="shared" si="12"/>
        <v>0.07</v>
      </c>
      <c r="Z18" s="200">
        <f t="shared" si="13"/>
        <v>111.6</v>
      </c>
      <c r="AA18" s="200">
        <f t="shared" si="14"/>
        <v>91.47540984</v>
      </c>
      <c r="AB18" s="200">
        <f t="shared" si="15"/>
        <v>68.03065574</v>
      </c>
      <c r="AC18" s="202">
        <f t="shared" si="16"/>
        <v>0.5669221311</v>
      </c>
      <c r="AD18" s="203"/>
      <c r="AE18" s="203"/>
      <c r="AF18" s="203"/>
      <c r="AG18" s="203"/>
      <c r="AH18" s="203"/>
      <c r="AI18" s="203"/>
      <c r="AJ18" s="203"/>
      <c r="AK18" s="203"/>
      <c r="AL18" s="203"/>
      <c r="AM18" s="203"/>
      <c r="AN18" s="203"/>
      <c r="AO18" s="203"/>
      <c r="AP18" s="203"/>
      <c r="AQ18" s="203"/>
      <c r="AR18" s="203"/>
      <c r="AS18" s="203"/>
      <c r="AT18" s="203"/>
      <c r="AU18" s="203"/>
    </row>
    <row r="19" ht="14.25" customHeight="1">
      <c r="A19" s="191" t="s">
        <v>2003</v>
      </c>
      <c r="B19" s="204"/>
      <c r="C19" s="193"/>
      <c r="D19" s="195">
        <v>75.0</v>
      </c>
      <c r="E19" s="195">
        <v>21.3</v>
      </c>
      <c r="F19" s="196">
        <f t="shared" si="1"/>
        <v>57.17213115</v>
      </c>
      <c r="G19" s="197">
        <f t="shared" si="2"/>
        <v>2.684137613</v>
      </c>
      <c r="H19" s="198">
        <v>3.5</v>
      </c>
      <c r="I19" s="198">
        <f t="shared" si="3"/>
        <v>74.55</v>
      </c>
      <c r="J19" s="198">
        <v>1.22</v>
      </c>
      <c r="K19" s="199">
        <f t="shared" si="4"/>
        <v>61.10655738</v>
      </c>
      <c r="L19" s="197"/>
      <c r="M19" s="200">
        <f t="shared" si="5"/>
        <v>75</v>
      </c>
      <c r="N19" s="200">
        <f t="shared" si="6"/>
        <v>61.47540984</v>
      </c>
      <c r="O19" s="199">
        <f t="shared" si="7"/>
        <v>3.521126761</v>
      </c>
      <c r="P19" s="201">
        <f t="shared" si="8"/>
        <v>2.886169476</v>
      </c>
      <c r="Q19" s="197"/>
      <c r="R19" s="197"/>
      <c r="S19" s="202">
        <v>0.8</v>
      </c>
      <c r="T19" s="202">
        <v>0.2</v>
      </c>
      <c r="U19" s="202">
        <v>0.35</v>
      </c>
      <c r="V19" s="199">
        <f t="shared" si="9"/>
        <v>3.274647887</v>
      </c>
      <c r="W19" s="199">
        <f t="shared" si="10"/>
        <v>2.684137613</v>
      </c>
      <c r="X19" s="202">
        <f t="shared" si="11"/>
        <v>0.2020318633</v>
      </c>
      <c r="Y19" s="202">
        <f t="shared" si="12"/>
        <v>0.07</v>
      </c>
      <c r="Z19" s="200">
        <f t="shared" si="13"/>
        <v>69.75</v>
      </c>
      <c r="AA19" s="200">
        <f t="shared" si="14"/>
        <v>57.17213115</v>
      </c>
      <c r="AB19" s="200">
        <f t="shared" si="15"/>
        <v>40.17540984</v>
      </c>
      <c r="AC19" s="202">
        <f t="shared" si="16"/>
        <v>0.5356721311</v>
      </c>
      <c r="AD19" s="203"/>
      <c r="AE19" s="203"/>
      <c r="AF19" s="203"/>
      <c r="AG19" s="203"/>
      <c r="AH19" s="203"/>
      <c r="AI19" s="203"/>
      <c r="AJ19" s="203"/>
      <c r="AK19" s="203"/>
      <c r="AL19" s="203"/>
      <c r="AM19" s="203"/>
      <c r="AN19" s="203"/>
      <c r="AO19" s="203"/>
      <c r="AP19" s="203"/>
      <c r="AQ19" s="203"/>
      <c r="AR19" s="203"/>
      <c r="AS19" s="203"/>
      <c r="AT19" s="203"/>
      <c r="AU19" s="203"/>
    </row>
    <row r="20" ht="14.25" customHeight="1">
      <c r="A20" s="209" t="s">
        <v>210</v>
      </c>
      <c r="B20" s="204"/>
      <c r="C20" s="193"/>
      <c r="D20" s="205">
        <v>175.0</v>
      </c>
      <c r="E20" s="195">
        <v>52.5</v>
      </c>
      <c r="F20" s="196">
        <f t="shared" si="1"/>
        <v>133.4016393</v>
      </c>
      <c r="G20" s="197">
        <f t="shared" si="2"/>
        <v>2.540983607</v>
      </c>
      <c r="H20" s="198">
        <v>3.5</v>
      </c>
      <c r="I20" s="198">
        <f t="shared" si="3"/>
        <v>183.75</v>
      </c>
      <c r="J20" s="198">
        <v>1.22</v>
      </c>
      <c r="K20" s="199">
        <f t="shared" si="4"/>
        <v>150.6147541</v>
      </c>
      <c r="L20" s="197"/>
      <c r="M20" s="200">
        <f t="shared" si="5"/>
        <v>175</v>
      </c>
      <c r="N20" s="200">
        <f t="shared" si="6"/>
        <v>143.442623</v>
      </c>
      <c r="O20" s="199">
        <f t="shared" si="7"/>
        <v>3.333333333</v>
      </c>
      <c r="P20" s="201">
        <f t="shared" si="8"/>
        <v>2.732240437</v>
      </c>
      <c r="Q20" s="197"/>
      <c r="R20" s="197"/>
      <c r="S20" s="202">
        <v>0.8</v>
      </c>
      <c r="T20" s="202">
        <v>0.2</v>
      </c>
      <c r="U20" s="202">
        <v>0.35</v>
      </c>
      <c r="V20" s="199">
        <f t="shared" si="9"/>
        <v>3.1</v>
      </c>
      <c r="W20" s="199">
        <f t="shared" si="10"/>
        <v>2.540983607</v>
      </c>
      <c r="X20" s="202">
        <f t="shared" si="11"/>
        <v>0.1912568306</v>
      </c>
      <c r="Y20" s="202">
        <f t="shared" si="12"/>
        <v>0.07</v>
      </c>
      <c r="Z20" s="200">
        <f t="shared" si="13"/>
        <v>162.75</v>
      </c>
      <c r="AA20" s="200">
        <f t="shared" si="14"/>
        <v>133.4016393</v>
      </c>
      <c r="AB20" s="200">
        <f t="shared" si="15"/>
        <v>90.94262295</v>
      </c>
      <c r="AC20" s="202">
        <f t="shared" si="16"/>
        <v>0.5196721311</v>
      </c>
      <c r="AD20" s="203"/>
      <c r="AE20" s="203"/>
      <c r="AF20" s="203"/>
      <c r="AG20" s="203"/>
      <c r="AH20" s="203"/>
      <c r="AI20" s="203"/>
      <c r="AJ20" s="203"/>
      <c r="AK20" s="203"/>
      <c r="AL20" s="203"/>
      <c r="AM20" s="203"/>
      <c r="AN20" s="203"/>
      <c r="AO20" s="203"/>
      <c r="AP20" s="203"/>
      <c r="AQ20" s="203"/>
      <c r="AR20" s="203"/>
      <c r="AS20" s="203"/>
      <c r="AT20" s="203"/>
      <c r="AU20" s="203"/>
    </row>
    <row r="21" ht="14.25" customHeight="1">
      <c r="A21" s="209" t="s">
        <v>2004</v>
      </c>
      <c r="B21" s="204"/>
      <c r="C21" s="193"/>
      <c r="D21" s="195">
        <v>230.0</v>
      </c>
      <c r="E21" s="195">
        <v>52.5</v>
      </c>
      <c r="F21" s="196">
        <f t="shared" si="1"/>
        <v>175.3278689</v>
      </c>
      <c r="G21" s="197">
        <f t="shared" si="2"/>
        <v>3.339578454</v>
      </c>
      <c r="H21" s="198">
        <v>3.5</v>
      </c>
      <c r="I21" s="198">
        <f t="shared" si="3"/>
        <v>183.75</v>
      </c>
      <c r="J21" s="198">
        <v>1.22</v>
      </c>
      <c r="K21" s="199">
        <f t="shared" si="4"/>
        <v>150.6147541</v>
      </c>
      <c r="L21" s="197"/>
      <c r="M21" s="200">
        <f t="shared" si="5"/>
        <v>230</v>
      </c>
      <c r="N21" s="200">
        <f t="shared" si="6"/>
        <v>188.5245902</v>
      </c>
      <c r="O21" s="199">
        <f t="shared" si="7"/>
        <v>4.380952381</v>
      </c>
      <c r="P21" s="201">
        <f t="shared" si="8"/>
        <v>3.590944575</v>
      </c>
      <c r="Q21" s="197"/>
      <c r="R21" s="197"/>
      <c r="S21" s="202">
        <v>0.8</v>
      </c>
      <c r="T21" s="202">
        <v>0.2</v>
      </c>
      <c r="U21" s="202">
        <v>0.35</v>
      </c>
      <c r="V21" s="199">
        <f t="shared" si="9"/>
        <v>4.074285714</v>
      </c>
      <c r="W21" s="199">
        <f t="shared" si="10"/>
        <v>3.339578454</v>
      </c>
      <c r="X21" s="202">
        <f t="shared" si="11"/>
        <v>0.2513661202</v>
      </c>
      <c r="Y21" s="202">
        <f t="shared" si="12"/>
        <v>0.07</v>
      </c>
      <c r="Z21" s="200">
        <f t="shared" si="13"/>
        <v>213.9</v>
      </c>
      <c r="AA21" s="200">
        <f t="shared" si="14"/>
        <v>175.3278689</v>
      </c>
      <c r="AB21" s="200">
        <f t="shared" si="15"/>
        <v>136.0245902</v>
      </c>
      <c r="AC21" s="202">
        <f t="shared" si="16"/>
        <v>0.5914112616</v>
      </c>
      <c r="AD21" s="203"/>
      <c r="AE21" s="203"/>
      <c r="AF21" s="203"/>
      <c r="AG21" s="203"/>
      <c r="AH21" s="203"/>
      <c r="AI21" s="203"/>
      <c r="AJ21" s="203"/>
      <c r="AK21" s="203"/>
      <c r="AL21" s="203"/>
      <c r="AM21" s="203"/>
      <c r="AN21" s="203"/>
      <c r="AO21" s="203"/>
      <c r="AP21" s="203"/>
      <c r="AQ21" s="203"/>
      <c r="AR21" s="203"/>
      <c r="AS21" s="203"/>
      <c r="AT21" s="203"/>
      <c r="AU21" s="203"/>
    </row>
    <row r="22" ht="14.25" customHeight="1">
      <c r="A22" s="209" t="s">
        <v>2005</v>
      </c>
      <c r="B22" s="204"/>
      <c r="C22" s="193"/>
      <c r="D22" s="195">
        <v>175.0</v>
      </c>
      <c r="E22" s="195">
        <v>52.5</v>
      </c>
      <c r="F22" s="196">
        <f t="shared" si="1"/>
        <v>133.4016393</v>
      </c>
      <c r="G22" s="197">
        <f t="shared" si="2"/>
        <v>2.540983607</v>
      </c>
      <c r="H22" s="198">
        <v>3.5</v>
      </c>
      <c r="I22" s="198">
        <f t="shared" si="3"/>
        <v>183.75</v>
      </c>
      <c r="J22" s="198">
        <v>1.22</v>
      </c>
      <c r="K22" s="199">
        <f t="shared" si="4"/>
        <v>150.6147541</v>
      </c>
      <c r="L22" s="197"/>
      <c r="M22" s="200">
        <f t="shared" si="5"/>
        <v>175</v>
      </c>
      <c r="N22" s="200">
        <f t="shared" si="6"/>
        <v>143.442623</v>
      </c>
      <c r="O22" s="199">
        <f t="shared" si="7"/>
        <v>3.333333333</v>
      </c>
      <c r="P22" s="201">
        <f t="shared" si="8"/>
        <v>2.732240437</v>
      </c>
      <c r="Q22" s="197"/>
      <c r="R22" s="197"/>
      <c r="S22" s="202">
        <v>0.8</v>
      </c>
      <c r="T22" s="202">
        <v>0.2</v>
      </c>
      <c r="U22" s="202">
        <v>0.35</v>
      </c>
      <c r="V22" s="199">
        <f t="shared" si="9"/>
        <v>3.1</v>
      </c>
      <c r="W22" s="199">
        <f t="shared" si="10"/>
        <v>2.540983607</v>
      </c>
      <c r="X22" s="202">
        <f t="shared" si="11"/>
        <v>0.1912568306</v>
      </c>
      <c r="Y22" s="202">
        <f t="shared" si="12"/>
        <v>0.07</v>
      </c>
      <c r="Z22" s="200">
        <f t="shared" si="13"/>
        <v>162.75</v>
      </c>
      <c r="AA22" s="200">
        <f t="shared" si="14"/>
        <v>133.4016393</v>
      </c>
      <c r="AB22" s="200">
        <f t="shared" si="15"/>
        <v>90.94262295</v>
      </c>
      <c r="AC22" s="202">
        <f t="shared" si="16"/>
        <v>0.5196721311</v>
      </c>
      <c r="AD22" s="203"/>
      <c r="AE22" s="203"/>
      <c r="AF22" s="203"/>
      <c r="AG22" s="203"/>
      <c r="AH22" s="203"/>
      <c r="AI22" s="203"/>
      <c r="AJ22" s="203"/>
      <c r="AK22" s="203"/>
      <c r="AL22" s="203"/>
      <c r="AM22" s="203"/>
      <c r="AN22" s="203"/>
      <c r="AO22" s="203"/>
      <c r="AP22" s="203"/>
      <c r="AQ22" s="203"/>
      <c r="AR22" s="203"/>
      <c r="AS22" s="203"/>
      <c r="AT22" s="203"/>
      <c r="AU22" s="203"/>
    </row>
    <row r="23" ht="14.25" customHeight="1">
      <c r="A23" s="209" t="s">
        <v>249</v>
      </c>
      <c r="B23" s="204"/>
      <c r="C23" s="193"/>
      <c r="D23" s="195">
        <v>175.0</v>
      </c>
      <c r="E23" s="195">
        <v>52.5</v>
      </c>
      <c r="F23" s="196">
        <f t="shared" si="1"/>
        <v>133.4016393</v>
      </c>
      <c r="G23" s="197">
        <f t="shared" si="2"/>
        <v>2.540983607</v>
      </c>
      <c r="H23" s="198">
        <v>3.5</v>
      </c>
      <c r="I23" s="198">
        <f t="shared" si="3"/>
        <v>183.75</v>
      </c>
      <c r="J23" s="198">
        <v>1.22</v>
      </c>
      <c r="K23" s="199">
        <f t="shared" si="4"/>
        <v>150.6147541</v>
      </c>
      <c r="L23" s="197"/>
      <c r="M23" s="200">
        <f t="shared" si="5"/>
        <v>175</v>
      </c>
      <c r="N23" s="200">
        <f t="shared" si="6"/>
        <v>143.442623</v>
      </c>
      <c r="O23" s="199">
        <f t="shared" si="7"/>
        <v>3.333333333</v>
      </c>
      <c r="P23" s="201">
        <f t="shared" si="8"/>
        <v>2.732240437</v>
      </c>
      <c r="Q23" s="197"/>
      <c r="R23" s="197"/>
      <c r="S23" s="202">
        <v>0.8</v>
      </c>
      <c r="T23" s="202">
        <v>0.2</v>
      </c>
      <c r="U23" s="202">
        <v>0.35</v>
      </c>
      <c r="V23" s="199">
        <f t="shared" si="9"/>
        <v>3.1</v>
      </c>
      <c r="W23" s="199">
        <f t="shared" si="10"/>
        <v>2.540983607</v>
      </c>
      <c r="X23" s="202">
        <f t="shared" si="11"/>
        <v>0.1912568306</v>
      </c>
      <c r="Y23" s="202">
        <f t="shared" si="12"/>
        <v>0.07</v>
      </c>
      <c r="Z23" s="200">
        <f t="shared" si="13"/>
        <v>162.75</v>
      </c>
      <c r="AA23" s="200">
        <f t="shared" si="14"/>
        <v>133.4016393</v>
      </c>
      <c r="AB23" s="200">
        <f t="shared" si="15"/>
        <v>90.94262295</v>
      </c>
      <c r="AC23" s="202">
        <f t="shared" si="16"/>
        <v>0.5196721311</v>
      </c>
      <c r="AD23" s="203"/>
      <c r="AE23" s="203"/>
      <c r="AF23" s="203"/>
      <c r="AG23" s="203"/>
      <c r="AH23" s="203"/>
      <c r="AI23" s="203"/>
      <c r="AJ23" s="203"/>
      <c r="AK23" s="203"/>
      <c r="AL23" s="203"/>
      <c r="AM23" s="203"/>
      <c r="AN23" s="203"/>
      <c r="AO23" s="203"/>
      <c r="AP23" s="203"/>
      <c r="AQ23" s="203"/>
      <c r="AR23" s="203"/>
      <c r="AS23" s="203"/>
      <c r="AT23" s="203"/>
      <c r="AU23" s="203"/>
    </row>
    <row r="24" ht="14.25" customHeight="1">
      <c r="A24" s="209" t="s">
        <v>184</v>
      </c>
      <c r="B24" s="192"/>
      <c r="C24" s="192"/>
      <c r="D24" s="205">
        <v>120.0</v>
      </c>
      <c r="E24" s="195">
        <v>33.0</v>
      </c>
      <c r="F24" s="196">
        <f t="shared" si="1"/>
        <v>91.47540984</v>
      </c>
      <c r="G24" s="197">
        <f t="shared" si="2"/>
        <v>2.771982116</v>
      </c>
      <c r="H24" s="198">
        <v>3.5</v>
      </c>
      <c r="I24" s="198">
        <f t="shared" si="3"/>
        <v>115.5</v>
      </c>
      <c r="J24" s="198">
        <v>1.22</v>
      </c>
      <c r="K24" s="199">
        <f t="shared" si="4"/>
        <v>94.67213115</v>
      </c>
      <c r="L24" s="197"/>
      <c r="M24" s="200">
        <f t="shared" si="5"/>
        <v>120</v>
      </c>
      <c r="N24" s="200">
        <f t="shared" si="6"/>
        <v>98.36065574</v>
      </c>
      <c r="O24" s="199">
        <f t="shared" si="7"/>
        <v>3.636363636</v>
      </c>
      <c r="P24" s="201">
        <f t="shared" si="8"/>
        <v>2.980625931</v>
      </c>
      <c r="Q24" s="197"/>
      <c r="R24" s="197"/>
      <c r="S24" s="202">
        <v>0.8</v>
      </c>
      <c r="T24" s="202">
        <v>0.2</v>
      </c>
      <c r="U24" s="202">
        <v>0.35</v>
      </c>
      <c r="V24" s="199">
        <f t="shared" si="9"/>
        <v>3.381818182</v>
      </c>
      <c r="W24" s="199">
        <f t="shared" si="10"/>
        <v>2.771982116</v>
      </c>
      <c r="X24" s="202">
        <f t="shared" si="11"/>
        <v>0.2086438152</v>
      </c>
      <c r="Y24" s="202">
        <f t="shared" si="12"/>
        <v>0.07</v>
      </c>
      <c r="Z24" s="200">
        <f t="shared" si="13"/>
        <v>111.6</v>
      </c>
      <c r="AA24" s="200">
        <f t="shared" si="14"/>
        <v>91.47540984</v>
      </c>
      <c r="AB24" s="200">
        <f t="shared" si="15"/>
        <v>65.36065574</v>
      </c>
      <c r="AC24" s="202">
        <f t="shared" si="16"/>
        <v>0.5446721311</v>
      </c>
      <c r="AD24" s="203"/>
      <c r="AE24" s="203"/>
      <c r="AF24" s="203"/>
      <c r="AG24" s="203"/>
      <c r="AH24" s="203"/>
      <c r="AI24" s="203"/>
      <c r="AJ24" s="203"/>
      <c r="AK24" s="203"/>
      <c r="AL24" s="203"/>
      <c r="AM24" s="203"/>
      <c r="AN24" s="203"/>
      <c r="AO24" s="203"/>
      <c r="AP24" s="203"/>
      <c r="AQ24" s="203"/>
      <c r="AR24" s="203"/>
      <c r="AS24" s="203"/>
      <c r="AT24" s="203"/>
      <c r="AU24" s="203"/>
    </row>
    <row r="25" ht="14.25" customHeight="1">
      <c r="A25" s="209" t="s">
        <v>200</v>
      </c>
      <c r="B25" s="192"/>
      <c r="C25" s="192"/>
      <c r="D25" s="205">
        <v>120.0</v>
      </c>
      <c r="E25" s="205">
        <v>33.0</v>
      </c>
      <c r="F25" s="196">
        <f t="shared" si="1"/>
        <v>91.47540984</v>
      </c>
      <c r="G25" s="197">
        <f t="shared" si="2"/>
        <v>2.771982116</v>
      </c>
      <c r="H25" s="198">
        <v>3.5</v>
      </c>
      <c r="I25" s="198">
        <f t="shared" si="3"/>
        <v>115.5</v>
      </c>
      <c r="J25" s="198">
        <v>1.22</v>
      </c>
      <c r="K25" s="199">
        <f t="shared" si="4"/>
        <v>94.67213115</v>
      </c>
      <c r="L25" s="197"/>
      <c r="M25" s="200">
        <f t="shared" si="5"/>
        <v>120</v>
      </c>
      <c r="N25" s="200">
        <f t="shared" si="6"/>
        <v>98.36065574</v>
      </c>
      <c r="O25" s="199">
        <f t="shared" si="7"/>
        <v>3.636363636</v>
      </c>
      <c r="P25" s="201">
        <f t="shared" si="8"/>
        <v>2.980625931</v>
      </c>
      <c r="Q25" s="197"/>
      <c r="R25" s="197"/>
      <c r="S25" s="202">
        <v>0.8</v>
      </c>
      <c r="T25" s="202">
        <v>0.2</v>
      </c>
      <c r="U25" s="202">
        <v>0.35</v>
      </c>
      <c r="V25" s="199">
        <f t="shared" si="9"/>
        <v>3.381818182</v>
      </c>
      <c r="W25" s="199">
        <f t="shared" si="10"/>
        <v>2.771982116</v>
      </c>
      <c r="X25" s="202">
        <f t="shared" si="11"/>
        <v>0.2086438152</v>
      </c>
      <c r="Y25" s="202">
        <f t="shared" si="12"/>
        <v>0.07</v>
      </c>
      <c r="Z25" s="200">
        <f t="shared" si="13"/>
        <v>111.6</v>
      </c>
      <c r="AA25" s="200">
        <f t="shared" si="14"/>
        <v>91.47540984</v>
      </c>
      <c r="AB25" s="200">
        <f t="shared" si="15"/>
        <v>65.36065574</v>
      </c>
      <c r="AC25" s="202">
        <f t="shared" si="16"/>
        <v>0.5446721311</v>
      </c>
      <c r="AD25" s="203"/>
      <c r="AE25" s="203"/>
      <c r="AF25" s="203"/>
      <c r="AG25" s="203"/>
      <c r="AH25" s="203"/>
      <c r="AI25" s="203"/>
      <c r="AJ25" s="203"/>
      <c r="AK25" s="203"/>
      <c r="AL25" s="203"/>
      <c r="AM25" s="203"/>
      <c r="AN25" s="203"/>
      <c r="AO25" s="203"/>
      <c r="AP25" s="203"/>
      <c r="AQ25" s="203"/>
      <c r="AR25" s="203"/>
      <c r="AS25" s="203"/>
      <c r="AT25" s="203"/>
      <c r="AU25" s="203"/>
    </row>
    <row r="26" ht="14.25" customHeight="1">
      <c r="A26" s="209" t="s">
        <v>191</v>
      </c>
      <c r="B26" s="192"/>
      <c r="C26" s="192"/>
      <c r="D26" s="205">
        <v>120.0</v>
      </c>
      <c r="E26" s="205">
        <v>33.0</v>
      </c>
      <c r="F26" s="196">
        <f t="shared" si="1"/>
        <v>91.47540984</v>
      </c>
      <c r="G26" s="197">
        <f t="shared" si="2"/>
        <v>2.771982116</v>
      </c>
      <c r="H26" s="198">
        <v>3.5</v>
      </c>
      <c r="I26" s="198">
        <f t="shared" si="3"/>
        <v>115.5</v>
      </c>
      <c r="J26" s="198">
        <v>1.22</v>
      </c>
      <c r="K26" s="199">
        <f t="shared" si="4"/>
        <v>94.67213115</v>
      </c>
      <c r="L26" s="197"/>
      <c r="M26" s="200">
        <f t="shared" si="5"/>
        <v>120</v>
      </c>
      <c r="N26" s="200">
        <f t="shared" si="6"/>
        <v>98.36065574</v>
      </c>
      <c r="O26" s="199">
        <f t="shared" si="7"/>
        <v>3.636363636</v>
      </c>
      <c r="P26" s="201">
        <f t="shared" si="8"/>
        <v>2.980625931</v>
      </c>
      <c r="Q26" s="197"/>
      <c r="R26" s="197"/>
      <c r="S26" s="202">
        <v>0.8</v>
      </c>
      <c r="T26" s="202">
        <v>0.2</v>
      </c>
      <c r="U26" s="202">
        <v>0.35</v>
      </c>
      <c r="V26" s="199">
        <f t="shared" si="9"/>
        <v>3.381818182</v>
      </c>
      <c r="W26" s="199">
        <f t="shared" si="10"/>
        <v>2.771982116</v>
      </c>
      <c r="X26" s="202">
        <f t="shared" si="11"/>
        <v>0.2086438152</v>
      </c>
      <c r="Y26" s="202">
        <f t="shared" si="12"/>
        <v>0.07</v>
      </c>
      <c r="Z26" s="200">
        <f t="shared" si="13"/>
        <v>111.6</v>
      </c>
      <c r="AA26" s="200">
        <f t="shared" si="14"/>
        <v>91.47540984</v>
      </c>
      <c r="AB26" s="200">
        <f t="shared" si="15"/>
        <v>65.36065574</v>
      </c>
      <c r="AC26" s="202">
        <f t="shared" si="16"/>
        <v>0.5446721311</v>
      </c>
      <c r="AD26" s="203"/>
      <c r="AE26" s="203"/>
      <c r="AF26" s="203"/>
      <c r="AG26" s="203"/>
      <c r="AH26" s="203"/>
      <c r="AI26" s="203"/>
      <c r="AJ26" s="203"/>
      <c r="AK26" s="203"/>
      <c r="AL26" s="203"/>
      <c r="AM26" s="203"/>
      <c r="AN26" s="203"/>
      <c r="AO26" s="203"/>
      <c r="AP26" s="203"/>
      <c r="AQ26" s="203"/>
      <c r="AR26" s="203"/>
      <c r="AS26" s="203"/>
      <c r="AT26" s="203"/>
      <c r="AU26" s="203"/>
    </row>
    <row r="27" ht="14.25" customHeight="1">
      <c r="A27" s="210" t="s">
        <v>167</v>
      </c>
      <c r="B27" s="192"/>
      <c r="C27" s="193"/>
      <c r="D27" s="205">
        <v>150.0</v>
      </c>
      <c r="E27" s="205">
        <v>33.0</v>
      </c>
      <c r="F27" s="196">
        <f t="shared" si="1"/>
        <v>114.3442623</v>
      </c>
      <c r="G27" s="197">
        <f t="shared" si="2"/>
        <v>3.464977645</v>
      </c>
      <c r="H27" s="198">
        <v>3.5</v>
      </c>
      <c r="I27" s="198">
        <f t="shared" si="3"/>
        <v>115.5</v>
      </c>
      <c r="J27" s="198">
        <v>1.22</v>
      </c>
      <c r="K27" s="199">
        <f t="shared" si="4"/>
        <v>94.67213115</v>
      </c>
      <c r="L27" s="197"/>
      <c r="M27" s="200">
        <f t="shared" si="5"/>
        <v>150</v>
      </c>
      <c r="N27" s="200">
        <f t="shared" si="6"/>
        <v>122.9508197</v>
      </c>
      <c r="O27" s="199">
        <f t="shared" si="7"/>
        <v>4.545454545</v>
      </c>
      <c r="P27" s="201">
        <f t="shared" si="8"/>
        <v>3.725782414</v>
      </c>
      <c r="Q27" s="197"/>
      <c r="R27" s="197"/>
      <c r="S27" s="202">
        <v>0.8</v>
      </c>
      <c r="T27" s="202">
        <v>0.2</v>
      </c>
      <c r="U27" s="202">
        <v>0.35</v>
      </c>
      <c r="V27" s="199">
        <f t="shared" si="9"/>
        <v>4.227272727</v>
      </c>
      <c r="W27" s="199">
        <f t="shared" si="10"/>
        <v>3.464977645</v>
      </c>
      <c r="X27" s="202">
        <f t="shared" si="11"/>
        <v>0.260804769</v>
      </c>
      <c r="Y27" s="202">
        <f t="shared" si="12"/>
        <v>0.07</v>
      </c>
      <c r="Z27" s="200">
        <f t="shared" si="13"/>
        <v>139.5</v>
      </c>
      <c r="AA27" s="200">
        <f t="shared" si="14"/>
        <v>114.3442623</v>
      </c>
      <c r="AB27" s="200">
        <f t="shared" si="15"/>
        <v>89.95081967</v>
      </c>
      <c r="AC27" s="202">
        <f t="shared" si="16"/>
        <v>0.5996721311</v>
      </c>
      <c r="AD27" s="203"/>
      <c r="AE27" s="203"/>
      <c r="AF27" s="203"/>
      <c r="AG27" s="203"/>
      <c r="AH27" s="203"/>
      <c r="AI27" s="203"/>
      <c r="AJ27" s="203"/>
      <c r="AK27" s="203"/>
      <c r="AL27" s="203"/>
      <c r="AM27" s="203"/>
      <c r="AN27" s="203"/>
      <c r="AO27" s="203"/>
      <c r="AP27" s="203"/>
      <c r="AQ27" s="203"/>
      <c r="AR27" s="203"/>
      <c r="AS27" s="203"/>
      <c r="AT27" s="203"/>
      <c r="AU27" s="203"/>
    </row>
    <row r="28" ht="14.25" customHeight="1">
      <c r="A28" s="210" t="s">
        <v>2006</v>
      </c>
      <c r="B28" s="192"/>
      <c r="C28" s="193"/>
      <c r="D28" s="205">
        <v>120.0</v>
      </c>
      <c r="E28" s="205">
        <v>33.0</v>
      </c>
      <c r="F28" s="196">
        <f t="shared" si="1"/>
        <v>91.47540984</v>
      </c>
      <c r="G28" s="197">
        <f t="shared" si="2"/>
        <v>2.771982116</v>
      </c>
      <c r="H28" s="198">
        <v>3.5</v>
      </c>
      <c r="I28" s="198">
        <f t="shared" si="3"/>
        <v>115.5</v>
      </c>
      <c r="J28" s="198">
        <v>1.22</v>
      </c>
      <c r="K28" s="199">
        <f t="shared" si="4"/>
        <v>94.67213115</v>
      </c>
      <c r="L28" s="197"/>
      <c r="M28" s="200">
        <f t="shared" si="5"/>
        <v>120</v>
      </c>
      <c r="N28" s="200">
        <f t="shared" si="6"/>
        <v>98.36065574</v>
      </c>
      <c r="O28" s="199">
        <f t="shared" si="7"/>
        <v>3.636363636</v>
      </c>
      <c r="P28" s="201">
        <f t="shared" si="8"/>
        <v>2.980625931</v>
      </c>
      <c r="Q28" s="197"/>
      <c r="R28" s="197"/>
      <c r="S28" s="202">
        <v>0.8</v>
      </c>
      <c r="T28" s="202">
        <v>0.2</v>
      </c>
      <c r="U28" s="202">
        <v>0.35</v>
      </c>
      <c r="V28" s="199">
        <f t="shared" si="9"/>
        <v>3.381818182</v>
      </c>
      <c r="W28" s="199">
        <f t="shared" si="10"/>
        <v>2.771982116</v>
      </c>
      <c r="X28" s="202">
        <f t="shared" si="11"/>
        <v>0.2086438152</v>
      </c>
      <c r="Y28" s="202">
        <f t="shared" si="12"/>
        <v>0.07</v>
      </c>
      <c r="Z28" s="200">
        <f t="shared" si="13"/>
        <v>111.6</v>
      </c>
      <c r="AA28" s="200">
        <f t="shared" si="14"/>
        <v>91.47540984</v>
      </c>
      <c r="AB28" s="200">
        <f t="shared" si="15"/>
        <v>65.36065574</v>
      </c>
      <c r="AC28" s="202">
        <f t="shared" si="16"/>
        <v>0.5446721311</v>
      </c>
      <c r="AD28" s="203"/>
      <c r="AE28" s="203"/>
      <c r="AF28" s="203"/>
      <c r="AG28" s="203"/>
      <c r="AH28" s="203"/>
      <c r="AI28" s="203"/>
      <c r="AJ28" s="203"/>
      <c r="AK28" s="203"/>
      <c r="AL28" s="203"/>
      <c r="AM28" s="203"/>
      <c r="AN28" s="203"/>
      <c r="AO28" s="203"/>
      <c r="AP28" s="203"/>
      <c r="AQ28" s="203"/>
      <c r="AR28" s="203"/>
      <c r="AS28" s="203"/>
      <c r="AT28" s="203"/>
      <c r="AU28" s="203"/>
    </row>
    <row r="29" ht="14.25" customHeight="1">
      <c r="A29" s="210" t="s">
        <v>2007</v>
      </c>
      <c r="B29" s="192"/>
      <c r="C29" s="193"/>
      <c r="D29" s="205">
        <v>120.0</v>
      </c>
      <c r="E29" s="205">
        <v>33.0</v>
      </c>
      <c r="F29" s="196">
        <f t="shared" si="1"/>
        <v>91.47540984</v>
      </c>
      <c r="G29" s="197">
        <f t="shared" si="2"/>
        <v>2.771982116</v>
      </c>
      <c r="H29" s="198">
        <v>3.5</v>
      </c>
      <c r="I29" s="198">
        <f t="shared" si="3"/>
        <v>115.5</v>
      </c>
      <c r="J29" s="198">
        <v>1.22</v>
      </c>
      <c r="K29" s="199">
        <f t="shared" si="4"/>
        <v>94.67213115</v>
      </c>
      <c r="L29" s="197"/>
      <c r="M29" s="200">
        <f t="shared" si="5"/>
        <v>120</v>
      </c>
      <c r="N29" s="200">
        <f t="shared" si="6"/>
        <v>98.36065574</v>
      </c>
      <c r="O29" s="199">
        <f t="shared" si="7"/>
        <v>3.636363636</v>
      </c>
      <c r="P29" s="201">
        <f t="shared" si="8"/>
        <v>2.980625931</v>
      </c>
      <c r="Q29" s="197"/>
      <c r="R29" s="197"/>
      <c r="S29" s="202">
        <v>0.8</v>
      </c>
      <c r="T29" s="202">
        <v>0.2</v>
      </c>
      <c r="U29" s="202">
        <v>0.35</v>
      </c>
      <c r="V29" s="199">
        <f t="shared" si="9"/>
        <v>3.381818182</v>
      </c>
      <c r="W29" s="199">
        <f t="shared" si="10"/>
        <v>2.771982116</v>
      </c>
      <c r="X29" s="202">
        <f t="shared" si="11"/>
        <v>0.2086438152</v>
      </c>
      <c r="Y29" s="202">
        <f t="shared" si="12"/>
        <v>0.07</v>
      </c>
      <c r="Z29" s="200">
        <f t="shared" si="13"/>
        <v>111.6</v>
      </c>
      <c r="AA29" s="200">
        <f t="shared" si="14"/>
        <v>91.47540984</v>
      </c>
      <c r="AB29" s="200">
        <f t="shared" si="15"/>
        <v>65.36065574</v>
      </c>
      <c r="AC29" s="202">
        <f t="shared" si="16"/>
        <v>0.5446721311</v>
      </c>
      <c r="AD29" s="203"/>
      <c r="AE29" s="203"/>
      <c r="AF29" s="203"/>
      <c r="AG29" s="203"/>
      <c r="AH29" s="203"/>
      <c r="AI29" s="203"/>
      <c r="AJ29" s="203"/>
      <c r="AK29" s="203"/>
      <c r="AL29" s="203"/>
      <c r="AM29" s="203"/>
      <c r="AN29" s="203"/>
      <c r="AO29" s="203"/>
      <c r="AP29" s="203"/>
      <c r="AQ29" s="203"/>
      <c r="AR29" s="203"/>
      <c r="AS29" s="203"/>
      <c r="AT29" s="203"/>
      <c r="AU29" s="203"/>
    </row>
    <row r="30" ht="14.25" customHeight="1">
      <c r="A30" s="210" t="s">
        <v>193</v>
      </c>
      <c r="B30" s="192"/>
      <c r="C30" s="193"/>
      <c r="D30" s="205">
        <v>120.0</v>
      </c>
      <c r="E30" s="205">
        <v>33.0</v>
      </c>
      <c r="F30" s="196">
        <f t="shared" si="1"/>
        <v>91.47540984</v>
      </c>
      <c r="G30" s="197">
        <f t="shared" si="2"/>
        <v>2.771982116</v>
      </c>
      <c r="H30" s="198">
        <v>3.5</v>
      </c>
      <c r="I30" s="198">
        <f t="shared" si="3"/>
        <v>115.5</v>
      </c>
      <c r="J30" s="198">
        <v>1.22</v>
      </c>
      <c r="K30" s="199">
        <f t="shared" si="4"/>
        <v>94.67213115</v>
      </c>
      <c r="L30" s="197"/>
      <c r="M30" s="200">
        <f t="shared" si="5"/>
        <v>120</v>
      </c>
      <c r="N30" s="200">
        <f t="shared" si="6"/>
        <v>98.36065574</v>
      </c>
      <c r="O30" s="199">
        <f t="shared" si="7"/>
        <v>3.636363636</v>
      </c>
      <c r="P30" s="201">
        <f t="shared" si="8"/>
        <v>2.980625931</v>
      </c>
      <c r="Q30" s="197"/>
      <c r="R30" s="197"/>
      <c r="S30" s="202">
        <v>0.8</v>
      </c>
      <c r="T30" s="202">
        <v>0.2</v>
      </c>
      <c r="U30" s="202">
        <v>0.35</v>
      </c>
      <c r="V30" s="199">
        <f t="shared" si="9"/>
        <v>3.381818182</v>
      </c>
      <c r="W30" s="199">
        <f t="shared" si="10"/>
        <v>2.771982116</v>
      </c>
      <c r="X30" s="202">
        <f t="shared" si="11"/>
        <v>0.2086438152</v>
      </c>
      <c r="Y30" s="202">
        <f t="shared" si="12"/>
        <v>0.07</v>
      </c>
      <c r="Z30" s="200">
        <f t="shared" si="13"/>
        <v>111.6</v>
      </c>
      <c r="AA30" s="200">
        <f t="shared" si="14"/>
        <v>91.47540984</v>
      </c>
      <c r="AB30" s="200">
        <f t="shared" si="15"/>
        <v>65.36065574</v>
      </c>
      <c r="AC30" s="202">
        <f t="shared" si="16"/>
        <v>0.5446721311</v>
      </c>
      <c r="AD30" s="203"/>
      <c r="AE30" s="203"/>
      <c r="AF30" s="203"/>
      <c r="AG30" s="203"/>
      <c r="AH30" s="203"/>
      <c r="AI30" s="203"/>
      <c r="AJ30" s="203"/>
      <c r="AK30" s="203"/>
      <c r="AL30" s="203"/>
      <c r="AM30" s="203"/>
      <c r="AN30" s="203"/>
      <c r="AO30" s="203"/>
      <c r="AP30" s="203"/>
      <c r="AQ30" s="203"/>
      <c r="AR30" s="203"/>
      <c r="AS30" s="203"/>
      <c r="AT30" s="203"/>
      <c r="AU30" s="203"/>
    </row>
    <row r="31" ht="14.25" customHeight="1">
      <c r="A31" s="210" t="s">
        <v>196</v>
      </c>
      <c r="B31" s="192"/>
      <c r="C31" s="193"/>
      <c r="D31" s="205">
        <v>120.0</v>
      </c>
      <c r="E31" s="205">
        <v>33.0</v>
      </c>
      <c r="F31" s="196">
        <f t="shared" si="1"/>
        <v>91.47540984</v>
      </c>
      <c r="G31" s="197">
        <f t="shared" si="2"/>
        <v>2.771982116</v>
      </c>
      <c r="H31" s="198">
        <v>3.5</v>
      </c>
      <c r="I31" s="198">
        <f t="shared" si="3"/>
        <v>115.5</v>
      </c>
      <c r="J31" s="198">
        <v>1.22</v>
      </c>
      <c r="K31" s="199">
        <f t="shared" si="4"/>
        <v>94.67213115</v>
      </c>
      <c r="L31" s="197"/>
      <c r="M31" s="200">
        <f t="shared" si="5"/>
        <v>120</v>
      </c>
      <c r="N31" s="200">
        <f t="shared" si="6"/>
        <v>98.36065574</v>
      </c>
      <c r="O31" s="199">
        <f t="shared" si="7"/>
        <v>3.636363636</v>
      </c>
      <c r="P31" s="201">
        <f t="shared" si="8"/>
        <v>2.980625931</v>
      </c>
      <c r="Q31" s="197"/>
      <c r="R31" s="197"/>
      <c r="S31" s="202">
        <v>0.8</v>
      </c>
      <c r="T31" s="202">
        <v>0.2</v>
      </c>
      <c r="U31" s="202">
        <v>0.35</v>
      </c>
      <c r="V31" s="199">
        <f t="shared" si="9"/>
        <v>3.381818182</v>
      </c>
      <c r="W31" s="199">
        <f t="shared" si="10"/>
        <v>2.771982116</v>
      </c>
      <c r="X31" s="202">
        <f t="shared" si="11"/>
        <v>0.2086438152</v>
      </c>
      <c r="Y31" s="202">
        <f t="shared" si="12"/>
        <v>0.07</v>
      </c>
      <c r="Z31" s="200">
        <f t="shared" si="13"/>
        <v>111.6</v>
      </c>
      <c r="AA31" s="200">
        <f t="shared" si="14"/>
        <v>91.47540984</v>
      </c>
      <c r="AB31" s="200">
        <f t="shared" si="15"/>
        <v>65.36065574</v>
      </c>
      <c r="AC31" s="202">
        <f t="shared" si="16"/>
        <v>0.5446721311</v>
      </c>
      <c r="AD31" s="203"/>
      <c r="AE31" s="203"/>
      <c r="AF31" s="203"/>
      <c r="AG31" s="203"/>
      <c r="AH31" s="203"/>
      <c r="AI31" s="203"/>
      <c r="AJ31" s="203"/>
      <c r="AK31" s="203"/>
      <c r="AL31" s="203"/>
      <c r="AM31" s="203"/>
      <c r="AN31" s="203"/>
      <c r="AO31" s="203"/>
      <c r="AP31" s="203"/>
      <c r="AQ31" s="203"/>
      <c r="AR31" s="203"/>
      <c r="AS31" s="203"/>
      <c r="AT31" s="203"/>
      <c r="AU31" s="203"/>
    </row>
    <row r="32" ht="14.25" customHeight="1">
      <c r="A32" s="210" t="s">
        <v>198</v>
      </c>
      <c r="B32" s="192"/>
      <c r="C32" s="193"/>
      <c r="D32" s="205">
        <v>120.0</v>
      </c>
      <c r="E32" s="205">
        <v>33.0</v>
      </c>
      <c r="F32" s="196">
        <f t="shared" si="1"/>
        <v>91.47540984</v>
      </c>
      <c r="G32" s="197">
        <f t="shared" si="2"/>
        <v>2.771982116</v>
      </c>
      <c r="H32" s="198">
        <v>3.5</v>
      </c>
      <c r="I32" s="198">
        <f t="shared" si="3"/>
        <v>115.5</v>
      </c>
      <c r="J32" s="198">
        <v>1.22</v>
      </c>
      <c r="K32" s="199">
        <f t="shared" si="4"/>
        <v>94.67213115</v>
      </c>
      <c r="L32" s="197"/>
      <c r="M32" s="200">
        <f t="shared" si="5"/>
        <v>120</v>
      </c>
      <c r="N32" s="200">
        <f t="shared" si="6"/>
        <v>98.36065574</v>
      </c>
      <c r="O32" s="199">
        <f t="shared" si="7"/>
        <v>3.636363636</v>
      </c>
      <c r="P32" s="201">
        <f t="shared" si="8"/>
        <v>2.980625931</v>
      </c>
      <c r="Q32" s="197"/>
      <c r="R32" s="197"/>
      <c r="S32" s="202">
        <v>0.8</v>
      </c>
      <c r="T32" s="202">
        <v>0.2</v>
      </c>
      <c r="U32" s="202">
        <v>0.35</v>
      </c>
      <c r="V32" s="199">
        <f t="shared" si="9"/>
        <v>3.381818182</v>
      </c>
      <c r="W32" s="199">
        <f t="shared" si="10"/>
        <v>2.771982116</v>
      </c>
      <c r="X32" s="202">
        <f t="shared" si="11"/>
        <v>0.2086438152</v>
      </c>
      <c r="Y32" s="202">
        <f t="shared" si="12"/>
        <v>0.07</v>
      </c>
      <c r="Z32" s="200">
        <f t="shared" si="13"/>
        <v>111.6</v>
      </c>
      <c r="AA32" s="200">
        <f t="shared" si="14"/>
        <v>91.47540984</v>
      </c>
      <c r="AB32" s="200">
        <f t="shared" si="15"/>
        <v>65.36065574</v>
      </c>
      <c r="AC32" s="202">
        <f t="shared" si="16"/>
        <v>0.5446721311</v>
      </c>
      <c r="AD32" s="203"/>
      <c r="AE32" s="203"/>
      <c r="AF32" s="203"/>
      <c r="AG32" s="203"/>
      <c r="AH32" s="203"/>
      <c r="AI32" s="203"/>
      <c r="AJ32" s="203"/>
      <c r="AK32" s="203"/>
      <c r="AL32" s="203"/>
      <c r="AM32" s="203"/>
      <c r="AN32" s="203"/>
      <c r="AO32" s="203"/>
      <c r="AP32" s="203"/>
      <c r="AQ32" s="203"/>
      <c r="AR32" s="203"/>
      <c r="AS32" s="203"/>
      <c r="AT32" s="203"/>
      <c r="AU32" s="203"/>
    </row>
    <row r="33" ht="14.25" customHeight="1">
      <c r="A33" s="207" t="s">
        <v>227</v>
      </c>
      <c r="B33" s="192"/>
      <c r="C33" s="193"/>
      <c r="D33" s="205">
        <v>120.0</v>
      </c>
      <c r="E33" s="205">
        <v>33.0</v>
      </c>
      <c r="F33" s="196">
        <f t="shared" si="1"/>
        <v>91.47540984</v>
      </c>
      <c r="G33" s="197">
        <f t="shared" si="2"/>
        <v>2.771982116</v>
      </c>
      <c r="H33" s="198">
        <v>3.5</v>
      </c>
      <c r="I33" s="198">
        <f t="shared" si="3"/>
        <v>115.5</v>
      </c>
      <c r="J33" s="198">
        <v>1.22</v>
      </c>
      <c r="K33" s="199">
        <f t="shared" si="4"/>
        <v>94.67213115</v>
      </c>
      <c r="L33" s="197"/>
      <c r="M33" s="200">
        <f t="shared" si="5"/>
        <v>120</v>
      </c>
      <c r="N33" s="200">
        <f t="shared" si="6"/>
        <v>98.36065574</v>
      </c>
      <c r="O33" s="199">
        <f t="shared" si="7"/>
        <v>3.636363636</v>
      </c>
      <c r="P33" s="201">
        <f t="shared" si="8"/>
        <v>2.980625931</v>
      </c>
      <c r="Q33" s="197"/>
      <c r="R33" s="197"/>
      <c r="S33" s="202">
        <v>0.8</v>
      </c>
      <c r="T33" s="202">
        <v>0.2</v>
      </c>
      <c r="U33" s="202">
        <v>0.35</v>
      </c>
      <c r="V33" s="199">
        <f t="shared" si="9"/>
        <v>3.381818182</v>
      </c>
      <c r="W33" s="199">
        <f t="shared" si="10"/>
        <v>2.771982116</v>
      </c>
      <c r="X33" s="202">
        <f t="shared" si="11"/>
        <v>0.2086438152</v>
      </c>
      <c r="Y33" s="202">
        <f t="shared" si="12"/>
        <v>0.07</v>
      </c>
      <c r="Z33" s="200">
        <f t="shared" si="13"/>
        <v>111.6</v>
      </c>
      <c r="AA33" s="200">
        <f t="shared" si="14"/>
        <v>91.47540984</v>
      </c>
      <c r="AB33" s="200">
        <f t="shared" si="15"/>
        <v>65.36065574</v>
      </c>
      <c r="AC33" s="202">
        <f t="shared" si="16"/>
        <v>0.5446721311</v>
      </c>
      <c r="AD33" s="203"/>
      <c r="AE33" s="203"/>
      <c r="AF33" s="203"/>
      <c r="AG33" s="203"/>
      <c r="AH33" s="203"/>
      <c r="AI33" s="203"/>
      <c r="AJ33" s="203"/>
      <c r="AK33" s="203"/>
      <c r="AL33" s="203"/>
      <c r="AM33" s="203"/>
      <c r="AN33" s="203"/>
      <c r="AO33" s="203"/>
      <c r="AP33" s="203"/>
      <c r="AQ33" s="203"/>
      <c r="AR33" s="203"/>
      <c r="AS33" s="203"/>
      <c r="AT33" s="203"/>
      <c r="AU33" s="203"/>
    </row>
    <row r="34" ht="14.25" customHeight="1">
      <c r="A34" s="210" t="s">
        <v>2008</v>
      </c>
      <c r="B34" s="192"/>
      <c r="C34" s="193"/>
      <c r="D34" s="205">
        <v>120.0</v>
      </c>
      <c r="E34" s="205">
        <v>33.0</v>
      </c>
      <c r="F34" s="196">
        <f t="shared" si="1"/>
        <v>91.47540984</v>
      </c>
      <c r="G34" s="197">
        <f t="shared" si="2"/>
        <v>2.771982116</v>
      </c>
      <c r="H34" s="198">
        <v>3.5</v>
      </c>
      <c r="I34" s="198">
        <f t="shared" si="3"/>
        <v>115.5</v>
      </c>
      <c r="J34" s="198">
        <v>1.22</v>
      </c>
      <c r="K34" s="199">
        <f t="shared" si="4"/>
        <v>94.67213115</v>
      </c>
      <c r="L34" s="197"/>
      <c r="M34" s="200">
        <f t="shared" si="5"/>
        <v>120</v>
      </c>
      <c r="N34" s="200">
        <f t="shared" si="6"/>
        <v>98.36065574</v>
      </c>
      <c r="O34" s="199">
        <f t="shared" si="7"/>
        <v>3.636363636</v>
      </c>
      <c r="P34" s="201">
        <f t="shared" si="8"/>
        <v>2.980625931</v>
      </c>
      <c r="Q34" s="197"/>
      <c r="R34" s="197"/>
      <c r="S34" s="202">
        <v>0.8</v>
      </c>
      <c r="T34" s="202">
        <v>0.2</v>
      </c>
      <c r="U34" s="202">
        <v>0.35</v>
      </c>
      <c r="V34" s="199">
        <f t="shared" si="9"/>
        <v>3.381818182</v>
      </c>
      <c r="W34" s="199">
        <f t="shared" si="10"/>
        <v>2.771982116</v>
      </c>
      <c r="X34" s="202">
        <f t="shared" si="11"/>
        <v>0.2086438152</v>
      </c>
      <c r="Y34" s="202">
        <f t="shared" si="12"/>
        <v>0.07</v>
      </c>
      <c r="Z34" s="200">
        <f t="shared" si="13"/>
        <v>111.6</v>
      </c>
      <c r="AA34" s="200">
        <f t="shared" si="14"/>
        <v>91.47540984</v>
      </c>
      <c r="AB34" s="200">
        <f t="shared" si="15"/>
        <v>65.36065574</v>
      </c>
      <c r="AC34" s="202">
        <f t="shared" si="16"/>
        <v>0.5446721311</v>
      </c>
      <c r="AD34" s="203"/>
      <c r="AE34" s="203"/>
      <c r="AF34" s="203"/>
      <c r="AG34" s="203"/>
      <c r="AH34" s="203"/>
      <c r="AI34" s="203"/>
      <c r="AJ34" s="203"/>
      <c r="AK34" s="203"/>
      <c r="AL34" s="203"/>
      <c r="AM34" s="203"/>
      <c r="AN34" s="203"/>
      <c r="AO34" s="203"/>
      <c r="AP34" s="203"/>
      <c r="AQ34" s="203"/>
      <c r="AR34" s="203"/>
      <c r="AS34" s="203"/>
      <c r="AT34" s="203"/>
      <c r="AU34" s="203"/>
    </row>
    <row r="35" ht="14.25" customHeight="1">
      <c r="A35" s="207" t="s">
        <v>205</v>
      </c>
      <c r="B35" s="192"/>
      <c r="C35" s="193"/>
      <c r="D35" s="205">
        <v>105.0</v>
      </c>
      <c r="E35" s="205">
        <v>23.0</v>
      </c>
      <c r="F35" s="196">
        <f t="shared" si="1"/>
        <v>80.04098361</v>
      </c>
      <c r="G35" s="197">
        <f t="shared" si="2"/>
        <v>3.480042766</v>
      </c>
      <c r="H35" s="198">
        <v>3.5</v>
      </c>
      <c r="I35" s="198">
        <f t="shared" si="3"/>
        <v>80.5</v>
      </c>
      <c r="J35" s="198">
        <v>1.22</v>
      </c>
      <c r="K35" s="199">
        <f t="shared" si="4"/>
        <v>65.98360656</v>
      </c>
      <c r="L35" s="197"/>
      <c r="M35" s="200">
        <f t="shared" si="5"/>
        <v>105</v>
      </c>
      <c r="N35" s="200">
        <f t="shared" si="6"/>
        <v>86.06557377</v>
      </c>
      <c r="O35" s="199">
        <f t="shared" si="7"/>
        <v>4.565217391</v>
      </c>
      <c r="P35" s="201">
        <f t="shared" si="8"/>
        <v>3.741981468</v>
      </c>
      <c r="Q35" s="197"/>
      <c r="R35" s="197"/>
      <c r="S35" s="202">
        <v>0.8</v>
      </c>
      <c r="T35" s="202">
        <v>0.2</v>
      </c>
      <c r="U35" s="202">
        <v>0.35</v>
      </c>
      <c r="V35" s="199">
        <f t="shared" si="9"/>
        <v>4.245652174</v>
      </c>
      <c r="W35" s="199">
        <f t="shared" si="10"/>
        <v>3.480042766</v>
      </c>
      <c r="X35" s="202">
        <f t="shared" si="11"/>
        <v>0.2619387028</v>
      </c>
      <c r="Y35" s="202">
        <f t="shared" si="12"/>
        <v>0.07</v>
      </c>
      <c r="Z35" s="200">
        <f t="shared" si="13"/>
        <v>97.65</v>
      </c>
      <c r="AA35" s="200">
        <f t="shared" si="14"/>
        <v>80.04098361</v>
      </c>
      <c r="AB35" s="200">
        <f t="shared" si="15"/>
        <v>63.06557377</v>
      </c>
      <c r="AC35" s="202">
        <f t="shared" si="16"/>
        <v>0.6006245121</v>
      </c>
      <c r="AD35" s="203"/>
      <c r="AE35" s="203"/>
      <c r="AF35" s="203"/>
      <c r="AG35" s="203"/>
      <c r="AH35" s="203"/>
      <c r="AI35" s="203"/>
      <c r="AJ35" s="203"/>
      <c r="AK35" s="203"/>
      <c r="AL35" s="203"/>
      <c r="AM35" s="203"/>
      <c r="AN35" s="203"/>
      <c r="AO35" s="203"/>
      <c r="AP35" s="203"/>
      <c r="AQ35" s="203"/>
      <c r="AR35" s="203"/>
      <c r="AS35" s="203"/>
      <c r="AT35" s="203"/>
      <c r="AU35" s="203"/>
    </row>
    <row r="36" ht="14.25" customHeight="1">
      <c r="A36" s="207" t="s">
        <v>207</v>
      </c>
      <c r="B36" s="192"/>
      <c r="C36" s="192"/>
      <c r="D36" s="205">
        <v>120.0</v>
      </c>
      <c r="E36" s="205">
        <v>26.0</v>
      </c>
      <c r="F36" s="196">
        <f t="shared" si="1"/>
        <v>91.47540984</v>
      </c>
      <c r="G36" s="197">
        <f t="shared" si="2"/>
        <v>3.518284994</v>
      </c>
      <c r="H36" s="198">
        <v>3.5</v>
      </c>
      <c r="I36" s="198">
        <f t="shared" si="3"/>
        <v>91</v>
      </c>
      <c r="J36" s="198">
        <v>1.22</v>
      </c>
      <c r="K36" s="199">
        <f t="shared" si="4"/>
        <v>74.59016393</v>
      </c>
      <c r="L36" s="197"/>
      <c r="M36" s="200">
        <f t="shared" si="5"/>
        <v>120</v>
      </c>
      <c r="N36" s="200">
        <f t="shared" si="6"/>
        <v>98.36065574</v>
      </c>
      <c r="O36" s="199">
        <f t="shared" si="7"/>
        <v>4.615384615</v>
      </c>
      <c r="P36" s="201">
        <f t="shared" si="8"/>
        <v>3.783102144</v>
      </c>
      <c r="Q36" s="197"/>
      <c r="R36" s="197"/>
      <c r="S36" s="202">
        <v>0.8</v>
      </c>
      <c r="T36" s="202">
        <v>0.2</v>
      </c>
      <c r="U36" s="202">
        <v>0.35</v>
      </c>
      <c r="V36" s="199">
        <f t="shared" si="9"/>
        <v>4.292307692</v>
      </c>
      <c r="W36" s="199">
        <f t="shared" si="10"/>
        <v>3.518284994</v>
      </c>
      <c r="X36" s="202">
        <f t="shared" si="11"/>
        <v>0.2648171501</v>
      </c>
      <c r="Y36" s="202">
        <f t="shared" si="12"/>
        <v>0.07</v>
      </c>
      <c r="Z36" s="200">
        <f t="shared" si="13"/>
        <v>111.6</v>
      </c>
      <c r="AA36" s="200">
        <f t="shared" si="14"/>
        <v>91.47540984</v>
      </c>
      <c r="AB36" s="200">
        <f t="shared" si="15"/>
        <v>72.36065574</v>
      </c>
      <c r="AC36" s="202">
        <f t="shared" si="16"/>
        <v>0.6030054645</v>
      </c>
      <c r="AD36" s="203"/>
      <c r="AE36" s="203"/>
      <c r="AF36" s="203"/>
      <c r="AG36" s="203"/>
      <c r="AH36" s="203"/>
      <c r="AI36" s="203"/>
      <c r="AJ36" s="203"/>
      <c r="AK36" s="203"/>
      <c r="AL36" s="203"/>
      <c r="AM36" s="203"/>
      <c r="AN36" s="203"/>
      <c r="AO36" s="203"/>
      <c r="AP36" s="203"/>
      <c r="AQ36" s="203"/>
      <c r="AR36" s="203"/>
      <c r="AS36" s="203"/>
      <c r="AT36" s="203"/>
      <c r="AU36" s="203"/>
    </row>
    <row r="37" ht="14.25" customHeight="1">
      <c r="A37" s="210" t="s">
        <v>213</v>
      </c>
      <c r="B37" s="192"/>
      <c r="C37" s="193"/>
      <c r="D37" s="205">
        <v>50.0</v>
      </c>
      <c r="E37" s="205">
        <v>4.0</v>
      </c>
      <c r="F37" s="196">
        <f t="shared" si="1"/>
        <v>38.1147541</v>
      </c>
      <c r="G37" s="197">
        <f t="shared" si="2"/>
        <v>9.528688525</v>
      </c>
      <c r="H37" s="198">
        <v>3.5</v>
      </c>
      <c r="I37" s="198">
        <f t="shared" si="3"/>
        <v>14</v>
      </c>
      <c r="J37" s="198">
        <v>1.22</v>
      </c>
      <c r="K37" s="199">
        <f t="shared" si="4"/>
        <v>11.47540984</v>
      </c>
      <c r="L37" s="197"/>
      <c r="M37" s="200">
        <f t="shared" si="5"/>
        <v>50</v>
      </c>
      <c r="N37" s="200">
        <f t="shared" si="6"/>
        <v>40.98360656</v>
      </c>
      <c r="O37" s="199">
        <f t="shared" si="7"/>
        <v>12.5</v>
      </c>
      <c r="P37" s="201">
        <f t="shared" si="8"/>
        <v>10.24590164</v>
      </c>
      <c r="Q37" s="197"/>
      <c r="R37" s="197"/>
      <c r="S37" s="202">
        <v>0.8</v>
      </c>
      <c r="T37" s="202">
        <v>0.2</v>
      </c>
      <c r="U37" s="202">
        <v>0.35</v>
      </c>
      <c r="V37" s="199">
        <f t="shared" si="9"/>
        <v>11.625</v>
      </c>
      <c r="W37" s="199">
        <f t="shared" si="10"/>
        <v>9.528688525</v>
      </c>
      <c r="X37" s="202">
        <f t="shared" si="11"/>
        <v>0.7172131148</v>
      </c>
      <c r="Y37" s="202">
        <f t="shared" si="12"/>
        <v>0.07</v>
      </c>
      <c r="Z37" s="200">
        <f t="shared" si="13"/>
        <v>46.5</v>
      </c>
      <c r="AA37" s="200">
        <f t="shared" si="14"/>
        <v>38.1147541</v>
      </c>
      <c r="AB37" s="200">
        <f t="shared" si="15"/>
        <v>36.98360656</v>
      </c>
      <c r="AC37" s="202">
        <f t="shared" si="16"/>
        <v>0.7396721311</v>
      </c>
      <c r="AD37" s="203"/>
      <c r="AE37" s="203"/>
      <c r="AF37" s="203"/>
      <c r="AG37" s="203"/>
      <c r="AH37" s="203"/>
      <c r="AI37" s="203"/>
      <c r="AJ37" s="203"/>
      <c r="AK37" s="203"/>
      <c r="AL37" s="203"/>
      <c r="AM37" s="203"/>
      <c r="AN37" s="203"/>
      <c r="AO37" s="203"/>
      <c r="AP37" s="203"/>
      <c r="AQ37" s="203"/>
      <c r="AR37" s="203"/>
      <c r="AS37" s="203"/>
      <c r="AT37" s="203"/>
      <c r="AU37" s="203"/>
    </row>
    <row r="38" ht="14.25" customHeight="1">
      <c r="A38" s="207" t="s">
        <v>215</v>
      </c>
      <c r="B38" s="192"/>
      <c r="C38" s="193"/>
      <c r="D38" s="205">
        <v>50.0</v>
      </c>
      <c r="E38" s="205">
        <v>4.0</v>
      </c>
      <c r="F38" s="196">
        <f t="shared" si="1"/>
        <v>38.1147541</v>
      </c>
      <c r="G38" s="197">
        <f t="shared" si="2"/>
        <v>9.528688525</v>
      </c>
      <c r="H38" s="198">
        <v>3.5</v>
      </c>
      <c r="I38" s="198">
        <f t="shared" si="3"/>
        <v>14</v>
      </c>
      <c r="J38" s="198">
        <v>1.22</v>
      </c>
      <c r="K38" s="199">
        <f t="shared" si="4"/>
        <v>11.47540984</v>
      </c>
      <c r="L38" s="197"/>
      <c r="M38" s="200">
        <f t="shared" si="5"/>
        <v>50</v>
      </c>
      <c r="N38" s="200">
        <f t="shared" si="6"/>
        <v>40.98360656</v>
      </c>
      <c r="O38" s="199">
        <f t="shared" si="7"/>
        <v>12.5</v>
      </c>
      <c r="P38" s="201">
        <f t="shared" si="8"/>
        <v>10.24590164</v>
      </c>
      <c r="Q38" s="197"/>
      <c r="R38" s="197"/>
      <c r="S38" s="202">
        <v>0.8</v>
      </c>
      <c r="T38" s="202">
        <v>0.2</v>
      </c>
      <c r="U38" s="202">
        <v>0.35</v>
      </c>
      <c r="V38" s="199">
        <f t="shared" si="9"/>
        <v>11.625</v>
      </c>
      <c r="W38" s="199">
        <f t="shared" si="10"/>
        <v>9.528688525</v>
      </c>
      <c r="X38" s="202">
        <f t="shared" si="11"/>
        <v>0.7172131148</v>
      </c>
      <c r="Y38" s="202">
        <f t="shared" si="12"/>
        <v>0.07</v>
      </c>
      <c r="Z38" s="200">
        <f t="shared" si="13"/>
        <v>46.5</v>
      </c>
      <c r="AA38" s="200">
        <f t="shared" si="14"/>
        <v>38.1147541</v>
      </c>
      <c r="AB38" s="200">
        <f t="shared" si="15"/>
        <v>36.98360656</v>
      </c>
      <c r="AC38" s="202">
        <f t="shared" si="16"/>
        <v>0.7396721311</v>
      </c>
      <c r="AD38" s="203"/>
      <c r="AE38" s="203"/>
      <c r="AF38" s="203"/>
      <c r="AG38" s="203"/>
      <c r="AH38" s="203"/>
      <c r="AI38" s="203"/>
      <c r="AJ38" s="203"/>
      <c r="AK38" s="203"/>
      <c r="AL38" s="203"/>
      <c r="AM38" s="203"/>
      <c r="AN38" s="203"/>
      <c r="AO38" s="203"/>
      <c r="AP38" s="203"/>
      <c r="AQ38" s="203"/>
      <c r="AR38" s="203"/>
      <c r="AS38" s="203"/>
      <c r="AT38" s="203"/>
      <c r="AU38" s="203"/>
    </row>
    <row r="39" ht="14.25" customHeight="1">
      <c r="A39" s="210" t="s">
        <v>217</v>
      </c>
      <c r="B39" s="192"/>
      <c r="C39" s="193"/>
      <c r="D39" s="205">
        <v>50.0</v>
      </c>
      <c r="E39" s="205">
        <v>4.0</v>
      </c>
      <c r="F39" s="196">
        <f t="shared" si="1"/>
        <v>38.1147541</v>
      </c>
      <c r="G39" s="197">
        <f t="shared" si="2"/>
        <v>9.528688525</v>
      </c>
      <c r="H39" s="198">
        <v>3.5</v>
      </c>
      <c r="I39" s="198">
        <f t="shared" si="3"/>
        <v>14</v>
      </c>
      <c r="J39" s="198">
        <v>1.22</v>
      </c>
      <c r="K39" s="199">
        <f t="shared" si="4"/>
        <v>11.47540984</v>
      </c>
      <c r="L39" s="197"/>
      <c r="M39" s="200">
        <f t="shared" si="5"/>
        <v>50</v>
      </c>
      <c r="N39" s="200">
        <f t="shared" si="6"/>
        <v>40.98360656</v>
      </c>
      <c r="O39" s="199">
        <f t="shared" si="7"/>
        <v>12.5</v>
      </c>
      <c r="P39" s="201">
        <f t="shared" si="8"/>
        <v>10.24590164</v>
      </c>
      <c r="Q39" s="197"/>
      <c r="R39" s="197"/>
      <c r="S39" s="202">
        <v>0.8</v>
      </c>
      <c r="T39" s="202">
        <v>0.2</v>
      </c>
      <c r="U39" s="202">
        <v>0.35</v>
      </c>
      <c r="V39" s="199">
        <f t="shared" si="9"/>
        <v>11.625</v>
      </c>
      <c r="W39" s="199">
        <f t="shared" si="10"/>
        <v>9.528688525</v>
      </c>
      <c r="X39" s="202">
        <f t="shared" si="11"/>
        <v>0.7172131148</v>
      </c>
      <c r="Y39" s="202">
        <f t="shared" si="12"/>
        <v>0.07</v>
      </c>
      <c r="Z39" s="200">
        <f t="shared" si="13"/>
        <v>46.5</v>
      </c>
      <c r="AA39" s="200">
        <f t="shared" si="14"/>
        <v>38.1147541</v>
      </c>
      <c r="AB39" s="200">
        <f t="shared" si="15"/>
        <v>36.98360656</v>
      </c>
      <c r="AC39" s="202">
        <f t="shared" si="16"/>
        <v>0.7396721311</v>
      </c>
      <c r="AD39" s="203"/>
      <c r="AE39" s="203"/>
      <c r="AF39" s="203"/>
      <c r="AG39" s="203"/>
      <c r="AH39" s="203"/>
      <c r="AI39" s="203"/>
      <c r="AJ39" s="203"/>
      <c r="AK39" s="203"/>
      <c r="AL39" s="203"/>
      <c r="AM39" s="203"/>
      <c r="AN39" s="203"/>
      <c r="AO39" s="203"/>
      <c r="AP39" s="203"/>
      <c r="AQ39" s="203"/>
      <c r="AR39" s="203"/>
      <c r="AS39" s="203"/>
      <c r="AT39" s="203"/>
      <c r="AU39" s="203"/>
    </row>
    <row r="40" ht="14.25" customHeight="1">
      <c r="A40" s="210" t="s">
        <v>219</v>
      </c>
      <c r="B40" s="192"/>
      <c r="C40" s="193"/>
      <c r="D40" s="205">
        <v>50.0</v>
      </c>
      <c r="E40" s="205">
        <v>4.0</v>
      </c>
      <c r="F40" s="196">
        <f t="shared" si="1"/>
        <v>38.1147541</v>
      </c>
      <c r="G40" s="197">
        <f t="shared" si="2"/>
        <v>9.528688525</v>
      </c>
      <c r="H40" s="198">
        <v>3.5</v>
      </c>
      <c r="I40" s="198">
        <f t="shared" si="3"/>
        <v>14</v>
      </c>
      <c r="J40" s="198">
        <v>1.22</v>
      </c>
      <c r="K40" s="199">
        <f t="shared" si="4"/>
        <v>11.47540984</v>
      </c>
      <c r="L40" s="197"/>
      <c r="M40" s="200">
        <f t="shared" si="5"/>
        <v>50</v>
      </c>
      <c r="N40" s="200">
        <f t="shared" si="6"/>
        <v>40.98360656</v>
      </c>
      <c r="O40" s="199">
        <f t="shared" si="7"/>
        <v>12.5</v>
      </c>
      <c r="P40" s="201">
        <f t="shared" si="8"/>
        <v>10.24590164</v>
      </c>
      <c r="Q40" s="197"/>
      <c r="R40" s="197"/>
      <c r="S40" s="202">
        <v>0.8</v>
      </c>
      <c r="T40" s="202">
        <v>0.2</v>
      </c>
      <c r="U40" s="202">
        <v>0.35</v>
      </c>
      <c r="V40" s="199">
        <f t="shared" si="9"/>
        <v>11.625</v>
      </c>
      <c r="W40" s="199">
        <f t="shared" si="10"/>
        <v>9.528688525</v>
      </c>
      <c r="X40" s="202">
        <f t="shared" si="11"/>
        <v>0.7172131148</v>
      </c>
      <c r="Y40" s="202">
        <f t="shared" si="12"/>
        <v>0.07</v>
      </c>
      <c r="Z40" s="200">
        <f t="shared" si="13"/>
        <v>46.5</v>
      </c>
      <c r="AA40" s="200">
        <f t="shared" si="14"/>
        <v>38.1147541</v>
      </c>
      <c r="AB40" s="200">
        <f t="shared" si="15"/>
        <v>36.98360656</v>
      </c>
      <c r="AC40" s="202">
        <f t="shared" si="16"/>
        <v>0.7396721311</v>
      </c>
      <c r="AD40" s="203"/>
      <c r="AE40" s="203"/>
      <c r="AF40" s="203"/>
      <c r="AG40" s="203"/>
      <c r="AH40" s="203"/>
      <c r="AI40" s="203"/>
      <c r="AJ40" s="203"/>
      <c r="AK40" s="203"/>
      <c r="AL40" s="203"/>
      <c r="AM40" s="203"/>
      <c r="AN40" s="203"/>
      <c r="AO40" s="203"/>
      <c r="AP40" s="203"/>
      <c r="AQ40" s="203"/>
      <c r="AR40" s="203"/>
      <c r="AS40" s="203"/>
      <c r="AT40" s="203"/>
      <c r="AU40" s="203"/>
    </row>
    <row r="41" ht="14.25" customHeight="1">
      <c r="A41" s="207" t="s">
        <v>221</v>
      </c>
      <c r="B41" s="192"/>
      <c r="C41" s="193"/>
      <c r="D41" s="205">
        <v>150.0</v>
      </c>
      <c r="E41" s="205">
        <v>33.0</v>
      </c>
      <c r="F41" s="196">
        <f t="shared" si="1"/>
        <v>114.3442623</v>
      </c>
      <c r="G41" s="197">
        <f t="shared" si="2"/>
        <v>3.464977645</v>
      </c>
      <c r="H41" s="198">
        <v>3.5</v>
      </c>
      <c r="I41" s="198">
        <f t="shared" si="3"/>
        <v>115.5</v>
      </c>
      <c r="J41" s="198">
        <v>1.22</v>
      </c>
      <c r="K41" s="199">
        <f t="shared" si="4"/>
        <v>94.67213115</v>
      </c>
      <c r="L41" s="197"/>
      <c r="M41" s="200">
        <f t="shared" si="5"/>
        <v>150</v>
      </c>
      <c r="N41" s="200">
        <f t="shared" si="6"/>
        <v>122.9508197</v>
      </c>
      <c r="O41" s="199">
        <f t="shared" si="7"/>
        <v>4.545454545</v>
      </c>
      <c r="P41" s="201">
        <f t="shared" si="8"/>
        <v>3.725782414</v>
      </c>
      <c r="Q41" s="197"/>
      <c r="R41" s="197"/>
      <c r="S41" s="202">
        <v>0.8</v>
      </c>
      <c r="T41" s="202">
        <v>0.2</v>
      </c>
      <c r="U41" s="202">
        <v>0.35</v>
      </c>
      <c r="V41" s="199">
        <f t="shared" si="9"/>
        <v>4.227272727</v>
      </c>
      <c r="W41" s="199">
        <f t="shared" si="10"/>
        <v>3.464977645</v>
      </c>
      <c r="X41" s="202">
        <f t="shared" si="11"/>
        <v>0.260804769</v>
      </c>
      <c r="Y41" s="202">
        <f t="shared" si="12"/>
        <v>0.07</v>
      </c>
      <c r="Z41" s="200">
        <f t="shared" si="13"/>
        <v>139.5</v>
      </c>
      <c r="AA41" s="200">
        <f t="shared" si="14"/>
        <v>114.3442623</v>
      </c>
      <c r="AB41" s="200">
        <f t="shared" si="15"/>
        <v>89.95081967</v>
      </c>
      <c r="AC41" s="202">
        <f t="shared" si="16"/>
        <v>0.5996721311</v>
      </c>
      <c r="AD41" s="203"/>
      <c r="AE41" s="203"/>
      <c r="AF41" s="203"/>
      <c r="AG41" s="203"/>
      <c r="AH41" s="203"/>
      <c r="AI41" s="203"/>
      <c r="AJ41" s="203"/>
      <c r="AK41" s="203"/>
      <c r="AL41" s="203"/>
      <c r="AM41" s="203"/>
      <c r="AN41" s="203"/>
      <c r="AO41" s="203"/>
      <c r="AP41" s="203"/>
      <c r="AQ41" s="203"/>
      <c r="AR41" s="203"/>
      <c r="AS41" s="203"/>
      <c r="AT41" s="203"/>
      <c r="AU41" s="203"/>
    </row>
    <row r="42" ht="14.25" customHeight="1">
      <c r="A42" s="206" t="s">
        <v>2009</v>
      </c>
      <c r="B42" s="192"/>
      <c r="C42" s="193"/>
      <c r="D42" s="205">
        <v>80.0</v>
      </c>
      <c r="E42" s="205">
        <v>23.0</v>
      </c>
      <c r="F42" s="196">
        <f t="shared" si="1"/>
        <v>60.98360656</v>
      </c>
      <c r="G42" s="197">
        <f t="shared" si="2"/>
        <v>2.651461155</v>
      </c>
      <c r="H42" s="198">
        <v>3.5</v>
      </c>
      <c r="I42" s="198">
        <f t="shared" si="3"/>
        <v>80.5</v>
      </c>
      <c r="J42" s="198">
        <v>1.22</v>
      </c>
      <c r="K42" s="199">
        <f t="shared" si="4"/>
        <v>65.98360656</v>
      </c>
      <c r="L42" s="197"/>
      <c r="M42" s="200">
        <f t="shared" si="5"/>
        <v>80</v>
      </c>
      <c r="N42" s="200">
        <f t="shared" si="6"/>
        <v>65.57377049</v>
      </c>
      <c r="O42" s="199">
        <f t="shared" si="7"/>
        <v>3.47826087</v>
      </c>
      <c r="P42" s="201">
        <f t="shared" si="8"/>
        <v>2.8510335</v>
      </c>
      <c r="Q42" s="197"/>
      <c r="R42" s="197"/>
      <c r="S42" s="202">
        <v>0.8</v>
      </c>
      <c r="T42" s="202">
        <v>0.2</v>
      </c>
      <c r="U42" s="202">
        <v>0.35</v>
      </c>
      <c r="V42" s="199">
        <f t="shared" si="9"/>
        <v>3.234782609</v>
      </c>
      <c r="W42" s="199">
        <f t="shared" si="10"/>
        <v>2.651461155</v>
      </c>
      <c r="X42" s="202">
        <f t="shared" si="11"/>
        <v>0.199572345</v>
      </c>
      <c r="Y42" s="202">
        <f t="shared" si="12"/>
        <v>0.07</v>
      </c>
      <c r="Z42" s="200">
        <f t="shared" si="13"/>
        <v>74.4</v>
      </c>
      <c r="AA42" s="200">
        <f t="shared" si="14"/>
        <v>60.98360656</v>
      </c>
      <c r="AB42" s="200">
        <f t="shared" si="15"/>
        <v>42.57377049</v>
      </c>
      <c r="AC42" s="202">
        <f t="shared" si="16"/>
        <v>0.5321721311</v>
      </c>
      <c r="AD42" s="203"/>
      <c r="AE42" s="203"/>
      <c r="AF42" s="203"/>
      <c r="AG42" s="203"/>
      <c r="AH42" s="203"/>
      <c r="AI42" s="203"/>
      <c r="AJ42" s="203"/>
      <c r="AK42" s="203"/>
      <c r="AL42" s="203"/>
      <c r="AM42" s="203"/>
      <c r="AN42" s="203"/>
      <c r="AO42" s="203"/>
      <c r="AP42" s="203"/>
      <c r="AQ42" s="203"/>
      <c r="AR42" s="203"/>
      <c r="AS42" s="203"/>
      <c r="AT42" s="203"/>
      <c r="AU42" s="203"/>
    </row>
    <row r="43" ht="14.25" customHeight="1">
      <c r="A43" s="191" t="s">
        <v>2010</v>
      </c>
      <c r="B43" s="192"/>
      <c r="C43" s="192"/>
      <c r="D43" s="205">
        <v>32.0</v>
      </c>
      <c r="E43" s="205">
        <v>13.5</v>
      </c>
      <c r="F43" s="196">
        <f t="shared" si="1"/>
        <v>24.39344262</v>
      </c>
      <c r="G43" s="197">
        <f t="shared" si="2"/>
        <v>1.806921676</v>
      </c>
      <c r="H43" s="198">
        <v>3.5</v>
      </c>
      <c r="I43" s="198">
        <f t="shared" si="3"/>
        <v>47.25</v>
      </c>
      <c r="J43" s="198">
        <v>1.22</v>
      </c>
      <c r="K43" s="199">
        <f t="shared" si="4"/>
        <v>38.7295082</v>
      </c>
      <c r="L43" s="197"/>
      <c r="M43" s="200">
        <f t="shared" si="5"/>
        <v>32</v>
      </c>
      <c r="N43" s="200">
        <f t="shared" si="6"/>
        <v>26.2295082</v>
      </c>
      <c r="O43" s="199">
        <f t="shared" si="7"/>
        <v>2.37037037</v>
      </c>
      <c r="P43" s="201">
        <f t="shared" si="8"/>
        <v>1.942926533</v>
      </c>
      <c r="Q43" s="197"/>
      <c r="R43" s="197"/>
      <c r="S43" s="202">
        <v>0.8</v>
      </c>
      <c r="T43" s="202">
        <v>0.2</v>
      </c>
      <c r="U43" s="202">
        <v>0.35</v>
      </c>
      <c r="V43" s="199">
        <f t="shared" si="9"/>
        <v>2.204444444</v>
      </c>
      <c r="W43" s="199">
        <f t="shared" si="10"/>
        <v>1.806921676</v>
      </c>
      <c r="X43" s="202">
        <f t="shared" si="11"/>
        <v>0.1360048573</v>
      </c>
      <c r="Y43" s="202">
        <f t="shared" si="12"/>
        <v>0.07</v>
      </c>
      <c r="Z43" s="200">
        <f t="shared" si="13"/>
        <v>29.76</v>
      </c>
      <c r="AA43" s="200">
        <f t="shared" si="14"/>
        <v>24.39344262</v>
      </c>
      <c r="AB43" s="200">
        <f t="shared" si="15"/>
        <v>12.7295082</v>
      </c>
      <c r="AC43" s="202">
        <f t="shared" si="16"/>
        <v>0.3977971311</v>
      </c>
      <c r="AD43" s="203"/>
      <c r="AE43" s="203"/>
      <c r="AF43" s="203"/>
      <c r="AG43" s="203"/>
      <c r="AH43" s="203"/>
      <c r="AI43" s="203"/>
      <c r="AJ43" s="203"/>
      <c r="AK43" s="203"/>
      <c r="AL43" s="203"/>
      <c r="AM43" s="203"/>
      <c r="AN43" s="203"/>
      <c r="AO43" s="203"/>
      <c r="AP43" s="203"/>
      <c r="AQ43" s="203"/>
      <c r="AR43" s="203"/>
      <c r="AS43" s="203"/>
      <c r="AT43" s="203"/>
      <c r="AU43" s="203"/>
    </row>
    <row r="44" ht="14.25" customHeight="1">
      <c r="A44" s="191" t="s">
        <v>2011</v>
      </c>
      <c r="B44" s="192"/>
      <c r="C44" s="192"/>
      <c r="D44" s="205">
        <v>170.0</v>
      </c>
      <c r="E44" s="205">
        <v>36.0</v>
      </c>
      <c r="F44" s="196">
        <f t="shared" si="1"/>
        <v>129.5901639</v>
      </c>
      <c r="G44" s="197">
        <f t="shared" si="2"/>
        <v>3.599726776</v>
      </c>
      <c r="H44" s="198">
        <v>3.5</v>
      </c>
      <c r="I44" s="198">
        <f t="shared" si="3"/>
        <v>126</v>
      </c>
      <c r="J44" s="198">
        <v>1.22</v>
      </c>
      <c r="K44" s="199">
        <f t="shared" si="4"/>
        <v>103.2786885</v>
      </c>
      <c r="L44" s="197"/>
      <c r="M44" s="200">
        <f t="shared" si="5"/>
        <v>170</v>
      </c>
      <c r="N44" s="200">
        <f t="shared" si="6"/>
        <v>139.3442623</v>
      </c>
      <c r="O44" s="199">
        <f t="shared" si="7"/>
        <v>4.722222222</v>
      </c>
      <c r="P44" s="201">
        <f t="shared" si="8"/>
        <v>3.870673953</v>
      </c>
      <c r="Q44" s="197"/>
      <c r="R44" s="197"/>
      <c r="S44" s="202">
        <v>0.8</v>
      </c>
      <c r="T44" s="202">
        <v>0.2</v>
      </c>
      <c r="U44" s="202">
        <v>0.35</v>
      </c>
      <c r="V44" s="199">
        <f t="shared" si="9"/>
        <v>4.391666667</v>
      </c>
      <c r="W44" s="199">
        <f t="shared" si="10"/>
        <v>3.599726776</v>
      </c>
      <c r="X44" s="202">
        <f t="shared" si="11"/>
        <v>0.2709471767</v>
      </c>
      <c r="Y44" s="202">
        <f t="shared" si="12"/>
        <v>0.07</v>
      </c>
      <c r="Z44" s="200">
        <f t="shared" si="13"/>
        <v>158.1</v>
      </c>
      <c r="AA44" s="200">
        <f t="shared" si="14"/>
        <v>129.5901639</v>
      </c>
      <c r="AB44" s="200">
        <f t="shared" si="15"/>
        <v>103.3442623</v>
      </c>
      <c r="AC44" s="202">
        <f t="shared" si="16"/>
        <v>0.6079074253</v>
      </c>
      <c r="AD44" s="203"/>
      <c r="AE44" s="203"/>
      <c r="AF44" s="203"/>
      <c r="AG44" s="203"/>
      <c r="AH44" s="203"/>
      <c r="AI44" s="203"/>
      <c r="AJ44" s="203"/>
      <c r="AK44" s="203"/>
      <c r="AL44" s="203"/>
      <c r="AM44" s="203"/>
      <c r="AN44" s="203"/>
      <c r="AO44" s="203"/>
      <c r="AP44" s="203"/>
      <c r="AQ44" s="203"/>
      <c r="AR44" s="203"/>
      <c r="AS44" s="203"/>
      <c r="AT44" s="203"/>
      <c r="AU44" s="203"/>
    </row>
    <row r="45" ht="14.25" customHeight="1">
      <c r="A45" s="206" t="s">
        <v>2012</v>
      </c>
      <c r="B45" s="192"/>
      <c r="C45" s="192"/>
      <c r="D45" s="205">
        <v>75.0</v>
      </c>
      <c r="E45" s="205">
        <v>21.3</v>
      </c>
      <c r="F45" s="196">
        <f t="shared" si="1"/>
        <v>57.17213115</v>
      </c>
      <c r="G45" s="197">
        <f t="shared" si="2"/>
        <v>2.684137613</v>
      </c>
      <c r="H45" s="198">
        <v>3.5</v>
      </c>
      <c r="I45" s="198">
        <f t="shared" si="3"/>
        <v>74.55</v>
      </c>
      <c r="J45" s="198">
        <v>1.22</v>
      </c>
      <c r="K45" s="199">
        <f t="shared" si="4"/>
        <v>61.10655738</v>
      </c>
      <c r="L45" s="197"/>
      <c r="M45" s="200">
        <f t="shared" si="5"/>
        <v>75</v>
      </c>
      <c r="N45" s="200">
        <f t="shared" si="6"/>
        <v>61.47540984</v>
      </c>
      <c r="O45" s="199">
        <f t="shared" si="7"/>
        <v>3.521126761</v>
      </c>
      <c r="P45" s="201">
        <f t="shared" si="8"/>
        <v>2.886169476</v>
      </c>
      <c r="Q45" s="197"/>
      <c r="R45" s="197"/>
      <c r="S45" s="202">
        <v>0.8</v>
      </c>
      <c r="T45" s="202">
        <v>0.2</v>
      </c>
      <c r="U45" s="202">
        <v>0.35</v>
      </c>
      <c r="V45" s="199">
        <f t="shared" si="9"/>
        <v>3.274647887</v>
      </c>
      <c r="W45" s="199">
        <f t="shared" si="10"/>
        <v>2.684137613</v>
      </c>
      <c r="X45" s="202">
        <f t="shared" si="11"/>
        <v>0.2020318633</v>
      </c>
      <c r="Y45" s="202">
        <f t="shared" si="12"/>
        <v>0.07</v>
      </c>
      <c r="Z45" s="200">
        <f t="shared" si="13"/>
        <v>69.75</v>
      </c>
      <c r="AA45" s="200">
        <f t="shared" si="14"/>
        <v>57.17213115</v>
      </c>
      <c r="AB45" s="200">
        <f t="shared" si="15"/>
        <v>40.17540984</v>
      </c>
      <c r="AC45" s="202">
        <f t="shared" si="16"/>
        <v>0.5356721311</v>
      </c>
      <c r="AD45" s="203"/>
      <c r="AE45" s="203"/>
      <c r="AF45" s="203"/>
      <c r="AG45" s="203"/>
      <c r="AH45" s="203"/>
      <c r="AI45" s="203"/>
      <c r="AJ45" s="203"/>
      <c r="AK45" s="203"/>
      <c r="AL45" s="203"/>
      <c r="AM45" s="203"/>
      <c r="AN45" s="203"/>
      <c r="AO45" s="203"/>
      <c r="AP45" s="203"/>
      <c r="AQ45" s="203"/>
      <c r="AR45" s="203"/>
      <c r="AS45" s="203"/>
      <c r="AT45" s="203"/>
      <c r="AU45" s="203"/>
    </row>
    <row r="46" ht="14.25" customHeight="1">
      <c r="A46" s="207" t="s">
        <v>229</v>
      </c>
      <c r="B46" s="192"/>
      <c r="C46" s="193"/>
      <c r="D46" s="205">
        <v>150.0</v>
      </c>
      <c r="E46" s="205">
        <v>33.0</v>
      </c>
      <c r="F46" s="196">
        <f t="shared" si="1"/>
        <v>114.3442623</v>
      </c>
      <c r="G46" s="197">
        <f t="shared" si="2"/>
        <v>3.464977645</v>
      </c>
      <c r="H46" s="198">
        <v>3.5</v>
      </c>
      <c r="I46" s="198">
        <f t="shared" si="3"/>
        <v>115.5</v>
      </c>
      <c r="J46" s="198">
        <v>1.22</v>
      </c>
      <c r="K46" s="199">
        <f t="shared" si="4"/>
        <v>94.67213115</v>
      </c>
      <c r="L46" s="197"/>
      <c r="M46" s="200">
        <f t="shared" si="5"/>
        <v>150</v>
      </c>
      <c r="N46" s="200">
        <f t="shared" si="6"/>
        <v>122.9508197</v>
      </c>
      <c r="O46" s="199">
        <f t="shared" si="7"/>
        <v>4.545454545</v>
      </c>
      <c r="P46" s="201">
        <f t="shared" si="8"/>
        <v>3.725782414</v>
      </c>
      <c r="Q46" s="197"/>
      <c r="R46" s="197"/>
      <c r="S46" s="202">
        <v>0.8</v>
      </c>
      <c r="T46" s="202">
        <v>0.2</v>
      </c>
      <c r="U46" s="202">
        <v>0.35</v>
      </c>
      <c r="V46" s="199">
        <f t="shared" si="9"/>
        <v>4.227272727</v>
      </c>
      <c r="W46" s="199">
        <f t="shared" si="10"/>
        <v>3.464977645</v>
      </c>
      <c r="X46" s="202">
        <f t="shared" si="11"/>
        <v>0.260804769</v>
      </c>
      <c r="Y46" s="202">
        <f t="shared" si="12"/>
        <v>0.07</v>
      </c>
      <c r="Z46" s="200">
        <f t="shared" si="13"/>
        <v>139.5</v>
      </c>
      <c r="AA46" s="200">
        <f t="shared" si="14"/>
        <v>114.3442623</v>
      </c>
      <c r="AB46" s="200">
        <f t="shared" si="15"/>
        <v>89.95081967</v>
      </c>
      <c r="AC46" s="202">
        <f t="shared" si="16"/>
        <v>0.5996721311</v>
      </c>
      <c r="AD46" s="203"/>
      <c r="AE46" s="203"/>
      <c r="AF46" s="203"/>
      <c r="AG46" s="203"/>
      <c r="AH46" s="203"/>
      <c r="AI46" s="203"/>
      <c r="AJ46" s="203"/>
      <c r="AK46" s="203"/>
      <c r="AL46" s="203"/>
      <c r="AM46" s="203"/>
      <c r="AN46" s="203"/>
      <c r="AO46" s="203"/>
      <c r="AP46" s="203"/>
      <c r="AQ46" s="203"/>
      <c r="AR46" s="203"/>
      <c r="AS46" s="203"/>
      <c r="AT46" s="203"/>
      <c r="AU46" s="203"/>
    </row>
    <row r="47" ht="14.25" customHeight="1">
      <c r="A47" s="206" t="s">
        <v>2013</v>
      </c>
      <c r="B47" s="192"/>
      <c r="C47" s="192"/>
      <c r="D47" s="205">
        <v>120.0</v>
      </c>
      <c r="E47" s="205">
        <v>25.0</v>
      </c>
      <c r="F47" s="196">
        <f t="shared" si="1"/>
        <v>91.47540984</v>
      </c>
      <c r="G47" s="197">
        <f t="shared" si="2"/>
        <v>3.659016393</v>
      </c>
      <c r="H47" s="198">
        <v>3.5</v>
      </c>
      <c r="I47" s="198">
        <f t="shared" si="3"/>
        <v>87.5</v>
      </c>
      <c r="J47" s="198">
        <v>1.22</v>
      </c>
      <c r="K47" s="199">
        <f t="shared" si="4"/>
        <v>71.72131148</v>
      </c>
      <c r="L47" s="197"/>
      <c r="M47" s="200">
        <f t="shared" si="5"/>
        <v>120</v>
      </c>
      <c r="N47" s="200">
        <f t="shared" si="6"/>
        <v>98.36065574</v>
      </c>
      <c r="O47" s="199">
        <f t="shared" si="7"/>
        <v>4.8</v>
      </c>
      <c r="P47" s="201">
        <f t="shared" si="8"/>
        <v>3.93442623</v>
      </c>
      <c r="Q47" s="197"/>
      <c r="R47" s="197"/>
      <c r="S47" s="202">
        <v>0.8</v>
      </c>
      <c r="T47" s="202">
        <v>0.2</v>
      </c>
      <c r="U47" s="202">
        <v>0.35</v>
      </c>
      <c r="V47" s="199">
        <f t="shared" si="9"/>
        <v>4.464</v>
      </c>
      <c r="W47" s="199">
        <f t="shared" si="10"/>
        <v>3.659016393</v>
      </c>
      <c r="X47" s="202">
        <f t="shared" si="11"/>
        <v>0.2754098361</v>
      </c>
      <c r="Y47" s="202">
        <f t="shared" si="12"/>
        <v>0.07</v>
      </c>
      <c r="Z47" s="200">
        <f t="shared" si="13"/>
        <v>111.6</v>
      </c>
      <c r="AA47" s="200">
        <f t="shared" si="14"/>
        <v>91.47540984</v>
      </c>
      <c r="AB47" s="200">
        <f t="shared" si="15"/>
        <v>73.36065574</v>
      </c>
      <c r="AC47" s="202">
        <f t="shared" si="16"/>
        <v>0.6113387978</v>
      </c>
      <c r="AD47" s="203"/>
      <c r="AE47" s="203"/>
      <c r="AF47" s="203"/>
      <c r="AG47" s="203"/>
      <c r="AH47" s="203"/>
      <c r="AI47" s="203"/>
      <c r="AJ47" s="203"/>
      <c r="AK47" s="203"/>
      <c r="AL47" s="203"/>
      <c r="AM47" s="203"/>
      <c r="AN47" s="203"/>
      <c r="AO47" s="203"/>
      <c r="AP47" s="203"/>
      <c r="AQ47" s="203"/>
      <c r="AR47" s="203"/>
      <c r="AS47" s="203"/>
      <c r="AT47" s="203"/>
      <c r="AU47" s="203"/>
    </row>
    <row r="48" ht="14.25" customHeight="1">
      <c r="A48" s="206" t="s">
        <v>247</v>
      </c>
      <c r="B48" s="192"/>
      <c r="C48" s="192"/>
      <c r="D48" s="205">
        <v>170.0</v>
      </c>
      <c r="E48" s="205">
        <v>36.0</v>
      </c>
      <c r="F48" s="196">
        <f t="shared" si="1"/>
        <v>129.5901639</v>
      </c>
      <c r="G48" s="197">
        <f t="shared" si="2"/>
        <v>3.599726776</v>
      </c>
      <c r="H48" s="198">
        <v>3.5</v>
      </c>
      <c r="I48" s="198">
        <f t="shared" si="3"/>
        <v>126</v>
      </c>
      <c r="J48" s="198">
        <v>1.22</v>
      </c>
      <c r="K48" s="199">
        <f t="shared" si="4"/>
        <v>103.2786885</v>
      </c>
      <c r="L48" s="197"/>
      <c r="M48" s="200">
        <f t="shared" si="5"/>
        <v>170</v>
      </c>
      <c r="N48" s="200">
        <f t="shared" si="6"/>
        <v>139.3442623</v>
      </c>
      <c r="O48" s="199">
        <f t="shared" si="7"/>
        <v>4.722222222</v>
      </c>
      <c r="P48" s="201">
        <f t="shared" si="8"/>
        <v>3.870673953</v>
      </c>
      <c r="Q48" s="197"/>
      <c r="R48" s="197"/>
      <c r="S48" s="202">
        <v>0.8</v>
      </c>
      <c r="T48" s="202">
        <v>0.2</v>
      </c>
      <c r="U48" s="202">
        <v>0.35</v>
      </c>
      <c r="V48" s="199">
        <f t="shared" si="9"/>
        <v>4.391666667</v>
      </c>
      <c r="W48" s="199">
        <f t="shared" si="10"/>
        <v>3.599726776</v>
      </c>
      <c r="X48" s="202">
        <f t="shared" si="11"/>
        <v>0.2709471767</v>
      </c>
      <c r="Y48" s="202">
        <f t="shared" si="12"/>
        <v>0.07</v>
      </c>
      <c r="Z48" s="200">
        <f t="shared" si="13"/>
        <v>158.1</v>
      </c>
      <c r="AA48" s="200">
        <f t="shared" si="14"/>
        <v>129.5901639</v>
      </c>
      <c r="AB48" s="200">
        <f t="shared" si="15"/>
        <v>103.3442623</v>
      </c>
      <c r="AC48" s="202">
        <f t="shared" si="16"/>
        <v>0.6079074253</v>
      </c>
      <c r="AD48" s="203"/>
      <c r="AE48" s="203"/>
      <c r="AF48" s="203"/>
      <c r="AG48" s="203"/>
      <c r="AH48" s="203"/>
      <c r="AI48" s="203"/>
      <c r="AJ48" s="203"/>
      <c r="AK48" s="203"/>
      <c r="AL48" s="203"/>
      <c r="AM48" s="203"/>
      <c r="AN48" s="203"/>
      <c r="AO48" s="203"/>
      <c r="AP48" s="203"/>
      <c r="AQ48" s="203"/>
      <c r="AR48" s="203"/>
      <c r="AS48" s="203"/>
      <c r="AT48" s="203"/>
      <c r="AU48" s="203"/>
    </row>
    <row r="49" ht="14.25" customHeight="1">
      <c r="A49" s="206" t="s">
        <v>235</v>
      </c>
      <c r="B49" s="192"/>
      <c r="C49" s="192"/>
      <c r="D49" s="205">
        <v>120.0</v>
      </c>
      <c r="E49" s="205">
        <v>20.0</v>
      </c>
      <c r="F49" s="196">
        <f t="shared" si="1"/>
        <v>91.47540984</v>
      </c>
      <c r="G49" s="197">
        <f t="shared" si="2"/>
        <v>4.573770492</v>
      </c>
      <c r="H49" s="198">
        <v>3.5</v>
      </c>
      <c r="I49" s="198">
        <f t="shared" si="3"/>
        <v>70</v>
      </c>
      <c r="J49" s="198">
        <v>1.22</v>
      </c>
      <c r="K49" s="199">
        <f t="shared" si="4"/>
        <v>57.37704918</v>
      </c>
      <c r="L49" s="197"/>
      <c r="M49" s="200">
        <f t="shared" si="5"/>
        <v>120</v>
      </c>
      <c r="N49" s="200">
        <f t="shared" si="6"/>
        <v>98.36065574</v>
      </c>
      <c r="O49" s="199">
        <f t="shared" si="7"/>
        <v>6</v>
      </c>
      <c r="P49" s="201">
        <f t="shared" si="8"/>
        <v>4.918032787</v>
      </c>
      <c r="Q49" s="197"/>
      <c r="R49" s="197"/>
      <c r="S49" s="202">
        <v>0.8</v>
      </c>
      <c r="T49" s="202">
        <v>0.2</v>
      </c>
      <c r="U49" s="202">
        <v>0.35</v>
      </c>
      <c r="V49" s="199">
        <f t="shared" si="9"/>
        <v>5.58</v>
      </c>
      <c r="W49" s="199">
        <f t="shared" si="10"/>
        <v>4.573770492</v>
      </c>
      <c r="X49" s="202">
        <f t="shared" si="11"/>
        <v>0.3442622951</v>
      </c>
      <c r="Y49" s="202">
        <f t="shared" si="12"/>
        <v>0.07</v>
      </c>
      <c r="Z49" s="200">
        <f t="shared" si="13"/>
        <v>111.6</v>
      </c>
      <c r="AA49" s="200">
        <f t="shared" si="14"/>
        <v>91.47540984</v>
      </c>
      <c r="AB49" s="200">
        <f t="shared" si="15"/>
        <v>78.36065574</v>
      </c>
      <c r="AC49" s="202">
        <f t="shared" si="16"/>
        <v>0.6530054645</v>
      </c>
      <c r="AD49" s="203"/>
      <c r="AE49" s="203"/>
      <c r="AF49" s="203"/>
      <c r="AG49" s="203"/>
      <c r="AH49" s="203"/>
      <c r="AI49" s="203"/>
      <c r="AJ49" s="203"/>
      <c r="AK49" s="203"/>
      <c r="AL49" s="203"/>
      <c r="AM49" s="203"/>
      <c r="AN49" s="203"/>
      <c r="AO49" s="203"/>
      <c r="AP49" s="203"/>
      <c r="AQ49" s="203"/>
      <c r="AR49" s="203"/>
      <c r="AS49" s="203"/>
      <c r="AT49" s="203"/>
      <c r="AU49" s="203"/>
    </row>
    <row r="50" ht="14.25" customHeight="1">
      <c r="A50" s="206" t="s">
        <v>239</v>
      </c>
      <c r="B50" s="192"/>
      <c r="C50" s="192"/>
      <c r="D50" s="205">
        <v>120.0</v>
      </c>
      <c r="E50" s="205">
        <v>20.0</v>
      </c>
      <c r="F50" s="196">
        <f t="shared" si="1"/>
        <v>91.47540984</v>
      </c>
      <c r="G50" s="197">
        <f t="shared" si="2"/>
        <v>4.573770492</v>
      </c>
      <c r="H50" s="198">
        <v>3.5</v>
      </c>
      <c r="I50" s="198">
        <f t="shared" si="3"/>
        <v>70</v>
      </c>
      <c r="J50" s="198">
        <v>1.22</v>
      </c>
      <c r="K50" s="199">
        <f t="shared" si="4"/>
        <v>57.37704918</v>
      </c>
      <c r="L50" s="197"/>
      <c r="M50" s="200">
        <f t="shared" si="5"/>
        <v>120</v>
      </c>
      <c r="N50" s="200">
        <f t="shared" si="6"/>
        <v>98.36065574</v>
      </c>
      <c r="O50" s="199">
        <f t="shared" si="7"/>
        <v>6</v>
      </c>
      <c r="P50" s="201">
        <f t="shared" si="8"/>
        <v>4.918032787</v>
      </c>
      <c r="Q50" s="197"/>
      <c r="R50" s="197"/>
      <c r="S50" s="202">
        <v>0.8</v>
      </c>
      <c r="T50" s="202">
        <v>0.2</v>
      </c>
      <c r="U50" s="202">
        <v>0.35</v>
      </c>
      <c r="V50" s="199">
        <f t="shared" si="9"/>
        <v>5.58</v>
      </c>
      <c r="W50" s="199">
        <f t="shared" si="10"/>
        <v>4.573770492</v>
      </c>
      <c r="X50" s="202">
        <f t="shared" si="11"/>
        <v>0.3442622951</v>
      </c>
      <c r="Y50" s="202">
        <f t="shared" si="12"/>
        <v>0.07</v>
      </c>
      <c r="Z50" s="200">
        <f t="shared" si="13"/>
        <v>111.6</v>
      </c>
      <c r="AA50" s="200">
        <f t="shared" si="14"/>
        <v>91.47540984</v>
      </c>
      <c r="AB50" s="200">
        <f t="shared" si="15"/>
        <v>78.36065574</v>
      </c>
      <c r="AC50" s="202">
        <f t="shared" si="16"/>
        <v>0.6530054645</v>
      </c>
      <c r="AD50" s="203"/>
      <c r="AE50" s="203"/>
      <c r="AF50" s="203"/>
      <c r="AG50" s="203"/>
      <c r="AH50" s="203"/>
      <c r="AI50" s="203"/>
      <c r="AJ50" s="203"/>
      <c r="AK50" s="203"/>
      <c r="AL50" s="203"/>
      <c r="AM50" s="203"/>
      <c r="AN50" s="203"/>
      <c r="AO50" s="203"/>
      <c r="AP50" s="203"/>
      <c r="AQ50" s="203"/>
      <c r="AR50" s="203"/>
      <c r="AS50" s="203"/>
      <c r="AT50" s="203"/>
      <c r="AU50" s="203"/>
    </row>
    <row r="51" ht="14.25" customHeight="1">
      <c r="A51" s="206" t="s">
        <v>241</v>
      </c>
      <c r="B51" s="192"/>
      <c r="C51" s="192"/>
      <c r="D51" s="205">
        <v>120.0</v>
      </c>
      <c r="E51" s="205">
        <v>20.0</v>
      </c>
      <c r="F51" s="196">
        <f t="shared" si="1"/>
        <v>91.47540984</v>
      </c>
      <c r="G51" s="197">
        <f t="shared" si="2"/>
        <v>4.573770492</v>
      </c>
      <c r="H51" s="198">
        <v>3.5</v>
      </c>
      <c r="I51" s="198">
        <f t="shared" si="3"/>
        <v>70</v>
      </c>
      <c r="J51" s="198">
        <v>1.22</v>
      </c>
      <c r="K51" s="199">
        <f t="shared" si="4"/>
        <v>57.37704918</v>
      </c>
      <c r="L51" s="197"/>
      <c r="M51" s="200">
        <f t="shared" si="5"/>
        <v>120</v>
      </c>
      <c r="N51" s="200">
        <f t="shared" si="6"/>
        <v>98.36065574</v>
      </c>
      <c r="O51" s="199">
        <f t="shared" si="7"/>
        <v>6</v>
      </c>
      <c r="P51" s="201">
        <f t="shared" si="8"/>
        <v>4.918032787</v>
      </c>
      <c r="Q51" s="197"/>
      <c r="R51" s="197"/>
      <c r="S51" s="202">
        <v>0.8</v>
      </c>
      <c r="T51" s="202">
        <v>0.2</v>
      </c>
      <c r="U51" s="202">
        <v>0.35</v>
      </c>
      <c r="V51" s="199">
        <f t="shared" si="9"/>
        <v>5.58</v>
      </c>
      <c r="W51" s="199">
        <f t="shared" si="10"/>
        <v>4.573770492</v>
      </c>
      <c r="X51" s="202">
        <f t="shared" si="11"/>
        <v>0.3442622951</v>
      </c>
      <c r="Y51" s="202">
        <f t="shared" si="12"/>
        <v>0.07</v>
      </c>
      <c r="Z51" s="200">
        <f t="shared" si="13"/>
        <v>111.6</v>
      </c>
      <c r="AA51" s="200">
        <f t="shared" si="14"/>
        <v>91.47540984</v>
      </c>
      <c r="AB51" s="200">
        <f t="shared" si="15"/>
        <v>78.36065574</v>
      </c>
      <c r="AC51" s="202">
        <f t="shared" si="16"/>
        <v>0.6530054645</v>
      </c>
      <c r="AD51" s="203"/>
      <c r="AE51" s="203"/>
      <c r="AF51" s="203"/>
      <c r="AG51" s="203"/>
      <c r="AH51" s="203"/>
      <c r="AI51" s="203"/>
      <c r="AJ51" s="203"/>
      <c r="AK51" s="203"/>
      <c r="AL51" s="203"/>
      <c r="AM51" s="203"/>
      <c r="AN51" s="203"/>
      <c r="AO51" s="203"/>
      <c r="AP51" s="203"/>
      <c r="AQ51" s="203"/>
      <c r="AR51" s="203"/>
      <c r="AS51" s="203"/>
      <c r="AT51" s="203"/>
      <c r="AU51" s="203"/>
    </row>
    <row r="52" ht="14.25" customHeight="1">
      <c r="A52" s="206" t="s">
        <v>244</v>
      </c>
      <c r="B52" s="192"/>
      <c r="C52" s="192"/>
      <c r="D52" s="205">
        <v>170.0</v>
      </c>
      <c r="E52" s="205">
        <v>30.0</v>
      </c>
      <c r="F52" s="196">
        <f t="shared" si="1"/>
        <v>129.5901639</v>
      </c>
      <c r="G52" s="197">
        <f t="shared" si="2"/>
        <v>4.319672131</v>
      </c>
      <c r="H52" s="198">
        <v>3.5</v>
      </c>
      <c r="I52" s="198">
        <f t="shared" si="3"/>
        <v>105</v>
      </c>
      <c r="J52" s="198">
        <v>1.22</v>
      </c>
      <c r="K52" s="199">
        <f t="shared" si="4"/>
        <v>86.06557377</v>
      </c>
      <c r="L52" s="197"/>
      <c r="M52" s="200">
        <f t="shared" si="5"/>
        <v>170</v>
      </c>
      <c r="N52" s="200">
        <f t="shared" si="6"/>
        <v>139.3442623</v>
      </c>
      <c r="O52" s="199">
        <f t="shared" si="7"/>
        <v>5.666666667</v>
      </c>
      <c r="P52" s="201">
        <f t="shared" si="8"/>
        <v>4.644808743</v>
      </c>
      <c r="Q52" s="197"/>
      <c r="R52" s="197"/>
      <c r="S52" s="202">
        <v>0.8</v>
      </c>
      <c r="T52" s="202">
        <v>0.2</v>
      </c>
      <c r="U52" s="202">
        <v>0.35</v>
      </c>
      <c r="V52" s="199">
        <f t="shared" si="9"/>
        <v>5.27</v>
      </c>
      <c r="W52" s="199">
        <f t="shared" si="10"/>
        <v>4.319672131</v>
      </c>
      <c r="X52" s="202">
        <f t="shared" si="11"/>
        <v>0.325136612</v>
      </c>
      <c r="Y52" s="202">
        <f t="shared" si="12"/>
        <v>0.07</v>
      </c>
      <c r="Z52" s="200">
        <f t="shared" si="13"/>
        <v>158.1</v>
      </c>
      <c r="AA52" s="200">
        <f t="shared" si="14"/>
        <v>129.5901639</v>
      </c>
      <c r="AB52" s="200">
        <f t="shared" si="15"/>
        <v>109.3442623</v>
      </c>
      <c r="AC52" s="202">
        <f t="shared" si="16"/>
        <v>0.6432015429</v>
      </c>
      <c r="AD52" s="203"/>
      <c r="AE52" s="203"/>
      <c r="AF52" s="203"/>
      <c r="AG52" s="203"/>
      <c r="AH52" s="203"/>
      <c r="AI52" s="203"/>
      <c r="AJ52" s="203"/>
      <c r="AK52" s="203"/>
      <c r="AL52" s="203"/>
      <c r="AM52" s="203"/>
      <c r="AN52" s="203"/>
      <c r="AO52" s="203"/>
      <c r="AP52" s="203"/>
      <c r="AQ52" s="203"/>
      <c r="AR52" s="203"/>
      <c r="AS52" s="203"/>
      <c r="AT52" s="203"/>
      <c r="AU52" s="203"/>
    </row>
    <row r="53" ht="14.25" customHeight="1">
      <c r="A53" s="206" t="s">
        <v>246</v>
      </c>
      <c r="B53" s="192"/>
      <c r="C53" s="192"/>
      <c r="D53" s="205">
        <v>170.0</v>
      </c>
      <c r="E53" s="205">
        <v>25.0</v>
      </c>
      <c r="F53" s="196">
        <f t="shared" si="1"/>
        <v>129.5901639</v>
      </c>
      <c r="G53" s="197">
        <f t="shared" si="2"/>
        <v>5.183606557</v>
      </c>
      <c r="H53" s="198">
        <v>3.5</v>
      </c>
      <c r="I53" s="198">
        <f t="shared" si="3"/>
        <v>87.5</v>
      </c>
      <c r="J53" s="198">
        <v>1.22</v>
      </c>
      <c r="K53" s="199">
        <f t="shared" si="4"/>
        <v>71.72131148</v>
      </c>
      <c r="L53" s="197"/>
      <c r="M53" s="200">
        <f t="shared" si="5"/>
        <v>170</v>
      </c>
      <c r="N53" s="200">
        <f t="shared" si="6"/>
        <v>139.3442623</v>
      </c>
      <c r="O53" s="199">
        <f t="shared" si="7"/>
        <v>6.8</v>
      </c>
      <c r="P53" s="201">
        <f t="shared" si="8"/>
        <v>5.573770492</v>
      </c>
      <c r="Q53" s="197"/>
      <c r="R53" s="197"/>
      <c r="S53" s="202">
        <v>0.8</v>
      </c>
      <c r="T53" s="202">
        <v>0.2</v>
      </c>
      <c r="U53" s="202">
        <v>0.35</v>
      </c>
      <c r="V53" s="199">
        <f t="shared" si="9"/>
        <v>6.324</v>
      </c>
      <c r="W53" s="199">
        <f t="shared" si="10"/>
        <v>5.183606557</v>
      </c>
      <c r="X53" s="202">
        <f t="shared" si="11"/>
        <v>0.3901639344</v>
      </c>
      <c r="Y53" s="202">
        <f t="shared" si="12"/>
        <v>0.07</v>
      </c>
      <c r="Z53" s="200">
        <f t="shared" si="13"/>
        <v>158.1</v>
      </c>
      <c r="AA53" s="200">
        <f t="shared" si="14"/>
        <v>129.5901639</v>
      </c>
      <c r="AB53" s="200">
        <f t="shared" si="15"/>
        <v>114.3442623</v>
      </c>
      <c r="AC53" s="202">
        <f t="shared" si="16"/>
        <v>0.6726133076</v>
      </c>
      <c r="AD53" s="203"/>
      <c r="AE53" s="203"/>
      <c r="AF53" s="203"/>
      <c r="AG53" s="203"/>
      <c r="AH53" s="203"/>
      <c r="AI53" s="203"/>
      <c r="AJ53" s="203"/>
      <c r="AK53" s="203"/>
      <c r="AL53" s="203"/>
      <c r="AM53" s="203"/>
      <c r="AN53" s="203"/>
      <c r="AO53" s="203"/>
      <c r="AP53" s="203"/>
      <c r="AQ53" s="203"/>
      <c r="AR53" s="203"/>
      <c r="AS53" s="203"/>
      <c r="AT53" s="203"/>
      <c r="AU53" s="203"/>
    </row>
    <row r="54" ht="14.25" customHeight="1">
      <c r="A54" s="206" t="s">
        <v>2014</v>
      </c>
      <c r="B54" s="192"/>
      <c r="C54" s="192"/>
      <c r="D54" s="205">
        <v>175.0</v>
      </c>
      <c r="E54" s="205">
        <v>45.4</v>
      </c>
      <c r="F54" s="196">
        <f t="shared" si="1"/>
        <v>133.4016393</v>
      </c>
      <c r="G54" s="197">
        <f t="shared" si="2"/>
        <v>2.9383621</v>
      </c>
      <c r="H54" s="198">
        <v>3.5</v>
      </c>
      <c r="I54" s="198">
        <f t="shared" si="3"/>
        <v>158.9</v>
      </c>
      <c r="J54" s="198">
        <v>1.22</v>
      </c>
      <c r="K54" s="199">
        <f t="shared" si="4"/>
        <v>130.2459016</v>
      </c>
      <c r="L54" s="197"/>
      <c r="M54" s="200">
        <f t="shared" si="5"/>
        <v>175</v>
      </c>
      <c r="N54" s="200">
        <f t="shared" si="6"/>
        <v>143.442623</v>
      </c>
      <c r="O54" s="199">
        <f t="shared" si="7"/>
        <v>3.854625551</v>
      </c>
      <c r="P54" s="201">
        <f t="shared" si="8"/>
        <v>3.15952914</v>
      </c>
      <c r="Q54" s="197"/>
      <c r="R54" s="197"/>
      <c r="S54" s="202">
        <v>0.8</v>
      </c>
      <c r="T54" s="202">
        <v>0.2</v>
      </c>
      <c r="U54" s="202">
        <v>0.35</v>
      </c>
      <c r="V54" s="199">
        <f t="shared" si="9"/>
        <v>3.584801762</v>
      </c>
      <c r="W54" s="199">
        <f t="shared" si="10"/>
        <v>2.9383621</v>
      </c>
      <c r="X54" s="202">
        <f t="shared" si="11"/>
        <v>0.2211670398</v>
      </c>
      <c r="Y54" s="202">
        <f t="shared" si="12"/>
        <v>0.07</v>
      </c>
      <c r="Z54" s="200">
        <f t="shared" si="13"/>
        <v>162.75</v>
      </c>
      <c r="AA54" s="200">
        <f t="shared" si="14"/>
        <v>133.4016393</v>
      </c>
      <c r="AB54" s="200">
        <f t="shared" si="15"/>
        <v>98.04262295</v>
      </c>
      <c r="AC54" s="202">
        <f t="shared" si="16"/>
        <v>0.5602435597</v>
      </c>
      <c r="AD54" s="203"/>
      <c r="AE54" s="203"/>
      <c r="AF54" s="203"/>
      <c r="AG54" s="203"/>
      <c r="AH54" s="203"/>
      <c r="AI54" s="203"/>
      <c r="AJ54" s="203"/>
      <c r="AK54" s="203"/>
      <c r="AL54" s="203"/>
      <c r="AM54" s="203"/>
      <c r="AN54" s="203"/>
      <c r="AO54" s="203"/>
      <c r="AP54" s="203"/>
      <c r="AQ54" s="203"/>
      <c r="AR54" s="203"/>
      <c r="AS54" s="203"/>
      <c r="AT54" s="203"/>
      <c r="AU54" s="203"/>
    </row>
    <row r="55" ht="14.25" customHeight="1">
      <c r="A55" s="206" t="s">
        <v>250</v>
      </c>
      <c r="B55" s="192"/>
      <c r="C55" s="192"/>
      <c r="D55" s="205">
        <v>175.0</v>
      </c>
      <c r="E55" s="205">
        <v>45.4</v>
      </c>
      <c r="F55" s="196">
        <f t="shared" si="1"/>
        <v>133.4016393</v>
      </c>
      <c r="G55" s="197">
        <f t="shared" si="2"/>
        <v>2.9383621</v>
      </c>
      <c r="H55" s="198">
        <v>3.5</v>
      </c>
      <c r="I55" s="198">
        <f t="shared" si="3"/>
        <v>158.9</v>
      </c>
      <c r="J55" s="198">
        <v>1.22</v>
      </c>
      <c r="K55" s="199">
        <f t="shared" si="4"/>
        <v>130.2459016</v>
      </c>
      <c r="L55" s="197"/>
      <c r="M55" s="200">
        <f t="shared" si="5"/>
        <v>175</v>
      </c>
      <c r="N55" s="200">
        <f t="shared" si="6"/>
        <v>143.442623</v>
      </c>
      <c r="O55" s="199">
        <f t="shared" si="7"/>
        <v>3.854625551</v>
      </c>
      <c r="P55" s="201">
        <f t="shared" si="8"/>
        <v>3.15952914</v>
      </c>
      <c r="Q55" s="197"/>
      <c r="R55" s="197"/>
      <c r="S55" s="202">
        <v>0.8</v>
      </c>
      <c r="T55" s="202">
        <v>0.2</v>
      </c>
      <c r="U55" s="202">
        <v>0.35</v>
      </c>
      <c r="V55" s="199">
        <f t="shared" si="9"/>
        <v>3.584801762</v>
      </c>
      <c r="W55" s="199">
        <f t="shared" si="10"/>
        <v>2.9383621</v>
      </c>
      <c r="X55" s="202">
        <f t="shared" si="11"/>
        <v>0.2211670398</v>
      </c>
      <c r="Y55" s="202">
        <f t="shared" si="12"/>
        <v>0.07</v>
      </c>
      <c r="Z55" s="200">
        <f t="shared" si="13"/>
        <v>162.75</v>
      </c>
      <c r="AA55" s="200">
        <f t="shared" si="14"/>
        <v>133.4016393</v>
      </c>
      <c r="AB55" s="200">
        <f t="shared" si="15"/>
        <v>98.04262295</v>
      </c>
      <c r="AC55" s="202">
        <f t="shared" si="16"/>
        <v>0.5602435597</v>
      </c>
      <c r="AD55" s="203"/>
      <c r="AE55" s="203"/>
      <c r="AF55" s="203"/>
      <c r="AG55" s="203"/>
      <c r="AH55" s="203"/>
      <c r="AI55" s="203"/>
      <c r="AJ55" s="203"/>
      <c r="AK55" s="203"/>
      <c r="AL55" s="203"/>
      <c r="AM55" s="203"/>
      <c r="AN55" s="203"/>
      <c r="AO55" s="203"/>
      <c r="AP55" s="203"/>
      <c r="AQ55" s="203"/>
      <c r="AR55" s="203"/>
      <c r="AS55" s="203"/>
      <c r="AT55" s="203"/>
      <c r="AU55" s="203"/>
    </row>
    <row r="56" ht="14.25" customHeight="1">
      <c r="A56" s="206" t="s">
        <v>251</v>
      </c>
      <c r="B56" s="192"/>
      <c r="C56" s="192"/>
      <c r="D56" s="205">
        <v>175.0</v>
      </c>
      <c r="E56" s="205">
        <v>45.5</v>
      </c>
      <c r="F56" s="196">
        <f t="shared" si="1"/>
        <v>133.4016393</v>
      </c>
      <c r="G56" s="197">
        <f t="shared" si="2"/>
        <v>2.931904161</v>
      </c>
      <c r="H56" s="198">
        <v>3.5</v>
      </c>
      <c r="I56" s="198">
        <f t="shared" si="3"/>
        <v>159.25</v>
      </c>
      <c r="J56" s="198">
        <v>1.22</v>
      </c>
      <c r="K56" s="199">
        <f t="shared" si="4"/>
        <v>130.5327869</v>
      </c>
      <c r="L56" s="197"/>
      <c r="M56" s="200">
        <f t="shared" si="5"/>
        <v>175</v>
      </c>
      <c r="N56" s="200">
        <f t="shared" si="6"/>
        <v>143.442623</v>
      </c>
      <c r="O56" s="199">
        <f t="shared" si="7"/>
        <v>3.846153846</v>
      </c>
      <c r="P56" s="201">
        <f t="shared" si="8"/>
        <v>3.15258512</v>
      </c>
      <c r="Q56" s="197"/>
      <c r="R56" s="197"/>
      <c r="S56" s="202">
        <v>0.8</v>
      </c>
      <c r="T56" s="202">
        <v>0.2</v>
      </c>
      <c r="U56" s="202">
        <v>0.35</v>
      </c>
      <c r="V56" s="199">
        <f t="shared" si="9"/>
        <v>3.576923077</v>
      </c>
      <c r="W56" s="199">
        <f t="shared" si="10"/>
        <v>2.931904161</v>
      </c>
      <c r="X56" s="202">
        <f t="shared" si="11"/>
        <v>0.2206809584</v>
      </c>
      <c r="Y56" s="202">
        <f t="shared" si="12"/>
        <v>0.07</v>
      </c>
      <c r="Z56" s="200">
        <f t="shared" si="13"/>
        <v>162.75</v>
      </c>
      <c r="AA56" s="200">
        <f t="shared" si="14"/>
        <v>133.4016393</v>
      </c>
      <c r="AB56" s="200">
        <f t="shared" si="15"/>
        <v>97.94262295</v>
      </c>
      <c r="AC56" s="202">
        <f t="shared" si="16"/>
        <v>0.5596721311</v>
      </c>
      <c r="AD56" s="203"/>
      <c r="AE56" s="203"/>
      <c r="AF56" s="203"/>
      <c r="AG56" s="203"/>
      <c r="AH56" s="203"/>
      <c r="AI56" s="203"/>
      <c r="AJ56" s="203"/>
      <c r="AK56" s="203"/>
      <c r="AL56" s="203"/>
      <c r="AM56" s="203"/>
      <c r="AN56" s="203"/>
      <c r="AO56" s="203"/>
      <c r="AP56" s="203"/>
      <c r="AQ56" s="203"/>
      <c r="AR56" s="203"/>
      <c r="AS56" s="203"/>
      <c r="AT56" s="203"/>
      <c r="AU56" s="203"/>
    </row>
    <row r="57" ht="14.25" customHeight="1">
      <c r="A57" s="206" t="s">
        <v>254</v>
      </c>
      <c r="B57" s="192"/>
      <c r="C57" s="192"/>
      <c r="D57" s="205">
        <v>90.0</v>
      </c>
      <c r="E57" s="205">
        <v>16.5</v>
      </c>
      <c r="F57" s="196">
        <f t="shared" si="1"/>
        <v>68.60655738</v>
      </c>
      <c r="G57" s="197">
        <f t="shared" si="2"/>
        <v>4.157973174</v>
      </c>
      <c r="H57" s="198">
        <v>3.5</v>
      </c>
      <c r="I57" s="198">
        <f t="shared" si="3"/>
        <v>57.75</v>
      </c>
      <c r="J57" s="198">
        <v>1.22</v>
      </c>
      <c r="K57" s="199">
        <f t="shared" si="4"/>
        <v>47.33606557</v>
      </c>
      <c r="L57" s="197"/>
      <c r="M57" s="200">
        <f t="shared" si="5"/>
        <v>90</v>
      </c>
      <c r="N57" s="200">
        <f t="shared" si="6"/>
        <v>73.7704918</v>
      </c>
      <c r="O57" s="199">
        <f t="shared" si="7"/>
        <v>5.454545455</v>
      </c>
      <c r="P57" s="201">
        <f t="shared" si="8"/>
        <v>4.470938897</v>
      </c>
      <c r="Q57" s="197"/>
      <c r="R57" s="197"/>
      <c r="S57" s="202">
        <v>0.8</v>
      </c>
      <c r="T57" s="202">
        <v>0.2</v>
      </c>
      <c r="U57" s="202">
        <v>0.35</v>
      </c>
      <c r="V57" s="199">
        <f t="shared" si="9"/>
        <v>5.072727273</v>
      </c>
      <c r="W57" s="199">
        <f t="shared" si="10"/>
        <v>4.157973174</v>
      </c>
      <c r="X57" s="202">
        <f t="shared" si="11"/>
        <v>0.3129657228</v>
      </c>
      <c r="Y57" s="202">
        <f t="shared" si="12"/>
        <v>0.07</v>
      </c>
      <c r="Z57" s="200">
        <f t="shared" si="13"/>
        <v>83.7</v>
      </c>
      <c r="AA57" s="200">
        <f t="shared" si="14"/>
        <v>68.60655738</v>
      </c>
      <c r="AB57" s="200">
        <f t="shared" si="15"/>
        <v>57.2704918</v>
      </c>
      <c r="AC57" s="202">
        <f t="shared" si="16"/>
        <v>0.6363387978</v>
      </c>
      <c r="AD57" s="203"/>
      <c r="AE57" s="203"/>
      <c r="AF57" s="203"/>
      <c r="AG57" s="203"/>
      <c r="AH57" s="203"/>
      <c r="AI57" s="203"/>
      <c r="AJ57" s="203"/>
      <c r="AK57" s="203"/>
      <c r="AL57" s="203"/>
      <c r="AM57" s="203"/>
      <c r="AN57" s="203"/>
      <c r="AO57" s="203"/>
      <c r="AP57" s="203"/>
      <c r="AQ57" s="203"/>
      <c r="AR57" s="203"/>
      <c r="AS57" s="203"/>
      <c r="AT57" s="203"/>
      <c r="AU57" s="203"/>
    </row>
    <row r="58" ht="14.25" customHeight="1">
      <c r="A58" s="206" t="s">
        <v>258</v>
      </c>
      <c r="B58" s="192"/>
      <c r="C58" s="192"/>
      <c r="D58" s="205">
        <v>90.0</v>
      </c>
      <c r="E58" s="205">
        <v>16.5</v>
      </c>
      <c r="F58" s="196">
        <f t="shared" si="1"/>
        <v>68.60655738</v>
      </c>
      <c r="G58" s="197">
        <f t="shared" si="2"/>
        <v>4.157973174</v>
      </c>
      <c r="H58" s="198">
        <v>3.5</v>
      </c>
      <c r="I58" s="198">
        <f t="shared" si="3"/>
        <v>57.75</v>
      </c>
      <c r="J58" s="198">
        <v>1.22</v>
      </c>
      <c r="K58" s="199">
        <f t="shared" si="4"/>
        <v>47.33606557</v>
      </c>
      <c r="L58" s="197"/>
      <c r="M58" s="200">
        <f t="shared" si="5"/>
        <v>90</v>
      </c>
      <c r="N58" s="200">
        <f t="shared" si="6"/>
        <v>73.7704918</v>
      </c>
      <c r="O58" s="199">
        <f t="shared" si="7"/>
        <v>5.454545455</v>
      </c>
      <c r="P58" s="201">
        <f t="shared" si="8"/>
        <v>4.470938897</v>
      </c>
      <c r="Q58" s="197"/>
      <c r="R58" s="197"/>
      <c r="S58" s="202">
        <v>0.8</v>
      </c>
      <c r="T58" s="202">
        <v>0.2</v>
      </c>
      <c r="U58" s="202">
        <v>0.35</v>
      </c>
      <c r="V58" s="199">
        <f t="shared" si="9"/>
        <v>5.072727273</v>
      </c>
      <c r="W58" s="199">
        <f t="shared" si="10"/>
        <v>4.157973174</v>
      </c>
      <c r="X58" s="202">
        <f t="shared" si="11"/>
        <v>0.3129657228</v>
      </c>
      <c r="Y58" s="202">
        <f t="shared" si="12"/>
        <v>0.07</v>
      </c>
      <c r="Z58" s="200">
        <f t="shared" si="13"/>
        <v>83.7</v>
      </c>
      <c r="AA58" s="200">
        <f t="shared" si="14"/>
        <v>68.60655738</v>
      </c>
      <c r="AB58" s="200">
        <f t="shared" si="15"/>
        <v>57.2704918</v>
      </c>
      <c r="AC58" s="202">
        <f t="shared" si="16"/>
        <v>0.6363387978</v>
      </c>
      <c r="AD58" s="203"/>
      <c r="AE58" s="203"/>
      <c r="AF58" s="203"/>
      <c r="AG58" s="203"/>
      <c r="AH58" s="203"/>
      <c r="AI58" s="203"/>
      <c r="AJ58" s="203"/>
      <c r="AK58" s="203"/>
      <c r="AL58" s="203"/>
      <c r="AM58" s="203"/>
      <c r="AN58" s="203"/>
      <c r="AO58" s="203"/>
      <c r="AP58" s="203"/>
      <c r="AQ58" s="203"/>
      <c r="AR58" s="203"/>
      <c r="AS58" s="203"/>
      <c r="AT58" s="203"/>
      <c r="AU58" s="203"/>
    </row>
    <row r="59" ht="14.25" customHeight="1">
      <c r="A59" s="206" t="s">
        <v>264</v>
      </c>
      <c r="B59" s="192"/>
      <c r="C59" s="192"/>
      <c r="D59" s="205">
        <v>90.0</v>
      </c>
      <c r="E59" s="205">
        <v>16.5</v>
      </c>
      <c r="F59" s="196">
        <f t="shared" si="1"/>
        <v>68.60655738</v>
      </c>
      <c r="G59" s="197">
        <f t="shared" si="2"/>
        <v>4.157973174</v>
      </c>
      <c r="H59" s="198">
        <v>3.5</v>
      </c>
      <c r="I59" s="198">
        <f t="shared" si="3"/>
        <v>57.75</v>
      </c>
      <c r="J59" s="198">
        <v>1.22</v>
      </c>
      <c r="K59" s="199">
        <f t="shared" si="4"/>
        <v>47.33606557</v>
      </c>
      <c r="L59" s="197"/>
      <c r="M59" s="200">
        <f t="shared" si="5"/>
        <v>90</v>
      </c>
      <c r="N59" s="200">
        <f t="shared" si="6"/>
        <v>73.7704918</v>
      </c>
      <c r="O59" s="199">
        <f t="shared" si="7"/>
        <v>5.454545455</v>
      </c>
      <c r="P59" s="201">
        <f t="shared" si="8"/>
        <v>4.470938897</v>
      </c>
      <c r="Q59" s="197"/>
      <c r="R59" s="197"/>
      <c r="S59" s="202">
        <v>0.8</v>
      </c>
      <c r="T59" s="202">
        <v>0.2</v>
      </c>
      <c r="U59" s="202">
        <v>0.35</v>
      </c>
      <c r="V59" s="199">
        <f t="shared" si="9"/>
        <v>5.072727273</v>
      </c>
      <c r="W59" s="199">
        <f t="shared" si="10"/>
        <v>4.157973174</v>
      </c>
      <c r="X59" s="202">
        <f t="shared" si="11"/>
        <v>0.3129657228</v>
      </c>
      <c r="Y59" s="202">
        <f t="shared" si="12"/>
        <v>0.07</v>
      </c>
      <c r="Z59" s="200">
        <f t="shared" si="13"/>
        <v>83.7</v>
      </c>
      <c r="AA59" s="200">
        <f t="shared" si="14"/>
        <v>68.60655738</v>
      </c>
      <c r="AB59" s="200">
        <f t="shared" si="15"/>
        <v>57.2704918</v>
      </c>
      <c r="AC59" s="202">
        <f t="shared" si="16"/>
        <v>0.6363387978</v>
      </c>
      <c r="AD59" s="203"/>
      <c r="AE59" s="203"/>
      <c r="AF59" s="203"/>
      <c r="AG59" s="203"/>
      <c r="AH59" s="203"/>
      <c r="AI59" s="203"/>
      <c r="AJ59" s="203"/>
      <c r="AK59" s="203"/>
      <c r="AL59" s="203"/>
      <c r="AM59" s="203"/>
      <c r="AN59" s="203"/>
      <c r="AO59" s="203"/>
      <c r="AP59" s="203"/>
      <c r="AQ59" s="203"/>
      <c r="AR59" s="203"/>
      <c r="AS59" s="203"/>
      <c r="AT59" s="203"/>
      <c r="AU59" s="203"/>
    </row>
    <row r="60" ht="14.25" customHeight="1">
      <c r="A60" s="207" t="s">
        <v>2015</v>
      </c>
      <c r="B60" s="192"/>
      <c r="C60" s="192"/>
      <c r="D60" s="205">
        <v>108.0</v>
      </c>
      <c r="E60" s="205">
        <v>30.33</v>
      </c>
      <c r="F60" s="196">
        <f t="shared" si="1"/>
        <v>82.32786885</v>
      </c>
      <c r="G60" s="197">
        <f t="shared" si="2"/>
        <v>2.714403853</v>
      </c>
      <c r="H60" s="198">
        <v>3.5</v>
      </c>
      <c r="I60" s="198">
        <f t="shared" si="3"/>
        <v>106.155</v>
      </c>
      <c r="J60" s="198">
        <v>1.22</v>
      </c>
      <c r="K60" s="199">
        <f t="shared" si="4"/>
        <v>87.01229508</v>
      </c>
      <c r="L60" s="197"/>
      <c r="M60" s="200">
        <f t="shared" si="5"/>
        <v>108</v>
      </c>
      <c r="N60" s="200">
        <f t="shared" si="6"/>
        <v>88.52459016</v>
      </c>
      <c r="O60" s="199">
        <f t="shared" si="7"/>
        <v>3.560830861</v>
      </c>
      <c r="P60" s="201">
        <f t="shared" si="8"/>
        <v>2.91871382</v>
      </c>
      <c r="Q60" s="197"/>
      <c r="R60" s="197"/>
      <c r="S60" s="202">
        <v>0.8</v>
      </c>
      <c r="T60" s="202">
        <v>0.2</v>
      </c>
      <c r="U60" s="202">
        <v>0.35</v>
      </c>
      <c r="V60" s="199">
        <f t="shared" si="9"/>
        <v>3.3115727</v>
      </c>
      <c r="W60" s="199">
        <f t="shared" si="10"/>
        <v>2.714403853</v>
      </c>
      <c r="X60" s="202">
        <f t="shared" si="11"/>
        <v>0.2043099674</v>
      </c>
      <c r="Y60" s="202">
        <f t="shared" si="12"/>
        <v>0.07</v>
      </c>
      <c r="Z60" s="200">
        <f t="shared" si="13"/>
        <v>100.44</v>
      </c>
      <c r="AA60" s="200">
        <f t="shared" si="14"/>
        <v>82.32786885</v>
      </c>
      <c r="AB60" s="200">
        <f t="shared" si="15"/>
        <v>58.19459016</v>
      </c>
      <c r="AC60" s="202">
        <f t="shared" si="16"/>
        <v>0.5388387978</v>
      </c>
      <c r="AD60" s="203"/>
      <c r="AE60" s="203"/>
      <c r="AF60" s="203"/>
      <c r="AG60" s="203"/>
      <c r="AH60" s="203"/>
      <c r="AI60" s="203"/>
      <c r="AJ60" s="203"/>
      <c r="AK60" s="203"/>
      <c r="AL60" s="203"/>
      <c r="AM60" s="203"/>
      <c r="AN60" s="203"/>
      <c r="AO60" s="203"/>
      <c r="AP60" s="203"/>
      <c r="AQ60" s="203"/>
      <c r="AR60" s="203"/>
      <c r="AS60" s="203"/>
      <c r="AT60" s="203"/>
      <c r="AU60" s="203"/>
    </row>
    <row r="61" ht="14.25" customHeight="1">
      <c r="A61" s="207" t="s">
        <v>268</v>
      </c>
      <c r="B61" s="192"/>
      <c r="C61" s="192"/>
      <c r="D61" s="205">
        <v>90.0</v>
      </c>
      <c r="E61" s="205">
        <v>16.5</v>
      </c>
      <c r="F61" s="196">
        <f t="shared" si="1"/>
        <v>68.60655738</v>
      </c>
      <c r="G61" s="197">
        <f t="shared" si="2"/>
        <v>4.157973174</v>
      </c>
      <c r="H61" s="198">
        <v>3.5</v>
      </c>
      <c r="I61" s="198">
        <f t="shared" si="3"/>
        <v>57.75</v>
      </c>
      <c r="J61" s="198">
        <v>1.22</v>
      </c>
      <c r="K61" s="199">
        <f t="shared" si="4"/>
        <v>47.33606557</v>
      </c>
      <c r="L61" s="197"/>
      <c r="M61" s="200">
        <f t="shared" si="5"/>
        <v>90</v>
      </c>
      <c r="N61" s="200">
        <f t="shared" si="6"/>
        <v>73.7704918</v>
      </c>
      <c r="O61" s="199">
        <f t="shared" si="7"/>
        <v>5.454545455</v>
      </c>
      <c r="P61" s="201">
        <f t="shared" si="8"/>
        <v>4.470938897</v>
      </c>
      <c r="Q61" s="197"/>
      <c r="R61" s="197"/>
      <c r="S61" s="202">
        <v>0.8</v>
      </c>
      <c r="T61" s="202">
        <v>0.2</v>
      </c>
      <c r="U61" s="202">
        <v>0.35</v>
      </c>
      <c r="V61" s="199">
        <f t="shared" si="9"/>
        <v>5.072727273</v>
      </c>
      <c r="W61" s="199">
        <f t="shared" si="10"/>
        <v>4.157973174</v>
      </c>
      <c r="X61" s="202">
        <f t="shared" si="11"/>
        <v>0.3129657228</v>
      </c>
      <c r="Y61" s="202">
        <f t="shared" si="12"/>
        <v>0.07</v>
      </c>
      <c r="Z61" s="200">
        <f t="shared" si="13"/>
        <v>83.7</v>
      </c>
      <c r="AA61" s="200">
        <f t="shared" si="14"/>
        <v>68.60655738</v>
      </c>
      <c r="AB61" s="200">
        <f t="shared" si="15"/>
        <v>57.2704918</v>
      </c>
      <c r="AC61" s="202">
        <f t="shared" si="16"/>
        <v>0.6363387978</v>
      </c>
      <c r="AD61" s="203"/>
      <c r="AE61" s="203"/>
      <c r="AF61" s="203"/>
      <c r="AG61" s="203"/>
      <c r="AH61" s="203"/>
      <c r="AI61" s="203"/>
      <c r="AJ61" s="203"/>
      <c r="AK61" s="203"/>
      <c r="AL61" s="203"/>
      <c r="AM61" s="203"/>
      <c r="AN61" s="203"/>
      <c r="AO61" s="203"/>
      <c r="AP61" s="203"/>
      <c r="AQ61" s="203"/>
      <c r="AR61" s="203"/>
      <c r="AS61" s="203"/>
      <c r="AT61" s="203"/>
      <c r="AU61" s="203"/>
    </row>
    <row r="62" ht="14.25" customHeight="1">
      <c r="A62" s="207" t="s">
        <v>256</v>
      </c>
      <c r="B62" s="192"/>
      <c r="C62" s="192"/>
      <c r="D62" s="205">
        <v>90.0</v>
      </c>
      <c r="E62" s="205">
        <v>16.5</v>
      </c>
      <c r="F62" s="196">
        <f t="shared" si="1"/>
        <v>68.60655738</v>
      </c>
      <c r="G62" s="197">
        <f t="shared" si="2"/>
        <v>4.157973174</v>
      </c>
      <c r="H62" s="198">
        <v>3.5</v>
      </c>
      <c r="I62" s="198">
        <f t="shared" si="3"/>
        <v>57.75</v>
      </c>
      <c r="J62" s="198">
        <v>1.22</v>
      </c>
      <c r="K62" s="199">
        <f t="shared" si="4"/>
        <v>47.33606557</v>
      </c>
      <c r="L62" s="197"/>
      <c r="M62" s="200">
        <f t="shared" si="5"/>
        <v>90</v>
      </c>
      <c r="N62" s="200">
        <f t="shared" si="6"/>
        <v>73.7704918</v>
      </c>
      <c r="O62" s="199">
        <f t="shared" si="7"/>
        <v>5.454545455</v>
      </c>
      <c r="P62" s="201">
        <f t="shared" si="8"/>
        <v>4.470938897</v>
      </c>
      <c r="Q62" s="197"/>
      <c r="R62" s="197"/>
      <c r="S62" s="202">
        <v>0.8</v>
      </c>
      <c r="T62" s="202">
        <v>0.2</v>
      </c>
      <c r="U62" s="202">
        <v>0.35</v>
      </c>
      <c r="V62" s="199">
        <f t="shared" si="9"/>
        <v>5.072727273</v>
      </c>
      <c r="W62" s="199">
        <f t="shared" si="10"/>
        <v>4.157973174</v>
      </c>
      <c r="X62" s="202">
        <f t="shared" si="11"/>
        <v>0.3129657228</v>
      </c>
      <c r="Y62" s="202">
        <f t="shared" si="12"/>
        <v>0.07</v>
      </c>
      <c r="Z62" s="200">
        <f t="shared" si="13"/>
        <v>83.7</v>
      </c>
      <c r="AA62" s="200">
        <f t="shared" si="14"/>
        <v>68.60655738</v>
      </c>
      <c r="AB62" s="200">
        <f t="shared" si="15"/>
        <v>57.2704918</v>
      </c>
      <c r="AC62" s="202">
        <f t="shared" si="16"/>
        <v>0.6363387978</v>
      </c>
      <c r="AD62" s="203"/>
      <c r="AE62" s="203"/>
      <c r="AF62" s="203"/>
      <c r="AG62" s="203"/>
      <c r="AH62" s="203"/>
      <c r="AI62" s="203"/>
      <c r="AJ62" s="203"/>
      <c r="AK62" s="203"/>
      <c r="AL62" s="203"/>
      <c r="AM62" s="203"/>
      <c r="AN62" s="203"/>
      <c r="AO62" s="203"/>
      <c r="AP62" s="203"/>
      <c r="AQ62" s="203"/>
      <c r="AR62" s="203"/>
      <c r="AS62" s="203"/>
      <c r="AT62" s="203"/>
      <c r="AU62" s="203"/>
    </row>
    <row r="63" ht="14.25" customHeight="1">
      <c r="A63" s="207" t="s">
        <v>2016</v>
      </c>
      <c r="B63" s="192"/>
      <c r="C63" s="192"/>
      <c r="D63" s="205">
        <v>90.0</v>
      </c>
      <c r="E63" s="205">
        <v>16.5</v>
      </c>
      <c r="F63" s="196">
        <f t="shared" si="1"/>
        <v>68.60655738</v>
      </c>
      <c r="G63" s="197">
        <f t="shared" si="2"/>
        <v>4.157973174</v>
      </c>
      <c r="H63" s="198">
        <v>3.5</v>
      </c>
      <c r="I63" s="198">
        <f t="shared" si="3"/>
        <v>57.75</v>
      </c>
      <c r="J63" s="198">
        <v>1.22</v>
      </c>
      <c r="K63" s="199">
        <f t="shared" si="4"/>
        <v>47.33606557</v>
      </c>
      <c r="L63" s="197"/>
      <c r="M63" s="200">
        <f t="shared" si="5"/>
        <v>90</v>
      </c>
      <c r="N63" s="200">
        <f t="shared" si="6"/>
        <v>73.7704918</v>
      </c>
      <c r="O63" s="199">
        <f t="shared" si="7"/>
        <v>5.454545455</v>
      </c>
      <c r="P63" s="201">
        <f t="shared" si="8"/>
        <v>4.470938897</v>
      </c>
      <c r="Q63" s="197"/>
      <c r="R63" s="197"/>
      <c r="S63" s="202">
        <v>0.8</v>
      </c>
      <c r="T63" s="202">
        <v>0.2</v>
      </c>
      <c r="U63" s="202">
        <v>0.35</v>
      </c>
      <c r="V63" s="199">
        <f t="shared" si="9"/>
        <v>5.072727273</v>
      </c>
      <c r="W63" s="199">
        <f t="shared" si="10"/>
        <v>4.157973174</v>
      </c>
      <c r="X63" s="202">
        <f t="shared" si="11"/>
        <v>0.3129657228</v>
      </c>
      <c r="Y63" s="202">
        <f t="shared" si="12"/>
        <v>0.07</v>
      </c>
      <c r="Z63" s="200">
        <f t="shared" si="13"/>
        <v>83.7</v>
      </c>
      <c r="AA63" s="200">
        <f t="shared" si="14"/>
        <v>68.60655738</v>
      </c>
      <c r="AB63" s="200">
        <f t="shared" si="15"/>
        <v>57.2704918</v>
      </c>
      <c r="AC63" s="202">
        <f t="shared" si="16"/>
        <v>0.6363387978</v>
      </c>
      <c r="AD63" s="203"/>
      <c r="AE63" s="203"/>
      <c r="AF63" s="203"/>
      <c r="AG63" s="203"/>
      <c r="AH63" s="203"/>
      <c r="AI63" s="203"/>
      <c r="AJ63" s="203"/>
      <c r="AK63" s="203"/>
      <c r="AL63" s="203"/>
      <c r="AM63" s="203"/>
      <c r="AN63" s="203"/>
      <c r="AO63" s="203"/>
      <c r="AP63" s="203"/>
      <c r="AQ63" s="203"/>
      <c r="AR63" s="203"/>
      <c r="AS63" s="203"/>
      <c r="AT63" s="203"/>
      <c r="AU63" s="203"/>
    </row>
    <row r="64" ht="14.25" customHeight="1">
      <c r="A64" s="206" t="s">
        <v>766</v>
      </c>
      <c r="B64" s="192"/>
      <c r="C64" s="192"/>
      <c r="D64" s="205">
        <v>70.0</v>
      </c>
      <c r="E64" s="205">
        <v>14.33</v>
      </c>
      <c r="F64" s="196">
        <f t="shared" si="1"/>
        <v>53.36065574</v>
      </c>
      <c r="G64" s="197">
        <f t="shared" si="2"/>
        <v>3.723702424</v>
      </c>
      <c r="H64" s="198">
        <v>3.5</v>
      </c>
      <c r="I64" s="198">
        <f t="shared" si="3"/>
        <v>50.155</v>
      </c>
      <c r="J64" s="198">
        <v>1.22</v>
      </c>
      <c r="K64" s="199">
        <f t="shared" si="4"/>
        <v>41.11065574</v>
      </c>
      <c r="L64" s="197"/>
      <c r="M64" s="200">
        <f t="shared" si="5"/>
        <v>70</v>
      </c>
      <c r="N64" s="200">
        <f t="shared" si="6"/>
        <v>57.37704918</v>
      </c>
      <c r="O64" s="199">
        <f t="shared" si="7"/>
        <v>4.884856943</v>
      </c>
      <c r="P64" s="201">
        <f t="shared" si="8"/>
        <v>4.003981101</v>
      </c>
      <c r="Q64" s="197"/>
      <c r="R64" s="197"/>
      <c r="S64" s="202">
        <v>0.8</v>
      </c>
      <c r="T64" s="202">
        <v>0.2</v>
      </c>
      <c r="U64" s="202">
        <v>0.35</v>
      </c>
      <c r="V64" s="199">
        <f t="shared" si="9"/>
        <v>4.542916957</v>
      </c>
      <c r="W64" s="199">
        <f t="shared" si="10"/>
        <v>3.723702424</v>
      </c>
      <c r="X64" s="202">
        <f t="shared" si="11"/>
        <v>0.2802786771</v>
      </c>
      <c r="Y64" s="202">
        <f t="shared" si="12"/>
        <v>0.07</v>
      </c>
      <c r="Z64" s="200">
        <f t="shared" si="13"/>
        <v>65.1</v>
      </c>
      <c r="AA64" s="200">
        <f t="shared" si="14"/>
        <v>53.36065574</v>
      </c>
      <c r="AB64" s="200">
        <f t="shared" si="15"/>
        <v>43.04704918</v>
      </c>
      <c r="AC64" s="202">
        <f t="shared" si="16"/>
        <v>0.6149578454</v>
      </c>
      <c r="AD64" s="203"/>
      <c r="AE64" s="203"/>
      <c r="AF64" s="203"/>
      <c r="AG64" s="203"/>
      <c r="AH64" s="203"/>
      <c r="AI64" s="203"/>
      <c r="AJ64" s="203"/>
      <c r="AK64" s="203"/>
      <c r="AL64" s="203"/>
      <c r="AM64" s="203"/>
      <c r="AN64" s="203"/>
      <c r="AO64" s="203"/>
      <c r="AP64" s="203"/>
      <c r="AQ64" s="203"/>
      <c r="AR64" s="203"/>
      <c r="AS64" s="203"/>
      <c r="AT64" s="203"/>
      <c r="AU64" s="203"/>
    </row>
    <row r="65" ht="14.25" customHeight="1">
      <c r="A65" s="211" t="s">
        <v>266</v>
      </c>
      <c r="B65" s="192"/>
      <c r="C65" s="192"/>
      <c r="D65" s="205">
        <v>90.0</v>
      </c>
      <c r="E65" s="205">
        <v>16.5</v>
      </c>
      <c r="F65" s="196">
        <f t="shared" si="1"/>
        <v>68.60655738</v>
      </c>
      <c r="G65" s="197">
        <f t="shared" si="2"/>
        <v>4.157973174</v>
      </c>
      <c r="H65" s="198">
        <v>3.5</v>
      </c>
      <c r="I65" s="198">
        <f t="shared" si="3"/>
        <v>57.75</v>
      </c>
      <c r="J65" s="198">
        <v>1.22</v>
      </c>
      <c r="K65" s="199">
        <f t="shared" si="4"/>
        <v>47.33606557</v>
      </c>
      <c r="L65" s="197"/>
      <c r="M65" s="200">
        <f t="shared" si="5"/>
        <v>90</v>
      </c>
      <c r="N65" s="200">
        <f t="shared" si="6"/>
        <v>73.7704918</v>
      </c>
      <c r="O65" s="199">
        <f t="shared" si="7"/>
        <v>5.454545455</v>
      </c>
      <c r="P65" s="201">
        <f t="shared" si="8"/>
        <v>4.470938897</v>
      </c>
      <c r="Q65" s="197"/>
      <c r="R65" s="197"/>
      <c r="S65" s="202">
        <v>0.8</v>
      </c>
      <c r="T65" s="202">
        <v>0.2</v>
      </c>
      <c r="U65" s="202">
        <v>0.35</v>
      </c>
      <c r="V65" s="199">
        <f t="shared" si="9"/>
        <v>5.072727273</v>
      </c>
      <c r="W65" s="199">
        <f t="shared" si="10"/>
        <v>4.157973174</v>
      </c>
      <c r="X65" s="202">
        <f t="shared" si="11"/>
        <v>0.3129657228</v>
      </c>
      <c r="Y65" s="202">
        <f t="shared" si="12"/>
        <v>0.07</v>
      </c>
      <c r="Z65" s="200">
        <f t="shared" si="13"/>
        <v>83.7</v>
      </c>
      <c r="AA65" s="200">
        <f t="shared" si="14"/>
        <v>68.60655738</v>
      </c>
      <c r="AB65" s="200">
        <f t="shared" si="15"/>
        <v>57.2704918</v>
      </c>
      <c r="AC65" s="202">
        <f t="shared" si="16"/>
        <v>0.6363387978</v>
      </c>
      <c r="AD65" s="203"/>
      <c r="AE65" s="203"/>
      <c r="AF65" s="203"/>
      <c r="AG65" s="203"/>
      <c r="AH65" s="203"/>
      <c r="AI65" s="203"/>
      <c r="AJ65" s="203"/>
      <c r="AK65" s="203"/>
      <c r="AL65" s="203"/>
      <c r="AM65" s="203"/>
      <c r="AN65" s="203"/>
      <c r="AO65" s="203"/>
      <c r="AP65" s="203"/>
      <c r="AQ65" s="203"/>
      <c r="AR65" s="203"/>
      <c r="AS65" s="203"/>
      <c r="AT65" s="203"/>
      <c r="AU65" s="203"/>
    </row>
    <row r="66" ht="14.25" customHeight="1">
      <c r="A66" s="206" t="s">
        <v>2017</v>
      </c>
      <c r="B66" s="193"/>
      <c r="C66" s="193"/>
      <c r="D66" s="205">
        <v>120.0</v>
      </c>
      <c r="E66" s="205">
        <v>30.3</v>
      </c>
      <c r="F66" s="196">
        <f t="shared" si="1"/>
        <v>91.47540984</v>
      </c>
      <c r="G66" s="197">
        <f t="shared" si="2"/>
        <v>3.018990424</v>
      </c>
      <c r="H66" s="198">
        <v>3.5</v>
      </c>
      <c r="I66" s="198">
        <f t="shared" si="3"/>
        <v>106.05</v>
      </c>
      <c r="J66" s="198">
        <v>1.22</v>
      </c>
      <c r="K66" s="199">
        <f t="shared" si="4"/>
        <v>86.92622951</v>
      </c>
      <c r="L66" s="197"/>
      <c r="M66" s="200">
        <f t="shared" si="5"/>
        <v>120</v>
      </c>
      <c r="N66" s="200">
        <f t="shared" si="6"/>
        <v>98.36065574</v>
      </c>
      <c r="O66" s="199">
        <f t="shared" si="7"/>
        <v>3.96039604</v>
      </c>
      <c r="P66" s="201">
        <f t="shared" si="8"/>
        <v>3.246226262</v>
      </c>
      <c r="Q66" s="197"/>
      <c r="R66" s="197"/>
      <c r="S66" s="202">
        <v>0.8</v>
      </c>
      <c r="T66" s="202">
        <v>0.2</v>
      </c>
      <c r="U66" s="202">
        <v>0.35</v>
      </c>
      <c r="V66" s="199">
        <f t="shared" si="9"/>
        <v>3.683168317</v>
      </c>
      <c r="W66" s="199">
        <f t="shared" si="10"/>
        <v>3.018990424</v>
      </c>
      <c r="X66" s="202">
        <f t="shared" si="11"/>
        <v>0.2272358383</v>
      </c>
      <c r="Y66" s="202">
        <f t="shared" si="12"/>
        <v>0.07</v>
      </c>
      <c r="Z66" s="200">
        <f t="shared" si="13"/>
        <v>111.6</v>
      </c>
      <c r="AA66" s="200">
        <f t="shared" si="14"/>
        <v>91.47540984</v>
      </c>
      <c r="AB66" s="200">
        <f t="shared" si="15"/>
        <v>68.06065574</v>
      </c>
      <c r="AC66" s="202">
        <f t="shared" si="16"/>
        <v>0.5671721311</v>
      </c>
      <c r="AD66" s="203"/>
      <c r="AE66" s="203"/>
      <c r="AF66" s="203"/>
      <c r="AG66" s="203"/>
      <c r="AH66" s="203"/>
      <c r="AI66" s="203"/>
      <c r="AJ66" s="203"/>
      <c r="AK66" s="203"/>
      <c r="AL66" s="203"/>
      <c r="AM66" s="203"/>
      <c r="AN66" s="203"/>
      <c r="AO66" s="203"/>
      <c r="AP66" s="203"/>
      <c r="AQ66" s="203"/>
      <c r="AR66" s="203"/>
      <c r="AS66" s="203"/>
      <c r="AT66" s="203"/>
      <c r="AU66" s="203"/>
    </row>
    <row r="67" ht="14.25" customHeight="1">
      <c r="A67" s="206" t="s">
        <v>2018</v>
      </c>
      <c r="B67" s="193"/>
      <c r="C67" s="193"/>
      <c r="D67" s="205">
        <v>90.0</v>
      </c>
      <c r="E67" s="205">
        <v>16.5</v>
      </c>
      <c r="F67" s="196">
        <f t="shared" si="1"/>
        <v>68.60655738</v>
      </c>
      <c r="G67" s="197">
        <f t="shared" si="2"/>
        <v>4.157973174</v>
      </c>
      <c r="H67" s="198">
        <v>3.5</v>
      </c>
      <c r="I67" s="198">
        <f t="shared" si="3"/>
        <v>57.75</v>
      </c>
      <c r="J67" s="198">
        <v>1.22</v>
      </c>
      <c r="K67" s="199">
        <f t="shared" si="4"/>
        <v>47.33606557</v>
      </c>
      <c r="L67" s="197"/>
      <c r="M67" s="200">
        <f t="shared" si="5"/>
        <v>90</v>
      </c>
      <c r="N67" s="200">
        <f t="shared" si="6"/>
        <v>73.7704918</v>
      </c>
      <c r="O67" s="199">
        <f t="shared" si="7"/>
        <v>5.454545455</v>
      </c>
      <c r="P67" s="201">
        <f t="shared" si="8"/>
        <v>4.470938897</v>
      </c>
      <c r="Q67" s="197"/>
      <c r="R67" s="197"/>
      <c r="S67" s="202">
        <v>0.8</v>
      </c>
      <c r="T67" s="202">
        <v>0.2</v>
      </c>
      <c r="U67" s="202">
        <v>0.35</v>
      </c>
      <c r="V67" s="199">
        <f t="shared" si="9"/>
        <v>5.072727273</v>
      </c>
      <c r="W67" s="199">
        <f t="shared" si="10"/>
        <v>4.157973174</v>
      </c>
      <c r="X67" s="202">
        <f t="shared" si="11"/>
        <v>0.3129657228</v>
      </c>
      <c r="Y67" s="202">
        <f t="shared" si="12"/>
        <v>0.07</v>
      </c>
      <c r="Z67" s="200">
        <f t="shared" si="13"/>
        <v>83.7</v>
      </c>
      <c r="AA67" s="200">
        <f t="shared" si="14"/>
        <v>68.60655738</v>
      </c>
      <c r="AB67" s="200">
        <f t="shared" si="15"/>
        <v>57.2704918</v>
      </c>
      <c r="AC67" s="202">
        <f t="shared" si="16"/>
        <v>0.6363387978</v>
      </c>
      <c r="AD67" s="203"/>
      <c r="AE67" s="203"/>
      <c r="AF67" s="203"/>
      <c r="AG67" s="203"/>
      <c r="AH67" s="203"/>
      <c r="AI67" s="203"/>
      <c r="AJ67" s="203"/>
      <c r="AK67" s="203"/>
      <c r="AL67" s="203"/>
      <c r="AM67" s="203"/>
      <c r="AN67" s="203"/>
      <c r="AO67" s="203"/>
      <c r="AP67" s="203"/>
      <c r="AQ67" s="203"/>
      <c r="AR67" s="203"/>
      <c r="AS67" s="203"/>
      <c r="AT67" s="203"/>
      <c r="AU67" s="203"/>
    </row>
    <row r="68" ht="14.25" customHeight="1">
      <c r="A68" s="206" t="s">
        <v>2019</v>
      </c>
      <c r="B68" s="193"/>
      <c r="C68" s="193"/>
      <c r="D68" s="205">
        <v>50.0</v>
      </c>
      <c r="E68" s="205">
        <v>10.0</v>
      </c>
      <c r="F68" s="196">
        <f t="shared" si="1"/>
        <v>38.1147541</v>
      </c>
      <c r="G68" s="197">
        <f t="shared" si="2"/>
        <v>3.81147541</v>
      </c>
      <c r="H68" s="198">
        <v>3.5</v>
      </c>
      <c r="I68" s="198">
        <f t="shared" si="3"/>
        <v>35</v>
      </c>
      <c r="J68" s="198">
        <v>1.22</v>
      </c>
      <c r="K68" s="199">
        <f t="shared" si="4"/>
        <v>28.68852459</v>
      </c>
      <c r="L68" s="197"/>
      <c r="M68" s="200">
        <f t="shared" si="5"/>
        <v>50</v>
      </c>
      <c r="N68" s="200">
        <f t="shared" si="6"/>
        <v>40.98360656</v>
      </c>
      <c r="O68" s="199">
        <f t="shared" si="7"/>
        <v>5</v>
      </c>
      <c r="P68" s="201">
        <f t="shared" si="8"/>
        <v>4.098360656</v>
      </c>
      <c r="Q68" s="197"/>
      <c r="R68" s="197"/>
      <c r="S68" s="202">
        <v>0.8</v>
      </c>
      <c r="T68" s="202">
        <v>0.2</v>
      </c>
      <c r="U68" s="202">
        <v>0.35</v>
      </c>
      <c r="V68" s="199">
        <f t="shared" si="9"/>
        <v>4.65</v>
      </c>
      <c r="W68" s="199">
        <f t="shared" si="10"/>
        <v>3.81147541</v>
      </c>
      <c r="X68" s="202">
        <f t="shared" si="11"/>
        <v>0.2868852459</v>
      </c>
      <c r="Y68" s="202">
        <f t="shared" si="12"/>
        <v>0.07</v>
      </c>
      <c r="Z68" s="200">
        <f t="shared" si="13"/>
        <v>46.5</v>
      </c>
      <c r="AA68" s="200">
        <f t="shared" si="14"/>
        <v>38.1147541</v>
      </c>
      <c r="AB68" s="200">
        <f t="shared" si="15"/>
        <v>30.98360656</v>
      </c>
      <c r="AC68" s="202">
        <f t="shared" si="16"/>
        <v>0.6196721311</v>
      </c>
      <c r="AD68" s="203"/>
      <c r="AE68" s="203"/>
      <c r="AF68" s="203"/>
      <c r="AG68" s="203"/>
      <c r="AH68" s="203"/>
      <c r="AI68" s="203"/>
      <c r="AJ68" s="203"/>
      <c r="AK68" s="203"/>
      <c r="AL68" s="203"/>
      <c r="AM68" s="203"/>
      <c r="AN68" s="203"/>
      <c r="AO68" s="203"/>
      <c r="AP68" s="203"/>
      <c r="AQ68" s="203"/>
      <c r="AR68" s="203"/>
      <c r="AS68" s="203"/>
      <c r="AT68" s="203"/>
      <c r="AU68" s="203"/>
    </row>
    <row r="69" ht="14.25" customHeight="1">
      <c r="A69" s="206" t="s">
        <v>2020</v>
      </c>
      <c r="B69" s="193"/>
      <c r="C69" s="193"/>
      <c r="D69" s="205">
        <v>15.0</v>
      </c>
      <c r="E69" s="205">
        <v>8.0</v>
      </c>
      <c r="F69" s="196">
        <f t="shared" si="1"/>
        <v>11.43442623</v>
      </c>
      <c r="G69" s="197">
        <f t="shared" si="2"/>
        <v>1.429303279</v>
      </c>
      <c r="H69" s="198">
        <v>3.5</v>
      </c>
      <c r="I69" s="198">
        <f t="shared" si="3"/>
        <v>28</v>
      </c>
      <c r="J69" s="198">
        <v>1.22</v>
      </c>
      <c r="K69" s="199">
        <f t="shared" si="4"/>
        <v>22.95081967</v>
      </c>
      <c r="L69" s="197"/>
      <c r="M69" s="200">
        <f t="shared" si="5"/>
        <v>15</v>
      </c>
      <c r="N69" s="200">
        <f t="shared" si="6"/>
        <v>12.29508197</v>
      </c>
      <c r="O69" s="199">
        <f t="shared" si="7"/>
        <v>1.875</v>
      </c>
      <c r="P69" s="201">
        <f t="shared" si="8"/>
        <v>1.536885246</v>
      </c>
      <c r="Q69" s="197"/>
      <c r="R69" s="197"/>
      <c r="S69" s="202">
        <v>0.8</v>
      </c>
      <c r="T69" s="202">
        <v>0.2</v>
      </c>
      <c r="U69" s="202">
        <v>0.35</v>
      </c>
      <c r="V69" s="199">
        <f t="shared" si="9"/>
        <v>1.74375</v>
      </c>
      <c r="W69" s="199">
        <f t="shared" si="10"/>
        <v>1.429303279</v>
      </c>
      <c r="X69" s="202">
        <f t="shared" si="11"/>
        <v>0.1075819672</v>
      </c>
      <c r="Y69" s="202">
        <f t="shared" si="12"/>
        <v>0.07</v>
      </c>
      <c r="Z69" s="200">
        <f t="shared" si="13"/>
        <v>13.95</v>
      </c>
      <c r="AA69" s="200">
        <f t="shared" si="14"/>
        <v>11.43442623</v>
      </c>
      <c r="AB69" s="200">
        <f t="shared" si="15"/>
        <v>4.295081967</v>
      </c>
      <c r="AC69" s="202">
        <f t="shared" si="16"/>
        <v>0.2863387978</v>
      </c>
      <c r="AD69" s="203"/>
      <c r="AE69" s="203"/>
      <c r="AF69" s="203"/>
      <c r="AG69" s="203"/>
      <c r="AH69" s="203"/>
      <c r="AI69" s="203"/>
      <c r="AJ69" s="203"/>
      <c r="AK69" s="203"/>
      <c r="AL69" s="203"/>
      <c r="AM69" s="203"/>
      <c r="AN69" s="203"/>
      <c r="AO69" s="203"/>
      <c r="AP69" s="203"/>
      <c r="AQ69" s="203"/>
      <c r="AR69" s="203"/>
      <c r="AS69" s="203"/>
      <c r="AT69" s="203"/>
      <c r="AU69" s="203"/>
    </row>
    <row r="70" ht="14.25" customHeight="1">
      <c r="A70" s="206" t="s">
        <v>2021</v>
      </c>
      <c r="B70" s="193"/>
      <c r="C70" s="193"/>
      <c r="D70" s="205">
        <v>28.0</v>
      </c>
      <c r="E70" s="205">
        <v>8.0</v>
      </c>
      <c r="F70" s="196">
        <f t="shared" si="1"/>
        <v>21.3442623</v>
      </c>
      <c r="G70" s="197">
        <f t="shared" si="2"/>
        <v>2.668032787</v>
      </c>
      <c r="H70" s="198">
        <v>3.5</v>
      </c>
      <c r="I70" s="198">
        <f t="shared" si="3"/>
        <v>28</v>
      </c>
      <c r="J70" s="198">
        <v>1.22</v>
      </c>
      <c r="K70" s="199">
        <f t="shared" si="4"/>
        <v>22.95081967</v>
      </c>
      <c r="L70" s="197"/>
      <c r="M70" s="200">
        <f t="shared" si="5"/>
        <v>28</v>
      </c>
      <c r="N70" s="200">
        <f t="shared" si="6"/>
        <v>22.95081967</v>
      </c>
      <c r="O70" s="199">
        <f t="shared" si="7"/>
        <v>3.5</v>
      </c>
      <c r="P70" s="201">
        <f t="shared" si="8"/>
        <v>2.868852459</v>
      </c>
      <c r="Q70" s="197"/>
      <c r="R70" s="197"/>
      <c r="S70" s="202">
        <v>0.8</v>
      </c>
      <c r="T70" s="202">
        <v>0.2</v>
      </c>
      <c r="U70" s="202">
        <v>0.35</v>
      </c>
      <c r="V70" s="199">
        <f t="shared" si="9"/>
        <v>3.255</v>
      </c>
      <c r="W70" s="199">
        <f t="shared" si="10"/>
        <v>2.668032787</v>
      </c>
      <c r="X70" s="202">
        <f t="shared" si="11"/>
        <v>0.2008196721</v>
      </c>
      <c r="Y70" s="202">
        <f t="shared" si="12"/>
        <v>0.07</v>
      </c>
      <c r="Z70" s="200">
        <f t="shared" si="13"/>
        <v>26.04</v>
      </c>
      <c r="AA70" s="200">
        <f t="shared" si="14"/>
        <v>21.3442623</v>
      </c>
      <c r="AB70" s="200">
        <f t="shared" si="15"/>
        <v>14.95081967</v>
      </c>
      <c r="AC70" s="202">
        <f t="shared" si="16"/>
        <v>0.5339578454</v>
      </c>
      <c r="AD70" s="203"/>
      <c r="AE70" s="203"/>
      <c r="AF70" s="203"/>
      <c r="AG70" s="203"/>
      <c r="AH70" s="203"/>
      <c r="AI70" s="203"/>
      <c r="AJ70" s="203"/>
      <c r="AK70" s="203"/>
      <c r="AL70" s="203"/>
      <c r="AM70" s="203"/>
      <c r="AN70" s="203"/>
      <c r="AO70" s="203"/>
      <c r="AP70" s="203"/>
      <c r="AQ70" s="203"/>
      <c r="AR70" s="203"/>
      <c r="AS70" s="203"/>
      <c r="AT70" s="203"/>
      <c r="AU70" s="203"/>
    </row>
    <row r="71" ht="14.25" customHeight="1">
      <c r="A71" s="206" t="s">
        <v>2022</v>
      </c>
      <c r="B71" s="193"/>
      <c r="C71" s="193"/>
      <c r="D71" s="195">
        <v>120.0</v>
      </c>
      <c r="E71" s="195">
        <v>30.33</v>
      </c>
      <c r="F71" s="196">
        <f t="shared" si="1"/>
        <v>91.47540984</v>
      </c>
      <c r="G71" s="197">
        <f t="shared" si="2"/>
        <v>3.016004281</v>
      </c>
      <c r="H71" s="198">
        <v>3.5</v>
      </c>
      <c r="I71" s="198">
        <f t="shared" si="3"/>
        <v>106.155</v>
      </c>
      <c r="J71" s="198">
        <v>1.22</v>
      </c>
      <c r="K71" s="199">
        <f t="shared" si="4"/>
        <v>87.01229508</v>
      </c>
      <c r="L71" s="197"/>
      <c r="M71" s="200">
        <f t="shared" si="5"/>
        <v>120</v>
      </c>
      <c r="N71" s="200">
        <f t="shared" si="6"/>
        <v>98.36065574</v>
      </c>
      <c r="O71" s="199">
        <f t="shared" si="7"/>
        <v>3.956478734</v>
      </c>
      <c r="P71" s="201">
        <f t="shared" si="8"/>
        <v>3.243015356</v>
      </c>
      <c r="Q71" s="197"/>
      <c r="R71" s="197"/>
      <c r="S71" s="202">
        <v>0.8</v>
      </c>
      <c r="T71" s="202">
        <v>0.2</v>
      </c>
      <c r="U71" s="202">
        <v>0.35</v>
      </c>
      <c r="V71" s="199">
        <f t="shared" si="9"/>
        <v>3.679525223</v>
      </c>
      <c r="W71" s="199">
        <f t="shared" si="10"/>
        <v>3.016004281</v>
      </c>
      <c r="X71" s="202">
        <f t="shared" si="11"/>
        <v>0.2270110749</v>
      </c>
      <c r="Y71" s="202">
        <f t="shared" si="12"/>
        <v>0.07</v>
      </c>
      <c r="Z71" s="200">
        <f t="shared" si="13"/>
        <v>111.6</v>
      </c>
      <c r="AA71" s="200">
        <f t="shared" si="14"/>
        <v>91.47540984</v>
      </c>
      <c r="AB71" s="200">
        <f t="shared" si="15"/>
        <v>68.03065574</v>
      </c>
      <c r="AC71" s="202">
        <f t="shared" si="16"/>
        <v>0.5669221311</v>
      </c>
      <c r="AD71" s="203"/>
      <c r="AE71" s="203"/>
      <c r="AF71" s="203"/>
      <c r="AG71" s="203"/>
      <c r="AH71" s="203"/>
      <c r="AI71" s="203"/>
      <c r="AJ71" s="203"/>
      <c r="AK71" s="203"/>
      <c r="AL71" s="203"/>
      <c r="AM71" s="203"/>
      <c r="AN71" s="203"/>
      <c r="AO71" s="203"/>
      <c r="AP71" s="203"/>
      <c r="AQ71" s="203"/>
      <c r="AR71" s="203"/>
      <c r="AS71" s="203"/>
      <c r="AT71" s="203"/>
      <c r="AU71" s="203"/>
    </row>
    <row r="72" ht="14.25" customHeight="1">
      <c r="A72" s="206" t="s">
        <v>271</v>
      </c>
      <c r="B72" s="192"/>
      <c r="C72" s="192"/>
      <c r="D72" s="205">
        <v>80.0</v>
      </c>
      <c r="E72" s="205">
        <v>19.0</v>
      </c>
      <c r="F72" s="196">
        <f t="shared" si="1"/>
        <v>60.98360656</v>
      </c>
      <c r="G72" s="197">
        <f t="shared" si="2"/>
        <v>3.209663503</v>
      </c>
      <c r="H72" s="198">
        <v>3.5</v>
      </c>
      <c r="I72" s="198">
        <f t="shared" si="3"/>
        <v>66.5</v>
      </c>
      <c r="J72" s="198">
        <v>1.22</v>
      </c>
      <c r="K72" s="199">
        <f t="shared" si="4"/>
        <v>54.50819672</v>
      </c>
      <c r="L72" s="197"/>
      <c r="M72" s="200">
        <f t="shared" si="5"/>
        <v>80</v>
      </c>
      <c r="N72" s="200">
        <f t="shared" si="6"/>
        <v>65.57377049</v>
      </c>
      <c r="O72" s="199">
        <f t="shared" si="7"/>
        <v>4.210526316</v>
      </c>
      <c r="P72" s="201">
        <f t="shared" si="8"/>
        <v>3.451251079</v>
      </c>
      <c r="Q72" s="197"/>
      <c r="R72" s="197"/>
      <c r="S72" s="202">
        <v>0.8</v>
      </c>
      <c r="T72" s="202">
        <v>0.2</v>
      </c>
      <c r="U72" s="202">
        <v>0.35</v>
      </c>
      <c r="V72" s="199">
        <f t="shared" si="9"/>
        <v>3.915789474</v>
      </c>
      <c r="W72" s="199">
        <f t="shared" si="10"/>
        <v>3.209663503</v>
      </c>
      <c r="X72" s="202">
        <f t="shared" si="11"/>
        <v>0.2415875755</v>
      </c>
      <c r="Y72" s="202">
        <f t="shared" si="12"/>
        <v>0.07</v>
      </c>
      <c r="Z72" s="200">
        <f t="shared" si="13"/>
        <v>74.4</v>
      </c>
      <c r="AA72" s="200">
        <f t="shared" si="14"/>
        <v>60.98360656</v>
      </c>
      <c r="AB72" s="200">
        <f t="shared" si="15"/>
        <v>46.57377049</v>
      </c>
      <c r="AC72" s="202">
        <f t="shared" si="16"/>
        <v>0.5821721311</v>
      </c>
      <c r="AD72" s="203"/>
      <c r="AE72" s="203"/>
      <c r="AF72" s="203"/>
      <c r="AG72" s="203"/>
      <c r="AH72" s="203"/>
      <c r="AI72" s="203"/>
      <c r="AJ72" s="203"/>
      <c r="AK72" s="203"/>
      <c r="AL72" s="203"/>
      <c r="AM72" s="203"/>
      <c r="AN72" s="203"/>
      <c r="AO72" s="203"/>
      <c r="AP72" s="203"/>
      <c r="AQ72" s="203"/>
      <c r="AR72" s="203"/>
      <c r="AS72" s="203"/>
      <c r="AT72" s="203"/>
      <c r="AU72" s="203"/>
    </row>
    <row r="73" ht="14.25" customHeight="1">
      <c r="A73" s="206" t="s">
        <v>273</v>
      </c>
      <c r="B73" s="192"/>
      <c r="C73" s="192"/>
      <c r="D73" s="205">
        <v>80.0</v>
      </c>
      <c r="E73" s="205">
        <v>19.0</v>
      </c>
      <c r="F73" s="196">
        <f t="shared" si="1"/>
        <v>60.98360656</v>
      </c>
      <c r="G73" s="197">
        <f t="shared" si="2"/>
        <v>3.209663503</v>
      </c>
      <c r="H73" s="198">
        <v>3.5</v>
      </c>
      <c r="I73" s="198">
        <f t="shared" si="3"/>
        <v>66.5</v>
      </c>
      <c r="J73" s="198">
        <v>1.22</v>
      </c>
      <c r="K73" s="199">
        <f t="shared" si="4"/>
        <v>54.50819672</v>
      </c>
      <c r="L73" s="197"/>
      <c r="M73" s="200">
        <f t="shared" si="5"/>
        <v>80</v>
      </c>
      <c r="N73" s="200">
        <f t="shared" si="6"/>
        <v>65.57377049</v>
      </c>
      <c r="O73" s="199">
        <f t="shared" si="7"/>
        <v>4.210526316</v>
      </c>
      <c r="P73" s="201">
        <f t="shared" si="8"/>
        <v>3.451251079</v>
      </c>
      <c r="Q73" s="197"/>
      <c r="R73" s="197"/>
      <c r="S73" s="202">
        <v>0.8</v>
      </c>
      <c r="T73" s="202">
        <v>0.2</v>
      </c>
      <c r="U73" s="202">
        <v>0.35</v>
      </c>
      <c r="V73" s="199">
        <f t="shared" si="9"/>
        <v>3.915789474</v>
      </c>
      <c r="W73" s="199">
        <f t="shared" si="10"/>
        <v>3.209663503</v>
      </c>
      <c r="X73" s="202">
        <f t="shared" si="11"/>
        <v>0.2415875755</v>
      </c>
      <c r="Y73" s="202">
        <f t="shared" si="12"/>
        <v>0.07</v>
      </c>
      <c r="Z73" s="200">
        <f t="shared" si="13"/>
        <v>74.4</v>
      </c>
      <c r="AA73" s="200">
        <f t="shared" si="14"/>
        <v>60.98360656</v>
      </c>
      <c r="AB73" s="200">
        <f t="shared" si="15"/>
        <v>46.57377049</v>
      </c>
      <c r="AC73" s="202">
        <f t="shared" si="16"/>
        <v>0.5821721311</v>
      </c>
      <c r="AD73" s="203"/>
      <c r="AE73" s="203"/>
      <c r="AF73" s="203"/>
      <c r="AG73" s="203"/>
      <c r="AH73" s="203"/>
      <c r="AI73" s="203"/>
      <c r="AJ73" s="203"/>
      <c r="AK73" s="203"/>
      <c r="AL73" s="203"/>
      <c r="AM73" s="203"/>
      <c r="AN73" s="203"/>
      <c r="AO73" s="203"/>
      <c r="AP73" s="203"/>
      <c r="AQ73" s="203"/>
      <c r="AR73" s="203"/>
      <c r="AS73" s="203"/>
      <c r="AT73" s="203"/>
      <c r="AU73" s="203"/>
    </row>
    <row r="74" ht="14.25" customHeight="1">
      <c r="A74" s="206" t="s">
        <v>63</v>
      </c>
      <c r="B74" s="192"/>
      <c r="C74" s="192"/>
      <c r="D74" s="205">
        <v>80.0</v>
      </c>
      <c r="E74" s="205">
        <v>19.0</v>
      </c>
      <c r="F74" s="196">
        <f t="shared" si="1"/>
        <v>60.98360656</v>
      </c>
      <c r="G74" s="197">
        <f t="shared" si="2"/>
        <v>3.209663503</v>
      </c>
      <c r="H74" s="198">
        <v>3.5</v>
      </c>
      <c r="I74" s="198">
        <f t="shared" si="3"/>
        <v>66.5</v>
      </c>
      <c r="J74" s="198">
        <v>1.22</v>
      </c>
      <c r="K74" s="199">
        <f t="shared" si="4"/>
        <v>54.50819672</v>
      </c>
      <c r="L74" s="197"/>
      <c r="M74" s="200">
        <f t="shared" si="5"/>
        <v>80</v>
      </c>
      <c r="N74" s="200">
        <f t="shared" si="6"/>
        <v>65.57377049</v>
      </c>
      <c r="O74" s="199">
        <f t="shared" si="7"/>
        <v>4.210526316</v>
      </c>
      <c r="P74" s="201">
        <f t="shared" si="8"/>
        <v>3.451251079</v>
      </c>
      <c r="Q74" s="197"/>
      <c r="R74" s="197"/>
      <c r="S74" s="202">
        <v>0.8</v>
      </c>
      <c r="T74" s="202">
        <v>0.2</v>
      </c>
      <c r="U74" s="202">
        <v>0.35</v>
      </c>
      <c r="V74" s="199">
        <f t="shared" si="9"/>
        <v>3.915789474</v>
      </c>
      <c r="W74" s="199">
        <f t="shared" si="10"/>
        <v>3.209663503</v>
      </c>
      <c r="X74" s="202">
        <f t="shared" si="11"/>
        <v>0.2415875755</v>
      </c>
      <c r="Y74" s="202">
        <f t="shared" si="12"/>
        <v>0.07</v>
      </c>
      <c r="Z74" s="200">
        <f t="shared" si="13"/>
        <v>74.4</v>
      </c>
      <c r="AA74" s="200">
        <f t="shared" si="14"/>
        <v>60.98360656</v>
      </c>
      <c r="AB74" s="200">
        <f t="shared" si="15"/>
        <v>46.57377049</v>
      </c>
      <c r="AC74" s="202">
        <f t="shared" si="16"/>
        <v>0.5821721311</v>
      </c>
      <c r="AD74" s="203"/>
      <c r="AE74" s="203"/>
      <c r="AF74" s="203"/>
      <c r="AG74" s="203"/>
      <c r="AH74" s="203"/>
      <c r="AI74" s="203"/>
      <c r="AJ74" s="203"/>
      <c r="AK74" s="203"/>
      <c r="AL74" s="203"/>
      <c r="AM74" s="203"/>
      <c r="AN74" s="203"/>
      <c r="AO74" s="203"/>
      <c r="AP74" s="203"/>
      <c r="AQ74" s="203"/>
      <c r="AR74" s="203"/>
      <c r="AS74" s="203"/>
      <c r="AT74" s="203"/>
      <c r="AU74" s="203"/>
    </row>
    <row r="75" ht="14.25" customHeight="1">
      <c r="A75" s="206" t="s">
        <v>2023</v>
      </c>
      <c r="B75" s="192"/>
      <c r="C75" s="192"/>
      <c r="D75" s="205">
        <v>80.0</v>
      </c>
      <c r="E75" s="205">
        <v>19.0</v>
      </c>
      <c r="F75" s="196">
        <f t="shared" si="1"/>
        <v>60.98360656</v>
      </c>
      <c r="G75" s="197">
        <f t="shared" si="2"/>
        <v>3.209663503</v>
      </c>
      <c r="H75" s="198">
        <v>3.5</v>
      </c>
      <c r="I75" s="198">
        <f t="shared" si="3"/>
        <v>66.5</v>
      </c>
      <c r="J75" s="198">
        <v>1.22</v>
      </c>
      <c r="K75" s="199">
        <f t="shared" si="4"/>
        <v>54.50819672</v>
      </c>
      <c r="L75" s="197"/>
      <c r="M75" s="200">
        <f t="shared" si="5"/>
        <v>80</v>
      </c>
      <c r="N75" s="200">
        <f t="shared" si="6"/>
        <v>65.57377049</v>
      </c>
      <c r="O75" s="199">
        <f t="shared" si="7"/>
        <v>4.210526316</v>
      </c>
      <c r="P75" s="201">
        <f t="shared" si="8"/>
        <v>3.451251079</v>
      </c>
      <c r="Q75" s="197"/>
      <c r="R75" s="197"/>
      <c r="S75" s="202">
        <v>0.8</v>
      </c>
      <c r="T75" s="202">
        <v>0.2</v>
      </c>
      <c r="U75" s="202">
        <v>0.35</v>
      </c>
      <c r="V75" s="199">
        <f t="shared" si="9"/>
        <v>3.915789474</v>
      </c>
      <c r="W75" s="199">
        <f t="shared" si="10"/>
        <v>3.209663503</v>
      </c>
      <c r="X75" s="202">
        <f t="shared" si="11"/>
        <v>0.2415875755</v>
      </c>
      <c r="Y75" s="202">
        <f t="shared" si="12"/>
        <v>0.07</v>
      </c>
      <c r="Z75" s="200">
        <f t="shared" si="13"/>
        <v>74.4</v>
      </c>
      <c r="AA75" s="200">
        <f t="shared" si="14"/>
        <v>60.98360656</v>
      </c>
      <c r="AB75" s="200">
        <f t="shared" si="15"/>
        <v>46.57377049</v>
      </c>
      <c r="AC75" s="202">
        <f t="shared" si="16"/>
        <v>0.5821721311</v>
      </c>
      <c r="AD75" s="203"/>
      <c r="AE75" s="203"/>
      <c r="AF75" s="203"/>
      <c r="AG75" s="203"/>
      <c r="AH75" s="203"/>
      <c r="AI75" s="203"/>
      <c r="AJ75" s="203"/>
      <c r="AK75" s="203"/>
      <c r="AL75" s="203"/>
      <c r="AM75" s="203"/>
      <c r="AN75" s="203"/>
      <c r="AO75" s="203"/>
      <c r="AP75" s="203"/>
      <c r="AQ75" s="203"/>
      <c r="AR75" s="203"/>
      <c r="AS75" s="203"/>
      <c r="AT75" s="203"/>
      <c r="AU75" s="203"/>
    </row>
    <row r="76" ht="14.25" customHeight="1">
      <c r="A76" s="206" t="s">
        <v>2024</v>
      </c>
      <c r="B76" s="192"/>
      <c r="C76" s="192"/>
      <c r="D76" s="205">
        <v>80.0</v>
      </c>
      <c r="E76" s="205">
        <v>19.0</v>
      </c>
      <c r="F76" s="196">
        <f t="shared" si="1"/>
        <v>60.98360656</v>
      </c>
      <c r="G76" s="197">
        <f t="shared" si="2"/>
        <v>3.209663503</v>
      </c>
      <c r="H76" s="198">
        <v>3.5</v>
      </c>
      <c r="I76" s="198">
        <f t="shared" si="3"/>
        <v>66.5</v>
      </c>
      <c r="J76" s="198">
        <v>1.22</v>
      </c>
      <c r="K76" s="199">
        <f t="shared" si="4"/>
        <v>54.50819672</v>
      </c>
      <c r="L76" s="197"/>
      <c r="M76" s="200">
        <f t="shared" si="5"/>
        <v>80</v>
      </c>
      <c r="N76" s="200">
        <f t="shared" si="6"/>
        <v>65.57377049</v>
      </c>
      <c r="O76" s="199">
        <f t="shared" si="7"/>
        <v>4.210526316</v>
      </c>
      <c r="P76" s="201">
        <f t="shared" si="8"/>
        <v>3.451251079</v>
      </c>
      <c r="Q76" s="197"/>
      <c r="R76" s="197"/>
      <c r="S76" s="202">
        <v>0.8</v>
      </c>
      <c r="T76" s="202">
        <v>0.2</v>
      </c>
      <c r="U76" s="202">
        <v>0.35</v>
      </c>
      <c r="V76" s="199">
        <f t="shared" si="9"/>
        <v>3.915789474</v>
      </c>
      <c r="W76" s="199">
        <f t="shared" si="10"/>
        <v>3.209663503</v>
      </c>
      <c r="X76" s="202">
        <f t="shared" si="11"/>
        <v>0.2415875755</v>
      </c>
      <c r="Y76" s="202">
        <f t="shared" si="12"/>
        <v>0.07</v>
      </c>
      <c r="Z76" s="200">
        <f t="shared" si="13"/>
        <v>74.4</v>
      </c>
      <c r="AA76" s="200">
        <f t="shared" si="14"/>
        <v>60.98360656</v>
      </c>
      <c r="AB76" s="200">
        <f t="shared" si="15"/>
        <v>46.57377049</v>
      </c>
      <c r="AC76" s="202">
        <f t="shared" si="16"/>
        <v>0.5821721311</v>
      </c>
      <c r="AD76" s="203"/>
      <c r="AE76" s="203"/>
      <c r="AF76" s="203"/>
      <c r="AG76" s="203"/>
      <c r="AH76" s="203"/>
      <c r="AI76" s="203"/>
      <c r="AJ76" s="203"/>
      <c r="AK76" s="203"/>
      <c r="AL76" s="203"/>
      <c r="AM76" s="203"/>
      <c r="AN76" s="203"/>
      <c r="AO76" s="203"/>
      <c r="AP76" s="203"/>
      <c r="AQ76" s="203"/>
      <c r="AR76" s="203"/>
      <c r="AS76" s="203"/>
      <c r="AT76" s="203"/>
      <c r="AU76" s="203"/>
    </row>
    <row r="77" ht="14.25" customHeight="1">
      <c r="A77" s="206" t="s">
        <v>2025</v>
      </c>
      <c r="B77" s="192"/>
      <c r="C77" s="192"/>
      <c r="D77" s="205">
        <v>80.0</v>
      </c>
      <c r="E77" s="205">
        <v>19.0</v>
      </c>
      <c r="F77" s="196">
        <f t="shared" si="1"/>
        <v>60.98360656</v>
      </c>
      <c r="G77" s="197">
        <f t="shared" si="2"/>
        <v>3.209663503</v>
      </c>
      <c r="H77" s="198">
        <v>3.5</v>
      </c>
      <c r="I77" s="198">
        <f t="shared" si="3"/>
        <v>66.5</v>
      </c>
      <c r="J77" s="198">
        <v>1.22</v>
      </c>
      <c r="K77" s="199">
        <f t="shared" si="4"/>
        <v>54.50819672</v>
      </c>
      <c r="L77" s="197"/>
      <c r="M77" s="200">
        <f t="shared" si="5"/>
        <v>80</v>
      </c>
      <c r="N77" s="200">
        <f t="shared" si="6"/>
        <v>65.57377049</v>
      </c>
      <c r="O77" s="199">
        <f t="shared" si="7"/>
        <v>4.210526316</v>
      </c>
      <c r="P77" s="201">
        <f t="shared" si="8"/>
        <v>3.451251079</v>
      </c>
      <c r="Q77" s="197"/>
      <c r="R77" s="197"/>
      <c r="S77" s="202">
        <v>0.8</v>
      </c>
      <c r="T77" s="202">
        <v>0.2</v>
      </c>
      <c r="U77" s="202">
        <v>0.35</v>
      </c>
      <c r="V77" s="199">
        <f t="shared" si="9"/>
        <v>3.915789474</v>
      </c>
      <c r="W77" s="199">
        <f t="shared" si="10"/>
        <v>3.209663503</v>
      </c>
      <c r="X77" s="202">
        <f t="shared" si="11"/>
        <v>0.2415875755</v>
      </c>
      <c r="Y77" s="202">
        <f t="shared" si="12"/>
        <v>0.07</v>
      </c>
      <c r="Z77" s="200">
        <f t="shared" si="13"/>
        <v>74.4</v>
      </c>
      <c r="AA77" s="200">
        <f t="shared" si="14"/>
        <v>60.98360656</v>
      </c>
      <c r="AB77" s="200">
        <f t="shared" si="15"/>
        <v>46.57377049</v>
      </c>
      <c r="AC77" s="202">
        <f t="shared" si="16"/>
        <v>0.5821721311</v>
      </c>
      <c r="AD77" s="203"/>
      <c r="AE77" s="203"/>
      <c r="AF77" s="203"/>
      <c r="AG77" s="203"/>
      <c r="AH77" s="203"/>
      <c r="AI77" s="203"/>
      <c r="AJ77" s="203"/>
      <c r="AK77" s="203"/>
      <c r="AL77" s="203"/>
      <c r="AM77" s="203"/>
      <c r="AN77" s="203"/>
      <c r="AO77" s="203"/>
      <c r="AP77" s="203"/>
      <c r="AQ77" s="203"/>
      <c r="AR77" s="203"/>
      <c r="AS77" s="203"/>
      <c r="AT77" s="203"/>
      <c r="AU77" s="203"/>
    </row>
    <row r="78" ht="14.25" customHeight="1">
      <c r="A78" s="191" t="s">
        <v>281</v>
      </c>
      <c r="B78" s="193"/>
      <c r="C78" s="193"/>
      <c r="D78" s="205">
        <v>80.0</v>
      </c>
      <c r="E78" s="205">
        <v>16.5</v>
      </c>
      <c r="F78" s="196">
        <f t="shared" si="1"/>
        <v>60.98360656</v>
      </c>
      <c r="G78" s="197">
        <f t="shared" si="2"/>
        <v>3.695976155</v>
      </c>
      <c r="H78" s="198">
        <v>3.5</v>
      </c>
      <c r="I78" s="198">
        <f t="shared" si="3"/>
        <v>57.75</v>
      </c>
      <c r="J78" s="198">
        <v>1.22</v>
      </c>
      <c r="K78" s="199">
        <f t="shared" si="4"/>
        <v>47.33606557</v>
      </c>
      <c r="L78" s="197"/>
      <c r="M78" s="200">
        <f t="shared" si="5"/>
        <v>80</v>
      </c>
      <c r="N78" s="200">
        <f t="shared" si="6"/>
        <v>65.57377049</v>
      </c>
      <c r="O78" s="199">
        <f t="shared" si="7"/>
        <v>4.848484848</v>
      </c>
      <c r="P78" s="201">
        <f t="shared" si="8"/>
        <v>3.974167909</v>
      </c>
      <c r="Q78" s="197"/>
      <c r="R78" s="197"/>
      <c r="S78" s="202">
        <v>0.8</v>
      </c>
      <c r="T78" s="202">
        <v>0.2</v>
      </c>
      <c r="U78" s="202">
        <v>0.35</v>
      </c>
      <c r="V78" s="199">
        <f t="shared" si="9"/>
        <v>4.509090909</v>
      </c>
      <c r="W78" s="199">
        <f t="shared" si="10"/>
        <v>3.695976155</v>
      </c>
      <c r="X78" s="202">
        <f t="shared" si="11"/>
        <v>0.2781917536</v>
      </c>
      <c r="Y78" s="202">
        <f t="shared" si="12"/>
        <v>0.07</v>
      </c>
      <c r="Z78" s="200">
        <f t="shared" si="13"/>
        <v>74.4</v>
      </c>
      <c r="AA78" s="200">
        <f t="shared" si="14"/>
        <v>60.98360656</v>
      </c>
      <c r="AB78" s="200">
        <f t="shared" si="15"/>
        <v>49.07377049</v>
      </c>
      <c r="AC78" s="202">
        <f t="shared" si="16"/>
        <v>0.6134221311</v>
      </c>
      <c r="AD78" s="203"/>
      <c r="AE78" s="203"/>
      <c r="AF78" s="203"/>
      <c r="AG78" s="203"/>
      <c r="AH78" s="203"/>
      <c r="AI78" s="203"/>
      <c r="AJ78" s="203"/>
      <c r="AK78" s="203"/>
      <c r="AL78" s="203"/>
      <c r="AM78" s="203"/>
      <c r="AN78" s="203"/>
      <c r="AO78" s="203"/>
      <c r="AP78" s="203"/>
      <c r="AQ78" s="203"/>
      <c r="AR78" s="203"/>
      <c r="AS78" s="203"/>
      <c r="AT78" s="203"/>
      <c r="AU78" s="203"/>
    </row>
    <row r="79" ht="14.25" customHeight="1">
      <c r="A79" s="206" t="s">
        <v>2026</v>
      </c>
      <c r="B79" s="193"/>
      <c r="C79" s="193"/>
      <c r="D79" s="205">
        <v>90.0</v>
      </c>
      <c r="E79" s="205">
        <v>16.5</v>
      </c>
      <c r="F79" s="196">
        <f t="shared" si="1"/>
        <v>68.60655738</v>
      </c>
      <c r="G79" s="197">
        <f t="shared" si="2"/>
        <v>4.157973174</v>
      </c>
      <c r="H79" s="198">
        <v>3.5</v>
      </c>
      <c r="I79" s="198">
        <f t="shared" si="3"/>
        <v>57.75</v>
      </c>
      <c r="J79" s="198">
        <v>1.22</v>
      </c>
      <c r="K79" s="199">
        <f t="shared" si="4"/>
        <v>47.33606557</v>
      </c>
      <c r="L79" s="197"/>
      <c r="M79" s="200">
        <f t="shared" si="5"/>
        <v>90</v>
      </c>
      <c r="N79" s="200">
        <f t="shared" si="6"/>
        <v>73.7704918</v>
      </c>
      <c r="O79" s="199">
        <f t="shared" si="7"/>
        <v>5.454545455</v>
      </c>
      <c r="P79" s="201">
        <f t="shared" si="8"/>
        <v>4.470938897</v>
      </c>
      <c r="Q79" s="197"/>
      <c r="R79" s="197"/>
      <c r="S79" s="202">
        <v>0.8</v>
      </c>
      <c r="T79" s="202">
        <v>0.2</v>
      </c>
      <c r="U79" s="202">
        <v>0.35</v>
      </c>
      <c r="V79" s="199">
        <f t="shared" si="9"/>
        <v>5.072727273</v>
      </c>
      <c r="W79" s="199">
        <f t="shared" si="10"/>
        <v>4.157973174</v>
      </c>
      <c r="X79" s="202">
        <f t="shared" si="11"/>
        <v>0.3129657228</v>
      </c>
      <c r="Y79" s="202">
        <f t="shared" si="12"/>
        <v>0.07</v>
      </c>
      <c r="Z79" s="200">
        <f t="shared" si="13"/>
        <v>83.7</v>
      </c>
      <c r="AA79" s="200">
        <f t="shared" si="14"/>
        <v>68.60655738</v>
      </c>
      <c r="AB79" s="200">
        <f t="shared" si="15"/>
        <v>57.2704918</v>
      </c>
      <c r="AC79" s="202">
        <f t="shared" si="16"/>
        <v>0.6363387978</v>
      </c>
      <c r="AD79" s="203"/>
      <c r="AE79" s="203"/>
      <c r="AF79" s="203"/>
      <c r="AG79" s="203"/>
      <c r="AH79" s="203"/>
      <c r="AI79" s="203"/>
      <c r="AJ79" s="203"/>
      <c r="AK79" s="203"/>
      <c r="AL79" s="203"/>
      <c r="AM79" s="203"/>
      <c r="AN79" s="203"/>
      <c r="AO79" s="203"/>
      <c r="AP79" s="203"/>
      <c r="AQ79" s="203"/>
      <c r="AR79" s="203"/>
      <c r="AS79" s="203"/>
      <c r="AT79" s="203"/>
      <c r="AU79" s="203"/>
    </row>
    <row r="80" ht="14.25" customHeight="1">
      <c r="A80" s="206" t="s">
        <v>2027</v>
      </c>
      <c r="B80" s="193"/>
      <c r="C80" s="193"/>
      <c r="D80" s="205">
        <v>80.0</v>
      </c>
      <c r="E80" s="205">
        <v>19.0</v>
      </c>
      <c r="F80" s="196">
        <f t="shared" si="1"/>
        <v>60.98360656</v>
      </c>
      <c r="G80" s="197">
        <f t="shared" si="2"/>
        <v>3.209663503</v>
      </c>
      <c r="H80" s="198">
        <v>3.5</v>
      </c>
      <c r="I80" s="198">
        <f t="shared" si="3"/>
        <v>66.5</v>
      </c>
      <c r="J80" s="198">
        <v>1.22</v>
      </c>
      <c r="K80" s="199">
        <f t="shared" si="4"/>
        <v>54.50819672</v>
      </c>
      <c r="L80" s="197"/>
      <c r="M80" s="200">
        <f t="shared" si="5"/>
        <v>80</v>
      </c>
      <c r="N80" s="200">
        <f t="shared" si="6"/>
        <v>65.57377049</v>
      </c>
      <c r="O80" s="199">
        <f t="shared" si="7"/>
        <v>4.210526316</v>
      </c>
      <c r="P80" s="201">
        <f t="shared" si="8"/>
        <v>3.451251079</v>
      </c>
      <c r="Q80" s="197"/>
      <c r="R80" s="197"/>
      <c r="S80" s="202">
        <v>0.8</v>
      </c>
      <c r="T80" s="202">
        <v>0.2</v>
      </c>
      <c r="U80" s="202">
        <v>0.35</v>
      </c>
      <c r="V80" s="199">
        <f t="shared" si="9"/>
        <v>3.915789474</v>
      </c>
      <c r="W80" s="199">
        <f t="shared" si="10"/>
        <v>3.209663503</v>
      </c>
      <c r="X80" s="202">
        <f t="shared" si="11"/>
        <v>0.2415875755</v>
      </c>
      <c r="Y80" s="202">
        <f t="shared" si="12"/>
        <v>0.07</v>
      </c>
      <c r="Z80" s="200">
        <f t="shared" si="13"/>
        <v>74.4</v>
      </c>
      <c r="AA80" s="200">
        <f t="shared" si="14"/>
        <v>60.98360656</v>
      </c>
      <c r="AB80" s="200">
        <f t="shared" si="15"/>
        <v>46.57377049</v>
      </c>
      <c r="AC80" s="202">
        <f t="shared" si="16"/>
        <v>0.5821721311</v>
      </c>
      <c r="AD80" s="203"/>
      <c r="AE80" s="203"/>
      <c r="AF80" s="203"/>
      <c r="AG80" s="203"/>
      <c r="AH80" s="203"/>
      <c r="AI80" s="203"/>
      <c r="AJ80" s="203"/>
      <c r="AK80" s="203"/>
      <c r="AL80" s="203"/>
      <c r="AM80" s="203"/>
      <c r="AN80" s="203"/>
      <c r="AO80" s="203"/>
      <c r="AP80" s="203"/>
      <c r="AQ80" s="203"/>
      <c r="AR80" s="203"/>
      <c r="AS80" s="203"/>
      <c r="AT80" s="203"/>
      <c r="AU80" s="203"/>
    </row>
    <row r="81" ht="14.25" customHeight="1">
      <c r="A81" s="206" t="s">
        <v>2028</v>
      </c>
      <c r="B81" s="193"/>
      <c r="C81" s="193"/>
      <c r="D81" s="205">
        <v>80.0</v>
      </c>
      <c r="E81" s="205">
        <v>19.0</v>
      </c>
      <c r="F81" s="196">
        <f t="shared" si="1"/>
        <v>60.98360656</v>
      </c>
      <c r="G81" s="197">
        <f t="shared" si="2"/>
        <v>3.209663503</v>
      </c>
      <c r="H81" s="198">
        <v>3.5</v>
      </c>
      <c r="I81" s="198">
        <f t="shared" si="3"/>
        <v>66.5</v>
      </c>
      <c r="J81" s="198">
        <v>1.22</v>
      </c>
      <c r="K81" s="199">
        <f t="shared" si="4"/>
        <v>54.50819672</v>
      </c>
      <c r="L81" s="197"/>
      <c r="M81" s="200">
        <f t="shared" si="5"/>
        <v>80</v>
      </c>
      <c r="N81" s="200">
        <f t="shared" si="6"/>
        <v>65.57377049</v>
      </c>
      <c r="O81" s="199">
        <f t="shared" si="7"/>
        <v>4.210526316</v>
      </c>
      <c r="P81" s="201">
        <f t="shared" si="8"/>
        <v>3.451251079</v>
      </c>
      <c r="Q81" s="197"/>
      <c r="R81" s="197"/>
      <c r="S81" s="202">
        <v>0.8</v>
      </c>
      <c r="T81" s="202">
        <v>0.2</v>
      </c>
      <c r="U81" s="202">
        <v>0.35</v>
      </c>
      <c r="V81" s="199">
        <f t="shared" si="9"/>
        <v>3.915789474</v>
      </c>
      <c r="W81" s="199">
        <f t="shared" si="10"/>
        <v>3.209663503</v>
      </c>
      <c r="X81" s="202">
        <f t="shared" si="11"/>
        <v>0.2415875755</v>
      </c>
      <c r="Y81" s="202">
        <f t="shared" si="12"/>
        <v>0.07</v>
      </c>
      <c r="Z81" s="200">
        <f t="shared" si="13"/>
        <v>74.4</v>
      </c>
      <c r="AA81" s="200">
        <f t="shared" si="14"/>
        <v>60.98360656</v>
      </c>
      <c r="AB81" s="200">
        <f t="shared" si="15"/>
        <v>46.57377049</v>
      </c>
      <c r="AC81" s="202">
        <f t="shared" si="16"/>
        <v>0.5821721311</v>
      </c>
      <c r="AD81" s="203"/>
      <c r="AE81" s="203"/>
      <c r="AF81" s="203"/>
      <c r="AG81" s="203"/>
      <c r="AH81" s="203"/>
      <c r="AI81" s="203"/>
      <c r="AJ81" s="203"/>
      <c r="AK81" s="203"/>
      <c r="AL81" s="203"/>
      <c r="AM81" s="203"/>
      <c r="AN81" s="203"/>
      <c r="AO81" s="203"/>
      <c r="AP81" s="203"/>
      <c r="AQ81" s="203"/>
      <c r="AR81" s="203"/>
      <c r="AS81" s="203"/>
      <c r="AT81" s="203"/>
      <c r="AU81" s="203"/>
    </row>
    <row r="82" ht="14.25" customHeight="1">
      <c r="A82" s="206" t="s">
        <v>2029</v>
      </c>
      <c r="B82" s="193"/>
      <c r="C82" s="193"/>
      <c r="D82" s="205">
        <v>90.0</v>
      </c>
      <c r="E82" s="205">
        <v>16.5</v>
      </c>
      <c r="F82" s="196">
        <f t="shared" si="1"/>
        <v>68.60655738</v>
      </c>
      <c r="G82" s="197">
        <f t="shared" si="2"/>
        <v>4.157973174</v>
      </c>
      <c r="H82" s="198">
        <v>3.5</v>
      </c>
      <c r="I82" s="198">
        <f t="shared" si="3"/>
        <v>57.75</v>
      </c>
      <c r="J82" s="198">
        <v>1.22</v>
      </c>
      <c r="K82" s="199">
        <f t="shared" si="4"/>
        <v>47.33606557</v>
      </c>
      <c r="L82" s="197"/>
      <c r="M82" s="200">
        <f t="shared" si="5"/>
        <v>90</v>
      </c>
      <c r="N82" s="200">
        <f t="shared" si="6"/>
        <v>73.7704918</v>
      </c>
      <c r="O82" s="199">
        <f t="shared" si="7"/>
        <v>5.454545455</v>
      </c>
      <c r="P82" s="201">
        <f t="shared" si="8"/>
        <v>4.470938897</v>
      </c>
      <c r="Q82" s="197"/>
      <c r="R82" s="197"/>
      <c r="S82" s="202">
        <v>0.8</v>
      </c>
      <c r="T82" s="202">
        <v>0.2</v>
      </c>
      <c r="U82" s="202">
        <v>0.35</v>
      </c>
      <c r="V82" s="199">
        <f t="shared" si="9"/>
        <v>5.072727273</v>
      </c>
      <c r="W82" s="199">
        <f t="shared" si="10"/>
        <v>4.157973174</v>
      </c>
      <c r="X82" s="202">
        <f t="shared" si="11"/>
        <v>0.3129657228</v>
      </c>
      <c r="Y82" s="202">
        <f t="shared" si="12"/>
        <v>0.07</v>
      </c>
      <c r="Z82" s="200">
        <f t="shared" si="13"/>
        <v>83.7</v>
      </c>
      <c r="AA82" s="200">
        <f t="shared" si="14"/>
        <v>68.60655738</v>
      </c>
      <c r="AB82" s="200">
        <f t="shared" si="15"/>
        <v>57.2704918</v>
      </c>
      <c r="AC82" s="202">
        <f t="shared" si="16"/>
        <v>0.6363387978</v>
      </c>
      <c r="AD82" s="203"/>
      <c r="AE82" s="203"/>
      <c r="AF82" s="203"/>
      <c r="AG82" s="203"/>
      <c r="AH82" s="203"/>
      <c r="AI82" s="203"/>
      <c r="AJ82" s="203"/>
      <c r="AK82" s="203"/>
      <c r="AL82" s="203"/>
      <c r="AM82" s="203"/>
      <c r="AN82" s="203"/>
      <c r="AO82" s="203"/>
      <c r="AP82" s="203"/>
      <c r="AQ82" s="203"/>
      <c r="AR82" s="203"/>
      <c r="AS82" s="203"/>
      <c r="AT82" s="203"/>
      <c r="AU82" s="203"/>
    </row>
    <row r="83" ht="14.25" customHeight="1">
      <c r="A83" s="206" t="s">
        <v>277</v>
      </c>
      <c r="B83" s="193"/>
      <c r="C83" s="193"/>
      <c r="D83" s="205">
        <v>80.0</v>
      </c>
      <c r="E83" s="205">
        <v>19.0</v>
      </c>
      <c r="F83" s="196">
        <f t="shared" si="1"/>
        <v>60.98360656</v>
      </c>
      <c r="G83" s="197">
        <f t="shared" si="2"/>
        <v>3.209663503</v>
      </c>
      <c r="H83" s="198">
        <v>3.5</v>
      </c>
      <c r="I83" s="198">
        <f t="shared" si="3"/>
        <v>66.5</v>
      </c>
      <c r="J83" s="198">
        <v>1.22</v>
      </c>
      <c r="K83" s="199">
        <f t="shared" si="4"/>
        <v>54.50819672</v>
      </c>
      <c r="L83" s="197"/>
      <c r="M83" s="200">
        <f t="shared" si="5"/>
        <v>80</v>
      </c>
      <c r="N83" s="200">
        <f t="shared" si="6"/>
        <v>65.57377049</v>
      </c>
      <c r="O83" s="199">
        <f t="shared" si="7"/>
        <v>4.210526316</v>
      </c>
      <c r="P83" s="201">
        <f t="shared" si="8"/>
        <v>3.451251079</v>
      </c>
      <c r="Q83" s="197"/>
      <c r="R83" s="197"/>
      <c r="S83" s="202">
        <v>0.8</v>
      </c>
      <c r="T83" s="202">
        <v>0.2</v>
      </c>
      <c r="U83" s="202">
        <v>0.35</v>
      </c>
      <c r="V83" s="199">
        <f t="shared" si="9"/>
        <v>3.915789474</v>
      </c>
      <c r="W83" s="199">
        <f t="shared" si="10"/>
        <v>3.209663503</v>
      </c>
      <c r="X83" s="202">
        <f t="shared" si="11"/>
        <v>0.2415875755</v>
      </c>
      <c r="Y83" s="202">
        <f t="shared" si="12"/>
        <v>0.07</v>
      </c>
      <c r="Z83" s="200">
        <f t="shared" si="13"/>
        <v>74.4</v>
      </c>
      <c r="AA83" s="200">
        <f t="shared" si="14"/>
        <v>60.98360656</v>
      </c>
      <c r="AB83" s="200">
        <f t="shared" si="15"/>
        <v>46.57377049</v>
      </c>
      <c r="AC83" s="202">
        <f t="shared" si="16"/>
        <v>0.5821721311</v>
      </c>
      <c r="AD83" s="203"/>
      <c r="AE83" s="203"/>
      <c r="AF83" s="203"/>
      <c r="AG83" s="203"/>
      <c r="AH83" s="203"/>
      <c r="AI83" s="203"/>
      <c r="AJ83" s="203"/>
      <c r="AK83" s="203"/>
      <c r="AL83" s="203"/>
      <c r="AM83" s="203"/>
      <c r="AN83" s="203"/>
      <c r="AO83" s="203"/>
      <c r="AP83" s="203"/>
      <c r="AQ83" s="203"/>
      <c r="AR83" s="203"/>
      <c r="AS83" s="203"/>
      <c r="AT83" s="203"/>
      <c r="AU83" s="203"/>
    </row>
    <row r="84" ht="14.25" customHeight="1">
      <c r="A84" s="212" t="s">
        <v>2030</v>
      </c>
      <c r="B84" s="193"/>
      <c r="C84" s="193"/>
      <c r="D84" s="205">
        <v>90.0</v>
      </c>
      <c r="E84" s="205">
        <v>16.5</v>
      </c>
      <c r="F84" s="196">
        <f t="shared" si="1"/>
        <v>68.60655738</v>
      </c>
      <c r="G84" s="197">
        <f t="shared" si="2"/>
        <v>4.157973174</v>
      </c>
      <c r="H84" s="198">
        <v>3.5</v>
      </c>
      <c r="I84" s="198">
        <f t="shared" si="3"/>
        <v>57.75</v>
      </c>
      <c r="J84" s="198">
        <v>1.22</v>
      </c>
      <c r="K84" s="199">
        <f t="shared" si="4"/>
        <v>47.33606557</v>
      </c>
      <c r="L84" s="197"/>
      <c r="M84" s="200">
        <f t="shared" si="5"/>
        <v>90</v>
      </c>
      <c r="N84" s="200">
        <f t="shared" si="6"/>
        <v>73.7704918</v>
      </c>
      <c r="O84" s="199">
        <f t="shared" si="7"/>
        <v>5.454545455</v>
      </c>
      <c r="P84" s="201">
        <f t="shared" si="8"/>
        <v>4.470938897</v>
      </c>
      <c r="Q84" s="197"/>
      <c r="R84" s="197"/>
      <c r="S84" s="202">
        <v>0.8</v>
      </c>
      <c r="T84" s="202">
        <v>0.2</v>
      </c>
      <c r="U84" s="202">
        <v>0.35</v>
      </c>
      <c r="V84" s="199">
        <f t="shared" si="9"/>
        <v>5.072727273</v>
      </c>
      <c r="W84" s="199">
        <f t="shared" si="10"/>
        <v>4.157973174</v>
      </c>
      <c r="X84" s="202">
        <f t="shared" si="11"/>
        <v>0.3129657228</v>
      </c>
      <c r="Y84" s="202">
        <f t="shared" si="12"/>
        <v>0.07</v>
      </c>
      <c r="Z84" s="200">
        <f t="shared" si="13"/>
        <v>83.7</v>
      </c>
      <c r="AA84" s="200">
        <f t="shared" si="14"/>
        <v>68.60655738</v>
      </c>
      <c r="AB84" s="200">
        <f t="shared" si="15"/>
        <v>57.2704918</v>
      </c>
      <c r="AC84" s="202">
        <f t="shared" si="16"/>
        <v>0.6363387978</v>
      </c>
      <c r="AD84" s="203"/>
      <c r="AE84" s="203"/>
      <c r="AF84" s="203"/>
      <c r="AG84" s="203"/>
      <c r="AH84" s="203"/>
      <c r="AI84" s="203"/>
      <c r="AJ84" s="203"/>
      <c r="AK84" s="203"/>
      <c r="AL84" s="203"/>
      <c r="AM84" s="203"/>
      <c r="AN84" s="203"/>
      <c r="AO84" s="203"/>
      <c r="AP84" s="203"/>
      <c r="AQ84" s="203"/>
      <c r="AR84" s="203"/>
      <c r="AS84" s="203"/>
      <c r="AT84" s="203"/>
      <c r="AU84" s="203"/>
    </row>
    <row r="85" ht="14.25" customHeight="1">
      <c r="A85" s="212" t="s">
        <v>2031</v>
      </c>
      <c r="B85" s="193"/>
      <c r="C85" s="193"/>
      <c r="D85" s="205">
        <v>80.0</v>
      </c>
      <c r="E85" s="205">
        <v>16.5</v>
      </c>
      <c r="F85" s="196">
        <f t="shared" si="1"/>
        <v>60.98360656</v>
      </c>
      <c r="G85" s="197">
        <f t="shared" si="2"/>
        <v>3.695976155</v>
      </c>
      <c r="H85" s="198">
        <v>3.5</v>
      </c>
      <c r="I85" s="198">
        <f t="shared" si="3"/>
        <v>57.75</v>
      </c>
      <c r="J85" s="198">
        <v>1.22</v>
      </c>
      <c r="K85" s="199">
        <f t="shared" si="4"/>
        <v>47.33606557</v>
      </c>
      <c r="L85" s="197"/>
      <c r="M85" s="200">
        <f t="shared" si="5"/>
        <v>80</v>
      </c>
      <c r="N85" s="200">
        <f t="shared" si="6"/>
        <v>65.57377049</v>
      </c>
      <c r="O85" s="199">
        <f t="shared" si="7"/>
        <v>4.848484848</v>
      </c>
      <c r="P85" s="201">
        <f t="shared" si="8"/>
        <v>3.974167909</v>
      </c>
      <c r="Q85" s="197"/>
      <c r="R85" s="197"/>
      <c r="S85" s="202">
        <v>0.8</v>
      </c>
      <c r="T85" s="202">
        <v>0.2</v>
      </c>
      <c r="U85" s="202">
        <v>0.35</v>
      </c>
      <c r="V85" s="199">
        <f t="shared" si="9"/>
        <v>4.509090909</v>
      </c>
      <c r="W85" s="199">
        <f t="shared" si="10"/>
        <v>3.695976155</v>
      </c>
      <c r="X85" s="202">
        <f t="shared" si="11"/>
        <v>0.2781917536</v>
      </c>
      <c r="Y85" s="202">
        <f t="shared" si="12"/>
        <v>0.07</v>
      </c>
      <c r="Z85" s="200">
        <f t="shared" si="13"/>
        <v>74.4</v>
      </c>
      <c r="AA85" s="200">
        <f t="shared" si="14"/>
        <v>60.98360656</v>
      </c>
      <c r="AB85" s="200">
        <f t="shared" si="15"/>
        <v>49.07377049</v>
      </c>
      <c r="AC85" s="202">
        <f t="shared" si="16"/>
        <v>0.6134221311</v>
      </c>
      <c r="AD85" s="203"/>
      <c r="AE85" s="203"/>
      <c r="AF85" s="203"/>
      <c r="AG85" s="203"/>
      <c r="AH85" s="203"/>
      <c r="AI85" s="203"/>
      <c r="AJ85" s="203"/>
      <c r="AK85" s="203"/>
      <c r="AL85" s="203"/>
      <c r="AM85" s="203"/>
      <c r="AN85" s="203"/>
      <c r="AO85" s="203"/>
      <c r="AP85" s="203"/>
      <c r="AQ85" s="203"/>
      <c r="AR85" s="203"/>
      <c r="AS85" s="203"/>
      <c r="AT85" s="203"/>
      <c r="AU85" s="203"/>
    </row>
    <row r="86" ht="14.25" customHeight="1">
      <c r="A86" s="206" t="s">
        <v>262</v>
      </c>
      <c r="B86" s="193"/>
      <c r="C86" s="193"/>
      <c r="D86" s="205">
        <v>90.0</v>
      </c>
      <c r="E86" s="205">
        <v>16.5</v>
      </c>
      <c r="F86" s="196">
        <f t="shared" si="1"/>
        <v>68.60655738</v>
      </c>
      <c r="G86" s="197">
        <f t="shared" si="2"/>
        <v>4.157973174</v>
      </c>
      <c r="H86" s="198">
        <v>3.5</v>
      </c>
      <c r="I86" s="198">
        <f t="shared" si="3"/>
        <v>57.75</v>
      </c>
      <c r="J86" s="198">
        <v>1.22</v>
      </c>
      <c r="K86" s="199">
        <f t="shared" si="4"/>
        <v>47.33606557</v>
      </c>
      <c r="L86" s="197"/>
      <c r="M86" s="200">
        <f t="shared" si="5"/>
        <v>90</v>
      </c>
      <c r="N86" s="200">
        <f t="shared" si="6"/>
        <v>73.7704918</v>
      </c>
      <c r="O86" s="199">
        <f t="shared" si="7"/>
        <v>5.454545455</v>
      </c>
      <c r="P86" s="201">
        <f t="shared" si="8"/>
        <v>4.470938897</v>
      </c>
      <c r="Q86" s="197"/>
      <c r="R86" s="197"/>
      <c r="S86" s="202">
        <v>0.8</v>
      </c>
      <c r="T86" s="202">
        <v>0.2</v>
      </c>
      <c r="U86" s="202">
        <v>0.35</v>
      </c>
      <c r="V86" s="199">
        <f t="shared" si="9"/>
        <v>5.072727273</v>
      </c>
      <c r="W86" s="199">
        <f t="shared" si="10"/>
        <v>4.157973174</v>
      </c>
      <c r="X86" s="202">
        <f t="shared" si="11"/>
        <v>0.3129657228</v>
      </c>
      <c r="Y86" s="202">
        <f t="shared" si="12"/>
        <v>0.07</v>
      </c>
      <c r="Z86" s="200">
        <f t="shared" si="13"/>
        <v>83.7</v>
      </c>
      <c r="AA86" s="200">
        <f t="shared" si="14"/>
        <v>68.60655738</v>
      </c>
      <c r="AB86" s="200">
        <f t="shared" si="15"/>
        <v>57.2704918</v>
      </c>
      <c r="AC86" s="202">
        <f t="shared" si="16"/>
        <v>0.6363387978</v>
      </c>
      <c r="AD86" s="203"/>
      <c r="AE86" s="203"/>
      <c r="AF86" s="203"/>
      <c r="AG86" s="203"/>
      <c r="AH86" s="203"/>
      <c r="AI86" s="203"/>
      <c r="AJ86" s="203"/>
      <c r="AK86" s="203"/>
      <c r="AL86" s="203"/>
      <c r="AM86" s="203"/>
      <c r="AN86" s="203"/>
      <c r="AO86" s="203"/>
      <c r="AP86" s="203"/>
      <c r="AQ86" s="203"/>
      <c r="AR86" s="203"/>
      <c r="AS86" s="203"/>
      <c r="AT86" s="203"/>
      <c r="AU86" s="203"/>
    </row>
    <row r="87" ht="14.25" customHeight="1">
      <c r="A87" s="206" t="s">
        <v>2032</v>
      </c>
      <c r="B87" s="193"/>
      <c r="C87" s="193"/>
      <c r="D87" s="205">
        <v>30.0</v>
      </c>
      <c r="E87" s="205">
        <v>8.0</v>
      </c>
      <c r="F87" s="196">
        <f t="shared" si="1"/>
        <v>22.86885246</v>
      </c>
      <c r="G87" s="197">
        <f t="shared" si="2"/>
        <v>2.858606557</v>
      </c>
      <c r="H87" s="198">
        <v>3.5</v>
      </c>
      <c r="I87" s="198">
        <f t="shared" si="3"/>
        <v>28</v>
      </c>
      <c r="J87" s="198">
        <v>1.22</v>
      </c>
      <c r="K87" s="199">
        <f t="shared" si="4"/>
        <v>22.95081967</v>
      </c>
      <c r="L87" s="197"/>
      <c r="M87" s="200">
        <f t="shared" si="5"/>
        <v>30</v>
      </c>
      <c r="N87" s="200">
        <f t="shared" si="6"/>
        <v>24.59016393</v>
      </c>
      <c r="O87" s="199">
        <f t="shared" si="7"/>
        <v>3.75</v>
      </c>
      <c r="P87" s="201">
        <f t="shared" si="8"/>
        <v>3.073770492</v>
      </c>
      <c r="Q87" s="197"/>
      <c r="R87" s="197"/>
      <c r="S87" s="202">
        <v>0.8</v>
      </c>
      <c r="T87" s="202">
        <v>0.2</v>
      </c>
      <c r="U87" s="202">
        <v>0.35</v>
      </c>
      <c r="V87" s="199">
        <f t="shared" si="9"/>
        <v>3.4875</v>
      </c>
      <c r="W87" s="199">
        <f t="shared" si="10"/>
        <v>2.858606557</v>
      </c>
      <c r="X87" s="202">
        <f t="shared" si="11"/>
        <v>0.2151639344</v>
      </c>
      <c r="Y87" s="202">
        <f t="shared" si="12"/>
        <v>0.07</v>
      </c>
      <c r="Z87" s="200">
        <f t="shared" si="13"/>
        <v>27.9</v>
      </c>
      <c r="AA87" s="200">
        <f t="shared" si="14"/>
        <v>22.86885246</v>
      </c>
      <c r="AB87" s="200">
        <f t="shared" si="15"/>
        <v>16.59016393</v>
      </c>
      <c r="AC87" s="202">
        <f t="shared" si="16"/>
        <v>0.5530054645</v>
      </c>
      <c r="AD87" s="203"/>
      <c r="AE87" s="203"/>
      <c r="AF87" s="203"/>
      <c r="AG87" s="203"/>
      <c r="AH87" s="203"/>
      <c r="AI87" s="203"/>
      <c r="AJ87" s="203"/>
      <c r="AK87" s="203"/>
      <c r="AL87" s="203"/>
      <c r="AM87" s="203"/>
      <c r="AN87" s="203"/>
      <c r="AO87" s="203"/>
      <c r="AP87" s="203"/>
      <c r="AQ87" s="203"/>
      <c r="AR87" s="203"/>
      <c r="AS87" s="203"/>
      <c r="AT87" s="203"/>
      <c r="AU87" s="203"/>
    </row>
    <row r="88" ht="14.25" customHeight="1">
      <c r="A88" s="206" t="s">
        <v>2033</v>
      </c>
      <c r="B88" s="193"/>
      <c r="C88" s="193"/>
      <c r="D88" s="205">
        <v>75.0</v>
      </c>
      <c r="E88" s="205">
        <v>21.3</v>
      </c>
      <c r="F88" s="196">
        <f t="shared" si="1"/>
        <v>57.17213115</v>
      </c>
      <c r="G88" s="197">
        <f t="shared" si="2"/>
        <v>2.684137613</v>
      </c>
      <c r="H88" s="198">
        <v>3.5</v>
      </c>
      <c r="I88" s="198">
        <f t="shared" si="3"/>
        <v>74.55</v>
      </c>
      <c r="J88" s="198">
        <v>1.22</v>
      </c>
      <c r="K88" s="199">
        <f t="shared" si="4"/>
        <v>61.10655738</v>
      </c>
      <c r="L88" s="197"/>
      <c r="M88" s="200">
        <f t="shared" si="5"/>
        <v>75</v>
      </c>
      <c r="N88" s="200">
        <f t="shared" si="6"/>
        <v>61.47540984</v>
      </c>
      <c r="O88" s="199">
        <f t="shared" si="7"/>
        <v>3.521126761</v>
      </c>
      <c r="P88" s="201">
        <f t="shared" si="8"/>
        <v>2.886169476</v>
      </c>
      <c r="Q88" s="197"/>
      <c r="R88" s="197"/>
      <c r="S88" s="202">
        <v>0.8</v>
      </c>
      <c r="T88" s="202">
        <v>0.2</v>
      </c>
      <c r="U88" s="202">
        <v>0.35</v>
      </c>
      <c r="V88" s="199">
        <f t="shared" si="9"/>
        <v>3.274647887</v>
      </c>
      <c r="W88" s="199">
        <f t="shared" si="10"/>
        <v>2.684137613</v>
      </c>
      <c r="X88" s="202">
        <f t="shared" si="11"/>
        <v>0.2020318633</v>
      </c>
      <c r="Y88" s="202">
        <f t="shared" si="12"/>
        <v>0.07</v>
      </c>
      <c r="Z88" s="200">
        <f t="shared" si="13"/>
        <v>69.75</v>
      </c>
      <c r="AA88" s="200">
        <f t="shared" si="14"/>
        <v>57.17213115</v>
      </c>
      <c r="AB88" s="200">
        <f t="shared" si="15"/>
        <v>40.17540984</v>
      </c>
      <c r="AC88" s="202">
        <f t="shared" si="16"/>
        <v>0.5356721311</v>
      </c>
      <c r="AD88" s="203"/>
      <c r="AE88" s="203"/>
      <c r="AF88" s="203"/>
      <c r="AG88" s="203"/>
      <c r="AH88" s="203"/>
      <c r="AI88" s="203"/>
      <c r="AJ88" s="203"/>
      <c r="AK88" s="203"/>
      <c r="AL88" s="203"/>
      <c r="AM88" s="203"/>
      <c r="AN88" s="203"/>
      <c r="AO88" s="203"/>
      <c r="AP88" s="203"/>
      <c r="AQ88" s="203"/>
      <c r="AR88" s="203"/>
      <c r="AS88" s="203"/>
      <c r="AT88" s="203"/>
      <c r="AU88" s="203"/>
    </row>
    <row r="89" ht="14.25" customHeight="1">
      <c r="A89" s="206" t="s">
        <v>52</v>
      </c>
      <c r="B89" s="193"/>
      <c r="C89" s="193"/>
      <c r="D89" s="205">
        <v>80.0</v>
      </c>
      <c r="E89" s="205">
        <v>19.0</v>
      </c>
      <c r="F89" s="196">
        <f t="shared" si="1"/>
        <v>60.98360656</v>
      </c>
      <c r="G89" s="197">
        <f t="shared" si="2"/>
        <v>3.209663503</v>
      </c>
      <c r="H89" s="198">
        <v>3.5</v>
      </c>
      <c r="I89" s="198">
        <f t="shared" si="3"/>
        <v>66.5</v>
      </c>
      <c r="J89" s="198">
        <v>1.22</v>
      </c>
      <c r="K89" s="199">
        <f t="shared" si="4"/>
        <v>54.50819672</v>
      </c>
      <c r="L89" s="197"/>
      <c r="M89" s="200">
        <f t="shared" si="5"/>
        <v>80</v>
      </c>
      <c r="N89" s="200">
        <f t="shared" si="6"/>
        <v>65.57377049</v>
      </c>
      <c r="O89" s="199">
        <f t="shared" si="7"/>
        <v>4.210526316</v>
      </c>
      <c r="P89" s="201">
        <f t="shared" si="8"/>
        <v>3.451251079</v>
      </c>
      <c r="Q89" s="197"/>
      <c r="R89" s="197"/>
      <c r="S89" s="202">
        <v>0.8</v>
      </c>
      <c r="T89" s="202">
        <v>0.2</v>
      </c>
      <c r="U89" s="202">
        <v>0.35</v>
      </c>
      <c r="V89" s="199">
        <f t="shared" si="9"/>
        <v>3.915789474</v>
      </c>
      <c r="W89" s="199">
        <f t="shared" si="10"/>
        <v>3.209663503</v>
      </c>
      <c r="X89" s="202">
        <f t="shared" si="11"/>
        <v>0.2415875755</v>
      </c>
      <c r="Y89" s="202">
        <f t="shared" si="12"/>
        <v>0.07</v>
      </c>
      <c r="Z89" s="200">
        <f t="shared" si="13"/>
        <v>74.4</v>
      </c>
      <c r="AA89" s="200">
        <f t="shared" si="14"/>
        <v>60.98360656</v>
      </c>
      <c r="AB89" s="200">
        <f t="shared" si="15"/>
        <v>46.57377049</v>
      </c>
      <c r="AC89" s="202">
        <f t="shared" si="16"/>
        <v>0.5821721311</v>
      </c>
      <c r="AD89" s="203"/>
      <c r="AE89" s="203"/>
      <c r="AF89" s="203"/>
      <c r="AG89" s="203"/>
      <c r="AH89" s="203"/>
      <c r="AI89" s="203"/>
      <c r="AJ89" s="203"/>
      <c r="AK89" s="203"/>
      <c r="AL89" s="203"/>
      <c r="AM89" s="203"/>
      <c r="AN89" s="203"/>
      <c r="AO89" s="203"/>
      <c r="AP89" s="203"/>
      <c r="AQ89" s="203"/>
      <c r="AR89" s="203"/>
      <c r="AS89" s="203"/>
      <c r="AT89" s="203"/>
      <c r="AU89" s="203"/>
    </row>
    <row r="90" ht="14.25" customHeight="1">
      <c r="A90" s="191" t="s">
        <v>2034</v>
      </c>
      <c r="B90" s="193"/>
      <c r="C90" s="193"/>
      <c r="D90" s="205">
        <v>50.0</v>
      </c>
      <c r="E90" s="205">
        <v>4.0</v>
      </c>
      <c r="F90" s="196">
        <f t="shared" si="1"/>
        <v>38.1147541</v>
      </c>
      <c r="G90" s="197">
        <f t="shared" si="2"/>
        <v>9.528688525</v>
      </c>
      <c r="H90" s="198">
        <v>3.5</v>
      </c>
      <c r="I90" s="198">
        <f t="shared" si="3"/>
        <v>14</v>
      </c>
      <c r="J90" s="198">
        <v>1.22</v>
      </c>
      <c r="K90" s="199">
        <f t="shared" si="4"/>
        <v>11.47540984</v>
      </c>
      <c r="L90" s="197"/>
      <c r="M90" s="200">
        <f t="shared" si="5"/>
        <v>50</v>
      </c>
      <c r="N90" s="200">
        <f t="shared" si="6"/>
        <v>40.98360656</v>
      </c>
      <c r="O90" s="199">
        <f t="shared" si="7"/>
        <v>12.5</v>
      </c>
      <c r="P90" s="201">
        <f t="shared" si="8"/>
        <v>10.24590164</v>
      </c>
      <c r="Q90" s="197"/>
      <c r="R90" s="197"/>
      <c r="S90" s="202">
        <v>0.8</v>
      </c>
      <c r="T90" s="202">
        <v>0.2</v>
      </c>
      <c r="U90" s="202">
        <v>0.35</v>
      </c>
      <c r="V90" s="199">
        <f t="shared" si="9"/>
        <v>11.625</v>
      </c>
      <c r="W90" s="199">
        <f t="shared" si="10"/>
        <v>9.528688525</v>
      </c>
      <c r="X90" s="202">
        <f t="shared" si="11"/>
        <v>0.7172131148</v>
      </c>
      <c r="Y90" s="202">
        <f t="shared" si="12"/>
        <v>0.07</v>
      </c>
      <c r="Z90" s="200">
        <f t="shared" si="13"/>
        <v>46.5</v>
      </c>
      <c r="AA90" s="200">
        <f t="shared" si="14"/>
        <v>38.1147541</v>
      </c>
      <c r="AB90" s="200">
        <f t="shared" si="15"/>
        <v>36.98360656</v>
      </c>
      <c r="AC90" s="202">
        <f t="shared" si="16"/>
        <v>0.7396721311</v>
      </c>
      <c r="AD90" s="203"/>
      <c r="AE90" s="203"/>
      <c r="AF90" s="203"/>
      <c r="AG90" s="203"/>
      <c r="AH90" s="203"/>
      <c r="AI90" s="203"/>
      <c r="AJ90" s="203"/>
      <c r="AK90" s="203"/>
      <c r="AL90" s="203"/>
      <c r="AM90" s="203"/>
      <c r="AN90" s="203"/>
      <c r="AO90" s="203"/>
      <c r="AP90" s="203"/>
      <c r="AQ90" s="203"/>
      <c r="AR90" s="203"/>
      <c r="AS90" s="203"/>
      <c r="AT90" s="203"/>
      <c r="AU90" s="203"/>
    </row>
    <row r="91" ht="14.25" customHeight="1">
      <c r="A91" s="206" t="s">
        <v>223</v>
      </c>
      <c r="B91" s="192" t="s">
        <v>162</v>
      </c>
      <c r="C91" s="192" t="s">
        <v>2035</v>
      </c>
      <c r="D91" s="205">
        <v>120.0</v>
      </c>
      <c r="E91" s="205">
        <v>20.0</v>
      </c>
      <c r="F91" s="196">
        <f t="shared" si="1"/>
        <v>91.47540984</v>
      </c>
      <c r="G91" s="197">
        <f t="shared" si="2"/>
        <v>4.573770492</v>
      </c>
      <c r="H91" s="198">
        <v>3.5</v>
      </c>
      <c r="I91" s="198">
        <f t="shared" si="3"/>
        <v>70</v>
      </c>
      <c r="J91" s="198">
        <v>1.22</v>
      </c>
      <c r="K91" s="199">
        <f t="shared" si="4"/>
        <v>57.37704918</v>
      </c>
      <c r="L91" s="197"/>
      <c r="M91" s="200">
        <f t="shared" si="5"/>
        <v>120</v>
      </c>
      <c r="N91" s="200">
        <f t="shared" si="6"/>
        <v>98.36065574</v>
      </c>
      <c r="O91" s="199">
        <f t="shared" si="7"/>
        <v>6</v>
      </c>
      <c r="P91" s="201">
        <f t="shared" si="8"/>
        <v>4.918032787</v>
      </c>
      <c r="Q91" s="197"/>
      <c r="R91" s="197"/>
      <c r="S91" s="202">
        <v>0.8</v>
      </c>
      <c r="T91" s="202">
        <v>0.2</v>
      </c>
      <c r="U91" s="202">
        <v>0.35</v>
      </c>
      <c r="V91" s="199">
        <f t="shared" si="9"/>
        <v>5.58</v>
      </c>
      <c r="W91" s="199">
        <f t="shared" si="10"/>
        <v>4.573770492</v>
      </c>
      <c r="X91" s="202">
        <f t="shared" si="11"/>
        <v>0.3442622951</v>
      </c>
      <c r="Y91" s="202">
        <f t="shared" si="12"/>
        <v>0.07</v>
      </c>
      <c r="Z91" s="200">
        <f t="shared" si="13"/>
        <v>111.6</v>
      </c>
      <c r="AA91" s="200">
        <f t="shared" si="14"/>
        <v>91.47540984</v>
      </c>
      <c r="AB91" s="200">
        <f t="shared" si="15"/>
        <v>78.36065574</v>
      </c>
      <c r="AC91" s="202">
        <f t="shared" si="16"/>
        <v>0.6530054645</v>
      </c>
      <c r="AD91" s="203"/>
      <c r="AE91" s="203"/>
      <c r="AF91" s="203"/>
      <c r="AG91" s="203"/>
      <c r="AH91" s="203"/>
      <c r="AI91" s="203"/>
      <c r="AJ91" s="203"/>
      <c r="AK91" s="203"/>
      <c r="AL91" s="203"/>
      <c r="AM91" s="203"/>
      <c r="AN91" s="203"/>
      <c r="AO91" s="203"/>
      <c r="AP91" s="203"/>
      <c r="AQ91" s="203"/>
      <c r="AR91" s="203"/>
      <c r="AS91" s="203"/>
      <c r="AT91" s="203"/>
      <c r="AU91" s="203"/>
    </row>
    <row r="92" ht="14.25" customHeight="1">
      <c r="A92" s="206" t="s">
        <v>285</v>
      </c>
      <c r="B92" s="193"/>
      <c r="C92" s="193"/>
      <c r="D92" s="205">
        <v>90.0</v>
      </c>
      <c r="E92" s="205">
        <v>16.5</v>
      </c>
      <c r="F92" s="196">
        <f t="shared" si="1"/>
        <v>68.60655738</v>
      </c>
      <c r="G92" s="197">
        <f t="shared" si="2"/>
        <v>4.157973174</v>
      </c>
      <c r="H92" s="198">
        <v>3.5</v>
      </c>
      <c r="I92" s="198">
        <f t="shared" si="3"/>
        <v>57.75</v>
      </c>
      <c r="J92" s="198">
        <v>1.22</v>
      </c>
      <c r="K92" s="199">
        <f t="shared" si="4"/>
        <v>47.33606557</v>
      </c>
      <c r="L92" s="197"/>
      <c r="M92" s="200">
        <f t="shared" si="5"/>
        <v>90</v>
      </c>
      <c r="N92" s="200">
        <f t="shared" si="6"/>
        <v>73.7704918</v>
      </c>
      <c r="O92" s="199">
        <f t="shared" si="7"/>
        <v>5.454545455</v>
      </c>
      <c r="P92" s="201">
        <f t="shared" si="8"/>
        <v>4.470938897</v>
      </c>
      <c r="Q92" s="197"/>
      <c r="R92" s="197"/>
      <c r="S92" s="202">
        <v>0.8</v>
      </c>
      <c r="T92" s="202">
        <v>0.2</v>
      </c>
      <c r="U92" s="202">
        <v>0.35</v>
      </c>
      <c r="V92" s="199">
        <f t="shared" si="9"/>
        <v>5.072727273</v>
      </c>
      <c r="W92" s="199">
        <f t="shared" si="10"/>
        <v>4.157973174</v>
      </c>
      <c r="X92" s="202">
        <f t="shared" si="11"/>
        <v>0.3129657228</v>
      </c>
      <c r="Y92" s="202">
        <f t="shared" si="12"/>
        <v>0.07</v>
      </c>
      <c r="Z92" s="200">
        <f t="shared" si="13"/>
        <v>83.7</v>
      </c>
      <c r="AA92" s="200">
        <f t="shared" si="14"/>
        <v>68.60655738</v>
      </c>
      <c r="AB92" s="200">
        <f t="shared" si="15"/>
        <v>57.2704918</v>
      </c>
      <c r="AC92" s="202">
        <f t="shared" si="16"/>
        <v>0.6363387978</v>
      </c>
      <c r="AD92" s="203"/>
      <c r="AE92" s="203"/>
      <c r="AF92" s="203"/>
      <c r="AG92" s="203"/>
      <c r="AH92" s="203"/>
      <c r="AI92" s="203"/>
      <c r="AJ92" s="203"/>
      <c r="AK92" s="203"/>
      <c r="AL92" s="203"/>
      <c r="AM92" s="203"/>
      <c r="AN92" s="203"/>
      <c r="AO92" s="203"/>
      <c r="AP92" s="203"/>
      <c r="AQ92" s="203"/>
      <c r="AR92" s="203"/>
      <c r="AS92" s="203"/>
      <c r="AT92" s="203"/>
      <c r="AU92" s="203"/>
    </row>
    <row r="93" ht="14.25" customHeight="1">
      <c r="A93" s="206" t="s">
        <v>260</v>
      </c>
      <c r="B93" s="193"/>
      <c r="C93" s="193"/>
      <c r="D93" s="205">
        <v>90.0</v>
      </c>
      <c r="E93" s="205">
        <v>16.5</v>
      </c>
      <c r="F93" s="196">
        <f t="shared" si="1"/>
        <v>68.60655738</v>
      </c>
      <c r="G93" s="197">
        <f t="shared" si="2"/>
        <v>4.157973174</v>
      </c>
      <c r="H93" s="198">
        <v>3.5</v>
      </c>
      <c r="I93" s="198">
        <f t="shared" si="3"/>
        <v>57.75</v>
      </c>
      <c r="J93" s="198">
        <v>1.22</v>
      </c>
      <c r="K93" s="199">
        <f t="shared" si="4"/>
        <v>47.33606557</v>
      </c>
      <c r="L93" s="197"/>
      <c r="M93" s="200">
        <f t="shared" si="5"/>
        <v>90</v>
      </c>
      <c r="N93" s="200">
        <f t="shared" si="6"/>
        <v>73.7704918</v>
      </c>
      <c r="O93" s="199">
        <f t="shared" si="7"/>
        <v>5.454545455</v>
      </c>
      <c r="P93" s="201">
        <f t="shared" si="8"/>
        <v>4.470938897</v>
      </c>
      <c r="Q93" s="197"/>
      <c r="R93" s="197"/>
      <c r="S93" s="202">
        <v>0.8</v>
      </c>
      <c r="T93" s="202">
        <v>0.2</v>
      </c>
      <c r="U93" s="202">
        <v>0.35</v>
      </c>
      <c r="V93" s="199">
        <f t="shared" si="9"/>
        <v>5.072727273</v>
      </c>
      <c r="W93" s="199">
        <f t="shared" si="10"/>
        <v>4.157973174</v>
      </c>
      <c r="X93" s="202">
        <f t="shared" si="11"/>
        <v>0.3129657228</v>
      </c>
      <c r="Y93" s="202">
        <f t="shared" si="12"/>
        <v>0.07</v>
      </c>
      <c r="Z93" s="200">
        <f t="shared" si="13"/>
        <v>83.7</v>
      </c>
      <c r="AA93" s="200">
        <f t="shared" si="14"/>
        <v>68.60655738</v>
      </c>
      <c r="AB93" s="200">
        <f t="shared" si="15"/>
        <v>57.2704918</v>
      </c>
      <c r="AC93" s="202">
        <f t="shared" si="16"/>
        <v>0.6363387978</v>
      </c>
      <c r="AD93" s="203"/>
      <c r="AE93" s="203"/>
      <c r="AF93" s="203"/>
      <c r="AG93" s="203"/>
      <c r="AH93" s="203"/>
      <c r="AI93" s="203"/>
      <c r="AJ93" s="203"/>
      <c r="AK93" s="203"/>
      <c r="AL93" s="203"/>
      <c r="AM93" s="203"/>
      <c r="AN93" s="203"/>
      <c r="AO93" s="203"/>
      <c r="AP93" s="203"/>
      <c r="AQ93" s="203"/>
      <c r="AR93" s="203"/>
      <c r="AS93" s="203"/>
      <c r="AT93" s="203"/>
      <c r="AU93" s="203"/>
    </row>
    <row r="94" ht="14.25" customHeight="1">
      <c r="A94" s="206" t="s">
        <v>307</v>
      </c>
      <c r="B94" s="193"/>
      <c r="C94" s="193"/>
      <c r="D94" s="205">
        <v>90.0</v>
      </c>
      <c r="E94" s="205">
        <v>16.5</v>
      </c>
      <c r="F94" s="196">
        <f t="shared" si="1"/>
        <v>68.60655738</v>
      </c>
      <c r="G94" s="197">
        <f t="shared" si="2"/>
        <v>4.157973174</v>
      </c>
      <c r="H94" s="198">
        <v>3.5</v>
      </c>
      <c r="I94" s="198">
        <f t="shared" si="3"/>
        <v>57.75</v>
      </c>
      <c r="J94" s="198">
        <v>1.22</v>
      </c>
      <c r="K94" s="199">
        <f t="shared" si="4"/>
        <v>47.33606557</v>
      </c>
      <c r="L94" s="197"/>
      <c r="M94" s="200">
        <f t="shared" si="5"/>
        <v>90</v>
      </c>
      <c r="N94" s="200">
        <f t="shared" si="6"/>
        <v>73.7704918</v>
      </c>
      <c r="O94" s="199">
        <f t="shared" si="7"/>
        <v>5.454545455</v>
      </c>
      <c r="P94" s="201">
        <f t="shared" si="8"/>
        <v>4.470938897</v>
      </c>
      <c r="Q94" s="197"/>
      <c r="R94" s="197"/>
      <c r="S94" s="202">
        <v>0.8</v>
      </c>
      <c r="T94" s="202">
        <v>0.2</v>
      </c>
      <c r="U94" s="202">
        <v>0.35</v>
      </c>
      <c r="V94" s="199">
        <f t="shared" si="9"/>
        <v>5.072727273</v>
      </c>
      <c r="W94" s="199">
        <f t="shared" si="10"/>
        <v>4.157973174</v>
      </c>
      <c r="X94" s="202">
        <f t="shared" si="11"/>
        <v>0.3129657228</v>
      </c>
      <c r="Y94" s="202">
        <f t="shared" si="12"/>
        <v>0.07</v>
      </c>
      <c r="Z94" s="200">
        <f t="shared" si="13"/>
        <v>83.7</v>
      </c>
      <c r="AA94" s="200">
        <f t="shared" si="14"/>
        <v>68.60655738</v>
      </c>
      <c r="AB94" s="200">
        <f t="shared" si="15"/>
        <v>57.2704918</v>
      </c>
      <c r="AC94" s="202">
        <f t="shared" si="16"/>
        <v>0.6363387978</v>
      </c>
      <c r="AD94" s="203"/>
      <c r="AE94" s="203"/>
      <c r="AF94" s="203"/>
      <c r="AG94" s="203"/>
      <c r="AH94" s="203"/>
      <c r="AI94" s="203"/>
      <c r="AJ94" s="203"/>
      <c r="AK94" s="203"/>
      <c r="AL94" s="203"/>
      <c r="AM94" s="203"/>
      <c r="AN94" s="203"/>
      <c r="AO94" s="203"/>
      <c r="AP94" s="203"/>
      <c r="AQ94" s="203"/>
      <c r="AR94" s="203"/>
      <c r="AS94" s="203"/>
      <c r="AT94" s="203"/>
      <c r="AU94" s="203"/>
    </row>
    <row r="95" ht="14.25" customHeight="1">
      <c r="A95" s="206" t="s">
        <v>2036</v>
      </c>
      <c r="B95" s="193"/>
      <c r="C95" s="193"/>
      <c r="D95" s="205">
        <v>90.0</v>
      </c>
      <c r="E95" s="205">
        <v>16.5</v>
      </c>
      <c r="F95" s="196">
        <f t="shared" si="1"/>
        <v>68.60655738</v>
      </c>
      <c r="G95" s="197">
        <f t="shared" si="2"/>
        <v>4.157973174</v>
      </c>
      <c r="H95" s="198">
        <v>3.5</v>
      </c>
      <c r="I95" s="198">
        <f t="shared" si="3"/>
        <v>57.75</v>
      </c>
      <c r="J95" s="198">
        <v>1.22</v>
      </c>
      <c r="K95" s="199">
        <f t="shared" si="4"/>
        <v>47.33606557</v>
      </c>
      <c r="L95" s="197"/>
      <c r="M95" s="200">
        <f t="shared" si="5"/>
        <v>90</v>
      </c>
      <c r="N95" s="200">
        <f t="shared" si="6"/>
        <v>73.7704918</v>
      </c>
      <c r="O95" s="199">
        <f t="shared" si="7"/>
        <v>5.454545455</v>
      </c>
      <c r="P95" s="201">
        <f t="shared" si="8"/>
        <v>4.470938897</v>
      </c>
      <c r="Q95" s="197"/>
      <c r="R95" s="197"/>
      <c r="S95" s="202">
        <v>0.8</v>
      </c>
      <c r="T95" s="202">
        <v>0.2</v>
      </c>
      <c r="U95" s="202">
        <v>0.35</v>
      </c>
      <c r="V95" s="199">
        <f t="shared" si="9"/>
        <v>5.072727273</v>
      </c>
      <c r="W95" s="199">
        <f t="shared" si="10"/>
        <v>4.157973174</v>
      </c>
      <c r="X95" s="202">
        <f t="shared" si="11"/>
        <v>0.3129657228</v>
      </c>
      <c r="Y95" s="202">
        <f t="shared" si="12"/>
        <v>0.07</v>
      </c>
      <c r="Z95" s="200">
        <f t="shared" si="13"/>
        <v>83.7</v>
      </c>
      <c r="AA95" s="200">
        <f t="shared" si="14"/>
        <v>68.60655738</v>
      </c>
      <c r="AB95" s="200">
        <f t="shared" si="15"/>
        <v>57.2704918</v>
      </c>
      <c r="AC95" s="202">
        <f t="shared" si="16"/>
        <v>0.6363387978</v>
      </c>
      <c r="AD95" s="203"/>
      <c r="AE95" s="203"/>
      <c r="AF95" s="203"/>
      <c r="AG95" s="203"/>
      <c r="AH95" s="203"/>
      <c r="AI95" s="203"/>
      <c r="AJ95" s="203"/>
      <c r="AK95" s="203"/>
      <c r="AL95" s="203"/>
      <c r="AM95" s="203"/>
      <c r="AN95" s="203"/>
      <c r="AO95" s="203"/>
      <c r="AP95" s="203"/>
      <c r="AQ95" s="203"/>
      <c r="AR95" s="203"/>
      <c r="AS95" s="203"/>
      <c r="AT95" s="203"/>
      <c r="AU95" s="203"/>
    </row>
    <row r="96" ht="14.25" customHeight="1">
      <c r="A96" s="206" t="s">
        <v>2037</v>
      </c>
      <c r="B96" s="193"/>
      <c r="C96" s="193"/>
      <c r="D96" s="205">
        <v>150.0</v>
      </c>
      <c r="E96" s="205">
        <v>33.0</v>
      </c>
      <c r="F96" s="196">
        <f t="shared" si="1"/>
        <v>114.3442623</v>
      </c>
      <c r="G96" s="197">
        <f t="shared" si="2"/>
        <v>3.464977645</v>
      </c>
      <c r="H96" s="198">
        <v>3.5</v>
      </c>
      <c r="I96" s="198">
        <f t="shared" si="3"/>
        <v>115.5</v>
      </c>
      <c r="J96" s="198">
        <v>1.22</v>
      </c>
      <c r="K96" s="199">
        <f t="shared" si="4"/>
        <v>94.67213115</v>
      </c>
      <c r="L96" s="197"/>
      <c r="M96" s="200">
        <f t="shared" si="5"/>
        <v>150</v>
      </c>
      <c r="N96" s="200">
        <f t="shared" si="6"/>
        <v>122.9508197</v>
      </c>
      <c r="O96" s="199">
        <f t="shared" si="7"/>
        <v>4.545454545</v>
      </c>
      <c r="P96" s="201">
        <f t="shared" si="8"/>
        <v>3.725782414</v>
      </c>
      <c r="Q96" s="197"/>
      <c r="R96" s="197"/>
      <c r="S96" s="202">
        <v>0.8</v>
      </c>
      <c r="T96" s="202">
        <v>0.2</v>
      </c>
      <c r="U96" s="202">
        <v>0.35</v>
      </c>
      <c r="V96" s="199">
        <f t="shared" si="9"/>
        <v>4.227272727</v>
      </c>
      <c r="W96" s="199">
        <f t="shared" si="10"/>
        <v>3.464977645</v>
      </c>
      <c r="X96" s="202">
        <f t="shared" si="11"/>
        <v>0.260804769</v>
      </c>
      <c r="Y96" s="202">
        <f t="shared" si="12"/>
        <v>0.07</v>
      </c>
      <c r="Z96" s="200">
        <f t="shared" si="13"/>
        <v>139.5</v>
      </c>
      <c r="AA96" s="200">
        <f t="shared" si="14"/>
        <v>114.3442623</v>
      </c>
      <c r="AB96" s="200">
        <f t="shared" si="15"/>
        <v>89.95081967</v>
      </c>
      <c r="AC96" s="202">
        <f t="shared" si="16"/>
        <v>0.5996721311</v>
      </c>
      <c r="AD96" s="203"/>
      <c r="AE96" s="203"/>
      <c r="AF96" s="203"/>
      <c r="AG96" s="203"/>
      <c r="AH96" s="203"/>
      <c r="AI96" s="203"/>
      <c r="AJ96" s="203"/>
      <c r="AK96" s="203"/>
      <c r="AL96" s="203"/>
      <c r="AM96" s="203"/>
      <c r="AN96" s="203"/>
      <c r="AO96" s="203"/>
      <c r="AP96" s="203"/>
      <c r="AQ96" s="203"/>
      <c r="AR96" s="203"/>
      <c r="AS96" s="203"/>
      <c r="AT96" s="203"/>
      <c r="AU96" s="203"/>
    </row>
    <row r="97" ht="14.25" customHeight="1">
      <c r="A97" s="211" t="s">
        <v>295</v>
      </c>
      <c r="B97" s="193"/>
      <c r="C97" s="193"/>
      <c r="D97" s="205">
        <v>120.0</v>
      </c>
      <c r="E97" s="205">
        <v>26.0</v>
      </c>
      <c r="F97" s="196">
        <f t="shared" si="1"/>
        <v>91.47540984</v>
      </c>
      <c r="G97" s="197">
        <f t="shared" si="2"/>
        <v>3.518284994</v>
      </c>
      <c r="H97" s="198">
        <v>3.5</v>
      </c>
      <c r="I97" s="198">
        <f t="shared" si="3"/>
        <v>91</v>
      </c>
      <c r="J97" s="198">
        <v>1.22</v>
      </c>
      <c r="K97" s="199">
        <f t="shared" si="4"/>
        <v>74.59016393</v>
      </c>
      <c r="L97" s="197"/>
      <c r="M97" s="200">
        <f t="shared" si="5"/>
        <v>120</v>
      </c>
      <c r="N97" s="200">
        <f t="shared" si="6"/>
        <v>98.36065574</v>
      </c>
      <c r="O97" s="199">
        <f t="shared" si="7"/>
        <v>4.615384615</v>
      </c>
      <c r="P97" s="201">
        <f t="shared" si="8"/>
        <v>3.783102144</v>
      </c>
      <c r="Q97" s="197"/>
      <c r="R97" s="197"/>
      <c r="S97" s="202">
        <v>0.8</v>
      </c>
      <c r="T97" s="202">
        <v>0.2</v>
      </c>
      <c r="U97" s="202">
        <v>0.35</v>
      </c>
      <c r="V97" s="199">
        <f t="shared" si="9"/>
        <v>4.292307692</v>
      </c>
      <c r="W97" s="199">
        <f t="shared" si="10"/>
        <v>3.518284994</v>
      </c>
      <c r="X97" s="202">
        <f t="shared" si="11"/>
        <v>0.2648171501</v>
      </c>
      <c r="Y97" s="202">
        <f t="shared" si="12"/>
        <v>0.07</v>
      </c>
      <c r="Z97" s="200">
        <f t="shared" si="13"/>
        <v>111.6</v>
      </c>
      <c r="AA97" s="200">
        <f t="shared" si="14"/>
        <v>91.47540984</v>
      </c>
      <c r="AB97" s="200">
        <f t="shared" si="15"/>
        <v>72.36065574</v>
      </c>
      <c r="AC97" s="202">
        <f t="shared" si="16"/>
        <v>0.6030054645</v>
      </c>
      <c r="AD97" s="203"/>
      <c r="AE97" s="203"/>
      <c r="AF97" s="203"/>
      <c r="AG97" s="203"/>
      <c r="AH97" s="203"/>
      <c r="AI97" s="203"/>
      <c r="AJ97" s="203"/>
      <c r="AK97" s="203"/>
      <c r="AL97" s="203"/>
      <c r="AM97" s="203"/>
      <c r="AN97" s="203"/>
      <c r="AO97" s="203"/>
      <c r="AP97" s="203"/>
      <c r="AQ97" s="203"/>
      <c r="AR97" s="203"/>
      <c r="AS97" s="203"/>
      <c r="AT97" s="203"/>
      <c r="AU97" s="203"/>
    </row>
    <row r="98" ht="14.25" customHeight="1">
      <c r="A98" s="206" t="s">
        <v>289</v>
      </c>
      <c r="B98" s="192" t="s">
        <v>162</v>
      </c>
      <c r="C98" s="192" t="s">
        <v>2038</v>
      </c>
      <c r="D98" s="205">
        <v>120.0</v>
      </c>
      <c r="E98" s="205">
        <v>20.0</v>
      </c>
      <c r="F98" s="196">
        <f t="shared" si="1"/>
        <v>91.47540984</v>
      </c>
      <c r="G98" s="197">
        <f t="shared" si="2"/>
        <v>4.573770492</v>
      </c>
      <c r="H98" s="198">
        <v>3.5</v>
      </c>
      <c r="I98" s="198">
        <f t="shared" si="3"/>
        <v>70</v>
      </c>
      <c r="J98" s="198">
        <v>1.22</v>
      </c>
      <c r="K98" s="199">
        <f t="shared" si="4"/>
        <v>57.37704918</v>
      </c>
      <c r="L98" s="197"/>
      <c r="M98" s="200">
        <f t="shared" si="5"/>
        <v>120</v>
      </c>
      <c r="N98" s="200">
        <f t="shared" si="6"/>
        <v>98.36065574</v>
      </c>
      <c r="O98" s="199">
        <f t="shared" si="7"/>
        <v>6</v>
      </c>
      <c r="P98" s="201">
        <f t="shared" si="8"/>
        <v>4.918032787</v>
      </c>
      <c r="Q98" s="197"/>
      <c r="R98" s="197"/>
      <c r="S98" s="202">
        <v>0.8</v>
      </c>
      <c r="T98" s="202">
        <v>0.2</v>
      </c>
      <c r="U98" s="202">
        <v>0.35</v>
      </c>
      <c r="V98" s="199">
        <f t="shared" si="9"/>
        <v>5.58</v>
      </c>
      <c r="W98" s="199">
        <f t="shared" si="10"/>
        <v>4.573770492</v>
      </c>
      <c r="X98" s="202">
        <f t="shared" si="11"/>
        <v>0.3442622951</v>
      </c>
      <c r="Y98" s="202">
        <f t="shared" si="12"/>
        <v>0.07</v>
      </c>
      <c r="Z98" s="200">
        <f t="shared" si="13"/>
        <v>111.6</v>
      </c>
      <c r="AA98" s="200">
        <f t="shared" si="14"/>
        <v>91.47540984</v>
      </c>
      <c r="AB98" s="200">
        <f t="shared" si="15"/>
        <v>78.36065574</v>
      </c>
      <c r="AC98" s="202">
        <f t="shared" si="16"/>
        <v>0.6530054645</v>
      </c>
      <c r="AD98" s="203"/>
      <c r="AE98" s="203"/>
      <c r="AF98" s="203"/>
      <c r="AG98" s="203"/>
      <c r="AH98" s="203"/>
      <c r="AI98" s="203"/>
      <c r="AJ98" s="203"/>
      <c r="AK98" s="203"/>
      <c r="AL98" s="203"/>
      <c r="AM98" s="203"/>
      <c r="AN98" s="203"/>
      <c r="AO98" s="203"/>
      <c r="AP98" s="203"/>
      <c r="AQ98" s="203"/>
      <c r="AR98" s="203"/>
      <c r="AS98" s="203"/>
      <c r="AT98" s="203"/>
      <c r="AU98" s="203"/>
    </row>
    <row r="99" ht="14.25" customHeight="1">
      <c r="A99" s="206" t="s">
        <v>2039</v>
      </c>
      <c r="B99" s="192" t="s">
        <v>162</v>
      </c>
      <c r="C99" s="192" t="s">
        <v>2040</v>
      </c>
      <c r="D99" s="205">
        <v>120.0</v>
      </c>
      <c r="E99" s="205">
        <v>20.0</v>
      </c>
      <c r="F99" s="196">
        <f t="shared" si="1"/>
        <v>91.47540984</v>
      </c>
      <c r="G99" s="197">
        <f t="shared" si="2"/>
        <v>4.573770492</v>
      </c>
      <c r="H99" s="198">
        <v>3.5</v>
      </c>
      <c r="I99" s="198">
        <f t="shared" si="3"/>
        <v>70</v>
      </c>
      <c r="J99" s="198">
        <v>1.22</v>
      </c>
      <c r="K99" s="199">
        <f t="shared" si="4"/>
        <v>57.37704918</v>
      </c>
      <c r="L99" s="197"/>
      <c r="M99" s="200">
        <f t="shared" si="5"/>
        <v>120</v>
      </c>
      <c r="N99" s="200">
        <f t="shared" si="6"/>
        <v>98.36065574</v>
      </c>
      <c r="O99" s="199">
        <f t="shared" si="7"/>
        <v>6</v>
      </c>
      <c r="P99" s="201">
        <f t="shared" si="8"/>
        <v>4.918032787</v>
      </c>
      <c r="Q99" s="197"/>
      <c r="R99" s="197"/>
      <c r="S99" s="202">
        <v>0.8</v>
      </c>
      <c r="T99" s="202">
        <v>0.2</v>
      </c>
      <c r="U99" s="202">
        <v>0.35</v>
      </c>
      <c r="V99" s="199">
        <f t="shared" si="9"/>
        <v>5.58</v>
      </c>
      <c r="W99" s="199">
        <f t="shared" si="10"/>
        <v>4.573770492</v>
      </c>
      <c r="X99" s="202">
        <f t="shared" si="11"/>
        <v>0.3442622951</v>
      </c>
      <c r="Y99" s="202">
        <f t="shared" si="12"/>
        <v>0.07</v>
      </c>
      <c r="Z99" s="200">
        <f t="shared" si="13"/>
        <v>111.6</v>
      </c>
      <c r="AA99" s="200">
        <f t="shared" si="14"/>
        <v>91.47540984</v>
      </c>
      <c r="AB99" s="200">
        <f t="shared" si="15"/>
        <v>78.36065574</v>
      </c>
      <c r="AC99" s="202">
        <f t="shared" si="16"/>
        <v>0.6530054645</v>
      </c>
      <c r="AD99" s="203"/>
      <c r="AE99" s="203"/>
      <c r="AF99" s="203"/>
      <c r="AG99" s="203"/>
      <c r="AH99" s="203"/>
      <c r="AI99" s="203"/>
      <c r="AJ99" s="203"/>
      <c r="AK99" s="203"/>
      <c r="AL99" s="203"/>
      <c r="AM99" s="203"/>
      <c r="AN99" s="203"/>
      <c r="AO99" s="203"/>
      <c r="AP99" s="203"/>
      <c r="AQ99" s="203"/>
      <c r="AR99" s="203"/>
      <c r="AS99" s="203"/>
      <c r="AT99" s="203"/>
      <c r="AU99" s="203"/>
    </row>
    <row r="100" ht="14.25" customHeight="1">
      <c r="A100" s="206" t="s">
        <v>296</v>
      </c>
      <c r="B100" s="192" t="s">
        <v>162</v>
      </c>
      <c r="C100" s="192" t="s">
        <v>2041</v>
      </c>
      <c r="D100" s="205">
        <v>170.0</v>
      </c>
      <c r="E100" s="205">
        <v>25.0</v>
      </c>
      <c r="F100" s="196">
        <f t="shared" si="1"/>
        <v>129.5901639</v>
      </c>
      <c r="G100" s="197">
        <f t="shared" si="2"/>
        <v>5.183606557</v>
      </c>
      <c r="H100" s="198">
        <v>3.5</v>
      </c>
      <c r="I100" s="198">
        <f t="shared" si="3"/>
        <v>87.5</v>
      </c>
      <c r="J100" s="198">
        <v>1.22</v>
      </c>
      <c r="K100" s="199">
        <f t="shared" si="4"/>
        <v>71.72131148</v>
      </c>
      <c r="L100" s="197"/>
      <c r="M100" s="200">
        <f t="shared" si="5"/>
        <v>170</v>
      </c>
      <c r="N100" s="200">
        <f t="shared" si="6"/>
        <v>139.3442623</v>
      </c>
      <c r="O100" s="199">
        <f t="shared" si="7"/>
        <v>6.8</v>
      </c>
      <c r="P100" s="201">
        <f t="shared" si="8"/>
        <v>5.573770492</v>
      </c>
      <c r="Q100" s="197"/>
      <c r="R100" s="197"/>
      <c r="S100" s="202">
        <v>0.8</v>
      </c>
      <c r="T100" s="202">
        <v>0.2</v>
      </c>
      <c r="U100" s="202">
        <v>0.35</v>
      </c>
      <c r="V100" s="199">
        <f t="shared" si="9"/>
        <v>6.324</v>
      </c>
      <c r="W100" s="199">
        <f t="shared" si="10"/>
        <v>5.183606557</v>
      </c>
      <c r="X100" s="202">
        <f t="shared" si="11"/>
        <v>0.3901639344</v>
      </c>
      <c r="Y100" s="202">
        <f t="shared" si="12"/>
        <v>0.07</v>
      </c>
      <c r="Z100" s="200">
        <f t="shared" si="13"/>
        <v>158.1</v>
      </c>
      <c r="AA100" s="200">
        <f t="shared" si="14"/>
        <v>129.5901639</v>
      </c>
      <c r="AB100" s="200">
        <f t="shared" si="15"/>
        <v>114.3442623</v>
      </c>
      <c r="AC100" s="202">
        <f t="shared" si="16"/>
        <v>0.6726133076</v>
      </c>
      <c r="AD100" s="203"/>
      <c r="AE100" s="203"/>
      <c r="AF100" s="203"/>
      <c r="AG100" s="203"/>
      <c r="AH100" s="203"/>
      <c r="AI100" s="203"/>
      <c r="AJ100" s="203"/>
      <c r="AK100" s="203"/>
      <c r="AL100" s="203"/>
      <c r="AM100" s="203"/>
      <c r="AN100" s="203"/>
      <c r="AO100" s="203"/>
      <c r="AP100" s="203"/>
      <c r="AQ100" s="203"/>
      <c r="AR100" s="203"/>
      <c r="AS100" s="203"/>
      <c r="AT100" s="203"/>
      <c r="AU100" s="203"/>
    </row>
    <row r="101" ht="14.25" customHeight="1">
      <c r="A101" s="206" t="s">
        <v>2042</v>
      </c>
      <c r="B101" s="192" t="s">
        <v>162</v>
      </c>
      <c r="C101" s="192" t="s">
        <v>2043</v>
      </c>
      <c r="D101" s="205">
        <v>170.0</v>
      </c>
      <c r="E101" s="205">
        <v>30.0</v>
      </c>
      <c r="F101" s="196">
        <f t="shared" si="1"/>
        <v>129.5901639</v>
      </c>
      <c r="G101" s="197">
        <f t="shared" si="2"/>
        <v>4.319672131</v>
      </c>
      <c r="H101" s="198">
        <v>3.5</v>
      </c>
      <c r="I101" s="198">
        <f t="shared" si="3"/>
        <v>105</v>
      </c>
      <c r="J101" s="198">
        <v>1.22</v>
      </c>
      <c r="K101" s="199">
        <f t="shared" si="4"/>
        <v>86.06557377</v>
      </c>
      <c r="L101" s="197"/>
      <c r="M101" s="200">
        <f t="shared" si="5"/>
        <v>170</v>
      </c>
      <c r="N101" s="200">
        <f t="shared" si="6"/>
        <v>139.3442623</v>
      </c>
      <c r="O101" s="199">
        <f t="shared" si="7"/>
        <v>5.666666667</v>
      </c>
      <c r="P101" s="201">
        <f t="shared" si="8"/>
        <v>4.644808743</v>
      </c>
      <c r="Q101" s="197"/>
      <c r="R101" s="197"/>
      <c r="S101" s="202">
        <v>0.8</v>
      </c>
      <c r="T101" s="202">
        <v>0.2</v>
      </c>
      <c r="U101" s="202">
        <v>0.35</v>
      </c>
      <c r="V101" s="199">
        <f t="shared" si="9"/>
        <v>5.27</v>
      </c>
      <c r="W101" s="199">
        <f t="shared" si="10"/>
        <v>4.319672131</v>
      </c>
      <c r="X101" s="202">
        <f t="shared" si="11"/>
        <v>0.325136612</v>
      </c>
      <c r="Y101" s="202">
        <f t="shared" si="12"/>
        <v>0.07</v>
      </c>
      <c r="Z101" s="200">
        <f t="shared" si="13"/>
        <v>158.1</v>
      </c>
      <c r="AA101" s="200">
        <f t="shared" si="14"/>
        <v>129.5901639</v>
      </c>
      <c r="AB101" s="200">
        <f t="shared" si="15"/>
        <v>109.3442623</v>
      </c>
      <c r="AC101" s="202">
        <f t="shared" si="16"/>
        <v>0.6432015429</v>
      </c>
      <c r="AD101" s="203"/>
      <c r="AE101" s="203"/>
      <c r="AF101" s="203"/>
      <c r="AG101" s="203"/>
      <c r="AH101" s="203"/>
      <c r="AI101" s="203"/>
      <c r="AJ101" s="203"/>
      <c r="AK101" s="203"/>
      <c r="AL101" s="203"/>
      <c r="AM101" s="203"/>
      <c r="AN101" s="203"/>
      <c r="AO101" s="203"/>
      <c r="AP101" s="203"/>
      <c r="AQ101" s="203"/>
      <c r="AR101" s="203"/>
      <c r="AS101" s="203"/>
      <c r="AT101" s="203"/>
      <c r="AU101" s="203"/>
    </row>
    <row r="102" ht="14.25" customHeight="1">
      <c r="A102" s="206" t="s">
        <v>298</v>
      </c>
      <c r="B102" s="192" t="s">
        <v>162</v>
      </c>
      <c r="C102" s="192" t="s">
        <v>2044</v>
      </c>
      <c r="D102" s="205">
        <v>120.0</v>
      </c>
      <c r="E102" s="205">
        <v>20.0</v>
      </c>
      <c r="F102" s="196">
        <f t="shared" si="1"/>
        <v>91.47540984</v>
      </c>
      <c r="G102" s="197">
        <f t="shared" si="2"/>
        <v>4.573770492</v>
      </c>
      <c r="H102" s="198">
        <v>3.5</v>
      </c>
      <c r="I102" s="198">
        <f t="shared" si="3"/>
        <v>70</v>
      </c>
      <c r="J102" s="198">
        <v>1.22</v>
      </c>
      <c r="K102" s="199">
        <f t="shared" si="4"/>
        <v>57.37704918</v>
      </c>
      <c r="L102" s="197"/>
      <c r="M102" s="200">
        <f t="shared" si="5"/>
        <v>120</v>
      </c>
      <c r="N102" s="200">
        <f t="shared" si="6"/>
        <v>98.36065574</v>
      </c>
      <c r="O102" s="199">
        <f t="shared" si="7"/>
        <v>6</v>
      </c>
      <c r="P102" s="201">
        <f t="shared" si="8"/>
        <v>4.918032787</v>
      </c>
      <c r="Q102" s="197"/>
      <c r="R102" s="197"/>
      <c r="S102" s="202">
        <v>0.8</v>
      </c>
      <c r="T102" s="202">
        <v>0.2</v>
      </c>
      <c r="U102" s="202">
        <v>0.35</v>
      </c>
      <c r="V102" s="199">
        <f t="shared" si="9"/>
        <v>5.58</v>
      </c>
      <c r="W102" s="199">
        <f t="shared" si="10"/>
        <v>4.573770492</v>
      </c>
      <c r="X102" s="202">
        <f t="shared" si="11"/>
        <v>0.3442622951</v>
      </c>
      <c r="Y102" s="202">
        <f t="shared" si="12"/>
        <v>0.07</v>
      </c>
      <c r="Z102" s="200">
        <f t="shared" si="13"/>
        <v>111.6</v>
      </c>
      <c r="AA102" s="200">
        <f t="shared" si="14"/>
        <v>91.47540984</v>
      </c>
      <c r="AB102" s="200">
        <f t="shared" si="15"/>
        <v>78.36065574</v>
      </c>
      <c r="AC102" s="202">
        <f t="shared" si="16"/>
        <v>0.6530054645</v>
      </c>
      <c r="AD102" s="203"/>
      <c r="AE102" s="203"/>
      <c r="AF102" s="203"/>
      <c r="AG102" s="203"/>
      <c r="AH102" s="203"/>
      <c r="AI102" s="203"/>
      <c r="AJ102" s="203"/>
      <c r="AK102" s="203"/>
      <c r="AL102" s="203"/>
      <c r="AM102" s="203"/>
      <c r="AN102" s="203"/>
      <c r="AO102" s="203"/>
      <c r="AP102" s="203"/>
      <c r="AQ102" s="203"/>
      <c r="AR102" s="203"/>
      <c r="AS102" s="203"/>
      <c r="AT102" s="203"/>
      <c r="AU102" s="203"/>
    </row>
    <row r="103" ht="14.25" customHeight="1">
      <c r="A103" s="206" t="s">
        <v>300</v>
      </c>
      <c r="B103" s="192" t="s">
        <v>162</v>
      </c>
      <c r="C103" s="192" t="s">
        <v>2045</v>
      </c>
      <c r="D103" s="205">
        <v>120.0</v>
      </c>
      <c r="E103" s="205">
        <v>20.0</v>
      </c>
      <c r="F103" s="196">
        <f t="shared" si="1"/>
        <v>91.47540984</v>
      </c>
      <c r="G103" s="197">
        <f t="shared" si="2"/>
        <v>4.573770492</v>
      </c>
      <c r="H103" s="198">
        <v>3.5</v>
      </c>
      <c r="I103" s="198">
        <f t="shared" si="3"/>
        <v>70</v>
      </c>
      <c r="J103" s="198">
        <v>1.22</v>
      </c>
      <c r="K103" s="199">
        <f t="shared" si="4"/>
        <v>57.37704918</v>
      </c>
      <c r="L103" s="197"/>
      <c r="M103" s="200">
        <f t="shared" si="5"/>
        <v>120</v>
      </c>
      <c r="N103" s="200">
        <f t="shared" si="6"/>
        <v>98.36065574</v>
      </c>
      <c r="O103" s="199">
        <f t="shared" si="7"/>
        <v>6</v>
      </c>
      <c r="P103" s="201">
        <f t="shared" si="8"/>
        <v>4.918032787</v>
      </c>
      <c r="Q103" s="197"/>
      <c r="R103" s="197"/>
      <c r="S103" s="202">
        <v>0.8</v>
      </c>
      <c r="T103" s="202">
        <v>0.2</v>
      </c>
      <c r="U103" s="202">
        <v>0.35</v>
      </c>
      <c r="V103" s="199">
        <f t="shared" si="9"/>
        <v>5.58</v>
      </c>
      <c r="W103" s="199">
        <f t="shared" si="10"/>
        <v>4.573770492</v>
      </c>
      <c r="X103" s="202">
        <f t="shared" si="11"/>
        <v>0.3442622951</v>
      </c>
      <c r="Y103" s="202">
        <f t="shared" si="12"/>
        <v>0.07</v>
      </c>
      <c r="Z103" s="200">
        <f t="shared" si="13"/>
        <v>111.6</v>
      </c>
      <c r="AA103" s="200">
        <f t="shared" si="14"/>
        <v>91.47540984</v>
      </c>
      <c r="AB103" s="200">
        <f t="shared" si="15"/>
        <v>78.36065574</v>
      </c>
      <c r="AC103" s="202">
        <f t="shared" si="16"/>
        <v>0.6530054645</v>
      </c>
      <c r="AD103" s="203"/>
      <c r="AE103" s="203"/>
      <c r="AF103" s="203"/>
      <c r="AG103" s="203"/>
      <c r="AH103" s="203"/>
      <c r="AI103" s="203"/>
      <c r="AJ103" s="203"/>
      <c r="AK103" s="203"/>
      <c r="AL103" s="203"/>
      <c r="AM103" s="203"/>
      <c r="AN103" s="203"/>
      <c r="AO103" s="203"/>
      <c r="AP103" s="203"/>
      <c r="AQ103" s="203"/>
      <c r="AR103" s="203"/>
      <c r="AS103" s="203"/>
      <c r="AT103" s="203"/>
      <c r="AU103" s="203"/>
    </row>
    <row r="104" ht="14.25" customHeight="1">
      <c r="A104" s="206" t="s">
        <v>2046</v>
      </c>
      <c r="B104" s="193"/>
      <c r="C104" s="193"/>
      <c r="D104" s="205">
        <v>90.0</v>
      </c>
      <c r="E104" s="205">
        <v>40.0</v>
      </c>
      <c r="F104" s="196">
        <f t="shared" si="1"/>
        <v>68.60655738</v>
      </c>
      <c r="G104" s="197">
        <f t="shared" si="2"/>
        <v>1.715163934</v>
      </c>
      <c r="H104" s="198">
        <v>3.5</v>
      </c>
      <c r="I104" s="198">
        <f t="shared" si="3"/>
        <v>140</v>
      </c>
      <c r="J104" s="198">
        <v>1.22</v>
      </c>
      <c r="K104" s="199">
        <f t="shared" si="4"/>
        <v>114.7540984</v>
      </c>
      <c r="L104" s="197"/>
      <c r="M104" s="200">
        <f t="shared" si="5"/>
        <v>90</v>
      </c>
      <c r="N104" s="200">
        <f t="shared" si="6"/>
        <v>73.7704918</v>
      </c>
      <c r="O104" s="199">
        <f t="shared" si="7"/>
        <v>2.25</v>
      </c>
      <c r="P104" s="201">
        <f t="shared" si="8"/>
        <v>1.844262295</v>
      </c>
      <c r="Q104" s="197"/>
      <c r="R104" s="197"/>
      <c r="S104" s="202">
        <v>0.8</v>
      </c>
      <c r="T104" s="202">
        <v>0.2</v>
      </c>
      <c r="U104" s="202">
        <v>0.35</v>
      </c>
      <c r="V104" s="199">
        <f t="shared" si="9"/>
        <v>2.0925</v>
      </c>
      <c r="W104" s="199">
        <f t="shared" si="10"/>
        <v>1.715163934</v>
      </c>
      <c r="X104" s="202">
        <f t="shared" si="11"/>
        <v>0.1290983607</v>
      </c>
      <c r="Y104" s="202">
        <f t="shared" si="12"/>
        <v>0.07</v>
      </c>
      <c r="Z104" s="200">
        <f t="shared" si="13"/>
        <v>83.7</v>
      </c>
      <c r="AA104" s="200">
        <f t="shared" si="14"/>
        <v>68.60655738</v>
      </c>
      <c r="AB104" s="200">
        <f t="shared" si="15"/>
        <v>33.7704918</v>
      </c>
      <c r="AC104" s="202">
        <f t="shared" si="16"/>
        <v>0.3752276867</v>
      </c>
      <c r="AD104" s="203"/>
      <c r="AE104" s="203"/>
      <c r="AF104" s="203"/>
      <c r="AG104" s="203"/>
      <c r="AH104" s="203"/>
      <c r="AI104" s="203"/>
      <c r="AJ104" s="203"/>
      <c r="AK104" s="203"/>
      <c r="AL104" s="203"/>
      <c r="AM104" s="203"/>
      <c r="AN104" s="203"/>
      <c r="AO104" s="203"/>
      <c r="AP104" s="203"/>
      <c r="AQ104" s="203"/>
      <c r="AR104" s="203"/>
      <c r="AS104" s="203"/>
      <c r="AT104" s="203"/>
      <c r="AU104" s="203"/>
    </row>
    <row r="105" ht="14.25" customHeight="1">
      <c r="A105" s="206" t="s">
        <v>302</v>
      </c>
      <c r="B105" s="192" t="s">
        <v>269</v>
      </c>
      <c r="C105" s="192" t="s">
        <v>2047</v>
      </c>
      <c r="D105" s="205">
        <v>80.0</v>
      </c>
      <c r="E105" s="205">
        <v>19.0</v>
      </c>
      <c r="F105" s="196">
        <f t="shared" si="1"/>
        <v>60.98360656</v>
      </c>
      <c r="G105" s="197">
        <f t="shared" si="2"/>
        <v>3.209663503</v>
      </c>
      <c r="H105" s="198">
        <v>3.5</v>
      </c>
      <c r="I105" s="198">
        <f t="shared" si="3"/>
        <v>66.5</v>
      </c>
      <c r="J105" s="198">
        <v>1.22</v>
      </c>
      <c r="K105" s="199">
        <f t="shared" si="4"/>
        <v>54.50819672</v>
      </c>
      <c r="L105" s="197"/>
      <c r="M105" s="200">
        <f t="shared" si="5"/>
        <v>80</v>
      </c>
      <c r="N105" s="200">
        <f t="shared" si="6"/>
        <v>65.57377049</v>
      </c>
      <c r="O105" s="199">
        <f t="shared" si="7"/>
        <v>4.210526316</v>
      </c>
      <c r="P105" s="201">
        <f t="shared" si="8"/>
        <v>3.451251079</v>
      </c>
      <c r="Q105" s="197"/>
      <c r="R105" s="197"/>
      <c r="S105" s="202">
        <v>0.8</v>
      </c>
      <c r="T105" s="202">
        <v>0.2</v>
      </c>
      <c r="U105" s="202">
        <v>0.35</v>
      </c>
      <c r="V105" s="199">
        <f t="shared" si="9"/>
        <v>3.915789474</v>
      </c>
      <c r="W105" s="199">
        <f t="shared" si="10"/>
        <v>3.209663503</v>
      </c>
      <c r="X105" s="202">
        <f t="shared" si="11"/>
        <v>0.2415875755</v>
      </c>
      <c r="Y105" s="202">
        <f t="shared" si="12"/>
        <v>0.07</v>
      </c>
      <c r="Z105" s="200">
        <f t="shared" si="13"/>
        <v>74.4</v>
      </c>
      <c r="AA105" s="200">
        <f t="shared" si="14"/>
        <v>60.98360656</v>
      </c>
      <c r="AB105" s="200">
        <f t="shared" si="15"/>
        <v>46.57377049</v>
      </c>
      <c r="AC105" s="202">
        <f t="shared" si="16"/>
        <v>0.5821721311</v>
      </c>
      <c r="AD105" s="203"/>
      <c r="AE105" s="203"/>
      <c r="AF105" s="203"/>
      <c r="AG105" s="203"/>
      <c r="AH105" s="203"/>
      <c r="AI105" s="203"/>
      <c r="AJ105" s="203"/>
      <c r="AK105" s="203"/>
      <c r="AL105" s="203"/>
      <c r="AM105" s="203"/>
      <c r="AN105" s="203"/>
      <c r="AO105" s="203"/>
      <c r="AP105" s="203"/>
      <c r="AQ105" s="203"/>
      <c r="AR105" s="203"/>
      <c r="AS105" s="203"/>
      <c r="AT105" s="203"/>
      <c r="AU105" s="203"/>
    </row>
    <row r="106" ht="14.25" customHeight="1">
      <c r="A106" s="206" t="s">
        <v>304</v>
      </c>
      <c r="B106" s="192" t="s">
        <v>269</v>
      </c>
      <c r="C106" s="192" t="s">
        <v>2048</v>
      </c>
      <c r="D106" s="205">
        <v>80.0</v>
      </c>
      <c r="E106" s="205">
        <v>19.0</v>
      </c>
      <c r="F106" s="196">
        <f t="shared" si="1"/>
        <v>60.98360656</v>
      </c>
      <c r="G106" s="197">
        <f t="shared" si="2"/>
        <v>3.209663503</v>
      </c>
      <c r="H106" s="198">
        <v>3.5</v>
      </c>
      <c r="I106" s="198">
        <f t="shared" si="3"/>
        <v>66.5</v>
      </c>
      <c r="J106" s="198">
        <v>1.22</v>
      </c>
      <c r="K106" s="199">
        <f t="shared" si="4"/>
        <v>54.50819672</v>
      </c>
      <c r="L106" s="197"/>
      <c r="M106" s="200">
        <f t="shared" si="5"/>
        <v>80</v>
      </c>
      <c r="N106" s="200">
        <f t="shared" si="6"/>
        <v>65.57377049</v>
      </c>
      <c r="O106" s="199">
        <f t="shared" si="7"/>
        <v>4.210526316</v>
      </c>
      <c r="P106" s="201">
        <f t="shared" si="8"/>
        <v>3.451251079</v>
      </c>
      <c r="Q106" s="197"/>
      <c r="R106" s="197"/>
      <c r="S106" s="202">
        <v>0.8</v>
      </c>
      <c r="T106" s="202">
        <v>0.2</v>
      </c>
      <c r="U106" s="202">
        <v>0.35</v>
      </c>
      <c r="V106" s="199">
        <f t="shared" si="9"/>
        <v>3.915789474</v>
      </c>
      <c r="W106" s="199">
        <f t="shared" si="10"/>
        <v>3.209663503</v>
      </c>
      <c r="X106" s="202">
        <f t="shared" si="11"/>
        <v>0.2415875755</v>
      </c>
      <c r="Y106" s="202">
        <f t="shared" si="12"/>
        <v>0.07</v>
      </c>
      <c r="Z106" s="200">
        <f t="shared" si="13"/>
        <v>74.4</v>
      </c>
      <c r="AA106" s="200">
        <f t="shared" si="14"/>
        <v>60.98360656</v>
      </c>
      <c r="AB106" s="200">
        <f t="shared" si="15"/>
        <v>46.57377049</v>
      </c>
      <c r="AC106" s="202">
        <f t="shared" si="16"/>
        <v>0.5821721311</v>
      </c>
      <c r="AD106" s="203"/>
      <c r="AE106" s="203"/>
      <c r="AF106" s="203"/>
      <c r="AG106" s="203"/>
      <c r="AH106" s="203"/>
      <c r="AI106" s="203"/>
      <c r="AJ106" s="203"/>
      <c r="AK106" s="203"/>
      <c r="AL106" s="203"/>
      <c r="AM106" s="203"/>
      <c r="AN106" s="203"/>
      <c r="AO106" s="203"/>
      <c r="AP106" s="203"/>
      <c r="AQ106" s="203"/>
      <c r="AR106" s="203"/>
      <c r="AS106" s="203"/>
      <c r="AT106" s="203"/>
      <c r="AU106" s="203"/>
    </row>
    <row r="107" ht="14.25" customHeight="1">
      <c r="A107" s="206" t="s">
        <v>305</v>
      </c>
      <c r="B107" s="192" t="s">
        <v>269</v>
      </c>
      <c r="C107" s="192" t="s">
        <v>255</v>
      </c>
      <c r="D107" s="205">
        <v>80.0</v>
      </c>
      <c r="E107" s="205">
        <v>19.0</v>
      </c>
      <c r="F107" s="196">
        <f t="shared" si="1"/>
        <v>60.98360656</v>
      </c>
      <c r="G107" s="197">
        <f t="shared" si="2"/>
        <v>3.209663503</v>
      </c>
      <c r="H107" s="198">
        <v>3.5</v>
      </c>
      <c r="I107" s="198">
        <f t="shared" si="3"/>
        <v>66.5</v>
      </c>
      <c r="J107" s="198">
        <v>1.22</v>
      </c>
      <c r="K107" s="199">
        <f t="shared" si="4"/>
        <v>54.50819672</v>
      </c>
      <c r="L107" s="197"/>
      <c r="M107" s="200">
        <f t="shared" si="5"/>
        <v>80</v>
      </c>
      <c r="N107" s="200">
        <f t="shared" si="6"/>
        <v>65.57377049</v>
      </c>
      <c r="O107" s="199">
        <f t="shared" si="7"/>
        <v>4.210526316</v>
      </c>
      <c r="P107" s="201">
        <f t="shared" si="8"/>
        <v>3.451251079</v>
      </c>
      <c r="Q107" s="197"/>
      <c r="R107" s="197"/>
      <c r="S107" s="202">
        <v>0.8</v>
      </c>
      <c r="T107" s="202">
        <v>0.2</v>
      </c>
      <c r="U107" s="202">
        <v>0.35</v>
      </c>
      <c r="V107" s="199">
        <f t="shared" si="9"/>
        <v>3.915789474</v>
      </c>
      <c r="W107" s="199">
        <f t="shared" si="10"/>
        <v>3.209663503</v>
      </c>
      <c r="X107" s="202">
        <f t="shared" si="11"/>
        <v>0.2415875755</v>
      </c>
      <c r="Y107" s="202">
        <f t="shared" si="12"/>
        <v>0.07</v>
      </c>
      <c r="Z107" s="200">
        <f t="shared" si="13"/>
        <v>74.4</v>
      </c>
      <c r="AA107" s="200">
        <f t="shared" si="14"/>
        <v>60.98360656</v>
      </c>
      <c r="AB107" s="200">
        <f t="shared" si="15"/>
        <v>46.57377049</v>
      </c>
      <c r="AC107" s="202">
        <f t="shared" si="16"/>
        <v>0.5821721311</v>
      </c>
      <c r="AD107" s="203"/>
      <c r="AE107" s="203"/>
      <c r="AF107" s="203"/>
      <c r="AG107" s="203"/>
      <c r="AH107" s="203"/>
      <c r="AI107" s="203"/>
      <c r="AJ107" s="203"/>
      <c r="AK107" s="203"/>
      <c r="AL107" s="203"/>
      <c r="AM107" s="203"/>
      <c r="AN107" s="203"/>
      <c r="AO107" s="203"/>
      <c r="AP107" s="203"/>
      <c r="AQ107" s="203"/>
      <c r="AR107" s="203"/>
      <c r="AS107" s="203"/>
      <c r="AT107" s="203"/>
      <c r="AU107" s="203"/>
    </row>
    <row r="108" ht="14.25" customHeight="1">
      <c r="A108" s="206" t="s">
        <v>2049</v>
      </c>
      <c r="B108" s="192" t="s">
        <v>252</v>
      </c>
      <c r="C108" s="192" t="s">
        <v>2050</v>
      </c>
      <c r="D108" s="205">
        <v>90.0</v>
      </c>
      <c r="E108" s="205">
        <v>16.5</v>
      </c>
      <c r="F108" s="196">
        <f t="shared" si="1"/>
        <v>68.60655738</v>
      </c>
      <c r="G108" s="197">
        <f t="shared" si="2"/>
        <v>4.157973174</v>
      </c>
      <c r="H108" s="198">
        <v>3.5</v>
      </c>
      <c r="I108" s="198">
        <f t="shared" si="3"/>
        <v>57.75</v>
      </c>
      <c r="J108" s="198">
        <v>1.22</v>
      </c>
      <c r="K108" s="199">
        <f t="shared" si="4"/>
        <v>47.33606557</v>
      </c>
      <c r="L108" s="197"/>
      <c r="M108" s="200">
        <f t="shared" si="5"/>
        <v>90</v>
      </c>
      <c r="N108" s="200">
        <f t="shared" si="6"/>
        <v>73.7704918</v>
      </c>
      <c r="O108" s="199">
        <f t="shared" si="7"/>
        <v>5.454545455</v>
      </c>
      <c r="P108" s="201">
        <f t="shared" si="8"/>
        <v>4.470938897</v>
      </c>
      <c r="Q108" s="197"/>
      <c r="R108" s="197"/>
      <c r="S108" s="202">
        <v>0.8</v>
      </c>
      <c r="T108" s="202">
        <v>0.2</v>
      </c>
      <c r="U108" s="202">
        <v>0.35</v>
      </c>
      <c r="V108" s="199">
        <f t="shared" si="9"/>
        <v>5.072727273</v>
      </c>
      <c r="W108" s="199">
        <f t="shared" si="10"/>
        <v>4.157973174</v>
      </c>
      <c r="X108" s="202">
        <f t="shared" si="11"/>
        <v>0.3129657228</v>
      </c>
      <c r="Y108" s="202">
        <f t="shared" si="12"/>
        <v>0.07</v>
      </c>
      <c r="Z108" s="200">
        <f t="shared" si="13"/>
        <v>83.7</v>
      </c>
      <c r="AA108" s="200">
        <f t="shared" si="14"/>
        <v>68.60655738</v>
      </c>
      <c r="AB108" s="200">
        <f t="shared" si="15"/>
        <v>57.2704918</v>
      </c>
      <c r="AC108" s="202">
        <f t="shared" si="16"/>
        <v>0.6363387978</v>
      </c>
      <c r="AD108" s="203"/>
      <c r="AE108" s="203"/>
      <c r="AF108" s="203"/>
      <c r="AG108" s="203"/>
      <c r="AH108" s="203"/>
      <c r="AI108" s="203"/>
      <c r="AJ108" s="203"/>
      <c r="AK108" s="203"/>
      <c r="AL108" s="203"/>
      <c r="AM108" s="203"/>
      <c r="AN108" s="203"/>
      <c r="AO108" s="203"/>
      <c r="AP108" s="203"/>
      <c r="AQ108" s="203"/>
      <c r="AR108" s="203"/>
      <c r="AS108" s="203"/>
      <c r="AT108" s="203"/>
      <c r="AU108" s="203"/>
    </row>
    <row r="109" ht="14.25" customHeight="1">
      <c r="A109" s="206" t="s">
        <v>287</v>
      </c>
      <c r="B109" s="193"/>
      <c r="C109" s="193"/>
      <c r="D109" s="205">
        <v>150.0</v>
      </c>
      <c r="E109" s="205">
        <v>33.0</v>
      </c>
      <c r="F109" s="213">
        <f t="shared" si="1"/>
        <v>114.3442623</v>
      </c>
      <c r="G109" s="214">
        <f t="shared" si="2"/>
        <v>3.464977645</v>
      </c>
      <c r="H109" s="198">
        <v>3.5</v>
      </c>
      <c r="I109" s="198">
        <f t="shared" si="3"/>
        <v>115.5</v>
      </c>
      <c r="J109" s="198">
        <v>1.22</v>
      </c>
      <c r="K109" s="199">
        <f t="shared" si="4"/>
        <v>94.67213115</v>
      </c>
      <c r="L109" s="215"/>
      <c r="M109" s="200">
        <f t="shared" si="5"/>
        <v>150</v>
      </c>
      <c r="N109" s="200">
        <f t="shared" si="6"/>
        <v>122.9508197</v>
      </c>
      <c r="O109" s="199">
        <f t="shared" si="7"/>
        <v>4.545454545</v>
      </c>
      <c r="P109" s="199">
        <f t="shared" si="8"/>
        <v>3.725782414</v>
      </c>
      <c r="Q109" s="215"/>
      <c r="R109" s="215"/>
      <c r="S109" s="202">
        <v>0.8</v>
      </c>
      <c r="T109" s="202">
        <v>0.2</v>
      </c>
      <c r="U109" s="202">
        <v>0.35</v>
      </c>
      <c r="V109" s="199">
        <f t="shared" si="9"/>
        <v>4.227272727</v>
      </c>
      <c r="W109" s="199">
        <f t="shared" si="10"/>
        <v>3.464977645</v>
      </c>
      <c r="X109" s="202">
        <f t="shared" si="11"/>
        <v>0.260804769</v>
      </c>
      <c r="Y109" s="202">
        <f t="shared" si="12"/>
        <v>0.07</v>
      </c>
      <c r="Z109" s="200">
        <f t="shared" si="13"/>
        <v>139.5</v>
      </c>
      <c r="AA109" s="200">
        <f t="shared" si="14"/>
        <v>114.3442623</v>
      </c>
      <c r="AB109" s="200">
        <f t="shared" si="15"/>
        <v>89.95081967</v>
      </c>
      <c r="AC109" s="202">
        <f t="shared" si="16"/>
        <v>0.5996721311</v>
      </c>
      <c r="AD109" s="216"/>
      <c r="AE109" s="216"/>
      <c r="AF109" s="216"/>
      <c r="AG109" s="216"/>
      <c r="AH109" s="216"/>
      <c r="AI109" s="216"/>
      <c r="AJ109" s="216"/>
      <c r="AK109" s="216"/>
      <c r="AL109" s="216"/>
      <c r="AM109" s="216"/>
      <c r="AN109" s="216"/>
      <c r="AO109" s="216"/>
      <c r="AP109" s="216"/>
      <c r="AQ109" s="216"/>
      <c r="AR109" s="216"/>
      <c r="AS109" s="216"/>
      <c r="AT109" s="216"/>
      <c r="AU109" s="216"/>
    </row>
    <row r="110" ht="14.25" customHeight="1">
      <c r="A110" s="206" t="s">
        <v>2051</v>
      </c>
      <c r="B110" s="193"/>
      <c r="C110" s="193"/>
      <c r="D110" s="205">
        <v>50.0</v>
      </c>
      <c r="E110" s="205">
        <v>4.0</v>
      </c>
      <c r="F110" s="213">
        <f t="shared" si="1"/>
        <v>38.1147541</v>
      </c>
      <c r="G110" s="214">
        <f t="shared" si="2"/>
        <v>9.528688525</v>
      </c>
      <c r="H110" s="198">
        <v>3.5</v>
      </c>
      <c r="I110" s="198">
        <f t="shared" si="3"/>
        <v>14</v>
      </c>
      <c r="J110" s="198">
        <v>1.22</v>
      </c>
      <c r="K110" s="199">
        <f t="shared" si="4"/>
        <v>11.47540984</v>
      </c>
      <c r="L110" s="215"/>
      <c r="M110" s="200">
        <f t="shared" si="5"/>
        <v>50</v>
      </c>
      <c r="N110" s="200">
        <f t="shared" si="6"/>
        <v>40.98360656</v>
      </c>
      <c r="O110" s="199">
        <f t="shared" si="7"/>
        <v>12.5</v>
      </c>
      <c r="P110" s="199">
        <f t="shared" si="8"/>
        <v>10.24590164</v>
      </c>
      <c r="Q110" s="215"/>
      <c r="R110" s="215"/>
      <c r="S110" s="202">
        <v>0.8</v>
      </c>
      <c r="T110" s="202">
        <v>0.2</v>
      </c>
      <c r="U110" s="202">
        <v>0.35</v>
      </c>
      <c r="V110" s="199">
        <f t="shared" si="9"/>
        <v>11.625</v>
      </c>
      <c r="W110" s="199">
        <f t="shared" si="10"/>
        <v>9.528688525</v>
      </c>
      <c r="X110" s="202">
        <f t="shared" si="11"/>
        <v>0.7172131148</v>
      </c>
      <c r="Y110" s="202">
        <f t="shared" si="12"/>
        <v>0.07</v>
      </c>
      <c r="Z110" s="200">
        <f t="shared" si="13"/>
        <v>46.5</v>
      </c>
      <c r="AA110" s="200">
        <f t="shared" si="14"/>
        <v>38.1147541</v>
      </c>
      <c r="AB110" s="200">
        <f t="shared" si="15"/>
        <v>36.98360656</v>
      </c>
      <c r="AC110" s="202">
        <f t="shared" si="16"/>
        <v>0.7396721311</v>
      </c>
      <c r="AD110" s="216"/>
      <c r="AE110" s="216"/>
      <c r="AF110" s="216"/>
      <c r="AG110" s="216"/>
      <c r="AH110" s="216"/>
      <c r="AI110" s="216"/>
      <c r="AJ110" s="216"/>
      <c r="AK110" s="216"/>
      <c r="AL110" s="216"/>
      <c r="AM110" s="216"/>
      <c r="AN110" s="216"/>
      <c r="AO110" s="216"/>
      <c r="AP110" s="216"/>
      <c r="AQ110" s="216"/>
      <c r="AR110" s="216"/>
      <c r="AS110" s="216"/>
      <c r="AT110" s="216"/>
      <c r="AU110" s="216"/>
    </row>
    <row r="111" ht="14.25" customHeight="1">
      <c r="A111" s="206" t="s">
        <v>1369</v>
      </c>
      <c r="B111" s="193"/>
      <c r="C111" s="193"/>
      <c r="D111" s="205">
        <v>90.0</v>
      </c>
      <c r="E111" s="205">
        <v>16.5</v>
      </c>
      <c r="F111" s="213">
        <f t="shared" si="1"/>
        <v>68.60655738</v>
      </c>
      <c r="G111" s="214">
        <f t="shared" si="2"/>
        <v>4.157973174</v>
      </c>
      <c r="H111" s="198">
        <v>3.5</v>
      </c>
      <c r="I111" s="198">
        <f t="shared" si="3"/>
        <v>57.75</v>
      </c>
      <c r="J111" s="198">
        <v>1.22</v>
      </c>
      <c r="K111" s="199">
        <f t="shared" si="4"/>
        <v>47.33606557</v>
      </c>
      <c r="L111" s="215"/>
      <c r="M111" s="200">
        <f t="shared" si="5"/>
        <v>90</v>
      </c>
      <c r="N111" s="200">
        <f t="shared" si="6"/>
        <v>73.7704918</v>
      </c>
      <c r="O111" s="199">
        <f t="shared" si="7"/>
        <v>5.454545455</v>
      </c>
      <c r="P111" s="199">
        <f t="shared" si="8"/>
        <v>4.470938897</v>
      </c>
      <c r="Q111" s="215"/>
      <c r="R111" s="215"/>
      <c r="S111" s="202">
        <v>0.8</v>
      </c>
      <c r="T111" s="202">
        <v>0.2</v>
      </c>
      <c r="U111" s="202">
        <v>0.35</v>
      </c>
      <c r="V111" s="199">
        <f t="shared" si="9"/>
        <v>5.072727273</v>
      </c>
      <c r="W111" s="199">
        <f t="shared" si="10"/>
        <v>4.157973174</v>
      </c>
      <c r="X111" s="202">
        <f t="shared" si="11"/>
        <v>0.3129657228</v>
      </c>
      <c r="Y111" s="202">
        <f t="shared" si="12"/>
        <v>0.07</v>
      </c>
      <c r="Z111" s="200">
        <f t="shared" si="13"/>
        <v>83.7</v>
      </c>
      <c r="AA111" s="200">
        <f t="shared" si="14"/>
        <v>68.60655738</v>
      </c>
      <c r="AB111" s="200">
        <f t="shared" si="15"/>
        <v>57.2704918</v>
      </c>
      <c r="AC111" s="202">
        <f t="shared" si="16"/>
        <v>0.6363387978</v>
      </c>
      <c r="AD111" s="216"/>
      <c r="AE111" s="216"/>
      <c r="AF111" s="216"/>
      <c r="AG111" s="216"/>
      <c r="AH111" s="216"/>
      <c r="AI111" s="216"/>
      <c r="AJ111" s="216"/>
      <c r="AK111" s="216"/>
      <c r="AL111" s="216"/>
      <c r="AM111" s="216"/>
      <c r="AN111" s="216"/>
      <c r="AO111" s="216"/>
      <c r="AP111" s="216"/>
      <c r="AQ111" s="216"/>
      <c r="AR111" s="216"/>
      <c r="AS111" s="216"/>
      <c r="AT111" s="216"/>
      <c r="AU111" s="216"/>
    </row>
    <row r="112" ht="14.25" customHeight="1">
      <c r="A112" s="206" t="s">
        <v>293</v>
      </c>
      <c r="B112" s="192" t="s">
        <v>162</v>
      </c>
      <c r="C112" s="192" t="s">
        <v>2052</v>
      </c>
      <c r="D112" s="205">
        <v>120.0</v>
      </c>
      <c r="E112" s="205">
        <v>20.0</v>
      </c>
      <c r="F112" s="213">
        <f t="shared" si="1"/>
        <v>91.47540984</v>
      </c>
      <c r="G112" s="214">
        <f t="shared" si="2"/>
        <v>4.573770492</v>
      </c>
      <c r="H112" s="198">
        <v>3.5</v>
      </c>
      <c r="I112" s="198">
        <f t="shared" si="3"/>
        <v>70</v>
      </c>
      <c r="J112" s="198">
        <v>1.22</v>
      </c>
      <c r="K112" s="199">
        <f t="shared" si="4"/>
        <v>57.37704918</v>
      </c>
      <c r="L112" s="215"/>
      <c r="M112" s="200">
        <f t="shared" si="5"/>
        <v>120</v>
      </c>
      <c r="N112" s="200">
        <f t="shared" si="6"/>
        <v>98.36065574</v>
      </c>
      <c r="O112" s="199">
        <f t="shared" si="7"/>
        <v>6</v>
      </c>
      <c r="P112" s="199">
        <f t="shared" si="8"/>
        <v>4.918032787</v>
      </c>
      <c r="Q112" s="215"/>
      <c r="R112" s="215"/>
      <c r="S112" s="202">
        <v>0.8</v>
      </c>
      <c r="T112" s="202">
        <v>0.2</v>
      </c>
      <c r="U112" s="202">
        <v>0.35</v>
      </c>
      <c r="V112" s="199">
        <f t="shared" si="9"/>
        <v>5.58</v>
      </c>
      <c r="W112" s="199">
        <f t="shared" si="10"/>
        <v>4.573770492</v>
      </c>
      <c r="X112" s="202">
        <f t="shared" si="11"/>
        <v>0.3442622951</v>
      </c>
      <c r="Y112" s="202">
        <f t="shared" si="12"/>
        <v>0.07</v>
      </c>
      <c r="Z112" s="200">
        <f t="shared" si="13"/>
        <v>111.6</v>
      </c>
      <c r="AA112" s="200">
        <f t="shared" si="14"/>
        <v>91.47540984</v>
      </c>
      <c r="AB112" s="200">
        <f t="shared" si="15"/>
        <v>78.36065574</v>
      </c>
      <c r="AC112" s="202">
        <f t="shared" si="16"/>
        <v>0.6530054645</v>
      </c>
      <c r="AD112" s="216"/>
      <c r="AE112" s="216"/>
      <c r="AF112" s="216"/>
      <c r="AG112" s="216"/>
      <c r="AH112" s="216"/>
      <c r="AI112" s="216"/>
      <c r="AJ112" s="216"/>
      <c r="AK112" s="216"/>
      <c r="AL112" s="216"/>
      <c r="AM112" s="216"/>
      <c r="AN112" s="216"/>
      <c r="AO112" s="216"/>
      <c r="AP112" s="216"/>
      <c r="AQ112" s="216"/>
      <c r="AR112" s="216"/>
      <c r="AS112" s="216"/>
      <c r="AT112" s="216"/>
      <c r="AU112" s="216"/>
    </row>
    <row r="113" ht="14.25" customHeight="1">
      <c r="A113" s="206" t="s">
        <v>49</v>
      </c>
      <c r="B113" s="193"/>
      <c r="C113" s="193"/>
      <c r="D113" s="205">
        <v>50.0</v>
      </c>
      <c r="E113" s="205">
        <v>10.71</v>
      </c>
      <c r="F113" s="213">
        <f t="shared" si="1"/>
        <v>38.1147541</v>
      </c>
      <c r="G113" s="214">
        <f t="shared" si="2"/>
        <v>3.558800569</v>
      </c>
      <c r="H113" s="198">
        <v>3.5</v>
      </c>
      <c r="I113" s="198">
        <f t="shared" si="3"/>
        <v>37.485</v>
      </c>
      <c r="J113" s="198">
        <v>1.22</v>
      </c>
      <c r="K113" s="199">
        <f t="shared" si="4"/>
        <v>30.72540984</v>
      </c>
      <c r="L113" s="215"/>
      <c r="M113" s="200">
        <f t="shared" si="5"/>
        <v>50</v>
      </c>
      <c r="N113" s="200">
        <f t="shared" si="6"/>
        <v>40.98360656</v>
      </c>
      <c r="O113" s="199">
        <f t="shared" si="7"/>
        <v>4.66853408</v>
      </c>
      <c r="P113" s="199">
        <f t="shared" si="8"/>
        <v>3.826667279</v>
      </c>
      <c r="Q113" s="215"/>
      <c r="R113" s="215"/>
      <c r="S113" s="202">
        <v>0.8</v>
      </c>
      <c r="T113" s="202">
        <v>0.2</v>
      </c>
      <c r="U113" s="202">
        <v>0.35</v>
      </c>
      <c r="V113" s="199">
        <f t="shared" si="9"/>
        <v>4.341736695</v>
      </c>
      <c r="W113" s="199">
        <f t="shared" si="10"/>
        <v>3.558800569</v>
      </c>
      <c r="X113" s="202">
        <f t="shared" si="11"/>
        <v>0.2678667095</v>
      </c>
      <c r="Y113" s="202">
        <f t="shared" si="12"/>
        <v>0.07</v>
      </c>
      <c r="Z113" s="200">
        <f t="shared" si="13"/>
        <v>46.5</v>
      </c>
      <c r="AA113" s="200">
        <f t="shared" si="14"/>
        <v>38.1147541</v>
      </c>
      <c r="AB113" s="200">
        <f t="shared" si="15"/>
        <v>30.27360656</v>
      </c>
      <c r="AC113" s="202">
        <f t="shared" si="16"/>
        <v>0.6054721311</v>
      </c>
      <c r="AD113" s="216"/>
      <c r="AE113" s="216"/>
      <c r="AF113" s="216"/>
      <c r="AG113" s="216"/>
      <c r="AH113" s="216"/>
      <c r="AI113" s="216"/>
      <c r="AJ113" s="216"/>
      <c r="AK113" s="216"/>
      <c r="AL113" s="216"/>
      <c r="AM113" s="216"/>
      <c r="AN113" s="216"/>
      <c r="AO113" s="216"/>
      <c r="AP113" s="216"/>
      <c r="AQ113" s="216"/>
      <c r="AR113" s="216"/>
      <c r="AS113" s="216"/>
      <c r="AT113" s="216"/>
      <c r="AU113" s="216"/>
    </row>
    <row r="114" ht="14.25" customHeight="1">
      <c r="A114" s="206" t="s">
        <v>310</v>
      </c>
      <c r="B114" s="193"/>
      <c r="C114" s="193"/>
      <c r="D114" s="205">
        <v>50.0</v>
      </c>
      <c r="E114" s="205">
        <v>10.71</v>
      </c>
      <c r="F114" s="213">
        <f t="shared" si="1"/>
        <v>38.1147541</v>
      </c>
      <c r="G114" s="214">
        <f t="shared" si="2"/>
        <v>3.558800569</v>
      </c>
      <c r="H114" s="198">
        <v>3.5</v>
      </c>
      <c r="I114" s="198">
        <f t="shared" si="3"/>
        <v>37.485</v>
      </c>
      <c r="J114" s="198">
        <v>1.22</v>
      </c>
      <c r="K114" s="199">
        <f t="shared" si="4"/>
        <v>30.72540984</v>
      </c>
      <c r="L114" s="215"/>
      <c r="M114" s="200">
        <f t="shared" si="5"/>
        <v>50</v>
      </c>
      <c r="N114" s="200">
        <f t="shared" si="6"/>
        <v>40.98360656</v>
      </c>
      <c r="O114" s="199">
        <f t="shared" si="7"/>
        <v>4.66853408</v>
      </c>
      <c r="P114" s="199">
        <f t="shared" si="8"/>
        <v>3.826667279</v>
      </c>
      <c r="Q114" s="215"/>
      <c r="R114" s="215"/>
      <c r="S114" s="202">
        <v>0.8</v>
      </c>
      <c r="T114" s="202">
        <v>0.2</v>
      </c>
      <c r="U114" s="202">
        <v>0.35</v>
      </c>
      <c r="V114" s="199">
        <f t="shared" si="9"/>
        <v>4.341736695</v>
      </c>
      <c r="W114" s="199">
        <f t="shared" si="10"/>
        <v>3.558800569</v>
      </c>
      <c r="X114" s="202">
        <f t="shared" si="11"/>
        <v>0.2678667095</v>
      </c>
      <c r="Y114" s="202">
        <f t="shared" si="12"/>
        <v>0.07</v>
      </c>
      <c r="Z114" s="200">
        <f t="shared" si="13"/>
        <v>46.5</v>
      </c>
      <c r="AA114" s="200">
        <f t="shared" si="14"/>
        <v>38.1147541</v>
      </c>
      <c r="AB114" s="200">
        <f t="shared" si="15"/>
        <v>30.27360656</v>
      </c>
      <c r="AC114" s="202">
        <f t="shared" si="16"/>
        <v>0.6054721311</v>
      </c>
      <c r="AD114" s="216"/>
      <c r="AE114" s="216"/>
      <c r="AF114" s="216"/>
      <c r="AG114" s="216"/>
      <c r="AH114" s="216"/>
      <c r="AI114" s="216"/>
      <c r="AJ114" s="216"/>
      <c r="AK114" s="216"/>
      <c r="AL114" s="216"/>
      <c r="AM114" s="216"/>
      <c r="AN114" s="216"/>
      <c r="AO114" s="216"/>
      <c r="AP114" s="216"/>
      <c r="AQ114" s="216"/>
      <c r="AR114" s="216"/>
      <c r="AS114" s="216"/>
      <c r="AT114" s="216"/>
      <c r="AU114" s="216"/>
    </row>
    <row r="115" ht="14.25" customHeight="1">
      <c r="A115" s="206" t="s">
        <v>312</v>
      </c>
      <c r="B115" s="193"/>
      <c r="C115" s="193"/>
      <c r="D115" s="205">
        <v>50.0</v>
      </c>
      <c r="E115" s="205">
        <v>10.71</v>
      </c>
      <c r="F115" s="213">
        <f t="shared" si="1"/>
        <v>38.1147541</v>
      </c>
      <c r="G115" s="214">
        <f t="shared" si="2"/>
        <v>3.558800569</v>
      </c>
      <c r="H115" s="198">
        <v>3.5</v>
      </c>
      <c r="I115" s="198">
        <f t="shared" si="3"/>
        <v>37.485</v>
      </c>
      <c r="J115" s="198">
        <v>1.22</v>
      </c>
      <c r="K115" s="199">
        <f t="shared" si="4"/>
        <v>30.72540984</v>
      </c>
      <c r="L115" s="215"/>
      <c r="M115" s="200">
        <f t="shared" si="5"/>
        <v>50</v>
      </c>
      <c r="N115" s="200">
        <f t="shared" si="6"/>
        <v>40.98360656</v>
      </c>
      <c r="O115" s="199">
        <f t="shared" si="7"/>
        <v>4.66853408</v>
      </c>
      <c r="P115" s="199">
        <f t="shared" si="8"/>
        <v>3.826667279</v>
      </c>
      <c r="Q115" s="215"/>
      <c r="R115" s="215"/>
      <c r="S115" s="202">
        <v>0.8</v>
      </c>
      <c r="T115" s="202">
        <v>0.2</v>
      </c>
      <c r="U115" s="202">
        <v>0.35</v>
      </c>
      <c r="V115" s="199">
        <f t="shared" si="9"/>
        <v>4.341736695</v>
      </c>
      <c r="W115" s="199">
        <f t="shared" si="10"/>
        <v>3.558800569</v>
      </c>
      <c r="X115" s="202">
        <f t="shared" si="11"/>
        <v>0.2678667095</v>
      </c>
      <c r="Y115" s="202">
        <f t="shared" si="12"/>
        <v>0.07</v>
      </c>
      <c r="Z115" s="200">
        <f t="shared" si="13"/>
        <v>46.5</v>
      </c>
      <c r="AA115" s="200">
        <f t="shared" si="14"/>
        <v>38.1147541</v>
      </c>
      <c r="AB115" s="200">
        <f t="shared" si="15"/>
        <v>30.27360656</v>
      </c>
      <c r="AC115" s="202">
        <f t="shared" si="16"/>
        <v>0.6054721311</v>
      </c>
      <c r="AD115" s="216"/>
      <c r="AE115" s="216"/>
      <c r="AF115" s="216"/>
      <c r="AG115" s="216"/>
      <c r="AH115" s="216"/>
      <c r="AI115" s="216"/>
      <c r="AJ115" s="216"/>
      <c r="AK115" s="216"/>
      <c r="AL115" s="216"/>
      <c r="AM115" s="216"/>
      <c r="AN115" s="216"/>
      <c r="AO115" s="216"/>
      <c r="AP115" s="216"/>
      <c r="AQ115" s="216"/>
      <c r="AR115" s="216"/>
      <c r="AS115" s="216"/>
      <c r="AT115" s="216"/>
      <c r="AU115" s="216"/>
    </row>
    <row r="116" ht="14.25" customHeight="1">
      <c r="A116" s="206" t="s">
        <v>314</v>
      </c>
      <c r="B116" s="193"/>
      <c r="C116" s="193"/>
      <c r="D116" s="205">
        <v>50.0</v>
      </c>
      <c r="E116" s="205">
        <v>10.71</v>
      </c>
      <c r="F116" s="213">
        <f t="shared" si="1"/>
        <v>38.1147541</v>
      </c>
      <c r="G116" s="214">
        <f t="shared" si="2"/>
        <v>3.558800569</v>
      </c>
      <c r="H116" s="198">
        <v>3.5</v>
      </c>
      <c r="I116" s="198">
        <f t="shared" si="3"/>
        <v>37.485</v>
      </c>
      <c r="J116" s="198">
        <v>1.22</v>
      </c>
      <c r="K116" s="199">
        <f t="shared" si="4"/>
        <v>30.72540984</v>
      </c>
      <c r="L116" s="215"/>
      <c r="M116" s="200">
        <f t="shared" si="5"/>
        <v>50</v>
      </c>
      <c r="N116" s="200">
        <f t="shared" si="6"/>
        <v>40.98360656</v>
      </c>
      <c r="O116" s="199">
        <f t="shared" si="7"/>
        <v>4.66853408</v>
      </c>
      <c r="P116" s="199">
        <f t="shared" si="8"/>
        <v>3.826667279</v>
      </c>
      <c r="Q116" s="215"/>
      <c r="R116" s="215"/>
      <c r="S116" s="202">
        <v>0.8</v>
      </c>
      <c r="T116" s="202">
        <v>0.2</v>
      </c>
      <c r="U116" s="202">
        <v>0.35</v>
      </c>
      <c r="V116" s="199">
        <f t="shared" si="9"/>
        <v>4.341736695</v>
      </c>
      <c r="W116" s="199">
        <f t="shared" si="10"/>
        <v>3.558800569</v>
      </c>
      <c r="X116" s="202">
        <f t="shared" si="11"/>
        <v>0.2678667095</v>
      </c>
      <c r="Y116" s="202">
        <f t="shared" si="12"/>
        <v>0.07</v>
      </c>
      <c r="Z116" s="200">
        <f t="shared" si="13"/>
        <v>46.5</v>
      </c>
      <c r="AA116" s="200">
        <f t="shared" si="14"/>
        <v>38.1147541</v>
      </c>
      <c r="AB116" s="200">
        <f t="shared" si="15"/>
        <v>30.27360656</v>
      </c>
      <c r="AC116" s="202">
        <f t="shared" si="16"/>
        <v>0.6054721311</v>
      </c>
      <c r="AD116" s="216"/>
      <c r="AE116" s="216"/>
      <c r="AF116" s="216"/>
      <c r="AG116" s="216"/>
      <c r="AH116" s="216"/>
      <c r="AI116" s="216"/>
      <c r="AJ116" s="216"/>
      <c r="AK116" s="216"/>
      <c r="AL116" s="216"/>
      <c r="AM116" s="216"/>
      <c r="AN116" s="216"/>
      <c r="AO116" s="216"/>
      <c r="AP116" s="216"/>
      <c r="AQ116" s="216"/>
      <c r="AR116" s="216"/>
      <c r="AS116" s="216"/>
      <c r="AT116" s="216"/>
      <c r="AU116" s="216"/>
    </row>
    <row r="117" ht="14.25" customHeight="1">
      <c r="A117" s="206" t="s">
        <v>316</v>
      </c>
      <c r="B117" s="193"/>
      <c r="C117" s="193"/>
      <c r="D117" s="205">
        <v>50.0</v>
      </c>
      <c r="E117" s="205">
        <v>10.71</v>
      </c>
      <c r="F117" s="213">
        <f t="shared" si="1"/>
        <v>38.1147541</v>
      </c>
      <c r="G117" s="214">
        <f t="shared" si="2"/>
        <v>3.558800569</v>
      </c>
      <c r="H117" s="198">
        <v>3.5</v>
      </c>
      <c r="I117" s="198">
        <f t="shared" si="3"/>
        <v>37.485</v>
      </c>
      <c r="J117" s="198">
        <v>1.22</v>
      </c>
      <c r="K117" s="199">
        <f t="shared" si="4"/>
        <v>30.72540984</v>
      </c>
      <c r="L117" s="215"/>
      <c r="M117" s="200">
        <f t="shared" si="5"/>
        <v>50</v>
      </c>
      <c r="N117" s="200">
        <f t="shared" si="6"/>
        <v>40.98360656</v>
      </c>
      <c r="O117" s="199">
        <f t="shared" si="7"/>
        <v>4.66853408</v>
      </c>
      <c r="P117" s="199">
        <f t="shared" si="8"/>
        <v>3.826667279</v>
      </c>
      <c r="Q117" s="215"/>
      <c r="R117" s="215"/>
      <c r="S117" s="202">
        <v>0.8</v>
      </c>
      <c r="T117" s="202">
        <v>0.2</v>
      </c>
      <c r="U117" s="202">
        <v>0.35</v>
      </c>
      <c r="V117" s="199">
        <f t="shared" si="9"/>
        <v>4.341736695</v>
      </c>
      <c r="W117" s="199">
        <f t="shared" si="10"/>
        <v>3.558800569</v>
      </c>
      <c r="X117" s="202">
        <f t="shared" si="11"/>
        <v>0.2678667095</v>
      </c>
      <c r="Y117" s="202">
        <f t="shared" si="12"/>
        <v>0.07</v>
      </c>
      <c r="Z117" s="200">
        <f t="shared" si="13"/>
        <v>46.5</v>
      </c>
      <c r="AA117" s="200">
        <f t="shared" si="14"/>
        <v>38.1147541</v>
      </c>
      <c r="AB117" s="200">
        <f t="shared" si="15"/>
        <v>30.27360656</v>
      </c>
      <c r="AC117" s="202">
        <f t="shared" si="16"/>
        <v>0.6054721311</v>
      </c>
      <c r="AD117" s="216"/>
      <c r="AE117" s="216"/>
      <c r="AF117" s="216"/>
      <c r="AG117" s="216"/>
      <c r="AH117" s="216"/>
      <c r="AI117" s="216"/>
      <c r="AJ117" s="216"/>
      <c r="AK117" s="216"/>
      <c r="AL117" s="216"/>
      <c r="AM117" s="216"/>
      <c r="AN117" s="216"/>
      <c r="AO117" s="216"/>
      <c r="AP117" s="216"/>
      <c r="AQ117" s="216"/>
      <c r="AR117" s="216"/>
      <c r="AS117" s="216"/>
      <c r="AT117" s="216"/>
      <c r="AU117" s="216"/>
    </row>
    <row r="118" ht="14.25" customHeight="1">
      <c r="A118" s="206" t="s">
        <v>318</v>
      </c>
      <c r="B118" s="193"/>
      <c r="C118" s="193"/>
      <c r="D118" s="205">
        <v>50.0</v>
      </c>
      <c r="E118" s="205">
        <v>10.71</v>
      </c>
      <c r="F118" s="213">
        <f t="shared" si="1"/>
        <v>38.1147541</v>
      </c>
      <c r="G118" s="214">
        <f t="shared" si="2"/>
        <v>3.558800569</v>
      </c>
      <c r="H118" s="198">
        <v>3.5</v>
      </c>
      <c r="I118" s="198">
        <f t="shared" si="3"/>
        <v>37.485</v>
      </c>
      <c r="J118" s="198">
        <v>1.22</v>
      </c>
      <c r="K118" s="199">
        <f t="shared" si="4"/>
        <v>30.72540984</v>
      </c>
      <c r="L118" s="215"/>
      <c r="M118" s="200">
        <f t="shared" si="5"/>
        <v>50</v>
      </c>
      <c r="N118" s="200">
        <f t="shared" si="6"/>
        <v>40.98360656</v>
      </c>
      <c r="O118" s="199">
        <f t="shared" si="7"/>
        <v>4.66853408</v>
      </c>
      <c r="P118" s="199">
        <f t="shared" si="8"/>
        <v>3.826667279</v>
      </c>
      <c r="Q118" s="215"/>
      <c r="R118" s="215"/>
      <c r="S118" s="202">
        <v>0.8</v>
      </c>
      <c r="T118" s="202">
        <v>0.2</v>
      </c>
      <c r="U118" s="202">
        <v>0.35</v>
      </c>
      <c r="V118" s="199">
        <f t="shared" si="9"/>
        <v>4.341736695</v>
      </c>
      <c r="W118" s="199">
        <f t="shared" si="10"/>
        <v>3.558800569</v>
      </c>
      <c r="X118" s="202">
        <f t="shared" si="11"/>
        <v>0.2678667095</v>
      </c>
      <c r="Y118" s="202">
        <f t="shared" si="12"/>
        <v>0.07</v>
      </c>
      <c r="Z118" s="200">
        <f t="shared" si="13"/>
        <v>46.5</v>
      </c>
      <c r="AA118" s="200">
        <f t="shared" si="14"/>
        <v>38.1147541</v>
      </c>
      <c r="AB118" s="200">
        <f t="shared" si="15"/>
        <v>30.27360656</v>
      </c>
      <c r="AC118" s="202">
        <f t="shared" si="16"/>
        <v>0.6054721311</v>
      </c>
      <c r="AD118" s="216"/>
      <c r="AE118" s="216"/>
      <c r="AF118" s="216"/>
      <c r="AG118" s="216"/>
      <c r="AH118" s="216"/>
      <c r="AI118" s="216"/>
      <c r="AJ118" s="216"/>
      <c r="AK118" s="216"/>
      <c r="AL118" s="216"/>
      <c r="AM118" s="216"/>
      <c r="AN118" s="216"/>
      <c r="AO118" s="216"/>
      <c r="AP118" s="216"/>
      <c r="AQ118" s="216"/>
      <c r="AR118" s="216"/>
      <c r="AS118" s="216"/>
      <c r="AT118" s="216"/>
      <c r="AU118" s="216"/>
    </row>
    <row r="119" ht="14.25" customHeight="1">
      <c r="A119" s="206" t="s">
        <v>320</v>
      </c>
      <c r="B119" s="193"/>
      <c r="C119" s="193"/>
      <c r="D119" s="205">
        <v>70.0</v>
      </c>
      <c r="E119" s="205">
        <v>14.58</v>
      </c>
      <c r="F119" s="213">
        <f t="shared" si="1"/>
        <v>53.36065574</v>
      </c>
      <c r="G119" s="214">
        <f t="shared" si="2"/>
        <v>3.659852931</v>
      </c>
      <c r="H119" s="198">
        <v>3.5</v>
      </c>
      <c r="I119" s="198">
        <f t="shared" si="3"/>
        <v>51.03</v>
      </c>
      <c r="J119" s="198">
        <v>1.22</v>
      </c>
      <c r="K119" s="199">
        <f t="shared" si="4"/>
        <v>41.82786885</v>
      </c>
      <c r="L119" s="215"/>
      <c r="M119" s="200">
        <f t="shared" si="5"/>
        <v>70</v>
      </c>
      <c r="N119" s="200">
        <f t="shared" si="6"/>
        <v>57.37704918</v>
      </c>
      <c r="O119" s="199">
        <f t="shared" si="7"/>
        <v>4.801097394</v>
      </c>
      <c r="P119" s="199">
        <f t="shared" si="8"/>
        <v>3.935325733</v>
      </c>
      <c r="Q119" s="215"/>
      <c r="R119" s="215"/>
      <c r="S119" s="202">
        <v>0.8</v>
      </c>
      <c r="T119" s="202">
        <v>0.2</v>
      </c>
      <c r="U119" s="202">
        <v>0.35</v>
      </c>
      <c r="V119" s="199">
        <f t="shared" si="9"/>
        <v>4.465020576</v>
      </c>
      <c r="W119" s="199">
        <f t="shared" si="10"/>
        <v>3.659852931</v>
      </c>
      <c r="X119" s="202">
        <f t="shared" si="11"/>
        <v>0.2754728013</v>
      </c>
      <c r="Y119" s="202">
        <f t="shared" si="12"/>
        <v>0.07</v>
      </c>
      <c r="Z119" s="200">
        <f t="shared" si="13"/>
        <v>65.1</v>
      </c>
      <c r="AA119" s="200">
        <f t="shared" si="14"/>
        <v>53.36065574</v>
      </c>
      <c r="AB119" s="200">
        <f t="shared" si="15"/>
        <v>42.79704918</v>
      </c>
      <c r="AC119" s="202">
        <f t="shared" si="16"/>
        <v>0.6113864169</v>
      </c>
      <c r="AD119" s="216"/>
      <c r="AE119" s="216"/>
      <c r="AF119" s="216"/>
      <c r="AG119" s="216"/>
      <c r="AH119" s="216"/>
      <c r="AI119" s="216"/>
      <c r="AJ119" s="216"/>
      <c r="AK119" s="216"/>
      <c r="AL119" s="216"/>
      <c r="AM119" s="216"/>
      <c r="AN119" s="216"/>
      <c r="AO119" s="216"/>
      <c r="AP119" s="216"/>
      <c r="AQ119" s="216"/>
      <c r="AR119" s="216"/>
      <c r="AS119" s="216"/>
      <c r="AT119" s="216"/>
      <c r="AU119" s="216"/>
    </row>
    <row r="120" ht="14.25" customHeight="1">
      <c r="A120" s="206" t="s">
        <v>321</v>
      </c>
      <c r="B120" s="193"/>
      <c r="C120" s="193"/>
      <c r="D120" s="205">
        <v>70.0</v>
      </c>
      <c r="E120" s="205">
        <v>14.58</v>
      </c>
      <c r="F120" s="213">
        <f t="shared" si="1"/>
        <v>53.36065574</v>
      </c>
      <c r="G120" s="214">
        <f t="shared" si="2"/>
        <v>3.659852931</v>
      </c>
      <c r="H120" s="198">
        <v>3.5</v>
      </c>
      <c r="I120" s="198">
        <f t="shared" si="3"/>
        <v>51.03</v>
      </c>
      <c r="J120" s="198">
        <v>1.22</v>
      </c>
      <c r="K120" s="199">
        <f t="shared" si="4"/>
        <v>41.82786885</v>
      </c>
      <c r="L120" s="215"/>
      <c r="M120" s="200">
        <f t="shared" si="5"/>
        <v>70</v>
      </c>
      <c r="N120" s="200">
        <f t="shared" si="6"/>
        <v>57.37704918</v>
      </c>
      <c r="O120" s="199">
        <f t="shared" si="7"/>
        <v>4.801097394</v>
      </c>
      <c r="P120" s="199">
        <f t="shared" si="8"/>
        <v>3.935325733</v>
      </c>
      <c r="Q120" s="215"/>
      <c r="R120" s="215"/>
      <c r="S120" s="202">
        <v>0.8</v>
      </c>
      <c r="T120" s="202">
        <v>0.2</v>
      </c>
      <c r="U120" s="202">
        <v>0.35</v>
      </c>
      <c r="V120" s="199">
        <f t="shared" si="9"/>
        <v>4.465020576</v>
      </c>
      <c r="W120" s="199">
        <f t="shared" si="10"/>
        <v>3.659852931</v>
      </c>
      <c r="X120" s="202">
        <f t="shared" si="11"/>
        <v>0.2754728013</v>
      </c>
      <c r="Y120" s="202">
        <f t="shared" si="12"/>
        <v>0.07</v>
      </c>
      <c r="Z120" s="200">
        <f t="shared" si="13"/>
        <v>65.1</v>
      </c>
      <c r="AA120" s="200">
        <f t="shared" si="14"/>
        <v>53.36065574</v>
      </c>
      <c r="AB120" s="200">
        <f t="shared" si="15"/>
        <v>42.79704918</v>
      </c>
      <c r="AC120" s="202">
        <f t="shared" si="16"/>
        <v>0.6113864169</v>
      </c>
      <c r="AD120" s="216"/>
      <c r="AE120" s="216"/>
      <c r="AF120" s="216"/>
      <c r="AG120" s="216"/>
      <c r="AH120" s="216"/>
      <c r="AI120" s="216"/>
      <c r="AJ120" s="216"/>
      <c r="AK120" s="216"/>
      <c r="AL120" s="216"/>
      <c r="AM120" s="216"/>
      <c r="AN120" s="216"/>
      <c r="AO120" s="216"/>
      <c r="AP120" s="216"/>
      <c r="AQ120" s="216"/>
      <c r="AR120" s="216"/>
      <c r="AS120" s="216"/>
      <c r="AT120" s="216"/>
      <c r="AU120" s="216"/>
    </row>
    <row r="121" ht="14.25" customHeight="1">
      <c r="A121" s="206" t="s">
        <v>322</v>
      </c>
      <c r="B121" s="193"/>
      <c r="C121" s="193"/>
      <c r="D121" s="205">
        <v>70.0</v>
      </c>
      <c r="E121" s="205">
        <v>14.58</v>
      </c>
      <c r="F121" s="213">
        <f t="shared" si="1"/>
        <v>53.36065574</v>
      </c>
      <c r="G121" s="214">
        <f t="shared" si="2"/>
        <v>3.659852931</v>
      </c>
      <c r="H121" s="198">
        <v>3.5</v>
      </c>
      <c r="I121" s="198">
        <f t="shared" si="3"/>
        <v>51.03</v>
      </c>
      <c r="J121" s="198">
        <v>1.22</v>
      </c>
      <c r="K121" s="199">
        <f t="shared" si="4"/>
        <v>41.82786885</v>
      </c>
      <c r="L121" s="215"/>
      <c r="M121" s="200">
        <f t="shared" si="5"/>
        <v>70</v>
      </c>
      <c r="N121" s="200">
        <f t="shared" si="6"/>
        <v>57.37704918</v>
      </c>
      <c r="O121" s="199">
        <f t="shared" si="7"/>
        <v>4.801097394</v>
      </c>
      <c r="P121" s="199">
        <f t="shared" si="8"/>
        <v>3.935325733</v>
      </c>
      <c r="Q121" s="215"/>
      <c r="R121" s="215"/>
      <c r="S121" s="202">
        <v>0.8</v>
      </c>
      <c r="T121" s="202">
        <v>0.2</v>
      </c>
      <c r="U121" s="202">
        <v>0.35</v>
      </c>
      <c r="V121" s="199">
        <f t="shared" si="9"/>
        <v>4.465020576</v>
      </c>
      <c r="W121" s="199">
        <f t="shared" si="10"/>
        <v>3.659852931</v>
      </c>
      <c r="X121" s="202">
        <f t="shared" si="11"/>
        <v>0.2754728013</v>
      </c>
      <c r="Y121" s="202">
        <f t="shared" si="12"/>
        <v>0.07</v>
      </c>
      <c r="Z121" s="200">
        <f t="shared" si="13"/>
        <v>65.1</v>
      </c>
      <c r="AA121" s="200">
        <f t="shared" si="14"/>
        <v>53.36065574</v>
      </c>
      <c r="AB121" s="200">
        <f t="shared" si="15"/>
        <v>42.79704918</v>
      </c>
      <c r="AC121" s="202">
        <f t="shared" si="16"/>
        <v>0.6113864169</v>
      </c>
      <c r="AD121" s="216"/>
      <c r="AE121" s="216"/>
      <c r="AF121" s="216"/>
      <c r="AG121" s="216"/>
      <c r="AH121" s="216"/>
      <c r="AI121" s="216"/>
      <c r="AJ121" s="216"/>
      <c r="AK121" s="216"/>
      <c r="AL121" s="216"/>
      <c r="AM121" s="216"/>
      <c r="AN121" s="216"/>
      <c r="AO121" s="216"/>
      <c r="AP121" s="216"/>
      <c r="AQ121" s="216"/>
      <c r="AR121" s="216"/>
      <c r="AS121" s="216"/>
      <c r="AT121" s="216"/>
      <c r="AU121" s="216"/>
    </row>
    <row r="122" ht="14.25" customHeight="1">
      <c r="A122" s="206" t="s">
        <v>323</v>
      </c>
      <c r="B122" s="193"/>
      <c r="C122" s="193"/>
      <c r="D122" s="205">
        <v>70.0</v>
      </c>
      <c r="E122" s="205">
        <v>14.58</v>
      </c>
      <c r="F122" s="213">
        <f t="shared" si="1"/>
        <v>53.36065574</v>
      </c>
      <c r="G122" s="214">
        <f t="shared" si="2"/>
        <v>3.659852931</v>
      </c>
      <c r="H122" s="198">
        <v>3.5</v>
      </c>
      <c r="I122" s="198">
        <f t="shared" si="3"/>
        <v>51.03</v>
      </c>
      <c r="J122" s="198">
        <v>1.22</v>
      </c>
      <c r="K122" s="199">
        <f t="shared" si="4"/>
        <v>41.82786885</v>
      </c>
      <c r="L122" s="215"/>
      <c r="M122" s="200">
        <f t="shared" si="5"/>
        <v>70</v>
      </c>
      <c r="N122" s="200">
        <f t="shared" si="6"/>
        <v>57.37704918</v>
      </c>
      <c r="O122" s="199">
        <f t="shared" si="7"/>
        <v>4.801097394</v>
      </c>
      <c r="P122" s="199">
        <f t="shared" si="8"/>
        <v>3.935325733</v>
      </c>
      <c r="Q122" s="215"/>
      <c r="R122" s="215"/>
      <c r="S122" s="202">
        <v>0.8</v>
      </c>
      <c r="T122" s="202">
        <v>0.2</v>
      </c>
      <c r="U122" s="202">
        <v>0.35</v>
      </c>
      <c r="V122" s="199">
        <f t="shared" si="9"/>
        <v>4.465020576</v>
      </c>
      <c r="W122" s="199">
        <f t="shared" si="10"/>
        <v>3.659852931</v>
      </c>
      <c r="X122" s="202">
        <f t="shared" si="11"/>
        <v>0.2754728013</v>
      </c>
      <c r="Y122" s="202">
        <f t="shared" si="12"/>
        <v>0.07</v>
      </c>
      <c r="Z122" s="200">
        <f t="shared" si="13"/>
        <v>65.1</v>
      </c>
      <c r="AA122" s="200">
        <f t="shared" si="14"/>
        <v>53.36065574</v>
      </c>
      <c r="AB122" s="200">
        <f t="shared" si="15"/>
        <v>42.79704918</v>
      </c>
      <c r="AC122" s="202">
        <f t="shared" si="16"/>
        <v>0.6113864169</v>
      </c>
      <c r="AD122" s="216"/>
      <c r="AE122" s="216"/>
      <c r="AF122" s="216"/>
      <c r="AG122" s="216"/>
      <c r="AH122" s="216"/>
      <c r="AI122" s="216"/>
      <c r="AJ122" s="216"/>
      <c r="AK122" s="216"/>
      <c r="AL122" s="216"/>
      <c r="AM122" s="216"/>
      <c r="AN122" s="216"/>
      <c r="AO122" s="216"/>
      <c r="AP122" s="216"/>
      <c r="AQ122" s="216"/>
      <c r="AR122" s="216"/>
      <c r="AS122" s="216"/>
      <c r="AT122" s="216"/>
      <c r="AU122" s="216"/>
    </row>
    <row r="123" ht="14.25" customHeight="1">
      <c r="A123" s="206" t="s">
        <v>44</v>
      </c>
      <c r="B123" s="193"/>
      <c r="C123" s="193"/>
      <c r="D123" s="205">
        <v>70.0</v>
      </c>
      <c r="E123" s="205">
        <v>14.58</v>
      </c>
      <c r="F123" s="213">
        <f t="shared" si="1"/>
        <v>53.36065574</v>
      </c>
      <c r="G123" s="214">
        <f t="shared" si="2"/>
        <v>3.659852931</v>
      </c>
      <c r="H123" s="198">
        <v>3.5</v>
      </c>
      <c r="I123" s="198">
        <f t="shared" si="3"/>
        <v>51.03</v>
      </c>
      <c r="J123" s="198">
        <v>1.22</v>
      </c>
      <c r="K123" s="199">
        <f t="shared" si="4"/>
        <v>41.82786885</v>
      </c>
      <c r="L123" s="215"/>
      <c r="M123" s="200">
        <f t="shared" si="5"/>
        <v>70</v>
      </c>
      <c r="N123" s="200">
        <f t="shared" si="6"/>
        <v>57.37704918</v>
      </c>
      <c r="O123" s="199">
        <f t="shared" si="7"/>
        <v>4.801097394</v>
      </c>
      <c r="P123" s="199">
        <f t="shared" si="8"/>
        <v>3.935325733</v>
      </c>
      <c r="Q123" s="215"/>
      <c r="R123" s="215"/>
      <c r="S123" s="202">
        <v>0.8</v>
      </c>
      <c r="T123" s="202">
        <v>0.2</v>
      </c>
      <c r="U123" s="202">
        <v>0.35</v>
      </c>
      <c r="V123" s="199">
        <f t="shared" si="9"/>
        <v>4.465020576</v>
      </c>
      <c r="W123" s="199">
        <f t="shared" si="10"/>
        <v>3.659852931</v>
      </c>
      <c r="X123" s="202">
        <f t="shared" si="11"/>
        <v>0.2754728013</v>
      </c>
      <c r="Y123" s="202">
        <f t="shared" si="12"/>
        <v>0.07</v>
      </c>
      <c r="Z123" s="200">
        <f t="shared" si="13"/>
        <v>65.1</v>
      </c>
      <c r="AA123" s="200">
        <f t="shared" si="14"/>
        <v>53.36065574</v>
      </c>
      <c r="AB123" s="200">
        <f t="shared" si="15"/>
        <v>42.79704918</v>
      </c>
      <c r="AC123" s="202">
        <f t="shared" si="16"/>
        <v>0.6113864169</v>
      </c>
      <c r="AD123" s="216"/>
      <c r="AE123" s="216"/>
      <c r="AF123" s="216"/>
      <c r="AG123" s="216"/>
      <c r="AH123" s="216"/>
      <c r="AI123" s="216"/>
      <c r="AJ123" s="216"/>
      <c r="AK123" s="216"/>
      <c r="AL123" s="216"/>
      <c r="AM123" s="216"/>
      <c r="AN123" s="216"/>
      <c r="AO123" s="216"/>
      <c r="AP123" s="216"/>
      <c r="AQ123" s="216"/>
      <c r="AR123" s="216"/>
      <c r="AS123" s="216"/>
      <c r="AT123" s="216"/>
      <c r="AU123" s="216"/>
    </row>
    <row r="124" ht="14.25" customHeight="1">
      <c r="A124" s="206" t="s">
        <v>326</v>
      </c>
      <c r="B124" s="193"/>
      <c r="C124" s="193"/>
      <c r="D124" s="205">
        <v>70.0</v>
      </c>
      <c r="E124" s="205">
        <v>14.58</v>
      </c>
      <c r="F124" s="213">
        <f t="shared" si="1"/>
        <v>53.36065574</v>
      </c>
      <c r="G124" s="214">
        <f t="shared" si="2"/>
        <v>3.659852931</v>
      </c>
      <c r="H124" s="198">
        <v>3.5</v>
      </c>
      <c r="I124" s="198">
        <f t="shared" si="3"/>
        <v>51.03</v>
      </c>
      <c r="J124" s="198">
        <v>1.22</v>
      </c>
      <c r="K124" s="199">
        <f t="shared" si="4"/>
        <v>41.82786885</v>
      </c>
      <c r="L124" s="215"/>
      <c r="M124" s="200">
        <f t="shared" si="5"/>
        <v>70</v>
      </c>
      <c r="N124" s="200">
        <f t="shared" si="6"/>
        <v>57.37704918</v>
      </c>
      <c r="O124" s="199">
        <f t="shared" si="7"/>
        <v>4.801097394</v>
      </c>
      <c r="P124" s="199">
        <f t="shared" si="8"/>
        <v>3.935325733</v>
      </c>
      <c r="Q124" s="215"/>
      <c r="R124" s="215"/>
      <c r="S124" s="202">
        <v>0.8</v>
      </c>
      <c r="T124" s="202">
        <v>0.2</v>
      </c>
      <c r="U124" s="202">
        <v>0.35</v>
      </c>
      <c r="V124" s="199">
        <f t="shared" si="9"/>
        <v>4.465020576</v>
      </c>
      <c r="W124" s="199">
        <f t="shared" si="10"/>
        <v>3.659852931</v>
      </c>
      <c r="X124" s="202">
        <f t="shared" si="11"/>
        <v>0.2754728013</v>
      </c>
      <c r="Y124" s="202">
        <f t="shared" si="12"/>
        <v>0.07</v>
      </c>
      <c r="Z124" s="200">
        <f t="shared" si="13"/>
        <v>65.1</v>
      </c>
      <c r="AA124" s="200">
        <f t="shared" si="14"/>
        <v>53.36065574</v>
      </c>
      <c r="AB124" s="200">
        <f t="shared" si="15"/>
        <v>42.79704918</v>
      </c>
      <c r="AC124" s="202">
        <f t="shared" si="16"/>
        <v>0.6113864169</v>
      </c>
      <c r="AD124" s="216"/>
      <c r="AE124" s="216"/>
      <c r="AF124" s="216"/>
      <c r="AG124" s="216"/>
      <c r="AH124" s="216"/>
      <c r="AI124" s="216"/>
      <c r="AJ124" s="216"/>
      <c r="AK124" s="216"/>
      <c r="AL124" s="216"/>
      <c r="AM124" s="216"/>
      <c r="AN124" s="216"/>
      <c r="AO124" s="216"/>
      <c r="AP124" s="216"/>
      <c r="AQ124" s="216"/>
      <c r="AR124" s="216"/>
      <c r="AS124" s="216"/>
      <c r="AT124" s="216"/>
      <c r="AU124" s="216"/>
    </row>
    <row r="125" ht="14.25" customHeight="1">
      <c r="A125" s="206" t="s">
        <v>460</v>
      </c>
      <c r="B125" s="193"/>
      <c r="C125" s="193"/>
      <c r="D125" s="205">
        <v>14.0</v>
      </c>
      <c r="E125" s="205">
        <v>2.48</v>
      </c>
      <c r="F125" s="213">
        <f t="shared" si="1"/>
        <v>10.67213115</v>
      </c>
      <c r="G125" s="214">
        <f t="shared" si="2"/>
        <v>4.303278689</v>
      </c>
      <c r="H125" s="198">
        <v>3.5</v>
      </c>
      <c r="I125" s="198">
        <f t="shared" si="3"/>
        <v>8.68</v>
      </c>
      <c r="J125" s="198">
        <v>1.22</v>
      </c>
      <c r="K125" s="199">
        <f t="shared" si="4"/>
        <v>7.114754098</v>
      </c>
      <c r="L125" s="215"/>
      <c r="M125" s="200">
        <f t="shared" si="5"/>
        <v>14</v>
      </c>
      <c r="N125" s="200">
        <f t="shared" si="6"/>
        <v>11.47540984</v>
      </c>
      <c r="O125" s="199">
        <f t="shared" si="7"/>
        <v>5.64516129</v>
      </c>
      <c r="P125" s="199">
        <f t="shared" si="8"/>
        <v>4.627181386</v>
      </c>
      <c r="Q125" s="215"/>
      <c r="R125" s="215"/>
      <c r="S125" s="202">
        <v>0.8</v>
      </c>
      <c r="T125" s="202">
        <v>0.2</v>
      </c>
      <c r="U125" s="202">
        <v>0.35</v>
      </c>
      <c r="V125" s="199">
        <f t="shared" si="9"/>
        <v>5.25</v>
      </c>
      <c r="W125" s="199">
        <f t="shared" si="10"/>
        <v>4.303278689</v>
      </c>
      <c r="X125" s="202">
        <f t="shared" si="11"/>
        <v>0.323902697</v>
      </c>
      <c r="Y125" s="202">
        <f t="shared" si="12"/>
        <v>0.07</v>
      </c>
      <c r="Z125" s="200">
        <f t="shared" si="13"/>
        <v>13.02</v>
      </c>
      <c r="AA125" s="200">
        <f t="shared" si="14"/>
        <v>10.67213115</v>
      </c>
      <c r="AB125" s="200">
        <f t="shared" si="15"/>
        <v>8.995409836</v>
      </c>
      <c r="AC125" s="202">
        <f t="shared" si="16"/>
        <v>0.642529274</v>
      </c>
      <c r="AD125" s="216"/>
      <c r="AE125" s="216"/>
      <c r="AF125" s="216"/>
      <c r="AG125" s="216"/>
      <c r="AH125" s="216"/>
      <c r="AI125" s="216"/>
      <c r="AJ125" s="216"/>
      <c r="AK125" s="216"/>
      <c r="AL125" s="216"/>
      <c r="AM125" s="216"/>
      <c r="AN125" s="216"/>
      <c r="AO125" s="216"/>
      <c r="AP125" s="216"/>
      <c r="AQ125" s="216"/>
      <c r="AR125" s="216"/>
      <c r="AS125" s="216"/>
      <c r="AT125" s="216"/>
      <c r="AU125" s="216"/>
    </row>
    <row r="126" ht="14.25" customHeight="1">
      <c r="A126" s="206" t="s">
        <v>437</v>
      </c>
      <c r="B126" s="193"/>
      <c r="C126" s="193"/>
      <c r="D126" s="205">
        <v>14.0</v>
      </c>
      <c r="E126" s="205">
        <v>2.48</v>
      </c>
      <c r="F126" s="213">
        <f t="shared" si="1"/>
        <v>10.67213115</v>
      </c>
      <c r="G126" s="214">
        <f t="shared" si="2"/>
        <v>4.303278689</v>
      </c>
      <c r="H126" s="198">
        <v>3.5</v>
      </c>
      <c r="I126" s="198">
        <f t="shared" si="3"/>
        <v>8.68</v>
      </c>
      <c r="J126" s="198">
        <v>1.22</v>
      </c>
      <c r="K126" s="199">
        <f t="shared" si="4"/>
        <v>7.114754098</v>
      </c>
      <c r="L126" s="215"/>
      <c r="M126" s="200">
        <f t="shared" si="5"/>
        <v>14</v>
      </c>
      <c r="N126" s="200">
        <f t="shared" si="6"/>
        <v>11.47540984</v>
      </c>
      <c r="O126" s="199">
        <f t="shared" si="7"/>
        <v>5.64516129</v>
      </c>
      <c r="P126" s="199">
        <f t="shared" si="8"/>
        <v>4.627181386</v>
      </c>
      <c r="Q126" s="215"/>
      <c r="R126" s="215"/>
      <c r="S126" s="202">
        <v>0.8</v>
      </c>
      <c r="T126" s="202">
        <v>0.2</v>
      </c>
      <c r="U126" s="202">
        <v>0.35</v>
      </c>
      <c r="V126" s="199">
        <f t="shared" si="9"/>
        <v>5.25</v>
      </c>
      <c r="W126" s="199">
        <f t="shared" si="10"/>
        <v>4.303278689</v>
      </c>
      <c r="X126" s="202">
        <f t="shared" si="11"/>
        <v>0.323902697</v>
      </c>
      <c r="Y126" s="202">
        <f t="shared" si="12"/>
        <v>0.07</v>
      </c>
      <c r="Z126" s="200">
        <f t="shared" si="13"/>
        <v>13.02</v>
      </c>
      <c r="AA126" s="200">
        <f t="shared" si="14"/>
        <v>10.67213115</v>
      </c>
      <c r="AB126" s="200">
        <f t="shared" si="15"/>
        <v>8.995409836</v>
      </c>
      <c r="AC126" s="202">
        <f t="shared" si="16"/>
        <v>0.642529274</v>
      </c>
      <c r="AD126" s="216"/>
      <c r="AE126" s="216"/>
      <c r="AF126" s="216"/>
      <c r="AG126" s="216"/>
      <c r="AH126" s="216"/>
      <c r="AI126" s="216"/>
      <c r="AJ126" s="216"/>
      <c r="AK126" s="216"/>
      <c r="AL126" s="216"/>
      <c r="AM126" s="216"/>
      <c r="AN126" s="216"/>
      <c r="AO126" s="216"/>
      <c r="AP126" s="216"/>
      <c r="AQ126" s="216"/>
      <c r="AR126" s="216"/>
      <c r="AS126" s="216"/>
      <c r="AT126" s="216"/>
      <c r="AU126" s="216"/>
    </row>
    <row r="127" ht="14.25" customHeight="1">
      <c r="A127" s="206" t="s">
        <v>466</v>
      </c>
      <c r="B127" s="193"/>
      <c r="C127" s="193"/>
      <c r="D127" s="205">
        <v>14.0</v>
      </c>
      <c r="E127" s="205">
        <v>2.48</v>
      </c>
      <c r="F127" s="213">
        <f t="shared" si="1"/>
        <v>10.67213115</v>
      </c>
      <c r="G127" s="214">
        <f t="shared" si="2"/>
        <v>4.303278689</v>
      </c>
      <c r="H127" s="198">
        <v>3.5</v>
      </c>
      <c r="I127" s="198">
        <f t="shared" si="3"/>
        <v>8.68</v>
      </c>
      <c r="J127" s="198">
        <v>1.22</v>
      </c>
      <c r="K127" s="199">
        <f t="shared" si="4"/>
        <v>7.114754098</v>
      </c>
      <c r="L127" s="215"/>
      <c r="M127" s="200">
        <f t="shared" si="5"/>
        <v>14</v>
      </c>
      <c r="N127" s="200">
        <f t="shared" si="6"/>
        <v>11.47540984</v>
      </c>
      <c r="O127" s="199">
        <f t="shared" si="7"/>
        <v>5.64516129</v>
      </c>
      <c r="P127" s="199">
        <f t="shared" si="8"/>
        <v>4.627181386</v>
      </c>
      <c r="Q127" s="215"/>
      <c r="R127" s="215"/>
      <c r="S127" s="202">
        <v>0.8</v>
      </c>
      <c r="T127" s="202">
        <v>0.2</v>
      </c>
      <c r="U127" s="202">
        <v>0.35</v>
      </c>
      <c r="V127" s="199">
        <f t="shared" si="9"/>
        <v>5.25</v>
      </c>
      <c r="W127" s="199">
        <f t="shared" si="10"/>
        <v>4.303278689</v>
      </c>
      <c r="X127" s="202">
        <f t="shared" si="11"/>
        <v>0.323902697</v>
      </c>
      <c r="Y127" s="202">
        <f t="shared" si="12"/>
        <v>0.07</v>
      </c>
      <c r="Z127" s="200">
        <f t="shared" si="13"/>
        <v>13.02</v>
      </c>
      <c r="AA127" s="200">
        <f t="shared" si="14"/>
        <v>10.67213115</v>
      </c>
      <c r="AB127" s="200">
        <f t="shared" si="15"/>
        <v>8.995409836</v>
      </c>
      <c r="AC127" s="202">
        <f t="shared" si="16"/>
        <v>0.642529274</v>
      </c>
      <c r="AD127" s="216"/>
      <c r="AE127" s="216"/>
      <c r="AF127" s="216"/>
      <c r="AG127" s="216"/>
      <c r="AH127" s="216"/>
      <c r="AI127" s="216"/>
      <c r="AJ127" s="216"/>
      <c r="AK127" s="216"/>
      <c r="AL127" s="216"/>
      <c r="AM127" s="216"/>
      <c r="AN127" s="216"/>
      <c r="AO127" s="216"/>
      <c r="AP127" s="216"/>
      <c r="AQ127" s="216"/>
      <c r="AR127" s="216"/>
      <c r="AS127" s="216"/>
      <c r="AT127" s="216"/>
      <c r="AU127" s="216"/>
    </row>
    <row r="128" ht="14.25" customHeight="1">
      <c r="A128" s="206" t="s">
        <v>454</v>
      </c>
      <c r="B128" s="193"/>
      <c r="C128" s="193"/>
      <c r="D128" s="205">
        <v>14.0</v>
      </c>
      <c r="E128" s="205">
        <v>2.48</v>
      </c>
      <c r="F128" s="213">
        <f t="shared" si="1"/>
        <v>10.67213115</v>
      </c>
      <c r="G128" s="214">
        <f t="shared" si="2"/>
        <v>4.303278689</v>
      </c>
      <c r="H128" s="198">
        <v>3.5</v>
      </c>
      <c r="I128" s="198">
        <f t="shared" si="3"/>
        <v>8.68</v>
      </c>
      <c r="J128" s="198">
        <v>1.22</v>
      </c>
      <c r="K128" s="199">
        <f t="shared" si="4"/>
        <v>7.114754098</v>
      </c>
      <c r="L128" s="215"/>
      <c r="M128" s="200">
        <f t="shared" si="5"/>
        <v>14</v>
      </c>
      <c r="N128" s="200">
        <f t="shared" si="6"/>
        <v>11.47540984</v>
      </c>
      <c r="O128" s="199">
        <f t="shared" si="7"/>
        <v>5.64516129</v>
      </c>
      <c r="P128" s="199">
        <f t="shared" si="8"/>
        <v>4.627181386</v>
      </c>
      <c r="Q128" s="215"/>
      <c r="R128" s="215"/>
      <c r="S128" s="202">
        <v>0.8</v>
      </c>
      <c r="T128" s="202">
        <v>0.2</v>
      </c>
      <c r="U128" s="202">
        <v>0.35</v>
      </c>
      <c r="V128" s="199">
        <f t="shared" si="9"/>
        <v>5.25</v>
      </c>
      <c r="W128" s="199">
        <f t="shared" si="10"/>
        <v>4.303278689</v>
      </c>
      <c r="X128" s="202">
        <f t="shared" si="11"/>
        <v>0.323902697</v>
      </c>
      <c r="Y128" s="202">
        <f t="shared" si="12"/>
        <v>0.07</v>
      </c>
      <c r="Z128" s="200">
        <f t="shared" si="13"/>
        <v>13.02</v>
      </c>
      <c r="AA128" s="200">
        <f t="shared" si="14"/>
        <v>10.67213115</v>
      </c>
      <c r="AB128" s="200">
        <f t="shared" si="15"/>
        <v>8.995409836</v>
      </c>
      <c r="AC128" s="202">
        <f t="shared" si="16"/>
        <v>0.642529274</v>
      </c>
      <c r="AD128" s="216"/>
      <c r="AE128" s="216"/>
      <c r="AF128" s="216"/>
      <c r="AG128" s="216"/>
      <c r="AH128" s="216"/>
      <c r="AI128" s="216"/>
      <c r="AJ128" s="216"/>
      <c r="AK128" s="216"/>
      <c r="AL128" s="216"/>
      <c r="AM128" s="216"/>
      <c r="AN128" s="216"/>
      <c r="AO128" s="216"/>
      <c r="AP128" s="216"/>
      <c r="AQ128" s="216"/>
      <c r="AR128" s="216"/>
      <c r="AS128" s="216"/>
      <c r="AT128" s="216"/>
      <c r="AU128" s="216"/>
    </row>
    <row r="129" ht="14.25" customHeight="1">
      <c r="A129" s="206" t="s">
        <v>337</v>
      </c>
      <c r="B129" s="193"/>
      <c r="C129" s="193"/>
      <c r="D129" s="205">
        <v>14.0</v>
      </c>
      <c r="E129" s="205">
        <v>2.48</v>
      </c>
      <c r="F129" s="213">
        <f t="shared" si="1"/>
        <v>10.67213115</v>
      </c>
      <c r="G129" s="214">
        <f t="shared" si="2"/>
        <v>4.303278689</v>
      </c>
      <c r="H129" s="198">
        <v>3.5</v>
      </c>
      <c r="I129" s="198">
        <f t="shared" si="3"/>
        <v>8.68</v>
      </c>
      <c r="J129" s="198">
        <v>1.22</v>
      </c>
      <c r="K129" s="199">
        <f t="shared" si="4"/>
        <v>7.114754098</v>
      </c>
      <c r="L129" s="215"/>
      <c r="M129" s="200">
        <f t="shared" si="5"/>
        <v>14</v>
      </c>
      <c r="N129" s="200">
        <f t="shared" si="6"/>
        <v>11.47540984</v>
      </c>
      <c r="O129" s="199">
        <f t="shared" si="7"/>
        <v>5.64516129</v>
      </c>
      <c r="P129" s="199">
        <f t="shared" si="8"/>
        <v>4.627181386</v>
      </c>
      <c r="Q129" s="215"/>
      <c r="R129" s="215"/>
      <c r="S129" s="202">
        <v>0.8</v>
      </c>
      <c r="T129" s="202">
        <v>0.2</v>
      </c>
      <c r="U129" s="202">
        <v>0.35</v>
      </c>
      <c r="V129" s="199">
        <f t="shared" si="9"/>
        <v>5.25</v>
      </c>
      <c r="W129" s="199">
        <f t="shared" si="10"/>
        <v>4.303278689</v>
      </c>
      <c r="X129" s="202">
        <f t="shared" si="11"/>
        <v>0.323902697</v>
      </c>
      <c r="Y129" s="202">
        <f t="shared" si="12"/>
        <v>0.07</v>
      </c>
      <c r="Z129" s="200">
        <f t="shared" si="13"/>
        <v>13.02</v>
      </c>
      <c r="AA129" s="200">
        <f t="shared" si="14"/>
        <v>10.67213115</v>
      </c>
      <c r="AB129" s="200">
        <f t="shared" si="15"/>
        <v>8.995409836</v>
      </c>
      <c r="AC129" s="202">
        <f t="shared" si="16"/>
        <v>0.642529274</v>
      </c>
      <c r="AD129" s="216"/>
      <c r="AE129" s="216"/>
      <c r="AF129" s="216"/>
      <c r="AG129" s="216"/>
      <c r="AH129" s="216"/>
      <c r="AI129" s="216"/>
      <c r="AJ129" s="216"/>
      <c r="AK129" s="216"/>
      <c r="AL129" s="216"/>
      <c r="AM129" s="216"/>
      <c r="AN129" s="216"/>
      <c r="AO129" s="216"/>
      <c r="AP129" s="216"/>
      <c r="AQ129" s="216"/>
      <c r="AR129" s="216"/>
      <c r="AS129" s="216"/>
      <c r="AT129" s="216"/>
      <c r="AU129" s="216"/>
    </row>
    <row r="130" ht="14.25" customHeight="1">
      <c r="A130" s="206" t="s">
        <v>448</v>
      </c>
      <c r="B130" s="193"/>
      <c r="C130" s="193"/>
      <c r="D130" s="205">
        <v>14.0</v>
      </c>
      <c r="E130" s="205">
        <v>2.48</v>
      </c>
      <c r="F130" s="213">
        <f t="shared" si="1"/>
        <v>10.67213115</v>
      </c>
      <c r="G130" s="214">
        <f t="shared" si="2"/>
        <v>4.303278689</v>
      </c>
      <c r="H130" s="198">
        <v>3.5</v>
      </c>
      <c r="I130" s="198">
        <f t="shared" si="3"/>
        <v>8.68</v>
      </c>
      <c r="J130" s="198">
        <v>1.22</v>
      </c>
      <c r="K130" s="199">
        <f t="shared" si="4"/>
        <v>7.114754098</v>
      </c>
      <c r="L130" s="215"/>
      <c r="M130" s="200">
        <f t="shared" si="5"/>
        <v>14</v>
      </c>
      <c r="N130" s="200">
        <f t="shared" si="6"/>
        <v>11.47540984</v>
      </c>
      <c r="O130" s="199">
        <f t="shared" si="7"/>
        <v>5.64516129</v>
      </c>
      <c r="P130" s="199">
        <f t="shared" si="8"/>
        <v>4.627181386</v>
      </c>
      <c r="Q130" s="215"/>
      <c r="R130" s="215"/>
      <c r="S130" s="202">
        <v>0.8</v>
      </c>
      <c r="T130" s="202">
        <v>0.2</v>
      </c>
      <c r="U130" s="202">
        <v>0.35</v>
      </c>
      <c r="V130" s="199">
        <f t="shared" si="9"/>
        <v>5.25</v>
      </c>
      <c r="W130" s="199">
        <f t="shared" si="10"/>
        <v>4.303278689</v>
      </c>
      <c r="X130" s="202">
        <f t="shared" si="11"/>
        <v>0.323902697</v>
      </c>
      <c r="Y130" s="202">
        <f t="shared" si="12"/>
        <v>0.07</v>
      </c>
      <c r="Z130" s="200">
        <f t="shared" si="13"/>
        <v>13.02</v>
      </c>
      <c r="AA130" s="200">
        <f t="shared" si="14"/>
        <v>10.67213115</v>
      </c>
      <c r="AB130" s="200">
        <f t="shared" si="15"/>
        <v>8.995409836</v>
      </c>
      <c r="AC130" s="202">
        <f t="shared" si="16"/>
        <v>0.642529274</v>
      </c>
      <c r="AD130" s="216"/>
      <c r="AE130" s="216"/>
      <c r="AF130" s="216"/>
      <c r="AG130" s="216"/>
      <c r="AH130" s="216"/>
      <c r="AI130" s="216"/>
      <c r="AJ130" s="216"/>
      <c r="AK130" s="216"/>
      <c r="AL130" s="216"/>
      <c r="AM130" s="216"/>
      <c r="AN130" s="216"/>
      <c r="AO130" s="216"/>
      <c r="AP130" s="216"/>
      <c r="AQ130" s="216"/>
      <c r="AR130" s="216"/>
      <c r="AS130" s="216"/>
      <c r="AT130" s="216"/>
      <c r="AU130" s="216"/>
    </row>
    <row r="131" ht="14.25" customHeight="1">
      <c r="A131" s="206" t="s">
        <v>639</v>
      </c>
      <c r="B131" s="193"/>
      <c r="C131" s="193"/>
      <c r="D131" s="205">
        <v>16.0</v>
      </c>
      <c r="E131" s="205">
        <v>2.54</v>
      </c>
      <c r="F131" s="213">
        <f t="shared" si="1"/>
        <v>12.19672131</v>
      </c>
      <c r="G131" s="214">
        <f t="shared" si="2"/>
        <v>4.801858784</v>
      </c>
      <c r="H131" s="198">
        <v>3.5</v>
      </c>
      <c r="I131" s="198">
        <f t="shared" si="3"/>
        <v>8.89</v>
      </c>
      <c r="J131" s="198">
        <v>1.22</v>
      </c>
      <c r="K131" s="199">
        <f t="shared" si="4"/>
        <v>7.286885246</v>
      </c>
      <c r="L131" s="215"/>
      <c r="M131" s="200">
        <f t="shared" si="5"/>
        <v>16</v>
      </c>
      <c r="N131" s="200">
        <f t="shared" si="6"/>
        <v>13.1147541</v>
      </c>
      <c r="O131" s="199">
        <f t="shared" si="7"/>
        <v>6.299212598</v>
      </c>
      <c r="P131" s="199">
        <f t="shared" si="8"/>
        <v>5.163289015</v>
      </c>
      <c r="Q131" s="215"/>
      <c r="R131" s="215"/>
      <c r="S131" s="202">
        <v>0.8</v>
      </c>
      <c r="T131" s="202">
        <v>0.2</v>
      </c>
      <c r="U131" s="202">
        <v>0.35</v>
      </c>
      <c r="V131" s="199">
        <f t="shared" si="9"/>
        <v>5.858267717</v>
      </c>
      <c r="W131" s="199">
        <f t="shared" si="10"/>
        <v>4.801858784</v>
      </c>
      <c r="X131" s="202">
        <f t="shared" si="11"/>
        <v>0.3614302311</v>
      </c>
      <c r="Y131" s="202">
        <f t="shared" si="12"/>
        <v>0.07</v>
      </c>
      <c r="Z131" s="200">
        <f t="shared" si="13"/>
        <v>14.88</v>
      </c>
      <c r="AA131" s="200">
        <f t="shared" si="14"/>
        <v>12.19672131</v>
      </c>
      <c r="AB131" s="200">
        <f t="shared" si="15"/>
        <v>10.5747541</v>
      </c>
      <c r="AC131" s="202">
        <f t="shared" si="16"/>
        <v>0.6609221311</v>
      </c>
      <c r="AD131" s="216"/>
      <c r="AE131" s="216"/>
      <c r="AF131" s="216"/>
      <c r="AG131" s="216"/>
      <c r="AH131" s="216"/>
      <c r="AI131" s="216"/>
      <c r="AJ131" s="216"/>
      <c r="AK131" s="216"/>
      <c r="AL131" s="216"/>
      <c r="AM131" s="216"/>
      <c r="AN131" s="216"/>
      <c r="AO131" s="216"/>
      <c r="AP131" s="216"/>
      <c r="AQ131" s="216"/>
      <c r="AR131" s="216"/>
      <c r="AS131" s="216"/>
      <c r="AT131" s="216"/>
      <c r="AU131" s="216"/>
    </row>
    <row r="132" ht="14.25" customHeight="1">
      <c r="A132" s="206" t="s">
        <v>616</v>
      </c>
      <c r="B132" s="193"/>
      <c r="C132" s="193"/>
      <c r="D132" s="205">
        <v>16.0</v>
      </c>
      <c r="E132" s="205">
        <v>2.54</v>
      </c>
      <c r="F132" s="213">
        <f t="shared" si="1"/>
        <v>12.19672131</v>
      </c>
      <c r="G132" s="214">
        <f t="shared" si="2"/>
        <v>4.801858784</v>
      </c>
      <c r="H132" s="198">
        <v>3.5</v>
      </c>
      <c r="I132" s="198">
        <f t="shared" si="3"/>
        <v>8.89</v>
      </c>
      <c r="J132" s="198">
        <v>1.22</v>
      </c>
      <c r="K132" s="199">
        <f t="shared" si="4"/>
        <v>7.286885246</v>
      </c>
      <c r="L132" s="215"/>
      <c r="M132" s="200">
        <f t="shared" si="5"/>
        <v>16</v>
      </c>
      <c r="N132" s="200">
        <f t="shared" si="6"/>
        <v>13.1147541</v>
      </c>
      <c r="O132" s="199">
        <f t="shared" si="7"/>
        <v>6.299212598</v>
      </c>
      <c r="P132" s="199">
        <f t="shared" si="8"/>
        <v>5.163289015</v>
      </c>
      <c r="Q132" s="215"/>
      <c r="R132" s="215"/>
      <c r="S132" s="202">
        <v>0.8</v>
      </c>
      <c r="T132" s="202">
        <v>0.2</v>
      </c>
      <c r="U132" s="202">
        <v>0.35</v>
      </c>
      <c r="V132" s="199">
        <f t="shared" si="9"/>
        <v>5.858267717</v>
      </c>
      <c r="W132" s="199">
        <f t="shared" si="10"/>
        <v>4.801858784</v>
      </c>
      <c r="X132" s="202">
        <f t="shared" si="11"/>
        <v>0.3614302311</v>
      </c>
      <c r="Y132" s="202">
        <f t="shared" si="12"/>
        <v>0.07</v>
      </c>
      <c r="Z132" s="200">
        <f t="shared" si="13"/>
        <v>14.88</v>
      </c>
      <c r="AA132" s="200">
        <f t="shared" si="14"/>
        <v>12.19672131</v>
      </c>
      <c r="AB132" s="200">
        <f t="shared" si="15"/>
        <v>10.5747541</v>
      </c>
      <c r="AC132" s="202">
        <f t="shared" si="16"/>
        <v>0.6609221311</v>
      </c>
      <c r="AD132" s="216"/>
      <c r="AE132" s="216"/>
      <c r="AF132" s="216"/>
      <c r="AG132" s="216"/>
      <c r="AH132" s="216"/>
      <c r="AI132" s="216"/>
      <c r="AJ132" s="216"/>
      <c r="AK132" s="216"/>
      <c r="AL132" s="216"/>
      <c r="AM132" s="216"/>
      <c r="AN132" s="216"/>
      <c r="AO132" s="216"/>
      <c r="AP132" s="216"/>
      <c r="AQ132" s="216"/>
      <c r="AR132" s="216"/>
      <c r="AS132" s="216"/>
      <c r="AT132" s="216"/>
      <c r="AU132" s="216"/>
    </row>
    <row r="133" ht="14.25" customHeight="1">
      <c r="A133" s="206" t="s">
        <v>645</v>
      </c>
      <c r="B133" s="193"/>
      <c r="C133" s="193"/>
      <c r="D133" s="205">
        <v>16.0</v>
      </c>
      <c r="E133" s="205">
        <v>2.54</v>
      </c>
      <c r="F133" s="213">
        <f t="shared" si="1"/>
        <v>12.19672131</v>
      </c>
      <c r="G133" s="214">
        <f t="shared" si="2"/>
        <v>4.801858784</v>
      </c>
      <c r="H133" s="198">
        <v>3.5</v>
      </c>
      <c r="I133" s="198">
        <f t="shared" si="3"/>
        <v>8.89</v>
      </c>
      <c r="J133" s="198">
        <v>1.22</v>
      </c>
      <c r="K133" s="199">
        <f t="shared" si="4"/>
        <v>7.286885246</v>
      </c>
      <c r="L133" s="215"/>
      <c r="M133" s="200">
        <f t="shared" si="5"/>
        <v>16</v>
      </c>
      <c r="N133" s="200">
        <f t="shared" si="6"/>
        <v>13.1147541</v>
      </c>
      <c r="O133" s="199">
        <f t="shared" si="7"/>
        <v>6.299212598</v>
      </c>
      <c r="P133" s="199">
        <f t="shared" si="8"/>
        <v>5.163289015</v>
      </c>
      <c r="Q133" s="215"/>
      <c r="R133" s="215"/>
      <c r="S133" s="202">
        <v>0.8</v>
      </c>
      <c r="T133" s="202">
        <v>0.2</v>
      </c>
      <c r="U133" s="202">
        <v>0.35</v>
      </c>
      <c r="V133" s="199">
        <f t="shared" si="9"/>
        <v>5.858267717</v>
      </c>
      <c r="W133" s="199">
        <f t="shared" si="10"/>
        <v>4.801858784</v>
      </c>
      <c r="X133" s="202">
        <f t="shared" si="11"/>
        <v>0.3614302311</v>
      </c>
      <c r="Y133" s="202">
        <f t="shared" si="12"/>
        <v>0.07</v>
      </c>
      <c r="Z133" s="200">
        <f t="shared" si="13"/>
        <v>14.88</v>
      </c>
      <c r="AA133" s="200">
        <f t="shared" si="14"/>
        <v>12.19672131</v>
      </c>
      <c r="AB133" s="200">
        <f t="shared" si="15"/>
        <v>10.5747541</v>
      </c>
      <c r="AC133" s="202">
        <f t="shared" si="16"/>
        <v>0.6609221311</v>
      </c>
      <c r="AD133" s="216"/>
      <c r="AE133" s="216"/>
      <c r="AF133" s="216"/>
      <c r="AG133" s="216"/>
      <c r="AH133" s="216"/>
      <c r="AI133" s="216"/>
      <c r="AJ133" s="216"/>
      <c r="AK133" s="216"/>
      <c r="AL133" s="216"/>
      <c r="AM133" s="216"/>
      <c r="AN133" s="216"/>
      <c r="AO133" s="216"/>
      <c r="AP133" s="216"/>
      <c r="AQ133" s="216"/>
      <c r="AR133" s="216"/>
      <c r="AS133" s="216"/>
      <c r="AT133" s="216"/>
      <c r="AU133" s="216"/>
    </row>
    <row r="134" ht="14.25" customHeight="1">
      <c r="A134" s="206" t="s">
        <v>633</v>
      </c>
      <c r="B134" s="193"/>
      <c r="C134" s="193"/>
      <c r="D134" s="205">
        <v>16.0</v>
      </c>
      <c r="E134" s="205">
        <v>2.54</v>
      </c>
      <c r="F134" s="213">
        <f t="shared" si="1"/>
        <v>12.19672131</v>
      </c>
      <c r="G134" s="214">
        <f t="shared" si="2"/>
        <v>4.801858784</v>
      </c>
      <c r="H134" s="198">
        <v>3.5</v>
      </c>
      <c r="I134" s="198">
        <f t="shared" si="3"/>
        <v>8.89</v>
      </c>
      <c r="J134" s="198">
        <v>1.22</v>
      </c>
      <c r="K134" s="199">
        <f t="shared" si="4"/>
        <v>7.286885246</v>
      </c>
      <c r="L134" s="215"/>
      <c r="M134" s="200">
        <f t="shared" si="5"/>
        <v>16</v>
      </c>
      <c r="N134" s="200">
        <f t="shared" si="6"/>
        <v>13.1147541</v>
      </c>
      <c r="O134" s="199">
        <f t="shared" si="7"/>
        <v>6.299212598</v>
      </c>
      <c r="P134" s="199">
        <f t="shared" si="8"/>
        <v>5.163289015</v>
      </c>
      <c r="Q134" s="215"/>
      <c r="R134" s="215"/>
      <c r="S134" s="202">
        <v>0.8</v>
      </c>
      <c r="T134" s="202">
        <v>0.2</v>
      </c>
      <c r="U134" s="202">
        <v>0.35</v>
      </c>
      <c r="V134" s="199">
        <f t="shared" si="9"/>
        <v>5.858267717</v>
      </c>
      <c r="W134" s="199">
        <f t="shared" si="10"/>
        <v>4.801858784</v>
      </c>
      <c r="X134" s="202">
        <f t="shared" si="11"/>
        <v>0.3614302311</v>
      </c>
      <c r="Y134" s="202">
        <f t="shared" si="12"/>
        <v>0.07</v>
      </c>
      <c r="Z134" s="200">
        <f t="shared" si="13"/>
        <v>14.88</v>
      </c>
      <c r="AA134" s="200">
        <f t="shared" si="14"/>
        <v>12.19672131</v>
      </c>
      <c r="AB134" s="200">
        <f t="shared" si="15"/>
        <v>10.5747541</v>
      </c>
      <c r="AC134" s="202">
        <f t="shared" si="16"/>
        <v>0.6609221311</v>
      </c>
      <c r="AD134" s="216"/>
      <c r="AE134" s="216"/>
      <c r="AF134" s="216"/>
      <c r="AG134" s="216"/>
      <c r="AH134" s="216"/>
      <c r="AI134" s="216"/>
      <c r="AJ134" s="216"/>
      <c r="AK134" s="216"/>
      <c r="AL134" s="216"/>
      <c r="AM134" s="216"/>
      <c r="AN134" s="216"/>
      <c r="AO134" s="216"/>
      <c r="AP134" s="216"/>
      <c r="AQ134" s="216"/>
      <c r="AR134" s="216"/>
      <c r="AS134" s="216"/>
      <c r="AT134" s="216"/>
      <c r="AU134" s="216"/>
    </row>
    <row r="135" ht="14.25" customHeight="1">
      <c r="A135" s="206" t="s">
        <v>349</v>
      </c>
      <c r="B135" s="193"/>
      <c r="C135" s="193"/>
      <c r="D135" s="205">
        <v>16.0</v>
      </c>
      <c r="E135" s="205">
        <v>2.54</v>
      </c>
      <c r="F135" s="213">
        <f t="shared" si="1"/>
        <v>12.19672131</v>
      </c>
      <c r="G135" s="214">
        <f t="shared" si="2"/>
        <v>4.801858784</v>
      </c>
      <c r="H135" s="198">
        <v>3.5</v>
      </c>
      <c r="I135" s="198">
        <f t="shared" si="3"/>
        <v>8.89</v>
      </c>
      <c r="J135" s="198">
        <v>1.22</v>
      </c>
      <c r="K135" s="199">
        <f t="shared" si="4"/>
        <v>7.286885246</v>
      </c>
      <c r="L135" s="215"/>
      <c r="M135" s="200">
        <f t="shared" si="5"/>
        <v>16</v>
      </c>
      <c r="N135" s="200">
        <f t="shared" si="6"/>
        <v>13.1147541</v>
      </c>
      <c r="O135" s="199">
        <f t="shared" si="7"/>
        <v>6.299212598</v>
      </c>
      <c r="P135" s="199">
        <f t="shared" si="8"/>
        <v>5.163289015</v>
      </c>
      <c r="Q135" s="215"/>
      <c r="R135" s="215"/>
      <c r="S135" s="202">
        <v>0.8</v>
      </c>
      <c r="T135" s="202">
        <v>0.2</v>
      </c>
      <c r="U135" s="202">
        <v>0.35</v>
      </c>
      <c r="V135" s="199">
        <f t="shared" si="9"/>
        <v>5.858267717</v>
      </c>
      <c r="W135" s="199">
        <f t="shared" si="10"/>
        <v>4.801858784</v>
      </c>
      <c r="X135" s="202">
        <f t="shared" si="11"/>
        <v>0.3614302311</v>
      </c>
      <c r="Y135" s="202">
        <f t="shared" si="12"/>
        <v>0.07</v>
      </c>
      <c r="Z135" s="200">
        <f t="shared" si="13"/>
        <v>14.88</v>
      </c>
      <c r="AA135" s="200">
        <f t="shared" si="14"/>
        <v>12.19672131</v>
      </c>
      <c r="AB135" s="200">
        <f t="shared" si="15"/>
        <v>10.5747541</v>
      </c>
      <c r="AC135" s="202">
        <f t="shared" si="16"/>
        <v>0.6609221311</v>
      </c>
      <c r="AD135" s="216"/>
      <c r="AE135" s="216"/>
      <c r="AF135" s="216"/>
      <c r="AG135" s="216"/>
      <c r="AH135" s="216"/>
      <c r="AI135" s="216"/>
      <c r="AJ135" s="216"/>
      <c r="AK135" s="216"/>
      <c r="AL135" s="216"/>
      <c r="AM135" s="216"/>
      <c r="AN135" s="216"/>
      <c r="AO135" s="216"/>
      <c r="AP135" s="216"/>
      <c r="AQ135" s="216"/>
      <c r="AR135" s="216"/>
      <c r="AS135" s="216"/>
      <c r="AT135" s="216"/>
      <c r="AU135" s="216"/>
    </row>
    <row r="136" ht="14.25" customHeight="1">
      <c r="A136" s="206" t="s">
        <v>627</v>
      </c>
      <c r="B136" s="193"/>
      <c r="C136" s="193"/>
      <c r="D136" s="205">
        <v>16.0</v>
      </c>
      <c r="E136" s="205">
        <v>2.54</v>
      </c>
      <c r="F136" s="213">
        <f t="shared" si="1"/>
        <v>12.19672131</v>
      </c>
      <c r="G136" s="214">
        <f t="shared" si="2"/>
        <v>4.801858784</v>
      </c>
      <c r="H136" s="198">
        <v>3.5</v>
      </c>
      <c r="I136" s="198">
        <f t="shared" si="3"/>
        <v>8.89</v>
      </c>
      <c r="J136" s="198">
        <v>1.22</v>
      </c>
      <c r="K136" s="199">
        <f t="shared" si="4"/>
        <v>7.286885246</v>
      </c>
      <c r="L136" s="215"/>
      <c r="M136" s="200">
        <f t="shared" si="5"/>
        <v>16</v>
      </c>
      <c r="N136" s="200">
        <f t="shared" si="6"/>
        <v>13.1147541</v>
      </c>
      <c r="O136" s="199">
        <f t="shared" si="7"/>
        <v>6.299212598</v>
      </c>
      <c r="P136" s="199">
        <f t="shared" si="8"/>
        <v>5.163289015</v>
      </c>
      <c r="Q136" s="215"/>
      <c r="R136" s="215"/>
      <c r="S136" s="202">
        <v>0.8</v>
      </c>
      <c r="T136" s="202">
        <v>0.2</v>
      </c>
      <c r="U136" s="202">
        <v>0.35</v>
      </c>
      <c r="V136" s="199">
        <f t="shared" si="9"/>
        <v>5.858267717</v>
      </c>
      <c r="W136" s="199">
        <f t="shared" si="10"/>
        <v>4.801858784</v>
      </c>
      <c r="X136" s="202">
        <f t="shared" si="11"/>
        <v>0.3614302311</v>
      </c>
      <c r="Y136" s="202">
        <f t="shared" si="12"/>
        <v>0.07</v>
      </c>
      <c r="Z136" s="200">
        <f t="shared" si="13"/>
        <v>14.88</v>
      </c>
      <c r="AA136" s="200">
        <f t="shared" si="14"/>
        <v>12.19672131</v>
      </c>
      <c r="AB136" s="200">
        <f t="shared" si="15"/>
        <v>10.5747541</v>
      </c>
      <c r="AC136" s="202">
        <f t="shared" si="16"/>
        <v>0.6609221311</v>
      </c>
      <c r="AD136" s="216"/>
      <c r="AE136" s="216"/>
      <c r="AF136" s="216"/>
      <c r="AG136" s="216"/>
      <c r="AH136" s="216"/>
      <c r="AI136" s="216"/>
      <c r="AJ136" s="216"/>
      <c r="AK136" s="216"/>
      <c r="AL136" s="216"/>
      <c r="AM136" s="216"/>
      <c r="AN136" s="216"/>
      <c r="AO136" s="216"/>
      <c r="AP136" s="216"/>
      <c r="AQ136" s="216"/>
      <c r="AR136" s="216"/>
      <c r="AS136" s="216"/>
      <c r="AT136" s="216"/>
      <c r="AU136" s="216"/>
    </row>
    <row r="137" ht="14.25" customHeight="1">
      <c r="A137" s="206" t="s">
        <v>754</v>
      </c>
      <c r="B137" s="193"/>
      <c r="C137" s="193"/>
      <c r="D137" s="205">
        <v>18.0</v>
      </c>
      <c r="E137" s="205">
        <v>2.89</v>
      </c>
      <c r="F137" s="213">
        <f t="shared" si="1"/>
        <v>13.72131148</v>
      </c>
      <c r="G137" s="214">
        <f t="shared" si="2"/>
        <v>4.747858642</v>
      </c>
      <c r="H137" s="198">
        <v>3.5</v>
      </c>
      <c r="I137" s="198">
        <f t="shared" si="3"/>
        <v>10.115</v>
      </c>
      <c r="J137" s="198">
        <v>1.22</v>
      </c>
      <c r="K137" s="199">
        <f t="shared" si="4"/>
        <v>8.290983607</v>
      </c>
      <c r="L137" s="215"/>
      <c r="M137" s="200">
        <f t="shared" si="5"/>
        <v>18</v>
      </c>
      <c r="N137" s="200">
        <f t="shared" si="6"/>
        <v>14.75409836</v>
      </c>
      <c r="O137" s="199">
        <f t="shared" si="7"/>
        <v>6.228373702</v>
      </c>
      <c r="P137" s="199">
        <f t="shared" si="8"/>
        <v>5.105224346</v>
      </c>
      <c r="Q137" s="215"/>
      <c r="R137" s="215"/>
      <c r="S137" s="202">
        <v>0.8</v>
      </c>
      <c r="T137" s="202">
        <v>0.2</v>
      </c>
      <c r="U137" s="202">
        <v>0.35</v>
      </c>
      <c r="V137" s="199">
        <f t="shared" si="9"/>
        <v>5.792387543</v>
      </c>
      <c r="W137" s="199">
        <f t="shared" si="10"/>
        <v>4.747858642</v>
      </c>
      <c r="X137" s="202">
        <f t="shared" si="11"/>
        <v>0.3573657042</v>
      </c>
      <c r="Y137" s="202">
        <f t="shared" si="12"/>
        <v>0.07</v>
      </c>
      <c r="Z137" s="200">
        <f t="shared" si="13"/>
        <v>16.74</v>
      </c>
      <c r="AA137" s="200">
        <f t="shared" si="14"/>
        <v>13.72131148</v>
      </c>
      <c r="AB137" s="200">
        <f t="shared" si="15"/>
        <v>11.86409836</v>
      </c>
      <c r="AC137" s="202">
        <f t="shared" si="16"/>
        <v>0.6591165756</v>
      </c>
      <c r="AD137" s="216"/>
      <c r="AE137" s="216"/>
      <c r="AF137" s="216"/>
      <c r="AG137" s="216"/>
      <c r="AH137" s="216"/>
      <c r="AI137" s="216"/>
      <c r="AJ137" s="216"/>
      <c r="AK137" s="216"/>
      <c r="AL137" s="216"/>
      <c r="AM137" s="216"/>
      <c r="AN137" s="216"/>
      <c r="AO137" s="216"/>
      <c r="AP137" s="216"/>
      <c r="AQ137" s="216"/>
      <c r="AR137" s="216"/>
      <c r="AS137" s="216"/>
      <c r="AT137" s="216"/>
      <c r="AU137" s="216"/>
    </row>
    <row r="138" ht="14.25" customHeight="1">
      <c r="A138" s="206" t="s">
        <v>731</v>
      </c>
      <c r="B138" s="193"/>
      <c r="C138" s="193"/>
      <c r="D138" s="205">
        <v>18.0</v>
      </c>
      <c r="E138" s="205">
        <v>2.89</v>
      </c>
      <c r="F138" s="213">
        <f t="shared" si="1"/>
        <v>13.72131148</v>
      </c>
      <c r="G138" s="214">
        <f t="shared" si="2"/>
        <v>4.747858642</v>
      </c>
      <c r="H138" s="198">
        <v>3.5</v>
      </c>
      <c r="I138" s="198">
        <f t="shared" si="3"/>
        <v>10.115</v>
      </c>
      <c r="J138" s="198">
        <v>1.22</v>
      </c>
      <c r="K138" s="199">
        <f t="shared" si="4"/>
        <v>8.290983607</v>
      </c>
      <c r="L138" s="215"/>
      <c r="M138" s="200">
        <f t="shared" si="5"/>
        <v>18</v>
      </c>
      <c r="N138" s="200">
        <f t="shared" si="6"/>
        <v>14.75409836</v>
      </c>
      <c r="O138" s="199">
        <f t="shared" si="7"/>
        <v>6.228373702</v>
      </c>
      <c r="P138" s="199">
        <f t="shared" si="8"/>
        <v>5.105224346</v>
      </c>
      <c r="Q138" s="215"/>
      <c r="R138" s="215"/>
      <c r="S138" s="202">
        <v>0.8</v>
      </c>
      <c r="T138" s="202">
        <v>0.2</v>
      </c>
      <c r="U138" s="202">
        <v>0.35</v>
      </c>
      <c r="V138" s="199">
        <f t="shared" si="9"/>
        <v>5.792387543</v>
      </c>
      <c r="W138" s="199">
        <f t="shared" si="10"/>
        <v>4.747858642</v>
      </c>
      <c r="X138" s="202">
        <f t="shared" si="11"/>
        <v>0.3573657042</v>
      </c>
      <c r="Y138" s="202">
        <f t="shared" si="12"/>
        <v>0.07</v>
      </c>
      <c r="Z138" s="200">
        <f t="shared" si="13"/>
        <v>16.74</v>
      </c>
      <c r="AA138" s="200">
        <f t="shared" si="14"/>
        <v>13.72131148</v>
      </c>
      <c r="AB138" s="200">
        <f t="shared" si="15"/>
        <v>11.86409836</v>
      </c>
      <c r="AC138" s="202">
        <f t="shared" si="16"/>
        <v>0.6591165756</v>
      </c>
      <c r="AD138" s="216"/>
      <c r="AE138" s="216"/>
      <c r="AF138" s="216"/>
      <c r="AG138" s="216"/>
      <c r="AH138" s="216"/>
      <c r="AI138" s="216"/>
      <c r="AJ138" s="216"/>
      <c r="AK138" s="216"/>
      <c r="AL138" s="216"/>
      <c r="AM138" s="216"/>
      <c r="AN138" s="216"/>
      <c r="AO138" s="216"/>
      <c r="AP138" s="216"/>
      <c r="AQ138" s="216"/>
      <c r="AR138" s="216"/>
      <c r="AS138" s="216"/>
      <c r="AT138" s="216"/>
      <c r="AU138" s="216"/>
    </row>
    <row r="139" ht="14.25" customHeight="1">
      <c r="A139" s="206" t="s">
        <v>760</v>
      </c>
      <c r="B139" s="193"/>
      <c r="C139" s="193"/>
      <c r="D139" s="205">
        <v>18.0</v>
      </c>
      <c r="E139" s="205">
        <v>2.89</v>
      </c>
      <c r="F139" s="213">
        <f t="shared" si="1"/>
        <v>13.72131148</v>
      </c>
      <c r="G139" s="214">
        <f t="shared" si="2"/>
        <v>4.747858642</v>
      </c>
      <c r="H139" s="198">
        <v>3.5</v>
      </c>
      <c r="I139" s="198">
        <f t="shared" si="3"/>
        <v>10.115</v>
      </c>
      <c r="J139" s="198">
        <v>1.22</v>
      </c>
      <c r="K139" s="199">
        <f t="shared" si="4"/>
        <v>8.290983607</v>
      </c>
      <c r="L139" s="215"/>
      <c r="M139" s="200">
        <f t="shared" si="5"/>
        <v>18</v>
      </c>
      <c r="N139" s="200">
        <f t="shared" si="6"/>
        <v>14.75409836</v>
      </c>
      <c r="O139" s="199">
        <f t="shared" si="7"/>
        <v>6.228373702</v>
      </c>
      <c r="P139" s="199">
        <f t="shared" si="8"/>
        <v>5.105224346</v>
      </c>
      <c r="Q139" s="215"/>
      <c r="R139" s="215"/>
      <c r="S139" s="202">
        <v>0.8</v>
      </c>
      <c r="T139" s="202">
        <v>0.2</v>
      </c>
      <c r="U139" s="202">
        <v>0.35</v>
      </c>
      <c r="V139" s="199">
        <f t="shared" si="9"/>
        <v>5.792387543</v>
      </c>
      <c r="W139" s="199">
        <f t="shared" si="10"/>
        <v>4.747858642</v>
      </c>
      <c r="X139" s="202">
        <f t="shared" si="11"/>
        <v>0.3573657042</v>
      </c>
      <c r="Y139" s="202">
        <f t="shared" si="12"/>
        <v>0.07</v>
      </c>
      <c r="Z139" s="200">
        <f t="shared" si="13"/>
        <v>16.74</v>
      </c>
      <c r="AA139" s="200">
        <f t="shared" si="14"/>
        <v>13.72131148</v>
      </c>
      <c r="AB139" s="200">
        <f t="shared" si="15"/>
        <v>11.86409836</v>
      </c>
      <c r="AC139" s="202">
        <f t="shared" si="16"/>
        <v>0.6591165756</v>
      </c>
      <c r="AD139" s="216"/>
      <c r="AE139" s="216"/>
      <c r="AF139" s="216"/>
      <c r="AG139" s="216"/>
      <c r="AH139" s="216"/>
      <c r="AI139" s="216"/>
      <c r="AJ139" s="216"/>
      <c r="AK139" s="216"/>
      <c r="AL139" s="216"/>
      <c r="AM139" s="216"/>
      <c r="AN139" s="216"/>
      <c r="AO139" s="216"/>
      <c r="AP139" s="216"/>
      <c r="AQ139" s="216"/>
      <c r="AR139" s="216"/>
      <c r="AS139" s="216"/>
      <c r="AT139" s="216"/>
      <c r="AU139" s="216"/>
    </row>
    <row r="140" ht="14.25" customHeight="1">
      <c r="A140" s="206" t="s">
        <v>748</v>
      </c>
      <c r="B140" s="193"/>
      <c r="C140" s="193"/>
      <c r="D140" s="205">
        <v>18.0</v>
      </c>
      <c r="E140" s="205">
        <v>2.89</v>
      </c>
      <c r="F140" s="213">
        <f t="shared" si="1"/>
        <v>13.72131148</v>
      </c>
      <c r="G140" s="214">
        <f t="shared" si="2"/>
        <v>4.747858642</v>
      </c>
      <c r="H140" s="198">
        <v>3.5</v>
      </c>
      <c r="I140" s="198">
        <f t="shared" si="3"/>
        <v>10.115</v>
      </c>
      <c r="J140" s="198">
        <v>1.22</v>
      </c>
      <c r="K140" s="199">
        <f t="shared" si="4"/>
        <v>8.290983607</v>
      </c>
      <c r="L140" s="215"/>
      <c r="M140" s="200">
        <f t="shared" si="5"/>
        <v>18</v>
      </c>
      <c r="N140" s="200">
        <f t="shared" si="6"/>
        <v>14.75409836</v>
      </c>
      <c r="O140" s="199">
        <f t="shared" si="7"/>
        <v>6.228373702</v>
      </c>
      <c r="P140" s="199">
        <f t="shared" si="8"/>
        <v>5.105224346</v>
      </c>
      <c r="Q140" s="215"/>
      <c r="R140" s="215"/>
      <c r="S140" s="202">
        <v>0.8</v>
      </c>
      <c r="T140" s="202">
        <v>0.2</v>
      </c>
      <c r="U140" s="202">
        <v>0.35</v>
      </c>
      <c r="V140" s="199">
        <f t="shared" si="9"/>
        <v>5.792387543</v>
      </c>
      <c r="W140" s="199">
        <f t="shared" si="10"/>
        <v>4.747858642</v>
      </c>
      <c r="X140" s="202">
        <f t="shared" si="11"/>
        <v>0.3573657042</v>
      </c>
      <c r="Y140" s="202">
        <f t="shared" si="12"/>
        <v>0.07</v>
      </c>
      <c r="Z140" s="200">
        <f t="shared" si="13"/>
        <v>16.74</v>
      </c>
      <c r="AA140" s="200">
        <f t="shared" si="14"/>
        <v>13.72131148</v>
      </c>
      <c r="AB140" s="200">
        <f t="shared" si="15"/>
        <v>11.86409836</v>
      </c>
      <c r="AC140" s="202">
        <f t="shared" si="16"/>
        <v>0.6591165756</v>
      </c>
      <c r="AD140" s="216"/>
      <c r="AE140" s="216"/>
      <c r="AF140" s="216"/>
      <c r="AG140" s="216"/>
      <c r="AH140" s="216"/>
      <c r="AI140" s="216"/>
      <c r="AJ140" s="216"/>
      <c r="AK140" s="216"/>
      <c r="AL140" s="216"/>
      <c r="AM140" s="216"/>
      <c r="AN140" s="216"/>
      <c r="AO140" s="216"/>
      <c r="AP140" s="216"/>
      <c r="AQ140" s="216"/>
      <c r="AR140" s="216"/>
      <c r="AS140" s="216"/>
      <c r="AT140" s="216"/>
      <c r="AU140" s="216"/>
    </row>
    <row r="141" ht="14.25" customHeight="1">
      <c r="A141" s="206" t="s">
        <v>362</v>
      </c>
      <c r="B141" s="193"/>
      <c r="C141" s="193"/>
      <c r="D141" s="205">
        <v>18.0</v>
      </c>
      <c r="E141" s="205">
        <v>2.89</v>
      </c>
      <c r="F141" s="213">
        <f t="shared" si="1"/>
        <v>13.72131148</v>
      </c>
      <c r="G141" s="214">
        <f t="shared" si="2"/>
        <v>4.747858642</v>
      </c>
      <c r="H141" s="198">
        <v>3.5</v>
      </c>
      <c r="I141" s="198">
        <f t="shared" si="3"/>
        <v>10.115</v>
      </c>
      <c r="J141" s="198">
        <v>1.22</v>
      </c>
      <c r="K141" s="199">
        <f t="shared" si="4"/>
        <v>8.290983607</v>
      </c>
      <c r="L141" s="215"/>
      <c r="M141" s="200">
        <f t="shared" si="5"/>
        <v>18</v>
      </c>
      <c r="N141" s="200">
        <f t="shared" si="6"/>
        <v>14.75409836</v>
      </c>
      <c r="O141" s="199">
        <f t="shared" si="7"/>
        <v>6.228373702</v>
      </c>
      <c r="P141" s="199">
        <f t="shared" si="8"/>
        <v>5.105224346</v>
      </c>
      <c r="Q141" s="215"/>
      <c r="R141" s="215"/>
      <c r="S141" s="202">
        <v>0.8</v>
      </c>
      <c r="T141" s="202">
        <v>0.2</v>
      </c>
      <c r="U141" s="202">
        <v>0.35</v>
      </c>
      <c r="V141" s="199">
        <f t="shared" si="9"/>
        <v>5.792387543</v>
      </c>
      <c r="W141" s="199">
        <f t="shared" si="10"/>
        <v>4.747858642</v>
      </c>
      <c r="X141" s="202">
        <f t="shared" si="11"/>
        <v>0.3573657042</v>
      </c>
      <c r="Y141" s="202">
        <f t="shared" si="12"/>
        <v>0.07</v>
      </c>
      <c r="Z141" s="200">
        <f t="shared" si="13"/>
        <v>16.74</v>
      </c>
      <c r="AA141" s="200">
        <f t="shared" si="14"/>
        <v>13.72131148</v>
      </c>
      <c r="AB141" s="200">
        <f t="shared" si="15"/>
        <v>11.86409836</v>
      </c>
      <c r="AC141" s="202">
        <f t="shared" si="16"/>
        <v>0.6591165756</v>
      </c>
      <c r="AD141" s="216"/>
      <c r="AE141" s="216"/>
      <c r="AF141" s="216"/>
      <c r="AG141" s="216"/>
      <c r="AH141" s="216"/>
      <c r="AI141" s="216"/>
      <c r="AJ141" s="216"/>
      <c r="AK141" s="216"/>
      <c r="AL141" s="216"/>
      <c r="AM141" s="216"/>
      <c r="AN141" s="216"/>
      <c r="AO141" s="216"/>
      <c r="AP141" s="216"/>
      <c r="AQ141" s="216"/>
      <c r="AR141" s="216"/>
      <c r="AS141" s="216"/>
      <c r="AT141" s="216"/>
      <c r="AU141" s="216"/>
    </row>
    <row r="142" ht="14.25" customHeight="1">
      <c r="A142" s="206" t="s">
        <v>742</v>
      </c>
      <c r="B142" s="193"/>
      <c r="C142" s="193"/>
      <c r="D142" s="205">
        <v>18.0</v>
      </c>
      <c r="E142" s="205">
        <v>2.89</v>
      </c>
      <c r="F142" s="213">
        <f t="shared" si="1"/>
        <v>13.72131148</v>
      </c>
      <c r="G142" s="214">
        <f t="shared" si="2"/>
        <v>4.747858642</v>
      </c>
      <c r="H142" s="198">
        <v>3.5</v>
      </c>
      <c r="I142" s="198">
        <f t="shared" si="3"/>
        <v>10.115</v>
      </c>
      <c r="J142" s="198">
        <v>1.22</v>
      </c>
      <c r="K142" s="199">
        <f t="shared" si="4"/>
        <v>8.290983607</v>
      </c>
      <c r="L142" s="215"/>
      <c r="M142" s="200">
        <f t="shared" si="5"/>
        <v>18</v>
      </c>
      <c r="N142" s="200">
        <f t="shared" si="6"/>
        <v>14.75409836</v>
      </c>
      <c r="O142" s="199">
        <f t="shared" si="7"/>
        <v>6.228373702</v>
      </c>
      <c r="P142" s="199">
        <f t="shared" si="8"/>
        <v>5.105224346</v>
      </c>
      <c r="Q142" s="215"/>
      <c r="R142" s="215"/>
      <c r="S142" s="202">
        <v>0.8</v>
      </c>
      <c r="T142" s="202">
        <v>0.2</v>
      </c>
      <c r="U142" s="202">
        <v>0.35</v>
      </c>
      <c r="V142" s="199">
        <f t="shared" si="9"/>
        <v>5.792387543</v>
      </c>
      <c r="W142" s="199">
        <f t="shared" si="10"/>
        <v>4.747858642</v>
      </c>
      <c r="X142" s="202">
        <f t="shared" si="11"/>
        <v>0.3573657042</v>
      </c>
      <c r="Y142" s="202">
        <f t="shared" si="12"/>
        <v>0.07</v>
      </c>
      <c r="Z142" s="200">
        <f t="shared" si="13"/>
        <v>16.74</v>
      </c>
      <c r="AA142" s="200">
        <f t="shared" si="14"/>
        <v>13.72131148</v>
      </c>
      <c r="AB142" s="200">
        <f t="shared" si="15"/>
        <v>11.86409836</v>
      </c>
      <c r="AC142" s="202">
        <f t="shared" si="16"/>
        <v>0.6591165756</v>
      </c>
      <c r="AD142" s="216"/>
      <c r="AE142" s="216"/>
      <c r="AF142" s="216"/>
      <c r="AG142" s="216"/>
      <c r="AH142" s="216"/>
      <c r="AI142" s="216"/>
      <c r="AJ142" s="216"/>
      <c r="AK142" s="216"/>
      <c r="AL142" s="216"/>
      <c r="AM142" s="216"/>
      <c r="AN142" s="216"/>
      <c r="AO142" s="216"/>
      <c r="AP142" s="216"/>
      <c r="AQ142" s="216"/>
      <c r="AR142" s="216"/>
      <c r="AS142" s="216"/>
      <c r="AT142" s="216"/>
      <c r="AU142" s="216"/>
    </row>
    <row r="143" ht="14.25" customHeight="1">
      <c r="A143" s="206" t="s">
        <v>501</v>
      </c>
      <c r="B143" s="193"/>
      <c r="C143" s="193"/>
      <c r="D143" s="205">
        <v>45.0</v>
      </c>
      <c r="E143" s="205">
        <v>10.24</v>
      </c>
      <c r="F143" s="213">
        <f t="shared" si="1"/>
        <v>34.30327869</v>
      </c>
      <c r="G143" s="214">
        <f t="shared" si="2"/>
        <v>3.349929559</v>
      </c>
      <c r="H143" s="198">
        <v>3.5</v>
      </c>
      <c r="I143" s="198">
        <f t="shared" si="3"/>
        <v>35.84</v>
      </c>
      <c r="J143" s="198">
        <v>1.22</v>
      </c>
      <c r="K143" s="199">
        <f t="shared" si="4"/>
        <v>29.37704918</v>
      </c>
      <c r="L143" s="215"/>
      <c r="M143" s="200">
        <f t="shared" si="5"/>
        <v>45</v>
      </c>
      <c r="N143" s="200">
        <f t="shared" si="6"/>
        <v>36.8852459</v>
      </c>
      <c r="O143" s="199">
        <f t="shared" si="7"/>
        <v>4.39453125</v>
      </c>
      <c r="P143" s="199">
        <f t="shared" si="8"/>
        <v>3.602074795</v>
      </c>
      <c r="Q143" s="215"/>
      <c r="R143" s="215"/>
      <c r="S143" s="202">
        <v>0.8</v>
      </c>
      <c r="T143" s="202">
        <v>0.2</v>
      </c>
      <c r="U143" s="202">
        <v>0.35</v>
      </c>
      <c r="V143" s="199">
        <f t="shared" si="9"/>
        <v>4.086914063</v>
      </c>
      <c r="W143" s="199">
        <f t="shared" si="10"/>
        <v>3.349929559</v>
      </c>
      <c r="X143" s="202">
        <f t="shared" si="11"/>
        <v>0.2521452357</v>
      </c>
      <c r="Y143" s="202">
        <f t="shared" si="12"/>
        <v>0.07</v>
      </c>
      <c r="Z143" s="200">
        <f t="shared" si="13"/>
        <v>41.85</v>
      </c>
      <c r="AA143" s="200">
        <f t="shared" si="14"/>
        <v>34.30327869</v>
      </c>
      <c r="AB143" s="200">
        <f t="shared" si="15"/>
        <v>26.6452459</v>
      </c>
      <c r="AC143" s="202">
        <f t="shared" si="16"/>
        <v>0.5921165756</v>
      </c>
      <c r="AD143" s="216"/>
      <c r="AE143" s="216"/>
      <c r="AF143" s="216"/>
      <c r="AG143" s="216"/>
      <c r="AH143" s="216"/>
      <c r="AI143" s="216"/>
      <c r="AJ143" s="216"/>
      <c r="AK143" s="216"/>
      <c r="AL143" s="216"/>
      <c r="AM143" s="216"/>
      <c r="AN143" s="216"/>
      <c r="AO143" s="216"/>
      <c r="AP143" s="216"/>
      <c r="AQ143" s="216"/>
      <c r="AR143" s="216"/>
      <c r="AS143" s="216"/>
      <c r="AT143" s="216"/>
      <c r="AU143" s="216"/>
    </row>
    <row r="144" ht="14.25" customHeight="1">
      <c r="A144" s="206" t="s">
        <v>472</v>
      </c>
      <c r="B144" s="193"/>
      <c r="C144" s="193"/>
      <c r="D144" s="205">
        <v>45.0</v>
      </c>
      <c r="E144" s="205">
        <v>10.24</v>
      </c>
      <c r="F144" s="213">
        <f t="shared" si="1"/>
        <v>34.30327869</v>
      </c>
      <c r="G144" s="214">
        <f t="shared" si="2"/>
        <v>3.349929559</v>
      </c>
      <c r="H144" s="198">
        <v>3.5</v>
      </c>
      <c r="I144" s="198">
        <f t="shared" si="3"/>
        <v>35.84</v>
      </c>
      <c r="J144" s="198">
        <v>1.22</v>
      </c>
      <c r="K144" s="199">
        <f t="shared" si="4"/>
        <v>29.37704918</v>
      </c>
      <c r="L144" s="215"/>
      <c r="M144" s="200">
        <f t="shared" si="5"/>
        <v>45</v>
      </c>
      <c r="N144" s="200">
        <f t="shared" si="6"/>
        <v>36.8852459</v>
      </c>
      <c r="O144" s="199">
        <f t="shared" si="7"/>
        <v>4.39453125</v>
      </c>
      <c r="P144" s="199">
        <f t="shared" si="8"/>
        <v>3.602074795</v>
      </c>
      <c r="Q144" s="215"/>
      <c r="R144" s="215"/>
      <c r="S144" s="202">
        <v>0.8</v>
      </c>
      <c r="T144" s="202">
        <v>0.2</v>
      </c>
      <c r="U144" s="202">
        <v>0.35</v>
      </c>
      <c r="V144" s="199">
        <f t="shared" si="9"/>
        <v>4.086914063</v>
      </c>
      <c r="W144" s="199">
        <f t="shared" si="10"/>
        <v>3.349929559</v>
      </c>
      <c r="X144" s="202">
        <f t="shared" si="11"/>
        <v>0.2521452357</v>
      </c>
      <c r="Y144" s="202">
        <f t="shared" si="12"/>
        <v>0.07</v>
      </c>
      <c r="Z144" s="200">
        <f t="shared" si="13"/>
        <v>41.85</v>
      </c>
      <c r="AA144" s="200">
        <f t="shared" si="14"/>
        <v>34.30327869</v>
      </c>
      <c r="AB144" s="200">
        <f t="shared" si="15"/>
        <v>26.6452459</v>
      </c>
      <c r="AC144" s="202">
        <f t="shared" si="16"/>
        <v>0.5921165756</v>
      </c>
      <c r="AD144" s="216"/>
      <c r="AE144" s="216"/>
      <c r="AF144" s="216"/>
      <c r="AG144" s="216"/>
      <c r="AH144" s="216"/>
      <c r="AI144" s="216"/>
      <c r="AJ144" s="216"/>
      <c r="AK144" s="216"/>
      <c r="AL144" s="216"/>
      <c r="AM144" s="216"/>
      <c r="AN144" s="216"/>
      <c r="AO144" s="216"/>
      <c r="AP144" s="216"/>
      <c r="AQ144" s="216"/>
      <c r="AR144" s="216"/>
      <c r="AS144" s="216"/>
      <c r="AT144" s="216"/>
      <c r="AU144" s="216"/>
    </row>
    <row r="145" ht="14.25" customHeight="1">
      <c r="A145" s="206" t="s">
        <v>507</v>
      </c>
      <c r="B145" s="193"/>
      <c r="C145" s="193"/>
      <c r="D145" s="205">
        <v>45.0</v>
      </c>
      <c r="E145" s="205">
        <v>10.24</v>
      </c>
      <c r="F145" s="213">
        <f t="shared" si="1"/>
        <v>34.30327869</v>
      </c>
      <c r="G145" s="214">
        <f t="shared" si="2"/>
        <v>3.349929559</v>
      </c>
      <c r="H145" s="198">
        <v>3.5</v>
      </c>
      <c r="I145" s="198">
        <f t="shared" si="3"/>
        <v>35.84</v>
      </c>
      <c r="J145" s="198">
        <v>1.22</v>
      </c>
      <c r="K145" s="199">
        <f t="shared" si="4"/>
        <v>29.37704918</v>
      </c>
      <c r="L145" s="215"/>
      <c r="M145" s="200">
        <f t="shared" si="5"/>
        <v>45</v>
      </c>
      <c r="N145" s="200">
        <f t="shared" si="6"/>
        <v>36.8852459</v>
      </c>
      <c r="O145" s="199">
        <f t="shared" si="7"/>
        <v>4.39453125</v>
      </c>
      <c r="P145" s="199">
        <f t="shared" si="8"/>
        <v>3.602074795</v>
      </c>
      <c r="Q145" s="215"/>
      <c r="R145" s="215"/>
      <c r="S145" s="202">
        <v>0.8</v>
      </c>
      <c r="T145" s="202">
        <v>0.2</v>
      </c>
      <c r="U145" s="202">
        <v>0.35</v>
      </c>
      <c r="V145" s="199">
        <f t="shared" si="9"/>
        <v>4.086914063</v>
      </c>
      <c r="W145" s="199">
        <f t="shared" si="10"/>
        <v>3.349929559</v>
      </c>
      <c r="X145" s="202">
        <f t="shared" si="11"/>
        <v>0.2521452357</v>
      </c>
      <c r="Y145" s="202">
        <f t="shared" si="12"/>
        <v>0.07</v>
      </c>
      <c r="Z145" s="200">
        <f t="shared" si="13"/>
        <v>41.85</v>
      </c>
      <c r="AA145" s="200">
        <f t="shared" si="14"/>
        <v>34.30327869</v>
      </c>
      <c r="AB145" s="200">
        <f t="shared" si="15"/>
        <v>26.6452459</v>
      </c>
      <c r="AC145" s="202">
        <f t="shared" si="16"/>
        <v>0.5921165756</v>
      </c>
      <c r="AD145" s="216"/>
      <c r="AE145" s="216"/>
      <c r="AF145" s="216"/>
      <c r="AG145" s="216"/>
      <c r="AH145" s="216"/>
      <c r="AI145" s="216"/>
      <c r="AJ145" s="216"/>
      <c r="AK145" s="216"/>
      <c r="AL145" s="216"/>
      <c r="AM145" s="216"/>
      <c r="AN145" s="216"/>
      <c r="AO145" s="216"/>
      <c r="AP145" s="216"/>
      <c r="AQ145" s="216"/>
      <c r="AR145" s="216"/>
      <c r="AS145" s="216"/>
      <c r="AT145" s="216"/>
      <c r="AU145" s="216"/>
    </row>
    <row r="146" ht="14.25" customHeight="1">
      <c r="A146" s="206" t="s">
        <v>495</v>
      </c>
      <c r="B146" s="193"/>
      <c r="C146" s="193"/>
      <c r="D146" s="205">
        <v>45.0</v>
      </c>
      <c r="E146" s="205">
        <v>10.24</v>
      </c>
      <c r="F146" s="213">
        <f t="shared" si="1"/>
        <v>34.30327869</v>
      </c>
      <c r="G146" s="214">
        <f t="shared" si="2"/>
        <v>3.349929559</v>
      </c>
      <c r="H146" s="198">
        <v>3.5</v>
      </c>
      <c r="I146" s="198">
        <f t="shared" si="3"/>
        <v>35.84</v>
      </c>
      <c r="J146" s="198">
        <v>1.22</v>
      </c>
      <c r="K146" s="199">
        <f t="shared" si="4"/>
        <v>29.37704918</v>
      </c>
      <c r="L146" s="215"/>
      <c r="M146" s="200">
        <f t="shared" si="5"/>
        <v>45</v>
      </c>
      <c r="N146" s="200">
        <f t="shared" si="6"/>
        <v>36.8852459</v>
      </c>
      <c r="O146" s="199">
        <f t="shared" si="7"/>
        <v>4.39453125</v>
      </c>
      <c r="P146" s="199">
        <f t="shared" si="8"/>
        <v>3.602074795</v>
      </c>
      <c r="Q146" s="215"/>
      <c r="R146" s="215"/>
      <c r="S146" s="202">
        <v>0.8</v>
      </c>
      <c r="T146" s="202">
        <v>0.2</v>
      </c>
      <c r="U146" s="202">
        <v>0.35</v>
      </c>
      <c r="V146" s="199">
        <f t="shared" si="9"/>
        <v>4.086914063</v>
      </c>
      <c r="W146" s="199">
        <f t="shared" si="10"/>
        <v>3.349929559</v>
      </c>
      <c r="X146" s="202">
        <f t="shared" si="11"/>
        <v>0.2521452357</v>
      </c>
      <c r="Y146" s="202">
        <f t="shared" si="12"/>
        <v>0.07</v>
      </c>
      <c r="Z146" s="200">
        <f t="shared" si="13"/>
        <v>41.85</v>
      </c>
      <c r="AA146" s="200">
        <f t="shared" si="14"/>
        <v>34.30327869</v>
      </c>
      <c r="AB146" s="200">
        <f t="shared" si="15"/>
        <v>26.6452459</v>
      </c>
      <c r="AC146" s="202">
        <f t="shared" si="16"/>
        <v>0.5921165756</v>
      </c>
      <c r="AD146" s="216"/>
      <c r="AE146" s="216"/>
      <c r="AF146" s="216"/>
      <c r="AG146" s="216"/>
      <c r="AH146" s="216"/>
      <c r="AI146" s="216"/>
      <c r="AJ146" s="216"/>
      <c r="AK146" s="216"/>
      <c r="AL146" s="216"/>
      <c r="AM146" s="216"/>
      <c r="AN146" s="216"/>
      <c r="AO146" s="216"/>
      <c r="AP146" s="216"/>
      <c r="AQ146" s="216"/>
      <c r="AR146" s="216"/>
      <c r="AS146" s="216"/>
      <c r="AT146" s="216"/>
      <c r="AU146" s="216"/>
    </row>
    <row r="147" ht="14.25" customHeight="1">
      <c r="A147" s="206" t="s">
        <v>375</v>
      </c>
      <c r="B147" s="193"/>
      <c r="C147" s="193"/>
      <c r="D147" s="205">
        <v>45.0</v>
      </c>
      <c r="E147" s="205">
        <v>10.24</v>
      </c>
      <c r="F147" s="213">
        <f t="shared" si="1"/>
        <v>34.30327869</v>
      </c>
      <c r="G147" s="214">
        <f t="shared" si="2"/>
        <v>3.349929559</v>
      </c>
      <c r="H147" s="198">
        <v>3.5</v>
      </c>
      <c r="I147" s="198">
        <f t="shared" si="3"/>
        <v>35.84</v>
      </c>
      <c r="J147" s="198">
        <v>1.22</v>
      </c>
      <c r="K147" s="199">
        <f t="shared" si="4"/>
        <v>29.37704918</v>
      </c>
      <c r="L147" s="215"/>
      <c r="M147" s="200">
        <f t="shared" si="5"/>
        <v>45</v>
      </c>
      <c r="N147" s="200">
        <f t="shared" si="6"/>
        <v>36.8852459</v>
      </c>
      <c r="O147" s="199">
        <f t="shared" si="7"/>
        <v>4.39453125</v>
      </c>
      <c r="P147" s="199">
        <f t="shared" si="8"/>
        <v>3.602074795</v>
      </c>
      <c r="Q147" s="215"/>
      <c r="R147" s="215"/>
      <c r="S147" s="202">
        <v>0.8</v>
      </c>
      <c r="T147" s="202">
        <v>0.2</v>
      </c>
      <c r="U147" s="202">
        <v>0.35</v>
      </c>
      <c r="V147" s="199">
        <f t="shared" si="9"/>
        <v>4.086914063</v>
      </c>
      <c r="W147" s="199">
        <f t="shared" si="10"/>
        <v>3.349929559</v>
      </c>
      <c r="X147" s="202">
        <f t="shared" si="11"/>
        <v>0.2521452357</v>
      </c>
      <c r="Y147" s="202">
        <f t="shared" si="12"/>
        <v>0.07</v>
      </c>
      <c r="Z147" s="200">
        <f t="shared" si="13"/>
        <v>41.85</v>
      </c>
      <c r="AA147" s="200">
        <f t="shared" si="14"/>
        <v>34.30327869</v>
      </c>
      <c r="AB147" s="200">
        <f t="shared" si="15"/>
        <v>26.6452459</v>
      </c>
      <c r="AC147" s="202">
        <f t="shared" si="16"/>
        <v>0.5921165756</v>
      </c>
      <c r="AD147" s="216"/>
      <c r="AE147" s="216"/>
      <c r="AF147" s="216"/>
      <c r="AG147" s="216"/>
      <c r="AH147" s="216"/>
      <c r="AI147" s="216"/>
      <c r="AJ147" s="216"/>
      <c r="AK147" s="216"/>
      <c r="AL147" s="216"/>
      <c r="AM147" s="216"/>
      <c r="AN147" s="216"/>
      <c r="AO147" s="216"/>
      <c r="AP147" s="216"/>
      <c r="AQ147" s="216"/>
      <c r="AR147" s="216"/>
      <c r="AS147" s="216"/>
      <c r="AT147" s="216"/>
      <c r="AU147" s="216"/>
    </row>
    <row r="148" ht="14.25" customHeight="1">
      <c r="A148" s="206" t="s">
        <v>489</v>
      </c>
      <c r="B148" s="193"/>
      <c r="C148" s="193"/>
      <c r="D148" s="205">
        <v>45.0</v>
      </c>
      <c r="E148" s="205">
        <v>10.24</v>
      </c>
      <c r="F148" s="213">
        <f t="shared" si="1"/>
        <v>34.30327869</v>
      </c>
      <c r="G148" s="214">
        <f t="shared" si="2"/>
        <v>3.349929559</v>
      </c>
      <c r="H148" s="198">
        <v>3.5</v>
      </c>
      <c r="I148" s="198">
        <f t="shared" si="3"/>
        <v>35.84</v>
      </c>
      <c r="J148" s="198">
        <v>1.22</v>
      </c>
      <c r="K148" s="199">
        <f t="shared" si="4"/>
        <v>29.37704918</v>
      </c>
      <c r="L148" s="215"/>
      <c r="M148" s="200">
        <f t="shared" si="5"/>
        <v>45</v>
      </c>
      <c r="N148" s="200">
        <f t="shared" si="6"/>
        <v>36.8852459</v>
      </c>
      <c r="O148" s="199">
        <f t="shared" si="7"/>
        <v>4.39453125</v>
      </c>
      <c r="P148" s="199">
        <f t="shared" si="8"/>
        <v>3.602074795</v>
      </c>
      <c r="Q148" s="215"/>
      <c r="R148" s="215"/>
      <c r="S148" s="202">
        <v>0.8</v>
      </c>
      <c r="T148" s="202">
        <v>0.2</v>
      </c>
      <c r="U148" s="202">
        <v>0.35</v>
      </c>
      <c r="V148" s="199">
        <f t="shared" si="9"/>
        <v>4.086914063</v>
      </c>
      <c r="W148" s="199">
        <f t="shared" si="10"/>
        <v>3.349929559</v>
      </c>
      <c r="X148" s="202">
        <f t="shared" si="11"/>
        <v>0.2521452357</v>
      </c>
      <c r="Y148" s="202">
        <f t="shared" si="12"/>
        <v>0.07</v>
      </c>
      <c r="Z148" s="200">
        <f t="shared" si="13"/>
        <v>41.85</v>
      </c>
      <c r="AA148" s="200">
        <f t="shared" si="14"/>
        <v>34.30327869</v>
      </c>
      <c r="AB148" s="200">
        <f t="shared" si="15"/>
        <v>26.6452459</v>
      </c>
      <c r="AC148" s="202">
        <f t="shared" si="16"/>
        <v>0.5921165756</v>
      </c>
      <c r="AD148" s="216"/>
      <c r="AE148" s="216"/>
      <c r="AF148" s="216"/>
      <c r="AG148" s="216"/>
      <c r="AH148" s="216"/>
      <c r="AI148" s="216"/>
      <c r="AJ148" s="216"/>
      <c r="AK148" s="216"/>
      <c r="AL148" s="216"/>
      <c r="AM148" s="216"/>
      <c r="AN148" s="216"/>
      <c r="AO148" s="216"/>
      <c r="AP148" s="216"/>
      <c r="AQ148" s="216"/>
      <c r="AR148" s="216"/>
      <c r="AS148" s="216"/>
      <c r="AT148" s="216"/>
      <c r="AU148" s="216"/>
    </row>
    <row r="149" ht="14.25" customHeight="1">
      <c r="A149" s="206" t="s">
        <v>478</v>
      </c>
      <c r="B149" s="193"/>
      <c r="C149" s="193"/>
      <c r="D149" s="205">
        <v>45.0</v>
      </c>
      <c r="E149" s="205">
        <v>10.24</v>
      </c>
      <c r="F149" s="213">
        <f t="shared" si="1"/>
        <v>34.30327869</v>
      </c>
      <c r="G149" s="214">
        <f t="shared" si="2"/>
        <v>3.349929559</v>
      </c>
      <c r="H149" s="198">
        <v>3.5</v>
      </c>
      <c r="I149" s="198">
        <f t="shared" si="3"/>
        <v>35.84</v>
      </c>
      <c r="J149" s="198">
        <v>1.22</v>
      </c>
      <c r="K149" s="199">
        <f t="shared" si="4"/>
        <v>29.37704918</v>
      </c>
      <c r="L149" s="215"/>
      <c r="M149" s="200">
        <f t="shared" si="5"/>
        <v>45</v>
      </c>
      <c r="N149" s="200">
        <f t="shared" si="6"/>
        <v>36.8852459</v>
      </c>
      <c r="O149" s="199">
        <f t="shared" si="7"/>
        <v>4.39453125</v>
      </c>
      <c r="P149" s="199">
        <f t="shared" si="8"/>
        <v>3.602074795</v>
      </c>
      <c r="Q149" s="215"/>
      <c r="R149" s="215"/>
      <c r="S149" s="202">
        <v>0.8</v>
      </c>
      <c r="T149" s="202">
        <v>0.2</v>
      </c>
      <c r="U149" s="202">
        <v>0.35</v>
      </c>
      <c r="V149" s="199">
        <f t="shared" si="9"/>
        <v>4.086914063</v>
      </c>
      <c r="W149" s="199">
        <f t="shared" si="10"/>
        <v>3.349929559</v>
      </c>
      <c r="X149" s="202">
        <f t="shared" si="11"/>
        <v>0.2521452357</v>
      </c>
      <c r="Y149" s="202">
        <f t="shared" si="12"/>
        <v>0.07</v>
      </c>
      <c r="Z149" s="200">
        <f t="shared" si="13"/>
        <v>41.85</v>
      </c>
      <c r="AA149" s="200">
        <f t="shared" si="14"/>
        <v>34.30327869</v>
      </c>
      <c r="AB149" s="200">
        <f t="shared" si="15"/>
        <v>26.6452459</v>
      </c>
      <c r="AC149" s="202">
        <f t="shared" si="16"/>
        <v>0.5921165756</v>
      </c>
      <c r="AD149" s="216"/>
      <c r="AE149" s="216"/>
      <c r="AF149" s="216"/>
      <c r="AG149" s="216"/>
      <c r="AH149" s="216"/>
      <c r="AI149" s="216"/>
      <c r="AJ149" s="216"/>
      <c r="AK149" s="216"/>
      <c r="AL149" s="216"/>
      <c r="AM149" s="216"/>
      <c r="AN149" s="216"/>
      <c r="AO149" s="216"/>
      <c r="AP149" s="216"/>
      <c r="AQ149" s="216"/>
      <c r="AR149" s="216"/>
      <c r="AS149" s="216"/>
      <c r="AT149" s="216"/>
      <c r="AU149" s="216"/>
    </row>
    <row r="150" ht="14.25" customHeight="1">
      <c r="A150" s="206" t="s">
        <v>381</v>
      </c>
      <c r="B150" s="192" t="s">
        <v>269</v>
      </c>
      <c r="C150" s="192" t="s">
        <v>2053</v>
      </c>
      <c r="D150" s="205">
        <v>80.0</v>
      </c>
      <c r="E150" s="205">
        <v>19.0</v>
      </c>
      <c r="F150" s="213">
        <f t="shared" si="1"/>
        <v>60.98360656</v>
      </c>
      <c r="G150" s="214">
        <f t="shared" si="2"/>
        <v>3.209663503</v>
      </c>
      <c r="H150" s="198">
        <v>3.5</v>
      </c>
      <c r="I150" s="198">
        <f t="shared" si="3"/>
        <v>66.5</v>
      </c>
      <c r="J150" s="198">
        <v>1.22</v>
      </c>
      <c r="K150" s="199">
        <f t="shared" si="4"/>
        <v>54.50819672</v>
      </c>
      <c r="L150" s="215"/>
      <c r="M150" s="200">
        <f t="shared" si="5"/>
        <v>80</v>
      </c>
      <c r="N150" s="200">
        <f t="shared" si="6"/>
        <v>65.57377049</v>
      </c>
      <c r="O150" s="199">
        <f t="shared" si="7"/>
        <v>4.210526316</v>
      </c>
      <c r="P150" s="199">
        <f t="shared" si="8"/>
        <v>3.451251079</v>
      </c>
      <c r="Q150" s="215"/>
      <c r="R150" s="215"/>
      <c r="S150" s="202">
        <v>0.8</v>
      </c>
      <c r="T150" s="202">
        <v>0.2</v>
      </c>
      <c r="U150" s="202">
        <v>0.35</v>
      </c>
      <c r="V150" s="199">
        <f t="shared" si="9"/>
        <v>3.915789474</v>
      </c>
      <c r="W150" s="199">
        <f t="shared" si="10"/>
        <v>3.209663503</v>
      </c>
      <c r="X150" s="202">
        <f t="shared" si="11"/>
        <v>0.2415875755</v>
      </c>
      <c r="Y150" s="202">
        <f t="shared" si="12"/>
        <v>0.07</v>
      </c>
      <c r="Z150" s="200">
        <f t="shared" si="13"/>
        <v>74.4</v>
      </c>
      <c r="AA150" s="200">
        <f t="shared" si="14"/>
        <v>60.98360656</v>
      </c>
      <c r="AB150" s="200">
        <f t="shared" si="15"/>
        <v>46.57377049</v>
      </c>
      <c r="AC150" s="202">
        <f t="shared" si="16"/>
        <v>0.5821721311</v>
      </c>
      <c r="AD150" s="216"/>
      <c r="AE150" s="216"/>
      <c r="AF150" s="216"/>
      <c r="AG150" s="216"/>
      <c r="AH150" s="216"/>
      <c r="AI150" s="216"/>
      <c r="AJ150" s="216"/>
      <c r="AK150" s="216"/>
      <c r="AL150" s="216"/>
      <c r="AM150" s="216"/>
      <c r="AN150" s="216"/>
      <c r="AO150" s="216"/>
      <c r="AP150" s="216"/>
      <c r="AQ150" s="216"/>
      <c r="AR150" s="216"/>
      <c r="AS150" s="216"/>
      <c r="AT150" s="216"/>
      <c r="AU150" s="216"/>
    </row>
    <row r="151" ht="14.25" customHeight="1">
      <c r="A151" s="206" t="s">
        <v>291</v>
      </c>
      <c r="B151" s="192" t="s">
        <v>162</v>
      </c>
      <c r="C151" s="192" t="s">
        <v>2054</v>
      </c>
      <c r="D151" s="205">
        <v>120.0</v>
      </c>
      <c r="E151" s="205">
        <v>20.0</v>
      </c>
      <c r="F151" s="213">
        <f t="shared" si="1"/>
        <v>91.47540984</v>
      </c>
      <c r="G151" s="214">
        <f t="shared" si="2"/>
        <v>4.573770492</v>
      </c>
      <c r="H151" s="198">
        <v>3.5</v>
      </c>
      <c r="I151" s="198">
        <f t="shared" si="3"/>
        <v>70</v>
      </c>
      <c r="J151" s="198">
        <v>1.22</v>
      </c>
      <c r="K151" s="199">
        <f t="shared" si="4"/>
        <v>57.37704918</v>
      </c>
      <c r="L151" s="215"/>
      <c r="M151" s="200">
        <f t="shared" si="5"/>
        <v>120</v>
      </c>
      <c r="N151" s="200">
        <f t="shared" si="6"/>
        <v>98.36065574</v>
      </c>
      <c r="O151" s="199">
        <f t="shared" si="7"/>
        <v>6</v>
      </c>
      <c r="P151" s="199">
        <f t="shared" si="8"/>
        <v>4.918032787</v>
      </c>
      <c r="Q151" s="215"/>
      <c r="R151" s="215"/>
      <c r="S151" s="202">
        <v>0.8</v>
      </c>
      <c r="T151" s="202">
        <v>0.2</v>
      </c>
      <c r="U151" s="202">
        <v>0.35</v>
      </c>
      <c r="V151" s="199">
        <f t="shared" si="9"/>
        <v>5.58</v>
      </c>
      <c r="W151" s="199">
        <f t="shared" si="10"/>
        <v>4.573770492</v>
      </c>
      <c r="X151" s="202">
        <f t="shared" si="11"/>
        <v>0.3442622951</v>
      </c>
      <c r="Y151" s="202">
        <f t="shared" si="12"/>
        <v>0.07</v>
      </c>
      <c r="Z151" s="200">
        <f t="shared" si="13"/>
        <v>111.6</v>
      </c>
      <c r="AA151" s="200">
        <f t="shared" si="14"/>
        <v>91.47540984</v>
      </c>
      <c r="AB151" s="200">
        <f t="shared" si="15"/>
        <v>78.36065574</v>
      </c>
      <c r="AC151" s="202">
        <f t="shared" si="16"/>
        <v>0.6530054645</v>
      </c>
      <c r="AD151" s="216"/>
      <c r="AE151" s="216"/>
      <c r="AF151" s="216"/>
      <c r="AG151" s="216"/>
      <c r="AH151" s="216"/>
      <c r="AI151" s="216"/>
      <c r="AJ151" s="216"/>
      <c r="AK151" s="216"/>
      <c r="AL151" s="216"/>
      <c r="AM151" s="216"/>
      <c r="AN151" s="216"/>
      <c r="AO151" s="216"/>
      <c r="AP151" s="216"/>
      <c r="AQ151" s="216"/>
      <c r="AR151" s="216"/>
      <c r="AS151" s="216"/>
      <c r="AT151" s="216"/>
      <c r="AU151" s="216"/>
    </row>
    <row r="152" ht="14.25" customHeight="1">
      <c r="A152" s="206" t="s">
        <v>383</v>
      </c>
      <c r="B152" s="192" t="s">
        <v>269</v>
      </c>
      <c r="C152" s="192" t="s">
        <v>382</v>
      </c>
      <c r="D152" s="205">
        <v>80.0</v>
      </c>
      <c r="E152" s="205">
        <v>19.0</v>
      </c>
      <c r="F152" s="213">
        <f t="shared" si="1"/>
        <v>60.98360656</v>
      </c>
      <c r="G152" s="214">
        <f t="shared" si="2"/>
        <v>3.209663503</v>
      </c>
      <c r="H152" s="198">
        <v>3.5</v>
      </c>
      <c r="I152" s="198">
        <f t="shared" si="3"/>
        <v>66.5</v>
      </c>
      <c r="J152" s="198">
        <v>1.22</v>
      </c>
      <c r="K152" s="199">
        <f t="shared" si="4"/>
        <v>54.50819672</v>
      </c>
      <c r="L152" s="215"/>
      <c r="M152" s="200">
        <f t="shared" si="5"/>
        <v>80</v>
      </c>
      <c r="N152" s="200">
        <f t="shared" si="6"/>
        <v>65.57377049</v>
      </c>
      <c r="O152" s="199">
        <f t="shared" si="7"/>
        <v>4.210526316</v>
      </c>
      <c r="P152" s="199">
        <f t="shared" si="8"/>
        <v>3.451251079</v>
      </c>
      <c r="Q152" s="215"/>
      <c r="R152" s="215"/>
      <c r="S152" s="202">
        <v>0.8</v>
      </c>
      <c r="T152" s="202">
        <v>0.2</v>
      </c>
      <c r="U152" s="202">
        <v>0.35</v>
      </c>
      <c r="V152" s="199">
        <f t="shared" si="9"/>
        <v>3.915789474</v>
      </c>
      <c r="W152" s="199">
        <f t="shared" si="10"/>
        <v>3.209663503</v>
      </c>
      <c r="X152" s="202">
        <f t="shared" si="11"/>
        <v>0.2415875755</v>
      </c>
      <c r="Y152" s="202">
        <f t="shared" si="12"/>
        <v>0.07</v>
      </c>
      <c r="Z152" s="200">
        <f t="shared" si="13"/>
        <v>74.4</v>
      </c>
      <c r="AA152" s="200">
        <f t="shared" si="14"/>
        <v>60.98360656</v>
      </c>
      <c r="AB152" s="200">
        <f t="shared" si="15"/>
        <v>46.57377049</v>
      </c>
      <c r="AC152" s="202">
        <f t="shared" si="16"/>
        <v>0.5821721311</v>
      </c>
      <c r="AD152" s="216"/>
      <c r="AE152" s="216"/>
      <c r="AF152" s="216"/>
      <c r="AG152" s="216"/>
      <c r="AH152" s="216"/>
      <c r="AI152" s="216"/>
      <c r="AJ152" s="216"/>
      <c r="AK152" s="216"/>
      <c r="AL152" s="216"/>
      <c r="AM152" s="216"/>
      <c r="AN152" s="216"/>
      <c r="AO152" s="216"/>
      <c r="AP152" s="216"/>
      <c r="AQ152" s="216"/>
      <c r="AR152" s="216"/>
      <c r="AS152" s="216"/>
      <c r="AT152" s="216"/>
      <c r="AU152" s="216"/>
    </row>
    <row r="153" ht="14.25" customHeight="1">
      <c r="A153" s="206" t="s">
        <v>385</v>
      </c>
      <c r="B153" s="192" t="s">
        <v>269</v>
      </c>
      <c r="C153" s="192" t="s">
        <v>384</v>
      </c>
      <c r="D153" s="205">
        <v>80.0</v>
      </c>
      <c r="E153" s="205">
        <v>19.0</v>
      </c>
      <c r="F153" s="213">
        <f t="shared" si="1"/>
        <v>60.98360656</v>
      </c>
      <c r="G153" s="214">
        <f t="shared" si="2"/>
        <v>3.209663503</v>
      </c>
      <c r="H153" s="198">
        <v>3.5</v>
      </c>
      <c r="I153" s="198">
        <f t="shared" si="3"/>
        <v>66.5</v>
      </c>
      <c r="J153" s="198">
        <v>1.22</v>
      </c>
      <c r="K153" s="199">
        <f t="shared" si="4"/>
        <v>54.50819672</v>
      </c>
      <c r="L153" s="215"/>
      <c r="M153" s="200">
        <f t="shared" si="5"/>
        <v>80</v>
      </c>
      <c r="N153" s="200">
        <f t="shared" si="6"/>
        <v>65.57377049</v>
      </c>
      <c r="O153" s="199">
        <f t="shared" si="7"/>
        <v>4.210526316</v>
      </c>
      <c r="P153" s="199">
        <f t="shared" si="8"/>
        <v>3.451251079</v>
      </c>
      <c r="Q153" s="215"/>
      <c r="R153" s="215"/>
      <c r="S153" s="202">
        <v>0.8</v>
      </c>
      <c r="T153" s="202">
        <v>0.2</v>
      </c>
      <c r="U153" s="202">
        <v>0.35</v>
      </c>
      <c r="V153" s="199">
        <f t="shared" si="9"/>
        <v>3.915789474</v>
      </c>
      <c r="W153" s="199">
        <f t="shared" si="10"/>
        <v>3.209663503</v>
      </c>
      <c r="X153" s="202">
        <f t="shared" si="11"/>
        <v>0.2415875755</v>
      </c>
      <c r="Y153" s="202">
        <f t="shared" si="12"/>
        <v>0.07</v>
      </c>
      <c r="Z153" s="200">
        <f t="shared" si="13"/>
        <v>74.4</v>
      </c>
      <c r="AA153" s="200">
        <f t="shared" si="14"/>
        <v>60.98360656</v>
      </c>
      <c r="AB153" s="200">
        <f t="shared" si="15"/>
        <v>46.57377049</v>
      </c>
      <c r="AC153" s="202">
        <f t="shared" si="16"/>
        <v>0.5821721311</v>
      </c>
      <c r="AD153" s="216"/>
      <c r="AE153" s="216"/>
      <c r="AF153" s="216"/>
      <c r="AG153" s="216"/>
      <c r="AH153" s="216"/>
      <c r="AI153" s="216"/>
      <c r="AJ153" s="216"/>
      <c r="AK153" s="216"/>
      <c r="AL153" s="216"/>
      <c r="AM153" s="216"/>
      <c r="AN153" s="216"/>
      <c r="AO153" s="216"/>
      <c r="AP153" s="216"/>
      <c r="AQ153" s="216"/>
      <c r="AR153" s="216"/>
      <c r="AS153" s="216"/>
      <c r="AT153" s="216"/>
      <c r="AU153" s="216"/>
    </row>
    <row r="154" ht="14.25" customHeight="1">
      <c r="A154" s="206" t="s">
        <v>387</v>
      </c>
      <c r="B154" s="192" t="s">
        <v>252</v>
      </c>
      <c r="C154" s="192" t="s">
        <v>386</v>
      </c>
      <c r="D154" s="205">
        <v>90.0</v>
      </c>
      <c r="E154" s="205">
        <v>16.5</v>
      </c>
      <c r="F154" s="213">
        <f t="shared" si="1"/>
        <v>68.60655738</v>
      </c>
      <c r="G154" s="214">
        <f t="shared" si="2"/>
        <v>4.157973174</v>
      </c>
      <c r="H154" s="198">
        <v>3.5</v>
      </c>
      <c r="I154" s="198">
        <f t="shared" si="3"/>
        <v>57.75</v>
      </c>
      <c r="J154" s="198">
        <v>1.22</v>
      </c>
      <c r="K154" s="199">
        <f t="shared" si="4"/>
        <v>47.33606557</v>
      </c>
      <c r="L154" s="215"/>
      <c r="M154" s="200">
        <f t="shared" si="5"/>
        <v>90</v>
      </c>
      <c r="N154" s="200">
        <f t="shared" si="6"/>
        <v>73.7704918</v>
      </c>
      <c r="O154" s="199">
        <f t="shared" si="7"/>
        <v>5.454545455</v>
      </c>
      <c r="P154" s="199">
        <f t="shared" si="8"/>
        <v>4.470938897</v>
      </c>
      <c r="Q154" s="215"/>
      <c r="R154" s="215"/>
      <c r="S154" s="202">
        <v>0.8</v>
      </c>
      <c r="T154" s="202">
        <v>0.2</v>
      </c>
      <c r="U154" s="202">
        <v>0.35</v>
      </c>
      <c r="V154" s="199">
        <f t="shared" si="9"/>
        <v>5.072727273</v>
      </c>
      <c r="W154" s="199">
        <f t="shared" si="10"/>
        <v>4.157973174</v>
      </c>
      <c r="X154" s="202">
        <f t="shared" si="11"/>
        <v>0.3129657228</v>
      </c>
      <c r="Y154" s="202">
        <f t="shared" si="12"/>
        <v>0.07</v>
      </c>
      <c r="Z154" s="200">
        <f t="shared" si="13"/>
        <v>83.7</v>
      </c>
      <c r="AA154" s="200">
        <f t="shared" si="14"/>
        <v>68.60655738</v>
      </c>
      <c r="AB154" s="200">
        <f t="shared" si="15"/>
        <v>57.2704918</v>
      </c>
      <c r="AC154" s="202">
        <f t="shared" si="16"/>
        <v>0.6363387978</v>
      </c>
      <c r="AD154" s="216"/>
      <c r="AE154" s="216"/>
      <c r="AF154" s="216"/>
      <c r="AG154" s="216"/>
      <c r="AH154" s="216"/>
      <c r="AI154" s="216"/>
      <c r="AJ154" s="216"/>
      <c r="AK154" s="216"/>
      <c r="AL154" s="216"/>
      <c r="AM154" s="216"/>
      <c r="AN154" s="216"/>
      <c r="AO154" s="216"/>
      <c r="AP154" s="216"/>
      <c r="AQ154" s="216"/>
      <c r="AR154" s="216"/>
      <c r="AS154" s="216"/>
      <c r="AT154" s="216"/>
      <c r="AU154" s="216"/>
    </row>
    <row r="155" ht="14.25" customHeight="1">
      <c r="A155" s="206" t="s">
        <v>389</v>
      </c>
      <c r="B155" s="192" t="s">
        <v>252</v>
      </c>
      <c r="C155" s="192" t="s">
        <v>388</v>
      </c>
      <c r="D155" s="205">
        <v>90.0</v>
      </c>
      <c r="E155" s="205">
        <v>16.5</v>
      </c>
      <c r="F155" s="213">
        <f t="shared" si="1"/>
        <v>68.60655738</v>
      </c>
      <c r="G155" s="214">
        <f t="shared" si="2"/>
        <v>4.157973174</v>
      </c>
      <c r="H155" s="198">
        <v>3.5</v>
      </c>
      <c r="I155" s="198">
        <f t="shared" si="3"/>
        <v>57.75</v>
      </c>
      <c r="J155" s="198">
        <v>1.22</v>
      </c>
      <c r="K155" s="199">
        <f t="shared" si="4"/>
        <v>47.33606557</v>
      </c>
      <c r="L155" s="215"/>
      <c r="M155" s="200">
        <f t="shared" si="5"/>
        <v>90</v>
      </c>
      <c r="N155" s="200">
        <f t="shared" si="6"/>
        <v>73.7704918</v>
      </c>
      <c r="O155" s="199">
        <f t="shared" si="7"/>
        <v>5.454545455</v>
      </c>
      <c r="P155" s="199">
        <f t="shared" si="8"/>
        <v>4.470938897</v>
      </c>
      <c r="Q155" s="215"/>
      <c r="R155" s="215"/>
      <c r="S155" s="202">
        <v>0.8</v>
      </c>
      <c r="T155" s="202">
        <v>0.2</v>
      </c>
      <c r="U155" s="202">
        <v>0.35</v>
      </c>
      <c r="V155" s="199">
        <f t="shared" si="9"/>
        <v>5.072727273</v>
      </c>
      <c r="W155" s="199">
        <f t="shared" si="10"/>
        <v>4.157973174</v>
      </c>
      <c r="X155" s="202">
        <f t="shared" si="11"/>
        <v>0.3129657228</v>
      </c>
      <c r="Y155" s="202">
        <f t="shared" si="12"/>
        <v>0.07</v>
      </c>
      <c r="Z155" s="200">
        <f t="shared" si="13"/>
        <v>83.7</v>
      </c>
      <c r="AA155" s="200">
        <f t="shared" si="14"/>
        <v>68.60655738</v>
      </c>
      <c r="AB155" s="200">
        <f t="shared" si="15"/>
        <v>57.2704918</v>
      </c>
      <c r="AC155" s="202">
        <f t="shared" si="16"/>
        <v>0.6363387978</v>
      </c>
      <c r="AD155" s="216"/>
      <c r="AE155" s="216"/>
      <c r="AF155" s="216"/>
      <c r="AG155" s="216"/>
      <c r="AH155" s="216"/>
      <c r="AI155" s="216"/>
      <c r="AJ155" s="216"/>
      <c r="AK155" s="216"/>
      <c r="AL155" s="216"/>
      <c r="AM155" s="216"/>
      <c r="AN155" s="216"/>
      <c r="AO155" s="216"/>
      <c r="AP155" s="216"/>
      <c r="AQ155" s="216"/>
      <c r="AR155" s="216"/>
      <c r="AS155" s="216"/>
      <c r="AT155" s="216"/>
      <c r="AU155" s="216"/>
    </row>
    <row r="156" ht="14.25" customHeight="1">
      <c r="A156" s="206" t="s">
        <v>2055</v>
      </c>
      <c r="B156" s="192"/>
      <c r="C156" s="192"/>
      <c r="D156" s="205">
        <v>90.0</v>
      </c>
      <c r="E156" s="205">
        <v>16.5</v>
      </c>
      <c r="F156" s="213">
        <f t="shared" si="1"/>
        <v>68.60655738</v>
      </c>
      <c r="G156" s="214">
        <f t="shared" si="2"/>
        <v>4.157973174</v>
      </c>
      <c r="H156" s="198">
        <v>3.5</v>
      </c>
      <c r="I156" s="198">
        <f t="shared" si="3"/>
        <v>57.75</v>
      </c>
      <c r="J156" s="198">
        <v>1.22</v>
      </c>
      <c r="K156" s="199">
        <f t="shared" si="4"/>
        <v>47.33606557</v>
      </c>
      <c r="L156" s="215"/>
      <c r="M156" s="200">
        <f t="shared" si="5"/>
        <v>90</v>
      </c>
      <c r="N156" s="200">
        <f t="shared" si="6"/>
        <v>73.7704918</v>
      </c>
      <c r="O156" s="199">
        <f t="shared" si="7"/>
        <v>5.454545455</v>
      </c>
      <c r="P156" s="199">
        <f t="shared" si="8"/>
        <v>4.470938897</v>
      </c>
      <c r="Q156" s="215"/>
      <c r="R156" s="215"/>
      <c r="S156" s="202">
        <v>0.8</v>
      </c>
      <c r="T156" s="202">
        <v>0.2</v>
      </c>
      <c r="U156" s="202">
        <v>0.35</v>
      </c>
      <c r="V156" s="199">
        <f t="shared" si="9"/>
        <v>5.072727273</v>
      </c>
      <c r="W156" s="199">
        <f t="shared" si="10"/>
        <v>4.157973174</v>
      </c>
      <c r="X156" s="202">
        <f t="shared" si="11"/>
        <v>0.3129657228</v>
      </c>
      <c r="Y156" s="202">
        <f t="shared" si="12"/>
        <v>0.07</v>
      </c>
      <c r="Z156" s="200">
        <f t="shared" si="13"/>
        <v>83.7</v>
      </c>
      <c r="AA156" s="200">
        <f t="shared" si="14"/>
        <v>68.60655738</v>
      </c>
      <c r="AB156" s="200">
        <f t="shared" si="15"/>
        <v>57.2704918</v>
      </c>
      <c r="AC156" s="202">
        <f t="shared" si="16"/>
        <v>0.6363387978</v>
      </c>
      <c r="AD156" s="216"/>
      <c r="AE156" s="216"/>
      <c r="AF156" s="216"/>
      <c r="AG156" s="216"/>
      <c r="AH156" s="216"/>
      <c r="AI156" s="216"/>
      <c r="AJ156" s="216"/>
      <c r="AK156" s="216"/>
      <c r="AL156" s="216"/>
      <c r="AM156" s="216"/>
      <c r="AN156" s="216"/>
      <c r="AO156" s="216"/>
      <c r="AP156" s="216"/>
      <c r="AQ156" s="216"/>
      <c r="AR156" s="216"/>
      <c r="AS156" s="216"/>
      <c r="AT156" s="216"/>
      <c r="AU156" s="216"/>
    </row>
    <row r="157" ht="14.25" customHeight="1">
      <c r="A157" s="206" t="s">
        <v>2056</v>
      </c>
      <c r="B157" s="192"/>
      <c r="C157" s="192"/>
      <c r="D157" s="205">
        <v>90.0</v>
      </c>
      <c r="E157" s="205">
        <v>16.5</v>
      </c>
      <c r="F157" s="213">
        <f t="shared" si="1"/>
        <v>68.60655738</v>
      </c>
      <c r="G157" s="214">
        <f t="shared" si="2"/>
        <v>4.157973174</v>
      </c>
      <c r="H157" s="198">
        <v>3.5</v>
      </c>
      <c r="I157" s="198">
        <f t="shared" si="3"/>
        <v>57.75</v>
      </c>
      <c r="J157" s="198">
        <v>1.22</v>
      </c>
      <c r="K157" s="199">
        <f t="shared" si="4"/>
        <v>47.33606557</v>
      </c>
      <c r="L157" s="215"/>
      <c r="M157" s="200">
        <f t="shared" si="5"/>
        <v>90</v>
      </c>
      <c r="N157" s="200">
        <f t="shared" si="6"/>
        <v>73.7704918</v>
      </c>
      <c r="O157" s="199">
        <f t="shared" si="7"/>
        <v>5.454545455</v>
      </c>
      <c r="P157" s="199">
        <f t="shared" si="8"/>
        <v>4.470938897</v>
      </c>
      <c r="Q157" s="215"/>
      <c r="R157" s="215"/>
      <c r="S157" s="202">
        <v>0.8</v>
      </c>
      <c r="T157" s="202">
        <v>0.2</v>
      </c>
      <c r="U157" s="202">
        <v>0.35</v>
      </c>
      <c r="V157" s="199">
        <f t="shared" si="9"/>
        <v>5.072727273</v>
      </c>
      <c r="W157" s="199">
        <f t="shared" si="10"/>
        <v>4.157973174</v>
      </c>
      <c r="X157" s="202">
        <f t="shared" si="11"/>
        <v>0.3129657228</v>
      </c>
      <c r="Y157" s="202">
        <f t="shared" si="12"/>
        <v>0.07</v>
      </c>
      <c r="Z157" s="200">
        <f t="shared" si="13"/>
        <v>83.7</v>
      </c>
      <c r="AA157" s="200">
        <f t="shared" si="14"/>
        <v>68.60655738</v>
      </c>
      <c r="AB157" s="200">
        <f t="shared" si="15"/>
        <v>57.2704918</v>
      </c>
      <c r="AC157" s="202">
        <f t="shared" si="16"/>
        <v>0.6363387978</v>
      </c>
      <c r="AD157" s="216"/>
      <c r="AE157" s="216"/>
      <c r="AF157" s="216"/>
      <c r="AG157" s="216"/>
      <c r="AH157" s="216"/>
      <c r="AI157" s="216"/>
      <c r="AJ157" s="216"/>
      <c r="AK157" s="216"/>
      <c r="AL157" s="216"/>
      <c r="AM157" s="216"/>
      <c r="AN157" s="216"/>
      <c r="AO157" s="216"/>
      <c r="AP157" s="216"/>
      <c r="AQ157" s="216"/>
      <c r="AR157" s="216"/>
      <c r="AS157" s="216"/>
      <c r="AT157" s="216"/>
      <c r="AU157" s="216"/>
    </row>
    <row r="158" ht="14.25" customHeight="1">
      <c r="A158" s="206" t="s">
        <v>2057</v>
      </c>
      <c r="B158" s="192"/>
      <c r="C158" s="192"/>
      <c r="D158" s="205">
        <v>90.0</v>
      </c>
      <c r="E158" s="205">
        <v>16.5</v>
      </c>
      <c r="F158" s="213">
        <f t="shared" si="1"/>
        <v>68.60655738</v>
      </c>
      <c r="G158" s="214">
        <f t="shared" si="2"/>
        <v>4.157973174</v>
      </c>
      <c r="H158" s="198">
        <v>3.5</v>
      </c>
      <c r="I158" s="198">
        <f t="shared" si="3"/>
        <v>57.75</v>
      </c>
      <c r="J158" s="198">
        <v>1.22</v>
      </c>
      <c r="K158" s="199">
        <f t="shared" si="4"/>
        <v>47.33606557</v>
      </c>
      <c r="L158" s="215"/>
      <c r="M158" s="200">
        <f t="shared" si="5"/>
        <v>90</v>
      </c>
      <c r="N158" s="200">
        <f t="shared" si="6"/>
        <v>73.7704918</v>
      </c>
      <c r="O158" s="199">
        <f t="shared" si="7"/>
        <v>5.454545455</v>
      </c>
      <c r="P158" s="199">
        <f t="shared" si="8"/>
        <v>4.470938897</v>
      </c>
      <c r="Q158" s="215"/>
      <c r="R158" s="215"/>
      <c r="S158" s="202">
        <v>0.8</v>
      </c>
      <c r="T158" s="202">
        <v>0.2</v>
      </c>
      <c r="U158" s="202">
        <v>0.35</v>
      </c>
      <c r="V158" s="199">
        <f t="shared" si="9"/>
        <v>5.072727273</v>
      </c>
      <c r="W158" s="199">
        <f t="shared" si="10"/>
        <v>4.157973174</v>
      </c>
      <c r="X158" s="202">
        <f t="shared" si="11"/>
        <v>0.3129657228</v>
      </c>
      <c r="Y158" s="202">
        <f t="shared" si="12"/>
        <v>0.07</v>
      </c>
      <c r="Z158" s="200">
        <f t="shared" si="13"/>
        <v>83.7</v>
      </c>
      <c r="AA158" s="200">
        <f t="shared" si="14"/>
        <v>68.60655738</v>
      </c>
      <c r="AB158" s="200">
        <f t="shared" si="15"/>
        <v>57.2704918</v>
      </c>
      <c r="AC158" s="202">
        <f t="shared" si="16"/>
        <v>0.6363387978</v>
      </c>
      <c r="AD158" s="216"/>
      <c r="AE158" s="216"/>
      <c r="AF158" s="216"/>
      <c r="AG158" s="216"/>
      <c r="AH158" s="216"/>
      <c r="AI158" s="216"/>
      <c r="AJ158" s="216"/>
      <c r="AK158" s="216"/>
      <c r="AL158" s="216"/>
      <c r="AM158" s="216"/>
      <c r="AN158" s="216"/>
      <c r="AO158" s="216"/>
      <c r="AP158" s="216"/>
      <c r="AQ158" s="216"/>
      <c r="AR158" s="216"/>
      <c r="AS158" s="216"/>
      <c r="AT158" s="216"/>
      <c r="AU158" s="216"/>
    </row>
    <row r="159" ht="14.25" customHeight="1">
      <c r="A159" s="206" t="s">
        <v>2058</v>
      </c>
      <c r="B159" s="192"/>
      <c r="C159" s="192"/>
      <c r="D159" s="205">
        <v>80.0</v>
      </c>
      <c r="E159" s="205">
        <v>16.5</v>
      </c>
      <c r="F159" s="213">
        <f t="shared" si="1"/>
        <v>60.98360656</v>
      </c>
      <c r="G159" s="214">
        <f t="shared" si="2"/>
        <v>3.695976155</v>
      </c>
      <c r="H159" s="198">
        <v>3.5</v>
      </c>
      <c r="I159" s="198">
        <f t="shared" si="3"/>
        <v>57.75</v>
      </c>
      <c r="J159" s="198">
        <v>1.22</v>
      </c>
      <c r="K159" s="199">
        <f t="shared" si="4"/>
        <v>47.33606557</v>
      </c>
      <c r="L159" s="215"/>
      <c r="M159" s="200">
        <f t="shared" si="5"/>
        <v>80</v>
      </c>
      <c r="N159" s="200">
        <f t="shared" si="6"/>
        <v>65.57377049</v>
      </c>
      <c r="O159" s="199">
        <f t="shared" si="7"/>
        <v>4.848484848</v>
      </c>
      <c r="P159" s="199">
        <f t="shared" si="8"/>
        <v>3.974167909</v>
      </c>
      <c r="Q159" s="215"/>
      <c r="R159" s="215"/>
      <c r="S159" s="202">
        <v>0.8</v>
      </c>
      <c r="T159" s="202">
        <v>0.2</v>
      </c>
      <c r="U159" s="202">
        <v>0.35</v>
      </c>
      <c r="V159" s="199">
        <f t="shared" si="9"/>
        <v>4.509090909</v>
      </c>
      <c r="W159" s="199">
        <f t="shared" si="10"/>
        <v>3.695976155</v>
      </c>
      <c r="X159" s="202">
        <f t="shared" si="11"/>
        <v>0.2781917536</v>
      </c>
      <c r="Y159" s="202">
        <f t="shared" si="12"/>
        <v>0.07</v>
      </c>
      <c r="Z159" s="200">
        <f t="shared" si="13"/>
        <v>74.4</v>
      </c>
      <c r="AA159" s="200">
        <f t="shared" si="14"/>
        <v>60.98360656</v>
      </c>
      <c r="AB159" s="200">
        <f t="shared" si="15"/>
        <v>49.07377049</v>
      </c>
      <c r="AC159" s="202">
        <f t="shared" si="16"/>
        <v>0.6134221311</v>
      </c>
      <c r="AD159" s="216"/>
      <c r="AE159" s="216"/>
      <c r="AF159" s="216"/>
      <c r="AG159" s="216"/>
      <c r="AH159" s="216"/>
      <c r="AI159" s="216"/>
      <c r="AJ159" s="216"/>
      <c r="AK159" s="216"/>
      <c r="AL159" s="216"/>
      <c r="AM159" s="216"/>
      <c r="AN159" s="216"/>
      <c r="AO159" s="216"/>
      <c r="AP159" s="216"/>
      <c r="AQ159" s="216"/>
      <c r="AR159" s="216"/>
      <c r="AS159" s="216"/>
      <c r="AT159" s="216"/>
      <c r="AU159" s="216"/>
    </row>
    <row r="160" ht="14.25" customHeight="1">
      <c r="A160" s="206" t="s">
        <v>2059</v>
      </c>
      <c r="B160" s="192"/>
      <c r="C160" s="192"/>
      <c r="D160" s="205">
        <v>90.0</v>
      </c>
      <c r="E160" s="205">
        <v>16.5</v>
      </c>
      <c r="F160" s="213">
        <f t="shared" si="1"/>
        <v>68.60655738</v>
      </c>
      <c r="G160" s="214">
        <f t="shared" si="2"/>
        <v>4.157973174</v>
      </c>
      <c r="H160" s="198">
        <v>3.5</v>
      </c>
      <c r="I160" s="198">
        <f t="shared" si="3"/>
        <v>57.75</v>
      </c>
      <c r="J160" s="198">
        <v>1.22</v>
      </c>
      <c r="K160" s="199">
        <f t="shared" si="4"/>
        <v>47.33606557</v>
      </c>
      <c r="L160" s="215"/>
      <c r="M160" s="200">
        <f t="shared" si="5"/>
        <v>90</v>
      </c>
      <c r="N160" s="200">
        <f t="shared" si="6"/>
        <v>73.7704918</v>
      </c>
      <c r="O160" s="199">
        <f t="shared" si="7"/>
        <v>5.454545455</v>
      </c>
      <c r="P160" s="199">
        <f t="shared" si="8"/>
        <v>4.470938897</v>
      </c>
      <c r="Q160" s="215"/>
      <c r="R160" s="215"/>
      <c r="S160" s="202">
        <v>0.8</v>
      </c>
      <c r="T160" s="202">
        <v>0.2</v>
      </c>
      <c r="U160" s="202">
        <v>0.35</v>
      </c>
      <c r="V160" s="199">
        <f t="shared" si="9"/>
        <v>5.072727273</v>
      </c>
      <c r="W160" s="199">
        <f t="shared" si="10"/>
        <v>4.157973174</v>
      </c>
      <c r="X160" s="202">
        <f t="shared" si="11"/>
        <v>0.3129657228</v>
      </c>
      <c r="Y160" s="202">
        <f t="shared" si="12"/>
        <v>0.07</v>
      </c>
      <c r="Z160" s="200">
        <f t="shared" si="13"/>
        <v>83.7</v>
      </c>
      <c r="AA160" s="200">
        <f t="shared" si="14"/>
        <v>68.60655738</v>
      </c>
      <c r="AB160" s="200">
        <f t="shared" si="15"/>
        <v>57.2704918</v>
      </c>
      <c r="AC160" s="202">
        <f t="shared" si="16"/>
        <v>0.6363387978</v>
      </c>
      <c r="AD160" s="216"/>
      <c r="AE160" s="216"/>
      <c r="AF160" s="216"/>
      <c r="AG160" s="216"/>
      <c r="AH160" s="216"/>
      <c r="AI160" s="216"/>
      <c r="AJ160" s="216"/>
      <c r="AK160" s="216"/>
      <c r="AL160" s="216"/>
      <c r="AM160" s="216"/>
      <c r="AN160" s="216"/>
      <c r="AO160" s="216"/>
      <c r="AP160" s="216"/>
      <c r="AQ160" s="216"/>
      <c r="AR160" s="216"/>
      <c r="AS160" s="216"/>
      <c r="AT160" s="216"/>
      <c r="AU160" s="216"/>
    </row>
    <row r="161" ht="14.25" customHeight="1">
      <c r="A161" s="206" t="s">
        <v>2060</v>
      </c>
      <c r="B161" s="192"/>
      <c r="C161" s="192"/>
      <c r="D161" s="205">
        <v>70.0</v>
      </c>
      <c r="E161" s="205">
        <v>14.58</v>
      </c>
      <c r="F161" s="213">
        <f t="shared" si="1"/>
        <v>53.36065574</v>
      </c>
      <c r="G161" s="214">
        <f t="shared" si="2"/>
        <v>3.659852931</v>
      </c>
      <c r="H161" s="198">
        <v>3.5</v>
      </c>
      <c r="I161" s="198">
        <f t="shared" si="3"/>
        <v>51.03</v>
      </c>
      <c r="J161" s="198">
        <v>1.22</v>
      </c>
      <c r="K161" s="199">
        <f t="shared" si="4"/>
        <v>41.82786885</v>
      </c>
      <c r="L161" s="215"/>
      <c r="M161" s="200">
        <f t="shared" si="5"/>
        <v>70</v>
      </c>
      <c r="N161" s="200">
        <f t="shared" si="6"/>
        <v>57.37704918</v>
      </c>
      <c r="O161" s="199">
        <f t="shared" si="7"/>
        <v>4.801097394</v>
      </c>
      <c r="P161" s="199">
        <f t="shared" si="8"/>
        <v>3.935325733</v>
      </c>
      <c r="Q161" s="215"/>
      <c r="R161" s="215"/>
      <c r="S161" s="202">
        <v>0.8</v>
      </c>
      <c r="T161" s="202">
        <v>0.2</v>
      </c>
      <c r="U161" s="202">
        <v>0.35</v>
      </c>
      <c r="V161" s="199">
        <f t="shared" si="9"/>
        <v>4.465020576</v>
      </c>
      <c r="W161" s="199">
        <f t="shared" si="10"/>
        <v>3.659852931</v>
      </c>
      <c r="X161" s="202">
        <f t="shared" si="11"/>
        <v>0.2754728013</v>
      </c>
      <c r="Y161" s="202">
        <f t="shared" si="12"/>
        <v>0.07</v>
      </c>
      <c r="Z161" s="200">
        <f t="shared" si="13"/>
        <v>65.1</v>
      </c>
      <c r="AA161" s="200">
        <f t="shared" si="14"/>
        <v>53.36065574</v>
      </c>
      <c r="AB161" s="200">
        <f t="shared" si="15"/>
        <v>42.79704918</v>
      </c>
      <c r="AC161" s="202">
        <f t="shared" si="16"/>
        <v>0.6113864169</v>
      </c>
      <c r="AD161" s="216"/>
      <c r="AE161" s="216"/>
      <c r="AF161" s="216"/>
      <c r="AG161" s="216"/>
      <c r="AH161" s="216"/>
      <c r="AI161" s="216"/>
      <c r="AJ161" s="216"/>
      <c r="AK161" s="216"/>
      <c r="AL161" s="216"/>
      <c r="AM161" s="216"/>
      <c r="AN161" s="216"/>
      <c r="AO161" s="216"/>
      <c r="AP161" s="216"/>
      <c r="AQ161" s="216"/>
      <c r="AR161" s="216"/>
      <c r="AS161" s="216"/>
      <c r="AT161" s="216"/>
      <c r="AU161" s="216"/>
    </row>
    <row r="162" ht="14.25" customHeight="1">
      <c r="A162" s="206" t="s">
        <v>2061</v>
      </c>
      <c r="B162" s="192"/>
      <c r="C162" s="192"/>
      <c r="D162" s="205">
        <v>90.0</v>
      </c>
      <c r="E162" s="205">
        <v>16.5</v>
      </c>
      <c r="F162" s="213">
        <f t="shared" si="1"/>
        <v>68.60655738</v>
      </c>
      <c r="G162" s="214">
        <f t="shared" si="2"/>
        <v>4.157973174</v>
      </c>
      <c r="H162" s="198">
        <v>3.5</v>
      </c>
      <c r="I162" s="198">
        <f t="shared" si="3"/>
        <v>57.75</v>
      </c>
      <c r="J162" s="198">
        <v>1.22</v>
      </c>
      <c r="K162" s="199">
        <f t="shared" si="4"/>
        <v>47.33606557</v>
      </c>
      <c r="L162" s="215"/>
      <c r="M162" s="200">
        <f t="shared" si="5"/>
        <v>90</v>
      </c>
      <c r="N162" s="200">
        <f t="shared" si="6"/>
        <v>73.7704918</v>
      </c>
      <c r="O162" s="199">
        <f t="shared" si="7"/>
        <v>5.454545455</v>
      </c>
      <c r="P162" s="199">
        <f t="shared" si="8"/>
        <v>4.470938897</v>
      </c>
      <c r="Q162" s="215"/>
      <c r="R162" s="215"/>
      <c r="S162" s="202">
        <v>0.8</v>
      </c>
      <c r="T162" s="202">
        <v>0.2</v>
      </c>
      <c r="U162" s="202">
        <v>0.35</v>
      </c>
      <c r="V162" s="199">
        <f t="shared" si="9"/>
        <v>5.072727273</v>
      </c>
      <c r="W162" s="199">
        <f t="shared" si="10"/>
        <v>4.157973174</v>
      </c>
      <c r="X162" s="202">
        <f t="shared" si="11"/>
        <v>0.3129657228</v>
      </c>
      <c r="Y162" s="202">
        <f t="shared" si="12"/>
        <v>0.07</v>
      </c>
      <c r="Z162" s="200">
        <f t="shared" si="13"/>
        <v>83.7</v>
      </c>
      <c r="AA162" s="200">
        <f t="shared" si="14"/>
        <v>68.60655738</v>
      </c>
      <c r="AB162" s="200">
        <f t="shared" si="15"/>
        <v>57.2704918</v>
      </c>
      <c r="AC162" s="202">
        <f t="shared" si="16"/>
        <v>0.6363387978</v>
      </c>
      <c r="AD162" s="216"/>
      <c r="AE162" s="216"/>
      <c r="AF162" s="216"/>
      <c r="AG162" s="216"/>
      <c r="AH162" s="216"/>
      <c r="AI162" s="216"/>
      <c r="AJ162" s="216"/>
      <c r="AK162" s="216"/>
      <c r="AL162" s="216"/>
      <c r="AM162" s="216"/>
      <c r="AN162" s="216"/>
      <c r="AO162" s="216"/>
      <c r="AP162" s="216"/>
      <c r="AQ162" s="216"/>
      <c r="AR162" s="216"/>
      <c r="AS162" s="216"/>
      <c r="AT162" s="216"/>
      <c r="AU162" s="216"/>
    </row>
    <row r="163" ht="14.25" customHeight="1">
      <c r="A163" s="206" t="s">
        <v>391</v>
      </c>
      <c r="B163" s="192" t="s">
        <v>269</v>
      </c>
      <c r="C163" s="192" t="s">
        <v>390</v>
      </c>
      <c r="D163" s="205">
        <v>80.0</v>
      </c>
      <c r="E163" s="205">
        <v>19.0</v>
      </c>
      <c r="F163" s="213">
        <f t="shared" si="1"/>
        <v>60.98360656</v>
      </c>
      <c r="G163" s="214">
        <f t="shared" si="2"/>
        <v>3.209663503</v>
      </c>
      <c r="H163" s="198">
        <v>3.5</v>
      </c>
      <c r="I163" s="198">
        <f t="shared" si="3"/>
        <v>66.5</v>
      </c>
      <c r="J163" s="198">
        <v>1.22</v>
      </c>
      <c r="K163" s="199">
        <f t="shared" si="4"/>
        <v>54.50819672</v>
      </c>
      <c r="L163" s="215"/>
      <c r="M163" s="200">
        <f t="shared" si="5"/>
        <v>80</v>
      </c>
      <c r="N163" s="200">
        <f t="shared" si="6"/>
        <v>65.57377049</v>
      </c>
      <c r="O163" s="199">
        <f t="shared" si="7"/>
        <v>4.210526316</v>
      </c>
      <c r="P163" s="199">
        <f t="shared" si="8"/>
        <v>3.451251079</v>
      </c>
      <c r="Q163" s="215"/>
      <c r="R163" s="215"/>
      <c r="S163" s="202">
        <v>0.8</v>
      </c>
      <c r="T163" s="202">
        <v>0.2</v>
      </c>
      <c r="U163" s="202">
        <v>0.35</v>
      </c>
      <c r="V163" s="199">
        <f t="shared" si="9"/>
        <v>3.915789474</v>
      </c>
      <c r="W163" s="199">
        <f t="shared" si="10"/>
        <v>3.209663503</v>
      </c>
      <c r="X163" s="202">
        <f t="shared" si="11"/>
        <v>0.2415875755</v>
      </c>
      <c r="Y163" s="202">
        <f t="shared" si="12"/>
        <v>0.07</v>
      </c>
      <c r="Z163" s="200">
        <f t="shared" si="13"/>
        <v>74.4</v>
      </c>
      <c r="AA163" s="200">
        <f t="shared" si="14"/>
        <v>60.98360656</v>
      </c>
      <c r="AB163" s="200">
        <f t="shared" si="15"/>
        <v>46.57377049</v>
      </c>
      <c r="AC163" s="202">
        <f t="shared" si="16"/>
        <v>0.5821721311</v>
      </c>
      <c r="AD163" s="216"/>
      <c r="AE163" s="216"/>
      <c r="AF163" s="216"/>
      <c r="AG163" s="216"/>
      <c r="AH163" s="216"/>
      <c r="AI163" s="216"/>
      <c r="AJ163" s="216"/>
      <c r="AK163" s="216"/>
      <c r="AL163" s="216"/>
      <c r="AM163" s="216"/>
      <c r="AN163" s="216"/>
      <c r="AO163" s="216"/>
      <c r="AP163" s="216"/>
      <c r="AQ163" s="216"/>
      <c r="AR163" s="216"/>
      <c r="AS163" s="216"/>
      <c r="AT163" s="216"/>
      <c r="AU163" s="216"/>
    </row>
    <row r="164" ht="14.25" customHeight="1">
      <c r="A164" s="206" t="s">
        <v>393</v>
      </c>
      <c r="B164" s="192"/>
      <c r="C164" s="192"/>
      <c r="D164" s="205">
        <v>74.29</v>
      </c>
      <c r="E164" s="205">
        <v>210.0</v>
      </c>
      <c r="F164" s="213">
        <f t="shared" si="1"/>
        <v>56.63090164</v>
      </c>
      <c r="G164" s="214">
        <f t="shared" si="2"/>
        <v>0.2696709602</v>
      </c>
      <c r="H164" s="198">
        <v>3.5</v>
      </c>
      <c r="I164" s="198">
        <f t="shared" si="3"/>
        <v>735</v>
      </c>
      <c r="J164" s="198">
        <v>1.22</v>
      </c>
      <c r="K164" s="199">
        <f t="shared" si="4"/>
        <v>602.4590164</v>
      </c>
      <c r="L164" s="215"/>
      <c r="M164" s="200">
        <f t="shared" si="5"/>
        <v>74.29</v>
      </c>
      <c r="N164" s="200">
        <f t="shared" si="6"/>
        <v>60.89344262</v>
      </c>
      <c r="O164" s="199">
        <f t="shared" si="7"/>
        <v>0.3537619048</v>
      </c>
      <c r="P164" s="199">
        <f t="shared" si="8"/>
        <v>0.2899687744</v>
      </c>
      <c r="Q164" s="215"/>
      <c r="R164" s="215"/>
      <c r="S164" s="202">
        <v>0.8</v>
      </c>
      <c r="T164" s="202">
        <v>0.2</v>
      </c>
      <c r="U164" s="202">
        <v>0.35</v>
      </c>
      <c r="V164" s="199">
        <f t="shared" si="9"/>
        <v>0.3289985714</v>
      </c>
      <c r="W164" s="199">
        <f t="shared" si="10"/>
        <v>0.2696709602</v>
      </c>
      <c r="X164" s="202">
        <f t="shared" si="11"/>
        <v>0.02029781421</v>
      </c>
      <c r="Y164" s="202">
        <f t="shared" si="12"/>
        <v>0.07</v>
      </c>
      <c r="Z164" s="200">
        <f t="shared" si="13"/>
        <v>69.0897</v>
      </c>
      <c r="AA164" s="200">
        <f t="shared" si="14"/>
        <v>56.63090164</v>
      </c>
      <c r="AB164" s="200">
        <f t="shared" si="15"/>
        <v>-149.1065574</v>
      </c>
      <c r="AC164" s="202">
        <f t="shared" si="16"/>
        <v>-2.007087863</v>
      </c>
      <c r="AD164" s="216"/>
      <c r="AE164" s="216"/>
      <c r="AF164" s="216"/>
      <c r="AG164" s="216"/>
      <c r="AH164" s="216"/>
      <c r="AI164" s="216"/>
      <c r="AJ164" s="216"/>
      <c r="AK164" s="216"/>
      <c r="AL164" s="216"/>
      <c r="AM164" s="216"/>
      <c r="AN164" s="216"/>
      <c r="AO164" s="216"/>
      <c r="AP164" s="216"/>
      <c r="AQ164" s="216"/>
      <c r="AR164" s="216"/>
      <c r="AS164" s="216"/>
      <c r="AT164" s="216"/>
      <c r="AU164" s="216"/>
    </row>
    <row r="165" ht="14.25" customHeight="1">
      <c r="A165" s="206" t="s">
        <v>599</v>
      </c>
      <c r="B165" s="192" t="s">
        <v>203</v>
      </c>
      <c r="C165" s="192" t="s">
        <v>2062</v>
      </c>
      <c r="D165" s="205">
        <v>120.0</v>
      </c>
      <c r="E165" s="205">
        <v>26.0</v>
      </c>
      <c r="F165" s="213"/>
      <c r="G165" s="214"/>
      <c r="H165" s="198"/>
      <c r="I165" s="198"/>
      <c r="J165" s="198"/>
      <c r="K165" s="199"/>
      <c r="L165" s="215"/>
      <c r="M165" s="200"/>
      <c r="N165" s="200"/>
      <c r="O165" s="199"/>
      <c r="P165" s="199"/>
      <c r="Q165" s="215"/>
      <c r="R165" s="215"/>
      <c r="S165" s="202"/>
      <c r="T165" s="202"/>
      <c r="U165" s="202"/>
      <c r="V165" s="199"/>
      <c r="W165" s="199"/>
      <c r="X165" s="202"/>
      <c r="Y165" s="202"/>
      <c r="Z165" s="200"/>
      <c r="AA165" s="200"/>
      <c r="AB165" s="200"/>
      <c r="AC165" s="202"/>
      <c r="AD165" s="216"/>
      <c r="AE165" s="216"/>
      <c r="AF165" s="216"/>
      <c r="AG165" s="216"/>
      <c r="AH165" s="216"/>
      <c r="AI165" s="216"/>
      <c r="AJ165" s="216"/>
      <c r="AK165" s="216"/>
      <c r="AL165" s="216"/>
      <c r="AM165" s="216"/>
      <c r="AN165" s="216"/>
      <c r="AO165" s="216"/>
      <c r="AP165" s="216"/>
      <c r="AQ165" s="216"/>
      <c r="AR165" s="216"/>
      <c r="AS165" s="216"/>
      <c r="AT165" s="216"/>
      <c r="AU165" s="216"/>
    </row>
    <row r="166" ht="14.25" customHeight="1">
      <c r="A166" s="206" t="s">
        <v>605</v>
      </c>
      <c r="B166" s="192" t="s">
        <v>203</v>
      </c>
      <c r="C166" s="192" t="s">
        <v>2063</v>
      </c>
      <c r="D166" s="205">
        <v>120.0</v>
      </c>
      <c r="E166" s="205">
        <v>26.0</v>
      </c>
      <c r="F166" s="213"/>
      <c r="G166" s="214"/>
      <c r="H166" s="198"/>
      <c r="I166" s="198"/>
      <c r="J166" s="198"/>
      <c r="K166" s="199"/>
      <c r="L166" s="215"/>
      <c r="M166" s="200"/>
      <c r="N166" s="200"/>
      <c r="O166" s="199"/>
      <c r="P166" s="199"/>
      <c r="Q166" s="215"/>
      <c r="R166" s="215"/>
      <c r="S166" s="202"/>
      <c r="T166" s="202"/>
      <c r="U166" s="202"/>
      <c r="V166" s="199"/>
      <c r="W166" s="199"/>
      <c r="X166" s="202"/>
      <c r="Y166" s="202"/>
      <c r="Z166" s="200"/>
      <c r="AA166" s="200"/>
      <c r="AB166" s="200"/>
      <c r="AC166" s="202"/>
      <c r="AD166" s="216"/>
      <c r="AE166" s="216"/>
      <c r="AF166" s="216"/>
      <c r="AG166" s="216"/>
      <c r="AH166" s="216"/>
      <c r="AI166" s="216"/>
      <c r="AJ166" s="216"/>
      <c r="AK166" s="216"/>
      <c r="AL166" s="216"/>
      <c r="AM166" s="216"/>
      <c r="AN166" s="216"/>
      <c r="AO166" s="216"/>
      <c r="AP166" s="216"/>
      <c r="AQ166" s="216"/>
      <c r="AR166" s="216"/>
      <c r="AS166" s="216"/>
      <c r="AT166" s="216"/>
      <c r="AU166" s="216"/>
    </row>
    <row r="167" ht="14.25" customHeight="1">
      <c r="A167" s="206" t="s">
        <v>588</v>
      </c>
      <c r="B167" s="192" t="s">
        <v>203</v>
      </c>
      <c r="C167" s="192" t="s">
        <v>2064</v>
      </c>
      <c r="D167" s="205">
        <v>120.0</v>
      </c>
      <c r="E167" s="205">
        <v>26.0</v>
      </c>
      <c r="F167" s="213"/>
      <c r="G167" s="214"/>
      <c r="H167" s="198"/>
      <c r="I167" s="198"/>
      <c r="J167" s="198"/>
      <c r="K167" s="199"/>
      <c r="L167" s="215"/>
      <c r="M167" s="200"/>
      <c r="N167" s="200"/>
      <c r="O167" s="199"/>
      <c r="P167" s="199"/>
      <c r="Q167" s="215"/>
      <c r="R167" s="215"/>
      <c r="S167" s="202"/>
      <c r="T167" s="202"/>
      <c r="U167" s="202"/>
      <c r="V167" s="199"/>
      <c r="W167" s="199"/>
      <c r="X167" s="202"/>
      <c r="Y167" s="202"/>
      <c r="Z167" s="200"/>
      <c r="AA167" s="200"/>
      <c r="AB167" s="200"/>
      <c r="AC167" s="202"/>
      <c r="AD167" s="216"/>
      <c r="AE167" s="216"/>
      <c r="AF167" s="216"/>
      <c r="AG167" s="216"/>
      <c r="AH167" s="216"/>
      <c r="AI167" s="216"/>
      <c r="AJ167" s="216"/>
      <c r="AK167" s="216"/>
      <c r="AL167" s="216"/>
      <c r="AM167" s="216"/>
      <c r="AN167" s="216"/>
      <c r="AO167" s="216"/>
      <c r="AP167" s="216"/>
      <c r="AQ167" s="216"/>
      <c r="AR167" s="216"/>
      <c r="AS167" s="216"/>
      <c r="AT167" s="216"/>
      <c r="AU167" s="216"/>
    </row>
    <row r="168" ht="14.25" customHeight="1">
      <c r="A168" s="206" t="s">
        <v>2065</v>
      </c>
      <c r="B168" s="192"/>
      <c r="C168" s="192"/>
      <c r="D168" s="205">
        <v>90.0</v>
      </c>
      <c r="E168" s="205">
        <v>40.0</v>
      </c>
      <c r="F168" s="213"/>
      <c r="G168" s="214"/>
      <c r="H168" s="198"/>
      <c r="I168" s="198"/>
      <c r="J168" s="198"/>
      <c r="K168" s="199"/>
      <c r="L168" s="215"/>
      <c r="M168" s="200"/>
      <c r="N168" s="200"/>
      <c r="O168" s="199"/>
      <c r="P168" s="199"/>
      <c r="Q168" s="215"/>
      <c r="R168" s="215"/>
      <c r="S168" s="202"/>
      <c r="T168" s="202"/>
      <c r="U168" s="202"/>
      <c r="V168" s="199"/>
      <c r="W168" s="199"/>
      <c r="X168" s="202"/>
      <c r="Y168" s="202"/>
      <c r="Z168" s="200"/>
      <c r="AA168" s="200"/>
      <c r="AB168" s="200"/>
      <c r="AC168" s="202"/>
      <c r="AD168" s="216"/>
      <c r="AE168" s="216"/>
      <c r="AF168" s="216"/>
      <c r="AG168" s="216"/>
      <c r="AH168" s="216"/>
      <c r="AI168" s="216"/>
      <c r="AJ168" s="216"/>
      <c r="AK168" s="216"/>
      <c r="AL168" s="216"/>
      <c r="AM168" s="216"/>
      <c r="AN168" s="216"/>
      <c r="AO168" s="216"/>
      <c r="AP168" s="216"/>
      <c r="AQ168" s="216"/>
      <c r="AR168" s="216"/>
      <c r="AS168" s="216"/>
      <c r="AT168" s="216"/>
      <c r="AU168" s="216"/>
    </row>
    <row r="169" ht="14.25" customHeight="1">
      <c r="A169" s="206" t="s">
        <v>1215</v>
      </c>
      <c r="B169" s="192" t="s">
        <v>269</v>
      </c>
      <c r="C169" s="192" t="s">
        <v>2066</v>
      </c>
      <c r="D169" s="205">
        <v>80.0</v>
      </c>
      <c r="E169" s="205">
        <v>19.0</v>
      </c>
      <c r="F169" s="213"/>
      <c r="G169" s="214"/>
      <c r="H169" s="198"/>
      <c r="I169" s="198"/>
      <c r="J169" s="198"/>
      <c r="K169" s="199"/>
      <c r="L169" s="215"/>
      <c r="M169" s="200"/>
      <c r="N169" s="200"/>
      <c r="O169" s="199"/>
      <c r="P169" s="199"/>
      <c r="Q169" s="215"/>
      <c r="R169" s="215"/>
      <c r="S169" s="202"/>
      <c r="T169" s="202"/>
      <c r="U169" s="202"/>
      <c r="V169" s="199"/>
      <c r="W169" s="199"/>
      <c r="X169" s="202"/>
      <c r="Y169" s="202"/>
      <c r="Z169" s="200"/>
      <c r="AA169" s="200"/>
      <c r="AB169" s="200"/>
      <c r="AC169" s="202"/>
      <c r="AD169" s="216"/>
      <c r="AE169" s="216"/>
      <c r="AF169" s="216"/>
      <c r="AG169" s="216"/>
      <c r="AH169" s="216"/>
      <c r="AI169" s="216"/>
      <c r="AJ169" s="216"/>
      <c r="AK169" s="216"/>
      <c r="AL169" s="216"/>
      <c r="AM169" s="216"/>
      <c r="AN169" s="216"/>
      <c r="AO169" s="216"/>
      <c r="AP169" s="216"/>
      <c r="AQ169" s="216"/>
      <c r="AR169" s="216"/>
      <c r="AS169" s="216"/>
      <c r="AT169" s="216"/>
      <c r="AU169" s="216"/>
    </row>
  </sheetData>
  <dataValidations>
    <dataValidation type="custom" allowBlank="1" showDropDown="1" sqref="D2:E169">
      <formula1>AND(ISNUMBER(D2),(NOT(OR(NOT(ISERROR(DATEVALUE(D2))), AND(ISNUMBER(D2), LEFT(CELL("format", D2))="D")))))</formula1>
    </dataValidation>
    <dataValidation type="list" allowBlank="1" sqref="A2:A169">
      <formula1>#REF!</formula1>
    </dataValidation>
  </dataValidations>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37.38"/>
    <col customWidth="1" min="4" max="4" width="19.88"/>
    <col customWidth="1" min="5" max="5" width="16.13"/>
    <col customWidth="1" min="6" max="6" width="30.88"/>
    <col customWidth="1" min="7" max="7" width="28.63"/>
    <col customWidth="1" min="9" max="9" width="18.75"/>
    <col customWidth="1" min="10" max="10" width="16.5"/>
    <col customWidth="1" min="11" max="11" width="15.25"/>
    <col customWidth="1" min="12" max="12" width="26.5"/>
    <col customWidth="1" min="13" max="13" width="25.13"/>
  </cols>
  <sheetData>
    <row r="1" ht="22.5" customHeight="1">
      <c r="A1" s="217" t="s">
        <v>2067</v>
      </c>
      <c r="B1" s="218" t="s">
        <v>172</v>
      </c>
      <c r="C1" s="219" t="s">
        <v>2068</v>
      </c>
      <c r="D1" s="219" t="s">
        <v>2069</v>
      </c>
      <c r="E1" s="219" t="s">
        <v>1600</v>
      </c>
      <c r="F1" s="219" t="s">
        <v>2070</v>
      </c>
      <c r="G1" s="219" t="s">
        <v>2071</v>
      </c>
      <c r="H1" s="219" t="s">
        <v>2072</v>
      </c>
      <c r="I1" s="219" t="s">
        <v>2073</v>
      </c>
      <c r="J1" s="220" t="s">
        <v>2074</v>
      </c>
      <c r="K1" s="219" t="s">
        <v>2075</v>
      </c>
      <c r="L1" s="219" t="s">
        <v>2076</v>
      </c>
      <c r="M1" s="219" t="s">
        <v>2077</v>
      </c>
      <c r="N1" s="219" t="s">
        <v>428</v>
      </c>
      <c r="O1" s="219" t="s">
        <v>2078</v>
      </c>
    </row>
    <row r="2" ht="22.5" customHeight="1">
      <c r="A2" s="221" t="s">
        <v>2079</v>
      </c>
      <c r="B2" s="222" t="str">
        <f t="array" ref="B2:B234">SUBSTITUTE(F2:F234&amp;"_"&amp;G2:G234," ","_")</f>
        <v>Lea_Bag_LEOPARDO_SAVANA</v>
      </c>
      <c r="C2" s="223" t="s">
        <v>2080</v>
      </c>
      <c r="D2" s="223" t="s">
        <v>2081</v>
      </c>
      <c r="E2" s="223" t="s">
        <v>2082</v>
      </c>
      <c r="F2" s="223" t="s">
        <v>162</v>
      </c>
      <c r="G2" s="223" t="s">
        <v>180</v>
      </c>
      <c r="H2" s="223">
        <v>10.0</v>
      </c>
      <c r="I2" s="223" t="s">
        <v>1621</v>
      </c>
      <c r="J2" s="224">
        <v>20.0</v>
      </c>
      <c r="K2" s="225">
        <f t="shared" ref="K2:K56" si="1">IF(H2&gt;0, H2*J2, "")</f>
        <v>200</v>
      </c>
      <c r="L2" s="223" t="s">
        <v>2083</v>
      </c>
      <c r="M2" s="125"/>
      <c r="N2" s="223" t="s">
        <v>2084</v>
      </c>
      <c r="O2" s="223">
        <v>5.0</v>
      </c>
    </row>
    <row r="3" ht="22.5" customHeight="1">
      <c r="A3" s="226" t="s">
        <v>2085</v>
      </c>
      <c r="B3" s="223" t="s">
        <v>161</v>
      </c>
      <c r="C3" s="223" t="s">
        <v>2080</v>
      </c>
      <c r="D3" s="223" t="s">
        <v>2081</v>
      </c>
      <c r="E3" s="223" t="s">
        <v>2082</v>
      </c>
      <c r="F3" s="223" t="s">
        <v>162</v>
      </c>
      <c r="G3" s="223" t="s">
        <v>163</v>
      </c>
      <c r="H3" s="223">
        <v>20.0</v>
      </c>
      <c r="I3" s="223" t="s">
        <v>1621</v>
      </c>
      <c r="J3" s="224">
        <v>20.0</v>
      </c>
      <c r="K3" s="225">
        <f t="shared" si="1"/>
        <v>400</v>
      </c>
      <c r="L3" s="223" t="s">
        <v>2083</v>
      </c>
      <c r="M3" s="125"/>
      <c r="N3" s="223" t="s">
        <v>2084</v>
      </c>
      <c r="O3" s="223">
        <v>20.0</v>
      </c>
    </row>
    <row r="4" ht="22.5" customHeight="1">
      <c r="A4" s="226" t="s">
        <v>2086</v>
      </c>
      <c r="B4" s="227" t="s">
        <v>167</v>
      </c>
      <c r="C4" s="223" t="s">
        <v>2080</v>
      </c>
      <c r="D4" s="223" t="s">
        <v>2081</v>
      </c>
      <c r="E4" s="223" t="s">
        <v>2082</v>
      </c>
      <c r="F4" s="223" t="s">
        <v>162</v>
      </c>
      <c r="G4" s="223" t="s">
        <v>168</v>
      </c>
      <c r="H4" s="223">
        <v>14.0</v>
      </c>
      <c r="I4" s="223" t="s">
        <v>1621</v>
      </c>
      <c r="J4" s="224">
        <v>20.0</v>
      </c>
      <c r="K4" s="225">
        <f t="shared" si="1"/>
        <v>280</v>
      </c>
      <c r="L4" s="223" t="s">
        <v>2083</v>
      </c>
      <c r="M4" s="125"/>
      <c r="N4" s="223" t="s">
        <v>2087</v>
      </c>
      <c r="O4" s="223">
        <v>14.0</v>
      </c>
    </row>
    <row r="5" ht="22.5" customHeight="1">
      <c r="A5" s="226" t="s">
        <v>2088</v>
      </c>
      <c r="B5" s="227" t="s">
        <v>184</v>
      </c>
      <c r="C5" s="223" t="s">
        <v>2080</v>
      </c>
      <c r="D5" s="223" t="s">
        <v>2081</v>
      </c>
      <c r="E5" s="223" t="s">
        <v>2082</v>
      </c>
      <c r="F5" s="223" t="s">
        <v>162</v>
      </c>
      <c r="G5" s="223" t="s">
        <v>183</v>
      </c>
      <c r="H5" s="223">
        <v>2.0</v>
      </c>
      <c r="I5" s="223" t="s">
        <v>1621</v>
      </c>
      <c r="J5" s="224">
        <v>20.0</v>
      </c>
      <c r="K5" s="225">
        <f t="shared" si="1"/>
        <v>40</v>
      </c>
      <c r="L5" s="223" t="s">
        <v>2083</v>
      </c>
      <c r="M5" s="125"/>
      <c r="N5" s="125"/>
      <c r="O5" s="223"/>
    </row>
    <row r="6" ht="22.5" customHeight="1">
      <c r="A6" s="226" t="s">
        <v>2089</v>
      </c>
      <c r="B6" s="227" t="s">
        <v>186</v>
      </c>
      <c r="C6" s="223" t="s">
        <v>2080</v>
      </c>
      <c r="D6" s="223" t="s">
        <v>2081</v>
      </c>
      <c r="E6" s="223" t="s">
        <v>2082</v>
      </c>
      <c r="F6" s="223" t="s">
        <v>162</v>
      </c>
      <c r="G6" s="223" t="s">
        <v>185</v>
      </c>
      <c r="H6" s="223">
        <v>3.0</v>
      </c>
      <c r="I6" s="223" t="s">
        <v>1621</v>
      </c>
      <c r="J6" s="224">
        <v>20.0</v>
      </c>
      <c r="K6" s="225">
        <f t="shared" si="1"/>
        <v>60</v>
      </c>
      <c r="L6" s="223" t="s">
        <v>2083</v>
      </c>
      <c r="M6" s="125"/>
      <c r="N6" s="125"/>
      <c r="O6" s="223"/>
    </row>
    <row r="7" ht="22.5" customHeight="1">
      <c r="A7" s="226" t="s">
        <v>2090</v>
      </c>
      <c r="B7" s="227" t="s">
        <v>189</v>
      </c>
      <c r="C7" s="223" t="s">
        <v>2080</v>
      </c>
      <c r="D7" s="223" t="s">
        <v>2081</v>
      </c>
      <c r="E7" s="223" t="s">
        <v>2082</v>
      </c>
      <c r="F7" s="223" t="s">
        <v>162</v>
      </c>
      <c r="G7" s="223" t="s">
        <v>188</v>
      </c>
      <c r="H7" s="223">
        <v>3.0</v>
      </c>
      <c r="I7" s="223" t="s">
        <v>1621</v>
      </c>
      <c r="J7" s="224">
        <v>20.0</v>
      </c>
      <c r="K7" s="225">
        <f t="shared" si="1"/>
        <v>60</v>
      </c>
      <c r="L7" s="223" t="s">
        <v>2083</v>
      </c>
      <c r="M7" s="125"/>
      <c r="N7" s="125"/>
      <c r="O7" s="223"/>
    </row>
    <row r="8" ht="22.5" customHeight="1">
      <c r="A8" s="226" t="s">
        <v>2091</v>
      </c>
      <c r="B8" s="227" t="s">
        <v>191</v>
      </c>
      <c r="C8" s="223" t="s">
        <v>2080</v>
      </c>
      <c r="D8" s="223" t="s">
        <v>2081</v>
      </c>
      <c r="E8" s="223" t="s">
        <v>2082</v>
      </c>
      <c r="F8" s="223" t="s">
        <v>162</v>
      </c>
      <c r="G8" s="223" t="s">
        <v>190</v>
      </c>
      <c r="H8" s="223">
        <v>2.0</v>
      </c>
      <c r="I8" s="223" t="s">
        <v>1621</v>
      </c>
      <c r="J8" s="224">
        <v>20.0</v>
      </c>
      <c r="K8" s="225">
        <f t="shared" si="1"/>
        <v>40</v>
      </c>
      <c r="L8" s="223" t="s">
        <v>2083</v>
      </c>
      <c r="M8" s="125"/>
      <c r="N8" s="223" t="s">
        <v>2092</v>
      </c>
      <c r="O8" s="223"/>
    </row>
    <row r="9" ht="22.5" customHeight="1">
      <c r="A9" s="226" t="s">
        <v>2093</v>
      </c>
      <c r="B9" s="227" t="s">
        <v>193</v>
      </c>
      <c r="C9" s="223" t="s">
        <v>2080</v>
      </c>
      <c r="D9" s="223" t="s">
        <v>2081</v>
      </c>
      <c r="E9" s="223" t="s">
        <v>2082</v>
      </c>
      <c r="F9" s="223" t="s">
        <v>162</v>
      </c>
      <c r="G9" s="223" t="s">
        <v>192</v>
      </c>
      <c r="H9" s="223">
        <v>3.0</v>
      </c>
      <c r="I9" s="223" t="s">
        <v>1621</v>
      </c>
      <c r="J9" s="224">
        <v>20.0</v>
      </c>
      <c r="K9" s="225">
        <f t="shared" si="1"/>
        <v>60</v>
      </c>
      <c r="L9" s="223" t="s">
        <v>2083</v>
      </c>
      <c r="M9" s="125"/>
      <c r="N9" s="223" t="s">
        <v>2084</v>
      </c>
      <c r="O9" s="223"/>
    </row>
    <row r="10" ht="22.5" customHeight="1">
      <c r="A10" s="226" t="s">
        <v>2094</v>
      </c>
      <c r="B10" s="227" t="s">
        <v>196</v>
      </c>
      <c r="C10" s="223" t="s">
        <v>2080</v>
      </c>
      <c r="D10" s="223" t="s">
        <v>2081</v>
      </c>
      <c r="E10" s="223" t="s">
        <v>2082</v>
      </c>
      <c r="F10" s="223" t="s">
        <v>162</v>
      </c>
      <c r="G10" s="223" t="s">
        <v>195</v>
      </c>
      <c r="H10" s="223">
        <v>4.0</v>
      </c>
      <c r="I10" s="223" t="s">
        <v>1621</v>
      </c>
      <c r="J10" s="224">
        <v>20.0</v>
      </c>
      <c r="K10" s="225">
        <f t="shared" si="1"/>
        <v>80</v>
      </c>
      <c r="L10" s="223" t="s">
        <v>2083</v>
      </c>
      <c r="M10" s="125"/>
      <c r="N10" s="223" t="s">
        <v>2084</v>
      </c>
      <c r="O10" s="223">
        <v>3.0</v>
      </c>
    </row>
    <row r="11" ht="22.5" customHeight="1">
      <c r="A11" s="226" t="s">
        <v>2095</v>
      </c>
      <c r="B11" s="227" t="s">
        <v>198</v>
      </c>
      <c r="C11" s="223" t="s">
        <v>2080</v>
      </c>
      <c r="D11" s="223" t="s">
        <v>2081</v>
      </c>
      <c r="E11" s="223" t="s">
        <v>2082</v>
      </c>
      <c r="F11" s="223" t="s">
        <v>162</v>
      </c>
      <c r="G11" s="223" t="s">
        <v>197</v>
      </c>
      <c r="H11" s="223">
        <v>2.0</v>
      </c>
      <c r="I11" s="223" t="s">
        <v>1621</v>
      </c>
      <c r="J11" s="224">
        <v>20.0</v>
      </c>
      <c r="K11" s="225">
        <f t="shared" si="1"/>
        <v>40</v>
      </c>
      <c r="L11" s="223" t="s">
        <v>2083</v>
      </c>
      <c r="M11" s="125"/>
      <c r="N11" s="125"/>
      <c r="O11" s="223">
        <v>2.0</v>
      </c>
    </row>
    <row r="12" ht="22.5" customHeight="1">
      <c r="A12" s="226" t="s">
        <v>2096</v>
      </c>
      <c r="B12" s="227" t="s">
        <v>200</v>
      </c>
      <c r="C12" s="223" t="s">
        <v>2080</v>
      </c>
      <c r="D12" s="223" t="s">
        <v>2081</v>
      </c>
      <c r="E12" s="223" t="s">
        <v>2082</v>
      </c>
      <c r="F12" s="223" t="s">
        <v>162</v>
      </c>
      <c r="G12" s="223" t="s">
        <v>199</v>
      </c>
      <c r="H12" s="223">
        <v>2.0</v>
      </c>
      <c r="I12" s="223" t="s">
        <v>1621</v>
      </c>
      <c r="J12" s="224">
        <v>20.0</v>
      </c>
      <c r="K12" s="225">
        <f t="shared" si="1"/>
        <v>40</v>
      </c>
      <c r="L12" s="223" t="s">
        <v>2083</v>
      </c>
      <c r="M12" s="125"/>
      <c r="N12" s="125"/>
      <c r="O12" s="223">
        <v>4.0</v>
      </c>
    </row>
    <row r="13" ht="22.5" customHeight="1">
      <c r="A13" s="226" t="s">
        <v>2097</v>
      </c>
      <c r="B13" s="227" t="s">
        <v>202</v>
      </c>
      <c r="C13" s="223" t="s">
        <v>2080</v>
      </c>
      <c r="D13" s="223" t="s">
        <v>2081</v>
      </c>
      <c r="E13" s="223" t="s">
        <v>2082</v>
      </c>
      <c r="F13" s="223" t="s">
        <v>162</v>
      </c>
      <c r="G13" s="223" t="s">
        <v>201</v>
      </c>
      <c r="H13" s="223">
        <v>6.0</v>
      </c>
      <c r="I13" s="223" t="s">
        <v>1621</v>
      </c>
      <c r="J13" s="224">
        <v>20.0</v>
      </c>
      <c r="K13" s="225">
        <f t="shared" si="1"/>
        <v>120</v>
      </c>
      <c r="L13" s="223" t="s">
        <v>2083</v>
      </c>
      <c r="M13" s="125"/>
      <c r="N13" s="125"/>
      <c r="O13" s="223">
        <v>4.0</v>
      </c>
    </row>
    <row r="14" ht="22.5" customHeight="1">
      <c r="A14" s="226" t="s">
        <v>2098</v>
      </c>
      <c r="B14" s="223" t="s">
        <v>205</v>
      </c>
      <c r="C14" s="223" t="s">
        <v>2080</v>
      </c>
      <c r="D14" s="223" t="s">
        <v>2081</v>
      </c>
      <c r="E14" s="223" t="s">
        <v>2082</v>
      </c>
      <c r="F14" s="223" t="s">
        <v>203</v>
      </c>
      <c r="G14" s="223" t="s">
        <v>204</v>
      </c>
      <c r="H14" s="223">
        <v>5.0</v>
      </c>
      <c r="I14" s="223" t="s">
        <v>1621</v>
      </c>
      <c r="J14" s="224">
        <v>23.0</v>
      </c>
      <c r="K14" s="225">
        <f t="shared" si="1"/>
        <v>115</v>
      </c>
      <c r="L14" s="223" t="s">
        <v>2083</v>
      </c>
      <c r="M14" s="125"/>
      <c r="N14" s="125"/>
      <c r="O14" s="223">
        <v>10.0</v>
      </c>
    </row>
    <row r="15" ht="22.5" customHeight="1">
      <c r="A15" s="226" t="s">
        <v>2099</v>
      </c>
      <c r="B15" s="227" t="s">
        <v>207</v>
      </c>
      <c r="C15" s="223" t="s">
        <v>2080</v>
      </c>
      <c r="D15" s="223" t="s">
        <v>2081</v>
      </c>
      <c r="E15" s="223" t="s">
        <v>2082</v>
      </c>
      <c r="F15" s="223" t="s">
        <v>203</v>
      </c>
      <c r="G15" s="223" t="s">
        <v>206</v>
      </c>
      <c r="H15" s="223">
        <v>15.0</v>
      </c>
      <c r="I15" s="223" t="s">
        <v>1621</v>
      </c>
      <c r="J15" s="224">
        <v>26.0</v>
      </c>
      <c r="K15" s="225">
        <f t="shared" si="1"/>
        <v>390</v>
      </c>
      <c r="L15" s="223" t="s">
        <v>2083</v>
      </c>
      <c r="M15" s="125"/>
      <c r="N15" s="125"/>
      <c r="O15" s="223">
        <v>10.0</v>
      </c>
    </row>
    <row r="16" ht="22.5" customHeight="1">
      <c r="A16" s="226" t="s">
        <v>2100</v>
      </c>
      <c r="B16" s="227" t="s">
        <v>2101</v>
      </c>
      <c r="C16" s="223" t="s">
        <v>2080</v>
      </c>
      <c r="D16" s="223" t="s">
        <v>2102</v>
      </c>
      <c r="E16" s="223" t="s">
        <v>2103</v>
      </c>
      <c r="F16" s="223" t="s">
        <v>2104</v>
      </c>
      <c r="G16" s="223" t="s">
        <v>2105</v>
      </c>
      <c r="H16" s="223">
        <v>3.9</v>
      </c>
      <c r="I16" s="223" t="s">
        <v>2106</v>
      </c>
      <c r="J16" s="224">
        <v>16.0</v>
      </c>
      <c r="K16" s="225">
        <f t="shared" si="1"/>
        <v>62.4</v>
      </c>
      <c r="L16" s="223" t="s">
        <v>2107</v>
      </c>
      <c r="M16" s="125"/>
      <c r="N16" s="125"/>
      <c r="O16" s="125"/>
    </row>
    <row r="17" ht="22.5" customHeight="1">
      <c r="A17" s="226" t="s">
        <v>2108</v>
      </c>
      <c r="B17" s="227" t="s">
        <v>2109</v>
      </c>
      <c r="C17" s="223" t="s">
        <v>2080</v>
      </c>
      <c r="D17" s="223" t="s">
        <v>2102</v>
      </c>
      <c r="E17" s="223" t="s">
        <v>2103</v>
      </c>
      <c r="F17" s="223" t="s">
        <v>2110</v>
      </c>
      <c r="G17" s="223" t="s">
        <v>2111</v>
      </c>
      <c r="H17" s="223">
        <v>5.6</v>
      </c>
      <c r="I17" s="223" t="s">
        <v>2106</v>
      </c>
      <c r="J17" s="224">
        <v>10.0</v>
      </c>
      <c r="K17" s="225">
        <f t="shared" si="1"/>
        <v>56</v>
      </c>
      <c r="L17" s="223" t="s">
        <v>2112</v>
      </c>
      <c r="M17" s="125"/>
      <c r="N17" s="125"/>
      <c r="O17" s="125"/>
    </row>
    <row r="18" ht="22.5" customHeight="1">
      <c r="A18" s="226" t="s">
        <v>2113</v>
      </c>
      <c r="B18" s="227" t="s">
        <v>2114</v>
      </c>
      <c r="C18" s="223" t="s">
        <v>2080</v>
      </c>
      <c r="D18" s="223" t="s">
        <v>2102</v>
      </c>
      <c r="E18" s="223" t="s">
        <v>2103</v>
      </c>
      <c r="F18" s="223" t="s">
        <v>2110</v>
      </c>
      <c r="G18" s="223" t="s">
        <v>2115</v>
      </c>
      <c r="H18" s="223">
        <v>5.41</v>
      </c>
      <c r="I18" s="223" t="s">
        <v>2106</v>
      </c>
      <c r="J18" s="224"/>
      <c r="K18" s="225">
        <f t="shared" si="1"/>
        <v>0</v>
      </c>
      <c r="L18" s="223" t="s">
        <v>2107</v>
      </c>
      <c r="M18" s="125"/>
      <c r="N18" s="125"/>
      <c r="O18" s="125"/>
    </row>
    <row r="19" ht="22.5" customHeight="1">
      <c r="A19" s="226" t="s">
        <v>2116</v>
      </c>
      <c r="B19" s="227" t="s">
        <v>2117</v>
      </c>
      <c r="C19" s="223" t="s">
        <v>2080</v>
      </c>
      <c r="D19" s="223" t="s">
        <v>2102</v>
      </c>
      <c r="E19" s="223" t="s">
        <v>2103</v>
      </c>
      <c r="F19" s="223" t="s">
        <v>2110</v>
      </c>
      <c r="G19" s="223" t="s">
        <v>2118</v>
      </c>
      <c r="H19" s="223">
        <v>16.79</v>
      </c>
      <c r="I19" s="223" t="s">
        <v>2106</v>
      </c>
      <c r="J19" s="224">
        <v>10.0</v>
      </c>
      <c r="K19" s="225">
        <f t="shared" si="1"/>
        <v>167.9</v>
      </c>
      <c r="L19" s="223" t="s">
        <v>2112</v>
      </c>
      <c r="M19" s="125"/>
      <c r="N19" s="125"/>
      <c r="O19" s="125"/>
    </row>
    <row r="20" ht="22.5" customHeight="1">
      <c r="A20" s="226" t="s">
        <v>2119</v>
      </c>
      <c r="B20" s="227" t="s">
        <v>2120</v>
      </c>
      <c r="C20" s="223" t="s">
        <v>2080</v>
      </c>
      <c r="D20" s="223" t="s">
        <v>2102</v>
      </c>
      <c r="E20" s="223" t="s">
        <v>2103</v>
      </c>
      <c r="F20" s="223" t="s">
        <v>2110</v>
      </c>
      <c r="G20" s="223" t="s">
        <v>2121</v>
      </c>
      <c r="H20" s="223">
        <v>2.31</v>
      </c>
      <c r="I20" s="223" t="s">
        <v>2106</v>
      </c>
      <c r="J20" s="224">
        <v>10.0</v>
      </c>
      <c r="K20" s="225">
        <f t="shared" si="1"/>
        <v>23.1</v>
      </c>
      <c r="L20" s="223" t="s">
        <v>2112</v>
      </c>
      <c r="M20" s="125"/>
      <c r="N20" s="125"/>
      <c r="O20" s="125"/>
    </row>
    <row r="21" ht="22.5" customHeight="1">
      <c r="A21" s="226" t="s">
        <v>2122</v>
      </c>
      <c r="B21" s="227" t="s">
        <v>2123</v>
      </c>
      <c r="C21" s="223" t="s">
        <v>2080</v>
      </c>
      <c r="D21" s="223" t="s">
        <v>2102</v>
      </c>
      <c r="E21" s="223" t="s">
        <v>2103</v>
      </c>
      <c r="F21" s="223" t="s">
        <v>2110</v>
      </c>
      <c r="G21" s="223" t="s">
        <v>2124</v>
      </c>
      <c r="H21" s="223">
        <v>10.33</v>
      </c>
      <c r="I21" s="223" t="s">
        <v>2106</v>
      </c>
      <c r="J21" s="224">
        <v>10.0</v>
      </c>
      <c r="K21" s="225">
        <f t="shared" si="1"/>
        <v>103.3</v>
      </c>
      <c r="L21" s="223" t="s">
        <v>2112</v>
      </c>
      <c r="M21" s="125"/>
      <c r="N21" s="125"/>
      <c r="O21" s="125"/>
    </row>
    <row r="22" ht="22.5" customHeight="1">
      <c r="A22" s="226" t="s">
        <v>2125</v>
      </c>
      <c r="B22" s="227" t="s">
        <v>2126</v>
      </c>
      <c r="C22" s="223" t="s">
        <v>2080</v>
      </c>
      <c r="D22" s="223" t="s">
        <v>2102</v>
      </c>
      <c r="E22" s="223" t="s">
        <v>2103</v>
      </c>
      <c r="F22" s="223" t="s">
        <v>2127</v>
      </c>
      <c r="G22" s="223" t="s">
        <v>2105</v>
      </c>
      <c r="H22" s="223">
        <v>2.04</v>
      </c>
      <c r="I22" s="223" t="s">
        <v>2106</v>
      </c>
      <c r="J22" s="224">
        <v>10.0</v>
      </c>
      <c r="K22" s="225">
        <f t="shared" si="1"/>
        <v>20.4</v>
      </c>
      <c r="L22" s="223" t="s">
        <v>2112</v>
      </c>
      <c r="M22" s="125"/>
      <c r="N22" s="125"/>
      <c r="O22" s="125"/>
    </row>
    <row r="23" ht="22.5" customHeight="1">
      <c r="A23" s="226" t="s">
        <v>2128</v>
      </c>
      <c r="B23" s="227" t="s">
        <v>2129</v>
      </c>
      <c r="C23" s="223" t="s">
        <v>2080</v>
      </c>
      <c r="D23" s="223" t="s">
        <v>2102</v>
      </c>
      <c r="E23" s="223" t="s">
        <v>2103</v>
      </c>
      <c r="F23" s="223" t="s">
        <v>2127</v>
      </c>
      <c r="G23" s="223" t="s">
        <v>2115</v>
      </c>
      <c r="H23" s="223">
        <v>8.17</v>
      </c>
      <c r="I23" s="223" t="s">
        <v>2106</v>
      </c>
      <c r="J23" s="224"/>
      <c r="K23" s="225">
        <f t="shared" si="1"/>
        <v>0</v>
      </c>
      <c r="L23" s="223" t="s">
        <v>2107</v>
      </c>
      <c r="M23" s="125"/>
      <c r="N23" s="125"/>
      <c r="O23" s="125"/>
    </row>
    <row r="24" ht="22.5" customHeight="1">
      <c r="A24" s="226" t="s">
        <v>2130</v>
      </c>
      <c r="B24" s="227" t="s">
        <v>2131</v>
      </c>
      <c r="C24" s="223" t="s">
        <v>2080</v>
      </c>
      <c r="D24" s="223" t="s">
        <v>2102</v>
      </c>
      <c r="E24" s="223" t="s">
        <v>2103</v>
      </c>
      <c r="F24" s="223" t="s">
        <v>2127</v>
      </c>
      <c r="G24" s="223" t="s">
        <v>2132</v>
      </c>
      <c r="H24" s="223">
        <v>6.9</v>
      </c>
      <c r="I24" s="223" t="s">
        <v>2106</v>
      </c>
      <c r="J24" s="224"/>
      <c r="K24" s="225">
        <f t="shared" si="1"/>
        <v>0</v>
      </c>
      <c r="L24" s="223" t="s">
        <v>2107</v>
      </c>
      <c r="M24" s="125"/>
      <c r="N24" s="125"/>
      <c r="O24" s="125"/>
    </row>
    <row r="25" ht="22.5" customHeight="1">
      <c r="A25" s="226" t="s">
        <v>2133</v>
      </c>
      <c r="B25" s="227" t="s">
        <v>2134</v>
      </c>
      <c r="C25" s="223" t="s">
        <v>2080</v>
      </c>
      <c r="D25" s="223" t="s">
        <v>2102</v>
      </c>
      <c r="E25" s="223" t="s">
        <v>2103</v>
      </c>
      <c r="F25" s="223" t="s">
        <v>2127</v>
      </c>
      <c r="G25" s="223" t="s">
        <v>2135</v>
      </c>
      <c r="H25" s="125"/>
      <c r="I25" s="223" t="s">
        <v>2106</v>
      </c>
      <c r="J25" s="224">
        <v>10.0</v>
      </c>
      <c r="K25" s="125" t="str">
        <f t="shared" si="1"/>
        <v/>
      </c>
      <c r="L25" s="223" t="s">
        <v>2112</v>
      </c>
      <c r="M25" s="125"/>
      <c r="N25" s="125"/>
      <c r="O25" s="125"/>
    </row>
    <row r="26" ht="22.5" customHeight="1">
      <c r="A26" s="226" t="s">
        <v>2136</v>
      </c>
      <c r="B26" s="227" t="s">
        <v>2137</v>
      </c>
      <c r="C26" s="223" t="s">
        <v>2080</v>
      </c>
      <c r="D26" s="223" t="s">
        <v>2102</v>
      </c>
      <c r="E26" s="223" t="s">
        <v>2103</v>
      </c>
      <c r="F26" s="223" t="s">
        <v>2127</v>
      </c>
      <c r="G26" s="223" t="s">
        <v>2138</v>
      </c>
      <c r="H26" s="223">
        <v>19.47</v>
      </c>
      <c r="I26" s="223" t="s">
        <v>2106</v>
      </c>
      <c r="J26" s="224">
        <v>10.0</v>
      </c>
      <c r="K26" s="225">
        <f t="shared" si="1"/>
        <v>194.7</v>
      </c>
      <c r="L26" s="223" t="s">
        <v>2112</v>
      </c>
      <c r="M26" s="125"/>
      <c r="N26" s="125"/>
      <c r="O26" s="125"/>
    </row>
    <row r="27" ht="22.5" customHeight="1">
      <c r="A27" s="226" t="s">
        <v>2139</v>
      </c>
      <c r="B27" s="227" t="s">
        <v>2140</v>
      </c>
      <c r="C27" s="223" t="s">
        <v>2080</v>
      </c>
      <c r="D27" s="223" t="s">
        <v>2102</v>
      </c>
      <c r="E27" s="223" t="s">
        <v>2103</v>
      </c>
      <c r="F27" s="223" t="s">
        <v>2127</v>
      </c>
      <c r="G27" s="223" t="s">
        <v>2141</v>
      </c>
      <c r="H27" s="223">
        <v>17.27</v>
      </c>
      <c r="I27" s="223" t="s">
        <v>2106</v>
      </c>
      <c r="J27" s="224">
        <v>10.0</v>
      </c>
      <c r="K27" s="225">
        <f t="shared" si="1"/>
        <v>172.7</v>
      </c>
      <c r="L27" s="223" t="s">
        <v>2112</v>
      </c>
      <c r="M27" s="125"/>
      <c r="N27" s="125"/>
      <c r="O27" s="125"/>
    </row>
    <row r="28" ht="22.5" customHeight="1">
      <c r="A28" s="226" t="s">
        <v>2142</v>
      </c>
      <c r="B28" s="227" t="s">
        <v>2143</v>
      </c>
      <c r="C28" s="223" t="s">
        <v>2080</v>
      </c>
      <c r="D28" s="223" t="s">
        <v>2102</v>
      </c>
      <c r="E28" s="223" t="s">
        <v>2103</v>
      </c>
      <c r="F28" s="223" t="s">
        <v>2127</v>
      </c>
      <c r="G28" s="223" t="s">
        <v>2144</v>
      </c>
      <c r="H28" s="223">
        <v>8.55</v>
      </c>
      <c r="I28" s="223" t="s">
        <v>2106</v>
      </c>
      <c r="J28" s="224">
        <v>10.0</v>
      </c>
      <c r="K28" s="225">
        <f t="shared" si="1"/>
        <v>85.5</v>
      </c>
      <c r="L28" s="223" t="s">
        <v>2112</v>
      </c>
      <c r="M28" s="125"/>
      <c r="N28" s="125"/>
      <c r="O28" s="125"/>
    </row>
    <row r="29" ht="22.5" customHeight="1">
      <c r="A29" s="226" t="s">
        <v>2145</v>
      </c>
      <c r="B29" s="227" t="s">
        <v>2146</v>
      </c>
      <c r="C29" s="223" t="s">
        <v>2080</v>
      </c>
      <c r="D29" s="223" t="s">
        <v>2102</v>
      </c>
      <c r="E29" s="223" t="s">
        <v>2103</v>
      </c>
      <c r="F29" s="223" t="s">
        <v>2127</v>
      </c>
      <c r="G29" s="223" t="s">
        <v>201</v>
      </c>
      <c r="H29" s="223">
        <v>20.15</v>
      </c>
      <c r="I29" s="223" t="s">
        <v>2106</v>
      </c>
      <c r="J29" s="224">
        <v>10.0</v>
      </c>
      <c r="K29" s="225">
        <f t="shared" si="1"/>
        <v>201.5</v>
      </c>
      <c r="L29" s="223" t="s">
        <v>2112</v>
      </c>
      <c r="M29" s="125"/>
      <c r="N29" s="125"/>
      <c r="O29" s="125"/>
    </row>
    <row r="30" ht="22.5" customHeight="1">
      <c r="A30" s="226" t="s">
        <v>2147</v>
      </c>
      <c r="B30" s="227" t="s">
        <v>2148</v>
      </c>
      <c r="C30" s="223" t="s">
        <v>2080</v>
      </c>
      <c r="D30" s="223" t="s">
        <v>2102</v>
      </c>
      <c r="E30" s="223" t="s">
        <v>2103</v>
      </c>
      <c r="F30" s="223" t="s">
        <v>2149</v>
      </c>
      <c r="G30" s="223" t="s">
        <v>2150</v>
      </c>
      <c r="H30" s="223">
        <v>1.13</v>
      </c>
      <c r="I30" s="223" t="s">
        <v>2106</v>
      </c>
      <c r="J30" s="224">
        <v>25.0</v>
      </c>
      <c r="K30" s="225">
        <f t="shared" si="1"/>
        <v>28.25</v>
      </c>
      <c r="L30" s="223" t="s">
        <v>2112</v>
      </c>
      <c r="M30" s="125"/>
      <c r="N30" s="125"/>
      <c r="O30" s="125"/>
    </row>
    <row r="31" ht="22.5" customHeight="1">
      <c r="A31" s="226" t="s">
        <v>2151</v>
      </c>
      <c r="B31" s="227" t="s">
        <v>2152</v>
      </c>
      <c r="C31" s="223" t="s">
        <v>2080</v>
      </c>
      <c r="D31" s="223" t="s">
        <v>2102</v>
      </c>
      <c r="E31" s="223" t="s">
        <v>2103</v>
      </c>
      <c r="F31" s="223" t="s">
        <v>2149</v>
      </c>
      <c r="G31" s="223" t="s">
        <v>2153</v>
      </c>
      <c r="H31" s="223">
        <v>5.59</v>
      </c>
      <c r="I31" s="223" t="s">
        <v>2106</v>
      </c>
      <c r="J31" s="224">
        <v>25.0</v>
      </c>
      <c r="K31" s="225">
        <f t="shared" si="1"/>
        <v>139.75</v>
      </c>
      <c r="L31" s="223" t="s">
        <v>2112</v>
      </c>
      <c r="M31" s="125"/>
      <c r="N31" s="125"/>
      <c r="O31" s="125"/>
    </row>
    <row r="32" ht="22.5" customHeight="1">
      <c r="A32" s="226" t="s">
        <v>2154</v>
      </c>
      <c r="B32" s="227" t="s">
        <v>2155</v>
      </c>
      <c r="C32" s="223" t="s">
        <v>2080</v>
      </c>
      <c r="D32" s="223" t="s">
        <v>2102</v>
      </c>
      <c r="E32" s="223" t="s">
        <v>2103</v>
      </c>
      <c r="F32" s="223" t="s">
        <v>2149</v>
      </c>
      <c r="G32" s="223" t="s">
        <v>2156</v>
      </c>
      <c r="H32" s="223">
        <v>1.47</v>
      </c>
      <c r="I32" s="223" t="s">
        <v>2106</v>
      </c>
      <c r="J32" s="224">
        <v>25.0</v>
      </c>
      <c r="K32" s="225">
        <f t="shared" si="1"/>
        <v>36.75</v>
      </c>
      <c r="L32" s="223" t="s">
        <v>2112</v>
      </c>
      <c r="M32" s="125"/>
      <c r="N32" s="125"/>
      <c r="O32" s="125"/>
    </row>
    <row r="33" ht="22.5" customHeight="1">
      <c r="A33" s="226" t="s">
        <v>2157</v>
      </c>
      <c r="B33" s="227" t="s">
        <v>2158</v>
      </c>
      <c r="C33" s="223" t="s">
        <v>2080</v>
      </c>
      <c r="D33" s="223" t="s">
        <v>2102</v>
      </c>
      <c r="E33" s="223" t="s">
        <v>2103</v>
      </c>
      <c r="F33" s="223" t="s">
        <v>2149</v>
      </c>
      <c r="G33" s="223" t="s">
        <v>2159</v>
      </c>
      <c r="H33" s="223">
        <v>5.81</v>
      </c>
      <c r="I33" s="223" t="s">
        <v>2106</v>
      </c>
      <c r="J33" s="224">
        <v>25.0</v>
      </c>
      <c r="K33" s="225">
        <f t="shared" si="1"/>
        <v>145.25</v>
      </c>
      <c r="L33" s="223" t="s">
        <v>2112</v>
      </c>
      <c r="M33" s="125"/>
      <c r="N33" s="125"/>
      <c r="O33" s="125"/>
    </row>
    <row r="34" ht="22.5" customHeight="1">
      <c r="A34" s="226" t="s">
        <v>2160</v>
      </c>
      <c r="B34" s="227" t="s">
        <v>2161</v>
      </c>
      <c r="C34" s="223" t="s">
        <v>2080</v>
      </c>
      <c r="D34" s="223" t="s">
        <v>2102</v>
      </c>
      <c r="E34" s="223" t="s">
        <v>2103</v>
      </c>
      <c r="F34" s="223" t="s">
        <v>2149</v>
      </c>
      <c r="G34" s="223" t="s">
        <v>201</v>
      </c>
      <c r="H34" s="223">
        <v>3.0</v>
      </c>
      <c r="I34" s="223" t="s">
        <v>1621</v>
      </c>
      <c r="J34" s="224">
        <v>25.0</v>
      </c>
      <c r="K34" s="225">
        <f t="shared" si="1"/>
        <v>75</v>
      </c>
      <c r="L34" s="223" t="s">
        <v>2112</v>
      </c>
      <c r="M34" s="125"/>
      <c r="N34" s="125"/>
      <c r="O34" s="125"/>
    </row>
    <row r="35" ht="22.5" customHeight="1">
      <c r="A35" s="226" t="s">
        <v>2162</v>
      </c>
      <c r="B35" s="227" t="s">
        <v>2163</v>
      </c>
      <c r="C35" s="223" t="s">
        <v>2080</v>
      </c>
      <c r="D35" s="223" t="s">
        <v>2102</v>
      </c>
      <c r="E35" s="223" t="s">
        <v>2103</v>
      </c>
      <c r="F35" s="223" t="s">
        <v>2149</v>
      </c>
      <c r="G35" s="223" t="s">
        <v>2164</v>
      </c>
      <c r="H35" s="223">
        <v>3.0</v>
      </c>
      <c r="I35" s="223" t="s">
        <v>1621</v>
      </c>
      <c r="J35" s="224">
        <v>25.0</v>
      </c>
      <c r="K35" s="225">
        <f t="shared" si="1"/>
        <v>75</v>
      </c>
      <c r="L35" s="223" t="s">
        <v>2112</v>
      </c>
      <c r="M35" s="125"/>
      <c r="N35" s="125"/>
      <c r="O35" s="125"/>
    </row>
    <row r="36" ht="22.5" customHeight="1">
      <c r="A36" s="226" t="s">
        <v>2165</v>
      </c>
      <c r="B36" s="227" t="s">
        <v>2166</v>
      </c>
      <c r="C36" s="223" t="s">
        <v>2080</v>
      </c>
      <c r="D36" s="223" t="s">
        <v>2102</v>
      </c>
      <c r="E36" s="223" t="s">
        <v>2103</v>
      </c>
      <c r="F36" s="223" t="s">
        <v>2149</v>
      </c>
      <c r="G36" s="223" t="s">
        <v>2167</v>
      </c>
      <c r="H36" s="223">
        <v>1.0</v>
      </c>
      <c r="I36" s="223" t="s">
        <v>1621</v>
      </c>
      <c r="J36" s="224">
        <v>25.0</v>
      </c>
      <c r="K36" s="225">
        <f t="shared" si="1"/>
        <v>25</v>
      </c>
      <c r="L36" s="223" t="s">
        <v>2112</v>
      </c>
      <c r="M36" s="125"/>
      <c r="N36" s="125"/>
      <c r="O36" s="125"/>
    </row>
    <row r="37" ht="22.5" customHeight="1">
      <c r="A37" s="226" t="s">
        <v>2168</v>
      </c>
      <c r="B37" s="227" t="s">
        <v>2169</v>
      </c>
      <c r="C37" s="223" t="s">
        <v>2080</v>
      </c>
      <c r="D37" s="223" t="s">
        <v>2102</v>
      </c>
      <c r="E37" s="223" t="s">
        <v>2103</v>
      </c>
      <c r="F37" s="223" t="s">
        <v>2149</v>
      </c>
      <c r="G37" s="223" t="s">
        <v>317</v>
      </c>
      <c r="H37" s="223">
        <v>1.0</v>
      </c>
      <c r="I37" s="223" t="s">
        <v>1621</v>
      </c>
      <c r="J37" s="224">
        <v>25.0</v>
      </c>
      <c r="K37" s="225">
        <f t="shared" si="1"/>
        <v>25</v>
      </c>
      <c r="L37" s="223" t="s">
        <v>2112</v>
      </c>
      <c r="M37" s="125"/>
      <c r="N37" s="125"/>
      <c r="O37" s="125"/>
    </row>
    <row r="38" ht="22.5" customHeight="1">
      <c r="A38" s="226" t="s">
        <v>2170</v>
      </c>
      <c r="B38" s="227" t="s">
        <v>2171</v>
      </c>
      <c r="C38" s="223" t="s">
        <v>2080</v>
      </c>
      <c r="D38" s="223" t="s">
        <v>2102</v>
      </c>
      <c r="E38" s="223" t="s">
        <v>2103</v>
      </c>
      <c r="F38" s="223" t="s">
        <v>2149</v>
      </c>
      <c r="G38" s="223" t="s">
        <v>2172</v>
      </c>
      <c r="H38" s="223">
        <v>1.0</v>
      </c>
      <c r="I38" s="223" t="s">
        <v>1621</v>
      </c>
      <c r="J38" s="224">
        <v>25.0</v>
      </c>
      <c r="K38" s="225">
        <f t="shared" si="1"/>
        <v>25</v>
      </c>
      <c r="L38" s="223" t="s">
        <v>2112</v>
      </c>
      <c r="M38" s="125"/>
      <c r="N38" s="125"/>
      <c r="O38" s="125"/>
    </row>
    <row r="39" ht="22.5" customHeight="1">
      <c r="A39" s="226" t="s">
        <v>2173</v>
      </c>
      <c r="B39" s="227" t="s">
        <v>2174</v>
      </c>
      <c r="C39" s="223" t="s">
        <v>2080</v>
      </c>
      <c r="D39" s="223" t="s">
        <v>2102</v>
      </c>
      <c r="E39" s="223" t="s">
        <v>2103</v>
      </c>
      <c r="F39" s="223" t="s">
        <v>2149</v>
      </c>
      <c r="G39" s="223" t="s">
        <v>2175</v>
      </c>
      <c r="H39" s="223">
        <v>1.0</v>
      </c>
      <c r="I39" s="223" t="s">
        <v>1621</v>
      </c>
      <c r="J39" s="224">
        <v>25.0</v>
      </c>
      <c r="K39" s="225">
        <f t="shared" si="1"/>
        <v>25</v>
      </c>
      <c r="L39" s="223" t="s">
        <v>2112</v>
      </c>
      <c r="M39" s="125"/>
      <c r="N39" s="125"/>
      <c r="O39" s="125"/>
    </row>
    <row r="40" ht="22.5" customHeight="1">
      <c r="A40" s="226" t="s">
        <v>2176</v>
      </c>
      <c r="B40" s="227" t="s">
        <v>2177</v>
      </c>
      <c r="C40" s="223" t="s">
        <v>2080</v>
      </c>
      <c r="D40" s="223" t="s">
        <v>2102</v>
      </c>
      <c r="E40" s="223" t="s">
        <v>2103</v>
      </c>
      <c r="F40" s="223" t="s">
        <v>2149</v>
      </c>
      <c r="G40" s="223" t="s">
        <v>2121</v>
      </c>
      <c r="H40" s="223">
        <v>1.0</v>
      </c>
      <c r="I40" s="223" t="s">
        <v>1621</v>
      </c>
      <c r="J40" s="224">
        <v>25.0</v>
      </c>
      <c r="K40" s="225">
        <f t="shared" si="1"/>
        <v>25</v>
      </c>
      <c r="L40" s="223" t="s">
        <v>2112</v>
      </c>
      <c r="M40" s="125"/>
      <c r="N40" s="125"/>
      <c r="O40" s="125"/>
    </row>
    <row r="41" ht="22.5" customHeight="1">
      <c r="A41" s="226" t="s">
        <v>2178</v>
      </c>
      <c r="B41" s="227" t="s">
        <v>2179</v>
      </c>
      <c r="C41" s="223" t="s">
        <v>2080</v>
      </c>
      <c r="D41" s="223" t="s">
        <v>2102</v>
      </c>
      <c r="E41" s="223" t="s">
        <v>2103</v>
      </c>
      <c r="F41" s="223" t="s">
        <v>2180</v>
      </c>
      <c r="G41" s="223" t="s">
        <v>2181</v>
      </c>
      <c r="H41" s="223">
        <v>1.74</v>
      </c>
      <c r="I41" s="223" t="s">
        <v>2106</v>
      </c>
      <c r="J41" s="224">
        <v>10.0</v>
      </c>
      <c r="K41" s="225">
        <f t="shared" si="1"/>
        <v>17.4</v>
      </c>
      <c r="L41" s="223" t="s">
        <v>2112</v>
      </c>
      <c r="M41" s="125"/>
      <c r="N41" s="125"/>
      <c r="O41" s="125"/>
    </row>
    <row r="42" ht="22.5" customHeight="1">
      <c r="A42" s="226" t="s">
        <v>2182</v>
      </c>
      <c r="B42" s="227" t="s">
        <v>2183</v>
      </c>
      <c r="C42" s="223" t="s">
        <v>2080</v>
      </c>
      <c r="D42" s="223" t="s">
        <v>2102</v>
      </c>
      <c r="E42" s="223" t="s">
        <v>2103</v>
      </c>
      <c r="F42" s="223" t="s">
        <v>2180</v>
      </c>
      <c r="G42" s="223" t="s">
        <v>2184</v>
      </c>
      <c r="H42" s="223">
        <v>3.42</v>
      </c>
      <c r="I42" s="223" t="s">
        <v>2106</v>
      </c>
      <c r="J42" s="224">
        <v>10.0</v>
      </c>
      <c r="K42" s="225">
        <f t="shared" si="1"/>
        <v>34.2</v>
      </c>
      <c r="L42" s="223" t="s">
        <v>2112</v>
      </c>
      <c r="M42" s="125"/>
      <c r="N42" s="125"/>
      <c r="O42" s="125"/>
    </row>
    <row r="43" ht="22.5" customHeight="1">
      <c r="A43" s="226" t="s">
        <v>2185</v>
      </c>
      <c r="B43" s="227" t="s">
        <v>2186</v>
      </c>
      <c r="C43" s="223" t="s">
        <v>2080</v>
      </c>
      <c r="D43" s="223" t="s">
        <v>2102</v>
      </c>
      <c r="E43" s="223" t="s">
        <v>2103</v>
      </c>
      <c r="F43" s="223" t="s">
        <v>2180</v>
      </c>
      <c r="G43" s="223" t="s">
        <v>2187</v>
      </c>
      <c r="H43" s="223">
        <v>8.0</v>
      </c>
      <c r="I43" s="223" t="s">
        <v>2106</v>
      </c>
      <c r="J43" s="224">
        <v>10.0</v>
      </c>
      <c r="K43" s="225">
        <f t="shared" si="1"/>
        <v>80</v>
      </c>
      <c r="L43" s="223" t="s">
        <v>2112</v>
      </c>
      <c r="M43" s="125"/>
      <c r="N43" s="125"/>
      <c r="O43" s="125"/>
    </row>
    <row r="44" ht="22.5" customHeight="1">
      <c r="A44" s="226" t="s">
        <v>2188</v>
      </c>
      <c r="B44" s="227" t="s">
        <v>2189</v>
      </c>
      <c r="C44" s="223" t="s">
        <v>2080</v>
      </c>
      <c r="D44" s="223" t="s">
        <v>2102</v>
      </c>
      <c r="E44" s="223" t="s">
        <v>2103</v>
      </c>
      <c r="F44" s="223" t="s">
        <v>2180</v>
      </c>
      <c r="G44" s="223" t="s">
        <v>2190</v>
      </c>
      <c r="H44" s="223">
        <v>7.68</v>
      </c>
      <c r="I44" s="223" t="s">
        <v>2106</v>
      </c>
      <c r="J44" s="224">
        <v>10.0</v>
      </c>
      <c r="K44" s="225">
        <f t="shared" si="1"/>
        <v>76.8</v>
      </c>
      <c r="L44" s="223" t="s">
        <v>2112</v>
      </c>
      <c r="M44" s="125"/>
      <c r="N44" s="125"/>
      <c r="O44" s="125"/>
    </row>
    <row r="45" ht="22.5" customHeight="1">
      <c r="A45" s="226" t="s">
        <v>2191</v>
      </c>
      <c r="B45" s="227" t="s">
        <v>210</v>
      </c>
      <c r="C45" s="223" t="s">
        <v>2192</v>
      </c>
      <c r="D45" s="223" t="s">
        <v>2081</v>
      </c>
      <c r="E45" s="223" t="s">
        <v>2082</v>
      </c>
      <c r="F45" s="223" t="s">
        <v>208</v>
      </c>
      <c r="G45" s="223" t="s">
        <v>209</v>
      </c>
      <c r="H45" s="223">
        <v>22.0</v>
      </c>
      <c r="I45" s="223" t="s">
        <v>1621</v>
      </c>
      <c r="J45" s="224">
        <v>52.5</v>
      </c>
      <c r="K45" s="225">
        <f t="shared" si="1"/>
        <v>1155</v>
      </c>
      <c r="L45" s="223" t="s">
        <v>2193</v>
      </c>
      <c r="M45" s="125"/>
      <c r="N45" s="125"/>
      <c r="O45" s="125"/>
    </row>
    <row r="46" ht="22.5" customHeight="1">
      <c r="A46" s="226" t="s">
        <v>2194</v>
      </c>
      <c r="B46" s="227" t="s">
        <v>213</v>
      </c>
      <c r="C46" s="223" t="s">
        <v>2192</v>
      </c>
      <c r="D46" s="223" t="s">
        <v>2081</v>
      </c>
      <c r="E46" s="223" t="s">
        <v>2082</v>
      </c>
      <c r="F46" s="223" t="s">
        <v>211</v>
      </c>
      <c r="G46" s="223" t="s">
        <v>212</v>
      </c>
      <c r="H46" s="223">
        <v>24.0</v>
      </c>
      <c r="I46" s="223" t="s">
        <v>1621</v>
      </c>
      <c r="J46" s="224">
        <v>4.0</v>
      </c>
      <c r="K46" s="225">
        <f t="shared" si="1"/>
        <v>96</v>
      </c>
      <c r="L46" s="223" t="s">
        <v>2193</v>
      </c>
      <c r="M46" s="125"/>
      <c r="N46" s="125"/>
      <c r="O46" s="125"/>
    </row>
    <row r="47" ht="22.5" customHeight="1">
      <c r="A47" s="226" t="s">
        <v>2195</v>
      </c>
      <c r="B47" s="227" t="s">
        <v>215</v>
      </c>
      <c r="C47" s="223" t="s">
        <v>2192</v>
      </c>
      <c r="D47" s="223" t="s">
        <v>2081</v>
      </c>
      <c r="E47" s="223" t="s">
        <v>2082</v>
      </c>
      <c r="F47" s="223" t="s">
        <v>211</v>
      </c>
      <c r="G47" s="223" t="s">
        <v>214</v>
      </c>
      <c r="H47" s="223">
        <v>25.0</v>
      </c>
      <c r="I47" s="223" t="s">
        <v>1621</v>
      </c>
      <c r="J47" s="224">
        <v>4.0</v>
      </c>
      <c r="K47" s="225">
        <f t="shared" si="1"/>
        <v>100</v>
      </c>
      <c r="L47" s="223" t="s">
        <v>2193</v>
      </c>
      <c r="M47" s="125"/>
      <c r="N47" s="125"/>
      <c r="O47" s="125"/>
    </row>
    <row r="48" ht="22.5" customHeight="1">
      <c r="A48" s="226" t="s">
        <v>2196</v>
      </c>
      <c r="B48" s="227" t="s">
        <v>217</v>
      </c>
      <c r="C48" s="223" t="s">
        <v>2192</v>
      </c>
      <c r="D48" s="223" t="s">
        <v>2081</v>
      </c>
      <c r="E48" s="223" t="s">
        <v>2082</v>
      </c>
      <c r="F48" s="223" t="s">
        <v>211</v>
      </c>
      <c r="G48" s="223" t="s">
        <v>216</v>
      </c>
      <c r="H48" s="223">
        <v>22.0</v>
      </c>
      <c r="I48" s="223" t="s">
        <v>1621</v>
      </c>
      <c r="J48" s="224">
        <v>4.0</v>
      </c>
      <c r="K48" s="225">
        <f t="shared" si="1"/>
        <v>88</v>
      </c>
      <c r="L48" s="223" t="s">
        <v>2193</v>
      </c>
      <c r="M48" s="125"/>
      <c r="N48" s="125"/>
      <c r="O48" s="125"/>
    </row>
    <row r="49" ht="22.5" customHeight="1">
      <c r="A49" s="226" t="s">
        <v>2197</v>
      </c>
      <c r="B49" s="227" t="s">
        <v>219</v>
      </c>
      <c r="C49" s="223" t="s">
        <v>2192</v>
      </c>
      <c r="D49" s="223" t="s">
        <v>2081</v>
      </c>
      <c r="E49" s="223" t="s">
        <v>2082</v>
      </c>
      <c r="F49" s="223" t="s">
        <v>211</v>
      </c>
      <c r="G49" s="223" t="s">
        <v>218</v>
      </c>
      <c r="H49" s="223">
        <v>5.0</v>
      </c>
      <c r="I49" s="223" t="s">
        <v>1621</v>
      </c>
      <c r="J49" s="224">
        <v>4.0</v>
      </c>
      <c r="K49" s="225">
        <f t="shared" si="1"/>
        <v>20</v>
      </c>
      <c r="L49" s="223" t="s">
        <v>2193</v>
      </c>
      <c r="M49" s="125"/>
      <c r="N49" s="125"/>
      <c r="O49" s="125"/>
    </row>
    <row r="50" ht="22.5" customHeight="1">
      <c r="A50" s="226" t="s">
        <v>2198</v>
      </c>
      <c r="B50" s="227" t="s">
        <v>221</v>
      </c>
      <c r="C50" s="223" t="s">
        <v>2199</v>
      </c>
      <c r="D50" s="223" t="s">
        <v>2081</v>
      </c>
      <c r="E50" s="223" t="s">
        <v>2082</v>
      </c>
      <c r="F50" s="223" t="s">
        <v>162</v>
      </c>
      <c r="G50" s="223" t="s">
        <v>220</v>
      </c>
      <c r="H50" s="228">
        <v>8.0</v>
      </c>
      <c r="I50" s="223" t="s">
        <v>1621</v>
      </c>
      <c r="J50" s="229">
        <v>20.0</v>
      </c>
      <c r="K50" s="225">
        <f t="shared" si="1"/>
        <v>160</v>
      </c>
      <c r="L50" s="223" t="s">
        <v>2083</v>
      </c>
      <c r="M50" s="125"/>
      <c r="N50" s="125"/>
      <c r="O50" s="125"/>
    </row>
    <row r="51" ht="22.5" customHeight="1">
      <c r="A51" s="226" t="s">
        <v>2200</v>
      </c>
      <c r="B51" s="227" t="s">
        <v>223</v>
      </c>
      <c r="C51" s="230">
        <v>46082.0</v>
      </c>
      <c r="D51" s="223" t="s">
        <v>2081</v>
      </c>
      <c r="E51" s="223" t="s">
        <v>2082</v>
      </c>
      <c r="F51" s="223" t="s">
        <v>162</v>
      </c>
      <c r="G51" s="223" t="s">
        <v>222</v>
      </c>
      <c r="H51" s="228"/>
      <c r="I51" s="223" t="s">
        <v>1621</v>
      </c>
      <c r="J51" s="229">
        <v>20.0</v>
      </c>
      <c r="K51" s="125" t="str">
        <f t="shared" si="1"/>
        <v/>
      </c>
      <c r="L51" s="223" t="s">
        <v>2083</v>
      </c>
      <c r="M51" s="125"/>
      <c r="N51" s="223" t="s">
        <v>2201</v>
      </c>
      <c r="O51" s="125"/>
    </row>
    <row r="52" ht="22.5" customHeight="1">
      <c r="A52" s="226" t="s">
        <v>2202</v>
      </c>
      <c r="B52" s="227" t="s">
        <v>225</v>
      </c>
      <c r="C52" s="230">
        <v>46082.0</v>
      </c>
      <c r="D52" s="223" t="s">
        <v>2081</v>
      </c>
      <c r="E52" s="223" t="s">
        <v>2082</v>
      </c>
      <c r="F52" s="223" t="s">
        <v>162</v>
      </c>
      <c r="G52" s="223" t="s">
        <v>224</v>
      </c>
      <c r="H52" s="228"/>
      <c r="I52" s="223" t="s">
        <v>1621</v>
      </c>
      <c r="J52" s="229">
        <v>20.0</v>
      </c>
      <c r="K52" s="125" t="str">
        <f t="shared" si="1"/>
        <v/>
      </c>
      <c r="L52" s="223" t="s">
        <v>2083</v>
      </c>
      <c r="M52" s="125"/>
      <c r="N52" s="223" t="s">
        <v>2201</v>
      </c>
      <c r="O52" s="125"/>
    </row>
    <row r="53" ht="22.5" customHeight="1">
      <c r="A53" s="226" t="s">
        <v>2203</v>
      </c>
      <c r="B53" s="227" t="s">
        <v>227</v>
      </c>
      <c r="C53" s="230">
        <v>46082.0</v>
      </c>
      <c r="D53" s="223" t="s">
        <v>2081</v>
      </c>
      <c r="E53" s="223" t="s">
        <v>2082</v>
      </c>
      <c r="F53" s="223" t="s">
        <v>162</v>
      </c>
      <c r="G53" s="223" t="s">
        <v>226</v>
      </c>
      <c r="H53" s="228"/>
      <c r="I53" s="223" t="s">
        <v>1621</v>
      </c>
      <c r="J53" s="229">
        <v>20.0</v>
      </c>
      <c r="K53" s="125" t="str">
        <f t="shared" si="1"/>
        <v/>
      </c>
      <c r="L53" s="223" t="s">
        <v>2083</v>
      </c>
      <c r="M53" s="125"/>
      <c r="N53" s="125"/>
      <c r="O53" s="125"/>
    </row>
    <row r="54" ht="22.5" customHeight="1">
      <c r="A54" s="226" t="s">
        <v>2204</v>
      </c>
      <c r="B54" s="227" t="s">
        <v>2205</v>
      </c>
      <c r="C54" s="230">
        <v>46084.0</v>
      </c>
      <c r="D54" s="223" t="s">
        <v>2102</v>
      </c>
      <c r="E54" s="223" t="s">
        <v>2206</v>
      </c>
      <c r="F54" s="223" t="s">
        <v>2207</v>
      </c>
      <c r="G54" s="223" t="s">
        <v>2115</v>
      </c>
      <c r="H54" s="228">
        <v>1.0</v>
      </c>
      <c r="I54" s="223" t="s">
        <v>2208</v>
      </c>
      <c r="J54" s="229">
        <v>7.0</v>
      </c>
      <c r="K54" s="225">
        <f t="shared" si="1"/>
        <v>7</v>
      </c>
      <c r="L54" s="223" t="s">
        <v>2209</v>
      </c>
      <c r="M54" s="125"/>
      <c r="N54" s="125"/>
      <c r="O54" s="223">
        <v>0.0</v>
      </c>
    </row>
    <row r="55" ht="22.5" customHeight="1">
      <c r="A55" s="226" t="s">
        <v>2210</v>
      </c>
      <c r="B55" s="227" t="s">
        <v>229</v>
      </c>
      <c r="C55" s="230">
        <v>46082.0</v>
      </c>
      <c r="D55" s="223" t="s">
        <v>2081</v>
      </c>
      <c r="E55" s="223" t="s">
        <v>2082</v>
      </c>
      <c r="F55" s="223" t="s">
        <v>162</v>
      </c>
      <c r="G55" s="223" t="s">
        <v>228</v>
      </c>
      <c r="H55" s="228"/>
      <c r="I55" s="223" t="s">
        <v>1621</v>
      </c>
      <c r="J55" s="229">
        <v>20.0</v>
      </c>
      <c r="K55" s="125" t="str">
        <f t="shared" si="1"/>
        <v/>
      </c>
      <c r="L55" s="223" t="s">
        <v>2083</v>
      </c>
      <c r="M55" s="125"/>
      <c r="N55" s="125"/>
      <c r="O55" s="125"/>
    </row>
    <row r="56" ht="22.5" customHeight="1">
      <c r="A56" s="226" t="s">
        <v>2211</v>
      </c>
      <c r="B56" s="227" t="s">
        <v>231</v>
      </c>
      <c r="C56" s="223" t="s">
        <v>2199</v>
      </c>
      <c r="D56" s="223" t="s">
        <v>2081</v>
      </c>
      <c r="E56" s="223" t="s">
        <v>2082</v>
      </c>
      <c r="F56" s="223" t="s">
        <v>162</v>
      </c>
      <c r="G56" s="223" t="s">
        <v>230</v>
      </c>
      <c r="H56" s="228">
        <v>7.0</v>
      </c>
      <c r="I56" s="223" t="s">
        <v>1621</v>
      </c>
      <c r="J56" s="229">
        <v>20.0</v>
      </c>
      <c r="K56" s="225">
        <f t="shared" si="1"/>
        <v>140</v>
      </c>
      <c r="L56" s="223" t="s">
        <v>2083</v>
      </c>
      <c r="M56" s="125"/>
      <c r="N56" s="125"/>
      <c r="O56" s="125"/>
    </row>
    <row r="57" ht="22.5" customHeight="1">
      <c r="A57" s="221" t="s">
        <v>2212</v>
      </c>
      <c r="B57" s="222" t="s">
        <v>2213</v>
      </c>
      <c r="C57" s="230">
        <v>46084.0</v>
      </c>
      <c r="D57" s="223" t="s">
        <v>2102</v>
      </c>
      <c r="E57" s="223" t="s">
        <v>2214</v>
      </c>
      <c r="F57" s="223" t="s">
        <v>2207</v>
      </c>
      <c r="G57" s="223" t="s">
        <v>2187</v>
      </c>
      <c r="H57" s="228">
        <v>3.0</v>
      </c>
      <c r="I57" s="223" t="s">
        <v>2208</v>
      </c>
      <c r="J57" s="229">
        <v>7.0</v>
      </c>
      <c r="K57" s="231">
        <v>21.0</v>
      </c>
      <c r="L57" s="223" t="s">
        <v>2209</v>
      </c>
      <c r="M57" s="125"/>
      <c r="N57" s="223"/>
      <c r="O57" s="223">
        <v>0.0</v>
      </c>
    </row>
    <row r="58" ht="22.5" customHeight="1">
      <c r="A58" s="221" t="s">
        <v>2215</v>
      </c>
      <c r="B58" s="222" t="s">
        <v>2216</v>
      </c>
      <c r="C58" s="230">
        <v>46084.0</v>
      </c>
      <c r="D58" s="223" t="s">
        <v>2102</v>
      </c>
      <c r="E58" s="223" t="s">
        <v>2214</v>
      </c>
      <c r="F58" s="223" t="s">
        <v>2207</v>
      </c>
      <c r="G58" s="223" t="s">
        <v>2184</v>
      </c>
      <c r="H58" s="228">
        <v>3.0</v>
      </c>
      <c r="I58" s="223" t="s">
        <v>2208</v>
      </c>
      <c r="J58" s="229">
        <v>7.0</v>
      </c>
      <c r="K58" s="231">
        <v>21.0</v>
      </c>
      <c r="L58" s="223" t="s">
        <v>2209</v>
      </c>
      <c r="M58" s="125"/>
      <c r="N58" s="223"/>
      <c r="O58" s="223">
        <v>0.0</v>
      </c>
    </row>
    <row r="59" ht="22.5" customHeight="1">
      <c r="A59" s="221" t="s">
        <v>2217</v>
      </c>
      <c r="B59" s="222" t="s">
        <v>2218</v>
      </c>
      <c r="C59" s="230">
        <v>46084.0</v>
      </c>
      <c r="D59" s="223" t="s">
        <v>2102</v>
      </c>
      <c r="E59" s="223" t="s">
        <v>2214</v>
      </c>
      <c r="F59" s="223" t="s">
        <v>2207</v>
      </c>
      <c r="G59" s="223" t="s">
        <v>2219</v>
      </c>
      <c r="H59" s="228">
        <v>3.0</v>
      </c>
      <c r="I59" s="223" t="s">
        <v>2208</v>
      </c>
      <c r="J59" s="229">
        <v>7.0</v>
      </c>
      <c r="K59" s="231">
        <v>21.0</v>
      </c>
      <c r="L59" s="223" t="s">
        <v>2209</v>
      </c>
      <c r="M59" s="125"/>
      <c r="N59" s="223"/>
      <c r="O59" s="223">
        <v>0.0</v>
      </c>
    </row>
    <row r="60" ht="22.5" customHeight="1">
      <c r="A60" s="221" t="s">
        <v>2220</v>
      </c>
      <c r="B60" s="222" t="s">
        <v>2221</v>
      </c>
      <c r="C60" s="230">
        <v>46084.0</v>
      </c>
      <c r="D60" s="223" t="s">
        <v>2102</v>
      </c>
      <c r="E60" s="223" t="s">
        <v>2082</v>
      </c>
      <c r="F60" s="223" t="s">
        <v>2207</v>
      </c>
      <c r="G60" s="223" t="s">
        <v>2222</v>
      </c>
      <c r="H60" s="228">
        <v>2.0</v>
      </c>
      <c r="I60" s="223" t="s">
        <v>2208</v>
      </c>
      <c r="J60" s="229">
        <v>7.0</v>
      </c>
      <c r="K60" s="231">
        <v>14.0</v>
      </c>
      <c r="L60" s="223" t="s">
        <v>2209</v>
      </c>
      <c r="M60" s="125"/>
      <c r="N60" s="223"/>
      <c r="O60" s="223">
        <v>0.0</v>
      </c>
    </row>
    <row r="61" ht="22.5" customHeight="1">
      <c r="A61" s="221" t="s">
        <v>2223</v>
      </c>
      <c r="B61" s="222" t="s">
        <v>2224</v>
      </c>
      <c r="C61" s="230">
        <v>46084.0</v>
      </c>
      <c r="D61" s="223" t="s">
        <v>2102</v>
      </c>
      <c r="E61" s="223" t="s">
        <v>2214</v>
      </c>
      <c r="F61" s="223" t="s">
        <v>2207</v>
      </c>
      <c r="G61" s="223" t="s">
        <v>2225</v>
      </c>
      <c r="H61" s="228">
        <v>2.0</v>
      </c>
      <c r="I61" s="223" t="s">
        <v>2208</v>
      </c>
      <c r="J61" s="229">
        <v>7.0</v>
      </c>
      <c r="K61" s="231">
        <v>14.0</v>
      </c>
      <c r="L61" s="223" t="s">
        <v>2209</v>
      </c>
      <c r="M61" s="125"/>
      <c r="N61" s="223"/>
      <c r="O61" s="223">
        <v>0.0</v>
      </c>
    </row>
    <row r="62" ht="22.5" customHeight="1">
      <c r="A62" s="221" t="s">
        <v>2226</v>
      </c>
      <c r="B62" s="222" t="s">
        <v>2227</v>
      </c>
      <c r="C62" s="230">
        <v>46084.0</v>
      </c>
      <c r="D62" s="223" t="s">
        <v>2102</v>
      </c>
      <c r="E62" s="223" t="s">
        <v>2102</v>
      </c>
      <c r="F62" s="223" t="s">
        <v>2207</v>
      </c>
      <c r="G62" s="223" t="s">
        <v>2228</v>
      </c>
      <c r="H62" s="228">
        <v>1.0</v>
      </c>
      <c r="I62" s="223" t="s">
        <v>2208</v>
      </c>
      <c r="J62" s="229">
        <v>7.0</v>
      </c>
      <c r="K62" s="231">
        <v>7.0</v>
      </c>
      <c r="L62" s="223" t="s">
        <v>2209</v>
      </c>
      <c r="M62" s="125"/>
      <c r="N62" s="223"/>
      <c r="O62" s="223">
        <v>0.0</v>
      </c>
    </row>
    <row r="63" ht="22.5" customHeight="1">
      <c r="A63" s="221" t="s">
        <v>2229</v>
      </c>
      <c r="B63" s="222" t="s">
        <v>2230</v>
      </c>
      <c r="C63" s="230">
        <v>46084.0</v>
      </c>
      <c r="D63" s="223" t="s">
        <v>2102</v>
      </c>
      <c r="E63" s="223" t="s">
        <v>2214</v>
      </c>
      <c r="F63" s="223" t="s">
        <v>2231</v>
      </c>
      <c r="G63" s="223" t="s">
        <v>2219</v>
      </c>
      <c r="H63" s="228">
        <v>1.0</v>
      </c>
      <c r="I63" s="223" t="s">
        <v>2208</v>
      </c>
      <c r="J63" s="229">
        <v>21.0</v>
      </c>
      <c r="K63" s="231">
        <v>21.0</v>
      </c>
      <c r="L63" s="223" t="s">
        <v>2209</v>
      </c>
      <c r="M63" s="125"/>
      <c r="N63" s="223" t="s">
        <v>2232</v>
      </c>
      <c r="O63" s="223">
        <v>0.0</v>
      </c>
    </row>
    <row r="64" ht="22.5" customHeight="1">
      <c r="A64" s="221" t="s">
        <v>2233</v>
      </c>
      <c r="B64" s="222" t="s">
        <v>2234</v>
      </c>
      <c r="C64" s="230">
        <v>46084.0</v>
      </c>
      <c r="D64" s="223" t="s">
        <v>2102</v>
      </c>
      <c r="E64" s="223" t="s">
        <v>2214</v>
      </c>
      <c r="F64" s="223" t="s">
        <v>2231</v>
      </c>
      <c r="G64" s="223" t="s">
        <v>2184</v>
      </c>
      <c r="H64" s="228">
        <v>1.0</v>
      </c>
      <c r="I64" s="223" t="s">
        <v>2208</v>
      </c>
      <c r="J64" s="229">
        <v>21.0</v>
      </c>
      <c r="K64" s="231">
        <v>21.0</v>
      </c>
      <c r="L64" s="223" t="s">
        <v>2209</v>
      </c>
      <c r="M64" s="125"/>
      <c r="N64" s="223" t="s">
        <v>2235</v>
      </c>
      <c r="O64" s="223">
        <v>0.0</v>
      </c>
    </row>
    <row r="65" ht="22.5" customHeight="1">
      <c r="A65" s="221" t="s">
        <v>2236</v>
      </c>
      <c r="B65" s="222" t="s">
        <v>2237</v>
      </c>
      <c r="C65" s="230">
        <v>46084.0</v>
      </c>
      <c r="D65" s="223" t="s">
        <v>2102</v>
      </c>
      <c r="E65" s="223" t="s">
        <v>2238</v>
      </c>
      <c r="F65" s="223" t="s">
        <v>2239</v>
      </c>
      <c r="G65" s="223" t="s">
        <v>2240</v>
      </c>
      <c r="H65" s="228">
        <v>250.0</v>
      </c>
      <c r="I65" s="223" t="s">
        <v>2208</v>
      </c>
      <c r="J65" s="229">
        <v>0.25</v>
      </c>
      <c r="K65" s="231">
        <v>62.5</v>
      </c>
      <c r="L65" s="223" t="s">
        <v>2241</v>
      </c>
      <c r="M65" s="125"/>
      <c r="N65" s="223"/>
      <c r="O65" s="223">
        <v>0.0</v>
      </c>
    </row>
    <row r="66" ht="22.5" customHeight="1">
      <c r="A66" s="221" t="s">
        <v>2242</v>
      </c>
      <c r="B66" s="222" t="s">
        <v>2243</v>
      </c>
      <c r="C66" s="230">
        <v>46084.0</v>
      </c>
      <c r="D66" s="223" t="s">
        <v>2102</v>
      </c>
      <c r="E66" s="223" t="s">
        <v>2238</v>
      </c>
      <c r="F66" s="223" t="s">
        <v>2239</v>
      </c>
      <c r="G66" s="223" t="s">
        <v>2244</v>
      </c>
      <c r="H66" s="228">
        <v>50.0</v>
      </c>
      <c r="I66" s="223" t="s">
        <v>2208</v>
      </c>
      <c r="J66" s="229">
        <v>0.25</v>
      </c>
      <c r="K66" s="231">
        <v>12.5</v>
      </c>
      <c r="L66" s="223" t="s">
        <v>2241</v>
      </c>
      <c r="M66" s="125"/>
      <c r="N66" s="223"/>
      <c r="O66" s="223">
        <v>0.0</v>
      </c>
    </row>
    <row r="67" ht="22.5" customHeight="1">
      <c r="A67" s="221" t="s">
        <v>2245</v>
      </c>
      <c r="B67" s="222" t="s">
        <v>2246</v>
      </c>
      <c r="C67" s="230">
        <v>46084.0</v>
      </c>
      <c r="D67" s="223" t="s">
        <v>2102</v>
      </c>
      <c r="E67" s="223" t="s">
        <v>2238</v>
      </c>
      <c r="F67" s="223" t="s">
        <v>2239</v>
      </c>
      <c r="G67" s="223" t="s">
        <v>2247</v>
      </c>
      <c r="H67" s="228">
        <v>100.0</v>
      </c>
      <c r="I67" s="223" t="s">
        <v>2208</v>
      </c>
      <c r="J67" s="229">
        <v>0.25</v>
      </c>
      <c r="K67" s="231">
        <v>18.75</v>
      </c>
      <c r="L67" s="223" t="s">
        <v>2241</v>
      </c>
      <c r="M67" s="125"/>
      <c r="N67" s="223"/>
      <c r="O67" s="223">
        <v>0.0</v>
      </c>
    </row>
    <row r="68" ht="22.5" customHeight="1">
      <c r="A68" s="221" t="s">
        <v>2248</v>
      </c>
      <c r="B68" s="222" t="s">
        <v>2249</v>
      </c>
      <c r="C68" s="230">
        <v>46084.0</v>
      </c>
      <c r="D68" s="223" t="s">
        <v>2102</v>
      </c>
      <c r="E68" s="223" t="s">
        <v>2238</v>
      </c>
      <c r="F68" s="223" t="s">
        <v>2239</v>
      </c>
      <c r="G68" s="223" t="s">
        <v>2250</v>
      </c>
      <c r="H68" s="228">
        <v>100.0</v>
      </c>
      <c r="I68" s="223" t="s">
        <v>2208</v>
      </c>
      <c r="J68" s="229">
        <v>0.25</v>
      </c>
      <c r="K68" s="231">
        <v>25.0</v>
      </c>
      <c r="L68" s="223" t="s">
        <v>2241</v>
      </c>
      <c r="M68" s="125"/>
      <c r="N68" s="223"/>
      <c r="O68" s="223">
        <v>0.0</v>
      </c>
    </row>
    <row r="69" ht="22.5" customHeight="1">
      <c r="A69" s="221" t="s">
        <v>2251</v>
      </c>
      <c r="B69" s="222" t="s">
        <v>2252</v>
      </c>
      <c r="C69" s="230">
        <v>46084.0</v>
      </c>
      <c r="D69" s="223" t="s">
        <v>2102</v>
      </c>
      <c r="E69" s="223" t="s">
        <v>2238</v>
      </c>
      <c r="F69" s="223" t="s">
        <v>2239</v>
      </c>
      <c r="G69" s="223" t="s">
        <v>2253</v>
      </c>
      <c r="H69" s="228">
        <v>100.0</v>
      </c>
      <c r="I69" s="223" t="s">
        <v>2208</v>
      </c>
      <c r="J69" s="229">
        <v>0.25</v>
      </c>
      <c r="K69" s="231">
        <v>25.0</v>
      </c>
      <c r="L69" s="223" t="s">
        <v>2241</v>
      </c>
      <c r="M69" s="125"/>
      <c r="N69" s="223"/>
      <c r="O69" s="223">
        <v>0.0</v>
      </c>
    </row>
    <row r="70" ht="22.5" customHeight="1">
      <c r="A70" s="221" t="s">
        <v>2254</v>
      </c>
      <c r="B70" s="222" t="s">
        <v>2255</v>
      </c>
      <c r="C70" s="230">
        <v>46084.0</v>
      </c>
      <c r="D70" s="223" t="s">
        <v>2102</v>
      </c>
      <c r="E70" s="223" t="s">
        <v>2238</v>
      </c>
      <c r="F70" s="223" t="s">
        <v>2239</v>
      </c>
      <c r="G70" s="223" t="s">
        <v>2256</v>
      </c>
      <c r="H70" s="228">
        <v>100.0</v>
      </c>
      <c r="I70" s="223" t="s">
        <v>2208</v>
      </c>
      <c r="J70" s="229">
        <v>0.25</v>
      </c>
      <c r="K70" s="224">
        <f t="shared" ref="K70:K92" si="2">IF(H70&gt;0, H70*J70, "")</f>
        <v>25</v>
      </c>
      <c r="L70" s="223" t="s">
        <v>2241</v>
      </c>
      <c r="M70" s="125"/>
      <c r="N70" s="223"/>
      <c r="O70" s="223">
        <v>0.0</v>
      </c>
    </row>
    <row r="71" ht="22.5" customHeight="1">
      <c r="A71" s="221" t="s">
        <v>2257</v>
      </c>
      <c r="B71" s="222" t="s">
        <v>2258</v>
      </c>
      <c r="C71" s="230">
        <v>46084.0</v>
      </c>
      <c r="D71" s="223" t="s">
        <v>2102</v>
      </c>
      <c r="E71" s="223" t="s">
        <v>2238</v>
      </c>
      <c r="F71" s="223" t="s">
        <v>2239</v>
      </c>
      <c r="G71" s="223" t="s">
        <v>2259</v>
      </c>
      <c r="H71" s="228">
        <v>100.0</v>
      </c>
      <c r="I71" s="223" t="s">
        <v>2208</v>
      </c>
      <c r="J71" s="229">
        <v>0.25</v>
      </c>
      <c r="K71" s="224">
        <f t="shared" si="2"/>
        <v>25</v>
      </c>
      <c r="L71" s="223" t="s">
        <v>2241</v>
      </c>
      <c r="M71" s="125"/>
      <c r="N71" s="223"/>
      <c r="O71" s="223">
        <v>0.0</v>
      </c>
    </row>
    <row r="72" ht="22.5" customHeight="1">
      <c r="A72" s="221" t="s">
        <v>2260</v>
      </c>
      <c r="B72" s="222" t="s">
        <v>2261</v>
      </c>
      <c r="C72" s="230">
        <v>46084.0</v>
      </c>
      <c r="D72" s="223" t="s">
        <v>2102</v>
      </c>
      <c r="E72" s="223" t="s">
        <v>2238</v>
      </c>
      <c r="F72" s="223" t="s">
        <v>2239</v>
      </c>
      <c r="G72" s="223" t="s">
        <v>2262</v>
      </c>
      <c r="H72" s="228">
        <v>75.0</v>
      </c>
      <c r="I72" s="223" t="s">
        <v>2208</v>
      </c>
      <c r="J72" s="229">
        <v>0.25</v>
      </c>
      <c r="K72" s="224">
        <f t="shared" si="2"/>
        <v>18.75</v>
      </c>
      <c r="L72" s="223" t="s">
        <v>2241</v>
      </c>
      <c r="M72" s="125"/>
      <c r="N72" s="223"/>
      <c r="O72" s="223">
        <v>0.0</v>
      </c>
    </row>
    <row r="73" ht="22.5" customHeight="1">
      <c r="A73" s="221" t="s">
        <v>2263</v>
      </c>
      <c r="B73" s="222" t="s">
        <v>2264</v>
      </c>
      <c r="C73" s="230">
        <v>46084.0</v>
      </c>
      <c r="D73" s="223" t="s">
        <v>2102</v>
      </c>
      <c r="E73" s="223" t="s">
        <v>2238</v>
      </c>
      <c r="F73" s="223" t="s">
        <v>2239</v>
      </c>
      <c r="G73" s="223" t="s">
        <v>2265</v>
      </c>
      <c r="H73" s="228">
        <v>100.0</v>
      </c>
      <c r="I73" s="223" t="s">
        <v>2208</v>
      </c>
      <c r="J73" s="229">
        <v>0.25</v>
      </c>
      <c r="K73" s="224">
        <f t="shared" si="2"/>
        <v>25</v>
      </c>
      <c r="L73" s="223" t="s">
        <v>2241</v>
      </c>
      <c r="M73" s="125"/>
      <c r="N73" s="223"/>
      <c r="O73" s="223">
        <v>0.0</v>
      </c>
    </row>
    <row r="74" ht="22.5" customHeight="1">
      <c r="A74" s="221" t="s">
        <v>2266</v>
      </c>
      <c r="B74" s="222" t="s">
        <v>2267</v>
      </c>
      <c r="C74" s="230">
        <v>46084.0</v>
      </c>
      <c r="D74" s="223" t="s">
        <v>2102</v>
      </c>
      <c r="E74" s="223" t="s">
        <v>2238</v>
      </c>
      <c r="F74" s="223" t="s">
        <v>2239</v>
      </c>
      <c r="G74" s="223" t="s">
        <v>2268</v>
      </c>
      <c r="H74" s="228">
        <v>100.0</v>
      </c>
      <c r="I74" s="223" t="s">
        <v>2208</v>
      </c>
      <c r="J74" s="229">
        <v>0.25</v>
      </c>
      <c r="K74" s="224">
        <f t="shared" si="2"/>
        <v>25</v>
      </c>
      <c r="L74" s="223" t="s">
        <v>2241</v>
      </c>
      <c r="M74" s="125"/>
      <c r="N74" s="223"/>
      <c r="O74" s="223">
        <v>0.0</v>
      </c>
    </row>
    <row r="75" ht="22.5" customHeight="1">
      <c r="A75" s="221" t="s">
        <v>2269</v>
      </c>
      <c r="B75" s="222" t="s">
        <v>2270</v>
      </c>
      <c r="C75" s="230">
        <v>46084.0</v>
      </c>
      <c r="D75" s="223" t="s">
        <v>2102</v>
      </c>
      <c r="E75" s="223" t="s">
        <v>2238</v>
      </c>
      <c r="F75" s="223" t="s">
        <v>2239</v>
      </c>
      <c r="G75" s="223" t="s">
        <v>2271</v>
      </c>
      <c r="H75" s="228">
        <v>75.0</v>
      </c>
      <c r="I75" s="223" t="s">
        <v>2208</v>
      </c>
      <c r="J75" s="229">
        <v>0.25</v>
      </c>
      <c r="K75" s="224">
        <f t="shared" si="2"/>
        <v>18.75</v>
      </c>
      <c r="L75" s="223" t="s">
        <v>2241</v>
      </c>
      <c r="M75" s="125"/>
      <c r="N75" s="223"/>
      <c r="O75" s="223">
        <v>0.0</v>
      </c>
    </row>
    <row r="76" ht="22.5" customHeight="1">
      <c r="A76" s="221" t="s">
        <v>2272</v>
      </c>
      <c r="B76" s="222" t="s">
        <v>2273</v>
      </c>
      <c r="C76" s="230">
        <v>46084.0</v>
      </c>
      <c r="D76" s="223" t="s">
        <v>2102</v>
      </c>
      <c r="E76" s="223" t="s">
        <v>2238</v>
      </c>
      <c r="F76" s="223" t="s">
        <v>2239</v>
      </c>
      <c r="G76" s="223" t="s">
        <v>2274</v>
      </c>
      <c r="H76" s="228">
        <v>100.0</v>
      </c>
      <c r="I76" s="223" t="s">
        <v>2208</v>
      </c>
      <c r="J76" s="229">
        <v>0.25</v>
      </c>
      <c r="K76" s="224">
        <f t="shared" si="2"/>
        <v>25</v>
      </c>
      <c r="L76" s="223" t="s">
        <v>2241</v>
      </c>
      <c r="M76" s="125"/>
      <c r="N76" s="223"/>
      <c r="O76" s="223">
        <v>0.0</v>
      </c>
    </row>
    <row r="77" ht="22.5" customHeight="1">
      <c r="A77" s="221" t="s">
        <v>2275</v>
      </c>
      <c r="B77" s="222" t="s">
        <v>223</v>
      </c>
      <c r="C77" s="230">
        <v>46085.0</v>
      </c>
      <c r="D77" s="223" t="s">
        <v>2081</v>
      </c>
      <c r="E77" s="223" t="s">
        <v>2082</v>
      </c>
      <c r="F77" s="223" t="s">
        <v>162</v>
      </c>
      <c r="G77" s="223" t="s">
        <v>222</v>
      </c>
      <c r="H77" s="228">
        <v>20.0</v>
      </c>
      <c r="I77" s="223" t="s">
        <v>1621</v>
      </c>
      <c r="J77" s="229">
        <v>20.0</v>
      </c>
      <c r="K77" s="224">
        <f t="shared" si="2"/>
        <v>400</v>
      </c>
      <c r="L77" s="223" t="s">
        <v>2083</v>
      </c>
      <c r="M77" s="125"/>
      <c r="N77" s="223"/>
      <c r="O77" s="223">
        <v>0.0</v>
      </c>
    </row>
    <row r="78" ht="22.5" customHeight="1">
      <c r="A78" s="221" t="s">
        <v>2276</v>
      </c>
      <c r="B78" s="222" t="s">
        <v>229</v>
      </c>
      <c r="C78" s="230">
        <v>46085.0</v>
      </c>
      <c r="D78" s="223" t="s">
        <v>2081</v>
      </c>
      <c r="E78" s="223" t="s">
        <v>2082</v>
      </c>
      <c r="F78" s="223" t="s">
        <v>162</v>
      </c>
      <c r="G78" s="223" t="s">
        <v>228</v>
      </c>
      <c r="H78" s="228">
        <v>10.0</v>
      </c>
      <c r="I78" s="223" t="s">
        <v>1621</v>
      </c>
      <c r="J78" s="229">
        <v>20.0</v>
      </c>
      <c r="K78" s="224">
        <f t="shared" si="2"/>
        <v>200</v>
      </c>
      <c r="L78" s="223" t="s">
        <v>2083</v>
      </c>
      <c r="M78" s="125"/>
      <c r="N78" s="223"/>
      <c r="O78" s="223">
        <v>0.0</v>
      </c>
    </row>
    <row r="79" ht="22.5" customHeight="1">
      <c r="A79" s="221" t="s">
        <v>2277</v>
      </c>
      <c r="B79" s="222" t="s">
        <v>233</v>
      </c>
      <c r="C79" s="230">
        <v>46085.0</v>
      </c>
      <c r="D79" s="223" t="s">
        <v>2081</v>
      </c>
      <c r="E79" s="223" t="s">
        <v>2082</v>
      </c>
      <c r="F79" s="223" t="s">
        <v>162</v>
      </c>
      <c r="G79" s="223" t="s">
        <v>232</v>
      </c>
      <c r="H79" s="228">
        <v>11.0</v>
      </c>
      <c r="I79" s="223" t="s">
        <v>1621</v>
      </c>
      <c r="J79" s="229">
        <v>20.0</v>
      </c>
      <c r="K79" s="224">
        <f t="shared" si="2"/>
        <v>220</v>
      </c>
      <c r="L79" s="223" t="s">
        <v>2083</v>
      </c>
      <c r="M79" s="125"/>
      <c r="N79" s="223"/>
      <c r="O79" s="223">
        <v>0.0</v>
      </c>
    </row>
    <row r="80" ht="22.5" customHeight="1">
      <c r="A80" s="221" t="s">
        <v>2278</v>
      </c>
      <c r="B80" s="222" t="s">
        <v>235</v>
      </c>
      <c r="C80" s="230">
        <v>46085.0</v>
      </c>
      <c r="D80" s="223" t="s">
        <v>2081</v>
      </c>
      <c r="E80" s="223" t="s">
        <v>2082</v>
      </c>
      <c r="F80" s="223" t="s">
        <v>162</v>
      </c>
      <c r="G80" s="223" t="s">
        <v>234</v>
      </c>
      <c r="H80" s="228">
        <v>3.0</v>
      </c>
      <c r="I80" s="223" t="s">
        <v>1621</v>
      </c>
      <c r="J80" s="229">
        <v>20.0</v>
      </c>
      <c r="K80" s="224">
        <f t="shared" si="2"/>
        <v>60</v>
      </c>
      <c r="L80" s="223" t="s">
        <v>2083</v>
      </c>
      <c r="M80" s="125"/>
      <c r="N80" s="223"/>
      <c r="O80" s="223">
        <v>0.0</v>
      </c>
    </row>
    <row r="81" ht="22.5" customHeight="1">
      <c r="A81" s="221" t="s">
        <v>2279</v>
      </c>
      <c r="B81" s="222" t="s">
        <v>237</v>
      </c>
      <c r="C81" s="230">
        <v>46085.0</v>
      </c>
      <c r="D81" s="223" t="s">
        <v>2081</v>
      </c>
      <c r="E81" s="223" t="s">
        <v>2082</v>
      </c>
      <c r="F81" s="223" t="s">
        <v>162</v>
      </c>
      <c r="G81" s="223" t="s">
        <v>236</v>
      </c>
      <c r="H81" s="228">
        <v>10.0</v>
      </c>
      <c r="I81" s="223" t="s">
        <v>1621</v>
      </c>
      <c r="J81" s="229">
        <v>20.0</v>
      </c>
      <c r="K81" s="224">
        <f t="shared" si="2"/>
        <v>200</v>
      </c>
      <c r="L81" s="223" t="s">
        <v>2083</v>
      </c>
      <c r="M81" s="125"/>
      <c r="N81" s="223"/>
      <c r="O81" s="223">
        <v>0.0</v>
      </c>
    </row>
    <row r="82" ht="22.5" customHeight="1">
      <c r="A82" s="232" t="s">
        <v>2280</v>
      </c>
      <c r="B82" s="222" t="s">
        <v>239</v>
      </c>
      <c r="C82" s="230">
        <v>46085.0</v>
      </c>
      <c r="D82" s="223" t="s">
        <v>2081</v>
      </c>
      <c r="E82" s="223" t="s">
        <v>2082</v>
      </c>
      <c r="F82" s="223" t="s">
        <v>162</v>
      </c>
      <c r="G82" s="223" t="s">
        <v>238</v>
      </c>
      <c r="H82" s="228">
        <v>11.0</v>
      </c>
      <c r="I82" s="223" t="s">
        <v>1621</v>
      </c>
      <c r="J82" s="229">
        <v>20.0</v>
      </c>
      <c r="K82" s="224">
        <f t="shared" si="2"/>
        <v>220</v>
      </c>
      <c r="L82" s="223" t="s">
        <v>2083</v>
      </c>
      <c r="M82" s="125"/>
      <c r="N82" s="223"/>
      <c r="O82" s="223">
        <v>0.0</v>
      </c>
    </row>
    <row r="83" ht="22.5" customHeight="1">
      <c r="A83" s="221" t="s">
        <v>2281</v>
      </c>
      <c r="B83" s="222" t="s">
        <v>241</v>
      </c>
      <c r="C83" s="230">
        <v>46085.0</v>
      </c>
      <c r="D83" s="223" t="s">
        <v>2081</v>
      </c>
      <c r="E83" s="223" t="s">
        <v>2082</v>
      </c>
      <c r="F83" s="223" t="s">
        <v>162</v>
      </c>
      <c r="G83" s="223" t="s">
        <v>240</v>
      </c>
      <c r="H83" s="228">
        <v>6.0</v>
      </c>
      <c r="I83" s="223" t="s">
        <v>1621</v>
      </c>
      <c r="J83" s="229">
        <v>20.0</v>
      </c>
      <c r="K83" s="224">
        <f t="shared" si="2"/>
        <v>120</v>
      </c>
      <c r="L83" s="223" t="s">
        <v>2083</v>
      </c>
      <c r="M83" s="125"/>
      <c r="N83" s="223" t="s">
        <v>2282</v>
      </c>
      <c r="O83" s="223">
        <v>0.0</v>
      </c>
    </row>
    <row r="84" ht="22.5" customHeight="1">
      <c r="A84" s="232" t="s">
        <v>2283</v>
      </c>
      <c r="B84" s="222" t="s">
        <v>244</v>
      </c>
      <c r="C84" s="230">
        <v>46069.0</v>
      </c>
      <c r="D84" s="223" t="s">
        <v>2081</v>
      </c>
      <c r="E84" s="223" t="s">
        <v>2082</v>
      </c>
      <c r="F84" s="223" t="s">
        <v>242</v>
      </c>
      <c r="G84" s="223" t="s">
        <v>243</v>
      </c>
      <c r="H84" s="228">
        <v>5.0</v>
      </c>
      <c r="I84" s="223" t="s">
        <v>1621</v>
      </c>
      <c r="J84" s="229">
        <v>30.0</v>
      </c>
      <c r="K84" s="224">
        <f t="shared" si="2"/>
        <v>150</v>
      </c>
      <c r="L84" s="223" t="s">
        <v>2083</v>
      </c>
      <c r="M84" s="125"/>
      <c r="N84" s="223"/>
      <c r="O84" s="223">
        <v>0.0</v>
      </c>
    </row>
    <row r="85" ht="22.5" customHeight="1">
      <c r="A85" s="221" t="s">
        <v>2284</v>
      </c>
      <c r="B85" s="222" t="s">
        <v>246</v>
      </c>
      <c r="C85" s="230">
        <v>46069.0</v>
      </c>
      <c r="D85" s="223" t="s">
        <v>2081</v>
      </c>
      <c r="E85" s="223" t="s">
        <v>2082</v>
      </c>
      <c r="F85" s="223" t="s">
        <v>242</v>
      </c>
      <c r="G85" s="223" t="s">
        <v>245</v>
      </c>
      <c r="H85" s="228">
        <v>5.0</v>
      </c>
      <c r="I85" s="223" t="s">
        <v>1621</v>
      </c>
      <c r="J85" s="229">
        <v>25.0</v>
      </c>
      <c r="K85" s="224">
        <f t="shared" si="2"/>
        <v>125</v>
      </c>
      <c r="L85" s="223" t="s">
        <v>2083</v>
      </c>
      <c r="M85" s="125"/>
      <c r="N85" s="223"/>
      <c r="O85" s="223">
        <v>0.0</v>
      </c>
    </row>
    <row r="86" ht="22.5" customHeight="1">
      <c r="A86" s="221" t="s">
        <v>2285</v>
      </c>
      <c r="B86" s="222" t="s">
        <v>247</v>
      </c>
      <c r="C86" s="230">
        <v>46069.0</v>
      </c>
      <c r="D86" s="223" t="s">
        <v>2081</v>
      </c>
      <c r="E86" s="223" t="s">
        <v>2082</v>
      </c>
      <c r="F86" s="223" t="s">
        <v>242</v>
      </c>
      <c r="G86" s="223" t="s">
        <v>163</v>
      </c>
      <c r="H86" s="228">
        <v>11.0</v>
      </c>
      <c r="I86" s="223" t="s">
        <v>1621</v>
      </c>
      <c r="J86" s="229">
        <v>25.0</v>
      </c>
      <c r="K86" s="224">
        <f t="shared" si="2"/>
        <v>275</v>
      </c>
      <c r="L86" s="223" t="s">
        <v>2083</v>
      </c>
      <c r="M86" s="125"/>
      <c r="N86" s="223"/>
      <c r="O86" s="223">
        <v>0.0</v>
      </c>
    </row>
    <row r="87" ht="22.5" customHeight="1">
      <c r="A87" s="221" t="s">
        <v>2286</v>
      </c>
      <c r="B87" s="222" t="s">
        <v>161</v>
      </c>
      <c r="C87" s="230">
        <v>46097.0</v>
      </c>
      <c r="D87" s="223" t="s">
        <v>2081</v>
      </c>
      <c r="E87" s="223" t="s">
        <v>2082</v>
      </c>
      <c r="F87" s="223" t="s">
        <v>162</v>
      </c>
      <c r="G87" s="223" t="s">
        <v>163</v>
      </c>
      <c r="H87" s="228">
        <v>1.0</v>
      </c>
      <c r="I87" s="223" t="s">
        <v>1621</v>
      </c>
      <c r="J87" s="229">
        <v>50.0</v>
      </c>
      <c r="K87" s="224">
        <f t="shared" si="2"/>
        <v>50</v>
      </c>
      <c r="L87" s="223" t="s">
        <v>2083</v>
      </c>
      <c r="M87" s="125"/>
      <c r="N87" s="223"/>
      <c r="O87" s="223">
        <v>0.0</v>
      </c>
    </row>
    <row r="88" ht="22.5" customHeight="1">
      <c r="A88" s="221" t="s">
        <v>2287</v>
      </c>
      <c r="B88" s="222" t="s">
        <v>249</v>
      </c>
      <c r="C88" s="230">
        <v>46099.0</v>
      </c>
      <c r="D88" s="223" t="s">
        <v>2081</v>
      </c>
      <c r="E88" s="223" t="s">
        <v>2082</v>
      </c>
      <c r="F88" s="223" t="s">
        <v>208</v>
      </c>
      <c r="G88" s="223" t="s">
        <v>248</v>
      </c>
      <c r="H88" s="228">
        <v>16.0</v>
      </c>
      <c r="I88" s="223" t="s">
        <v>1621</v>
      </c>
      <c r="J88" s="229">
        <v>45.4</v>
      </c>
      <c r="K88" s="224">
        <f t="shared" si="2"/>
        <v>726.4</v>
      </c>
      <c r="L88" s="223" t="s">
        <v>2288</v>
      </c>
      <c r="M88" s="125"/>
      <c r="N88" s="223"/>
      <c r="O88" s="223">
        <v>0.0</v>
      </c>
    </row>
    <row r="89" ht="22.5" customHeight="1">
      <c r="A89" s="221" t="s">
        <v>2289</v>
      </c>
      <c r="B89" s="222" t="s">
        <v>249</v>
      </c>
      <c r="C89" s="230">
        <v>46099.0</v>
      </c>
      <c r="D89" s="223" t="s">
        <v>2081</v>
      </c>
      <c r="E89" s="223" t="s">
        <v>2082</v>
      </c>
      <c r="F89" s="223" t="s">
        <v>208</v>
      </c>
      <c r="G89" s="223" t="s">
        <v>248</v>
      </c>
      <c r="H89" s="228">
        <v>5.0</v>
      </c>
      <c r="I89" s="223" t="s">
        <v>1621</v>
      </c>
      <c r="J89" s="229">
        <v>45.4</v>
      </c>
      <c r="K89" s="224">
        <f t="shared" si="2"/>
        <v>227</v>
      </c>
      <c r="L89" s="223" t="s">
        <v>2083</v>
      </c>
      <c r="M89" s="125"/>
      <c r="N89" s="223"/>
      <c r="O89" s="223">
        <v>0.0</v>
      </c>
    </row>
    <row r="90" ht="22.5" customHeight="1">
      <c r="A90" s="221" t="s">
        <v>2290</v>
      </c>
      <c r="B90" s="222" t="s">
        <v>250</v>
      </c>
      <c r="C90" s="230">
        <v>46099.0</v>
      </c>
      <c r="D90" s="223" t="s">
        <v>2081</v>
      </c>
      <c r="E90" s="223" t="s">
        <v>2082</v>
      </c>
      <c r="F90" s="223" t="s">
        <v>208</v>
      </c>
      <c r="G90" s="223" t="s">
        <v>163</v>
      </c>
      <c r="H90" s="228">
        <v>9.0</v>
      </c>
      <c r="I90" s="223" t="s">
        <v>1621</v>
      </c>
      <c r="J90" s="229">
        <v>45.4</v>
      </c>
      <c r="K90" s="224">
        <f t="shared" si="2"/>
        <v>408.6</v>
      </c>
      <c r="L90" s="223" t="s">
        <v>2083</v>
      </c>
      <c r="M90" s="125"/>
      <c r="N90" s="223"/>
      <c r="O90" s="223">
        <v>0.0</v>
      </c>
    </row>
    <row r="91" ht="22.5" customHeight="1">
      <c r="A91" s="221" t="s">
        <v>2291</v>
      </c>
      <c r="B91" s="222" t="s">
        <v>251</v>
      </c>
      <c r="C91" s="230">
        <v>46099.0</v>
      </c>
      <c r="D91" s="223" t="s">
        <v>2081</v>
      </c>
      <c r="E91" s="223" t="s">
        <v>2082</v>
      </c>
      <c r="F91" s="223" t="s">
        <v>208</v>
      </c>
      <c r="G91" s="223" t="s">
        <v>188</v>
      </c>
      <c r="H91" s="228">
        <v>10.0</v>
      </c>
      <c r="I91" s="223" t="s">
        <v>1621</v>
      </c>
      <c r="J91" s="229">
        <v>45.5</v>
      </c>
      <c r="K91" s="224">
        <f t="shared" si="2"/>
        <v>455</v>
      </c>
      <c r="L91" s="223" t="s">
        <v>2083</v>
      </c>
      <c r="M91" s="125"/>
      <c r="N91" s="223"/>
      <c r="O91" s="223">
        <v>0.0</v>
      </c>
    </row>
    <row r="92" ht="22.5" customHeight="1">
      <c r="A92" s="221" t="s">
        <v>2292</v>
      </c>
      <c r="B92" s="222" t="s">
        <v>254</v>
      </c>
      <c r="C92" s="230">
        <v>46107.0</v>
      </c>
      <c r="D92" s="223" t="s">
        <v>2081</v>
      </c>
      <c r="E92" s="223" t="s">
        <v>2082</v>
      </c>
      <c r="F92" s="223" t="s">
        <v>252</v>
      </c>
      <c r="G92" s="223" t="s">
        <v>253</v>
      </c>
      <c r="H92" s="228">
        <v>5.0</v>
      </c>
      <c r="I92" s="223" t="s">
        <v>1621</v>
      </c>
      <c r="J92" s="229">
        <v>16.5</v>
      </c>
      <c r="K92" s="224">
        <f t="shared" si="2"/>
        <v>82.5</v>
      </c>
      <c r="L92" s="223" t="s">
        <v>2293</v>
      </c>
      <c r="M92" s="125"/>
      <c r="N92" s="223"/>
      <c r="O92" s="223">
        <v>0.0</v>
      </c>
    </row>
    <row r="93" ht="22.5" customHeight="1">
      <c r="A93" s="221" t="s">
        <v>2294</v>
      </c>
      <c r="B93" s="222" t="s">
        <v>256</v>
      </c>
      <c r="C93" s="230">
        <v>46107.0</v>
      </c>
      <c r="D93" s="223" t="s">
        <v>2081</v>
      </c>
      <c r="E93" s="223" t="s">
        <v>2082</v>
      </c>
      <c r="F93" s="223" t="s">
        <v>252</v>
      </c>
      <c r="G93" s="223" t="s">
        <v>255</v>
      </c>
      <c r="H93" s="228">
        <v>0.0</v>
      </c>
      <c r="I93" s="223" t="s">
        <v>1621</v>
      </c>
      <c r="J93" s="229">
        <v>16.5</v>
      </c>
      <c r="K93" s="231">
        <v>0.0</v>
      </c>
      <c r="L93" s="223" t="s">
        <v>2293</v>
      </c>
      <c r="M93" s="125"/>
      <c r="N93" s="223" t="s">
        <v>2295</v>
      </c>
      <c r="O93" s="223">
        <v>0.0</v>
      </c>
    </row>
    <row r="94" ht="22.5" customHeight="1">
      <c r="A94" s="221" t="s">
        <v>2296</v>
      </c>
      <c r="B94" s="222" t="s">
        <v>258</v>
      </c>
      <c r="C94" s="230">
        <v>46107.0</v>
      </c>
      <c r="D94" s="223" t="s">
        <v>2081</v>
      </c>
      <c r="E94" s="223" t="s">
        <v>2082</v>
      </c>
      <c r="F94" s="223" t="s">
        <v>252</v>
      </c>
      <c r="G94" s="223" t="s">
        <v>257</v>
      </c>
      <c r="H94" s="228">
        <v>2.0</v>
      </c>
      <c r="I94" s="223" t="s">
        <v>1621</v>
      </c>
      <c r="J94" s="229">
        <v>16.5</v>
      </c>
      <c r="K94" s="224">
        <f t="shared" ref="K94:K180" si="3">IF(H94&gt;0, H94*J94, "")</f>
        <v>33</v>
      </c>
      <c r="L94" s="223" t="s">
        <v>2293</v>
      </c>
      <c r="M94" s="125"/>
      <c r="N94" s="223"/>
      <c r="O94" s="223">
        <v>0.0</v>
      </c>
    </row>
    <row r="95" ht="22.5" customHeight="1">
      <c r="A95" s="221" t="s">
        <v>2297</v>
      </c>
      <c r="B95" s="222" t="s">
        <v>260</v>
      </c>
      <c r="C95" s="230">
        <v>46107.0</v>
      </c>
      <c r="D95" s="223" t="s">
        <v>2081</v>
      </c>
      <c r="E95" s="223" t="s">
        <v>2082</v>
      </c>
      <c r="F95" s="223" t="s">
        <v>252</v>
      </c>
      <c r="G95" s="223" t="s">
        <v>259</v>
      </c>
      <c r="H95" s="228">
        <v>2.0</v>
      </c>
      <c r="I95" s="223" t="s">
        <v>1621</v>
      </c>
      <c r="J95" s="229">
        <v>16.5</v>
      </c>
      <c r="K95" s="224">
        <f t="shared" si="3"/>
        <v>33</v>
      </c>
      <c r="L95" s="223" t="s">
        <v>2293</v>
      </c>
      <c r="M95" s="125"/>
      <c r="N95" s="223"/>
      <c r="O95" s="223">
        <v>0.0</v>
      </c>
    </row>
    <row r="96" ht="22.5" customHeight="1">
      <c r="A96" s="232" t="s">
        <v>2298</v>
      </c>
      <c r="B96" s="222" t="s">
        <v>256</v>
      </c>
      <c r="C96" s="230">
        <v>46107.0</v>
      </c>
      <c r="D96" s="223" t="s">
        <v>2081</v>
      </c>
      <c r="E96" s="223" t="s">
        <v>2082</v>
      </c>
      <c r="F96" s="223" t="s">
        <v>252</v>
      </c>
      <c r="G96" s="223" t="s">
        <v>255</v>
      </c>
      <c r="H96" s="228">
        <v>10.0</v>
      </c>
      <c r="I96" s="223" t="s">
        <v>1621</v>
      </c>
      <c r="J96" s="229">
        <v>16.5</v>
      </c>
      <c r="K96" s="224">
        <f t="shared" si="3"/>
        <v>165</v>
      </c>
      <c r="L96" s="223" t="s">
        <v>2293</v>
      </c>
      <c r="M96" s="125"/>
      <c r="N96" s="223"/>
      <c r="O96" s="223">
        <v>0.0</v>
      </c>
    </row>
    <row r="97" ht="22.5" customHeight="1">
      <c r="A97" s="221" t="s">
        <v>2299</v>
      </c>
      <c r="B97" s="222" t="s">
        <v>262</v>
      </c>
      <c r="C97" s="230">
        <v>46107.0</v>
      </c>
      <c r="D97" s="223" t="s">
        <v>2081</v>
      </c>
      <c r="E97" s="223" t="s">
        <v>2082</v>
      </c>
      <c r="F97" s="223" t="s">
        <v>252</v>
      </c>
      <c r="G97" s="223" t="s">
        <v>261</v>
      </c>
      <c r="H97" s="228">
        <v>5.0</v>
      </c>
      <c r="I97" s="223" t="s">
        <v>1621</v>
      </c>
      <c r="J97" s="229">
        <v>16.5</v>
      </c>
      <c r="K97" s="224">
        <f t="shared" si="3"/>
        <v>82.5</v>
      </c>
      <c r="L97" s="223" t="s">
        <v>2293</v>
      </c>
      <c r="M97" s="125"/>
      <c r="N97" s="223"/>
      <c r="O97" s="223">
        <v>0.0</v>
      </c>
    </row>
    <row r="98" ht="22.5" customHeight="1">
      <c r="A98" s="221" t="s">
        <v>2300</v>
      </c>
      <c r="B98" s="222" t="s">
        <v>264</v>
      </c>
      <c r="C98" s="230">
        <v>46107.0</v>
      </c>
      <c r="D98" s="223" t="s">
        <v>2081</v>
      </c>
      <c r="E98" s="223" t="s">
        <v>2082</v>
      </c>
      <c r="F98" s="223" t="s">
        <v>252</v>
      </c>
      <c r="G98" s="223" t="s">
        <v>263</v>
      </c>
      <c r="H98" s="228">
        <v>2.0</v>
      </c>
      <c r="I98" s="223" t="s">
        <v>1621</v>
      </c>
      <c r="J98" s="229">
        <v>16.5</v>
      </c>
      <c r="K98" s="224">
        <f t="shared" si="3"/>
        <v>33</v>
      </c>
      <c r="L98" s="223" t="s">
        <v>2293</v>
      </c>
      <c r="M98" s="125"/>
      <c r="N98" s="223"/>
      <c r="O98" s="223">
        <v>0.0</v>
      </c>
    </row>
    <row r="99" ht="22.5" customHeight="1">
      <c r="A99" s="221" t="s">
        <v>2301</v>
      </c>
      <c r="B99" s="222" t="s">
        <v>266</v>
      </c>
      <c r="C99" s="230">
        <v>46107.0</v>
      </c>
      <c r="D99" s="223" t="s">
        <v>2081</v>
      </c>
      <c r="E99" s="223" t="s">
        <v>2082</v>
      </c>
      <c r="F99" s="223" t="s">
        <v>252</v>
      </c>
      <c r="G99" s="223" t="s">
        <v>265</v>
      </c>
      <c r="H99" s="228">
        <v>2.0</v>
      </c>
      <c r="I99" s="223" t="s">
        <v>1621</v>
      </c>
      <c r="J99" s="229">
        <v>16.5</v>
      </c>
      <c r="K99" s="224">
        <f t="shared" si="3"/>
        <v>33</v>
      </c>
      <c r="L99" s="223" t="s">
        <v>2293</v>
      </c>
      <c r="M99" s="125"/>
      <c r="N99" s="223"/>
      <c r="O99" s="223">
        <v>0.0</v>
      </c>
    </row>
    <row r="100" ht="22.5" customHeight="1">
      <c r="A100" s="221" t="s">
        <v>2302</v>
      </c>
      <c r="B100" s="222" t="s">
        <v>268</v>
      </c>
      <c r="C100" s="230">
        <v>46107.0</v>
      </c>
      <c r="D100" s="223" t="s">
        <v>2081</v>
      </c>
      <c r="E100" s="223" t="s">
        <v>2082</v>
      </c>
      <c r="F100" s="223" t="s">
        <v>252</v>
      </c>
      <c r="G100" s="223" t="s">
        <v>267</v>
      </c>
      <c r="H100" s="228">
        <v>15.0</v>
      </c>
      <c r="I100" s="223" t="s">
        <v>1621</v>
      </c>
      <c r="J100" s="229">
        <v>16.5</v>
      </c>
      <c r="K100" s="224">
        <f t="shared" si="3"/>
        <v>247.5</v>
      </c>
      <c r="L100" s="223" t="s">
        <v>2293</v>
      </c>
      <c r="M100" s="125"/>
      <c r="N100" s="223"/>
      <c r="O100" s="223">
        <v>0.0</v>
      </c>
    </row>
    <row r="101" ht="22.5" customHeight="1">
      <c r="A101" s="221" t="s">
        <v>2303</v>
      </c>
      <c r="B101" s="222" t="s">
        <v>271</v>
      </c>
      <c r="C101" s="230">
        <v>46120.0</v>
      </c>
      <c r="D101" s="223" t="s">
        <v>2081</v>
      </c>
      <c r="E101" s="223" t="s">
        <v>2082</v>
      </c>
      <c r="F101" s="223" t="s">
        <v>269</v>
      </c>
      <c r="G101" s="223" t="s">
        <v>270</v>
      </c>
      <c r="H101" s="228">
        <v>9.0</v>
      </c>
      <c r="I101" s="223" t="s">
        <v>1621</v>
      </c>
      <c r="J101" s="229">
        <v>19.0</v>
      </c>
      <c r="K101" s="224">
        <f t="shared" si="3"/>
        <v>171</v>
      </c>
      <c r="L101" s="223" t="s">
        <v>2293</v>
      </c>
      <c r="M101" s="125"/>
      <c r="N101" s="223"/>
      <c r="O101" s="223">
        <v>0.0</v>
      </c>
    </row>
    <row r="102" ht="22.5" customHeight="1">
      <c r="A102" s="221" t="s">
        <v>2304</v>
      </c>
      <c r="B102" s="222" t="s">
        <v>273</v>
      </c>
      <c r="C102" s="230">
        <v>46120.0</v>
      </c>
      <c r="D102" s="223" t="s">
        <v>2081</v>
      </c>
      <c r="E102" s="223" t="s">
        <v>2082</v>
      </c>
      <c r="F102" s="223" t="s">
        <v>269</v>
      </c>
      <c r="G102" s="223" t="s">
        <v>272</v>
      </c>
      <c r="H102" s="228">
        <v>9.0</v>
      </c>
      <c r="I102" s="223" t="s">
        <v>1621</v>
      </c>
      <c r="J102" s="229">
        <v>19.0</v>
      </c>
      <c r="K102" s="224">
        <f t="shared" si="3"/>
        <v>171</v>
      </c>
      <c r="L102" s="223" t="s">
        <v>2293</v>
      </c>
      <c r="M102" s="125"/>
      <c r="N102" s="223"/>
      <c r="O102" s="223">
        <v>0.0</v>
      </c>
    </row>
    <row r="103" ht="22.5" customHeight="1">
      <c r="A103" s="221" t="s">
        <v>2305</v>
      </c>
      <c r="B103" s="222" t="s">
        <v>275</v>
      </c>
      <c r="C103" s="230">
        <v>46120.0</v>
      </c>
      <c r="D103" s="223" t="s">
        <v>2081</v>
      </c>
      <c r="E103" s="223" t="s">
        <v>2082</v>
      </c>
      <c r="F103" s="223" t="s">
        <v>269</v>
      </c>
      <c r="G103" s="223" t="s">
        <v>274</v>
      </c>
      <c r="H103" s="228">
        <v>10.0</v>
      </c>
      <c r="I103" s="223" t="s">
        <v>1621</v>
      </c>
      <c r="J103" s="229">
        <v>19.0</v>
      </c>
      <c r="K103" s="224">
        <f t="shared" si="3"/>
        <v>190</v>
      </c>
      <c r="L103" s="223" t="s">
        <v>2293</v>
      </c>
      <c r="M103" s="125"/>
      <c r="N103" s="223"/>
      <c r="O103" s="223">
        <v>0.0</v>
      </c>
    </row>
    <row r="104" ht="22.5" customHeight="1">
      <c r="A104" s="221" t="s">
        <v>2306</v>
      </c>
      <c r="B104" s="223" t="s">
        <v>277</v>
      </c>
      <c r="C104" s="230">
        <v>46120.0</v>
      </c>
      <c r="D104" s="223" t="s">
        <v>2081</v>
      </c>
      <c r="E104" s="223" t="s">
        <v>2082</v>
      </c>
      <c r="F104" s="223" t="s">
        <v>269</v>
      </c>
      <c r="G104" s="223" t="s">
        <v>276</v>
      </c>
      <c r="H104" s="228">
        <v>10.0</v>
      </c>
      <c r="I104" s="223" t="s">
        <v>1621</v>
      </c>
      <c r="J104" s="229">
        <v>19.0</v>
      </c>
      <c r="K104" s="224">
        <f t="shared" si="3"/>
        <v>190</v>
      </c>
      <c r="L104" s="223" t="s">
        <v>2293</v>
      </c>
      <c r="M104" s="125"/>
      <c r="N104" s="223"/>
      <c r="O104" s="223">
        <v>0.0</v>
      </c>
    </row>
    <row r="105" ht="22.5" customHeight="1">
      <c r="A105" s="221" t="s">
        <v>2307</v>
      </c>
      <c r="B105" s="222" t="s">
        <v>279</v>
      </c>
      <c r="C105" s="230">
        <v>46120.0</v>
      </c>
      <c r="D105" s="223" t="s">
        <v>2081</v>
      </c>
      <c r="E105" s="223" t="s">
        <v>2082</v>
      </c>
      <c r="F105" s="223" t="s">
        <v>269</v>
      </c>
      <c r="G105" s="223" t="s">
        <v>278</v>
      </c>
      <c r="H105" s="228">
        <v>2.0</v>
      </c>
      <c r="I105" s="223" t="s">
        <v>1621</v>
      </c>
      <c r="J105" s="229">
        <v>16.5</v>
      </c>
      <c r="K105" s="224">
        <f t="shared" si="3"/>
        <v>33</v>
      </c>
      <c r="L105" s="223" t="s">
        <v>2293</v>
      </c>
      <c r="M105" s="125"/>
      <c r="N105" s="223"/>
      <c r="O105" s="223">
        <v>0.0</v>
      </c>
    </row>
    <row r="106" ht="22.5" customHeight="1">
      <c r="A106" s="221" t="s">
        <v>2308</v>
      </c>
      <c r="B106" s="222" t="s">
        <v>281</v>
      </c>
      <c r="C106" s="230">
        <v>46120.0</v>
      </c>
      <c r="D106" s="223" t="s">
        <v>2081</v>
      </c>
      <c r="E106" s="223" t="s">
        <v>2082</v>
      </c>
      <c r="F106" s="223" t="s">
        <v>269</v>
      </c>
      <c r="G106" s="223" t="s">
        <v>280</v>
      </c>
      <c r="H106" s="228">
        <v>6.0</v>
      </c>
      <c r="I106" s="223" t="s">
        <v>1621</v>
      </c>
      <c r="J106" s="229">
        <v>16.5</v>
      </c>
      <c r="K106" s="224">
        <f t="shared" si="3"/>
        <v>99</v>
      </c>
      <c r="L106" s="223" t="s">
        <v>2293</v>
      </c>
      <c r="M106" s="125"/>
      <c r="N106" s="223"/>
      <c r="O106" s="223">
        <v>0.0</v>
      </c>
    </row>
    <row r="107" ht="22.5" customHeight="1">
      <c r="A107" s="221" t="s">
        <v>2309</v>
      </c>
      <c r="B107" s="222" t="s">
        <v>63</v>
      </c>
      <c r="C107" s="230">
        <v>46120.0</v>
      </c>
      <c r="D107" s="223" t="s">
        <v>2081</v>
      </c>
      <c r="E107" s="223" t="s">
        <v>2082</v>
      </c>
      <c r="F107" s="223" t="s">
        <v>269</v>
      </c>
      <c r="G107" s="223" t="s">
        <v>282</v>
      </c>
      <c r="H107" s="228">
        <v>9.0</v>
      </c>
      <c r="I107" s="223" t="s">
        <v>1621</v>
      </c>
      <c r="J107" s="229">
        <v>19.0</v>
      </c>
      <c r="K107" s="224">
        <f t="shared" si="3"/>
        <v>171</v>
      </c>
      <c r="L107" s="223" t="s">
        <v>2293</v>
      </c>
      <c r="M107" s="125"/>
      <c r="N107" s="223"/>
      <c r="O107" s="223">
        <v>0.0</v>
      </c>
    </row>
    <row r="108" ht="22.5" customHeight="1">
      <c r="A108" s="221" t="s">
        <v>2310</v>
      </c>
      <c r="B108" s="222" t="s">
        <v>52</v>
      </c>
      <c r="C108" s="230">
        <v>46120.0</v>
      </c>
      <c r="D108" s="223" t="s">
        <v>2081</v>
      </c>
      <c r="E108" s="223" t="s">
        <v>2082</v>
      </c>
      <c r="F108" s="223" t="s">
        <v>269</v>
      </c>
      <c r="G108" s="223" t="s">
        <v>283</v>
      </c>
      <c r="H108" s="228">
        <v>4.0</v>
      </c>
      <c r="I108" s="223" t="s">
        <v>1621</v>
      </c>
      <c r="J108" s="229">
        <v>19.0</v>
      </c>
      <c r="K108" s="224">
        <f t="shared" si="3"/>
        <v>76</v>
      </c>
      <c r="L108" s="223" t="s">
        <v>2293</v>
      </c>
      <c r="M108" s="125"/>
      <c r="N108" s="223"/>
      <c r="O108" s="223">
        <v>0.0</v>
      </c>
    </row>
    <row r="109" ht="22.5" customHeight="1">
      <c r="A109" s="221"/>
      <c r="B109" s="222" t="s">
        <v>2311</v>
      </c>
      <c r="C109" s="230"/>
      <c r="D109" s="223"/>
      <c r="E109" s="223"/>
      <c r="F109" s="223"/>
      <c r="G109" s="223"/>
      <c r="H109" s="228"/>
      <c r="I109" s="223"/>
      <c r="J109" s="229"/>
      <c r="K109" s="231" t="str">
        <f t="shared" si="3"/>
        <v/>
      </c>
      <c r="L109" s="223"/>
      <c r="M109" s="125"/>
      <c r="N109" s="223"/>
      <c r="O109" s="223">
        <v>0.0</v>
      </c>
    </row>
    <row r="110" ht="22.5" customHeight="1">
      <c r="A110" s="221"/>
      <c r="B110" s="222" t="s">
        <v>2311</v>
      </c>
      <c r="C110" s="230"/>
      <c r="D110" s="223"/>
      <c r="E110" s="223"/>
      <c r="F110" s="223"/>
      <c r="G110" s="223"/>
      <c r="H110" s="228"/>
      <c r="I110" s="223"/>
      <c r="J110" s="229"/>
      <c r="K110" s="231" t="str">
        <f t="shared" si="3"/>
        <v/>
      </c>
      <c r="L110" s="223"/>
      <c r="M110" s="125"/>
      <c r="N110" s="223"/>
      <c r="O110" s="223">
        <v>0.0</v>
      </c>
    </row>
    <row r="111" ht="22.5" customHeight="1">
      <c r="A111" s="221" t="s">
        <v>2312</v>
      </c>
      <c r="B111" s="222" t="s">
        <v>262</v>
      </c>
      <c r="C111" s="230">
        <v>46133.0</v>
      </c>
      <c r="D111" s="223" t="s">
        <v>2081</v>
      </c>
      <c r="E111" s="223" t="s">
        <v>2082</v>
      </c>
      <c r="F111" s="223" t="s">
        <v>252</v>
      </c>
      <c r="G111" s="223" t="s">
        <v>261</v>
      </c>
      <c r="H111" s="228">
        <v>5.0</v>
      </c>
      <c r="I111" s="223" t="s">
        <v>1621</v>
      </c>
      <c r="J111" s="229">
        <v>16.5</v>
      </c>
      <c r="K111" s="224">
        <f t="shared" si="3"/>
        <v>82.5</v>
      </c>
      <c r="L111" s="223" t="s">
        <v>2293</v>
      </c>
      <c r="M111" s="125"/>
      <c r="N111" s="223"/>
      <c r="O111" s="223">
        <v>0.0</v>
      </c>
    </row>
    <row r="112" ht="22.5" customHeight="1">
      <c r="A112" s="221" t="s">
        <v>2313</v>
      </c>
      <c r="B112" s="222" t="s">
        <v>264</v>
      </c>
      <c r="C112" s="230">
        <v>46133.0</v>
      </c>
      <c r="D112" s="223" t="s">
        <v>2081</v>
      </c>
      <c r="E112" s="223" t="s">
        <v>2082</v>
      </c>
      <c r="F112" s="223" t="s">
        <v>252</v>
      </c>
      <c r="G112" s="223" t="s">
        <v>263</v>
      </c>
      <c r="H112" s="228">
        <v>2.0</v>
      </c>
      <c r="I112" s="223" t="s">
        <v>1621</v>
      </c>
      <c r="J112" s="229">
        <v>16.5</v>
      </c>
      <c r="K112" s="224">
        <f t="shared" si="3"/>
        <v>33</v>
      </c>
      <c r="L112" s="223" t="s">
        <v>2293</v>
      </c>
      <c r="M112" s="125"/>
      <c r="N112" s="223"/>
      <c r="O112" s="223">
        <v>0.0</v>
      </c>
    </row>
    <row r="113" ht="22.5" customHeight="1">
      <c r="A113" s="221" t="s">
        <v>2314</v>
      </c>
      <c r="B113" s="222" t="s">
        <v>266</v>
      </c>
      <c r="C113" s="230">
        <v>46133.0</v>
      </c>
      <c r="D113" s="223" t="s">
        <v>2081</v>
      </c>
      <c r="E113" s="223" t="s">
        <v>2082</v>
      </c>
      <c r="F113" s="223" t="s">
        <v>252</v>
      </c>
      <c r="G113" s="223" t="s">
        <v>265</v>
      </c>
      <c r="H113" s="228">
        <v>3.0</v>
      </c>
      <c r="I113" s="223" t="s">
        <v>1621</v>
      </c>
      <c r="J113" s="229">
        <v>16.5</v>
      </c>
      <c r="K113" s="224">
        <f t="shared" si="3"/>
        <v>49.5</v>
      </c>
      <c r="L113" s="223" t="s">
        <v>2293</v>
      </c>
      <c r="M113" s="125"/>
      <c r="N113" s="223"/>
      <c r="O113" s="223">
        <v>0.0</v>
      </c>
    </row>
    <row r="114" ht="22.5" customHeight="1">
      <c r="A114" s="221" t="s">
        <v>2315</v>
      </c>
      <c r="B114" s="222" t="s">
        <v>268</v>
      </c>
      <c r="C114" s="230">
        <v>46133.0</v>
      </c>
      <c r="D114" s="223" t="s">
        <v>2081</v>
      </c>
      <c r="E114" s="223" t="s">
        <v>2082</v>
      </c>
      <c r="F114" s="223" t="s">
        <v>252</v>
      </c>
      <c r="G114" s="223" t="s">
        <v>267</v>
      </c>
      <c r="H114" s="228">
        <v>3.0</v>
      </c>
      <c r="I114" s="223" t="s">
        <v>1621</v>
      </c>
      <c r="J114" s="229">
        <v>16.5</v>
      </c>
      <c r="K114" s="224">
        <f t="shared" si="3"/>
        <v>49.5</v>
      </c>
      <c r="L114" s="223" t="s">
        <v>2293</v>
      </c>
      <c r="M114" s="125"/>
      <c r="N114" s="223"/>
      <c r="O114" s="223">
        <v>0.0</v>
      </c>
    </row>
    <row r="115" ht="22.5" customHeight="1">
      <c r="A115" s="221" t="s">
        <v>2316</v>
      </c>
      <c r="B115" s="222" t="s">
        <v>285</v>
      </c>
      <c r="C115" s="230">
        <v>46133.0</v>
      </c>
      <c r="D115" s="223" t="s">
        <v>2081</v>
      </c>
      <c r="E115" s="223" t="s">
        <v>2082</v>
      </c>
      <c r="F115" s="223" t="s">
        <v>252</v>
      </c>
      <c r="G115" s="223" t="s">
        <v>284</v>
      </c>
      <c r="H115" s="228">
        <v>5.0</v>
      </c>
      <c r="I115" s="223" t="s">
        <v>1621</v>
      </c>
      <c r="J115" s="229">
        <v>16.5</v>
      </c>
      <c r="K115" s="224">
        <f t="shared" si="3"/>
        <v>82.5</v>
      </c>
      <c r="L115" s="223" t="s">
        <v>2293</v>
      </c>
      <c r="M115" s="125"/>
      <c r="N115" s="223"/>
      <c r="O115" s="223">
        <v>0.0</v>
      </c>
    </row>
    <row r="116" ht="22.5" customHeight="1">
      <c r="A116" s="221" t="s">
        <v>2317</v>
      </c>
      <c r="B116" s="222" t="s">
        <v>254</v>
      </c>
      <c r="C116" s="230">
        <v>46133.0</v>
      </c>
      <c r="D116" s="223" t="s">
        <v>2081</v>
      </c>
      <c r="E116" s="223" t="s">
        <v>2082</v>
      </c>
      <c r="F116" s="223" t="s">
        <v>252</v>
      </c>
      <c r="G116" s="223" t="s">
        <v>253</v>
      </c>
      <c r="H116" s="228">
        <v>5.0</v>
      </c>
      <c r="I116" s="223" t="s">
        <v>1621</v>
      </c>
      <c r="J116" s="229">
        <v>16.5</v>
      </c>
      <c r="K116" s="224">
        <f t="shared" si="3"/>
        <v>82.5</v>
      </c>
      <c r="L116" s="223" t="s">
        <v>2293</v>
      </c>
      <c r="M116" s="125"/>
      <c r="N116" s="223"/>
      <c r="O116" s="223">
        <v>0.0</v>
      </c>
    </row>
    <row r="117" ht="22.5" customHeight="1">
      <c r="A117" s="221" t="s">
        <v>2318</v>
      </c>
      <c r="B117" s="222" t="s">
        <v>287</v>
      </c>
      <c r="C117" s="230">
        <v>46134.0</v>
      </c>
      <c r="D117" s="223" t="s">
        <v>2081</v>
      </c>
      <c r="E117" s="223" t="s">
        <v>2082</v>
      </c>
      <c r="F117" s="223" t="s">
        <v>162</v>
      </c>
      <c r="G117" s="223" t="s">
        <v>286</v>
      </c>
      <c r="H117" s="228">
        <v>9.0</v>
      </c>
      <c r="I117" s="223" t="s">
        <v>1621</v>
      </c>
      <c r="J117" s="229">
        <v>20.0</v>
      </c>
      <c r="K117" s="224">
        <f t="shared" si="3"/>
        <v>180</v>
      </c>
      <c r="L117" s="223" t="s">
        <v>2083</v>
      </c>
      <c r="M117" s="125"/>
      <c r="N117" s="223"/>
      <c r="O117" s="223">
        <v>0.0</v>
      </c>
    </row>
    <row r="118" ht="22.5" customHeight="1">
      <c r="A118" s="221" t="s">
        <v>2319</v>
      </c>
      <c r="B118" s="222" t="s">
        <v>223</v>
      </c>
      <c r="C118" s="230">
        <v>46134.0</v>
      </c>
      <c r="D118" s="223" t="s">
        <v>2081</v>
      </c>
      <c r="E118" s="223" t="s">
        <v>2082</v>
      </c>
      <c r="F118" s="223" t="s">
        <v>162</v>
      </c>
      <c r="G118" s="223" t="s">
        <v>222</v>
      </c>
      <c r="H118" s="228">
        <v>9.0</v>
      </c>
      <c r="I118" s="223" t="s">
        <v>1621</v>
      </c>
      <c r="J118" s="229">
        <v>20.0</v>
      </c>
      <c r="K118" s="224">
        <f t="shared" si="3"/>
        <v>180</v>
      </c>
      <c r="L118" s="223" t="s">
        <v>2083</v>
      </c>
      <c r="M118" s="125"/>
      <c r="N118" s="223"/>
      <c r="O118" s="223">
        <v>0.0</v>
      </c>
    </row>
    <row r="119" ht="22.5" customHeight="1">
      <c r="A119" s="221" t="s">
        <v>2320</v>
      </c>
      <c r="B119" s="222" t="s">
        <v>247</v>
      </c>
      <c r="C119" s="230">
        <v>46141.0</v>
      </c>
      <c r="D119" s="223" t="s">
        <v>2081</v>
      </c>
      <c r="E119" s="223" t="s">
        <v>2082</v>
      </c>
      <c r="F119" s="223" t="s">
        <v>242</v>
      </c>
      <c r="G119" s="223" t="s">
        <v>163</v>
      </c>
      <c r="H119" s="228">
        <v>12.0</v>
      </c>
      <c r="I119" s="223" t="s">
        <v>1621</v>
      </c>
      <c r="J119" s="229">
        <v>25.0</v>
      </c>
      <c r="K119" s="224">
        <f t="shared" si="3"/>
        <v>300</v>
      </c>
      <c r="L119" s="223" t="s">
        <v>2288</v>
      </c>
      <c r="M119" s="125"/>
      <c r="N119" s="223"/>
      <c r="O119" s="223">
        <v>0.0</v>
      </c>
    </row>
    <row r="120" ht="22.5" customHeight="1">
      <c r="A120" s="221" t="s">
        <v>2321</v>
      </c>
      <c r="B120" s="222" t="s">
        <v>289</v>
      </c>
      <c r="C120" s="230">
        <v>46153.0</v>
      </c>
      <c r="D120" s="223" t="s">
        <v>2081</v>
      </c>
      <c r="E120" s="223" t="s">
        <v>2082</v>
      </c>
      <c r="F120" s="223" t="s">
        <v>162</v>
      </c>
      <c r="G120" s="223" t="s">
        <v>288</v>
      </c>
      <c r="H120" s="228">
        <v>8.0</v>
      </c>
      <c r="I120" s="223" t="s">
        <v>1621</v>
      </c>
      <c r="J120" s="229">
        <v>20.0</v>
      </c>
      <c r="K120" s="224">
        <f t="shared" si="3"/>
        <v>160</v>
      </c>
      <c r="L120" s="223" t="s">
        <v>2288</v>
      </c>
      <c r="M120" s="125"/>
      <c r="N120" s="223"/>
      <c r="O120" s="223">
        <v>0.0</v>
      </c>
    </row>
    <row r="121" ht="22.5" customHeight="1">
      <c r="A121" s="221" t="s">
        <v>2322</v>
      </c>
      <c r="B121" s="222" t="s">
        <v>291</v>
      </c>
      <c r="C121" s="230">
        <v>46153.0</v>
      </c>
      <c r="D121" s="223" t="s">
        <v>2081</v>
      </c>
      <c r="E121" s="223" t="s">
        <v>2082</v>
      </c>
      <c r="F121" s="223" t="s">
        <v>162</v>
      </c>
      <c r="G121" s="223" t="s">
        <v>290</v>
      </c>
      <c r="H121" s="228">
        <v>10.0</v>
      </c>
      <c r="I121" s="223" t="s">
        <v>1621</v>
      </c>
      <c r="J121" s="229">
        <v>20.0</v>
      </c>
      <c r="K121" s="224">
        <f t="shared" si="3"/>
        <v>200</v>
      </c>
      <c r="L121" s="223" t="s">
        <v>2288</v>
      </c>
      <c r="M121" s="125"/>
      <c r="N121" s="223"/>
      <c r="O121" s="223">
        <v>0.0</v>
      </c>
    </row>
    <row r="122" ht="22.5" customHeight="1">
      <c r="A122" s="221" t="s">
        <v>2323</v>
      </c>
      <c r="B122" s="223" t="s">
        <v>293</v>
      </c>
      <c r="C122" s="230">
        <v>46153.0</v>
      </c>
      <c r="D122" s="223" t="s">
        <v>2081</v>
      </c>
      <c r="E122" s="223" t="s">
        <v>2082</v>
      </c>
      <c r="F122" s="223" t="s">
        <v>162</v>
      </c>
      <c r="G122" s="223" t="s">
        <v>292</v>
      </c>
      <c r="H122" s="228">
        <v>7.0</v>
      </c>
      <c r="I122" s="223" t="s">
        <v>1621</v>
      </c>
      <c r="J122" s="229">
        <v>20.0</v>
      </c>
      <c r="K122" s="224">
        <f t="shared" si="3"/>
        <v>140</v>
      </c>
      <c r="L122" s="223" t="s">
        <v>2288</v>
      </c>
      <c r="M122" s="125"/>
      <c r="N122" s="223"/>
      <c r="O122" s="223">
        <v>0.0</v>
      </c>
    </row>
    <row r="123" ht="22.5" customHeight="1">
      <c r="A123" s="221" t="s">
        <v>2324</v>
      </c>
      <c r="B123" s="222" t="s">
        <v>207</v>
      </c>
      <c r="C123" s="230">
        <v>46153.0</v>
      </c>
      <c r="D123" s="223" t="s">
        <v>2081</v>
      </c>
      <c r="E123" s="223" t="s">
        <v>2082</v>
      </c>
      <c r="F123" s="223" t="s">
        <v>203</v>
      </c>
      <c r="G123" s="223" t="s">
        <v>206</v>
      </c>
      <c r="H123" s="228">
        <v>11.0</v>
      </c>
      <c r="I123" s="223" t="s">
        <v>1621</v>
      </c>
      <c r="J123" s="229">
        <v>26.0</v>
      </c>
      <c r="K123" s="224">
        <f t="shared" si="3"/>
        <v>286</v>
      </c>
      <c r="L123" s="223" t="s">
        <v>2288</v>
      </c>
      <c r="M123" s="125"/>
      <c r="N123" s="223"/>
      <c r="O123" s="223">
        <v>0.0</v>
      </c>
    </row>
    <row r="124" ht="22.5" customHeight="1">
      <c r="A124" s="221" t="s">
        <v>2325</v>
      </c>
      <c r="B124" s="222" t="s">
        <v>295</v>
      </c>
      <c r="C124" s="230">
        <v>46153.0</v>
      </c>
      <c r="D124" s="223" t="s">
        <v>2081</v>
      </c>
      <c r="E124" s="223" t="s">
        <v>2082</v>
      </c>
      <c r="F124" s="223" t="s">
        <v>203</v>
      </c>
      <c r="G124" s="223" t="s">
        <v>294</v>
      </c>
      <c r="H124" s="228">
        <v>12.0</v>
      </c>
      <c r="I124" s="223" t="s">
        <v>1621</v>
      </c>
      <c r="J124" s="229">
        <v>26.0</v>
      </c>
      <c r="K124" s="224">
        <f t="shared" si="3"/>
        <v>312</v>
      </c>
      <c r="L124" s="223" t="s">
        <v>2288</v>
      </c>
      <c r="M124" s="125"/>
      <c r="N124" s="223"/>
      <c r="O124" s="223">
        <v>0.0</v>
      </c>
    </row>
    <row r="125" ht="22.5" customHeight="1">
      <c r="A125" s="221" t="s">
        <v>2326</v>
      </c>
      <c r="B125" s="222" t="s">
        <v>246</v>
      </c>
      <c r="C125" s="230">
        <v>46150.0</v>
      </c>
      <c r="D125" s="223" t="s">
        <v>2081</v>
      </c>
      <c r="E125" s="223" t="s">
        <v>2082</v>
      </c>
      <c r="F125" s="223" t="s">
        <v>242</v>
      </c>
      <c r="G125" s="223" t="s">
        <v>245</v>
      </c>
      <c r="H125" s="228">
        <v>5.0</v>
      </c>
      <c r="I125" s="223" t="s">
        <v>1621</v>
      </c>
      <c r="J125" s="229">
        <v>25.0</v>
      </c>
      <c r="K125" s="224">
        <f t="shared" si="3"/>
        <v>125</v>
      </c>
      <c r="L125" s="223" t="s">
        <v>2288</v>
      </c>
      <c r="M125" s="125"/>
      <c r="N125" s="223"/>
      <c r="O125" s="223">
        <v>0.0</v>
      </c>
    </row>
    <row r="126" ht="22.5" customHeight="1">
      <c r="A126" s="221" t="s">
        <v>2327</v>
      </c>
      <c r="B126" s="222" t="s">
        <v>244</v>
      </c>
      <c r="C126" s="230">
        <v>46150.0</v>
      </c>
      <c r="D126" s="223" t="s">
        <v>2081</v>
      </c>
      <c r="E126" s="223" t="s">
        <v>2082</v>
      </c>
      <c r="F126" s="223" t="s">
        <v>242</v>
      </c>
      <c r="G126" s="223" t="s">
        <v>243</v>
      </c>
      <c r="H126" s="228">
        <v>5.0</v>
      </c>
      <c r="I126" s="223" t="s">
        <v>1621</v>
      </c>
      <c r="J126" s="229">
        <v>30.0</v>
      </c>
      <c r="K126" s="224">
        <f t="shared" si="3"/>
        <v>150</v>
      </c>
      <c r="L126" s="223" t="s">
        <v>2083</v>
      </c>
      <c r="M126" s="125"/>
      <c r="N126" s="223"/>
      <c r="O126" s="223">
        <v>0.0</v>
      </c>
    </row>
    <row r="127" ht="22.5" customHeight="1">
      <c r="A127" s="221" t="s">
        <v>2328</v>
      </c>
      <c r="B127" s="222" t="s">
        <v>296</v>
      </c>
      <c r="C127" s="230">
        <v>46150.0</v>
      </c>
      <c r="D127" s="223" t="s">
        <v>2081</v>
      </c>
      <c r="E127" s="223" t="s">
        <v>2082</v>
      </c>
      <c r="F127" s="223" t="s">
        <v>242</v>
      </c>
      <c r="G127" s="223" t="s">
        <v>236</v>
      </c>
      <c r="H127" s="228">
        <v>10.0</v>
      </c>
      <c r="I127" s="223" t="s">
        <v>1621</v>
      </c>
      <c r="J127" s="229">
        <v>25.0</v>
      </c>
      <c r="K127" s="224">
        <f t="shared" si="3"/>
        <v>250</v>
      </c>
      <c r="L127" s="223" t="s">
        <v>2288</v>
      </c>
      <c r="M127" s="125"/>
      <c r="N127" s="223"/>
      <c r="O127" s="223">
        <v>0.0</v>
      </c>
    </row>
    <row r="128" ht="22.5" customHeight="1">
      <c r="A128" s="221" t="s">
        <v>2329</v>
      </c>
      <c r="B128" s="222" t="s">
        <v>298</v>
      </c>
      <c r="C128" s="230">
        <v>46150.0</v>
      </c>
      <c r="D128" s="223" t="s">
        <v>2081</v>
      </c>
      <c r="E128" s="223" t="s">
        <v>2082</v>
      </c>
      <c r="F128" s="223" t="s">
        <v>162</v>
      </c>
      <c r="G128" s="223" t="s">
        <v>297</v>
      </c>
      <c r="H128" s="228">
        <v>7.0</v>
      </c>
      <c r="I128" s="223" t="s">
        <v>1621</v>
      </c>
      <c r="J128" s="229">
        <v>20.0</v>
      </c>
      <c r="K128" s="224">
        <f t="shared" si="3"/>
        <v>140</v>
      </c>
      <c r="L128" s="223" t="s">
        <v>2288</v>
      </c>
      <c r="M128" s="125"/>
      <c r="N128" s="223"/>
      <c r="O128" s="223">
        <v>0.0</v>
      </c>
    </row>
    <row r="129" ht="22.5" customHeight="1">
      <c r="A129" s="221" t="s">
        <v>2330</v>
      </c>
      <c r="B129" s="222" t="s">
        <v>300</v>
      </c>
      <c r="C129" s="230">
        <v>46150.0</v>
      </c>
      <c r="D129" s="223" t="s">
        <v>2081</v>
      </c>
      <c r="E129" s="223" t="s">
        <v>2082</v>
      </c>
      <c r="F129" s="223" t="s">
        <v>162</v>
      </c>
      <c r="G129" s="223" t="s">
        <v>299</v>
      </c>
      <c r="H129" s="228">
        <v>8.0</v>
      </c>
      <c r="I129" s="223" t="s">
        <v>1621</v>
      </c>
      <c r="J129" s="229">
        <v>20.0</v>
      </c>
      <c r="K129" s="224">
        <f t="shared" si="3"/>
        <v>160</v>
      </c>
      <c r="L129" s="223" t="s">
        <v>2083</v>
      </c>
      <c r="M129" s="125"/>
      <c r="N129" s="223"/>
      <c r="O129" s="223">
        <v>0.0</v>
      </c>
    </row>
    <row r="130" ht="22.5" customHeight="1">
      <c r="A130" s="221" t="s">
        <v>2331</v>
      </c>
      <c r="B130" s="222" t="s">
        <v>207</v>
      </c>
      <c r="C130" s="230">
        <v>46150.0</v>
      </c>
      <c r="D130" s="223" t="s">
        <v>2081</v>
      </c>
      <c r="E130" s="223" t="s">
        <v>2082</v>
      </c>
      <c r="F130" s="223" t="s">
        <v>203</v>
      </c>
      <c r="G130" s="223" t="s">
        <v>206</v>
      </c>
      <c r="H130" s="228">
        <v>1.0</v>
      </c>
      <c r="I130" s="223" t="s">
        <v>1621</v>
      </c>
      <c r="J130" s="229">
        <v>26.0</v>
      </c>
      <c r="K130" s="224">
        <f t="shared" si="3"/>
        <v>26</v>
      </c>
      <c r="L130" s="223" t="s">
        <v>2083</v>
      </c>
      <c r="M130" s="125"/>
      <c r="N130" s="223"/>
      <c r="O130" s="223">
        <v>0.0</v>
      </c>
    </row>
    <row r="131" ht="22.5" customHeight="1">
      <c r="A131" s="221" t="s">
        <v>2332</v>
      </c>
      <c r="B131" s="222" t="s">
        <v>161</v>
      </c>
      <c r="C131" s="230">
        <v>46161.0</v>
      </c>
      <c r="D131" s="223" t="s">
        <v>2081</v>
      </c>
      <c r="E131" s="223" t="s">
        <v>2082</v>
      </c>
      <c r="F131" s="223" t="s">
        <v>162</v>
      </c>
      <c r="G131" s="223" t="s">
        <v>163</v>
      </c>
      <c r="H131" s="228">
        <v>6.0</v>
      </c>
      <c r="I131" s="223" t="s">
        <v>1621</v>
      </c>
      <c r="J131" s="229">
        <v>20.0</v>
      </c>
      <c r="K131" s="224">
        <f t="shared" si="3"/>
        <v>120</v>
      </c>
      <c r="L131" s="223" t="s">
        <v>2288</v>
      </c>
      <c r="M131" s="125"/>
      <c r="N131" s="223"/>
      <c r="O131" s="223">
        <v>0.0</v>
      </c>
    </row>
    <row r="132" ht="22.5" customHeight="1">
      <c r="A132" s="221" t="s">
        <v>2333</v>
      </c>
      <c r="B132" s="222" t="s">
        <v>302</v>
      </c>
      <c r="C132" s="230">
        <v>46162.0</v>
      </c>
      <c r="D132" s="223" t="s">
        <v>2081</v>
      </c>
      <c r="E132" s="223" t="s">
        <v>2082</v>
      </c>
      <c r="F132" s="223" t="s">
        <v>269</v>
      </c>
      <c r="G132" s="223" t="s">
        <v>301</v>
      </c>
      <c r="H132" s="228">
        <v>5.0</v>
      </c>
      <c r="I132" s="223" t="s">
        <v>1621</v>
      </c>
      <c r="J132" s="229">
        <v>19.0</v>
      </c>
      <c r="K132" s="224">
        <f t="shared" si="3"/>
        <v>95</v>
      </c>
      <c r="L132" s="223" t="s">
        <v>2293</v>
      </c>
      <c r="M132" s="125"/>
      <c r="N132" s="223"/>
      <c r="O132" s="223">
        <v>0.0</v>
      </c>
    </row>
    <row r="133" ht="22.5" customHeight="1">
      <c r="A133" s="221" t="s">
        <v>2334</v>
      </c>
      <c r="B133" s="222" t="s">
        <v>304</v>
      </c>
      <c r="C133" s="230">
        <v>46162.0</v>
      </c>
      <c r="D133" s="223" t="s">
        <v>2081</v>
      </c>
      <c r="E133" s="223" t="s">
        <v>2082</v>
      </c>
      <c r="F133" s="223" t="s">
        <v>269</v>
      </c>
      <c r="G133" s="223" t="s">
        <v>303</v>
      </c>
      <c r="H133" s="228">
        <v>5.0</v>
      </c>
      <c r="I133" s="223" t="s">
        <v>1621</v>
      </c>
      <c r="J133" s="229">
        <v>19.0</v>
      </c>
      <c r="K133" s="224">
        <f t="shared" si="3"/>
        <v>95</v>
      </c>
      <c r="L133" s="223" t="s">
        <v>2293</v>
      </c>
      <c r="M133" s="125"/>
      <c r="N133" s="223"/>
      <c r="O133" s="223">
        <v>0.0</v>
      </c>
    </row>
    <row r="134" ht="22.5" customHeight="1">
      <c r="A134" s="221" t="s">
        <v>2335</v>
      </c>
      <c r="B134" s="222" t="s">
        <v>52</v>
      </c>
      <c r="C134" s="230">
        <v>46162.0</v>
      </c>
      <c r="D134" s="223" t="s">
        <v>2081</v>
      </c>
      <c r="E134" s="223" t="s">
        <v>2082</v>
      </c>
      <c r="F134" s="223" t="s">
        <v>269</v>
      </c>
      <c r="G134" s="223" t="s">
        <v>283</v>
      </c>
      <c r="H134" s="228">
        <v>9.0</v>
      </c>
      <c r="I134" s="223" t="s">
        <v>1621</v>
      </c>
      <c r="J134" s="229">
        <v>19.0</v>
      </c>
      <c r="K134" s="224">
        <f t="shared" si="3"/>
        <v>171</v>
      </c>
      <c r="L134" s="223" t="s">
        <v>2293</v>
      </c>
      <c r="M134" s="125"/>
      <c r="N134" s="223"/>
      <c r="O134" s="223">
        <v>0.0</v>
      </c>
    </row>
    <row r="135" ht="22.5" customHeight="1">
      <c r="A135" s="221" t="s">
        <v>2336</v>
      </c>
      <c r="B135" s="222" t="s">
        <v>305</v>
      </c>
      <c r="C135" s="230">
        <v>46162.0</v>
      </c>
      <c r="D135" s="223" t="s">
        <v>2081</v>
      </c>
      <c r="E135" s="223" t="s">
        <v>2082</v>
      </c>
      <c r="F135" s="223" t="s">
        <v>269</v>
      </c>
      <c r="G135" s="223" t="s">
        <v>255</v>
      </c>
      <c r="H135" s="228">
        <v>1.0</v>
      </c>
      <c r="I135" s="223" t="s">
        <v>1621</v>
      </c>
      <c r="J135" s="229">
        <v>19.0</v>
      </c>
      <c r="K135" s="224">
        <f t="shared" si="3"/>
        <v>19</v>
      </c>
      <c r="L135" s="223" t="s">
        <v>2293</v>
      </c>
      <c r="M135" s="125"/>
      <c r="N135" s="223"/>
      <c r="O135" s="223">
        <v>0.0</v>
      </c>
    </row>
    <row r="136" ht="22.5" customHeight="1">
      <c r="A136" s="221" t="s">
        <v>2337</v>
      </c>
      <c r="B136" s="222" t="s">
        <v>258</v>
      </c>
      <c r="C136" s="230">
        <v>46162.0</v>
      </c>
      <c r="D136" s="223" t="s">
        <v>2081</v>
      </c>
      <c r="E136" s="223" t="s">
        <v>2082</v>
      </c>
      <c r="F136" s="223" t="s">
        <v>252</v>
      </c>
      <c r="G136" s="223" t="s">
        <v>257</v>
      </c>
      <c r="H136" s="228">
        <v>8.0</v>
      </c>
      <c r="I136" s="223" t="s">
        <v>1621</v>
      </c>
      <c r="J136" s="229">
        <v>16.5</v>
      </c>
      <c r="K136" s="224">
        <f t="shared" si="3"/>
        <v>132</v>
      </c>
      <c r="L136" s="223" t="s">
        <v>2293</v>
      </c>
      <c r="M136" s="125"/>
      <c r="N136" s="223"/>
      <c r="O136" s="223">
        <v>0.0</v>
      </c>
    </row>
    <row r="137" ht="22.5" customHeight="1">
      <c r="A137" s="221" t="s">
        <v>2338</v>
      </c>
      <c r="B137" s="223" t="s">
        <v>260</v>
      </c>
      <c r="C137" s="230">
        <v>46162.0</v>
      </c>
      <c r="D137" s="223" t="s">
        <v>2081</v>
      </c>
      <c r="E137" s="223" t="s">
        <v>2082</v>
      </c>
      <c r="F137" s="223" t="s">
        <v>252</v>
      </c>
      <c r="G137" s="223" t="s">
        <v>259</v>
      </c>
      <c r="H137" s="228">
        <v>8.0</v>
      </c>
      <c r="I137" s="223" t="s">
        <v>1621</v>
      </c>
      <c r="J137" s="229">
        <v>16.5</v>
      </c>
      <c r="K137" s="224">
        <f t="shared" si="3"/>
        <v>132</v>
      </c>
      <c r="L137" s="223" t="s">
        <v>2293</v>
      </c>
      <c r="M137" s="125"/>
      <c r="N137" s="223"/>
      <c r="O137" s="223">
        <v>0.0</v>
      </c>
    </row>
    <row r="138" ht="22.5" customHeight="1">
      <c r="A138" s="221" t="s">
        <v>2339</v>
      </c>
      <c r="B138" s="222" t="s">
        <v>264</v>
      </c>
      <c r="C138" s="230">
        <v>46162.0</v>
      </c>
      <c r="D138" s="223" t="s">
        <v>2081</v>
      </c>
      <c r="E138" s="223" t="s">
        <v>2082</v>
      </c>
      <c r="F138" s="223" t="s">
        <v>252</v>
      </c>
      <c r="G138" s="223" t="s">
        <v>263</v>
      </c>
      <c r="H138" s="228">
        <v>6.0</v>
      </c>
      <c r="I138" s="223" t="s">
        <v>1621</v>
      </c>
      <c r="J138" s="229">
        <v>16.5</v>
      </c>
      <c r="K138" s="224">
        <f t="shared" si="3"/>
        <v>99</v>
      </c>
      <c r="L138" s="223" t="s">
        <v>2293</v>
      </c>
      <c r="M138" s="125"/>
      <c r="N138" s="223"/>
      <c r="O138" s="223">
        <v>0.0</v>
      </c>
    </row>
    <row r="139" ht="22.5" customHeight="1">
      <c r="A139" s="221" t="s">
        <v>2340</v>
      </c>
      <c r="B139" s="222" t="s">
        <v>266</v>
      </c>
      <c r="C139" s="230">
        <v>46162.0</v>
      </c>
      <c r="D139" s="223" t="s">
        <v>2081</v>
      </c>
      <c r="E139" s="223" t="s">
        <v>2082</v>
      </c>
      <c r="F139" s="223" t="s">
        <v>252</v>
      </c>
      <c r="G139" s="223" t="s">
        <v>265</v>
      </c>
      <c r="H139" s="228">
        <v>5.0</v>
      </c>
      <c r="I139" s="223" t="s">
        <v>1621</v>
      </c>
      <c r="J139" s="229">
        <v>16.5</v>
      </c>
      <c r="K139" s="224">
        <f t="shared" si="3"/>
        <v>82.5</v>
      </c>
      <c r="L139" s="223" t="s">
        <v>2293</v>
      </c>
      <c r="M139" s="125"/>
      <c r="N139" s="223"/>
      <c r="O139" s="223">
        <v>0.0</v>
      </c>
    </row>
    <row r="140" ht="22.5" customHeight="1">
      <c r="A140" s="221" t="s">
        <v>2341</v>
      </c>
      <c r="B140" s="222" t="s">
        <v>307</v>
      </c>
      <c r="C140" s="230">
        <v>46162.0</v>
      </c>
      <c r="D140" s="223" t="s">
        <v>2081</v>
      </c>
      <c r="E140" s="223" t="s">
        <v>2082</v>
      </c>
      <c r="F140" s="223" t="s">
        <v>252</v>
      </c>
      <c r="G140" s="223" t="s">
        <v>306</v>
      </c>
      <c r="H140" s="228">
        <v>7.0</v>
      </c>
      <c r="I140" s="223" t="s">
        <v>1621</v>
      </c>
      <c r="J140" s="229">
        <v>16.5</v>
      </c>
      <c r="K140" s="224">
        <f t="shared" si="3"/>
        <v>115.5</v>
      </c>
      <c r="L140" s="223" t="s">
        <v>2293</v>
      </c>
      <c r="M140" s="125"/>
      <c r="N140" s="223"/>
      <c r="O140" s="223">
        <v>0.0</v>
      </c>
    </row>
    <row r="141" ht="22.5" customHeight="1">
      <c r="A141" s="221" t="s">
        <v>2342</v>
      </c>
      <c r="B141" s="222" t="s">
        <v>49</v>
      </c>
      <c r="C141" s="230">
        <v>46106.66666666667</v>
      </c>
      <c r="D141" s="223" t="s">
        <v>2081</v>
      </c>
      <c r="E141" s="223" t="s">
        <v>2082</v>
      </c>
      <c r="F141" s="223" t="s">
        <v>211</v>
      </c>
      <c r="G141" s="223" t="s">
        <v>308</v>
      </c>
      <c r="H141" s="228">
        <v>33.0</v>
      </c>
      <c r="I141" s="223" t="s">
        <v>1621</v>
      </c>
      <c r="J141" s="229">
        <v>10.71</v>
      </c>
      <c r="K141" s="224">
        <f t="shared" si="3"/>
        <v>353.43</v>
      </c>
      <c r="L141" s="223" t="s">
        <v>2343</v>
      </c>
      <c r="M141" s="125"/>
      <c r="N141" s="223"/>
      <c r="O141" s="223">
        <v>0.0</v>
      </c>
    </row>
    <row r="142" ht="22.5" customHeight="1">
      <c r="A142" s="221" t="s">
        <v>2344</v>
      </c>
      <c r="B142" s="222" t="s">
        <v>310</v>
      </c>
      <c r="C142" s="230">
        <v>46106.66666666667</v>
      </c>
      <c r="D142" s="223" t="s">
        <v>2081</v>
      </c>
      <c r="E142" s="223" t="s">
        <v>2082</v>
      </c>
      <c r="F142" s="223" t="s">
        <v>211</v>
      </c>
      <c r="G142" s="223" t="s">
        <v>309</v>
      </c>
      <c r="H142" s="228">
        <v>14.0</v>
      </c>
      <c r="I142" s="223" t="s">
        <v>1621</v>
      </c>
      <c r="J142" s="229">
        <v>10.71</v>
      </c>
      <c r="K142" s="224">
        <f t="shared" si="3"/>
        <v>149.94</v>
      </c>
      <c r="L142" s="223" t="s">
        <v>2343</v>
      </c>
      <c r="M142" s="125"/>
      <c r="N142" s="223"/>
      <c r="O142" s="223">
        <v>0.0</v>
      </c>
    </row>
    <row r="143" ht="22.5" customHeight="1">
      <c r="A143" s="221" t="s">
        <v>2345</v>
      </c>
      <c r="B143" s="222" t="s">
        <v>312</v>
      </c>
      <c r="C143" s="230">
        <v>46106.66666666667</v>
      </c>
      <c r="D143" s="223" t="s">
        <v>2081</v>
      </c>
      <c r="E143" s="223" t="s">
        <v>2082</v>
      </c>
      <c r="F143" s="223" t="s">
        <v>211</v>
      </c>
      <c r="G143" s="223" t="s">
        <v>311</v>
      </c>
      <c r="H143" s="228">
        <v>9.0</v>
      </c>
      <c r="I143" s="223" t="s">
        <v>1621</v>
      </c>
      <c r="J143" s="229">
        <v>10.71</v>
      </c>
      <c r="K143" s="224">
        <f t="shared" si="3"/>
        <v>96.39</v>
      </c>
      <c r="L143" s="223" t="s">
        <v>2343</v>
      </c>
      <c r="M143" s="125"/>
      <c r="N143" s="223"/>
      <c r="O143" s="223">
        <v>0.0</v>
      </c>
    </row>
    <row r="144" ht="22.5" customHeight="1">
      <c r="A144" s="221" t="s">
        <v>2346</v>
      </c>
      <c r="B144" s="222" t="s">
        <v>314</v>
      </c>
      <c r="C144" s="230">
        <v>46106.66666666667</v>
      </c>
      <c r="D144" s="223" t="s">
        <v>2081</v>
      </c>
      <c r="E144" s="223" t="s">
        <v>2082</v>
      </c>
      <c r="F144" s="223" t="s">
        <v>211</v>
      </c>
      <c r="G144" s="223" t="s">
        <v>313</v>
      </c>
      <c r="H144" s="228">
        <v>15.0</v>
      </c>
      <c r="I144" s="223" t="s">
        <v>1621</v>
      </c>
      <c r="J144" s="229">
        <v>10.71</v>
      </c>
      <c r="K144" s="224">
        <f t="shared" si="3"/>
        <v>160.65</v>
      </c>
      <c r="L144" s="223" t="s">
        <v>2343</v>
      </c>
      <c r="M144" s="125"/>
      <c r="N144" s="223"/>
      <c r="O144" s="223">
        <v>0.0</v>
      </c>
    </row>
    <row r="145" ht="22.5" customHeight="1">
      <c r="A145" s="221" t="s">
        <v>2347</v>
      </c>
      <c r="B145" s="222" t="s">
        <v>316</v>
      </c>
      <c r="C145" s="230">
        <v>46106.66666666667</v>
      </c>
      <c r="D145" s="223" t="s">
        <v>2081</v>
      </c>
      <c r="E145" s="223" t="s">
        <v>2082</v>
      </c>
      <c r="F145" s="223" t="s">
        <v>211</v>
      </c>
      <c r="G145" s="223" t="s">
        <v>315</v>
      </c>
      <c r="H145" s="228">
        <v>18.0</v>
      </c>
      <c r="I145" s="223" t="s">
        <v>1621</v>
      </c>
      <c r="J145" s="229">
        <v>10.71</v>
      </c>
      <c r="K145" s="224">
        <f t="shared" si="3"/>
        <v>192.78</v>
      </c>
      <c r="L145" s="223" t="s">
        <v>2343</v>
      </c>
      <c r="M145" s="125"/>
      <c r="N145" s="223"/>
      <c r="O145" s="223">
        <v>0.0</v>
      </c>
    </row>
    <row r="146" ht="22.5" customHeight="1">
      <c r="A146" s="221" t="s">
        <v>2348</v>
      </c>
      <c r="B146" s="222" t="s">
        <v>318</v>
      </c>
      <c r="C146" s="230">
        <v>46106.66666666667</v>
      </c>
      <c r="D146" s="223" t="s">
        <v>2081</v>
      </c>
      <c r="E146" s="223" t="s">
        <v>2082</v>
      </c>
      <c r="F146" s="223" t="s">
        <v>211</v>
      </c>
      <c r="G146" s="223" t="s">
        <v>317</v>
      </c>
      <c r="H146" s="228">
        <v>14.0</v>
      </c>
      <c r="I146" s="223" t="s">
        <v>1621</v>
      </c>
      <c r="J146" s="229">
        <v>10.71</v>
      </c>
      <c r="K146" s="224">
        <f t="shared" si="3"/>
        <v>149.94</v>
      </c>
      <c r="L146" s="223" t="s">
        <v>2343</v>
      </c>
      <c r="M146" s="125"/>
      <c r="N146" s="223"/>
      <c r="O146" s="223">
        <v>0.0</v>
      </c>
    </row>
    <row r="147" ht="22.5" customHeight="1">
      <c r="A147" s="221" t="s">
        <v>2349</v>
      </c>
      <c r="B147" s="222" t="s">
        <v>320</v>
      </c>
      <c r="C147" s="230">
        <v>46106.66666666667</v>
      </c>
      <c r="D147" s="223" t="s">
        <v>2081</v>
      </c>
      <c r="E147" s="223" t="s">
        <v>2082</v>
      </c>
      <c r="F147" s="223" t="s">
        <v>319</v>
      </c>
      <c r="G147" s="223" t="s">
        <v>309</v>
      </c>
      <c r="H147" s="228">
        <v>20.0</v>
      </c>
      <c r="I147" s="223" t="s">
        <v>1621</v>
      </c>
      <c r="J147" s="229">
        <v>14.58</v>
      </c>
      <c r="K147" s="224">
        <f t="shared" si="3"/>
        <v>291.6</v>
      </c>
      <c r="L147" s="223" t="s">
        <v>2343</v>
      </c>
      <c r="M147" s="125"/>
      <c r="N147" s="223"/>
      <c r="O147" s="223">
        <v>0.0</v>
      </c>
    </row>
    <row r="148" ht="22.5" customHeight="1">
      <c r="A148" s="221" t="s">
        <v>2350</v>
      </c>
      <c r="B148" s="222" t="s">
        <v>321</v>
      </c>
      <c r="C148" s="230">
        <v>46106.66666666667</v>
      </c>
      <c r="D148" s="223" t="s">
        <v>2081</v>
      </c>
      <c r="E148" s="223" t="s">
        <v>2082</v>
      </c>
      <c r="F148" s="223" t="s">
        <v>319</v>
      </c>
      <c r="G148" s="223" t="s">
        <v>311</v>
      </c>
      <c r="H148" s="228">
        <v>20.0</v>
      </c>
      <c r="I148" s="223" t="s">
        <v>1621</v>
      </c>
      <c r="J148" s="229">
        <v>14.58</v>
      </c>
      <c r="K148" s="224">
        <f t="shared" si="3"/>
        <v>291.6</v>
      </c>
      <c r="L148" s="223" t="s">
        <v>2343</v>
      </c>
      <c r="M148" s="125"/>
      <c r="N148" s="223"/>
      <c r="O148" s="223">
        <v>0.0</v>
      </c>
    </row>
    <row r="149" ht="22.5" customHeight="1">
      <c r="A149" s="221" t="s">
        <v>2351</v>
      </c>
      <c r="B149" s="222" t="s">
        <v>322</v>
      </c>
      <c r="C149" s="230">
        <v>46106.66666666667</v>
      </c>
      <c r="D149" s="223" t="s">
        <v>2081</v>
      </c>
      <c r="E149" s="223" t="s">
        <v>2082</v>
      </c>
      <c r="F149" s="223" t="s">
        <v>319</v>
      </c>
      <c r="G149" s="223" t="s">
        <v>313</v>
      </c>
      <c r="H149" s="228">
        <v>20.0</v>
      </c>
      <c r="I149" s="223" t="s">
        <v>1621</v>
      </c>
      <c r="J149" s="229">
        <v>14.58</v>
      </c>
      <c r="K149" s="224">
        <f t="shared" si="3"/>
        <v>291.6</v>
      </c>
      <c r="L149" s="223" t="s">
        <v>2343</v>
      </c>
      <c r="M149" s="125"/>
      <c r="N149" s="223"/>
      <c r="O149" s="223">
        <v>0.0</v>
      </c>
    </row>
    <row r="150" ht="22.5" customHeight="1">
      <c r="A150" s="221" t="s">
        <v>2352</v>
      </c>
      <c r="B150" s="222" t="s">
        <v>323</v>
      </c>
      <c r="C150" s="230">
        <v>46106.66666666667</v>
      </c>
      <c r="D150" s="223" t="s">
        <v>2081</v>
      </c>
      <c r="E150" s="223" t="s">
        <v>2082</v>
      </c>
      <c r="F150" s="223" t="s">
        <v>319</v>
      </c>
      <c r="G150" s="223" t="s">
        <v>315</v>
      </c>
      <c r="H150" s="228">
        <v>25.0</v>
      </c>
      <c r="I150" s="223" t="s">
        <v>1621</v>
      </c>
      <c r="J150" s="229">
        <v>14.58</v>
      </c>
      <c r="K150" s="224">
        <f t="shared" si="3"/>
        <v>364.5</v>
      </c>
      <c r="L150" s="223" t="s">
        <v>2343</v>
      </c>
      <c r="M150" s="125"/>
      <c r="N150" s="223"/>
      <c r="O150" s="223">
        <v>0.0</v>
      </c>
    </row>
    <row r="151" ht="22.5" customHeight="1">
      <c r="A151" s="221" t="s">
        <v>2353</v>
      </c>
      <c r="B151" s="222" t="s">
        <v>44</v>
      </c>
      <c r="C151" s="230">
        <v>46106.66666666667</v>
      </c>
      <c r="D151" s="223" t="s">
        <v>2081</v>
      </c>
      <c r="E151" s="223" t="s">
        <v>2082</v>
      </c>
      <c r="F151" s="223" t="s">
        <v>319</v>
      </c>
      <c r="G151" s="223" t="s">
        <v>324</v>
      </c>
      <c r="H151" s="228">
        <v>31.0</v>
      </c>
      <c r="I151" s="223" t="s">
        <v>1621</v>
      </c>
      <c r="J151" s="229">
        <v>14.58</v>
      </c>
      <c r="K151" s="224">
        <f t="shared" si="3"/>
        <v>451.98</v>
      </c>
      <c r="L151" s="223" t="s">
        <v>2343</v>
      </c>
      <c r="M151" s="125"/>
      <c r="N151" s="223"/>
      <c r="O151" s="223">
        <v>0.0</v>
      </c>
    </row>
    <row r="152" ht="22.5" customHeight="1">
      <c r="A152" s="221" t="s">
        <v>2354</v>
      </c>
      <c r="B152" s="222" t="s">
        <v>326</v>
      </c>
      <c r="C152" s="230">
        <v>46106.66666666667</v>
      </c>
      <c r="D152" s="223" t="s">
        <v>2081</v>
      </c>
      <c r="E152" s="223" t="s">
        <v>2082</v>
      </c>
      <c r="F152" s="223" t="s">
        <v>319</v>
      </c>
      <c r="G152" s="223" t="s">
        <v>325</v>
      </c>
      <c r="H152" s="228">
        <v>20.0</v>
      </c>
      <c r="I152" s="223" t="s">
        <v>1621</v>
      </c>
      <c r="J152" s="229">
        <v>14.58</v>
      </c>
      <c r="K152" s="224">
        <f t="shared" si="3"/>
        <v>291.6</v>
      </c>
      <c r="L152" s="223" t="s">
        <v>2343</v>
      </c>
      <c r="M152" s="125"/>
      <c r="N152" s="223"/>
      <c r="O152" s="223">
        <v>0.0</v>
      </c>
    </row>
    <row r="153" ht="22.5" customHeight="1">
      <c r="A153" s="221" t="s">
        <v>2355</v>
      </c>
      <c r="B153" s="222" t="s">
        <v>460</v>
      </c>
      <c r="C153" s="230">
        <v>46106.66666666667</v>
      </c>
      <c r="D153" s="223" t="s">
        <v>2081</v>
      </c>
      <c r="E153" s="223" t="s">
        <v>2356</v>
      </c>
      <c r="F153" s="223" t="s">
        <v>327</v>
      </c>
      <c r="G153" s="223" t="s">
        <v>2357</v>
      </c>
      <c r="H153" s="228">
        <v>16.0</v>
      </c>
      <c r="I153" s="223" t="s">
        <v>1621</v>
      </c>
      <c r="J153" s="229">
        <v>2.48</v>
      </c>
      <c r="K153" s="224">
        <f t="shared" si="3"/>
        <v>39.68</v>
      </c>
      <c r="L153" s="223" t="s">
        <v>2343</v>
      </c>
      <c r="M153" s="125"/>
      <c r="N153" s="223"/>
      <c r="O153" s="223">
        <v>0.0</v>
      </c>
    </row>
    <row r="154" ht="22.5" customHeight="1">
      <c r="A154" s="221" t="s">
        <v>2358</v>
      </c>
      <c r="B154" s="222" t="s">
        <v>437</v>
      </c>
      <c r="C154" s="230">
        <v>46106.66666666667</v>
      </c>
      <c r="D154" s="223" t="s">
        <v>2081</v>
      </c>
      <c r="E154" s="223" t="s">
        <v>2356</v>
      </c>
      <c r="F154" s="223" t="s">
        <v>327</v>
      </c>
      <c r="G154" s="223" t="s">
        <v>2359</v>
      </c>
      <c r="H154" s="228">
        <v>9.0</v>
      </c>
      <c r="I154" s="223" t="s">
        <v>1621</v>
      </c>
      <c r="J154" s="229">
        <v>2.48</v>
      </c>
      <c r="K154" s="224">
        <f t="shared" si="3"/>
        <v>22.32</v>
      </c>
      <c r="L154" s="223" t="s">
        <v>2343</v>
      </c>
      <c r="M154" s="125"/>
      <c r="N154" s="223"/>
      <c r="O154" s="223">
        <v>0.0</v>
      </c>
    </row>
    <row r="155" ht="22.5" customHeight="1">
      <c r="A155" s="221" t="s">
        <v>2360</v>
      </c>
      <c r="B155" s="222" t="s">
        <v>466</v>
      </c>
      <c r="C155" s="230">
        <v>46106.66666666667</v>
      </c>
      <c r="D155" s="223" t="s">
        <v>2081</v>
      </c>
      <c r="E155" s="223" t="s">
        <v>2356</v>
      </c>
      <c r="F155" s="223" t="s">
        <v>327</v>
      </c>
      <c r="G155" s="223" t="s">
        <v>2361</v>
      </c>
      <c r="H155" s="228">
        <v>21.0</v>
      </c>
      <c r="I155" s="223" t="s">
        <v>1621</v>
      </c>
      <c r="J155" s="229">
        <v>2.48</v>
      </c>
      <c r="K155" s="224">
        <f t="shared" si="3"/>
        <v>52.08</v>
      </c>
      <c r="L155" s="223" t="s">
        <v>2343</v>
      </c>
      <c r="M155" s="125"/>
      <c r="N155" s="223"/>
      <c r="O155" s="223">
        <v>0.0</v>
      </c>
    </row>
    <row r="156" ht="22.5" customHeight="1">
      <c r="A156" s="221" t="s">
        <v>2362</v>
      </c>
      <c r="B156" s="222" t="s">
        <v>454</v>
      </c>
      <c r="C156" s="230">
        <v>46106.66666666667</v>
      </c>
      <c r="D156" s="223" t="s">
        <v>2081</v>
      </c>
      <c r="E156" s="223" t="s">
        <v>2356</v>
      </c>
      <c r="F156" s="223" t="s">
        <v>327</v>
      </c>
      <c r="G156" s="223" t="s">
        <v>2363</v>
      </c>
      <c r="H156" s="228">
        <v>19.0</v>
      </c>
      <c r="I156" s="223" t="s">
        <v>1621</v>
      </c>
      <c r="J156" s="229">
        <v>2.48</v>
      </c>
      <c r="K156" s="224">
        <f t="shared" si="3"/>
        <v>47.12</v>
      </c>
      <c r="L156" s="223" t="s">
        <v>2343</v>
      </c>
      <c r="M156" s="125"/>
      <c r="N156" s="223"/>
      <c r="O156" s="223">
        <v>0.0</v>
      </c>
    </row>
    <row r="157" ht="22.5" customHeight="1">
      <c r="A157" s="221" t="s">
        <v>2364</v>
      </c>
      <c r="B157" s="222" t="s">
        <v>337</v>
      </c>
      <c r="C157" s="230">
        <v>46106.66666666667</v>
      </c>
      <c r="D157" s="223" t="s">
        <v>2081</v>
      </c>
      <c r="E157" s="223" t="s">
        <v>2356</v>
      </c>
      <c r="F157" s="223" t="s">
        <v>327</v>
      </c>
      <c r="G157" s="223" t="s">
        <v>336</v>
      </c>
      <c r="H157" s="228">
        <v>16.0</v>
      </c>
      <c r="I157" s="223" t="s">
        <v>1621</v>
      </c>
      <c r="J157" s="229">
        <v>2.48</v>
      </c>
      <c r="K157" s="224">
        <f t="shared" si="3"/>
        <v>39.68</v>
      </c>
      <c r="L157" s="223" t="s">
        <v>2343</v>
      </c>
      <c r="M157" s="125"/>
      <c r="N157" s="223"/>
      <c r="O157" s="223">
        <v>0.0</v>
      </c>
    </row>
    <row r="158" ht="22.5" customHeight="1">
      <c r="A158" s="221" t="s">
        <v>2365</v>
      </c>
      <c r="B158" s="222" t="s">
        <v>448</v>
      </c>
      <c r="C158" s="230">
        <v>46106.66666666667</v>
      </c>
      <c r="D158" s="223" t="s">
        <v>2081</v>
      </c>
      <c r="E158" s="223" t="s">
        <v>2356</v>
      </c>
      <c r="F158" s="223" t="s">
        <v>327</v>
      </c>
      <c r="G158" s="223" t="s">
        <v>2366</v>
      </c>
      <c r="H158" s="228">
        <v>16.0</v>
      </c>
      <c r="I158" s="223" t="s">
        <v>1621</v>
      </c>
      <c r="J158" s="229">
        <v>2.48</v>
      </c>
      <c r="K158" s="224">
        <f t="shared" si="3"/>
        <v>39.68</v>
      </c>
      <c r="L158" s="223" t="s">
        <v>2343</v>
      </c>
      <c r="M158" s="125"/>
      <c r="N158" s="223"/>
      <c r="O158" s="223">
        <v>0.0</v>
      </c>
    </row>
    <row r="159" ht="22.5" customHeight="1">
      <c r="A159" s="221" t="s">
        <v>2367</v>
      </c>
      <c r="B159" s="222" t="s">
        <v>639</v>
      </c>
      <c r="C159" s="230">
        <v>46106.66666666667</v>
      </c>
      <c r="D159" s="223" t="s">
        <v>2081</v>
      </c>
      <c r="E159" s="223" t="s">
        <v>2356</v>
      </c>
      <c r="F159" s="223" t="s">
        <v>327</v>
      </c>
      <c r="G159" s="223" t="s">
        <v>2368</v>
      </c>
      <c r="H159" s="228">
        <v>15.0</v>
      </c>
      <c r="I159" s="223" t="s">
        <v>1621</v>
      </c>
      <c r="J159" s="229">
        <v>2.54</v>
      </c>
      <c r="K159" s="224">
        <f t="shared" si="3"/>
        <v>38.1</v>
      </c>
      <c r="L159" s="223" t="s">
        <v>2343</v>
      </c>
      <c r="M159" s="125"/>
      <c r="N159" s="223"/>
      <c r="O159" s="223">
        <v>0.0</v>
      </c>
    </row>
    <row r="160" ht="22.5" customHeight="1">
      <c r="A160" s="221" t="s">
        <v>2369</v>
      </c>
      <c r="B160" s="222" t="s">
        <v>616</v>
      </c>
      <c r="C160" s="230">
        <v>46106.66666666667</v>
      </c>
      <c r="D160" s="223" t="s">
        <v>2081</v>
      </c>
      <c r="E160" s="223" t="s">
        <v>2356</v>
      </c>
      <c r="F160" s="223" t="s">
        <v>327</v>
      </c>
      <c r="G160" s="223" t="s">
        <v>2370</v>
      </c>
      <c r="H160" s="228">
        <v>9.0</v>
      </c>
      <c r="I160" s="223" t="s">
        <v>1621</v>
      </c>
      <c r="J160" s="229">
        <v>2.54</v>
      </c>
      <c r="K160" s="224">
        <f t="shared" si="3"/>
        <v>22.86</v>
      </c>
      <c r="L160" s="223" t="s">
        <v>2343</v>
      </c>
      <c r="M160" s="125"/>
      <c r="N160" s="223"/>
      <c r="O160" s="223">
        <v>0.0</v>
      </c>
    </row>
    <row r="161" ht="22.5" customHeight="1">
      <c r="A161" s="221" t="s">
        <v>2371</v>
      </c>
      <c r="B161" s="222" t="s">
        <v>645</v>
      </c>
      <c r="C161" s="230">
        <v>46106.66666666667</v>
      </c>
      <c r="D161" s="223" t="s">
        <v>2081</v>
      </c>
      <c r="E161" s="223" t="s">
        <v>2356</v>
      </c>
      <c r="F161" s="223" t="s">
        <v>327</v>
      </c>
      <c r="G161" s="223" t="s">
        <v>2372</v>
      </c>
      <c r="H161" s="228">
        <v>21.0</v>
      </c>
      <c r="I161" s="223" t="s">
        <v>1621</v>
      </c>
      <c r="J161" s="229">
        <v>2.54</v>
      </c>
      <c r="K161" s="224">
        <f t="shared" si="3"/>
        <v>53.34</v>
      </c>
      <c r="L161" s="223" t="s">
        <v>2343</v>
      </c>
      <c r="M161" s="125"/>
      <c r="N161" s="223"/>
      <c r="O161" s="223">
        <v>0.0</v>
      </c>
    </row>
    <row r="162" ht="22.5" customHeight="1">
      <c r="A162" s="221" t="s">
        <v>2373</v>
      </c>
      <c r="B162" s="222" t="s">
        <v>633</v>
      </c>
      <c r="C162" s="230">
        <v>46106.66666666667</v>
      </c>
      <c r="D162" s="223" t="s">
        <v>2081</v>
      </c>
      <c r="E162" s="223" t="s">
        <v>2356</v>
      </c>
      <c r="F162" s="223" t="s">
        <v>327</v>
      </c>
      <c r="G162" s="223" t="s">
        <v>2374</v>
      </c>
      <c r="H162" s="228">
        <v>20.0</v>
      </c>
      <c r="I162" s="223" t="s">
        <v>1621</v>
      </c>
      <c r="J162" s="229">
        <v>2.54</v>
      </c>
      <c r="K162" s="224">
        <f t="shared" si="3"/>
        <v>50.8</v>
      </c>
      <c r="L162" s="223" t="s">
        <v>2343</v>
      </c>
      <c r="M162" s="125"/>
      <c r="N162" s="223"/>
      <c r="O162" s="223">
        <v>0.0</v>
      </c>
    </row>
    <row r="163" ht="22.5" customHeight="1">
      <c r="A163" s="221" t="s">
        <v>2375</v>
      </c>
      <c r="B163" s="222" t="s">
        <v>349</v>
      </c>
      <c r="C163" s="230">
        <v>46106.66666666667</v>
      </c>
      <c r="D163" s="223" t="s">
        <v>2081</v>
      </c>
      <c r="E163" s="223" t="s">
        <v>2356</v>
      </c>
      <c r="F163" s="223" t="s">
        <v>327</v>
      </c>
      <c r="G163" s="223" t="s">
        <v>348</v>
      </c>
      <c r="H163" s="228">
        <v>16.0</v>
      </c>
      <c r="I163" s="223" t="s">
        <v>1621</v>
      </c>
      <c r="J163" s="229">
        <v>2.54</v>
      </c>
      <c r="K163" s="224">
        <f t="shared" si="3"/>
        <v>40.64</v>
      </c>
      <c r="L163" s="223" t="s">
        <v>2343</v>
      </c>
      <c r="M163" s="125"/>
      <c r="N163" s="223"/>
      <c r="O163" s="223">
        <v>0.0</v>
      </c>
    </row>
    <row r="164" ht="22.5" customHeight="1">
      <c r="A164" s="221" t="s">
        <v>2376</v>
      </c>
      <c r="B164" s="222" t="s">
        <v>627</v>
      </c>
      <c r="C164" s="230">
        <v>46106.66666666667</v>
      </c>
      <c r="D164" s="223" t="s">
        <v>2081</v>
      </c>
      <c r="E164" s="223" t="s">
        <v>2356</v>
      </c>
      <c r="F164" s="223" t="s">
        <v>327</v>
      </c>
      <c r="G164" s="223" t="s">
        <v>2377</v>
      </c>
      <c r="H164" s="228">
        <v>15.0</v>
      </c>
      <c r="I164" s="223" t="s">
        <v>1621</v>
      </c>
      <c r="J164" s="229">
        <v>2.54</v>
      </c>
      <c r="K164" s="224">
        <f t="shared" si="3"/>
        <v>38.1</v>
      </c>
      <c r="L164" s="223" t="s">
        <v>2343</v>
      </c>
      <c r="M164" s="125"/>
      <c r="N164" s="223"/>
      <c r="O164" s="223">
        <v>0.0</v>
      </c>
    </row>
    <row r="165" ht="22.5" customHeight="1">
      <c r="A165" s="221" t="s">
        <v>2378</v>
      </c>
      <c r="B165" s="222" t="s">
        <v>754</v>
      </c>
      <c r="C165" s="230">
        <v>46106.66666666667</v>
      </c>
      <c r="D165" s="223" t="s">
        <v>2081</v>
      </c>
      <c r="E165" s="223" t="s">
        <v>2356</v>
      </c>
      <c r="F165" s="223" t="s">
        <v>352</v>
      </c>
      <c r="G165" s="223" t="s">
        <v>2379</v>
      </c>
      <c r="H165" s="228">
        <v>16.0</v>
      </c>
      <c r="I165" s="223" t="s">
        <v>1621</v>
      </c>
      <c r="J165" s="229">
        <v>2.89</v>
      </c>
      <c r="K165" s="224">
        <f t="shared" si="3"/>
        <v>46.24</v>
      </c>
      <c r="L165" s="223" t="s">
        <v>2343</v>
      </c>
      <c r="M165" s="125"/>
      <c r="N165" s="223"/>
      <c r="O165" s="223">
        <v>0.0</v>
      </c>
    </row>
    <row r="166" ht="22.5" customHeight="1">
      <c r="A166" s="221" t="s">
        <v>2380</v>
      </c>
      <c r="B166" s="222" t="s">
        <v>731</v>
      </c>
      <c r="C166" s="230">
        <v>46106.66666666667</v>
      </c>
      <c r="D166" s="223" t="s">
        <v>2081</v>
      </c>
      <c r="E166" s="223" t="s">
        <v>2356</v>
      </c>
      <c r="F166" s="223" t="s">
        <v>352</v>
      </c>
      <c r="G166" s="223" t="s">
        <v>2381</v>
      </c>
      <c r="H166" s="228">
        <v>9.0</v>
      </c>
      <c r="I166" s="223" t="s">
        <v>1621</v>
      </c>
      <c r="J166" s="229">
        <v>2.89</v>
      </c>
      <c r="K166" s="224">
        <f t="shared" si="3"/>
        <v>26.01</v>
      </c>
      <c r="L166" s="223" t="s">
        <v>2343</v>
      </c>
      <c r="M166" s="125"/>
      <c r="N166" s="223"/>
      <c r="O166" s="223">
        <v>0.0</v>
      </c>
    </row>
    <row r="167" ht="22.5" customHeight="1">
      <c r="A167" s="221" t="s">
        <v>2382</v>
      </c>
      <c r="B167" s="222" t="s">
        <v>760</v>
      </c>
      <c r="C167" s="230">
        <v>46106.66666666667</v>
      </c>
      <c r="D167" s="223" t="s">
        <v>2081</v>
      </c>
      <c r="E167" s="223" t="s">
        <v>2356</v>
      </c>
      <c r="F167" s="223" t="s">
        <v>352</v>
      </c>
      <c r="G167" s="223" t="s">
        <v>2383</v>
      </c>
      <c r="H167" s="228">
        <v>20.0</v>
      </c>
      <c r="I167" s="223" t="s">
        <v>1621</v>
      </c>
      <c r="J167" s="229">
        <v>2.89</v>
      </c>
      <c r="K167" s="224">
        <f t="shared" si="3"/>
        <v>57.8</v>
      </c>
      <c r="L167" s="223" t="s">
        <v>2343</v>
      </c>
      <c r="M167" s="125"/>
      <c r="N167" s="223"/>
      <c r="O167" s="223">
        <v>0.0</v>
      </c>
    </row>
    <row r="168" ht="22.5" customHeight="1">
      <c r="A168" s="221" t="s">
        <v>2384</v>
      </c>
      <c r="B168" s="222" t="s">
        <v>748</v>
      </c>
      <c r="C168" s="230">
        <v>46106.66666666667</v>
      </c>
      <c r="D168" s="223" t="s">
        <v>2081</v>
      </c>
      <c r="E168" s="223" t="s">
        <v>2356</v>
      </c>
      <c r="F168" s="223" t="s">
        <v>352</v>
      </c>
      <c r="G168" s="223" t="s">
        <v>2385</v>
      </c>
      <c r="H168" s="228">
        <v>20.0</v>
      </c>
      <c r="I168" s="223" t="s">
        <v>1621</v>
      </c>
      <c r="J168" s="229">
        <v>2.89</v>
      </c>
      <c r="K168" s="224">
        <f t="shared" si="3"/>
        <v>57.8</v>
      </c>
      <c r="L168" s="223" t="s">
        <v>2343</v>
      </c>
      <c r="M168" s="125"/>
      <c r="N168" s="223"/>
      <c r="O168" s="223">
        <v>0.0</v>
      </c>
    </row>
    <row r="169" ht="22.5" customHeight="1">
      <c r="A169" s="221" t="s">
        <v>2386</v>
      </c>
      <c r="B169" s="222" t="s">
        <v>362</v>
      </c>
      <c r="C169" s="230">
        <v>46106.66666666667</v>
      </c>
      <c r="D169" s="223" t="s">
        <v>2081</v>
      </c>
      <c r="E169" s="223" t="s">
        <v>2356</v>
      </c>
      <c r="F169" s="223" t="s">
        <v>352</v>
      </c>
      <c r="G169" s="223" t="s">
        <v>361</v>
      </c>
      <c r="H169" s="228">
        <v>16.0</v>
      </c>
      <c r="I169" s="223" t="s">
        <v>1621</v>
      </c>
      <c r="J169" s="229">
        <v>2.89</v>
      </c>
      <c r="K169" s="224">
        <f t="shared" si="3"/>
        <v>46.24</v>
      </c>
      <c r="L169" s="223" t="s">
        <v>2343</v>
      </c>
      <c r="M169" s="125"/>
      <c r="N169" s="223"/>
      <c r="O169" s="223">
        <v>0.0</v>
      </c>
    </row>
    <row r="170" ht="22.5" customHeight="1">
      <c r="A170" s="221" t="s">
        <v>2387</v>
      </c>
      <c r="B170" s="222" t="s">
        <v>742</v>
      </c>
      <c r="C170" s="230">
        <v>46106.66666666667</v>
      </c>
      <c r="D170" s="223" t="s">
        <v>2081</v>
      </c>
      <c r="E170" s="223" t="s">
        <v>2356</v>
      </c>
      <c r="F170" s="223" t="s">
        <v>352</v>
      </c>
      <c r="G170" s="223" t="s">
        <v>2388</v>
      </c>
      <c r="H170" s="228">
        <v>16.0</v>
      </c>
      <c r="I170" s="223" t="s">
        <v>1621</v>
      </c>
      <c r="J170" s="229">
        <v>2.89</v>
      </c>
      <c r="K170" s="224">
        <f t="shared" si="3"/>
        <v>46.24</v>
      </c>
      <c r="L170" s="223" t="s">
        <v>2343</v>
      </c>
      <c r="M170" s="125"/>
      <c r="N170" s="223"/>
      <c r="O170" s="223">
        <v>0.0</v>
      </c>
    </row>
    <row r="171" ht="22.5" customHeight="1">
      <c r="A171" s="221" t="s">
        <v>2389</v>
      </c>
      <c r="B171" s="222" t="s">
        <v>501</v>
      </c>
      <c r="C171" s="230">
        <v>46106.66666666667</v>
      </c>
      <c r="D171" s="223" t="s">
        <v>2081</v>
      </c>
      <c r="E171" s="223" t="s">
        <v>2356</v>
      </c>
      <c r="F171" s="223" t="s">
        <v>365</v>
      </c>
      <c r="G171" s="223" t="s">
        <v>2390</v>
      </c>
      <c r="H171" s="228">
        <v>15.0</v>
      </c>
      <c r="I171" s="223" t="s">
        <v>1621</v>
      </c>
      <c r="J171" s="229">
        <v>10.24</v>
      </c>
      <c r="K171" s="224">
        <f t="shared" si="3"/>
        <v>153.6</v>
      </c>
      <c r="L171" s="223" t="s">
        <v>2343</v>
      </c>
      <c r="M171" s="125"/>
      <c r="N171" s="223"/>
      <c r="O171" s="223">
        <v>0.0</v>
      </c>
    </row>
    <row r="172" ht="22.5" customHeight="1">
      <c r="A172" s="221" t="s">
        <v>2391</v>
      </c>
      <c r="B172" s="222" t="s">
        <v>472</v>
      </c>
      <c r="C172" s="230">
        <v>46106.66666666667</v>
      </c>
      <c r="D172" s="223" t="s">
        <v>2081</v>
      </c>
      <c r="E172" s="223" t="s">
        <v>2356</v>
      </c>
      <c r="F172" s="223" t="s">
        <v>365</v>
      </c>
      <c r="G172" s="223" t="s">
        <v>2392</v>
      </c>
      <c r="H172" s="228">
        <v>25.0</v>
      </c>
      <c r="I172" s="223" t="s">
        <v>1621</v>
      </c>
      <c r="J172" s="229">
        <v>10.24</v>
      </c>
      <c r="K172" s="224">
        <f t="shared" si="3"/>
        <v>256</v>
      </c>
      <c r="L172" s="223" t="s">
        <v>2343</v>
      </c>
      <c r="M172" s="125"/>
      <c r="N172" s="223"/>
      <c r="O172" s="223">
        <v>0.0</v>
      </c>
    </row>
    <row r="173" ht="22.5" customHeight="1">
      <c r="A173" s="221" t="s">
        <v>2393</v>
      </c>
      <c r="B173" s="222" t="s">
        <v>507</v>
      </c>
      <c r="C173" s="230">
        <v>46106.66666666667</v>
      </c>
      <c r="D173" s="223" t="s">
        <v>2081</v>
      </c>
      <c r="E173" s="223" t="s">
        <v>2356</v>
      </c>
      <c r="F173" s="223" t="s">
        <v>365</v>
      </c>
      <c r="G173" s="223" t="s">
        <v>2394</v>
      </c>
      <c r="H173" s="228">
        <v>21.0</v>
      </c>
      <c r="I173" s="223" t="s">
        <v>1621</v>
      </c>
      <c r="J173" s="229">
        <v>10.24</v>
      </c>
      <c r="K173" s="224">
        <f t="shared" si="3"/>
        <v>215.04</v>
      </c>
      <c r="L173" s="223" t="s">
        <v>2343</v>
      </c>
      <c r="M173" s="125"/>
      <c r="N173" s="223"/>
      <c r="O173" s="223">
        <v>0.0</v>
      </c>
    </row>
    <row r="174" ht="22.5" customHeight="1">
      <c r="A174" s="221" t="s">
        <v>2395</v>
      </c>
      <c r="B174" s="222" t="s">
        <v>495</v>
      </c>
      <c r="C174" s="230">
        <v>46106.66666666667</v>
      </c>
      <c r="D174" s="223" t="s">
        <v>2081</v>
      </c>
      <c r="E174" s="223" t="s">
        <v>2356</v>
      </c>
      <c r="F174" s="223" t="s">
        <v>365</v>
      </c>
      <c r="G174" s="223" t="s">
        <v>2396</v>
      </c>
      <c r="H174" s="228">
        <v>20.0</v>
      </c>
      <c r="I174" s="223" t="s">
        <v>1621</v>
      </c>
      <c r="J174" s="229">
        <v>10.24</v>
      </c>
      <c r="K174" s="224">
        <f t="shared" si="3"/>
        <v>204.8</v>
      </c>
      <c r="L174" s="223" t="s">
        <v>2343</v>
      </c>
      <c r="M174" s="125"/>
      <c r="N174" s="223"/>
      <c r="O174" s="223">
        <v>0.0</v>
      </c>
    </row>
    <row r="175" ht="22.5" customHeight="1">
      <c r="A175" s="221" t="s">
        <v>2397</v>
      </c>
      <c r="B175" s="222" t="s">
        <v>375</v>
      </c>
      <c r="C175" s="230">
        <v>46106.66666666667</v>
      </c>
      <c r="D175" s="223" t="s">
        <v>2081</v>
      </c>
      <c r="E175" s="223" t="s">
        <v>2356</v>
      </c>
      <c r="F175" s="223" t="s">
        <v>365</v>
      </c>
      <c r="G175" s="223" t="s">
        <v>374</v>
      </c>
      <c r="H175" s="228">
        <v>24.0</v>
      </c>
      <c r="I175" s="223" t="s">
        <v>1621</v>
      </c>
      <c r="J175" s="229">
        <v>10.24</v>
      </c>
      <c r="K175" s="224">
        <f t="shared" si="3"/>
        <v>245.76</v>
      </c>
      <c r="L175" s="223" t="s">
        <v>2343</v>
      </c>
      <c r="M175" s="125"/>
      <c r="N175" s="223"/>
      <c r="O175" s="223">
        <v>0.0</v>
      </c>
    </row>
    <row r="176" ht="22.5" customHeight="1">
      <c r="A176" s="221" t="s">
        <v>2398</v>
      </c>
      <c r="B176" s="222" t="s">
        <v>489</v>
      </c>
      <c r="C176" s="230">
        <v>46106.66666666667</v>
      </c>
      <c r="D176" s="223" t="s">
        <v>2081</v>
      </c>
      <c r="E176" s="223" t="s">
        <v>2356</v>
      </c>
      <c r="F176" s="223" t="s">
        <v>365</v>
      </c>
      <c r="G176" s="223" t="s">
        <v>2399</v>
      </c>
      <c r="H176" s="228">
        <v>22.0</v>
      </c>
      <c r="I176" s="223" t="s">
        <v>1621</v>
      </c>
      <c r="J176" s="229">
        <v>10.24</v>
      </c>
      <c r="K176" s="224">
        <f t="shared" si="3"/>
        <v>225.28</v>
      </c>
      <c r="L176" s="223" t="s">
        <v>2343</v>
      </c>
      <c r="M176" s="125"/>
      <c r="N176" s="223"/>
      <c r="O176" s="223">
        <v>0.0</v>
      </c>
    </row>
    <row r="177" ht="22.5" customHeight="1">
      <c r="A177" s="221" t="s">
        <v>2400</v>
      </c>
      <c r="B177" s="222" t="s">
        <v>478</v>
      </c>
      <c r="C177" s="230">
        <v>46106.66666666667</v>
      </c>
      <c r="D177" s="223" t="s">
        <v>2081</v>
      </c>
      <c r="E177" s="223" t="s">
        <v>2356</v>
      </c>
      <c r="F177" s="223" t="s">
        <v>365</v>
      </c>
      <c r="G177" s="223" t="s">
        <v>2401</v>
      </c>
      <c r="H177" s="228">
        <v>16.0</v>
      </c>
      <c r="I177" s="223" t="s">
        <v>1621</v>
      </c>
      <c r="J177" s="229">
        <v>10.24</v>
      </c>
      <c r="K177" s="224">
        <f t="shared" si="3"/>
        <v>163.84</v>
      </c>
      <c r="L177" s="223" t="s">
        <v>2343</v>
      </c>
      <c r="M177" s="125"/>
      <c r="N177" s="223"/>
      <c r="O177" s="223">
        <v>0.0</v>
      </c>
    </row>
    <row r="178" ht="22.5" customHeight="1">
      <c r="A178" s="221" t="s">
        <v>2402</v>
      </c>
      <c r="B178" s="222" t="s">
        <v>273</v>
      </c>
      <c r="C178" s="230">
        <v>46171.0</v>
      </c>
      <c r="D178" s="223" t="s">
        <v>2081</v>
      </c>
      <c r="E178" s="223" t="s">
        <v>2082</v>
      </c>
      <c r="F178" s="223" t="s">
        <v>269</v>
      </c>
      <c r="G178" s="223" t="s">
        <v>272</v>
      </c>
      <c r="H178" s="228">
        <v>4.0</v>
      </c>
      <c r="I178" s="223" t="s">
        <v>1621</v>
      </c>
      <c r="J178" s="229">
        <v>19.0</v>
      </c>
      <c r="K178" s="224">
        <f t="shared" si="3"/>
        <v>76</v>
      </c>
      <c r="L178" s="223" t="s">
        <v>2293</v>
      </c>
      <c r="M178" s="125"/>
      <c r="N178" s="223"/>
      <c r="O178" s="223">
        <v>0.0</v>
      </c>
    </row>
    <row r="179" ht="22.5" customHeight="1">
      <c r="A179" s="221" t="s">
        <v>2403</v>
      </c>
      <c r="B179" s="222" t="s">
        <v>271</v>
      </c>
      <c r="C179" s="230">
        <v>46171.0</v>
      </c>
      <c r="D179" s="223" t="s">
        <v>2081</v>
      </c>
      <c r="E179" s="223" t="s">
        <v>2082</v>
      </c>
      <c r="F179" s="223" t="s">
        <v>269</v>
      </c>
      <c r="G179" s="223" t="s">
        <v>270</v>
      </c>
      <c r="H179" s="228">
        <v>4.0</v>
      </c>
      <c r="I179" s="223" t="s">
        <v>1621</v>
      </c>
      <c r="J179" s="229">
        <v>19.0</v>
      </c>
      <c r="K179" s="224">
        <f t="shared" si="3"/>
        <v>76</v>
      </c>
      <c r="L179" s="223" t="s">
        <v>2293</v>
      </c>
      <c r="M179" s="125"/>
      <c r="N179" s="223"/>
      <c r="O179" s="223">
        <v>0.0</v>
      </c>
    </row>
    <row r="180" ht="22.5" customHeight="1">
      <c r="A180" s="221" t="s">
        <v>2404</v>
      </c>
      <c r="B180" s="222" t="s">
        <v>381</v>
      </c>
      <c r="C180" s="230">
        <v>46171.0</v>
      </c>
      <c r="D180" s="223" t="s">
        <v>2081</v>
      </c>
      <c r="E180" s="223" t="s">
        <v>2082</v>
      </c>
      <c r="F180" s="223" t="s">
        <v>269</v>
      </c>
      <c r="G180" s="223" t="s">
        <v>380</v>
      </c>
      <c r="H180" s="228">
        <v>3.0</v>
      </c>
      <c r="I180" s="223" t="s">
        <v>1621</v>
      </c>
      <c r="J180" s="229">
        <v>19.0</v>
      </c>
      <c r="K180" s="224">
        <f t="shared" si="3"/>
        <v>57</v>
      </c>
      <c r="L180" s="223" t="s">
        <v>2293</v>
      </c>
      <c r="M180" s="125"/>
      <c r="N180" s="223"/>
      <c r="O180" s="223">
        <v>0.0</v>
      </c>
    </row>
    <row r="181" ht="22.5" customHeight="1">
      <c r="A181" s="221" t="s">
        <v>2405</v>
      </c>
      <c r="B181" s="222" t="s">
        <v>383</v>
      </c>
      <c r="C181" s="230">
        <v>46170.625</v>
      </c>
      <c r="D181" s="223" t="s">
        <v>2081</v>
      </c>
      <c r="E181" s="223" t="s">
        <v>2082</v>
      </c>
      <c r="F181" s="223" t="s">
        <v>269</v>
      </c>
      <c r="G181" s="223" t="s">
        <v>382</v>
      </c>
      <c r="H181" s="228">
        <v>10.0</v>
      </c>
      <c r="I181" s="223" t="s">
        <v>1621</v>
      </c>
      <c r="J181" s="229">
        <v>19.0</v>
      </c>
      <c r="K181" s="231">
        <v>190.0</v>
      </c>
      <c r="L181" s="223" t="s">
        <v>2293</v>
      </c>
      <c r="M181" s="125"/>
      <c r="N181" s="223"/>
      <c r="O181" s="223">
        <v>0.0</v>
      </c>
    </row>
    <row r="182" ht="22.5" customHeight="1">
      <c r="A182" s="221" t="s">
        <v>2406</v>
      </c>
      <c r="B182" s="222" t="s">
        <v>385</v>
      </c>
      <c r="C182" s="230">
        <v>46170.625</v>
      </c>
      <c r="D182" s="223" t="s">
        <v>2081</v>
      </c>
      <c r="E182" s="223" t="s">
        <v>2082</v>
      </c>
      <c r="F182" s="223" t="s">
        <v>269</v>
      </c>
      <c r="G182" s="223" t="s">
        <v>384</v>
      </c>
      <c r="H182" s="228">
        <v>2.0</v>
      </c>
      <c r="I182" s="223" t="s">
        <v>1621</v>
      </c>
      <c r="J182" s="229">
        <v>19.0</v>
      </c>
      <c r="K182" s="231">
        <v>38.0</v>
      </c>
      <c r="L182" s="223" t="s">
        <v>2293</v>
      </c>
      <c r="M182" s="125"/>
      <c r="N182" s="223"/>
      <c r="O182" s="223">
        <v>0.0</v>
      </c>
    </row>
    <row r="183" ht="22.5" customHeight="1">
      <c r="A183" s="221" t="s">
        <v>2407</v>
      </c>
      <c r="B183" s="222" t="s">
        <v>387</v>
      </c>
      <c r="C183" s="230">
        <v>46170.625</v>
      </c>
      <c r="D183" s="223" t="s">
        <v>2081</v>
      </c>
      <c r="E183" s="223" t="s">
        <v>2082</v>
      </c>
      <c r="F183" s="223" t="s">
        <v>252</v>
      </c>
      <c r="G183" s="223" t="s">
        <v>386</v>
      </c>
      <c r="H183" s="228">
        <v>10.0</v>
      </c>
      <c r="I183" s="223" t="s">
        <v>1621</v>
      </c>
      <c r="J183" s="229">
        <v>16.5</v>
      </c>
      <c r="K183" s="231">
        <v>165.0</v>
      </c>
      <c r="L183" s="223" t="s">
        <v>2293</v>
      </c>
      <c r="M183" s="125"/>
      <c r="N183" s="223"/>
      <c r="O183" s="223">
        <v>0.0</v>
      </c>
    </row>
    <row r="184" ht="22.5" customHeight="1">
      <c r="A184" s="221" t="s">
        <v>2408</v>
      </c>
      <c r="B184" s="222" t="s">
        <v>389</v>
      </c>
      <c r="C184" s="230">
        <v>46170.625</v>
      </c>
      <c r="D184" s="223" t="s">
        <v>2081</v>
      </c>
      <c r="E184" s="223" t="s">
        <v>2082</v>
      </c>
      <c r="F184" s="223" t="s">
        <v>252</v>
      </c>
      <c r="G184" s="223" t="s">
        <v>388</v>
      </c>
      <c r="H184" s="228">
        <v>10.0</v>
      </c>
      <c r="I184" s="223" t="s">
        <v>1621</v>
      </c>
      <c r="J184" s="229">
        <v>16.5</v>
      </c>
      <c r="K184" s="231">
        <v>165.0</v>
      </c>
      <c r="L184" s="223" t="s">
        <v>2293</v>
      </c>
      <c r="M184" s="125"/>
      <c r="N184" s="223"/>
      <c r="O184" s="223">
        <v>0.0</v>
      </c>
    </row>
    <row r="185" ht="22.5" customHeight="1">
      <c r="A185" s="221" t="s">
        <v>2409</v>
      </c>
      <c r="B185" s="222" t="s">
        <v>305</v>
      </c>
      <c r="C185" s="230">
        <v>46170.625</v>
      </c>
      <c r="D185" s="223" t="s">
        <v>2081</v>
      </c>
      <c r="E185" s="223" t="s">
        <v>2082</v>
      </c>
      <c r="F185" s="223" t="s">
        <v>269</v>
      </c>
      <c r="G185" s="223" t="s">
        <v>255</v>
      </c>
      <c r="H185" s="228">
        <v>9.0</v>
      </c>
      <c r="I185" s="223" t="s">
        <v>1621</v>
      </c>
      <c r="J185" s="229">
        <v>19.0</v>
      </c>
      <c r="K185" s="231">
        <v>171.0</v>
      </c>
      <c r="L185" s="223" t="s">
        <v>2293</v>
      </c>
      <c r="M185" s="125"/>
      <c r="N185" s="223"/>
      <c r="O185" s="223">
        <v>0.0</v>
      </c>
    </row>
    <row r="186" ht="22.5" customHeight="1">
      <c r="A186" s="221" t="s">
        <v>2410</v>
      </c>
      <c r="B186" s="222" t="s">
        <v>227</v>
      </c>
      <c r="C186" s="230">
        <v>46068.625</v>
      </c>
      <c r="D186" s="223" t="s">
        <v>2081</v>
      </c>
      <c r="E186" s="223" t="s">
        <v>2082</v>
      </c>
      <c r="F186" s="223" t="s">
        <v>162</v>
      </c>
      <c r="G186" s="223" t="s">
        <v>226</v>
      </c>
      <c r="H186" s="228">
        <v>2.0</v>
      </c>
      <c r="I186" s="223" t="s">
        <v>1621</v>
      </c>
      <c r="J186" s="229">
        <v>33.0</v>
      </c>
      <c r="K186" s="231">
        <v>66.0</v>
      </c>
      <c r="L186" s="223" t="s">
        <v>2411</v>
      </c>
      <c r="M186" s="223" t="s">
        <v>2412</v>
      </c>
      <c r="N186" s="223"/>
      <c r="O186" s="223"/>
    </row>
    <row r="187" ht="22.5" customHeight="1">
      <c r="A187" s="221" t="s">
        <v>2413</v>
      </c>
      <c r="B187" s="223" t="s">
        <v>391</v>
      </c>
      <c r="C187" s="230">
        <v>46169.625</v>
      </c>
      <c r="D187" s="223" t="s">
        <v>2081</v>
      </c>
      <c r="E187" s="223" t="s">
        <v>2082</v>
      </c>
      <c r="F187" s="223" t="s">
        <v>269</v>
      </c>
      <c r="G187" s="223" t="s">
        <v>390</v>
      </c>
      <c r="H187" s="228">
        <v>8.0</v>
      </c>
      <c r="I187" s="223" t="s">
        <v>1621</v>
      </c>
      <c r="J187" s="229">
        <v>19.0</v>
      </c>
      <c r="K187" s="231">
        <v>152.0</v>
      </c>
      <c r="L187" s="223" t="s">
        <v>2293</v>
      </c>
      <c r="M187" s="223"/>
      <c r="N187" s="223"/>
      <c r="O187" s="223">
        <v>0.0</v>
      </c>
    </row>
    <row r="188" ht="22.5" customHeight="1">
      <c r="A188" s="221" t="s">
        <v>2414</v>
      </c>
      <c r="B188" s="223" t="s">
        <v>247</v>
      </c>
      <c r="C188" s="230">
        <v>46181.625</v>
      </c>
      <c r="D188" s="223" t="s">
        <v>2081</v>
      </c>
      <c r="E188" s="223" t="s">
        <v>2082</v>
      </c>
      <c r="F188" s="223" t="s">
        <v>242</v>
      </c>
      <c r="G188" s="223" t="s">
        <v>163</v>
      </c>
      <c r="H188" s="228">
        <v>10.0</v>
      </c>
      <c r="I188" s="223" t="s">
        <v>1621</v>
      </c>
      <c r="J188" s="229">
        <v>25.0</v>
      </c>
      <c r="K188" s="231">
        <v>250.0</v>
      </c>
      <c r="L188" s="223" t="s">
        <v>2415</v>
      </c>
      <c r="M188" s="223"/>
      <c r="N188" s="223"/>
      <c r="O188" s="223">
        <v>0.0</v>
      </c>
    </row>
    <row r="189" ht="22.5" customHeight="1">
      <c r="A189" s="221" t="s">
        <v>2416</v>
      </c>
      <c r="B189" s="223" t="s">
        <v>161</v>
      </c>
      <c r="C189" s="230">
        <v>46181.625</v>
      </c>
      <c r="D189" s="223" t="s">
        <v>2081</v>
      </c>
      <c r="E189" s="223" t="s">
        <v>2082</v>
      </c>
      <c r="F189" s="223" t="s">
        <v>162</v>
      </c>
      <c r="G189" s="223" t="s">
        <v>163</v>
      </c>
      <c r="H189" s="228">
        <v>10.0</v>
      </c>
      <c r="I189" s="223" t="s">
        <v>1621</v>
      </c>
      <c r="J189" s="229">
        <v>20.0</v>
      </c>
      <c r="K189" s="231">
        <v>200.0</v>
      </c>
      <c r="L189" s="223" t="s">
        <v>2415</v>
      </c>
      <c r="M189" s="223"/>
      <c r="N189" s="223"/>
      <c r="O189" s="223">
        <v>0.0</v>
      </c>
    </row>
    <row r="190" ht="22.5" customHeight="1">
      <c r="A190" s="221" t="s">
        <v>2417</v>
      </c>
      <c r="B190" s="223" t="s">
        <v>293</v>
      </c>
      <c r="C190" s="230">
        <v>46181.625</v>
      </c>
      <c r="D190" s="223" t="s">
        <v>2081</v>
      </c>
      <c r="E190" s="223" t="s">
        <v>2082</v>
      </c>
      <c r="F190" s="223" t="s">
        <v>162</v>
      </c>
      <c r="G190" s="223" t="s">
        <v>2418</v>
      </c>
      <c r="H190" s="228">
        <v>10.0</v>
      </c>
      <c r="I190" s="223" t="s">
        <v>1621</v>
      </c>
      <c r="J190" s="229">
        <v>20.0</v>
      </c>
      <c r="K190" s="231">
        <v>200.0</v>
      </c>
      <c r="L190" s="223" t="s">
        <v>2415</v>
      </c>
      <c r="M190" s="223"/>
      <c r="N190" s="223"/>
      <c r="O190" s="223">
        <v>0.0</v>
      </c>
    </row>
    <row r="191" ht="22.5" customHeight="1">
      <c r="A191" s="221" t="s">
        <v>2419</v>
      </c>
      <c r="B191" s="223" t="s">
        <v>300</v>
      </c>
      <c r="C191" s="230">
        <v>46181.625</v>
      </c>
      <c r="D191" s="223" t="s">
        <v>2081</v>
      </c>
      <c r="E191" s="223" t="s">
        <v>2082</v>
      </c>
      <c r="F191" s="223" t="s">
        <v>162</v>
      </c>
      <c r="G191" s="223" t="s">
        <v>299</v>
      </c>
      <c r="H191" s="228">
        <v>10.0</v>
      </c>
      <c r="I191" s="223" t="s">
        <v>1621</v>
      </c>
      <c r="J191" s="229">
        <v>20.0</v>
      </c>
      <c r="K191" s="231">
        <v>200.0</v>
      </c>
      <c r="L191" s="223" t="s">
        <v>2415</v>
      </c>
      <c r="M191" s="223"/>
      <c r="N191" s="223"/>
      <c r="O191" s="223">
        <v>0.0</v>
      </c>
    </row>
    <row r="192" ht="22.5" customHeight="1">
      <c r="A192" s="221" t="s">
        <v>2420</v>
      </c>
      <c r="B192" s="223" t="s">
        <v>181</v>
      </c>
      <c r="C192" s="230">
        <v>46181.625</v>
      </c>
      <c r="D192" s="223" t="s">
        <v>2081</v>
      </c>
      <c r="E192" s="223" t="s">
        <v>2082</v>
      </c>
      <c r="F192" s="223" t="s">
        <v>162</v>
      </c>
      <c r="G192" s="223" t="s">
        <v>180</v>
      </c>
      <c r="H192" s="228">
        <v>10.0</v>
      </c>
      <c r="I192" s="223" t="s">
        <v>1621</v>
      </c>
      <c r="J192" s="229">
        <v>20.0</v>
      </c>
      <c r="K192" s="231">
        <v>200.0</v>
      </c>
      <c r="L192" s="223" t="s">
        <v>2415</v>
      </c>
      <c r="M192" s="223"/>
      <c r="N192" s="223"/>
      <c r="O192" s="223">
        <v>0.0</v>
      </c>
    </row>
    <row r="193" ht="22.5" customHeight="1">
      <c r="A193" s="221" t="s">
        <v>2421</v>
      </c>
      <c r="B193" s="223" t="s">
        <v>210</v>
      </c>
      <c r="C193" s="230">
        <v>46181.625</v>
      </c>
      <c r="D193" s="223" t="s">
        <v>2081</v>
      </c>
      <c r="E193" s="223" t="s">
        <v>2082</v>
      </c>
      <c r="F193" s="223" t="s">
        <v>208</v>
      </c>
      <c r="G193" s="223" t="s">
        <v>209</v>
      </c>
      <c r="H193" s="228">
        <v>12.0</v>
      </c>
      <c r="I193" s="223" t="s">
        <v>1621</v>
      </c>
      <c r="J193" s="229">
        <v>52.5</v>
      </c>
      <c r="K193" s="231">
        <v>630.0</v>
      </c>
      <c r="L193" s="223" t="s">
        <v>2411</v>
      </c>
      <c r="M193" s="223" t="s">
        <v>2422</v>
      </c>
      <c r="N193" s="223"/>
      <c r="O193" s="223"/>
    </row>
    <row r="194" ht="22.5" customHeight="1">
      <c r="A194" s="221" t="s">
        <v>2423</v>
      </c>
      <c r="B194" s="223" t="s">
        <v>167</v>
      </c>
      <c r="C194" s="230">
        <v>46181.625</v>
      </c>
      <c r="D194" s="223" t="s">
        <v>2081</v>
      </c>
      <c r="E194" s="223" t="s">
        <v>2082</v>
      </c>
      <c r="F194" s="223" t="s">
        <v>162</v>
      </c>
      <c r="G194" s="223" t="s">
        <v>168</v>
      </c>
      <c r="H194" s="228">
        <v>1.0</v>
      </c>
      <c r="I194" s="223" t="s">
        <v>1621</v>
      </c>
      <c r="J194" s="229">
        <v>20.0</v>
      </c>
      <c r="K194" s="231">
        <v>20.0</v>
      </c>
      <c r="L194" s="223" t="s">
        <v>2411</v>
      </c>
      <c r="M194" s="223"/>
      <c r="N194" s="223" t="s">
        <v>2424</v>
      </c>
      <c r="O194" s="223"/>
    </row>
    <row r="195" ht="22.5" customHeight="1">
      <c r="A195" s="221" t="s">
        <v>2425</v>
      </c>
      <c r="B195" s="223" t="s">
        <v>184</v>
      </c>
      <c r="C195" s="230">
        <v>46181.625</v>
      </c>
      <c r="D195" s="223" t="s">
        <v>2081</v>
      </c>
      <c r="E195" s="223" t="s">
        <v>2082</v>
      </c>
      <c r="F195" s="223" t="s">
        <v>162</v>
      </c>
      <c r="G195" s="223" t="s">
        <v>183</v>
      </c>
      <c r="H195" s="228">
        <v>0.0</v>
      </c>
      <c r="I195" s="223" t="s">
        <v>1621</v>
      </c>
      <c r="J195" s="229">
        <v>20.0</v>
      </c>
      <c r="K195" s="231">
        <v>0.0</v>
      </c>
      <c r="L195" s="223" t="s">
        <v>2411</v>
      </c>
      <c r="M195" s="223"/>
      <c r="N195" s="223" t="s">
        <v>2426</v>
      </c>
      <c r="O195" s="223"/>
    </row>
    <row r="196" ht="22.5" customHeight="1">
      <c r="A196" s="221" t="s">
        <v>2427</v>
      </c>
      <c r="B196" s="223" t="s">
        <v>393</v>
      </c>
      <c r="C196" s="230">
        <v>46181.625</v>
      </c>
      <c r="D196" s="223" t="s">
        <v>2081</v>
      </c>
      <c r="E196" s="223" t="s">
        <v>2082</v>
      </c>
      <c r="F196" s="223" t="s">
        <v>252</v>
      </c>
      <c r="G196" s="223" t="s">
        <v>392</v>
      </c>
      <c r="H196" s="228">
        <v>14.0</v>
      </c>
      <c r="I196" s="223" t="s">
        <v>1621</v>
      </c>
      <c r="J196" s="229">
        <v>15.0</v>
      </c>
      <c r="K196" s="231">
        <v>210.0</v>
      </c>
      <c r="L196" s="223" t="s">
        <v>2293</v>
      </c>
      <c r="M196" s="223" t="s">
        <v>2428</v>
      </c>
      <c r="N196" s="223"/>
      <c r="O196" s="223"/>
    </row>
    <row r="197" ht="22.5" customHeight="1">
      <c r="A197" s="221" t="s">
        <v>2429</v>
      </c>
      <c r="B197" s="223" t="s">
        <v>285</v>
      </c>
      <c r="C197" s="230">
        <v>46132.625</v>
      </c>
      <c r="D197" s="223" t="s">
        <v>2081</v>
      </c>
      <c r="E197" s="223" t="s">
        <v>2082</v>
      </c>
      <c r="F197" s="223" t="s">
        <v>252</v>
      </c>
      <c r="G197" s="223" t="s">
        <v>284</v>
      </c>
      <c r="H197" s="228">
        <v>5.0</v>
      </c>
      <c r="I197" s="223" t="s">
        <v>1621</v>
      </c>
      <c r="J197" s="229">
        <v>16.5</v>
      </c>
      <c r="K197" s="231">
        <v>82.5</v>
      </c>
      <c r="L197" s="223" t="s">
        <v>2293</v>
      </c>
      <c r="M197" s="223"/>
      <c r="N197" s="223" t="s">
        <v>2430</v>
      </c>
      <c r="O197" s="223"/>
    </row>
    <row r="198" ht="22.5" customHeight="1">
      <c r="A198" s="221" t="s">
        <v>2431</v>
      </c>
      <c r="B198" s="223" t="s">
        <v>277</v>
      </c>
      <c r="C198" s="230">
        <v>46182.625</v>
      </c>
      <c r="D198" s="223" t="s">
        <v>2081</v>
      </c>
      <c r="E198" s="223" t="s">
        <v>2082</v>
      </c>
      <c r="F198" s="223" t="s">
        <v>269</v>
      </c>
      <c r="G198" s="223" t="s">
        <v>276</v>
      </c>
      <c r="H198" s="228">
        <v>1.0</v>
      </c>
      <c r="I198" s="223" t="s">
        <v>1621</v>
      </c>
      <c r="J198" s="229">
        <v>0.0</v>
      </c>
      <c r="K198" s="231">
        <v>0.0</v>
      </c>
      <c r="L198" s="223" t="s">
        <v>2411</v>
      </c>
      <c r="M198" s="223"/>
      <c r="N198" s="223" t="s">
        <v>2432</v>
      </c>
      <c r="O198" s="223"/>
    </row>
    <row r="199" ht="22.5" customHeight="1">
      <c r="A199" s="221" t="s">
        <v>2433</v>
      </c>
      <c r="B199" s="223" t="s">
        <v>161</v>
      </c>
      <c r="C199" s="230">
        <v>46182.625</v>
      </c>
      <c r="D199" s="223" t="s">
        <v>2081</v>
      </c>
      <c r="E199" s="223" t="s">
        <v>2082</v>
      </c>
      <c r="F199" s="223" t="s">
        <v>162</v>
      </c>
      <c r="G199" s="223" t="s">
        <v>163</v>
      </c>
      <c r="H199" s="228">
        <v>1.0</v>
      </c>
      <c r="I199" s="223" t="s">
        <v>1621</v>
      </c>
      <c r="J199" s="229">
        <v>0.0</v>
      </c>
      <c r="K199" s="231">
        <v>0.0</v>
      </c>
      <c r="L199" s="223" t="s">
        <v>2411</v>
      </c>
      <c r="M199" s="223"/>
      <c r="N199" s="223" t="s">
        <v>2434</v>
      </c>
      <c r="O199" s="223"/>
    </row>
    <row r="200" ht="22.5" customHeight="1">
      <c r="A200" s="221" t="s">
        <v>2435</v>
      </c>
      <c r="B200" s="223" t="s">
        <v>225</v>
      </c>
      <c r="C200" s="230">
        <v>46182.625</v>
      </c>
      <c r="D200" s="223" t="s">
        <v>2081</v>
      </c>
      <c r="E200" s="223" t="s">
        <v>2082</v>
      </c>
      <c r="F200" s="223" t="s">
        <v>162</v>
      </c>
      <c r="G200" s="223" t="s">
        <v>224</v>
      </c>
      <c r="H200" s="228">
        <v>1.0</v>
      </c>
      <c r="I200" s="223" t="s">
        <v>1621</v>
      </c>
      <c r="J200" s="229">
        <v>0.0</v>
      </c>
      <c r="K200" s="231">
        <v>0.0</v>
      </c>
      <c r="L200" s="223" t="s">
        <v>2411</v>
      </c>
      <c r="M200" s="223"/>
      <c r="N200" s="223" t="s">
        <v>2436</v>
      </c>
      <c r="O200" s="223"/>
    </row>
    <row r="201" ht="22.5" customHeight="1">
      <c r="A201" s="221" t="s">
        <v>2437</v>
      </c>
      <c r="B201" s="223" t="s">
        <v>189</v>
      </c>
      <c r="C201" s="230">
        <v>46182.625</v>
      </c>
      <c r="D201" s="223" t="s">
        <v>2081</v>
      </c>
      <c r="E201" s="223" t="s">
        <v>2082</v>
      </c>
      <c r="F201" s="223" t="s">
        <v>162</v>
      </c>
      <c r="G201" s="223" t="s">
        <v>188</v>
      </c>
      <c r="H201" s="228">
        <v>2.0</v>
      </c>
      <c r="I201" s="223" t="s">
        <v>1621</v>
      </c>
      <c r="J201" s="229">
        <v>0.0</v>
      </c>
      <c r="K201" s="231">
        <v>0.0</v>
      </c>
      <c r="L201" s="223" t="s">
        <v>2411</v>
      </c>
      <c r="M201" s="223"/>
      <c r="N201" s="223" t="s">
        <v>2438</v>
      </c>
      <c r="O201" s="223"/>
    </row>
    <row r="202" ht="22.5" customHeight="1">
      <c r="A202" s="221" t="s">
        <v>2439</v>
      </c>
      <c r="B202" s="223" t="s">
        <v>2440</v>
      </c>
      <c r="C202" s="230">
        <v>46189.0</v>
      </c>
      <c r="D202" s="223" t="s">
        <v>2102</v>
      </c>
      <c r="E202" s="223" t="s">
        <v>2214</v>
      </c>
      <c r="F202" s="223" t="s">
        <v>2231</v>
      </c>
      <c r="G202" s="223" t="s">
        <v>2441</v>
      </c>
      <c r="H202" s="228">
        <v>2.0</v>
      </c>
      <c r="I202" s="223" t="s">
        <v>2208</v>
      </c>
      <c r="J202" s="229">
        <v>21.0</v>
      </c>
      <c r="K202" s="224">
        <f t="shared" ref="K202:K222" si="4">IF(H202&gt;0, H202*J202, "")</f>
        <v>42</v>
      </c>
      <c r="L202" s="223" t="s">
        <v>2209</v>
      </c>
      <c r="M202" s="223"/>
      <c r="N202" s="223"/>
      <c r="O202" s="223">
        <v>0.0</v>
      </c>
    </row>
    <row r="203" ht="22.5" customHeight="1">
      <c r="A203" s="221" t="s">
        <v>2442</v>
      </c>
      <c r="B203" s="223" t="s">
        <v>2443</v>
      </c>
      <c r="C203" s="230">
        <v>46189.0</v>
      </c>
      <c r="D203" s="223" t="s">
        <v>2102</v>
      </c>
      <c r="E203" s="223" t="s">
        <v>2444</v>
      </c>
      <c r="F203" s="223" t="s">
        <v>2445</v>
      </c>
      <c r="G203" s="223" t="s">
        <v>2446</v>
      </c>
      <c r="H203" s="228">
        <v>3.0</v>
      </c>
      <c r="I203" s="223" t="s">
        <v>2208</v>
      </c>
      <c r="J203" s="229">
        <v>18.0</v>
      </c>
      <c r="K203" s="224">
        <f t="shared" si="4"/>
        <v>54</v>
      </c>
      <c r="L203" s="223" t="s">
        <v>2209</v>
      </c>
      <c r="M203" s="223"/>
      <c r="N203" s="223"/>
      <c r="O203" s="223">
        <v>0.0</v>
      </c>
    </row>
    <row r="204" ht="22.5" customHeight="1">
      <c r="A204" s="221" t="s">
        <v>2447</v>
      </c>
      <c r="B204" s="223" t="s">
        <v>2448</v>
      </c>
      <c r="C204" s="230">
        <v>46189.0</v>
      </c>
      <c r="D204" s="223" t="s">
        <v>2102</v>
      </c>
      <c r="E204" s="223" t="s">
        <v>2214</v>
      </c>
      <c r="F204" s="223" t="s">
        <v>2231</v>
      </c>
      <c r="G204" s="223" t="s">
        <v>2449</v>
      </c>
      <c r="H204" s="228">
        <v>1.0</v>
      </c>
      <c r="I204" s="223" t="s">
        <v>2208</v>
      </c>
      <c r="J204" s="229">
        <v>21.0</v>
      </c>
      <c r="K204" s="224">
        <f t="shared" si="4"/>
        <v>21</v>
      </c>
      <c r="L204" s="223" t="s">
        <v>2209</v>
      </c>
      <c r="M204" s="223"/>
      <c r="N204" s="223"/>
      <c r="O204" s="223">
        <v>0.0</v>
      </c>
    </row>
    <row r="205" ht="22.5" customHeight="1">
      <c r="A205" s="221" t="s">
        <v>2450</v>
      </c>
      <c r="B205" s="223" t="s">
        <v>2213</v>
      </c>
      <c r="C205" s="230">
        <v>46189.0</v>
      </c>
      <c r="D205" s="223" t="s">
        <v>2102</v>
      </c>
      <c r="E205" s="223" t="s">
        <v>2214</v>
      </c>
      <c r="F205" s="223" t="s">
        <v>2207</v>
      </c>
      <c r="G205" s="223" t="s">
        <v>2187</v>
      </c>
      <c r="H205" s="228">
        <v>1.0</v>
      </c>
      <c r="I205" s="223" t="s">
        <v>2208</v>
      </c>
      <c r="J205" s="229">
        <v>7.0</v>
      </c>
      <c r="K205" s="224">
        <f t="shared" si="4"/>
        <v>7</v>
      </c>
      <c r="L205" s="223" t="s">
        <v>2209</v>
      </c>
      <c r="M205" s="223"/>
      <c r="N205" s="223"/>
      <c r="O205" s="223">
        <v>0.0</v>
      </c>
    </row>
    <row r="206" ht="22.5" customHeight="1">
      <c r="A206" s="221" t="s">
        <v>2451</v>
      </c>
      <c r="B206" s="223" t="s">
        <v>2452</v>
      </c>
      <c r="C206" s="230">
        <v>46189.0</v>
      </c>
      <c r="D206" s="223" t="s">
        <v>2102</v>
      </c>
      <c r="E206" s="223" t="s">
        <v>2082</v>
      </c>
      <c r="F206" s="223" t="s">
        <v>2445</v>
      </c>
      <c r="G206" s="223" t="s">
        <v>2453</v>
      </c>
      <c r="H206" s="228">
        <v>1.0</v>
      </c>
      <c r="I206" s="223" t="s">
        <v>2208</v>
      </c>
      <c r="J206" s="229">
        <v>19.0</v>
      </c>
      <c r="K206" s="224">
        <f t="shared" si="4"/>
        <v>19</v>
      </c>
      <c r="L206" s="223" t="s">
        <v>2209</v>
      </c>
      <c r="M206" s="223"/>
      <c r="N206" s="223"/>
      <c r="O206" s="223">
        <v>0.0</v>
      </c>
    </row>
    <row r="207" ht="22.5" customHeight="1">
      <c r="A207" s="221" t="s">
        <v>2454</v>
      </c>
      <c r="B207" s="223" t="s">
        <v>2221</v>
      </c>
      <c r="C207" s="230">
        <v>46189.0</v>
      </c>
      <c r="D207" s="223" t="s">
        <v>2102</v>
      </c>
      <c r="E207" s="223" t="s">
        <v>2214</v>
      </c>
      <c r="F207" s="223" t="s">
        <v>2207</v>
      </c>
      <c r="G207" s="223" t="s">
        <v>2222</v>
      </c>
      <c r="H207" s="228">
        <v>1.0</v>
      </c>
      <c r="I207" s="223" t="s">
        <v>2208</v>
      </c>
      <c r="J207" s="229">
        <v>7.0</v>
      </c>
      <c r="K207" s="224">
        <f t="shared" si="4"/>
        <v>7</v>
      </c>
      <c r="L207" s="223" t="s">
        <v>2209</v>
      </c>
      <c r="M207" s="223"/>
      <c r="N207" s="223"/>
      <c r="O207" s="223">
        <v>0.0</v>
      </c>
    </row>
    <row r="208" ht="22.5" customHeight="1">
      <c r="A208" s="221" t="s">
        <v>2455</v>
      </c>
      <c r="B208" s="223" t="s">
        <v>2216</v>
      </c>
      <c r="C208" s="230">
        <v>46189.0</v>
      </c>
      <c r="D208" s="223" t="s">
        <v>2102</v>
      </c>
      <c r="E208" s="223" t="s">
        <v>2214</v>
      </c>
      <c r="F208" s="223" t="s">
        <v>2207</v>
      </c>
      <c r="G208" s="223" t="s">
        <v>2184</v>
      </c>
      <c r="H208" s="228">
        <v>1.0</v>
      </c>
      <c r="I208" s="223" t="s">
        <v>2208</v>
      </c>
      <c r="J208" s="229">
        <v>7.0</v>
      </c>
      <c r="K208" s="224">
        <f t="shared" si="4"/>
        <v>7</v>
      </c>
      <c r="L208" s="223" t="s">
        <v>2209</v>
      </c>
      <c r="M208" s="223"/>
      <c r="N208" s="223"/>
      <c r="O208" s="223">
        <v>0.0</v>
      </c>
    </row>
    <row r="209" ht="22.5" customHeight="1">
      <c r="A209" s="221" t="s">
        <v>2456</v>
      </c>
      <c r="B209" s="223" t="s">
        <v>2218</v>
      </c>
      <c r="C209" s="230">
        <v>46189.0</v>
      </c>
      <c r="D209" s="223" t="s">
        <v>2102</v>
      </c>
      <c r="E209" s="223" t="s">
        <v>2214</v>
      </c>
      <c r="F209" s="223" t="s">
        <v>2207</v>
      </c>
      <c r="G209" s="223" t="s">
        <v>2219</v>
      </c>
      <c r="H209" s="228">
        <v>1.0</v>
      </c>
      <c r="I209" s="223" t="s">
        <v>2208</v>
      </c>
      <c r="J209" s="229">
        <v>7.0</v>
      </c>
      <c r="K209" s="224">
        <f t="shared" si="4"/>
        <v>7</v>
      </c>
      <c r="L209" s="223" t="s">
        <v>2209</v>
      </c>
      <c r="M209" s="223"/>
      <c r="N209" s="223"/>
      <c r="O209" s="223">
        <v>0.0</v>
      </c>
    </row>
    <row r="210" ht="22.5" customHeight="1">
      <c r="A210" s="221" t="s">
        <v>2457</v>
      </c>
      <c r="B210" s="223" t="s">
        <v>2458</v>
      </c>
      <c r="C210" s="230">
        <v>46189.0</v>
      </c>
      <c r="D210" s="223" t="s">
        <v>2102</v>
      </c>
      <c r="E210" s="223" t="s">
        <v>2214</v>
      </c>
      <c r="F210" s="223" t="s">
        <v>2207</v>
      </c>
      <c r="G210" s="223" t="s">
        <v>2459</v>
      </c>
      <c r="H210" s="228">
        <v>5.0</v>
      </c>
      <c r="I210" s="223" t="s">
        <v>2208</v>
      </c>
      <c r="J210" s="229">
        <v>7.0</v>
      </c>
      <c r="K210" s="224">
        <f t="shared" si="4"/>
        <v>35</v>
      </c>
      <c r="L210" s="223" t="s">
        <v>2209</v>
      </c>
      <c r="M210" s="223"/>
      <c r="N210" s="223"/>
      <c r="O210" s="223">
        <v>0.0</v>
      </c>
    </row>
    <row r="211" ht="22.5" customHeight="1">
      <c r="A211" s="221" t="s">
        <v>2460</v>
      </c>
      <c r="B211" s="223" t="s">
        <v>268</v>
      </c>
      <c r="C211" s="230">
        <v>46188.625</v>
      </c>
      <c r="D211" s="223" t="s">
        <v>2081</v>
      </c>
      <c r="E211" s="223" t="s">
        <v>2082</v>
      </c>
      <c r="F211" s="223" t="s">
        <v>252</v>
      </c>
      <c r="G211" s="223" t="s">
        <v>267</v>
      </c>
      <c r="H211" s="228">
        <v>10.0</v>
      </c>
      <c r="I211" s="223" t="s">
        <v>1621</v>
      </c>
      <c r="J211" s="229">
        <v>16.5</v>
      </c>
      <c r="K211" s="224">
        <f t="shared" si="4"/>
        <v>165</v>
      </c>
      <c r="L211" s="223" t="s">
        <v>2293</v>
      </c>
      <c r="M211" s="223"/>
      <c r="N211" s="223"/>
      <c r="O211" s="223">
        <v>0.0</v>
      </c>
    </row>
    <row r="212" ht="22.5" customHeight="1">
      <c r="A212" s="221" t="s">
        <v>2461</v>
      </c>
      <c r="B212" s="223" t="s">
        <v>63</v>
      </c>
      <c r="C212" s="230">
        <v>46189.0</v>
      </c>
      <c r="D212" s="223" t="s">
        <v>2081</v>
      </c>
      <c r="E212" s="223" t="s">
        <v>2082</v>
      </c>
      <c r="F212" s="223" t="s">
        <v>269</v>
      </c>
      <c r="G212" s="223" t="s">
        <v>282</v>
      </c>
      <c r="H212" s="228">
        <v>1.0</v>
      </c>
      <c r="I212" s="223" t="s">
        <v>1621</v>
      </c>
      <c r="J212" s="229">
        <v>0.0</v>
      </c>
      <c r="K212" s="224">
        <f t="shared" si="4"/>
        <v>0</v>
      </c>
      <c r="L212" s="223" t="s">
        <v>2462</v>
      </c>
      <c r="M212" s="223"/>
      <c r="N212" s="223" t="s">
        <v>2463</v>
      </c>
      <c r="O212" s="223"/>
    </row>
    <row r="213" ht="22.5" customHeight="1">
      <c r="A213" s="221" t="s">
        <v>2464</v>
      </c>
      <c r="B213" s="223" t="s">
        <v>268</v>
      </c>
      <c r="C213" s="230">
        <v>46189.0</v>
      </c>
      <c r="D213" s="223" t="s">
        <v>2081</v>
      </c>
      <c r="E213" s="223" t="s">
        <v>2082</v>
      </c>
      <c r="F213" s="223" t="s">
        <v>252</v>
      </c>
      <c r="G213" s="223" t="s">
        <v>267</v>
      </c>
      <c r="H213" s="228">
        <v>4.0</v>
      </c>
      <c r="I213" s="223" t="s">
        <v>1621</v>
      </c>
      <c r="J213" s="229">
        <v>0.0</v>
      </c>
      <c r="K213" s="224">
        <f t="shared" si="4"/>
        <v>0</v>
      </c>
      <c r="L213" s="223" t="s">
        <v>2462</v>
      </c>
      <c r="M213" s="223"/>
      <c r="N213" s="223" t="s">
        <v>2465</v>
      </c>
      <c r="O213" s="223"/>
    </row>
    <row r="214" ht="22.5" customHeight="1">
      <c r="A214" s="221" t="s">
        <v>2466</v>
      </c>
      <c r="B214" s="223" t="s">
        <v>237</v>
      </c>
      <c r="C214" s="230">
        <v>46189.0</v>
      </c>
      <c r="D214" s="223" t="s">
        <v>2081</v>
      </c>
      <c r="E214" s="223" t="s">
        <v>2082</v>
      </c>
      <c r="F214" s="223" t="s">
        <v>162</v>
      </c>
      <c r="G214" s="223" t="s">
        <v>236</v>
      </c>
      <c r="H214" s="228">
        <v>1.0</v>
      </c>
      <c r="I214" s="223" t="s">
        <v>1621</v>
      </c>
      <c r="J214" s="229">
        <v>0.0</v>
      </c>
      <c r="K214" s="224">
        <f t="shared" si="4"/>
        <v>0</v>
      </c>
      <c r="L214" s="223" t="s">
        <v>2462</v>
      </c>
      <c r="M214" s="223"/>
      <c r="N214" s="223" t="s">
        <v>2463</v>
      </c>
      <c r="O214" s="223"/>
    </row>
    <row r="215" ht="22.5" customHeight="1">
      <c r="A215" s="221" t="s">
        <v>2467</v>
      </c>
      <c r="B215" s="223" t="s">
        <v>231</v>
      </c>
      <c r="C215" s="230">
        <v>46189.0</v>
      </c>
      <c r="D215" s="223" t="s">
        <v>2081</v>
      </c>
      <c r="E215" s="223" t="s">
        <v>2082</v>
      </c>
      <c r="F215" s="223" t="s">
        <v>162</v>
      </c>
      <c r="G215" s="223" t="s">
        <v>230</v>
      </c>
      <c r="H215" s="228">
        <v>1.0</v>
      </c>
      <c r="I215" s="223" t="s">
        <v>1621</v>
      </c>
      <c r="J215" s="229">
        <v>0.0</v>
      </c>
      <c r="K215" s="224">
        <f t="shared" si="4"/>
        <v>0</v>
      </c>
      <c r="L215" s="223" t="s">
        <v>2462</v>
      </c>
      <c r="M215" s="223"/>
      <c r="N215" s="223" t="s">
        <v>2463</v>
      </c>
      <c r="O215" s="223"/>
    </row>
    <row r="216" ht="22.5" customHeight="1">
      <c r="A216" s="221" t="s">
        <v>2468</v>
      </c>
      <c r="B216" s="223" t="s">
        <v>273</v>
      </c>
      <c r="C216" s="230">
        <v>46189.0</v>
      </c>
      <c r="D216" s="223" t="s">
        <v>2081</v>
      </c>
      <c r="E216" s="223" t="s">
        <v>2082</v>
      </c>
      <c r="F216" s="223" t="s">
        <v>269</v>
      </c>
      <c r="G216" s="223" t="s">
        <v>272</v>
      </c>
      <c r="H216" s="228">
        <v>2.0</v>
      </c>
      <c r="I216" s="223" t="s">
        <v>1621</v>
      </c>
      <c r="J216" s="229">
        <v>0.0</v>
      </c>
      <c r="K216" s="224">
        <f t="shared" si="4"/>
        <v>0</v>
      </c>
      <c r="L216" s="223" t="s">
        <v>2462</v>
      </c>
      <c r="M216" s="223"/>
      <c r="N216" s="223" t="s">
        <v>2469</v>
      </c>
      <c r="O216" s="223"/>
    </row>
    <row r="217" ht="22.5" customHeight="1">
      <c r="A217" s="221" t="s">
        <v>2470</v>
      </c>
      <c r="B217" s="223" t="s">
        <v>52</v>
      </c>
      <c r="C217" s="230">
        <v>46189.0</v>
      </c>
      <c r="D217" s="223" t="s">
        <v>2081</v>
      </c>
      <c r="E217" s="223" t="s">
        <v>2082</v>
      </c>
      <c r="F217" s="223" t="s">
        <v>269</v>
      </c>
      <c r="G217" s="223" t="s">
        <v>283</v>
      </c>
      <c r="H217" s="228">
        <v>1.0</v>
      </c>
      <c r="I217" s="223" t="s">
        <v>1621</v>
      </c>
      <c r="J217" s="229">
        <v>0.0</v>
      </c>
      <c r="K217" s="224">
        <f t="shared" si="4"/>
        <v>0</v>
      </c>
      <c r="L217" s="223" t="s">
        <v>2462</v>
      </c>
      <c r="M217" s="223"/>
      <c r="N217" s="223" t="s">
        <v>2471</v>
      </c>
      <c r="O217" s="223"/>
    </row>
    <row r="218" ht="22.5" customHeight="1">
      <c r="A218" s="221" t="s">
        <v>2472</v>
      </c>
      <c r="B218" s="223" t="s">
        <v>271</v>
      </c>
      <c r="C218" s="230">
        <v>46189.0</v>
      </c>
      <c r="D218" s="223" t="s">
        <v>2081</v>
      </c>
      <c r="E218" s="223" t="s">
        <v>2082</v>
      </c>
      <c r="F218" s="223" t="s">
        <v>269</v>
      </c>
      <c r="G218" s="223" t="s">
        <v>270</v>
      </c>
      <c r="H218" s="228">
        <v>0.0</v>
      </c>
      <c r="I218" s="223" t="s">
        <v>1621</v>
      </c>
      <c r="J218" s="229">
        <v>0.0</v>
      </c>
      <c r="K218" s="231" t="str">
        <f t="shared" si="4"/>
        <v/>
      </c>
      <c r="L218" s="223" t="s">
        <v>2462</v>
      </c>
      <c r="M218" s="223"/>
      <c r="N218" s="223" t="s">
        <v>2471</v>
      </c>
      <c r="O218" s="223"/>
    </row>
    <row r="219" ht="22.5" customHeight="1">
      <c r="A219" s="221" t="s">
        <v>2473</v>
      </c>
      <c r="B219" s="223" t="s">
        <v>202</v>
      </c>
      <c r="C219" s="230">
        <v>46189.0</v>
      </c>
      <c r="D219" s="223" t="s">
        <v>2081</v>
      </c>
      <c r="E219" s="223" t="s">
        <v>2082</v>
      </c>
      <c r="F219" s="223" t="s">
        <v>162</v>
      </c>
      <c r="G219" s="223" t="s">
        <v>201</v>
      </c>
      <c r="H219" s="228">
        <v>1.0</v>
      </c>
      <c r="I219" s="223" t="s">
        <v>1621</v>
      </c>
      <c r="J219" s="229">
        <v>0.0</v>
      </c>
      <c r="K219" s="224">
        <f t="shared" si="4"/>
        <v>0</v>
      </c>
      <c r="L219" s="223" t="s">
        <v>2462</v>
      </c>
      <c r="M219" s="223"/>
      <c r="N219" s="223" t="s">
        <v>2471</v>
      </c>
      <c r="O219" s="223"/>
    </row>
    <row r="220" ht="22.5" customHeight="1">
      <c r="A220" s="221" t="s">
        <v>2474</v>
      </c>
      <c r="B220" s="223" t="s">
        <v>193</v>
      </c>
      <c r="C220" s="230">
        <v>46189.0</v>
      </c>
      <c r="D220" s="223" t="s">
        <v>2081</v>
      </c>
      <c r="E220" s="223" t="s">
        <v>2082</v>
      </c>
      <c r="F220" s="223" t="s">
        <v>162</v>
      </c>
      <c r="G220" s="223" t="s">
        <v>192</v>
      </c>
      <c r="H220" s="228">
        <v>0.0</v>
      </c>
      <c r="I220" s="223" t="s">
        <v>1621</v>
      </c>
      <c r="J220" s="229">
        <v>0.0</v>
      </c>
      <c r="K220" s="231" t="str">
        <f t="shared" si="4"/>
        <v/>
      </c>
      <c r="L220" s="223" t="s">
        <v>2462</v>
      </c>
      <c r="M220" s="223"/>
      <c r="N220" s="223" t="s">
        <v>2475</v>
      </c>
      <c r="O220" s="223"/>
    </row>
    <row r="221" ht="22.5" customHeight="1">
      <c r="A221" s="221" t="s">
        <v>2476</v>
      </c>
      <c r="B221" s="223" t="s">
        <v>161</v>
      </c>
      <c r="C221" s="230">
        <v>46189.0</v>
      </c>
      <c r="D221" s="223" t="s">
        <v>2081</v>
      </c>
      <c r="E221" s="223" t="s">
        <v>2082</v>
      </c>
      <c r="F221" s="223" t="s">
        <v>162</v>
      </c>
      <c r="G221" s="223" t="s">
        <v>163</v>
      </c>
      <c r="H221" s="228">
        <v>1.0</v>
      </c>
      <c r="I221" s="223" t="s">
        <v>1621</v>
      </c>
      <c r="J221" s="229">
        <v>0.0</v>
      </c>
      <c r="K221" s="224">
        <f t="shared" si="4"/>
        <v>0</v>
      </c>
      <c r="L221" s="223" t="s">
        <v>2462</v>
      </c>
      <c r="M221" s="223"/>
      <c r="N221" s="223" t="s">
        <v>2471</v>
      </c>
      <c r="O221" s="223"/>
    </row>
    <row r="222" ht="22.5" customHeight="1">
      <c r="A222" s="221" t="s">
        <v>2477</v>
      </c>
      <c r="B222" s="223" t="s">
        <v>254</v>
      </c>
      <c r="C222" s="230">
        <v>46189.0</v>
      </c>
      <c r="D222" s="223" t="s">
        <v>2081</v>
      </c>
      <c r="E222" s="223" t="s">
        <v>2082</v>
      </c>
      <c r="F222" s="223" t="s">
        <v>252</v>
      </c>
      <c r="G222" s="223" t="s">
        <v>253</v>
      </c>
      <c r="H222" s="228">
        <v>3.0</v>
      </c>
      <c r="I222" s="223" t="s">
        <v>1621</v>
      </c>
      <c r="J222" s="229">
        <v>0.0</v>
      </c>
      <c r="K222" s="224">
        <f t="shared" si="4"/>
        <v>0</v>
      </c>
      <c r="L222" s="223" t="s">
        <v>2462</v>
      </c>
      <c r="M222" s="223"/>
      <c r="N222" s="223" t="s">
        <v>2478</v>
      </c>
      <c r="O222" s="223"/>
    </row>
    <row r="223" ht="22.5" customHeight="1">
      <c r="A223" s="221" t="s">
        <v>2479</v>
      </c>
      <c r="B223" s="223" t="s">
        <v>1369</v>
      </c>
      <c r="C223" s="230">
        <v>46188.625</v>
      </c>
      <c r="D223" s="223" t="s">
        <v>2081</v>
      </c>
      <c r="E223" s="223" t="s">
        <v>2082</v>
      </c>
      <c r="F223" s="223" t="s">
        <v>252</v>
      </c>
      <c r="G223" s="223" t="s">
        <v>2480</v>
      </c>
      <c r="H223" s="228">
        <v>2.0</v>
      </c>
      <c r="I223" s="223" t="s">
        <v>1621</v>
      </c>
      <c r="J223" s="229">
        <v>0.0</v>
      </c>
      <c r="K223" s="231">
        <v>0.0</v>
      </c>
      <c r="L223" s="223" t="s">
        <v>2293</v>
      </c>
      <c r="M223" s="223"/>
      <c r="N223" s="223" t="s">
        <v>2481</v>
      </c>
      <c r="O223" s="223">
        <v>0.0</v>
      </c>
    </row>
    <row r="224" ht="22.5" customHeight="1">
      <c r="A224" s="221" t="s">
        <v>2482</v>
      </c>
      <c r="B224" s="223" t="s">
        <v>1369</v>
      </c>
      <c r="C224" s="230">
        <v>46188.625</v>
      </c>
      <c r="D224" s="223" t="s">
        <v>2081</v>
      </c>
      <c r="E224" s="223" t="s">
        <v>2082</v>
      </c>
      <c r="F224" s="223" t="s">
        <v>252</v>
      </c>
      <c r="G224" s="223" t="s">
        <v>2480</v>
      </c>
      <c r="H224" s="228">
        <v>1.0</v>
      </c>
      <c r="I224" s="223" t="s">
        <v>1621</v>
      </c>
      <c r="J224" s="229">
        <v>0.0</v>
      </c>
      <c r="K224" s="231">
        <v>0.0</v>
      </c>
      <c r="L224" s="223" t="s">
        <v>2293</v>
      </c>
      <c r="M224" s="223"/>
      <c r="N224" s="223" t="s">
        <v>2483</v>
      </c>
      <c r="O224" s="223">
        <v>0.0</v>
      </c>
    </row>
    <row r="225" ht="22.5" customHeight="1">
      <c r="A225" s="221" t="s">
        <v>2484</v>
      </c>
      <c r="B225" s="223" t="s">
        <v>293</v>
      </c>
      <c r="C225" s="230">
        <v>46194.625</v>
      </c>
      <c r="D225" s="223" t="s">
        <v>2081</v>
      </c>
      <c r="E225" s="223" t="s">
        <v>2082</v>
      </c>
      <c r="F225" s="223" t="s">
        <v>162</v>
      </c>
      <c r="G225" s="223" t="s">
        <v>2418</v>
      </c>
      <c r="H225" s="228">
        <v>10.0</v>
      </c>
      <c r="I225" s="223" t="s">
        <v>1621</v>
      </c>
      <c r="J225" s="229">
        <v>20.0</v>
      </c>
      <c r="K225" s="231">
        <v>200.0</v>
      </c>
      <c r="L225" s="223"/>
      <c r="M225" s="223"/>
      <c r="N225" s="223"/>
      <c r="O225" s="223"/>
    </row>
    <row r="226" ht="22.5" customHeight="1">
      <c r="A226" s="221" t="s">
        <v>2485</v>
      </c>
      <c r="B226" s="223" t="s">
        <v>599</v>
      </c>
      <c r="C226" s="230">
        <v>46196.125</v>
      </c>
      <c r="D226" s="223" t="s">
        <v>2081</v>
      </c>
      <c r="E226" s="223" t="s">
        <v>2082</v>
      </c>
      <c r="F226" s="223" t="s">
        <v>203</v>
      </c>
      <c r="G226" s="223" t="s">
        <v>2486</v>
      </c>
      <c r="H226" s="228">
        <v>6.0</v>
      </c>
      <c r="I226" s="223" t="s">
        <v>1621</v>
      </c>
      <c r="J226" s="229">
        <v>26.0</v>
      </c>
      <c r="K226" s="231">
        <v>156.0</v>
      </c>
      <c r="L226" s="223" t="s">
        <v>2083</v>
      </c>
      <c r="M226" s="223"/>
      <c r="N226" s="223"/>
      <c r="O226" s="223"/>
    </row>
    <row r="227" ht="22.5" customHeight="1">
      <c r="A227" s="221" t="s">
        <v>2487</v>
      </c>
      <c r="B227" s="223" t="s">
        <v>605</v>
      </c>
      <c r="C227" s="230">
        <v>46196.125</v>
      </c>
      <c r="D227" s="223" t="s">
        <v>2081</v>
      </c>
      <c r="E227" s="223" t="s">
        <v>2082</v>
      </c>
      <c r="F227" s="223" t="s">
        <v>203</v>
      </c>
      <c r="G227" s="223" t="s">
        <v>2488</v>
      </c>
      <c r="H227" s="228">
        <v>6.0</v>
      </c>
      <c r="I227" s="223" t="s">
        <v>1621</v>
      </c>
      <c r="J227" s="229">
        <v>26.0</v>
      </c>
      <c r="K227" s="231">
        <v>156.0</v>
      </c>
      <c r="L227" s="223" t="s">
        <v>2083</v>
      </c>
      <c r="M227" s="223"/>
      <c r="N227" s="223"/>
      <c r="O227" s="223"/>
    </row>
    <row r="228" ht="22.5" customHeight="1">
      <c r="A228" s="221" t="s">
        <v>2489</v>
      </c>
      <c r="B228" s="223" t="s">
        <v>588</v>
      </c>
      <c r="C228" s="230">
        <v>46196.125</v>
      </c>
      <c r="D228" s="223" t="s">
        <v>2081</v>
      </c>
      <c r="E228" s="223" t="s">
        <v>2082</v>
      </c>
      <c r="F228" s="223" t="s">
        <v>203</v>
      </c>
      <c r="G228" s="223" t="s">
        <v>2490</v>
      </c>
      <c r="H228" s="228">
        <v>10.0</v>
      </c>
      <c r="I228" s="223" t="s">
        <v>1621</v>
      </c>
      <c r="J228" s="229">
        <v>26.0</v>
      </c>
      <c r="K228" s="231">
        <v>260.0</v>
      </c>
      <c r="L228" s="223" t="s">
        <v>2083</v>
      </c>
      <c r="M228" s="223"/>
      <c r="N228" s="223"/>
      <c r="O228" s="223"/>
    </row>
    <row r="229" ht="22.5" customHeight="1">
      <c r="A229" s="221" t="s">
        <v>2491</v>
      </c>
      <c r="B229" s="223" t="s">
        <v>268</v>
      </c>
      <c r="C229" s="230">
        <v>46198.125</v>
      </c>
      <c r="D229" s="223" t="s">
        <v>2081</v>
      </c>
      <c r="E229" s="223" t="s">
        <v>2082</v>
      </c>
      <c r="F229" s="223" t="s">
        <v>252</v>
      </c>
      <c r="G229" s="223" t="s">
        <v>267</v>
      </c>
      <c r="H229" s="228">
        <v>10.0</v>
      </c>
      <c r="I229" s="223" t="s">
        <v>1621</v>
      </c>
      <c r="J229" s="229">
        <v>16.5</v>
      </c>
      <c r="K229" s="231">
        <v>165.0</v>
      </c>
      <c r="L229" s="223" t="s">
        <v>2293</v>
      </c>
      <c r="M229" s="223"/>
      <c r="N229" s="223"/>
      <c r="O229" s="223"/>
    </row>
    <row r="230" ht="22.5" customHeight="1">
      <c r="A230" s="221" t="s">
        <v>2492</v>
      </c>
      <c r="B230" s="223" t="s">
        <v>275</v>
      </c>
      <c r="C230" s="230">
        <v>46202.125</v>
      </c>
      <c r="D230" s="223" t="s">
        <v>2081</v>
      </c>
      <c r="E230" s="223" t="s">
        <v>2082</v>
      </c>
      <c r="F230" s="223" t="s">
        <v>269</v>
      </c>
      <c r="G230" s="223" t="s">
        <v>274</v>
      </c>
      <c r="H230" s="228">
        <v>0.0</v>
      </c>
      <c r="I230" s="223" t="s">
        <v>1621</v>
      </c>
      <c r="J230" s="229">
        <v>19.0</v>
      </c>
      <c r="K230" s="231">
        <v>0.0</v>
      </c>
      <c r="L230" s="223" t="s">
        <v>2293</v>
      </c>
      <c r="M230" s="223"/>
      <c r="N230" s="223" t="s">
        <v>2493</v>
      </c>
      <c r="O230" s="223"/>
    </row>
    <row r="231" ht="22.5" customHeight="1">
      <c r="A231" s="221" t="s">
        <v>2494</v>
      </c>
      <c r="B231" s="223" t="s">
        <v>1215</v>
      </c>
      <c r="C231" s="230">
        <v>46200.125</v>
      </c>
      <c r="D231" s="223" t="s">
        <v>2081</v>
      </c>
      <c r="E231" s="223" t="s">
        <v>2082</v>
      </c>
      <c r="F231" s="223" t="s">
        <v>269</v>
      </c>
      <c r="G231" s="223" t="s">
        <v>2495</v>
      </c>
      <c r="H231" s="228">
        <v>5.0</v>
      </c>
      <c r="I231" s="223" t="s">
        <v>1621</v>
      </c>
      <c r="J231" s="229">
        <v>19.0</v>
      </c>
      <c r="K231" s="231">
        <v>95.0</v>
      </c>
      <c r="L231" s="223" t="s">
        <v>2293</v>
      </c>
      <c r="M231" s="223"/>
      <c r="N231" s="223"/>
      <c r="O231" s="223"/>
    </row>
    <row r="232" ht="22.5" customHeight="1">
      <c r="A232" s="221" t="s">
        <v>2496</v>
      </c>
      <c r="B232" s="223" t="s">
        <v>256</v>
      </c>
      <c r="C232" s="230">
        <v>46203.125</v>
      </c>
      <c r="D232" s="223" t="s">
        <v>2081</v>
      </c>
      <c r="E232" s="223" t="s">
        <v>2082</v>
      </c>
      <c r="F232" s="223" t="s">
        <v>252</v>
      </c>
      <c r="G232" s="223" t="s">
        <v>255</v>
      </c>
      <c r="H232" s="228">
        <v>2.0</v>
      </c>
      <c r="I232" s="223" t="s">
        <v>1621</v>
      </c>
      <c r="J232" s="229">
        <v>0.0</v>
      </c>
      <c r="K232" s="231"/>
      <c r="L232" s="223" t="s">
        <v>2497</v>
      </c>
      <c r="M232" s="223"/>
      <c r="N232" s="223" t="s">
        <v>2498</v>
      </c>
      <c r="O232" s="223">
        <v>0.0</v>
      </c>
    </row>
    <row r="233" ht="22.5" customHeight="1">
      <c r="A233" s="221" t="s">
        <v>2499</v>
      </c>
      <c r="B233" s="223" t="s">
        <v>300</v>
      </c>
      <c r="C233" s="230">
        <v>46211.125</v>
      </c>
      <c r="D233" s="223" t="s">
        <v>2081</v>
      </c>
      <c r="E233" s="223" t="s">
        <v>2082</v>
      </c>
      <c r="F233" s="223" t="s">
        <v>162</v>
      </c>
      <c r="G233" s="223" t="s">
        <v>299</v>
      </c>
      <c r="H233" s="228">
        <v>10.0</v>
      </c>
      <c r="I233" s="223" t="s">
        <v>1621</v>
      </c>
      <c r="J233" s="229">
        <v>20.0</v>
      </c>
      <c r="K233" s="231">
        <v>200.0</v>
      </c>
      <c r="L233" s="223" t="s">
        <v>2083</v>
      </c>
      <c r="M233" s="223"/>
      <c r="N233" s="223" t="s">
        <v>2500</v>
      </c>
      <c r="O233" s="223"/>
    </row>
    <row r="234" ht="22.5" customHeight="1">
      <c r="A234" s="221" t="s">
        <v>2501</v>
      </c>
      <c r="B234" s="223" t="s">
        <v>161</v>
      </c>
      <c r="C234" s="230">
        <v>46211.125</v>
      </c>
      <c r="D234" s="223" t="s">
        <v>2081</v>
      </c>
      <c r="E234" s="223" t="s">
        <v>2082</v>
      </c>
      <c r="F234" s="223" t="s">
        <v>162</v>
      </c>
      <c r="G234" s="223" t="s">
        <v>163</v>
      </c>
      <c r="H234" s="228">
        <v>10.0</v>
      </c>
      <c r="I234" s="223" t="s">
        <v>1621</v>
      </c>
      <c r="J234" s="229">
        <v>20.0</v>
      </c>
      <c r="K234" s="231">
        <v>200.0</v>
      </c>
      <c r="L234" s="223" t="s">
        <v>2083</v>
      </c>
      <c r="M234" s="223"/>
      <c r="N234" s="223" t="s">
        <v>2500</v>
      </c>
      <c r="O234" s="223"/>
    </row>
  </sheetData>
  <dataValidations>
    <dataValidation type="custom" allowBlank="1" showDropDown="1" sqref="B2:B234">
      <formula1>AND(ISNUMBER(B2),(NOT(OR(NOT(ISERROR(DATEVALUE(B2))), AND(ISNUMBER(B2), LEFT(CELL("format", B2))="D")))))</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10.25"/>
    <col customWidth="1" min="2" max="2" width="11.5"/>
    <col customWidth="1" min="3" max="3" width="13.5"/>
    <col customWidth="1" min="4" max="5" width="2.38"/>
    <col customWidth="1" min="6" max="6" width="50.63"/>
    <col customWidth="1" min="7" max="8" width="9.0"/>
    <col customWidth="1" min="9" max="9" width="20.25"/>
    <col customWidth="1" min="10" max="10" width="29.88"/>
    <col customWidth="1" min="11" max="11" width="16.0"/>
    <col customWidth="1" min="12" max="12" width="15.0"/>
  </cols>
  <sheetData>
    <row r="1" ht="30.0" customHeight="1">
      <c r="A1" s="233" t="s">
        <v>1595</v>
      </c>
      <c r="B1" s="233" t="s">
        <v>1596</v>
      </c>
      <c r="C1" s="234" t="s">
        <v>2502</v>
      </c>
      <c r="D1" s="234" t="s">
        <v>11</v>
      </c>
      <c r="E1" s="234" t="s">
        <v>2503</v>
      </c>
      <c r="F1" s="235" t="s">
        <v>172</v>
      </c>
      <c r="G1" s="233" t="s">
        <v>2504</v>
      </c>
      <c r="H1" s="233" t="s">
        <v>2505</v>
      </c>
      <c r="I1" s="234" t="s">
        <v>33</v>
      </c>
      <c r="J1" s="234" t="s">
        <v>2506</v>
      </c>
      <c r="K1" s="235" t="s">
        <v>2507</v>
      </c>
      <c r="L1" s="236" t="s">
        <v>42</v>
      </c>
      <c r="M1" s="236" t="s">
        <v>428</v>
      </c>
      <c r="N1" s="236" t="s">
        <v>2508</v>
      </c>
    </row>
    <row r="2" ht="15.75" customHeight="1">
      <c r="A2" s="237">
        <v>2026.0</v>
      </c>
      <c r="B2" s="238">
        <v>2.0</v>
      </c>
      <c r="C2" s="239">
        <v>46066.0</v>
      </c>
      <c r="D2" s="240"/>
      <c r="E2" s="240"/>
      <c r="F2" s="241" t="s">
        <v>2509</v>
      </c>
      <c r="G2" s="242"/>
      <c r="H2" s="211"/>
      <c r="I2" s="237">
        <v>1.0</v>
      </c>
      <c r="J2" s="243" t="s">
        <v>2510</v>
      </c>
      <c r="K2" s="244">
        <v>120.0</v>
      </c>
      <c r="L2" s="245">
        <f>VLOOKUP(F2,'PRODUCT_COGS&amp;PRICE'!A:E,5,FALSE)</f>
        <v>30</v>
      </c>
      <c r="M2" s="246"/>
      <c r="N2" s="246">
        <v>1.0</v>
      </c>
    </row>
    <row r="3" ht="15.75" customHeight="1">
      <c r="A3" s="237">
        <v>2026.0</v>
      </c>
      <c r="B3" s="238">
        <v>2.0</v>
      </c>
      <c r="C3" s="239">
        <v>46066.0</v>
      </c>
      <c r="D3" s="247"/>
      <c r="E3" s="247"/>
      <c r="F3" s="241" t="s">
        <v>2011</v>
      </c>
      <c r="G3" s="242"/>
      <c r="H3" s="211"/>
      <c r="I3" s="237">
        <v>1.0</v>
      </c>
      <c r="J3" s="243" t="s">
        <v>2510</v>
      </c>
      <c r="K3" s="244">
        <v>153.0</v>
      </c>
      <c r="L3" s="245">
        <f>VLOOKUP(F3,'PRODUCT_COGS&amp;PRICE'!A:E,5,FALSE)</f>
        <v>36</v>
      </c>
      <c r="M3" s="246"/>
      <c r="N3" s="246">
        <v>2.0</v>
      </c>
    </row>
    <row r="4" ht="15.75" customHeight="1">
      <c r="A4" s="237">
        <v>2026.0</v>
      </c>
      <c r="B4" s="248">
        <v>2.0</v>
      </c>
      <c r="C4" s="249">
        <v>46066.0</v>
      </c>
      <c r="D4" s="250"/>
      <c r="E4" s="250"/>
      <c r="F4" s="192" t="s">
        <v>2011</v>
      </c>
      <c r="G4" s="251"/>
      <c r="H4" s="243"/>
      <c r="I4" s="252">
        <v>1.0</v>
      </c>
      <c r="J4" s="243" t="s">
        <v>2510</v>
      </c>
      <c r="K4" s="244">
        <v>170.0</v>
      </c>
      <c r="L4" s="245">
        <f>VLOOKUP(F4,'PRODUCT_COGS&amp;PRICE'!A:E,5,FALSE)</f>
        <v>36</v>
      </c>
      <c r="M4" s="246"/>
      <c r="N4" s="246">
        <v>3.0</v>
      </c>
    </row>
    <row r="5" ht="15.75" customHeight="1">
      <c r="A5" s="237">
        <v>2026.0</v>
      </c>
      <c r="B5" s="248">
        <v>2.0</v>
      </c>
      <c r="C5" s="249">
        <v>46066.0</v>
      </c>
      <c r="D5" s="250"/>
      <c r="E5" s="250"/>
      <c r="F5" s="192" t="s">
        <v>2010</v>
      </c>
      <c r="G5" s="251"/>
      <c r="H5" s="253"/>
      <c r="I5" s="252">
        <v>1.0</v>
      </c>
      <c r="J5" s="243" t="s">
        <v>2510</v>
      </c>
      <c r="K5" s="244">
        <v>120.0</v>
      </c>
      <c r="L5" s="245">
        <f>VLOOKUP(F5,'PRODUCT_COGS&amp;PRICE'!A:E,5,FALSE)</f>
        <v>13.5</v>
      </c>
      <c r="M5" s="246"/>
      <c r="N5" s="246">
        <v>999999.0</v>
      </c>
    </row>
    <row r="6" ht="15.75" customHeight="1">
      <c r="A6" s="237">
        <v>2026.0</v>
      </c>
      <c r="B6" s="248">
        <v>2.0</v>
      </c>
      <c r="C6" s="249">
        <v>46066.0</v>
      </c>
      <c r="D6" s="250"/>
      <c r="E6" s="250"/>
      <c r="F6" s="192" t="s">
        <v>2010</v>
      </c>
      <c r="G6" s="251"/>
      <c r="H6" s="253"/>
      <c r="I6" s="252">
        <v>1.0</v>
      </c>
      <c r="J6" s="243" t="s">
        <v>2510</v>
      </c>
      <c r="K6" s="244">
        <v>120.0</v>
      </c>
      <c r="L6" s="245">
        <f>VLOOKUP(F6,'PRODUCT_COGS&amp;PRICE'!A:E,5,FALSE)</f>
        <v>13.5</v>
      </c>
      <c r="M6" s="246"/>
      <c r="N6" s="246">
        <v>12.0</v>
      </c>
    </row>
    <row r="7" ht="15.75" customHeight="1">
      <c r="A7" s="237">
        <v>2026.0</v>
      </c>
      <c r="B7" s="248">
        <v>3.0</v>
      </c>
      <c r="C7" s="249">
        <v>46094.91994212963</v>
      </c>
      <c r="D7" s="250"/>
      <c r="E7" s="250"/>
      <c r="F7" s="192" t="s">
        <v>241</v>
      </c>
      <c r="G7" s="251"/>
      <c r="H7" s="253"/>
      <c r="I7" s="252">
        <v>1.0</v>
      </c>
      <c r="J7" s="243" t="s">
        <v>2511</v>
      </c>
      <c r="K7" s="244">
        <v>108.0</v>
      </c>
      <c r="L7" s="245">
        <f>VLOOKUP(F7,'PRODUCT_COGS&amp;PRICE'!A:E,5,FALSE)</f>
        <v>20</v>
      </c>
      <c r="M7" s="246"/>
      <c r="N7" s="246">
        <v>9022980.0</v>
      </c>
    </row>
    <row r="8" ht="15.75" customHeight="1">
      <c r="A8" s="237">
        <v>2026.0</v>
      </c>
      <c r="B8" s="248">
        <v>2.0</v>
      </c>
      <c r="C8" s="249">
        <v>46066.0</v>
      </c>
      <c r="D8" s="250"/>
      <c r="E8" s="250"/>
      <c r="F8" s="192" t="s">
        <v>2011</v>
      </c>
      <c r="G8" s="251"/>
      <c r="H8" s="253"/>
      <c r="I8" s="252">
        <v>1.0</v>
      </c>
      <c r="J8" s="243" t="s">
        <v>2510</v>
      </c>
      <c r="K8" s="244">
        <v>120.0</v>
      </c>
      <c r="L8" s="245">
        <f>VLOOKUP(F8,'PRODUCT_COGS&amp;PRICE'!A:E,5,FALSE)</f>
        <v>36</v>
      </c>
      <c r="M8" s="246"/>
      <c r="N8" s="246">
        <v>1.0</v>
      </c>
    </row>
    <row r="9" ht="15.75" customHeight="1">
      <c r="A9" s="237">
        <v>2026.0</v>
      </c>
      <c r="B9" s="248">
        <v>3.0</v>
      </c>
      <c r="C9" s="249">
        <v>46109.451689814814</v>
      </c>
      <c r="D9" s="250"/>
      <c r="E9" s="250"/>
      <c r="F9" s="192" t="s">
        <v>247</v>
      </c>
      <c r="G9" s="251"/>
      <c r="H9" s="253"/>
      <c r="I9" s="252">
        <v>1.0</v>
      </c>
      <c r="J9" s="243" t="s">
        <v>2510</v>
      </c>
      <c r="K9" s="244">
        <v>153.0</v>
      </c>
      <c r="L9" s="245">
        <f>VLOOKUP(F9,'PRODUCT_COGS&amp;PRICE'!A:E,5,FALSE)</f>
        <v>36</v>
      </c>
      <c r="M9" s="246"/>
      <c r="N9" s="246">
        <v>9356014.0</v>
      </c>
    </row>
    <row r="10" ht="15.75" customHeight="1">
      <c r="A10" s="237">
        <v>2026.0</v>
      </c>
      <c r="B10" s="248">
        <v>3.0</v>
      </c>
      <c r="C10" s="249">
        <v>46109.4546875</v>
      </c>
      <c r="D10" s="250"/>
      <c r="E10" s="250"/>
      <c r="F10" s="192" t="s">
        <v>1995</v>
      </c>
      <c r="G10" s="251"/>
      <c r="H10" s="253"/>
      <c r="I10" s="252">
        <v>1.0</v>
      </c>
      <c r="J10" s="243" t="s">
        <v>2510</v>
      </c>
      <c r="K10" s="244">
        <v>153.0</v>
      </c>
      <c r="L10" s="245">
        <f>VLOOKUP(F10,'PRODUCT_COGS&amp;PRICE'!A:E,5,FALSE)</f>
        <v>36</v>
      </c>
      <c r="M10" s="246"/>
      <c r="N10" s="246">
        <v>9356152.0</v>
      </c>
    </row>
    <row r="11" ht="15.75" customHeight="1">
      <c r="A11" s="237">
        <v>2026.0</v>
      </c>
      <c r="B11" s="248">
        <v>3.0</v>
      </c>
      <c r="C11" s="249">
        <v>46109.481585648144</v>
      </c>
      <c r="D11" s="250"/>
      <c r="E11" s="250"/>
      <c r="F11" s="192" t="s">
        <v>2512</v>
      </c>
      <c r="G11" s="251"/>
      <c r="H11" s="253"/>
      <c r="I11" s="252">
        <v>1.0</v>
      </c>
      <c r="J11" s="243" t="s">
        <v>2510</v>
      </c>
      <c r="K11" s="244">
        <v>90.0</v>
      </c>
      <c r="L11" s="245">
        <f>VLOOKUP(F11,'PRODUCT_COGS&amp;PRICE'!A:E,5,FALSE)</f>
        <v>16.5</v>
      </c>
      <c r="M11" s="246"/>
      <c r="N11" s="246">
        <v>9357493.0</v>
      </c>
    </row>
    <row r="12" ht="15.75" customHeight="1">
      <c r="A12" s="237">
        <v>2026.0</v>
      </c>
      <c r="B12" s="248">
        <v>3.0</v>
      </c>
      <c r="C12" s="249">
        <v>46109.56979166667</v>
      </c>
      <c r="D12" s="250"/>
      <c r="E12" s="250"/>
      <c r="F12" s="192" t="s">
        <v>2513</v>
      </c>
      <c r="G12" s="251"/>
      <c r="H12" s="253"/>
      <c r="I12" s="252">
        <v>1.0</v>
      </c>
      <c r="J12" s="243" t="s">
        <v>2510</v>
      </c>
      <c r="K12" s="244">
        <v>120.0</v>
      </c>
      <c r="L12" s="245">
        <f>VLOOKUP(F12,'PRODUCT_COGS&amp;PRICE'!A:E,5,FALSE)</f>
        <v>26</v>
      </c>
      <c r="M12" s="246"/>
      <c r="N12" s="246">
        <v>9363340.0</v>
      </c>
    </row>
    <row r="13" ht="15.75" customHeight="1">
      <c r="A13" s="237">
        <v>2026.0</v>
      </c>
      <c r="B13" s="248">
        <v>3.0</v>
      </c>
      <c r="C13" s="249">
        <v>46109.57703703704</v>
      </c>
      <c r="D13" s="250"/>
      <c r="E13" s="250"/>
      <c r="F13" s="192" t="s">
        <v>2514</v>
      </c>
      <c r="G13" s="251"/>
      <c r="H13" s="253"/>
      <c r="I13" s="252">
        <v>1.0</v>
      </c>
      <c r="J13" s="243" t="s">
        <v>2510</v>
      </c>
      <c r="K13" s="244">
        <v>120.0</v>
      </c>
      <c r="L13" s="245">
        <f>VLOOKUP(F13,'PRODUCT_COGS&amp;PRICE'!A:E,5,FALSE)</f>
        <v>30.33</v>
      </c>
      <c r="M13" s="246"/>
      <c r="N13" s="246">
        <v>9363601.0</v>
      </c>
    </row>
    <row r="14" ht="15.75" customHeight="1">
      <c r="A14" s="237">
        <v>2026.0</v>
      </c>
      <c r="B14" s="248">
        <v>3.0</v>
      </c>
      <c r="C14" s="249">
        <v>46109.67506944445</v>
      </c>
      <c r="D14" s="250"/>
      <c r="E14" s="250"/>
      <c r="F14" s="192" t="s">
        <v>2512</v>
      </c>
      <c r="G14" s="251"/>
      <c r="H14" s="253"/>
      <c r="I14" s="252">
        <v>1.0</v>
      </c>
      <c r="J14" s="243" t="s">
        <v>2510</v>
      </c>
      <c r="K14" s="244">
        <v>90.0</v>
      </c>
      <c r="L14" s="245">
        <f>VLOOKUP(F14,'PRODUCT_COGS&amp;PRICE'!A:E,5,FALSE)</f>
        <v>16.5</v>
      </c>
      <c r="M14" s="246"/>
      <c r="N14" s="246">
        <v>9366714.0</v>
      </c>
    </row>
    <row r="15" ht="15.75" customHeight="1">
      <c r="A15" s="237">
        <v>2026.0</v>
      </c>
      <c r="B15" s="248">
        <v>3.0</v>
      </c>
      <c r="C15" s="249">
        <v>46109.67858796296</v>
      </c>
      <c r="D15" s="250"/>
      <c r="E15" s="250"/>
      <c r="F15" s="192" t="s">
        <v>2026</v>
      </c>
      <c r="G15" s="251"/>
      <c r="H15" s="253"/>
      <c r="I15" s="252">
        <v>1.0</v>
      </c>
      <c r="J15" s="243" t="s">
        <v>2510</v>
      </c>
      <c r="K15" s="244">
        <v>81.0</v>
      </c>
      <c r="L15" s="245">
        <f>VLOOKUP(F15,'PRODUCT_COGS&amp;PRICE'!A:E,5,FALSE)</f>
        <v>16.5</v>
      </c>
      <c r="M15" s="246"/>
      <c r="N15" s="246">
        <v>9366847.0</v>
      </c>
    </row>
    <row r="16" ht="15.75" customHeight="1">
      <c r="A16" s="237">
        <v>2026.0</v>
      </c>
      <c r="B16" s="248">
        <v>3.0</v>
      </c>
      <c r="C16" s="249">
        <v>46109.712592592594</v>
      </c>
      <c r="D16" s="250"/>
      <c r="E16" s="250"/>
      <c r="F16" s="192" t="s">
        <v>2515</v>
      </c>
      <c r="G16" s="251"/>
      <c r="H16" s="253"/>
      <c r="I16" s="252">
        <v>3.0</v>
      </c>
      <c r="J16" s="243" t="s">
        <v>2510</v>
      </c>
      <c r="K16" s="244">
        <v>50.0</v>
      </c>
      <c r="L16" s="245">
        <f>VLOOKUP(F16,'PRODUCT_COGS&amp;PRICE'!A:E,5,FALSE)</f>
        <v>14.33</v>
      </c>
      <c r="M16" s="246"/>
      <c r="N16" s="246">
        <v>9368628.0</v>
      </c>
    </row>
    <row r="17" ht="15.75" customHeight="1">
      <c r="A17" s="237">
        <v>2026.0</v>
      </c>
      <c r="B17" s="248">
        <v>3.0</v>
      </c>
      <c r="C17" s="249">
        <v>46109.712592592594</v>
      </c>
      <c r="D17" s="250"/>
      <c r="E17" s="250"/>
      <c r="F17" s="192" t="s">
        <v>2516</v>
      </c>
      <c r="G17" s="251"/>
      <c r="H17" s="253"/>
      <c r="I17" s="252">
        <v>1.0</v>
      </c>
      <c r="J17" s="243" t="s">
        <v>2510</v>
      </c>
      <c r="K17" s="244">
        <v>150.0</v>
      </c>
      <c r="L17" s="245">
        <f>VLOOKUP(F17,'PRODUCT_COGS&amp;PRICE'!A:E,5,FALSE)</f>
        <v>30.33</v>
      </c>
      <c r="M17" s="246"/>
      <c r="N17" s="246">
        <v>9368628.0</v>
      </c>
    </row>
    <row r="18" ht="15.75" customHeight="1">
      <c r="A18" s="237">
        <v>2026.0</v>
      </c>
      <c r="B18" s="248">
        <v>3.0</v>
      </c>
      <c r="C18" s="249">
        <v>46109.73674768519</v>
      </c>
      <c r="D18" s="250"/>
      <c r="E18" s="250"/>
      <c r="F18" s="192" t="s">
        <v>2517</v>
      </c>
      <c r="G18" s="251"/>
      <c r="H18" s="253"/>
      <c r="I18" s="252">
        <v>1.0</v>
      </c>
      <c r="J18" s="243" t="s">
        <v>2511</v>
      </c>
      <c r="K18" s="244">
        <v>90.0</v>
      </c>
      <c r="L18" s="245">
        <f>VLOOKUP(F18,'PRODUCT_COGS&amp;PRICE'!A:E,5,FALSE)</f>
        <v>16.5</v>
      </c>
      <c r="M18" s="246"/>
      <c r="N18" s="246">
        <v>9370191.0</v>
      </c>
    </row>
    <row r="19" ht="15.75" customHeight="1">
      <c r="A19" s="237">
        <v>2026.0</v>
      </c>
      <c r="B19" s="248">
        <v>4.0</v>
      </c>
      <c r="C19" s="249">
        <v>46119.390081018515</v>
      </c>
      <c r="D19" s="250"/>
      <c r="E19" s="250"/>
      <c r="F19" s="192" t="s">
        <v>247</v>
      </c>
      <c r="G19" s="251"/>
      <c r="H19" s="253"/>
      <c r="I19" s="252">
        <v>1.0</v>
      </c>
      <c r="J19" s="243" t="s">
        <v>2510</v>
      </c>
      <c r="K19" s="244">
        <v>170.0</v>
      </c>
      <c r="L19" s="245">
        <f>VLOOKUP(F19,'PRODUCT_COGS&amp;PRICE'!A:E,5,FALSE)</f>
        <v>36</v>
      </c>
      <c r="M19" s="246"/>
      <c r="N19" s="246">
        <v>9621299.0</v>
      </c>
    </row>
    <row r="20" ht="15.75" customHeight="1">
      <c r="A20" s="237">
        <v>2026.0</v>
      </c>
      <c r="B20" s="248">
        <v>4.0</v>
      </c>
      <c r="C20" s="249">
        <v>46120.76917824074</v>
      </c>
      <c r="D20" s="250"/>
      <c r="E20" s="250"/>
      <c r="F20" s="192" t="s">
        <v>2518</v>
      </c>
      <c r="G20" s="251"/>
      <c r="H20" s="253"/>
      <c r="I20" s="252">
        <v>1.0</v>
      </c>
      <c r="J20" s="243" t="s">
        <v>2510</v>
      </c>
      <c r="K20" s="254">
        <v>72.0</v>
      </c>
      <c r="L20" s="245">
        <f>VLOOKUP(F20,'PRODUCT_COGS&amp;PRICE'!A:E,5,FALSE)</f>
        <v>19</v>
      </c>
      <c r="M20" s="246"/>
      <c r="N20" s="246">
        <v>9645088.0</v>
      </c>
    </row>
    <row r="21" ht="15.75" customHeight="1">
      <c r="A21" s="237">
        <v>2026.0</v>
      </c>
      <c r="B21" s="248">
        <v>4.0</v>
      </c>
      <c r="C21" s="249">
        <v>46120.76969907407</v>
      </c>
      <c r="D21" s="250"/>
      <c r="E21" s="250"/>
      <c r="F21" s="192" t="s">
        <v>2027</v>
      </c>
      <c r="G21" s="251"/>
      <c r="H21" s="253"/>
      <c r="I21" s="252">
        <v>1.0</v>
      </c>
      <c r="J21" s="243" t="s">
        <v>2510</v>
      </c>
      <c r="K21" s="254">
        <v>72.0</v>
      </c>
      <c r="L21" s="245">
        <f>VLOOKUP(F21,'PRODUCT_COGS&amp;PRICE'!A:E,5,FALSE)</f>
        <v>19</v>
      </c>
      <c r="M21" s="246"/>
      <c r="N21" s="246">
        <v>9645109.0</v>
      </c>
    </row>
    <row r="22" ht="15.75" customHeight="1">
      <c r="A22" s="237">
        <v>2026.0</v>
      </c>
      <c r="B22" s="248">
        <v>4.0</v>
      </c>
      <c r="C22" s="249">
        <v>46120.77070601852</v>
      </c>
      <c r="D22" s="250"/>
      <c r="E22" s="250"/>
      <c r="F22" s="192" t="s">
        <v>2518</v>
      </c>
      <c r="G22" s="251"/>
      <c r="H22" s="253"/>
      <c r="I22" s="252">
        <v>1.0</v>
      </c>
      <c r="J22" s="243" t="s">
        <v>2510</v>
      </c>
      <c r="K22" s="254">
        <v>72.0</v>
      </c>
      <c r="L22" s="245">
        <f>VLOOKUP(F22,'PRODUCT_COGS&amp;PRICE'!A:E,5,FALSE)</f>
        <v>19</v>
      </c>
      <c r="M22" s="246"/>
      <c r="N22" s="246">
        <v>9645146.0</v>
      </c>
    </row>
    <row r="23" ht="15.75" customHeight="1">
      <c r="A23" s="237">
        <v>2026.0</v>
      </c>
      <c r="B23" s="248">
        <v>4.0</v>
      </c>
      <c r="C23" s="249">
        <v>46120.772523148145</v>
      </c>
      <c r="D23" s="250"/>
      <c r="E23" s="250"/>
      <c r="F23" s="192" t="s">
        <v>2519</v>
      </c>
      <c r="G23" s="251"/>
      <c r="H23" s="253"/>
      <c r="I23" s="252">
        <v>1.0</v>
      </c>
      <c r="J23" s="243" t="s">
        <v>2510</v>
      </c>
      <c r="K23" s="254">
        <v>135.0</v>
      </c>
      <c r="L23" s="245">
        <f>VLOOKUP(F23,'PRODUCT_COGS&amp;PRICE'!A:E,5,FALSE)</f>
        <v>30.33</v>
      </c>
      <c r="M23" s="246"/>
      <c r="N23" s="246">
        <v>9645209.0</v>
      </c>
    </row>
    <row r="24" ht="15.75" customHeight="1">
      <c r="A24" s="237">
        <v>2026.0</v>
      </c>
      <c r="B24" s="248">
        <v>4.0</v>
      </c>
      <c r="C24" s="249">
        <v>46121.62170138889</v>
      </c>
      <c r="D24" s="250"/>
      <c r="E24" s="250"/>
      <c r="F24" s="192" t="s">
        <v>2520</v>
      </c>
      <c r="G24" s="251"/>
      <c r="H24" s="253"/>
      <c r="I24" s="252">
        <v>1.0</v>
      </c>
      <c r="J24" s="243" t="s">
        <v>2510</v>
      </c>
      <c r="K24" s="244">
        <v>90.0</v>
      </c>
      <c r="L24" s="245">
        <f>VLOOKUP(F24,'PRODUCT_COGS&amp;PRICE'!A:E,5,FALSE)</f>
        <v>16.5</v>
      </c>
      <c r="M24" s="246"/>
      <c r="N24" s="246">
        <v>9658460.0</v>
      </c>
    </row>
    <row r="25" ht="15.75" customHeight="1">
      <c r="A25" s="237">
        <v>2026.0</v>
      </c>
      <c r="B25" s="248">
        <v>4.0</v>
      </c>
      <c r="C25" s="249">
        <v>46121.64938657408</v>
      </c>
      <c r="D25" s="250"/>
      <c r="E25" s="250"/>
      <c r="F25" s="192" t="s">
        <v>213</v>
      </c>
      <c r="G25" s="251"/>
      <c r="H25" s="253"/>
      <c r="I25" s="252">
        <v>1.0</v>
      </c>
      <c r="J25" s="243" t="s">
        <v>2510</v>
      </c>
      <c r="K25" s="244">
        <v>50.0</v>
      </c>
      <c r="L25" s="245">
        <f>VLOOKUP(F25,'PRODUCT_COGS&amp;PRICE'!A:E,5,FALSE)</f>
        <v>4</v>
      </c>
      <c r="M25" s="246"/>
      <c r="N25" s="246">
        <v>9658908.0</v>
      </c>
    </row>
    <row r="26" ht="15.75" customHeight="1">
      <c r="A26" s="237">
        <v>2026.0</v>
      </c>
      <c r="B26" s="248">
        <v>4.0</v>
      </c>
      <c r="C26" s="249">
        <v>46122.5108912037</v>
      </c>
      <c r="D26" s="250"/>
      <c r="E26" s="250"/>
      <c r="F26" s="192" t="s">
        <v>2037</v>
      </c>
      <c r="G26" s="251"/>
      <c r="H26" s="253"/>
      <c r="I26" s="252">
        <v>1.0</v>
      </c>
      <c r="J26" s="243" t="s">
        <v>2510</v>
      </c>
      <c r="K26" s="244">
        <v>150.0</v>
      </c>
      <c r="L26" s="245">
        <f>VLOOKUP(F26,'PRODUCT_COGS&amp;PRICE'!A:E,5,FALSE)</f>
        <v>33</v>
      </c>
      <c r="M26" s="246"/>
      <c r="N26" s="246">
        <v>9675821.0</v>
      </c>
    </row>
    <row r="27" ht="15.75" customHeight="1">
      <c r="A27" s="237">
        <v>2026.0</v>
      </c>
      <c r="B27" s="248">
        <v>4.0</v>
      </c>
      <c r="C27" s="249">
        <v>46122.544953703706</v>
      </c>
      <c r="D27" s="250"/>
      <c r="E27" s="250"/>
      <c r="F27" s="192" t="s">
        <v>2520</v>
      </c>
      <c r="G27" s="251"/>
      <c r="H27" s="253"/>
      <c r="I27" s="252">
        <v>1.0</v>
      </c>
      <c r="J27" s="243" t="s">
        <v>2510</v>
      </c>
      <c r="K27" s="244">
        <v>81.0</v>
      </c>
      <c r="L27" s="245">
        <f>VLOOKUP(F27,'PRODUCT_COGS&amp;PRICE'!A:E,5,FALSE)</f>
        <v>16.5</v>
      </c>
      <c r="M27" s="246"/>
      <c r="N27" s="246">
        <v>9676638.0</v>
      </c>
    </row>
    <row r="28" ht="15.75" customHeight="1">
      <c r="A28" s="237">
        <v>2026.0</v>
      </c>
      <c r="B28" s="248">
        <v>4.0</v>
      </c>
      <c r="C28" s="249">
        <v>46122.55357638889</v>
      </c>
      <c r="D28" s="250"/>
      <c r="E28" s="250"/>
      <c r="F28" s="192" t="s">
        <v>2028</v>
      </c>
      <c r="G28" s="251"/>
      <c r="H28" s="253"/>
      <c r="I28" s="252">
        <v>1.0</v>
      </c>
      <c r="J28" s="243" t="s">
        <v>2510</v>
      </c>
      <c r="K28" s="244">
        <v>80.0</v>
      </c>
      <c r="L28" s="245">
        <f>VLOOKUP(F28,'PRODUCT_COGS&amp;PRICE'!A:E,5,FALSE)</f>
        <v>19</v>
      </c>
      <c r="M28" s="246"/>
      <c r="N28" s="246">
        <v>9676768.0</v>
      </c>
    </row>
    <row r="29" ht="15.75" customHeight="1">
      <c r="A29" s="237">
        <v>2026.0</v>
      </c>
      <c r="B29" s="248">
        <v>4.0</v>
      </c>
      <c r="C29" s="249">
        <v>46123.47482638889</v>
      </c>
      <c r="D29" s="250"/>
      <c r="E29" s="250"/>
      <c r="F29" s="192" t="s">
        <v>205</v>
      </c>
      <c r="G29" s="251"/>
      <c r="H29" s="253"/>
      <c r="I29" s="252">
        <v>1.0</v>
      </c>
      <c r="J29" s="243" t="s">
        <v>2510</v>
      </c>
      <c r="K29" s="244">
        <v>84.0</v>
      </c>
      <c r="L29" s="245">
        <f>VLOOKUP(F29,'PRODUCT_COGS&amp;PRICE'!A:E,5,FALSE)</f>
        <v>23</v>
      </c>
      <c r="M29" s="246"/>
      <c r="N29" s="246">
        <v>9710035.0</v>
      </c>
    </row>
    <row r="30" ht="15.75" customHeight="1">
      <c r="A30" s="237">
        <v>2026.0</v>
      </c>
      <c r="B30" s="248">
        <v>4.0</v>
      </c>
      <c r="C30" s="249">
        <v>46123.512465277774</v>
      </c>
      <c r="D30" s="250"/>
      <c r="E30" s="250"/>
      <c r="F30" s="192" t="s">
        <v>2521</v>
      </c>
      <c r="G30" s="251"/>
      <c r="H30" s="253"/>
      <c r="I30" s="252">
        <v>1.0</v>
      </c>
      <c r="J30" s="243" t="s">
        <v>2510</v>
      </c>
      <c r="K30" s="244">
        <v>120.0</v>
      </c>
      <c r="L30" s="245">
        <f>VLOOKUP(F30,'PRODUCT_COGS&amp;PRICE'!A:E,5,FALSE)</f>
        <v>30</v>
      </c>
      <c r="M30" s="246"/>
      <c r="N30" s="246">
        <v>9712742.0</v>
      </c>
    </row>
    <row r="31" ht="15.75" customHeight="1">
      <c r="A31" s="237">
        <v>2026.0</v>
      </c>
      <c r="B31" s="248">
        <v>4.0</v>
      </c>
      <c r="C31" s="249">
        <v>46123.540300925924</v>
      </c>
      <c r="D31" s="250"/>
      <c r="E31" s="250"/>
      <c r="F31" s="192" t="s">
        <v>2522</v>
      </c>
      <c r="G31" s="251"/>
      <c r="H31" s="253"/>
      <c r="I31" s="252">
        <v>1.0</v>
      </c>
      <c r="J31" s="243" t="s">
        <v>2510</v>
      </c>
      <c r="K31" s="244">
        <v>72.0</v>
      </c>
      <c r="L31" s="245">
        <f>VLOOKUP(F31,'PRODUCT_COGS&amp;PRICE'!A:E,5,FALSE)</f>
        <v>19</v>
      </c>
      <c r="M31" s="246"/>
      <c r="N31" s="246">
        <v>9713965.0</v>
      </c>
    </row>
    <row r="32" ht="15.75" customHeight="1">
      <c r="A32" s="237">
        <v>2026.0</v>
      </c>
      <c r="B32" s="248">
        <v>4.0</v>
      </c>
      <c r="C32" s="249">
        <v>46123.57313657408</v>
      </c>
      <c r="D32" s="250"/>
      <c r="E32" s="250"/>
      <c r="F32" s="192" t="s">
        <v>233</v>
      </c>
      <c r="G32" s="251"/>
      <c r="H32" s="253"/>
      <c r="I32" s="252">
        <v>1.0</v>
      </c>
      <c r="J32" s="243" t="s">
        <v>2510</v>
      </c>
      <c r="K32" s="244">
        <v>110.0</v>
      </c>
      <c r="L32" s="245">
        <f>VLOOKUP(F32,'PRODUCT_COGS&amp;PRICE'!A:E,5,FALSE)</f>
        <v>20</v>
      </c>
      <c r="M32" s="246"/>
      <c r="N32" s="246">
        <v>9715218.0</v>
      </c>
    </row>
    <row r="33" ht="15.75" customHeight="1">
      <c r="A33" s="237"/>
      <c r="B33" s="248"/>
      <c r="C33" s="249">
        <v>46123.57313657408</v>
      </c>
      <c r="D33" s="250"/>
      <c r="E33" s="250"/>
      <c r="F33" s="192" t="s">
        <v>233</v>
      </c>
      <c r="G33" s="251"/>
      <c r="H33" s="253"/>
      <c r="I33" s="252">
        <v>0.0</v>
      </c>
      <c r="J33" s="243" t="s">
        <v>2510</v>
      </c>
      <c r="K33" s="244">
        <v>0.0</v>
      </c>
      <c r="L33" s="245">
        <f>VLOOKUP(F33,'PRODUCT_COGS&amp;PRICE'!A:E,5,FALSE)</f>
        <v>20</v>
      </c>
      <c r="M33" s="246" t="s">
        <v>2523</v>
      </c>
      <c r="N33" s="246">
        <v>9715218.0</v>
      </c>
    </row>
    <row r="34" ht="15.75" customHeight="1">
      <c r="A34" s="237">
        <v>2026.0</v>
      </c>
      <c r="B34" s="248">
        <v>4.0</v>
      </c>
      <c r="C34" s="249">
        <v>46123.594305555554</v>
      </c>
      <c r="D34" s="250"/>
      <c r="E34" s="250"/>
      <c r="F34" s="192" t="s">
        <v>2001</v>
      </c>
      <c r="G34" s="251"/>
      <c r="H34" s="253"/>
      <c r="I34" s="252">
        <v>1.0</v>
      </c>
      <c r="J34" s="243" t="s">
        <v>2510</v>
      </c>
      <c r="K34" s="244">
        <v>135.0</v>
      </c>
      <c r="L34" s="245">
        <f>VLOOKUP(F34,'PRODUCT_COGS&amp;PRICE'!A:E,5,FALSE)</f>
        <v>30</v>
      </c>
      <c r="M34" s="246"/>
      <c r="N34" s="246">
        <v>9715964.0</v>
      </c>
    </row>
    <row r="35" ht="15.75" customHeight="1">
      <c r="A35" s="237">
        <v>2026.0</v>
      </c>
      <c r="B35" s="248">
        <v>4.0</v>
      </c>
      <c r="C35" s="249">
        <v>46124.43408564814</v>
      </c>
      <c r="D35" s="250"/>
      <c r="E35" s="250"/>
      <c r="F35" s="192" t="s">
        <v>2514</v>
      </c>
      <c r="G35" s="251"/>
      <c r="H35" s="253"/>
      <c r="I35" s="252">
        <v>1.0</v>
      </c>
      <c r="J35" s="243" t="s">
        <v>2510</v>
      </c>
      <c r="K35" s="244">
        <v>120.0</v>
      </c>
      <c r="L35" s="245">
        <f>VLOOKUP(F35,'PRODUCT_COGS&amp;PRICE'!A:E,5,FALSE)</f>
        <v>30.33</v>
      </c>
      <c r="M35" s="246"/>
      <c r="N35" s="246">
        <v>9762846.0</v>
      </c>
    </row>
    <row r="36" ht="15.75" customHeight="1">
      <c r="A36" s="237">
        <v>2026.0</v>
      </c>
      <c r="B36" s="248">
        <v>4.0</v>
      </c>
      <c r="C36" s="249">
        <v>46124.43408564814</v>
      </c>
      <c r="D36" s="250"/>
      <c r="E36" s="250"/>
      <c r="F36" s="192" t="s">
        <v>2524</v>
      </c>
      <c r="G36" s="251"/>
      <c r="H36" s="253"/>
      <c r="I36" s="252">
        <v>1.0</v>
      </c>
      <c r="J36" s="243" t="s">
        <v>2510</v>
      </c>
      <c r="K36" s="244">
        <v>90.0</v>
      </c>
      <c r="L36" s="245">
        <f>VLOOKUP(F36,'PRODUCT_COGS&amp;PRICE'!A:E,5,FALSE)</f>
        <v>16.5</v>
      </c>
      <c r="M36" s="246"/>
      <c r="N36" s="246">
        <v>9762846.0</v>
      </c>
    </row>
    <row r="37" ht="15.75" customHeight="1">
      <c r="A37" s="237">
        <v>2026.0</v>
      </c>
      <c r="B37" s="248">
        <v>4.0</v>
      </c>
      <c r="C37" s="249">
        <v>46124.43719907408</v>
      </c>
      <c r="D37" s="250"/>
      <c r="E37" s="250"/>
      <c r="F37" s="192" t="s">
        <v>2029</v>
      </c>
      <c r="G37" s="251"/>
      <c r="H37" s="253"/>
      <c r="I37" s="252">
        <v>1.0</v>
      </c>
      <c r="J37" s="243" t="s">
        <v>2510</v>
      </c>
      <c r="K37" s="244">
        <v>90.0</v>
      </c>
      <c r="L37" s="245">
        <f>VLOOKUP(F37,'PRODUCT_COGS&amp;PRICE'!A:E,5,FALSE)</f>
        <v>16.5</v>
      </c>
      <c r="M37" s="246"/>
      <c r="N37" s="246">
        <v>9763113.0</v>
      </c>
    </row>
    <row r="38" ht="15.75" customHeight="1">
      <c r="A38" s="237">
        <v>2026.0</v>
      </c>
      <c r="B38" s="248">
        <v>4.0</v>
      </c>
      <c r="C38" s="249">
        <v>46124.48040509259</v>
      </c>
      <c r="D38" s="250"/>
      <c r="E38" s="250"/>
      <c r="F38" s="192" t="s">
        <v>277</v>
      </c>
      <c r="G38" s="251"/>
      <c r="H38" s="253"/>
      <c r="I38" s="252">
        <v>1.0</v>
      </c>
      <c r="J38" s="243" t="s">
        <v>2510</v>
      </c>
      <c r="K38" s="244">
        <v>80.0</v>
      </c>
      <c r="L38" s="245">
        <f>VLOOKUP(F38,'PRODUCT_COGS&amp;PRICE'!A:E,5,FALSE)</f>
        <v>19</v>
      </c>
      <c r="M38" s="246"/>
      <c r="N38" s="246">
        <v>9767442.0</v>
      </c>
    </row>
    <row r="39" ht="15.75" customHeight="1">
      <c r="A39" s="237">
        <v>2026.0</v>
      </c>
      <c r="B39" s="248">
        <v>4.0</v>
      </c>
      <c r="C39" s="249">
        <v>46124.57884259259</v>
      </c>
      <c r="D39" s="250"/>
      <c r="E39" s="250"/>
      <c r="F39" s="192" t="s">
        <v>2037</v>
      </c>
      <c r="G39" s="251"/>
      <c r="H39" s="253"/>
      <c r="I39" s="252">
        <v>1.0</v>
      </c>
      <c r="J39" s="243" t="s">
        <v>2510</v>
      </c>
      <c r="K39" s="244">
        <v>150.0</v>
      </c>
      <c r="L39" s="245">
        <f>VLOOKUP(F39,'PRODUCT_COGS&amp;PRICE'!A:E,5,FALSE)</f>
        <v>33</v>
      </c>
      <c r="M39" s="246"/>
      <c r="N39" s="246">
        <v>9773125.0</v>
      </c>
    </row>
    <row r="40" ht="15.75" customHeight="1">
      <c r="A40" s="237">
        <v>2026.0</v>
      </c>
      <c r="B40" s="248">
        <v>4.0</v>
      </c>
      <c r="C40" s="249">
        <v>46124.6353125</v>
      </c>
      <c r="D40" s="250"/>
      <c r="E40" s="250"/>
      <c r="F40" s="192" t="s">
        <v>277</v>
      </c>
      <c r="G40" s="251"/>
      <c r="H40" s="253"/>
      <c r="I40" s="252">
        <v>1.0</v>
      </c>
      <c r="J40" s="243" t="s">
        <v>2511</v>
      </c>
      <c r="K40" s="244">
        <v>70.0</v>
      </c>
      <c r="L40" s="245">
        <f>VLOOKUP(F40,'PRODUCT_COGS&amp;PRICE'!A:E,5,FALSE)</f>
        <v>19</v>
      </c>
      <c r="M40" s="246"/>
      <c r="N40" s="246">
        <v>9775008.0</v>
      </c>
    </row>
    <row r="41" ht="15.75" customHeight="1">
      <c r="A41" s="237">
        <v>2026.0</v>
      </c>
      <c r="B41" s="248">
        <v>4.0</v>
      </c>
      <c r="C41" s="249">
        <v>46124.68256944444</v>
      </c>
      <c r="D41" s="250"/>
      <c r="E41" s="250"/>
      <c r="F41" s="192" t="s">
        <v>193</v>
      </c>
      <c r="G41" s="251"/>
      <c r="H41" s="253"/>
      <c r="I41" s="252">
        <v>1.0</v>
      </c>
      <c r="J41" s="243" t="s">
        <v>2510</v>
      </c>
      <c r="K41" s="244">
        <v>120.0</v>
      </c>
      <c r="L41" s="245">
        <f>VLOOKUP(F41,'PRODUCT_COGS&amp;PRICE'!A:E,5,FALSE)</f>
        <v>33</v>
      </c>
      <c r="M41" s="246"/>
      <c r="N41" s="246">
        <v>9776857.0</v>
      </c>
    </row>
    <row r="42" ht="15.75" customHeight="1">
      <c r="A42" s="237">
        <v>2026.0</v>
      </c>
      <c r="B42" s="248">
        <v>4.0</v>
      </c>
      <c r="C42" s="249">
        <v>46120.77070601852</v>
      </c>
      <c r="D42" s="250"/>
      <c r="E42" s="250"/>
      <c r="F42" s="192" t="s">
        <v>273</v>
      </c>
      <c r="G42" s="251"/>
      <c r="H42" s="253"/>
      <c r="I42" s="252">
        <v>1.0</v>
      </c>
      <c r="J42" s="243" t="s">
        <v>2510</v>
      </c>
      <c r="K42" s="244">
        <v>72.0</v>
      </c>
      <c r="L42" s="245">
        <f>VLOOKUP(F42,'PRODUCT_COGS&amp;PRICE'!A:E,5,FALSE)</f>
        <v>19</v>
      </c>
      <c r="M42" s="246"/>
      <c r="N42" s="246">
        <v>9645146.0</v>
      </c>
    </row>
    <row r="43" ht="15.75" customHeight="1">
      <c r="A43" s="237">
        <v>2026.0</v>
      </c>
      <c r="B43" s="248">
        <v>4.0</v>
      </c>
      <c r="C43" s="249">
        <v>46129.47920138889</v>
      </c>
      <c r="D43" s="250"/>
      <c r="E43" s="250"/>
      <c r="F43" s="255" t="s">
        <v>2525</v>
      </c>
      <c r="G43" s="251"/>
      <c r="H43" s="253"/>
      <c r="I43" s="252">
        <v>1.0</v>
      </c>
      <c r="J43" s="243" t="s">
        <v>2510</v>
      </c>
      <c r="K43" s="244">
        <v>72.0</v>
      </c>
      <c r="L43" s="245">
        <f>VLOOKUP(F43,'PRODUCT_COGS&amp;PRICE'!A:E,5,FALSE)</f>
        <v>19</v>
      </c>
      <c r="M43" s="246"/>
      <c r="N43" s="246">
        <v>9869027.0</v>
      </c>
    </row>
    <row r="44" ht="15.75" customHeight="1">
      <c r="A44" s="237">
        <v>2026.0</v>
      </c>
      <c r="B44" s="248">
        <v>4.0</v>
      </c>
      <c r="C44" s="249">
        <v>46130.50755787037</v>
      </c>
      <c r="D44" s="250"/>
      <c r="E44" s="250"/>
      <c r="F44" s="255" t="s">
        <v>2519</v>
      </c>
      <c r="G44" s="251"/>
      <c r="H44" s="253"/>
      <c r="I44" s="252">
        <v>1.0</v>
      </c>
      <c r="J44" s="243" t="s">
        <v>2510</v>
      </c>
      <c r="K44" s="244">
        <v>135.0</v>
      </c>
      <c r="L44" s="245">
        <f>VLOOKUP(F44,'PRODUCT_COGS&amp;PRICE'!A:E,5,FALSE)</f>
        <v>30.33</v>
      </c>
      <c r="M44" s="246"/>
      <c r="N44" s="246">
        <v>9922503.0</v>
      </c>
    </row>
    <row r="45" ht="15.75" customHeight="1">
      <c r="A45" s="237">
        <v>2026.0</v>
      </c>
      <c r="B45" s="248">
        <v>4.0</v>
      </c>
      <c r="C45" s="249">
        <v>46130.53189814815</v>
      </c>
      <c r="D45" s="250"/>
      <c r="E45" s="250"/>
      <c r="F45" s="255" t="s">
        <v>2526</v>
      </c>
      <c r="G45" s="251"/>
      <c r="H45" s="253"/>
      <c r="I45" s="252">
        <v>1.0</v>
      </c>
      <c r="J45" s="243" t="s">
        <v>2510</v>
      </c>
      <c r="K45" s="244">
        <v>80.0</v>
      </c>
      <c r="L45" s="245">
        <f>VLOOKUP(F45,'PRODUCT_COGS&amp;PRICE'!A:E,5,FALSE)</f>
        <v>19</v>
      </c>
      <c r="M45" s="246"/>
      <c r="N45" s="246">
        <v>9924026.0</v>
      </c>
    </row>
    <row r="46" ht="15.75" customHeight="1">
      <c r="A46" s="237">
        <v>2026.0</v>
      </c>
      <c r="B46" s="248">
        <v>4.0</v>
      </c>
      <c r="C46" s="249">
        <v>46130.53189814815</v>
      </c>
      <c r="D46" s="250"/>
      <c r="E46" s="250"/>
      <c r="F46" s="255" t="s">
        <v>277</v>
      </c>
      <c r="G46" s="251"/>
      <c r="H46" s="253"/>
      <c r="I46" s="252">
        <v>1.0</v>
      </c>
      <c r="J46" s="243" t="s">
        <v>2510</v>
      </c>
      <c r="K46" s="244">
        <v>80.0</v>
      </c>
      <c r="L46" s="245">
        <f>VLOOKUP(F46,'PRODUCT_COGS&amp;PRICE'!A:E,5,FALSE)</f>
        <v>19</v>
      </c>
      <c r="M46" s="246"/>
      <c r="N46" s="246">
        <v>9924026.0</v>
      </c>
    </row>
    <row r="47" ht="15.75" customHeight="1">
      <c r="A47" s="237">
        <v>2026.0</v>
      </c>
      <c r="B47" s="248">
        <v>4.0</v>
      </c>
      <c r="C47" s="249">
        <v>46130.53189814815</v>
      </c>
      <c r="D47" s="250"/>
      <c r="E47" s="250"/>
      <c r="F47" s="255" t="s">
        <v>2028</v>
      </c>
      <c r="G47" s="251"/>
      <c r="H47" s="253"/>
      <c r="I47" s="252">
        <v>1.0</v>
      </c>
      <c r="J47" s="243" t="s">
        <v>2510</v>
      </c>
      <c r="K47" s="244">
        <v>80.0</v>
      </c>
      <c r="L47" s="245">
        <f>VLOOKUP(F47,'PRODUCT_COGS&amp;PRICE'!A:E,5,FALSE)</f>
        <v>19</v>
      </c>
      <c r="M47" s="246"/>
      <c r="N47" s="246">
        <v>9924026.0</v>
      </c>
    </row>
    <row r="48" ht="15.75" customHeight="1">
      <c r="A48" s="237">
        <v>2026.0</v>
      </c>
      <c r="B48" s="248">
        <v>4.0</v>
      </c>
      <c r="C48" s="249">
        <v>46130.53189814815</v>
      </c>
      <c r="D48" s="250"/>
      <c r="E48" s="250"/>
      <c r="F48" s="255" t="s">
        <v>2524</v>
      </c>
      <c r="G48" s="251"/>
      <c r="H48" s="253"/>
      <c r="I48" s="252">
        <v>1.0</v>
      </c>
      <c r="J48" s="243" t="s">
        <v>2510</v>
      </c>
      <c r="K48" s="244">
        <v>90.0</v>
      </c>
      <c r="L48" s="245">
        <f>VLOOKUP(F48,'PRODUCT_COGS&amp;PRICE'!A:E,5,FALSE)</f>
        <v>16.5</v>
      </c>
      <c r="M48" s="246"/>
      <c r="N48" s="246">
        <v>9924026.0</v>
      </c>
    </row>
    <row r="49" ht="15.75" customHeight="1">
      <c r="A49" s="237">
        <v>2026.0</v>
      </c>
      <c r="B49" s="248">
        <v>4.0</v>
      </c>
      <c r="C49" s="249">
        <v>46130.55226851851</v>
      </c>
      <c r="D49" s="250"/>
      <c r="E49" s="250"/>
      <c r="F49" s="255" t="s">
        <v>2527</v>
      </c>
      <c r="G49" s="251"/>
      <c r="H49" s="253"/>
      <c r="I49" s="252">
        <v>1.0</v>
      </c>
      <c r="J49" s="243" t="s">
        <v>2510</v>
      </c>
      <c r="K49" s="244">
        <v>175.0</v>
      </c>
      <c r="L49" s="245">
        <f>VLOOKUP(F49,'PRODUCT_COGS&amp;PRICE'!A:E,5,FALSE)</f>
        <v>45.5</v>
      </c>
      <c r="M49" s="246"/>
      <c r="N49" s="246">
        <v>9924993.0</v>
      </c>
    </row>
    <row r="50" ht="15.75" customHeight="1">
      <c r="A50" s="237">
        <v>2026.0</v>
      </c>
      <c r="B50" s="248">
        <v>4.0</v>
      </c>
      <c r="C50" s="249">
        <v>46130.597025462965</v>
      </c>
      <c r="D50" s="250"/>
      <c r="E50" s="250"/>
      <c r="F50" s="255" t="s">
        <v>2528</v>
      </c>
      <c r="G50" s="251"/>
      <c r="H50" s="253"/>
      <c r="I50" s="252">
        <v>1.0</v>
      </c>
      <c r="J50" s="243" t="s">
        <v>2510</v>
      </c>
      <c r="K50" s="244">
        <v>120.0</v>
      </c>
      <c r="L50" s="245">
        <f>VLOOKUP(F50,'PRODUCT_COGS&amp;PRICE'!A:E,5,FALSE)</f>
        <v>32.08</v>
      </c>
      <c r="M50" s="246"/>
      <c r="N50" s="246">
        <v>9927022.0</v>
      </c>
    </row>
    <row r="51" ht="15.75" customHeight="1">
      <c r="A51" s="237">
        <v>2026.0</v>
      </c>
      <c r="B51" s="248">
        <v>4.0</v>
      </c>
      <c r="C51" s="249">
        <v>46130.71936342593</v>
      </c>
      <c r="D51" s="250"/>
      <c r="E51" s="250"/>
      <c r="F51" s="255" t="s">
        <v>2520</v>
      </c>
      <c r="G51" s="251"/>
      <c r="H51" s="253"/>
      <c r="I51" s="252">
        <v>1.0</v>
      </c>
      <c r="J51" s="243" t="s">
        <v>2510</v>
      </c>
      <c r="K51" s="244">
        <v>81.0</v>
      </c>
      <c r="L51" s="245">
        <f>VLOOKUP(F51,'PRODUCT_COGS&amp;PRICE'!A:E,5,FALSE)</f>
        <v>16.5</v>
      </c>
      <c r="M51" s="246"/>
      <c r="N51" s="246">
        <v>9938679.0</v>
      </c>
    </row>
    <row r="52" ht="15.75" customHeight="1">
      <c r="A52" s="237">
        <v>2026.0</v>
      </c>
      <c r="B52" s="248">
        <v>4.0</v>
      </c>
      <c r="C52" s="249">
        <v>46120.76969907407</v>
      </c>
      <c r="D52" s="250"/>
      <c r="E52" s="250"/>
      <c r="F52" s="255" t="s">
        <v>273</v>
      </c>
      <c r="G52" s="251"/>
      <c r="H52" s="253"/>
      <c r="I52" s="252">
        <v>1.0</v>
      </c>
      <c r="J52" s="243" t="s">
        <v>2510</v>
      </c>
      <c r="K52" s="244">
        <v>0.0</v>
      </c>
      <c r="L52" s="245">
        <f>VLOOKUP(F52,'PRODUCT_COGS&amp;PRICE'!A:E,5,FALSE)</f>
        <v>19</v>
      </c>
      <c r="M52" s="246"/>
      <c r="N52" s="246">
        <v>9645109.0</v>
      </c>
    </row>
    <row r="53" ht="15.75" customHeight="1">
      <c r="A53" s="237">
        <v>2026.0</v>
      </c>
      <c r="B53" s="248">
        <v>4.0</v>
      </c>
      <c r="C53" s="249">
        <v>46134.48402777778</v>
      </c>
      <c r="D53" s="250"/>
      <c r="E53" s="250"/>
      <c r="F53" s="255" t="s">
        <v>2525</v>
      </c>
      <c r="G53" s="251"/>
      <c r="H53" s="253"/>
      <c r="I53" s="252">
        <v>1.0</v>
      </c>
      <c r="J53" s="243" t="s">
        <v>2510</v>
      </c>
      <c r="K53" s="244">
        <v>72.0</v>
      </c>
      <c r="L53" s="245">
        <f>VLOOKUP(F53,'PRODUCT_COGS&amp;PRICE'!A:E,5,FALSE)</f>
        <v>19</v>
      </c>
      <c r="M53" s="246"/>
      <c r="N53" s="246">
        <v>1.0094594E7</v>
      </c>
    </row>
    <row r="54" ht="15.75" customHeight="1">
      <c r="A54" s="252">
        <v>2026.0</v>
      </c>
      <c r="B54" s="248">
        <v>4.0</v>
      </c>
      <c r="C54" s="249">
        <v>46137.39392361111</v>
      </c>
      <c r="D54" s="250"/>
      <c r="E54" s="250"/>
      <c r="F54" s="255" t="s">
        <v>239</v>
      </c>
      <c r="G54" s="251"/>
      <c r="H54" s="253"/>
      <c r="I54" s="252">
        <v>1.0</v>
      </c>
      <c r="J54" s="243" t="s">
        <v>2510</v>
      </c>
      <c r="K54" s="244">
        <v>120.0</v>
      </c>
      <c r="L54" s="245">
        <f>VLOOKUP(F54,'PRODUCT_COGS&amp;PRICE'!A:E,5,FALSE)</f>
        <v>20</v>
      </c>
      <c r="M54" s="246"/>
      <c r="N54" s="246">
        <v>1.0190575E7</v>
      </c>
    </row>
    <row r="55" ht="15.75" customHeight="1">
      <c r="A55" s="252">
        <v>2026.0</v>
      </c>
      <c r="B55" s="248">
        <v>4.0</v>
      </c>
      <c r="C55" s="249">
        <v>46137.63893518518</v>
      </c>
      <c r="D55" s="250"/>
      <c r="E55" s="250"/>
      <c r="F55" s="255" t="s">
        <v>193</v>
      </c>
      <c r="G55" s="251"/>
      <c r="H55" s="253"/>
      <c r="I55" s="252">
        <v>1.0</v>
      </c>
      <c r="J55" s="243" t="s">
        <v>2510</v>
      </c>
      <c r="K55" s="244">
        <v>96.0</v>
      </c>
      <c r="L55" s="245">
        <f>VLOOKUP(F55,'PRODUCT_COGS&amp;PRICE'!A:E,5,FALSE)</f>
        <v>33</v>
      </c>
      <c r="M55" s="246"/>
      <c r="N55" s="246">
        <v>1.0208879E7</v>
      </c>
    </row>
    <row r="56" ht="15.75" customHeight="1">
      <c r="A56" s="252">
        <v>2026.0</v>
      </c>
      <c r="B56" s="248">
        <v>4.0</v>
      </c>
      <c r="C56" s="249">
        <v>46141.57125</v>
      </c>
      <c r="D56" s="250"/>
      <c r="E56" s="250"/>
      <c r="F56" s="255" t="s">
        <v>277</v>
      </c>
      <c r="G56" s="251"/>
      <c r="H56" s="253"/>
      <c r="I56" s="252">
        <v>1.0</v>
      </c>
      <c r="J56" s="243" t="s">
        <v>2510</v>
      </c>
      <c r="K56" s="244">
        <v>80.0</v>
      </c>
      <c r="L56" s="245">
        <f>VLOOKUP(F56,'PRODUCT_COGS&amp;PRICE'!A:E,5,FALSE)</f>
        <v>19</v>
      </c>
      <c r="M56" s="246"/>
      <c r="N56" s="246">
        <v>1.0362119E7</v>
      </c>
    </row>
    <row r="57" ht="15.75" customHeight="1">
      <c r="A57" s="252">
        <v>2026.0</v>
      </c>
      <c r="B57" s="248">
        <v>4.0</v>
      </c>
      <c r="C57" s="249">
        <v>46142.45900462963</v>
      </c>
      <c r="D57" s="250"/>
      <c r="E57" s="250"/>
      <c r="F57" s="255" t="s">
        <v>2520</v>
      </c>
      <c r="G57" s="251"/>
      <c r="H57" s="253"/>
      <c r="I57" s="252">
        <v>1.0</v>
      </c>
      <c r="J57" s="243" t="s">
        <v>2510</v>
      </c>
      <c r="K57" s="244">
        <v>90.0</v>
      </c>
      <c r="L57" s="245">
        <f>VLOOKUP(F57,'PRODUCT_COGS&amp;PRICE'!A:E,5,FALSE)</f>
        <v>16.5</v>
      </c>
      <c r="M57" s="246"/>
      <c r="N57" s="246">
        <v>1.0377632E7</v>
      </c>
    </row>
    <row r="58" ht="15.75" customHeight="1">
      <c r="A58" s="252">
        <v>2026.0</v>
      </c>
      <c r="B58" s="248">
        <v>5.0</v>
      </c>
      <c r="C58" s="249">
        <v>46148.626793981486</v>
      </c>
      <c r="D58" s="250"/>
      <c r="E58" s="250"/>
      <c r="F58" s="255" t="s">
        <v>2520</v>
      </c>
      <c r="G58" s="251"/>
      <c r="H58" s="253"/>
      <c r="I58" s="252">
        <v>1.0</v>
      </c>
      <c r="J58" s="243" t="s">
        <v>2510</v>
      </c>
      <c r="K58" s="244">
        <v>90.0</v>
      </c>
      <c r="L58" s="245">
        <f>VLOOKUP(F58,'PRODUCT_COGS&amp;PRICE'!A:E,5,FALSE)</f>
        <v>16.5</v>
      </c>
      <c r="M58" s="246"/>
      <c r="N58" s="246">
        <v>1.0604229E7</v>
      </c>
    </row>
    <row r="59" ht="15.75" customHeight="1">
      <c r="A59" s="252">
        <v>2026.0</v>
      </c>
      <c r="B59" s="248">
        <v>5.0</v>
      </c>
      <c r="C59" s="249">
        <v>46151.441516203704</v>
      </c>
      <c r="D59" s="250"/>
      <c r="E59" s="250"/>
      <c r="F59" s="255" t="s">
        <v>2529</v>
      </c>
      <c r="G59" s="251"/>
      <c r="H59" s="253"/>
      <c r="I59" s="252">
        <v>1.0</v>
      </c>
      <c r="J59" s="243" t="s">
        <v>2510</v>
      </c>
      <c r="K59" s="244">
        <v>80.0</v>
      </c>
      <c r="L59" s="245">
        <f>VLOOKUP(F59,'PRODUCT_COGS&amp;PRICE'!A:E,5,FALSE)</f>
        <v>16.5</v>
      </c>
      <c r="M59" s="246"/>
      <c r="N59" s="246">
        <v>1.0687324E7</v>
      </c>
    </row>
    <row r="60" ht="15.75" customHeight="1">
      <c r="A60" s="252">
        <v>2026.0</v>
      </c>
      <c r="B60" s="248">
        <v>5.0</v>
      </c>
      <c r="C60" s="249">
        <v>46155.44469907407</v>
      </c>
      <c r="D60" s="250"/>
      <c r="E60" s="250"/>
      <c r="F60" s="255" t="s">
        <v>2526</v>
      </c>
      <c r="G60" s="251"/>
      <c r="H60" s="253"/>
      <c r="I60" s="252">
        <v>1.0</v>
      </c>
      <c r="J60" s="243" t="s">
        <v>2510</v>
      </c>
      <c r="K60" s="244">
        <v>72.0</v>
      </c>
      <c r="L60" s="245">
        <f>VLOOKUP(F60,'PRODUCT_COGS&amp;PRICE'!A:E,5,FALSE)</f>
        <v>19</v>
      </c>
      <c r="M60" s="246"/>
      <c r="N60" s="246">
        <v>1.0813567E7</v>
      </c>
    </row>
    <row r="61" ht="15.75" customHeight="1">
      <c r="A61" s="252">
        <v>2026.0</v>
      </c>
      <c r="B61" s="248">
        <v>5.0</v>
      </c>
      <c r="C61" s="249">
        <v>46155.64229166666</v>
      </c>
      <c r="D61" s="250"/>
      <c r="E61" s="250"/>
      <c r="F61" s="255" t="s">
        <v>2011</v>
      </c>
      <c r="G61" s="251"/>
      <c r="H61" s="253"/>
      <c r="I61" s="252">
        <v>1.0</v>
      </c>
      <c r="J61" s="243" t="s">
        <v>2510</v>
      </c>
      <c r="K61" s="244">
        <v>170.0</v>
      </c>
      <c r="L61" s="245">
        <f>VLOOKUP(F61,'PRODUCT_COGS&amp;PRICE'!A:E,5,FALSE)</f>
        <v>36</v>
      </c>
      <c r="M61" s="246"/>
      <c r="N61" s="246">
        <v>1.081932E7</v>
      </c>
    </row>
    <row r="62" ht="15.75" customHeight="1">
      <c r="A62" s="252">
        <v>2026.0</v>
      </c>
      <c r="B62" s="248">
        <v>5.0</v>
      </c>
      <c r="C62" s="249">
        <v>46156.69540509259</v>
      </c>
      <c r="D62" s="250"/>
      <c r="E62" s="250"/>
      <c r="F62" s="255" t="s">
        <v>233</v>
      </c>
      <c r="G62" s="251"/>
      <c r="H62" s="253"/>
      <c r="I62" s="252">
        <v>1.0</v>
      </c>
      <c r="J62" s="243" t="s">
        <v>2510</v>
      </c>
      <c r="K62" s="244">
        <v>110.0</v>
      </c>
      <c r="L62" s="245">
        <f>VLOOKUP(F62,'PRODUCT_COGS&amp;PRICE'!A:E,5,FALSE)</f>
        <v>20</v>
      </c>
      <c r="M62" s="246"/>
      <c r="N62" s="246">
        <v>1.0842613E7</v>
      </c>
    </row>
    <row r="63" ht="15.75" customHeight="1">
      <c r="A63" s="252">
        <v>2026.0</v>
      </c>
      <c r="B63" s="248">
        <v>5.0</v>
      </c>
      <c r="C63" s="249">
        <v>46156.69607638889</v>
      </c>
      <c r="D63" s="250"/>
      <c r="E63" s="250"/>
      <c r="F63" s="255" t="s">
        <v>233</v>
      </c>
      <c r="G63" s="251"/>
      <c r="H63" s="253"/>
      <c r="I63" s="252">
        <v>1.0</v>
      </c>
      <c r="J63" s="243" t="s">
        <v>2510</v>
      </c>
      <c r="K63" s="244">
        <v>110.0</v>
      </c>
      <c r="L63" s="245">
        <f>VLOOKUP(F63,'PRODUCT_COGS&amp;PRICE'!A:E,5,FALSE)</f>
        <v>20</v>
      </c>
      <c r="M63" s="246"/>
      <c r="N63" s="246">
        <v>1.084264E7</v>
      </c>
    </row>
    <row r="64" ht="15.75" customHeight="1">
      <c r="A64" s="252">
        <v>2026.0</v>
      </c>
      <c r="B64" s="248">
        <v>5.0</v>
      </c>
      <c r="C64" s="249">
        <v>46162.6708912037</v>
      </c>
      <c r="D64" s="250"/>
      <c r="E64" s="250"/>
      <c r="F64" s="255" t="s">
        <v>1369</v>
      </c>
      <c r="G64" s="251"/>
      <c r="H64" s="253"/>
      <c r="I64" s="252">
        <v>1.0</v>
      </c>
      <c r="J64" s="243" t="s">
        <v>2510</v>
      </c>
      <c r="K64" s="244">
        <v>90.0</v>
      </c>
      <c r="L64" s="245">
        <f>VLOOKUP(F64,'PRODUCT_COGS&amp;PRICE'!A:E,5,FALSE)</f>
        <v>16.5</v>
      </c>
      <c r="M64" s="246"/>
      <c r="N64" s="246">
        <v>1.1065217E7</v>
      </c>
    </row>
    <row r="65" ht="15.75" customHeight="1">
      <c r="A65" s="252">
        <v>2026.0</v>
      </c>
      <c r="B65" s="248">
        <v>5.0</v>
      </c>
      <c r="C65" s="249">
        <v>46164.47515046297</v>
      </c>
      <c r="D65" s="250"/>
      <c r="E65" s="250"/>
      <c r="F65" s="255" t="s">
        <v>2530</v>
      </c>
      <c r="G65" s="251"/>
      <c r="H65" s="253"/>
      <c r="I65" s="252">
        <v>1.0</v>
      </c>
      <c r="J65" s="243" t="s">
        <v>2510</v>
      </c>
      <c r="K65" s="244">
        <v>120.0</v>
      </c>
      <c r="L65" s="245">
        <f>VLOOKUP(F65,'PRODUCT_COGS&amp;PRICE'!A:E,5,FALSE)</f>
        <v>20</v>
      </c>
      <c r="M65" s="246"/>
      <c r="N65" s="246">
        <v>1.111222E7</v>
      </c>
    </row>
    <row r="66" ht="15.75" customHeight="1">
      <c r="A66" s="252">
        <v>2026.0</v>
      </c>
      <c r="B66" s="248">
        <v>5.0</v>
      </c>
      <c r="C66" s="249">
        <v>46164.661574074074</v>
      </c>
      <c r="D66" s="250"/>
      <c r="E66" s="250"/>
      <c r="F66" s="255" t="s">
        <v>2526</v>
      </c>
      <c r="G66" s="251"/>
      <c r="H66" s="253"/>
      <c r="I66" s="252">
        <v>1.0</v>
      </c>
      <c r="J66" s="243" t="s">
        <v>2510</v>
      </c>
      <c r="K66" s="244">
        <v>80.0</v>
      </c>
      <c r="L66" s="245">
        <f>VLOOKUP(F66,'PRODUCT_COGS&amp;PRICE'!A:E,5,FALSE)</f>
        <v>19</v>
      </c>
      <c r="M66" s="246"/>
      <c r="N66" s="246">
        <v>1.1117651E7</v>
      </c>
    </row>
    <row r="67" ht="15.75" customHeight="1">
      <c r="A67" s="252">
        <v>2026.0</v>
      </c>
      <c r="B67" s="248">
        <v>5.0</v>
      </c>
      <c r="C67" s="249">
        <v>46164.685752314814</v>
      </c>
      <c r="D67" s="250"/>
      <c r="E67" s="250"/>
      <c r="F67" s="255" t="s">
        <v>2036</v>
      </c>
      <c r="G67" s="251"/>
      <c r="H67" s="253"/>
      <c r="I67" s="252">
        <v>1.0</v>
      </c>
      <c r="J67" s="243" t="s">
        <v>2510</v>
      </c>
      <c r="K67" s="244">
        <v>90.0</v>
      </c>
      <c r="L67" s="245">
        <f>VLOOKUP(F67,'PRODUCT_COGS&amp;PRICE'!A:E,5,FALSE)</f>
        <v>16.5</v>
      </c>
      <c r="M67" s="246"/>
      <c r="N67" s="246">
        <v>1.111873E7</v>
      </c>
    </row>
    <row r="68" ht="15.75" customHeight="1">
      <c r="A68" s="252">
        <v>2026.0</v>
      </c>
      <c r="B68" s="248">
        <v>5.0</v>
      </c>
      <c r="C68" s="249">
        <v>46164.69900462963</v>
      </c>
      <c r="D68" s="250"/>
      <c r="E68" s="250"/>
      <c r="F68" s="255" t="s">
        <v>2036</v>
      </c>
      <c r="G68" s="251"/>
      <c r="H68" s="253"/>
      <c r="I68" s="252">
        <v>1.0</v>
      </c>
      <c r="J68" s="243" t="s">
        <v>2510</v>
      </c>
      <c r="K68" s="244">
        <v>90.0</v>
      </c>
      <c r="L68" s="245">
        <f>VLOOKUP(F68,'PRODUCT_COGS&amp;PRICE'!A:E,5,FALSE)</f>
        <v>16.5</v>
      </c>
      <c r="M68" s="246"/>
      <c r="N68" s="246">
        <v>1.1119615E7</v>
      </c>
    </row>
    <row r="69" ht="15.75" customHeight="1">
      <c r="A69" s="252">
        <v>2026.0</v>
      </c>
      <c r="B69" s="248">
        <v>5.0</v>
      </c>
      <c r="C69" s="249">
        <v>46164.69976851852</v>
      </c>
      <c r="D69" s="250"/>
      <c r="E69" s="250"/>
      <c r="F69" s="255" t="s">
        <v>167</v>
      </c>
      <c r="G69" s="251"/>
      <c r="H69" s="253"/>
      <c r="I69" s="252">
        <v>1.0</v>
      </c>
      <c r="J69" s="243" t="s">
        <v>2510</v>
      </c>
      <c r="K69" s="244">
        <v>150.0</v>
      </c>
      <c r="L69" s="245">
        <f>VLOOKUP(F69,'PRODUCT_COGS&amp;PRICE'!A:E,5,FALSE)</f>
        <v>33</v>
      </c>
      <c r="M69" s="246"/>
      <c r="N69" s="246">
        <v>1.1119679E7</v>
      </c>
    </row>
    <row r="70" ht="15.75" customHeight="1">
      <c r="A70" s="252">
        <v>2026.0</v>
      </c>
      <c r="B70" s="248">
        <v>5.0</v>
      </c>
      <c r="C70" s="249">
        <v>46165.48222222222</v>
      </c>
      <c r="D70" s="250"/>
      <c r="E70" s="250"/>
      <c r="F70" s="255" t="s">
        <v>2529</v>
      </c>
      <c r="G70" s="251"/>
      <c r="H70" s="253"/>
      <c r="I70" s="252">
        <v>1.0</v>
      </c>
      <c r="J70" s="243" t="s">
        <v>2510</v>
      </c>
      <c r="K70" s="244">
        <v>70.0</v>
      </c>
      <c r="L70" s="245">
        <f>VLOOKUP(F70,'PRODUCT_COGS&amp;PRICE'!A:E,5,FALSE)</f>
        <v>16.5</v>
      </c>
      <c r="M70" s="246"/>
      <c r="N70" s="246">
        <v>1.1162147E7</v>
      </c>
    </row>
    <row r="71" ht="15.75" customHeight="1">
      <c r="A71" s="252">
        <v>2026.0</v>
      </c>
      <c r="B71" s="248">
        <v>5.0</v>
      </c>
      <c r="C71" s="249">
        <v>46165.50413194444</v>
      </c>
      <c r="D71" s="250"/>
      <c r="E71" s="250"/>
      <c r="F71" s="255" t="s">
        <v>49</v>
      </c>
      <c r="G71" s="251"/>
      <c r="H71" s="253"/>
      <c r="I71" s="252">
        <v>1.0</v>
      </c>
      <c r="J71" s="243" t="s">
        <v>2510</v>
      </c>
      <c r="K71" s="244">
        <v>50.0</v>
      </c>
      <c r="L71" s="245">
        <f>VLOOKUP(F71,'PRODUCT_COGS&amp;PRICE'!A:E,5,FALSE)</f>
        <v>10.71</v>
      </c>
      <c r="M71" s="246"/>
      <c r="N71" s="246">
        <v>1.1163746E7</v>
      </c>
    </row>
    <row r="72" ht="15.75" customHeight="1">
      <c r="A72" s="252">
        <v>2026.0</v>
      </c>
      <c r="B72" s="248">
        <v>5.0</v>
      </c>
      <c r="C72" s="249">
        <v>46165.50413194444</v>
      </c>
      <c r="D72" s="250"/>
      <c r="E72" s="250"/>
      <c r="F72" s="255" t="s">
        <v>312</v>
      </c>
      <c r="G72" s="251"/>
      <c r="H72" s="253"/>
      <c r="I72" s="252">
        <v>1.0</v>
      </c>
      <c r="J72" s="243" t="s">
        <v>2510</v>
      </c>
      <c r="K72" s="244">
        <v>50.0</v>
      </c>
      <c r="L72" s="245">
        <f>VLOOKUP(F72,'PRODUCT_COGS&amp;PRICE'!A:E,5,FALSE)</f>
        <v>10.71</v>
      </c>
      <c r="M72" s="246"/>
      <c r="N72" s="246">
        <v>1.1163746E7</v>
      </c>
    </row>
    <row r="73" ht="15.75" customHeight="1">
      <c r="A73" s="252">
        <v>2026.0</v>
      </c>
      <c r="B73" s="248">
        <v>5.0</v>
      </c>
      <c r="C73" s="249">
        <v>46165.60828703704</v>
      </c>
      <c r="D73" s="250"/>
      <c r="E73" s="250"/>
      <c r="F73" s="255" t="s">
        <v>314</v>
      </c>
      <c r="G73" s="251"/>
      <c r="H73" s="253"/>
      <c r="I73" s="252">
        <v>1.0</v>
      </c>
      <c r="J73" s="243" t="s">
        <v>2510</v>
      </c>
      <c r="K73" s="244">
        <v>50.0</v>
      </c>
      <c r="L73" s="256">
        <v>10.71</v>
      </c>
      <c r="M73" s="246"/>
      <c r="N73" s="246">
        <v>1.116798E7</v>
      </c>
    </row>
    <row r="74" ht="15.75" customHeight="1">
      <c r="A74" s="252">
        <v>2026.0</v>
      </c>
      <c r="B74" s="248">
        <v>5.0</v>
      </c>
      <c r="C74" s="249">
        <v>46165.61660879629</v>
      </c>
      <c r="D74" s="250"/>
      <c r="E74" s="250"/>
      <c r="F74" s="255" t="s">
        <v>2036</v>
      </c>
      <c r="G74" s="251"/>
      <c r="H74" s="253"/>
      <c r="I74" s="252">
        <v>1.0</v>
      </c>
      <c r="J74" s="243" t="s">
        <v>2510</v>
      </c>
      <c r="K74" s="244">
        <v>90.0</v>
      </c>
      <c r="L74" s="245">
        <f>VLOOKUP(F74,'PRODUCT_COGS&amp;PRICE'!A:E,5,FALSE)</f>
        <v>16.5</v>
      </c>
      <c r="M74" s="246"/>
      <c r="N74" s="246">
        <v>1.1168335E7</v>
      </c>
    </row>
    <row r="75" ht="15.75" customHeight="1">
      <c r="A75" s="252">
        <v>2026.0</v>
      </c>
      <c r="B75" s="248">
        <v>5.0</v>
      </c>
      <c r="C75" s="249">
        <v>46165.64858796296</v>
      </c>
      <c r="D75" s="250"/>
      <c r="E75" s="250"/>
      <c r="F75" s="255" t="s">
        <v>2531</v>
      </c>
      <c r="G75" s="251"/>
      <c r="H75" s="253"/>
      <c r="I75" s="252">
        <v>1.0</v>
      </c>
      <c r="J75" s="243" t="s">
        <v>2510</v>
      </c>
      <c r="K75" s="244">
        <v>170.0</v>
      </c>
      <c r="L75" s="245">
        <f>VLOOKUP(F75,'PRODUCT_COGS&amp;PRICE'!A:E,5,FALSE)</f>
        <v>25</v>
      </c>
      <c r="M75" s="246"/>
      <c r="N75" s="246">
        <v>1.1169994E7</v>
      </c>
    </row>
    <row r="76" ht="15.75" customHeight="1">
      <c r="A76" s="252">
        <v>2026.0</v>
      </c>
      <c r="B76" s="248">
        <v>5.0</v>
      </c>
      <c r="C76" s="249">
        <v>46165.68537037037</v>
      </c>
      <c r="D76" s="250"/>
      <c r="E76" s="250"/>
      <c r="F76" s="255" t="s">
        <v>2060</v>
      </c>
      <c r="G76" s="251"/>
      <c r="H76" s="253"/>
      <c r="I76" s="252">
        <v>1.0</v>
      </c>
      <c r="J76" s="243" t="s">
        <v>2510</v>
      </c>
      <c r="K76" s="244">
        <v>58.5</v>
      </c>
      <c r="L76" s="256">
        <v>15.0</v>
      </c>
      <c r="M76" s="246"/>
      <c r="N76" s="246">
        <v>1.1172786E7</v>
      </c>
    </row>
    <row r="77" ht="15.75" customHeight="1">
      <c r="A77" s="252">
        <v>2026.0</v>
      </c>
      <c r="B77" s="248">
        <v>5.0</v>
      </c>
      <c r="C77" s="249">
        <v>46165.69200231481</v>
      </c>
      <c r="D77" s="250"/>
      <c r="E77" s="250"/>
      <c r="F77" s="255" t="s">
        <v>2532</v>
      </c>
      <c r="G77" s="251"/>
      <c r="H77" s="253"/>
      <c r="I77" s="252">
        <v>1.0</v>
      </c>
      <c r="J77" s="243" t="s">
        <v>2510</v>
      </c>
      <c r="K77" s="244">
        <v>72.0</v>
      </c>
      <c r="L77" s="245">
        <f>VLOOKUP(F77,'PRODUCT_COGS&amp;PRICE'!A:E,5,FALSE)</f>
        <v>19</v>
      </c>
      <c r="M77" s="246"/>
      <c r="N77" s="246">
        <v>1.1173486E7</v>
      </c>
    </row>
    <row r="78" ht="15.75" customHeight="1">
      <c r="A78" s="252">
        <v>2026.0</v>
      </c>
      <c r="B78" s="248">
        <v>5.0</v>
      </c>
      <c r="C78" s="249">
        <v>46165.69200231481</v>
      </c>
      <c r="D78" s="250"/>
      <c r="E78" s="250"/>
      <c r="F78" s="255" t="s">
        <v>2036</v>
      </c>
      <c r="G78" s="251"/>
      <c r="H78" s="253"/>
      <c r="I78" s="252">
        <v>1.0</v>
      </c>
      <c r="J78" s="243" t="s">
        <v>2510</v>
      </c>
      <c r="K78" s="244">
        <v>81.0</v>
      </c>
      <c r="L78" s="245">
        <f>VLOOKUP(F78,'PRODUCT_COGS&amp;PRICE'!A:E,5,FALSE)</f>
        <v>16.5</v>
      </c>
      <c r="M78" s="246"/>
      <c r="N78" s="246">
        <v>1.1173486E7</v>
      </c>
    </row>
    <row r="79" ht="15.75" customHeight="1">
      <c r="A79" s="252">
        <v>2026.0</v>
      </c>
      <c r="B79" s="248">
        <v>5.0</v>
      </c>
      <c r="C79" s="249">
        <v>46165.69975694444</v>
      </c>
      <c r="D79" s="250"/>
      <c r="E79" s="250"/>
      <c r="F79" s="255" t="s">
        <v>237</v>
      </c>
      <c r="G79" s="251"/>
      <c r="H79" s="253"/>
      <c r="I79" s="252">
        <v>1.0</v>
      </c>
      <c r="J79" s="243" t="s">
        <v>2510</v>
      </c>
      <c r="K79" s="244">
        <v>108.0</v>
      </c>
      <c r="L79" s="245">
        <f>VLOOKUP(F79,'PRODUCT_COGS&amp;PRICE'!A:E,5,FALSE)</f>
        <v>30.33</v>
      </c>
      <c r="M79" s="246"/>
      <c r="N79" s="246">
        <v>1.1174467E7</v>
      </c>
    </row>
    <row r="80" ht="15.75" customHeight="1">
      <c r="A80" s="252">
        <v>2026.0</v>
      </c>
      <c r="B80" s="248">
        <v>5.0</v>
      </c>
      <c r="C80" s="249">
        <v>46165.70741898148</v>
      </c>
      <c r="D80" s="250"/>
      <c r="E80" s="250"/>
      <c r="F80" s="255" t="s">
        <v>2521</v>
      </c>
      <c r="G80" s="251"/>
      <c r="H80" s="253"/>
      <c r="I80" s="252">
        <v>1.0</v>
      </c>
      <c r="J80" s="243" t="s">
        <v>2510</v>
      </c>
      <c r="K80" s="244">
        <v>108.0</v>
      </c>
      <c r="L80" s="245">
        <f>VLOOKUP(F80,'PRODUCT_COGS&amp;PRICE'!A:E,5,FALSE)</f>
        <v>30</v>
      </c>
      <c r="M80" s="246"/>
      <c r="N80" s="246">
        <v>1.1175631E7</v>
      </c>
    </row>
    <row r="81" ht="15.75" customHeight="1">
      <c r="A81" s="252">
        <v>2026.0</v>
      </c>
      <c r="B81" s="248">
        <v>5.0</v>
      </c>
      <c r="C81" s="249">
        <v>46168.69564814815</v>
      </c>
      <c r="D81" s="250"/>
      <c r="E81" s="250"/>
      <c r="F81" s="255" t="s">
        <v>2029</v>
      </c>
      <c r="G81" s="251"/>
      <c r="H81" s="253"/>
      <c r="I81" s="252">
        <v>1.0</v>
      </c>
      <c r="J81" s="243" t="s">
        <v>2510</v>
      </c>
      <c r="K81" s="244">
        <v>90.0</v>
      </c>
      <c r="L81" s="245">
        <f>VLOOKUP(F81,'PRODUCT_COGS&amp;PRICE'!A:E,5,FALSE)</f>
        <v>16.5</v>
      </c>
      <c r="M81" s="246"/>
      <c r="N81" s="246">
        <v>1.1315851E7</v>
      </c>
    </row>
    <row r="82" ht="15.75" customHeight="1">
      <c r="A82" s="252">
        <v>2026.0</v>
      </c>
      <c r="B82" s="248">
        <v>5.0</v>
      </c>
      <c r="C82" s="249">
        <v>46170.361030092594</v>
      </c>
      <c r="D82" s="250"/>
      <c r="E82" s="250"/>
      <c r="F82" s="255" t="s">
        <v>2530</v>
      </c>
      <c r="G82" s="251"/>
      <c r="H82" s="253"/>
      <c r="I82" s="252">
        <v>1.0</v>
      </c>
      <c r="J82" s="243" t="s">
        <v>2510</v>
      </c>
      <c r="K82" s="244">
        <v>120.0</v>
      </c>
      <c r="L82" s="245">
        <f>VLOOKUP(F82,'PRODUCT_COGS&amp;PRICE'!A:E,5,FALSE)</f>
        <v>20</v>
      </c>
      <c r="M82" s="246"/>
      <c r="N82" s="246">
        <v>1.1358664E7</v>
      </c>
    </row>
    <row r="83" ht="15.75" customHeight="1">
      <c r="A83" s="252">
        <v>2026.0</v>
      </c>
      <c r="B83" s="248">
        <v>5.0</v>
      </c>
      <c r="C83" s="249">
        <v>46170.715949074074</v>
      </c>
      <c r="D83" s="250"/>
      <c r="E83" s="250"/>
      <c r="F83" s="255" t="s">
        <v>2061</v>
      </c>
      <c r="G83" s="251"/>
      <c r="H83" s="253"/>
      <c r="I83" s="252">
        <v>1.0</v>
      </c>
      <c r="J83" s="243" t="s">
        <v>2510</v>
      </c>
      <c r="K83" s="244">
        <v>90.0</v>
      </c>
      <c r="L83" s="256">
        <v>17.0</v>
      </c>
      <c r="M83" s="246"/>
      <c r="N83" s="246">
        <v>1.1372463E7</v>
      </c>
    </row>
    <row r="84" ht="15.75" customHeight="1">
      <c r="A84" s="252">
        <v>2026.0</v>
      </c>
      <c r="B84" s="248">
        <v>6.0</v>
      </c>
      <c r="C84" s="249">
        <v>46176.59799768518</v>
      </c>
      <c r="D84" s="250"/>
      <c r="E84" s="250"/>
      <c r="F84" s="255" t="s">
        <v>2009</v>
      </c>
      <c r="G84" s="251"/>
      <c r="H84" s="253"/>
      <c r="I84" s="252">
        <v>1.0</v>
      </c>
      <c r="J84" s="243" t="s">
        <v>2510</v>
      </c>
      <c r="K84" s="244">
        <v>72.0</v>
      </c>
      <c r="L84" s="245">
        <f>VLOOKUP(F84,'PRODUCT_COGS&amp;PRICE'!A:E,5,FALSE)</f>
        <v>23</v>
      </c>
      <c r="M84" s="246"/>
      <c r="N84" s="246">
        <v>1.1624032E7</v>
      </c>
    </row>
    <row r="85" ht="15.75" customHeight="1">
      <c r="A85" s="252">
        <v>2026.0</v>
      </c>
      <c r="B85" s="248">
        <v>6.0</v>
      </c>
      <c r="C85" s="249">
        <v>46176.59799768518</v>
      </c>
      <c r="D85" s="250"/>
      <c r="E85" s="250"/>
      <c r="F85" s="255" t="s">
        <v>2526</v>
      </c>
      <c r="G85" s="251"/>
      <c r="H85" s="253"/>
      <c r="I85" s="252">
        <v>1.0</v>
      </c>
      <c r="J85" s="243" t="s">
        <v>2510</v>
      </c>
      <c r="K85" s="244">
        <v>72.0</v>
      </c>
      <c r="L85" s="245">
        <f>VLOOKUP(F85,'PRODUCT_COGS&amp;PRICE'!A:E,5,FALSE)</f>
        <v>19</v>
      </c>
      <c r="M85" s="246"/>
      <c r="N85" s="246">
        <v>1.1624032E7</v>
      </c>
    </row>
    <row r="86" ht="15.75" customHeight="1">
      <c r="A86" s="252">
        <v>2026.0</v>
      </c>
      <c r="B86" s="248">
        <v>6.0</v>
      </c>
      <c r="C86" s="249">
        <v>46176.697476851856</v>
      </c>
      <c r="D86" s="250"/>
      <c r="E86" s="250"/>
      <c r="F86" s="255" t="s">
        <v>289</v>
      </c>
      <c r="G86" s="251"/>
      <c r="H86" s="253"/>
      <c r="I86" s="252">
        <v>1.0</v>
      </c>
      <c r="J86" s="243" t="s">
        <v>2510</v>
      </c>
      <c r="K86" s="244">
        <v>120.0</v>
      </c>
      <c r="L86" s="245">
        <f>VLOOKUP(F86,'PRODUCT_COGS&amp;PRICE'!A:E,5,FALSE)</f>
        <v>20</v>
      </c>
      <c r="M86" s="246"/>
      <c r="N86" s="246">
        <v>1.1626377E7</v>
      </c>
    </row>
    <row r="87" ht="15.75" customHeight="1">
      <c r="A87" s="252">
        <v>2026.0</v>
      </c>
      <c r="B87" s="248">
        <v>6.0</v>
      </c>
      <c r="C87" s="249">
        <v>46176.700833333336</v>
      </c>
      <c r="D87" s="250"/>
      <c r="E87" s="250"/>
      <c r="F87" s="255" t="s">
        <v>207</v>
      </c>
      <c r="G87" s="251"/>
      <c r="H87" s="253"/>
      <c r="I87" s="252">
        <v>1.0</v>
      </c>
      <c r="J87" s="243" t="s">
        <v>2510</v>
      </c>
      <c r="K87" s="244">
        <v>120.0</v>
      </c>
      <c r="L87" s="245">
        <f>VLOOKUP(F87,'PRODUCT_COGS&amp;PRICE'!A:E,5,FALSE)</f>
        <v>26</v>
      </c>
      <c r="M87" s="246"/>
      <c r="N87" s="246">
        <v>1.162648E7</v>
      </c>
    </row>
    <row r="88" ht="15.75" customHeight="1">
      <c r="A88" s="252">
        <v>2026.0</v>
      </c>
      <c r="B88" s="248">
        <v>6.0</v>
      </c>
      <c r="C88" s="249">
        <v>46176.708599537036</v>
      </c>
      <c r="D88" s="250"/>
      <c r="E88" s="250"/>
      <c r="F88" s="255" t="s">
        <v>302</v>
      </c>
      <c r="G88" s="251"/>
      <c r="H88" s="253"/>
      <c r="I88" s="252">
        <v>1.0</v>
      </c>
      <c r="J88" s="243" t="s">
        <v>2510</v>
      </c>
      <c r="K88" s="244">
        <v>80.0</v>
      </c>
      <c r="L88" s="245">
        <f>VLOOKUP(F88,'PRODUCT_COGS&amp;PRICE'!A:E,5,FALSE)</f>
        <v>19</v>
      </c>
      <c r="M88" s="246"/>
      <c r="N88" s="246">
        <v>1.16268E7</v>
      </c>
    </row>
    <row r="89" ht="15.75" customHeight="1">
      <c r="A89" s="252">
        <v>2026.0</v>
      </c>
      <c r="B89" s="248">
        <v>6.0</v>
      </c>
      <c r="C89" s="249">
        <v>46176.71077546296</v>
      </c>
      <c r="D89" s="250"/>
      <c r="E89" s="250"/>
      <c r="F89" s="255" t="s">
        <v>2533</v>
      </c>
      <c r="G89" s="251"/>
      <c r="H89" s="253"/>
      <c r="I89" s="252">
        <v>1.0</v>
      </c>
      <c r="J89" s="243" t="s">
        <v>2510</v>
      </c>
      <c r="K89" s="244">
        <v>80.0</v>
      </c>
      <c r="L89" s="245">
        <f>VLOOKUP(F89,'PRODUCT_COGS&amp;PRICE'!A:E,5,FALSE)</f>
        <v>19</v>
      </c>
      <c r="M89" s="246"/>
      <c r="N89" s="246">
        <v>1.1626904E7</v>
      </c>
    </row>
    <row r="90" ht="15.75" customHeight="1">
      <c r="A90" s="252">
        <v>2026.0</v>
      </c>
      <c r="B90" s="248">
        <v>6.0</v>
      </c>
      <c r="C90" s="249">
        <v>46176.71077546296</v>
      </c>
      <c r="D90" s="250"/>
      <c r="E90" s="250"/>
      <c r="F90" s="255" t="s">
        <v>383</v>
      </c>
      <c r="G90" s="251"/>
      <c r="H90" s="253"/>
      <c r="I90" s="252">
        <v>1.0</v>
      </c>
      <c r="J90" s="243" t="s">
        <v>2510</v>
      </c>
      <c r="K90" s="244">
        <v>80.0</v>
      </c>
      <c r="L90" s="245">
        <f>VLOOKUP(F90,'PRODUCT_COGS&amp;PRICE'!A:E,5,FALSE)</f>
        <v>19</v>
      </c>
      <c r="M90" s="246"/>
      <c r="N90" s="246">
        <v>1.1626904E7</v>
      </c>
    </row>
    <row r="91" ht="15.75" customHeight="1">
      <c r="A91" s="252">
        <v>2026.0</v>
      </c>
      <c r="B91" s="248">
        <v>6.0</v>
      </c>
      <c r="C91" s="249">
        <v>46176.71666666667</v>
      </c>
      <c r="D91" s="250"/>
      <c r="E91" s="250"/>
      <c r="F91" s="255" t="s">
        <v>383</v>
      </c>
      <c r="G91" s="251"/>
      <c r="H91" s="253"/>
      <c r="I91" s="252">
        <v>1.0</v>
      </c>
      <c r="J91" s="243" t="s">
        <v>2510</v>
      </c>
      <c r="K91" s="244">
        <v>80.0</v>
      </c>
      <c r="L91" s="245">
        <f>VLOOKUP(F91,'PRODUCT_COGS&amp;PRICE'!A:E,5,FALSE)</f>
        <v>19</v>
      </c>
      <c r="M91" s="246"/>
      <c r="N91" s="246">
        <v>1.1627146E7</v>
      </c>
    </row>
    <row r="92" ht="15.75" customHeight="1">
      <c r="A92" s="252">
        <v>2026.0</v>
      </c>
      <c r="B92" s="248">
        <v>6.0</v>
      </c>
      <c r="C92" s="249">
        <v>46176.72043981482</v>
      </c>
      <c r="D92" s="250"/>
      <c r="E92" s="250"/>
      <c r="F92" s="255" t="s">
        <v>2534</v>
      </c>
      <c r="G92" s="251"/>
      <c r="H92" s="253"/>
      <c r="I92" s="252">
        <v>1.0</v>
      </c>
      <c r="J92" s="243" t="s">
        <v>2510</v>
      </c>
      <c r="K92" s="244">
        <v>80.0</v>
      </c>
      <c r="L92" s="245">
        <f>VLOOKUP(F92,'PRODUCT_COGS&amp;PRICE'!A:E,5,FALSE)</f>
        <v>19</v>
      </c>
      <c r="M92" s="246"/>
      <c r="N92" s="246">
        <v>1.1627332E7</v>
      </c>
    </row>
    <row r="93" ht="15.75" customHeight="1">
      <c r="A93" s="252">
        <v>2026.0</v>
      </c>
      <c r="B93" s="248">
        <v>6.0</v>
      </c>
      <c r="C93" s="249">
        <v>46176.77599537037</v>
      </c>
      <c r="D93" s="250"/>
      <c r="E93" s="250"/>
      <c r="F93" s="255" t="s">
        <v>323</v>
      </c>
      <c r="G93" s="251"/>
      <c r="H93" s="253"/>
      <c r="I93" s="252">
        <v>1.0</v>
      </c>
      <c r="J93" s="243" t="s">
        <v>2510</v>
      </c>
      <c r="K93" s="244">
        <v>70.0</v>
      </c>
      <c r="L93" s="245">
        <f>VLOOKUP(F93,'PRODUCT_COGS&amp;PRICE'!A:E,5,FALSE)</f>
        <v>14.58</v>
      </c>
      <c r="M93" s="246"/>
      <c r="N93" s="246">
        <v>1.1630551E7</v>
      </c>
    </row>
    <row r="94" ht="15.75" customHeight="1">
      <c r="A94" s="252">
        <v>2026.0</v>
      </c>
      <c r="B94" s="248">
        <v>6.0</v>
      </c>
      <c r="C94" s="249">
        <v>46176.79996527778</v>
      </c>
      <c r="D94" s="250"/>
      <c r="E94" s="250"/>
      <c r="F94" s="255" t="s">
        <v>731</v>
      </c>
      <c r="G94" s="251"/>
      <c r="H94" s="253"/>
      <c r="I94" s="252">
        <v>1.0</v>
      </c>
      <c r="J94" s="243" t="s">
        <v>2510</v>
      </c>
      <c r="K94" s="244">
        <v>18.0</v>
      </c>
      <c r="L94" s="245">
        <f>VLOOKUP(F94,'PRODUCT_COGS&amp;PRICE'!A:E,5,FALSE)</f>
        <v>2.89</v>
      </c>
      <c r="M94" s="246"/>
      <c r="N94" s="246">
        <v>1.1631998E7</v>
      </c>
    </row>
    <row r="95" ht="15.75" customHeight="1">
      <c r="A95" s="252">
        <v>2026.0</v>
      </c>
      <c r="B95" s="248">
        <v>6.0</v>
      </c>
      <c r="C95" s="249">
        <v>46176.821493055555</v>
      </c>
      <c r="D95" s="250"/>
      <c r="E95" s="250"/>
      <c r="F95" s="255" t="s">
        <v>298</v>
      </c>
      <c r="G95" s="251"/>
      <c r="H95" s="253"/>
      <c r="I95" s="252">
        <v>1.0</v>
      </c>
      <c r="J95" s="243" t="s">
        <v>2510</v>
      </c>
      <c r="K95" s="244">
        <v>108.0</v>
      </c>
      <c r="L95" s="245">
        <f>VLOOKUP(F95,'PRODUCT_COGS&amp;PRICE'!A:E,5,FALSE)</f>
        <v>20</v>
      </c>
      <c r="M95" s="246"/>
      <c r="N95" s="246">
        <v>1.1633098E7</v>
      </c>
    </row>
    <row r="96" ht="15.75" customHeight="1">
      <c r="A96" s="252">
        <v>2026.0</v>
      </c>
      <c r="B96" s="248">
        <v>6.0</v>
      </c>
      <c r="C96" s="249">
        <v>46177.66962962963</v>
      </c>
      <c r="D96" s="250"/>
      <c r="E96" s="250"/>
      <c r="F96" s="255" t="s">
        <v>302</v>
      </c>
      <c r="G96" s="251"/>
      <c r="H96" s="253"/>
      <c r="I96" s="252">
        <v>1.0</v>
      </c>
      <c r="J96" s="243" t="s">
        <v>2510</v>
      </c>
      <c r="K96" s="244">
        <v>80.0</v>
      </c>
      <c r="L96" s="245">
        <f>VLOOKUP(F96,'PRODUCT_COGS&amp;PRICE'!A:E,5,FALSE)</f>
        <v>19</v>
      </c>
      <c r="M96" s="246"/>
      <c r="N96" s="246">
        <v>1.1651514E7</v>
      </c>
    </row>
    <row r="97" ht="15.75" customHeight="1">
      <c r="A97" s="252">
        <v>2026.0</v>
      </c>
      <c r="B97" s="248">
        <v>6.0</v>
      </c>
      <c r="C97" s="249">
        <v>46178.63722222223</v>
      </c>
      <c r="D97" s="250"/>
      <c r="E97" s="250"/>
      <c r="F97" s="255" t="s">
        <v>2049</v>
      </c>
      <c r="G97" s="251"/>
      <c r="H97" s="253"/>
      <c r="I97" s="252">
        <v>1.0</v>
      </c>
      <c r="J97" s="243" t="s">
        <v>2510</v>
      </c>
      <c r="K97" s="244">
        <v>90.0</v>
      </c>
      <c r="L97" s="245">
        <f>VLOOKUP(F97,'PRODUCT_COGS&amp;PRICE'!A:E,5,FALSE)</f>
        <v>16.5</v>
      </c>
      <c r="M97" s="246"/>
      <c r="N97" s="246">
        <v>1.167761E7</v>
      </c>
    </row>
    <row r="98" ht="15.75" customHeight="1">
      <c r="A98" s="252">
        <v>2026.0</v>
      </c>
      <c r="B98" s="248">
        <v>6.0</v>
      </c>
      <c r="C98" s="249">
        <v>46182.685844907406</v>
      </c>
      <c r="D98" s="250"/>
      <c r="E98" s="250"/>
      <c r="F98" s="255" t="s">
        <v>300</v>
      </c>
      <c r="G98" s="251"/>
      <c r="H98" s="253"/>
      <c r="I98" s="252">
        <v>1.0</v>
      </c>
      <c r="J98" s="243" t="s">
        <v>2510</v>
      </c>
      <c r="K98" s="244">
        <v>108.0</v>
      </c>
      <c r="L98" s="245">
        <f>VLOOKUP(F98,'PRODUCT_COGS&amp;PRICE'!A:E,5,FALSE)</f>
        <v>20</v>
      </c>
      <c r="M98" s="246"/>
      <c r="N98" s="246">
        <v>1.1857761E7</v>
      </c>
    </row>
    <row r="99" ht="15.75" customHeight="1">
      <c r="A99" s="252">
        <v>2026.0</v>
      </c>
      <c r="B99" s="248">
        <v>6.0</v>
      </c>
      <c r="C99" s="249">
        <v>46182.68604166667</v>
      </c>
      <c r="D99" s="250"/>
      <c r="E99" s="250"/>
      <c r="F99" s="255" t="s">
        <v>300</v>
      </c>
      <c r="G99" s="251"/>
      <c r="H99" s="253"/>
      <c r="I99" s="252">
        <v>1.0</v>
      </c>
      <c r="J99" s="243" t="s">
        <v>2510</v>
      </c>
      <c r="K99" s="244">
        <v>108.0</v>
      </c>
      <c r="L99" s="245">
        <f>VLOOKUP(F99,'PRODUCT_COGS&amp;PRICE'!A:E,5,FALSE)</f>
        <v>20</v>
      </c>
      <c r="M99" s="246"/>
      <c r="N99" s="246">
        <v>1.1857766E7</v>
      </c>
    </row>
    <row r="100" ht="15.75" customHeight="1">
      <c r="A100" s="252">
        <v>2026.0</v>
      </c>
      <c r="B100" s="248">
        <v>4.0</v>
      </c>
      <c r="C100" s="249">
        <v>46137.39392361111</v>
      </c>
      <c r="D100" s="250"/>
      <c r="E100" s="250"/>
      <c r="F100" s="255" t="s">
        <v>239</v>
      </c>
      <c r="G100" s="251"/>
      <c r="H100" s="253"/>
      <c r="I100" s="252">
        <v>1.0</v>
      </c>
      <c r="J100" s="243" t="s">
        <v>2510</v>
      </c>
      <c r="K100" s="244">
        <v>0.0</v>
      </c>
      <c r="L100" s="245">
        <f>VLOOKUP(F100,'PRODUCT_COGS&amp;PRICE'!A:E,5,FALSE)</f>
        <v>20</v>
      </c>
      <c r="M100" s="246"/>
      <c r="N100" s="246">
        <v>1.0190575E7</v>
      </c>
    </row>
    <row r="101" ht="15.75" customHeight="1">
      <c r="A101" s="252">
        <v>2026.0</v>
      </c>
      <c r="B101" s="248">
        <v>6.0</v>
      </c>
      <c r="C101" s="249">
        <v>46183.61584490741</v>
      </c>
      <c r="D101" s="250"/>
      <c r="E101" s="250"/>
      <c r="F101" s="255" t="s">
        <v>300</v>
      </c>
      <c r="G101" s="251"/>
      <c r="H101" s="253"/>
      <c r="I101" s="252">
        <v>1.0</v>
      </c>
      <c r="J101" s="243" t="s">
        <v>2510</v>
      </c>
      <c r="K101" s="244">
        <v>120.0</v>
      </c>
      <c r="L101" s="245">
        <f>VLOOKUP(F101,'PRODUCT_COGS&amp;PRICE'!A:E,5,FALSE)</f>
        <v>20</v>
      </c>
      <c r="M101" s="246"/>
      <c r="N101" s="246">
        <v>1.188021E7</v>
      </c>
    </row>
    <row r="102" ht="15.75" customHeight="1">
      <c r="A102" s="252">
        <v>2026.0</v>
      </c>
      <c r="B102" s="248">
        <v>6.0</v>
      </c>
      <c r="C102" s="249">
        <v>46185.45725694444</v>
      </c>
      <c r="D102" s="250"/>
      <c r="E102" s="250"/>
      <c r="F102" s="255" t="s">
        <v>49</v>
      </c>
      <c r="G102" s="251"/>
      <c r="H102" s="253"/>
      <c r="I102" s="252">
        <v>1.0</v>
      </c>
      <c r="J102" s="243" t="s">
        <v>2510</v>
      </c>
      <c r="K102" s="244">
        <v>50.0</v>
      </c>
      <c r="L102" s="245">
        <f>VLOOKUP(F102,'PRODUCT_COGS&amp;PRICE'!A:E,5,FALSE)</f>
        <v>10.71</v>
      </c>
      <c r="M102" s="246"/>
      <c r="N102" s="246">
        <v>1.1947757E7</v>
      </c>
    </row>
    <row r="103" ht="15.75" customHeight="1">
      <c r="A103" s="252">
        <v>2026.0</v>
      </c>
      <c r="B103" s="248">
        <v>6.0</v>
      </c>
      <c r="C103" s="249">
        <v>46185.459027777775</v>
      </c>
      <c r="D103" s="250"/>
      <c r="E103" s="250"/>
      <c r="F103" s="255" t="s">
        <v>633</v>
      </c>
      <c r="G103" s="251"/>
      <c r="H103" s="253"/>
      <c r="I103" s="252">
        <v>1.0</v>
      </c>
      <c r="J103" s="243" t="s">
        <v>2510</v>
      </c>
      <c r="K103" s="244">
        <v>16.0</v>
      </c>
      <c r="L103" s="245">
        <f>VLOOKUP(F103,'PRODUCT_COGS&amp;PRICE'!A:E,5,FALSE)</f>
        <v>2.54</v>
      </c>
      <c r="M103" s="246"/>
      <c r="N103" s="246">
        <v>1.1947855E7</v>
      </c>
    </row>
    <row r="104" ht="15.75" customHeight="1">
      <c r="A104" s="252">
        <v>2026.0</v>
      </c>
      <c r="B104" s="248">
        <v>6.0</v>
      </c>
      <c r="C104" s="249">
        <v>46188.654062500005</v>
      </c>
      <c r="D104" s="250"/>
      <c r="E104" s="250"/>
      <c r="F104" s="255" t="s">
        <v>304</v>
      </c>
      <c r="G104" s="251"/>
      <c r="H104" s="253"/>
      <c r="I104" s="252">
        <v>1.0</v>
      </c>
      <c r="J104" s="243" t="s">
        <v>2511</v>
      </c>
      <c r="K104" s="244">
        <v>80.0</v>
      </c>
      <c r="L104" s="245">
        <f>VLOOKUP(F104,'PRODUCT_COGS&amp;PRICE'!A:E,5,FALSE)</f>
        <v>19</v>
      </c>
      <c r="M104" s="246"/>
      <c r="N104" s="246">
        <v>1.2170006E7</v>
      </c>
    </row>
    <row r="105" ht="15.75" customHeight="1">
      <c r="A105" s="252">
        <v>2026.0</v>
      </c>
      <c r="B105" s="248">
        <v>6.0</v>
      </c>
      <c r="C105" s="249">
        <v>46190.461377314816</v>
      </c>
      <c r="D105" s="250"/>
      <c r="E105" s="250"/>
      <c r="F105" s="255" t="s">
        <v>2535</v>
      </c>
      <c r="G105" s="251"/>
      <c r="H105" s="253"/>
      <c r="I105" s="252">
        <v>1.0</v>
      </c>
      <c r="J105" s="243" t="s">
        <v>2510</v>
      </c>
      <c r="K105" s="244">
        <v>0.0</v>
      </c>
      <c r="L105" s="245">
        <f>VLOOKUP(F105,'PRODUCT_COGS&amp;PRICE'!A:E,5,FALSE)</f>
        <v>16.5</v>
      </c>
      <c r="M105" s="246"/>
      <c r="N105" s="246">
        <v>1.2218126E7</v>
      </c>
    </row>
    <row r="106" ht="15.75" customHeight="1">
      <c r="A106" s="252">
        <v>2026.0</v>
      </c>
      <c r="B106" s="248">
        <v>6.0</v>
      </c>
      <c r="C106" s="249">
        <v>46190.461377314816</v>
      </c>
      <c r="D106" s="250"/>
      <c r="E106" s="250"/>
      <c r="F106" s="255" t="s">
        <v>2049</v>
      </c>
      <c r="G106" s="251"/>
      <c r="H106" s="253"/>
      <c r="I106" s="252">
        <v>1.0</v>
      </c>
      <c r="J106" s="243" t="s">
        <v>2510</v>
      </c>
      <c r="K106" s="244">
        <v>90.0</v>
      </c>
      <c r="L106" s="245">
        <f>VLOOKUP(F106,'PRODUCT_COGS&amp;PRICE'!A:E,5,FALSE)</f>
        <v>16.5</v>
      </c>
      <c r="M106" s="246"/>
      <c r="N106" s="246">
        <v>1.2218126E7</v>
      </c>
    </row>
    <row r="107" ht="15.75" customHeight="1">
      <c r="A107" s="252">
        <v>2026.0</v>
      </c>
      <c r="B107" s="248">
        <v>6.0</v>
      </c>
      <c r="C107" s="249">
        <v>46192.3978125</v>
      </c>
      <c r="D107" s="250"/>
      <c r="E107" s="250"/>
      <c r="F107" s="255" t="s">
        <v>316</v>
      </c>
      <c r="G107" s="251"/>
      <c r="H107" s="253"/>
      <c r="I107" s="252">
        <v>1.0</v>
      </c>
      <c r="J107" s="243" t="s">
        <v>2510</v>
      </c>
      <c r="K107" s="244">
        <v>45.0</v>
      </c>
      <c r="L107" s="245">
        <f>VLOOKUP(F107,'PRODUCT_COGS&amp;PRICE'!A:E,5,FALSE)</f>
        <v>10.71</v>
      </c>
      <c r="M107" s="246"/>
      <c r="N107" s="246">
        <v>1.2306985E7</v>
      </c>
    </row>
    <row r="108" ht="15.75" customHeight="1">
      <c r="A108" s="252">
        <v>2026.0</v>
      </c>
      <c r="B108" s="248">
        <v>6.0</v>
      </c>
      <c r="C108" s="249">
        <v>46192.68450231482</v>
      </c>
      <c r="D108" s="250"/>
      <c r="E108" s="250"/>
      <c r="F108" s="255" t="s">
        <v>300</v>
      </c>
      <c r="G108" s="251"/>
      <c r="H108" s="253"/>
      <c r="I108" s="252">
        <v>1.0</v>
      </c>
      <c r="J108" s="243" t="s">
        <v>2510</v>
      </c>
      <c r="K108" s="244">
        <v>120.0</v>
      </c>
      <c r="L108" s="245">
        <f>VLOOKUP(F108,'PRODUCT_COGS&amp;PRICE'!A:E,5,FALSE)</f>
        <v>20</v>
      </c>
      <c r="M108" s="246"/>
      <c r="N108" s="246">
        <v>1.2316531E7</v>
      </c>
    </row>
    <row r="109" ht="15.75" customHeight="1">
      <c r="A109" s="252">
        <v>2026.0</v>
      </c>
      <c r="B109" s="248">
        <v>6.0</v>
      </c>
      <c r="C109" s="249">
        <v>46192.703194444446</v>
      </c>
      <c r="D109" s="250"/>
      <c r="E109" s="250"/>
      <c r="F109" s="255" t="s">
        <v>295</v>
      </c>
      <c r="G109" s="251"/>
      <c r="H109" s="253"/>
      <c r="I109" s="252">
        <v>1.0</v>
      </c>
      <c r="J109" s="243" t="s">
        <v>2510</v>
      </c>
      <c r="K109" s="244">
        <v>120.0</v>
      </c>
      <c r="L109" s="245">
        <f>VLOOKUP(F109,'PRODUCT_COGS&amp;PRICE'!A:E,5,FALSE)</f>
        <v>26</v>
      </c>
      <c r="M109" s="246"/>
      <c r="N109" s="246">
        <v>1.2317526E7</v>
      </c>
    </row>
    <row r="110" ht="15.75" customHeight="1">
      <c r="A110" s="252">
        <v>2026.0</v>
      </c>
      <c r="B110" s="248">
        <v>4.0</v>
      </c>
      <c r="C110" s="249">
        <v>46137.39392361111</v>
      </c>
      <c r="D110" s="250"/>
      <c r="E110" s="250"/>
      <c r="F110" s="255" t="s">
        <v>2002</v>
      </c>
      <c r="G110" s="251"/>
      <c r="H110" s="253"/>
      <c r="I110" s="252">
        <v>1.0</v>
      </c>
      <c r="J110" s="243" t="s">
        <v>2510</v>
      </c>
      <c r="K110" s="244">
        <v>120.0</v>
      </c>
      <c r="L110" s="245">
        <f>VLOOKUP(F110,'PRODUCT_COGS&amp;PRICE'!A:E,5,FALSE)</f>
        <v>30.33</v>
      </c>
      <c r="M110" s="246"/>
      <c r="N110" s="246">
        <v>1.0190575E7</v>
      </c>
    </row>
    <row r="111" ht="15.75" customHeight="1">
      <c r="A111" s="252">
        <v>2026.0</v>
      </c>
      <c r="B111" s="248">
        <v>3.0</v>
      </c>
      <c r="C111" s="249">
        <v>46108.66666666667</v>
      </c>
      <c r="D111" s="250"/>
      <c r="E111" s="250"/>
      <c r="F111" s="255" t="s">
        <v>2536</v>
      </c>
      <c r="G111" s="243" t="s">
        <v>2537</v>
      </c>
      <c r="H111" s="253"/>
      <c r="I111" s="252">
        <v>1.0</v>
      </c>
      <c r="J111" s="243" t="s">
        <v>2510</v>
      </c>
      <c r="K111" s="244">
        <v>148.0</v>
      </c>
      <c r="L111" s="257">
        <v>20.0</v>
      </c>
      <c r="M111" s="246" t="s">
        <v>2538</v>
      </c>
      <c r="N111" s="246" t="s">
        <v>2539</v>
      </c>
    </row>
    <row r="112" ht="15.75" customHeight="1">
      <c r="A112" s="252">
        <v>2026.0</v>
      </c>
      <c r="B112" s="248">
        <v>3.0</v>
      </c>
      <c r="C112" s="249">
        <v>46108.66666666667</v>
      </c>
      <c r="D112" s="250"/>
      <c r="E112" s="250"/>
      <c r="F112" s="255" t="s">
        <v>2536</v>
      </c>
      <c r="G112" s="243" t="s">
        <v>2537</v>
      </c>
      <c r="H112" s="253"/>
      <c r="I112" s="252">
        <v>1.0</v>
      </c>
      <c r="J112" s="243" t="s">
        <v>2510</v>
      </c>
      <c r="K112" s="244">
        <v>72.0</v>
      </c>
      <c r="L112" s="257">
        <v>20.0</v>
      </c>
      <c r="M112" s="246" t="s">
        <v>2538</v>
      </c>
      <c r="N112" s="246" t="s">
        <v>2540</v>
      </c>
    </row>
    <row r="113" ht="15.75" customHeight="1">
      <c r="A113" s="252">
        <v>2026.0</v>
      </c>
      <c r="B113" s="248">
        <v>6.0</v>
      </c>
      <c r="C113" s="249">
        <v>46195.71665509259</v>
      </c>
      <c r="D113" s="250"/>
      <c r="E113" s="250"/>
      <c r="F113" s="255" t="s">
        <v>381</v>
      </c>
      <c r="G113" s="243"/>
      <c r="H113" s="253"/>
      <c r="I113" s="252">
        <v>1.0</v>
      </c>
      <c r="J113" s="243" t="s">
        <v>2510</v>
      </c>
      <c r="K113" s="244">
        <v>72.0</v>
      </c>
      <c r="L113" s="257">
        <f>VLOOKUP(F113,'PRODUCT_COGS&amp;PRICE'!A:E,5,FALSE)</f>
        <v>19</v>
      </c>
      <c r="M113" s="246"/>
      <c r="N113" s="246">
        <v>1.2488264E7</v>
      </c>
    </row>
    <row r="114" ht="15.75" customHeight="1">
      <c r="A114" s="252">
        <v>2026.0</v>
      </c>
      <c r="B114" s="248">
        <v>6.0</v>
      </c>
      <c r="C114" s="249">
        <v>46195.71665509259</v>
      </c>
      <c r="D114" s="250"/>
      <c r="E114" s="250"/>
      <c r="F114" s="255" t="s">
        <v>2541</v>
      </c>
      <c r="G114" s="243"/>
      <c r="H114" s="253"/>
      <c r="I114" s="252">
        <v>0.0</v>
      </c>
      <c r="J114" s="243" t="s">
        <v>2510</v>
      </c>
      <c r="K114" s="244">
        <v>0.0</v>
      </c>
      <c r="L114" s="257">
        <v>0.0</v>
      </c>
      <c r="M114" s="246"/>
      <c r="N114" s="246">
        <v>1.2488264E7</v>
      </c>
    </row>
    <row r="115" ht="15.75" customHeight="1">
      <c r="A115" s="252">
        <v>2026.0</v>
      </c>
      <c r="B115" s="248">
        <v>6.0</v>
      </c>
      <c r="C115" s="249">
        <v>46196.68329861111</v>
      </c>
      <c r="D115" s="250"/>
      <c r="E115" s="250"/>
      <c r="F115" s="255" t="s">
        <v>448</v>
      </c>
      <c r="G115" s="243"/>
      <c r="H115" s="253"/>
      <c r="I115" s="252">
        <v>1.0</v>
      </c>
      <c r="J115" s="243" t="s">
        <v>2510</v>
      </c>
      <c r="K115" s="244">
        <v>14.0</v>
      </c>
      <c r="L115" s="257">
        <f>VLOOKUP(F115,'PRODUCT_COGS&amp;PRICE'!A:E,5,FALSE)</f>
        <v>2.48</v>
      </c>
      <c r="M115" s="246"/>
      <c r="N115" s="246">
        <v>1.2513374E7</v>
      </c>
    </row>
    <row r="116" ht="15.75" customHeight="1">
      <c r="A116" s="252">
        <v>2026.0</v>
      </c>
      <c r="B116" s="248">
        <v>6.0</v>
      </c>
      <c r="C116" s="249">
        <v>46196.68834490741</v>
      </c>
      <c r="D116" s="250"/>
      <c r="E116" s="250"/>
      <c r="F116" s="255" t="s">
        <v>2049</v>
      </c>
      <c r="G116" s="243"/>
      <c r="H116" s="253"/>
      <c r="I116" s="252">
        <v>1.0</v>
      </c>
      <c r="J116" s="243" t="s">
        <v>2510</v>
      </c>
      <c r="K116" s="244">
        <v>90.0</v>
      </c>
      <c r="L116" s="257">
        <f>VLOOKUP(F116,'PRODUCT_COGS&amp;PRICE'!A:E,5,FALSE)</f>
        <v>16.5</v>
      </c>
      <c r="M116" s="246"/>
      <c r="N116" s="246">
        <v>1.2513697E7</v>
      </c>
    </row>
    <row r="117" ht="15.75" customHeight="1">
      <c r="A117" s="252">
        <v>2026.0</v>
      </c>
      <c r="B117" s="248">
        <v>6.0</v>
      </c>
      <c r="C117" s="249">
        <v>46196.711851851855</v>
      </c>
      <c r="D117" s="250"/>
      <c r="E117" s="250"/>
      <c r="F117" s="255" t="s">
        <v>391</v>
      </c>
      <c r="G117" s="243"/>
      <c r="H117" s="253"/>
      <c r="I117" s="252">
        <v>1.0</v>
      </c>
      <c r="J117" s="243" t="s">
        <v>2510</v>
      </c>
      <c r="K117" s="244">
        <v>80.0</v>
      </c>
      <c r="L117" s="257">
        <f>VLOOKUP(F117,'PRODUCT_COGS&amp;PRICE'!A:E,5,FALSE)</f>
        <v>19</v>
      </c>
      <c r="M117" s="246"/>
      <c r="N117" s="246">
        <v>1.2515528E7</v>
      </c>
    </row>
    <row r="118" ht="15.75" customHeight="1">
      <c r="A118" s="252">
        <v>2026.0</v>
      </c>
      <c r="B118" s="248">
        <v>6.0</v>
      </c>
      <c r="C118" s="249">
        <v>46197.41462962963</v>
      </c>
      <c r="D118" s="250"/>
      <c r="E118" s="250"/>
      <c r="F118" s="255" t="s">
        <v>305</v>
      </c>
      <c r="G118" s="243"/>
      <c r="H118" s="253"/>
      <c r="I118" s="252">
        <v>1.0</v>
      </c>
      <c r="J118" s="243" t="s">
        <v>2510</v>
      </c>
      <c r="K118" s="244">
        <v>80.0</v>
      </c>
      <c r="L118" s="257">
        <f>VLOOKUP(F118,'PRODUCT_COGS&amp;PRICE'!A:E,5,FALSE)</f>
        <v>19</v>
      </c>
      <c r="M118" s="246"/>
      <c r="N118" s="246">
        <v>1.2551622E7</v>
      </c>
    </row>
    <row r="119" ht="15.75" customHeight="1">
      <c r="A119" s="252">
        <v>2026.0</v>
      </c>
      <c r="B119" s="248">
        <v>6.0</v>
      </c>
      <c r="C119" s="249">
        <v>46197.41462962963</v>
      </c>
      <c r="D119" s="250"/>
      <c r="E119" s="250"/>
      <c r="F119" s="255" t="s">
        <v>383</v>
      </c>
      <c r="G119" s="243"/>
      <c r="H119" s="253"/>
      <c r="I119" s="252">
        <v>1.0</v>
      </c>
      <c r="J119" s="243" t="s">
        <v>2510</v>
      </c>
      <c r="K119" s="244">
        <v>80.0</v>
      </c>
      <c r="L119" s="257">
        <f>VLOOKUP(F119,'PRODUCT_COGS&amp;PRICE'!A:E,5,FALSE)</f>
        <v>19</v>
      </c>
      <c r="M119" s="246"/>
      <c r="N119" s="246">
        <v>1.2551622E7</v>
      </c>
    </row>
    <row r="120" ht="15.75" customHeight="1">
      <c r="A120" s="252">
        <v>2026.0</v>
      </c>
      <c r="B120" s="248">
        <v>6.0</v>
      </c>
      <c r="C120" s="249">
        <v>46197.46611111111</v>
      </c>
      <c r="D120" s="250"/>
      <c r="E120" s="250"/>
      <c r="F120" s="255" t="s">
        <v>389</v>
      </c>
      <c r="G120" s="243"/>
      <c r="H120" s="253"/>
      <c r="I120" s="252">
        <v>1.0</v>
      </c>
      <c r="J120" s="243" t="s">
        <v>2510</v>
      </c>
      <c r="K120" s="244">
        <v>90.0</v>
      </c>
      <c r="L120" s="257">
        <f>VLOOKUP(F120,'PRODUCT_COGS&amp;PRICE'!A:E,5,FALSE)</f>
        <v>16.5</v>
      </c>
      <c r="M120" s="246"/>
      <c r="N120" s="246">
        <v>1.255413E7</v>
      </c>
    </row>
    <row r="121" ht="15.75" customHeight="1">
      <c r="A121" s="252">
        <v>2026.0</v>
      </c>
      <c r="B121" s="248">
        <v>6.0</v>
      </c>
      <c r="C121" s="249">
        <v>46197.47854166667</v>
      </c>
      <c r="D121" s="250"/>
      <c r="E121" s="250"/>
      <c r="F121" s="255" t="s">
        <v>2012</v>
      </c>
      <c r="G121" s="243"/>
      <c r="H121" s="253"/>
      <c r="I121" s="252">
        <v>1.0</v>
      </c>
      <c r="J121" s="243" t="s">
        <v>2510</v>
      </c>
      <c r="K121" s="244">
        <v>50.0</v>
      </c>
      <c r="L121" s="257">
        <f>VLOOKUP(F121,'PRODUCT_COGS&amp;PRICE'!A:E,5,FALSE)</f>
        <v>21.3</v>
      </c>
      <c r="M121" s="246"/>
      <c r="N121" s="246">
        <v>1.2555078E7</v>
      </c>
    </row>
    <row r="122" ht="15.75" customHeight="1">
      <c r="A122" s="252">
        <v>2026.0</v>
      </c>
      <c r="B122" s="248">
        <v>6.0</v>
      </c>
      <c r="C122" s="249">
        <v>46197.48063657407</v>
      </c>
      <c r="D122" s="250"/>
      <c r="E122" s="250"/>
      <c r="F122" s="255" t="s">
        <v>291</v>
      </c>
      <c r="G122" s="243"/>
      <c r="H122" s="253"/>
      <c r="I122" s="252">
        <v>1.0</v>
      </c>
      <c r="J122" s="243" t="s">
        <v>2510</v>
      </c>
      <c r="K122" s="244">
        <v>96.0</v>
      </c>
      <c r="L122" s="257">
        <f>VLOOKUP(F122,'PRODUCT_COGS&amp;PRICE'!A:E,5,FALSE)</f>
        <v>20</v>
      </c>
      <c r="M122" s="246"/>
      <c r="N122" s="246">
        <v>1.2555223E7</v>
      </c>
    </row>
    <row r="123" ht="15.75" customHeight="1">
      <c r="A123" s="252">
        <v>2026.0</v>
      </c>
      <c r="B123" s="248">
        <v>6.0</v>
      </c>
      <c r="C123" s="249">
        <v>46197.490370370375</v>
      </c>
      <c r="D123" s="250"/>
      <c r="E123" s="250"/>
      <c r="F123" s="255" t="s">
        <v>383</v>
      </c>
      <c r="G123" s="243"/>
      <c r="H123" s="253"/>
      <c r="I123" s="252">
        <v>1.0</v>
      </c>
      <c r="J123" s="243" t="s">
        <v>2510</v>
      </c>
      <c r="K123" s="244">
        <v>72.0</v>
      </c>
      <c r="L123" s="257">
        <f>VLOOKUP(F123,'PRODUCT_COGS&amp;PRICE'!A:E,5,FALSE)</f>
        <v>19</v>
      </c>
      <c r="M123" s="246"/>
      <c r="N123" s="246">
        <v>1.2555898E7</v>
      </c>
    </row>
    <row r="124" ht="15.75" customHeight="1">
      <c r="A124" s="252">
        <v>2026.0</v>
      </c>
      <c r="B124" s="248">
        <v>6.0</v>
      </c>
      <c r="C124" s="249">
        <v>46197.54547453704</v>
      </c>
      <c r="D124" s="250"/>
      <c r="E124" s="250"/>
      <c r="F124" s="255" t="s">
        <v>2532</v>
      </c>
      <c r="G124" s="243"/>
      <c r="H124" s="253"/>
      <c r="I124" s="252">
        <v>1.0</v>
      </c>
      <c r="J124" s="243" t="s">
        <v>2510</v>
      </c>
      <c r="K124" s="244">
        <v>80.0</v>
      </c>
      <c r="L124" s="257">
        <f>VLOOKUP(F124,'PRODUCT_COGS&amp;PRICE'!A:E,5,FALSE)</f>
        <v>19</v>
      </c>
      <c r="M124" s="246"/>
      <c r="N124" s="246">
        <v>1.2558289E7</v>
      </c>
    </row>
    <row r="125" ht="15.75" customHeight="1">
      <c r="A125" s="252">
        <v>2026.0</v>
      </c>
      <c r="B125" s="248">
        <v>6.0</v>
      </c>
      <c r="C125" s="249">
        <v>46197.54547453704</v>
      </c>
      <c r="D125" s="250"/>
      <c r="E125" s="250"/>
      <c r="F125" s="255" t="s">
        <v>2541</v>
      </c>
      <c r="G125" s="243"/>
      <c r="H125" s="253"/>
      <c r="I125" s="248">
        <v>0.0</v>
      </c>
      <c r="J125" s="243" t="s">
        <v>2510</v>
      </c>
      <c r="K125" s="244">
        <v>0.0</v>
      </c>
      <c r="L125" s="257">
        <v>0.0</v>
      </c>
      <c r="M125" s="246"/>
      <c r="N125" s="246">
        <v>1.2558289E7</v>
      </c>
    </row>
    <row r="126" ht="15.75" customHeight="1">
      <c r="A126" s="252">
        <v>2026.0</v>
      </c>
      <c r="B126" s="248">
        <v>6.0</v>
      </c>
      <c r="C126" s="249">
        <v>46197.54547453704</v>
      </c>
      <c r="D126" s="250"/>
      <c r="E126" s="250"/>
      <c r="F126" s="255" t="s">
        <v>2541</v>
      </c>
      <c r="G126" s="243"/>
      <c r="H126" s="253"/>
      <c r="I126" s="248">
        <v>0.0</v>
      </c>
      <c r="J126" s="243" t="s">
        <v>2510</v>
      </c>
      <c r="K126" s="244">
        <v>0.0</v>
      </c>
      <c r="L126" s="257">
        <v>0.0</v>
      </c>
      <c r="M126" s="246"/>
      <c r="N126" s="246">
        <v>1.2558289E7</v>
      </c>
    </row>
    <row r="127" ht="15.75" customHeight="1">
      <c r="A127" s="252">
        <v>2026.0</v>
      </c>
      <c r="B127" s="248">
        <v>6.0</v>
      </c>
      <c r="C127" s="249">
        <v>46197.57336805556</v>
      </c>
      <c r="D127" s="250"/>
      <c r="E127" s="250"/>
      <c r="F127" s="255" t="s">
        <v>387</v>
      </c>
      <c r="G127" s="243"/>
      <c r="H127" s="253"/>
      <c r="I127" s="252">
        <v>1.0</v>
      </c>
      <c r="J127" s="243" t="s">
        <v>2510</v>
      </c>
      <c r="K127" s="244">
        <v>90.0</v>
      </c>
      <c r="L127" s="257">
        <f>VLOOKUP(F127,'PRODUCT_COGS&amp;PRICE'!A:E,5,FALSE)</f>
        <v>16.5</v>
      </c>
      <c r="M127" s="246"/>
      <c r="N127" s="246">
        <v>1.2559096E7</v>
      </c>
    </row>
    <row r="128" ht="15.75" customHeight="1">
      <c r="A128" s="252">
        <v>2026.0</v>
      </c>
      <c r="B128" s="248">
        <v>6.0</v>
      </c>
      <c r="C128" s="249">
        <v>46198.467094907406</v>
      </c>
      <c r="D128" s="250"/>
      <c r="E128" s="250"/>
      <c r="F128" s="255" t="s">
        <v>478</v>
      </c>
      <c r="G128" s="243"/>
      <c r="H128" s="253"/>
      <c r="I128" s="252">
        <v>1.0</v>
      </c>
      <c r="J128" s="243" t="s">
        <v>2510</v>
      </c>
      <c r="K128" s="244">
        <v>40.5</v>
      </c>
      <c r="L128" s="257">
        <f>VLOOKUP(F128,'PRODUCT_COGS&amp;PRICE'!A:E,5,FALSE)</f>
        <v>10.24</v>
      </c>
      <c r="M128" s="246"/>
      <c r="N128" s="246">
        <v>1.2587076E7</v>
      </c>
    </row>
    <row r="129" ht="15.75" customHeight="1">
      <c r="A129" s="252">
        <v>2026.0</v>
      </c>
      <c r="B129" s="248">
        <v>6.0</v>
      </c>
      <c r="C129" s="249">
        <v>46198.467094907406</v>
      </c>
      <c r="D129" s="250"/>
      <c r="E129" s="250"/>
      <c r="F129" s="255" t="s">
        <v>314</v>
      </c>
      <c r="G129" s="243"/>
      <c r="H129" s="253"/>
      <c r="I129" s="252">
        <v>1.0</v>
      </c>
      <c r="J129" s="243" t="s">
        <v>2510</v>
      </c>
      <c r="K129" s="244">
        <v>45.0</v>
      </c>
      <c r="L129" s="257">
        <f>VLOOKUP(F129,'PRODUCT_COGS&amp;PRICE'!A:E,5,FALSE)</f>
        <v>10.71</v>
      </c>
      <c r="M129" s="246"/>
      <c r="N129" s="246">
        <v>1.2587076E7</v>
      </c>
    </row>
    <row r="130" ht="15.75" customHeight="1">
      <c r="A130" s="252">
        <v>2026.0</v>
      </c>
      <c r="B130" s="248">
        <v>6.0</v>
      </c>
      <c r="C130" s="249">
        <v>46198.47144675926</v>
      </c>
      <c r="D130" s="250"/>
      <c r="E130" s="250"/>
      <c r="F130" s="255" t="s">
        <v>300</v>
      </c>
      <c r="G130" s="243"/>
      <c r="H130" s="253"/>
      <c r="I130" s="252">
        <v>1.0</v>
      </c>
      <c r="J130" s="243" t="s">
        <v>2510</v>
      </c>
      <c r="K130" s="244">
        <v>108.0</v>
      </c>
      <c r="L130" s="257">
        <f>VLOOKUP(F130,'PRODUCT_COGS&amp;PRICE'!A:E,5,FALSE)</f>
        <v>20</v>
      </c>
      <c r="M130" s="246"/>
      <c r="N130" s="246">
        <v>1.2587415E7</v>
      </c>
    </row>
    <row r="131" ht="15.75" customHeight="1">
      <c r="A131" s="252">
        <v>2026.0</v>
      </c>
      <c r="B131" s="248">
        <v>6.0</v>
      </c>
      <c r="C131" s="249">
        <v>46198.66439814815</v>
      </c>
      <c r="D131" s="250"/>
      <c r="E131" s="250"/>
      <c r="F131" s="255" t="s">
        <v>295</v>
      </c>
      <c r="G131" s="243"/>
      <c r="H131" s="253"/>
      <c r="I131" s="252">
        <v>1.0</v>
      </c>
      <c r="J131" s="243" t="s">
        <v>2510</v>
      </c>
      <c r="K131" s="244">
        <v>120.0</v>
      </c>
      <c r="L131" s="257">
        <f>VLOOKUP(F131,'PRODUCT_COGS&amp;PRICE'!A:E,5,FALSE)</f>
        <v>26</v>
      </c>
      <c r="M131" s="246"/>
      <c r="N131" s="246">
        <v>1.2593768E7</v>
      </c>
    </row>
    <row r="132" ht="15.75" customHeight="1">
      <c r="A132" s="252">
        <v>2026.0</v>
      </c>
      <c r="B132" s="248">
        <v>6.0</v>
      </c>
      <c r="C132" s="249">
        <v>46198.69112268518</v>
      </c>
      <c r="D132" s="250"/>
      <c r="E132" s="250"/>
      <c r="F132" s="255" t="s">
        <v>219</v>
      </c>
      <c r="G132" s="243"/>
      <c r="H132" s="253"/>
      <c r="I132" s="252">
        <v>1.0</v>
      </c>
      <c r="J132" s="243" t="s">
        <v>2510</v>
      </c>
      <c r="K132" s="244">
        <v>50.0</v>
      </c>
      <c r="L132" s="257">
        <f>VLOOKUP(F132,'PRODUCT_COGS&amp;PRICE'!A:E,5,FALSE)</f>
        <v>4</v>
      </c>
      <c r="M132" s="246"/>
      <c r="N132" s="246">
        <v>1.2594538E7</v>
      </c>
    </row>
    <row r="133" ht="15.75" customHeight="1">
      <c r="A133" s="252">
        <v>2026.0</v>
      </c>
      <c r="B133" s="248">
        <v>6.0</v>
      </c>
      <c r="C133" s="249">
        <v>46198.69112268518</v>
      </c>
      <c r="D133" s="250"/>
      <c r="E133" s="250"/>
      <c r="F133" s="255" t="s">
        <v>383</v>
      </c>
      <c r="G133" s="243"/>
      <c r="H133" s="253"/>
      <c r="I133" s="252">
        <v>1.0</v>
      </c>
      <c r="J133" s="243" t="s">
        <v>2510</v>
      </c>
      <c r="K133" s="244">
        <v>80.0</v>
      </c>
      <c r="L133" s="257">
        <f>VLOOKUP(F133,'PRODUCT_COGS&amp;PRICE'!A:E,5,FALSE)</f>
        <v>19</v>
      </c>
      <c r="M133" s="246"/>
      <c r="N133" s="246">
        <v>1.2594538E7</v>
      </c>
    </row>
    <row r="134" ht="15.75" customHeight="1">
      <c r="A134" s="252">
        <v>2026.0</v>
      </c>
      <c r="B134" s="248">
        <v>6.0</v>
      </c>
      <c r="C134" s="249">
        <v>46199.41930555555</v>
      </c>
      <c r="D134" s="250"/>
      <c r="E134" s="250"/>
      <c r="F134" s="255" t="s">
        <v>389</v>
      </c>
      <c r="G134" s="243"/>
      <c r="H134" s="253"/>
      <c r="I134" s="252">
        <v>1.0</v>
      </c>
      <c r="J134" s="243" t="s">
        <v>2510</v>
      </c>
      <c r="K134" s="244">
        <v>90.0</v>
      </c>
      <c r="L134" s="257">
        <f>VLOOKUP(F134,'PRODUCT_COGS&amp;PRICE'!A:E,5,FALSE)</f>
        <v>16.5</v>
      </c>
      <c r="M134" s="246"/>
      <c r="N134" s="246">
        <v>1.2621709E7</v>
      </c>
    </row>
    <row r="135" ht="15.75" customHeight="1">
      <c r="A135" s="252">
        <v>2026.0</v>
      </c>
      <c r="B135" s="248">
        <v>6.0</v>
      </c>
      <c r="C135" s="249">
        <v>46199.483715277776</v>
      </c>
      <c r="D135" s="250"/>
      <c r="E135" s="250"/>
      <c r="F135" s="255" t="s">
        <v>256</v>
      </c>
      <c r="G135" s="243"/>
      <c r="H135" s="253"/>
      <c r="I135" s="252">
        <v>1.0</v>
      </c>
      <c r="J135" s="243" t="s">
        <v>2510</v>
      </c>
      <c r="K135" s="244">
        <v>90.0</v>
      </c>
      <c r="L135" s="257">
        <f>VLOOKUP(F135,'PRODUCT_COGS&amp;PRICE'!A:E,5,FALSE)</f>
        <v>16.5</v>
      </c>
      <c r="M135" s="246"/>
      <c r="N135" s="246">
        <v>1.2624488E7</v>
      </c>
    </row>
    <row r="136" ht="15.75" customHeight="1">
      <c r="A136" s="252">
        <v>2026.0</v>
      </c>
      <c r="B136" s="248">
        <v>6.0</v>
      </c>
      <c r="C136" s="249">
        <v>46199.70505787037</v>
      </c>
      <c r="D136" s="250"/>
      <c r="E136" s="250"/>
      <c r="F136" s="255" t="s">
        <v>161</v>
      </c>
      <c r="G136" s="243"/>
      <c r="H136" s="253"/>
      <c r="I136" s="252">
        <v>1.0</v>
      </c>
      <c r="J136" s="243" t="s">
        <v>2510</v>
      </c>
      <c r="K136" s="244">
        <v>120.0</v>
      </c>
      <c r="L136" s="257">
        <f>VLOOKUP(F136,'PRODUCT_COGS&amp;PRICE'!A:E,5,FALSE)</f>
        <v>30.33</v>
      </c>
      <c r="M136" s="246"/>
      <c r="N136" s="246">
        <v>1.263079E7</v>
      </c>
    </row>
    <row r="137" ht="15.75" customHeight="1">
      <c r="A137" s="252">
        <v>2026.0</v>
      </c>
      <c r="B137" s="248">
        <v>6.0</v>
      </c>
      <c r="C137" s="249">
        <v>46199.71166666667</v>
      </c>
      <c r="D137" s="250"/>
      <c r="E137" s="250"/>
      <c r="F137" s="255" t="s">
        <v>181</v>
      </c>
      <c r="G137" s="243"/>
      <c r="H137" s="253"/>
      <c r="I137" s="252">
        <v>1.0</v>
      </c>
      <c r="J137" s="243" t="s">
        <v>2510</v>
      </c>
      <c r="K137" s="244">
        <v>150.0</v>
      </c>
      <c r="L137" s="257">
        <f>VLOOKUP(F137,'PRODUCT_COGS&amp;PRICE'!A:E,5,FALSE)</f>
        <v>30.33</v>
      </c>
      <c r="M137" s="246"/>
      <c r="N137" s="246">
        <v>1.2631136E7</v>
      </c>
    </row>
    <row r="138" ht="15.75" customHeight="1">
      <c r="A138" s="252">
        <v>2026.0</v>
      </c>
      <c r="B138" s="248">
        <v>6.0</v>
      </c>
      <c r="C138" s="249">
        <v>46200.41372685185</v>
      </c>
      <c r="D138" s="250"/>
      <c r="E138" s="250"/>
      <c r="F138" s="255" t="s">
        <v>760</v>
      </c>
      <c r="G138" s="243"/>
      <c r="H138" s="253"/>
      <c r="I138" s="252">
        <v>1.0</v>
      </c>
      <c r="J138" s="243" t="s">
        <v>2510</v>
      </c>
      <c r="K138" s="244">
        <v>18.0</v>
      </c>
      <c r="L138" s="257">
        <f>VLOOKUP(F138,'PRODUCT_COGS&amp;PRICE'!A:E,5,FALSE)</f>
        <v>2.89</v>
      </c>
      <c r="M138" s="246"/>
      <c r="N138" s="246">
        <v>1.2666079E7</v>
      </c>
    </row>
    <row r="139" ht="15.75" customHeight="1">
      <c r="A139" s="252">
        <v>2026.0</v>
      </c>
      <c r="B139" s="248">
        <v>6.0</v>
      </c>
      <c r="C139" s="249">
        <v>46201.42471064815</v>
      </c>
      <c r="D139" s="250"/>
      <c r="E139" s="250"/>
      <c r="F139" s="255" t="s">
        <v>2029</v>
      </c>
      <c r="G139" s="243"/>
      <c r="H139" s="253"/>
      <c r="I139" s="252">
        <v>1.0</v>
      </c>
      <c r="J139" s="243" t="s">
        <v>2510</v>
      </c>
      <c r="K139" s="244">
        <v>90.0</v>
      </c>
      <c r="L139" s="257">
        <f>VLOOKUP(F139,'PRODUCT_COGS&amp;PRICE'!A:E,5,FALSE)</f>
        <v>16.5</v>
      </c>
      <c r="M139" s="246"/>
      <c r="N139" s="246">
        <v>1.2739253E7</v>
      </c>
    </row>
    <row r="140" ht="15.75" customHeight="1">
      <c r="A140" s="252">
        <v>2026.0</v>
      </c>
      <c r="B140" s="248">
        <v>6.0</v>
      </c>
      <c r="C140" s="249">
        <v>46201.63957175926</v>
      </c>
      <c r="D140" s="250"/>
      <c r="E140" s="250"/>
      <c r="F140" s="255" t="s">
        <v>389</v>
      </c>
      <c r="G140" s="243"/>
      <c r="H140" s="253"/>
      <c r="I140" s="252">
        <v>1.0</v>
      </c>
      <c r="J140" s="243" t="s">
        <v>2510</v>
      </c>
      <c r="K140" s="244">
        <v>90.0</v>
      </c>
      <c r="L140" s="257">
        <f>VLOOKUP(F140,'PRODUCT_COGS&amp;PRICE'!A:E,5,FALSE)</f>
        <v>16.5</v>
      </c>
      <c r="M140" s="246"/>
      <c r="N140" s="246">
        <v>1.2750008E7</v>
      </c>
    </row>
    <row r="141" ht="15.75" customHeight="1">
      <c r="A141" s="252">
        <v>2026.0</v>
      </c>
      <c r="B141" s="248">
        <v>6.0</v>
      </c>
      <c r="C141" s="249">
        <v>46202.47633101852</v>
      </c>
      <c r="D141" s="250"/>
      <c r="E141" s="250"/>
      <c r="F141" s="255" t="s">
        <v>599</v>
      </c>
      <c r="G141" s="243"/>
      <c r="H141" s="253"/>
      <c r="I141" s="252">
        <v>1.0</v>
      </c>
      <c r="J141" s="243" t="s">
        <v>2510</v>
      </c>
      <c r="K141" s="244">
        <v>108.0</v>
      </c>
      <c r="L141" s="257">
        <f>VLOOKUP(F141,'PRODUCT_COGS&amp;PRICE'!A:E,5,FALSE)</f>
        <v>26</v>
      </c>
      <c r="M141" s="246"/>
      <c r="N141" s="246">
        <v>1.2779442E7</v>
      </c>
    </row>
    <row r="142" ht="15.75" customHeight="1">
      <c r="A142" s="252">
        <v>2026.0</v>
      </c>
      <c r="B142" s="248">
        <v>6.0</v>
      </c>
      <c r="C142" s="249">
        <v>46197.47854166667</v>
      </c>
      <c r="D142" s="250"/>
      <c r="E142" s="250"/>
      <c r="F142" s="255" t="s">
        <v>2542</v>
      </c>
      <c r="G142" s="243"/>
      <c r="H142" s="253"/>
      <c r="I142" s="252">
        <v>0.0</v>
      </c>
      <c r="J142" s="243" t="s">
        <v>2510</v>
      </c>
      <c r="K142" s="244">
        <v>0.0</v>
      </c>
      <c r="L142" s="257">
        <v>0.0</v>
      </c>
      <c r="M142" s="246"/>
      <c r="N142" s="246">
        <v>1.2555078E7</v>
      </c>
    </row>
    <row r="143" ht="15.75" customHeight="1">
      <c r="A143" s="252">
        <v>2026.0</v>
      </c>
      <c r="B143" s="248">
        <v>6.0</v>
      </c>
      <c r="C143" s="249">
        <v>46203.39052083333</v>
      </c>
      <c r="D143" s="250"/>
      <c r="E143" s="250"/>
      <c r="F143" s="255" t="s">
        <v>310</v>
      </c>
      <c r="G143" s="243"/>
      <c r="H143" s="253"/>
      <c r="I143" s="252">
        <v>1.0</v>
      </c>
      <c r="J143" s="243" t="s">
        <v>2511</v>
      </c>
      <c r="K143" s="244">
        <v>45.0</v>
      </c>
      <c r="L143" s="257"/>
      <c r="M143" s="246"/>
      <c r="N143" s="246">
        <v>1.2798369E7</v>
      </c>
    </row>
    <row r="144" ht="15.75" customHeight="1">
      <c r="A144" s="252">
        <v>2026.0</v>
      </c>
      <c r="B144" s="248">
        <v>7.0</v>
      </c>
      <c r="C144" s="249">
        <v>46203.70212962963</v>
      </c>
      <c r="D144" s="250"/>
      <c r="E144" s="250"/>
      <c r="F144" s="255" t="s">
        <v>302</v>
      </c>
      <c r="G144" s="243"/>
      <c r="H144" s="253"/>
      <c r="I144" s="252">
        <v>1.0</v>
      </c>
      <c r="J144" s="243" t="s">
        <v>2510</v>
      </c>
      <c r="K144" s="244">
        <v>72.0</v>
      </c>
      <c r="L144" s="257"/>
      <c r="M144" s="246"/>
      <c r="N144" s="246">
        <v>1.2808152E7</v>
      </c>
    </row>
    <row r="145" ht="15.75" customHeight="1">
      <c r="A145" s="252">
        <v>2026.0</v>
      </c>
      <c r="B145" s="248">
        <v>7.0</v>
      </c>
      <c r="C145" s="249">
        <v>46203.72217592593</v>
      </c>
      <c r="D145" s="250"/>
      <c r="E145" s="250"/>
      <c r="F145" s="255" t="s">
        <v>49</v>
      </c>
      <c r="G145" s="243"/>
      <c r="H145" s="253"/>
      <c r="I145" s="252">
        <v>1.0</v>
      </c>
      <c r="J145" s="243" t="s">
        <v>2510</v>
      </c>
      <c r="K145" s="244">
        <v>45.0</v>
      </c>
      <c r="L145" s="257"/>
      <c r="M145" s="246"/>
      <c r="N145" s="246">
        <v>1.2809141E7</v>
      </c>
    </row>
    <row r="146" ht="15.75" customHeight="1">
      <c r="A146" s="252">
        <v>2026.0</v>
      </c>
      <c r="B146" s="248">
        <v>7.0</v>
      </c>
      <c r="C146" s="249">
        <v>46203.7275462963</v>
      </c>
      <c r="D146" s="250"/>
      <c r="E146" s="250"/>
      <c r="F146" s="255" t="s">
        <v>256</v>
      </c>
      <c r="G146" s="243"/>
      <c r="H146" s="253"/>
      <c r="I146" s="252">
        <v>1.0</v>
      </c>
      <c r="J146" s="243" t="s">
        <v>2510</v>
      </c>
      <c r="K146" s="244">
        <v>90.0</v>
      </c>
      <c r="L146" s="257"/>
      <c r="M146" s="246"/>
      <c r="N146" s="246">
        <v>1.2809478E7</v>
      </c>
    </row>
    <row r="147" ht="15.75" customHeight="1">
      <c r="A147" s="252">
        <v>2026.0</v>
      </c>
      <c r="B147" s="248">
        <v>7.0</v>
      </c>
      <c r="C147" s="249">
        <v>46204.69391203704</v>
      </c>
      <c r="D147" s="250"/>
      <c r="E147" s="250"/>
      <c r="F147" s="255" t="s">
        <v>210</v>
      </c>
      <c r="G147" s="243"/>
      <c r="H147" s="253"/>
      <c r="I147" s="252">
        <v>1.0</v>
      </c>
      <c r="J147" s="243" t="s">
        <v>2510</v>
      </c>
      <c r="K147" s="244">
        <v>175.0</v>
      </c>
      <c r="L147" s="257"/>
      <c r="M147" s="246"/>
      <c r="N147" s="246">
        <v>1.2837287E7</v>
      </c>
    </row>
    <row r="148" ht="15.75" customHeight="1">
      <c r="A148" s="252">
        <v>2026.0</v>
      </c>
      <c r="B148" s="248">
        <v>7.0</v>
      </c>
      <c r="C148" s="249">
        <v>46204.70351851852</v>
      </c>
      <c r="D148" s="250"/>
      <c r="E148" s="250"/>
      <c r="F148" s="255" t="s">
        <v>256</v>
      </c>
      <c r="G148" s="243"/>
      <c r="H148" s="253"/>
      <c r="I148" s="252">
        <v>1.0</v>
      </c>
      <c r="J148" s="243" t="s">
        <v>2510</v>
      </c>
      <c r="K148" s="244">
        <v>90.0</v>
      </c>
      <c r="L148" s="257"/>
      <c r="M148" s="246"/>
      <c r="N148" s="246">
        <v>1.2837681E7</v>
      </c>
    </row>
    <row r="149" ht="15.75" customHeight="1">
      <c r="A149" s="252">
        <v>2026.0</v>
      </c>
      <c r="B149" s="248">
        <v>7.0</v>
      </c>
      <c r="C149" s="249">
        <v>46205.69554398148</v>
      </c>
      <c r="D149" s="250"/>
      <c r="E149" s="250"/>
      <c r="F149" s="255" t="s">
        <v>250</v>
      </c>
      <c r="G149" s="243"/>
      <c r="H149" s="253"/>
      <c r="I149" s="252">
        <v>1.0</v>
      </c>
      <c r="J149" s="243" t="s">
        <v>2510</v>
      </c>
      <c r="K149" s="244">
        <v>175.0</v>
      </c>
      <c r="L149" s="257"/>
      <c r="M149" s="246"/>
      <c r="N149" s="246">
        <v>1.2866146E7</v>
      </c>
    </row>
    <row r="150" ht="15.75" customHeight="1">
      <c r="A150" s="252">
        <v>2026.0</v>
      </c>
      <c r="B150" s="248">
        <v>7.0</v>
      </c>
      <c r="C150" s="249">
        <v>46205.69589120371</v>
      </c>
      <c r="D150" s="250"/>
      <c r="E150" s="250"/>
      <c r="F150" s="255" t="s">
        <v>323</v>
      </c>
      <c r="G150" s="243"/>
      <c r="H150" s="253"/>
      <c r="I150" s="252">
        <v>1.0</v>
      </c>
      <c r="J150" s="243" t="s">
        <v>2510</v>
      </c>
      <c r="K150" s="244">
        <v>70.0</v>
      </c>
      <c r="L150" s="257"/>
      <c r="M150" s="246"/>
      <c r="N150" s="246">
        <v>1.286616E7</v>
      </c>
    </row>
    <row r="151" ht="15.75" customHeight="1">
      <c r="A151" s="252">
        <v>2026.0</v>
      </c>
      <c r="B151" s="248">
        <v>7.0</v>
      </c>
      <c r="C151" s="249">
        <v>46205.725370370375</v>
      </c>
      <c r="D151" s="250"/>
      <c r="E151" s="250"/>
      <c r="F151" s="255" t="s">
        <v>2543</v>
      </c>
      <c r="G151" s="243"/>
      <c r="H151" s="253"/>
      <c r="I151" s="252">
        <v>1.0</v>
      </c>
      <c r="J151" s="243" t="s">
        <v>2510</v>
      </c>
      <c r="K151" s="244">
        <v>90.0</v>
      </c>
      <c r="L151" s="257"/>
      <c r="M151" s="246"/>
      <c r="N151" s="246">
        <v>1.2867915E7</v>
      </c>
    </row>
  </sheetData>
  <dataValidations>
    <dataValidation type="list" allowBlank="1" showErrorMessage="1" sqref="G2:G151">
      <formula1>#REF!</formula1>
    </dataValidation>
    <dataValidation type="custom" allowBlank="1" showDropDown="1" sqref="C2:C151">
      <formula1>OR(NOT(ISERROR(DATEVALUE(C2))), AND(ISNUMBER(C2), LEFT(CELL("format", C2))="D"))</formula1>
    </dataValidation>
    <dataValidation type="custom" allowBlank="1" showDropDown="1" sqref="K2:L151">
      <formula1>AND(ISNUMBER(K2),(NOT(OR(NOT(ISERROR(DATEVALUE(K2))), AND(ISNUMBER(K2), LEFT(CELL("format", K2))="D")))))</formula1>
    </dataValidation>
    <dataValidation type="list" allowBlank="1" sqref="H2:H151 J2:J151">
      <formula1>#REF!</formula1>
    </dataValidation>
  </dataValidations>
  <printOptions/>
  <pageMargins bottom="0.75" footer="0.0" header="0.0" left="0.7" right="0.7" top="0.75"/>
  <pageSetup paperSize="9" orientation="portrait"/>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25"/>
    <col customWidth="1" min="2" max="2" width="11.5"/>
    <col customWidth="1" min="3" max="3" width="13.5"/>
    <col customWidth="1" min="4" max="5" width="23.0"/>
    <col customWidth="1" min="6" max="6" width="37.63"/>
    <col customWidth="1" min="7" max="7" width="15.13"/>
    <col customWidth="1" min="8" max="8" width="25.5"/>
    <col customWidth="1" min="9" max="9" width="16.0"/>
    <col customWidth="1" min="10" max="10" width="15.0"/>
    <col customWidth="1" min="12" max="12" width="31.0"/>
    <col customWidth="1" min="13" max="13" width="32.38"/>
    <col customWidth="1" min="14" max="14" width="15.25"/>
  </cols>
  <sheetData>
    <row r="1" ht="30.0" customHeight="1">
      <c r="A1" s="258" t="s">
        <v>2544</v>
      </c>
      <c r="B1" s="258" t="s">
        <v>1596</v>
      </c>
      <c r="C1" s="258" t="s">
        <v>2502</v>
      </c>
      <c r="D1" s="258" t="s">
        <v>11</v>
      </c>
      <c r="E1" s="258" t="s">
        <v>2503</v>
      </c>
      <c r="F1" s="259" t="s">
        <v>172</v>
      </c>
      <c r="G1" s="258" t="s">
        <v>33</v>
      </c>
      <c r="H1" s="258" t="s">
        <v>2506</v>
      </c>
      <c r="I1" s="259" t="s">
        <v>2507</v>
      </c>
      <c r="J1" s="260" t="s">
        <v>42</v>
      </c>
      <c r="K1" s="261" t="s">
        <v>2545</v>
      </c>
      <c r="L1" s="258" t="s">
        <v>2504</v>
      </c>
      <c r="M1" s="258" t="s">
        <v>2505</v>
      </c>
      <c r="N1" s="262" t="s">
        <v>2546</v>
      </c>
      <c r="O1" s="263"/>
      <c r="P1" s="263"/>
      <c r="Q1" s="263"/>
      <c r="R1" s="263"/>
    </row>
    <row r="2" ht="15.75" customHeight="1">
      <c r="A2" s="237">
        <v>2026.0</v>
      </c>
      <c r="B2" s="237">
        <v>1.0</v>
      </c>
      <c r="C2" s="239">
        <v>46035.0</v>
      </c>
      <c r="D2" s="240" t="s">
        <v>2547</v>
      </c>
      <c r="E2" s="240" t="s">
        <v>2548</v>
      </c>
      <c r="F2" s="264" t="s">
        <v>1997</v>
      </c>
      <c r="G2" s="237">
        <v>1.0</v>
      </c>
      <c r="H2" s="265" t="s">
        <v>2549</v>
      </c>
      <c r="I2" s="266"/>
      <c r="J2" s="266">
        <f t="array" ref="J2:J132">IF(
    F2:F132="",
    "",
    XLOOKUP(F2:F132, 'PRODUCT_COGS&amp;PRICE'!A:A,'PRODUCT_COGS&amp;PRICE'!E:E, "")
  )</f>
        <v>13.5</v>
      </c>
      <c r="K2" s="267"/>
      <c r="L2" s="268" t="str">
        <f t="array" ref="L2:L132">IF(
    F2:F132="",
    "",
    XLOOKUP(F2:F132, PRODUCT_MAP!B:B, PRODUCT_MAP!C:C, "")
  )</f>
        <v/>
      </c>
      <c r="M2" s="269" t="str">
        <f t="array" ref="M2:M132">IF(
    F2:F132="",
    "",
    XLOOKUP(F2:F132, PRODUCT_MAP!B:B, PRODUCT_MAP!E:E, "")
  )</f>
        <v/>
      </c>
      <c r="N2" s="270">
        <v>1.0</v>
      </c>
      <c r="O2" s="198"/>
      <c r="P2" s="198"/>
      <c r="Q2" s="198"/>
      <c r="R2" s="198"/>
    </row>
    <row r="3" ht="15.75" customHeight="1">
      <c r="A3" s="237">
        <v>2026.0</v>
      </c>
      <c r="B3" s="237">
        <v>1.0</v>
      </c>
      <c r="C3" s="239">
        <v>46035.0</v>
      </c>
      <c r="D3" s="247" t="s">
        <v>2550</v>
      </c>
      <c r="E3" s="247" t="s">
        <v>2551</v>
      </c>
      <c r="F3" s="271" t="s">
        <v>1997</v>
      </c>
      <c r="G3" s="237">
        <v>1.0</v>
      </c>
      <c r="H3" s="272" t="s">
        <v>2549</v>
      </c>
      <c r="I3" s="266">
        <v>120.0</v>
      </c>
      <c r="J3" s="273">
        <v>13.5</v>
      </c>
      <c r="K3" s="267"/>
      <c r="L3" s="268"/>
      <c r="M3" s="269"/>
      <c r="N3" s="274">
        <v>2.0</v>
      </c>
      <c r="O3" s="198"/>
      <c r="P3" s="198"/>
      <c r="Q3" s="198"/>
      <c r="R3" s="198"/>
    </row>
    <row r="4" ht="15.75" customHeight="1">
      <c r="A4" s="237">
        <v>2026.0</v>
      </c>
      <c r="B4" s="237">
        <v>1.0</v>
      </c>
      <c r="C4" s="239">
        <v>46035.0</v>
      </c>
      <c r="D4" s="247" t="s">
        <v>2547</v>
      </c>
      <c r="E4" s="247" t="s">
        <v>2548</v>
      </c>
      <c r="F4" s="271" t="s">
        <v>1996</v>
      </c>
      <c r="G4" s="238">
        <v>1.0</v>
      </c>
      <c r="H4" s="272" t="s">
        <v>2549</v>
      </c>
      <c r="I4" s="266">
        <v>120.0</v>
      </c>
      <c r="J4" s="273">
        <v>35.0</v>
      </c>
      <c r="K4" s="267"/>
      <c r="L4" s="271" t="s">
        <v>2552</v>
      </c>
      <c r="M4" s="269"/>
      <c r="N4" s="270">
        <v>3.0</v>
      </c>
      <c r="O4" s="198"/>
      <c r="P4" s="198"/>
      <c r="Q4" s="198"/>
      <c r="R4" s="198"/>
    </row>
    <row r="5" ht="15.75" customHeight="1">
      <c r="A5" s="237">
        <v>2026.0</v>
      </c>
      <c r="B5" s="237">
        <v>1.0</v>
      </c>
      <c r="C5" s="239">
        <v>46035.0</v>
      </c>
      <c r="D5" s="247" t="s">
        <v>2550</v>
      </c>
      <c r="E5" s="247" t="s">
        <v>2551</v>
      </c>
      <c r="F5" s="271" t="s">
        <v>1996</v>
      </c>
      <c r="G5" s="237">
        <v>1.0</v>
      </c>
      <c r="H5" s="272" t="s">
        <v>2549</v>
      </c>
      <c r="I5" s="266"/>
      <c r="J5" s="273">
        <v>35.0</v>
      </c>
      <c r="K5" s="267"/>
      <c r="L5" s="271" t="s">
        <v>2552</v>
      </c>
      <c r="M5" s="269"/>
      <c r="N5" s="274">
        <v>4.0</v>
      </c>
      <c r="O5" s="198"/>
      <c r="P5" s="198"/>
      <c r="Q5" s="198"/>
      <c r="R5" s="198"/>
    </row>
    <row r="6" ht="15.75" customHeight="1">
      <c r="A6" s="237">
        <v>2026.0</v>
      </c>
      <c r="B6" s="237">
        <v>1.0</v>
      </c>
      <c r="C6" s="239">
        <v>46035.0</v>
      </c>
      <c r="D6" s="247" t="s">
        <v>2553</v>
      </c>
      <c r="E6" s="247" t="s">
        <v>2554</v>
      </c>
      <c r="F6" s="275" t="s">
        <v>210</v>
      </c>
      <c r="G6" s="237">
        <v>1.0</v>
      </c>
      <c r="H6" s="272" t="s">
        <v>2549</v>
      </c>
      <c r="I6" s="266">
        <v>144.0</v>
      </c>
      <c r="J6" s="273">
        <v>52.5</v>
      </c>
      <c r="K6" s="267"/>
      <c r="L6" s="271" t="s">
        <v>208</v>
      </c>
      <c r="M6" s="269" t="s">
        <v>2555</v>
      </c>
      <c r="N6" s="270">
        <v>5.0</v>
      </c>
      <c r="O6" s="198"/>
      <c r="P6" s="198"/>
      <c r="Q6" s="198"/>
      <c r="R6" s="198"/>
    </row>
    <row r="7" ht="15.75" customHeight="1">
      <c r="A7" s="237">
        <v>2026.0</v>
      </c>
      <c r="B7" s="237">
        <v>1.0</v>
      </c>
      <c r="C7" s="239">
        <v>46035.0</v>
      </c>
      <c r="D7" s="247" t="s">
        <v>2556</v>
      </c>
      <c r="E7" s="247" t="s">
        <v>2557</v>
      </c>
      <c r="F7" s="275" t="s">
        <v>210</v>
      </c>
      <c r="G7" s="237">
        <v>1.0</v>
      </c>
      <c r="H7" s="272" t="s">
        <v>2558</v>
      </c>
      <c r="I7" s="266">
        <v>140.0</v>
      </c>
      <c r="J7" s="273">
        <v>52.5</v>
      </c>
      <c r="K7" s="267"/>
      <c r="L7" s="271" t="s">
        <v>208</v>
      </c>
      <c r="M7" s="269" t="s">
        <v>2555</v>
      </c>
      <c r="N7" s="274">
        <v>6.0</v>
      </c>
      <c r="O7" s="198"/>
      <c r="P7" s="198"/>
      <c r="Q7" s="198"/>
      <c r="R7" s="198"/>
    </row>
    <row r="8" ht="15.75" customHeight="1">
      <c r="A8" s="237">
        <v>2026.0</v>
      </c>
      <c r="B8" s="237">
        <v>2.0</v>
      </c>
      <c r="C8" s="239">
        <v>46063.0</v>
      </c>
      <c r="D8" s="247" t="s">
        <v>2550</v>
      </c>
      <c r="E8" s="247" t="s">
        <v>2559</v>
      </c>
      <c r="F8" s="276" t="s">
        <v>2009</v>
      </c>
      <c r="G8" s="237">
        <v>1.0</v>
      </c>
      <c r="H8" s="272" t="s">
        <v>2558</v>
      </c>
      <c r="I8" s="266">
        <v>64.0</v>
      </c>
      <c r="J8" s="273">
        <v>23.0</v>
      </c>
      <c r="K8" s="267"/>
      <c r="L8" s="271" t="s">
        <v>269</v>
      </c>
      <c r="M8" s="269" t="s">
        <v>2560</v>
      </c>
      <c r="N8" s="270">
        <v>7.0</v>
      </c>
      <c r="O8" s="198"/>
      <c r="P8" s="198"/>
      <c r="Q8" s="198"/>
      <c r="R8" s="198"/>
    </row>
    <row r="9" ht="15.75" customHeight="1">
      <c r="A9" s="237">
        <v>2026.0</v>
      </c>
      <c r="B9" s="237">
        <v>2.0</v>
      </c>
      <c r="C9" s="277">
        <v>46064.0</v>
      </c>
      <c r="D9" s="237" t="s">
        <v>2561</v>
      </c>
      <c r="E9" s="237" t="s">
        <v>2562</v>
      </c>
      <c r="F9" s="278" t="s">
        <v>2012</v>
      </c>
      <c r="G9" s="238">
        <v>1.0</v>
      </c>
      <c r="H9" s="272" t="s">
        <v>2558</v>
      </c>
      <c r="I9" s="266">
        <v>60.0</v>
      </c>
      <c r="J9" s="266">
        <v>21.3</v>
      </c>
      <c r="K9" s="267"/>
      <c r="L9" s="272" t="s">
        <v>2563</v>
      </c>
      <c r="M9" s="269"/>
      <c r="N9" s="274">
        <v>8.0</v>
      </c>
      <c r="O9" s="198"/>
      <c r="P9" s="198"/>
      <c r="Q9" s="198"/>
      <c r="R9" s="198"/>
    </row>
    <row r="10" ht="15.75" customHeight="1">
      <c r="A10" s="237">
        <v>2026.0</v>
      </c>
      <c r="B10" s="237">
        <v>2.0</v>
      </c>
      <c r="C10" s="277">
        <v>46080.0</v>
      </c>
      <c r="D10" s="248" t="s">
        <v>2564</v>
      </c>
      <c r="E10" s="248" t="s">
        <v>2565</v>
      </c>
      <c r="F10" s="278" t="s">
        <v>2012</v>
      </c>
      <c r="G10" s="248">
        <v>1.0</v>
      </c>
      <c r="H10" s="279" t="s">
        <v>2549</v>
      </c>
      <c r="I10" s="280">
        <v>70.0</v>
      </c>
      <c r="J10" s="266">
        <v>21.3</v>
      </c>
      <c r="K10" s="267"/>
      <c r="L10" s="279" t="s">
        <v>2563</v>
      </c>
      <c r="M10" s="269"/>
      <c r="N10" s="270">
        <v>9.0</v>
      </c>
      <c r="O10" s="198"/>
      <c r="P10" s="198"/>
      <c r="Q10" s="198"/>
      <c r="R10" s="198"/>
    </row>
    <row r="11" ht="15.75" customHeight="1">
      <c r="A11" s="237">
        <v>2026.0</v>
      </c>
      <c r="B11" s="248">
        <v>3.0</v>
      </c>
      <c r="C11" s="249">
        <v>46087.0</v>
      </c>
      <c r="D11" s="248" t="s">
        <v>2566</v>
      </c>
      <c r="E11" s="248" t="s">
        <v>2567</v>
      </c>
      <c r="F11" s="281" t="s">
        <v>2022</v>
      </c>
      <c r="G11" s="248">
        <v>1.0</v>
      </c>
      <c r="H11" s="279" t="s">
        <v>2558</v>
      </c>
      <c r="I11" s="280">
        <v>100.0</v>
      </c>
      <c r="J11" s="266">
        <v>30.33</v>
      </c>
      <c r="K11" s="248" t="s">
        <v>2511</v>
      </c>
      <c r="L11" s="282" t="s">
        <v>162</v>
      </c>
      <c r="M11" s="269" t="s">
        <v>2568</v>
      </c>
      <c r="N11" s="283" t="s">
        <v>2569</v>
      </c>
      <c r="O11" s="198"/>
      <c r="P11" s="198"/>
      <c r="Q11" s="198"/>
      <c r="R11" s="198"/>
    </row>
    <row r="12" ht="15.75" customHeight="1">
      <c r="A12" s="237">
        <v>2026.0</v>
      </c>
      <c r="B12" s="248">
        <v>3.0</v>
      </c>
      <c r="C12" s="249">
        <v>46087.0</v>
      </c>
      <c r="D12" s="248" t="s">
        <v>2566</v>
      </c>
      <c r="E12" s="248" t="s">
        <v>2551</v>
      </c>
      <c r="F12" s="279" t="s">
        <v>2570</v>
      </c>
      <c r="G12" s="248">
        <v>1.0</v>
      </c>
      <c r="H12" s="279" t="s">
        <v>2558</v>
      </c>
      <c r="I12" s="280">
        <v>120.0</v>
      </c>
      <c r="J12" s="266">
        <v>33.0</v>
      </c>
      <c r="K12" s="248" t="s">
        <v>2511</v>
      </c>
      <c r="L12" s="282" t="s">
        <v>162</v>
      </c>
      <c r="M12" s="269" t="s">
        <v>228</v>
      </c>
      <c r="N12" s="283" t="s">
        <v>2571</v>
      </c>
      <c r="O12" s="198"/>
      <c r="P12" s="198"/>
      <c r="Q12" s="198"/>
      <c r="R12" s="198"/>
    </row>
    <row r="13" ht="15.75" customHeight="1">
      <c r="A13" s="237">
        <v>2026.0</v>
      </c>
      <c r="B13" s="248">
        <v>3.0</v>
      </c>
      <c r="C13" s="249">
        <v>46087.0</v>
      </c>
      <c r="D13" s="248" t="s">
        <v>2572</v>
      </c>
      <c r="E13" s="248" t="s">
        <v>2573</v>
      </c>
      <c r="F13" s="279" t="s">
        <v>2021</v>
      </c>
      <c r="G13" s="248">
        <v>1.0</v>
      </c>
      <c r="H13" s="279" t="s">
        <v>2549</v>
      </c>
      <c r="I13" s="280">
        <v>28.0</v>
      </c>
      <c r="J13" s="266">
        <v>8.0</v>
      </c>
      <c r="K13" s="248" t="s">
        <v>2574</v>
      </c>
      <c r="L13" s="282" t="s">
        <v>2575</v>
      </c>
      <c r="M13" s="269" t="s">
        <v>2576</v>
      </c>
      <c r="N13" s="283" t="s">
        <v>2577</v>
      </c>
      <c r="O13" s="198"/>
      <c r="P13" s="198"/>
      <c r="Q13" s="198"/>
      <c r="R13" s="198"/>
    </row>
    <row r="14" ht="15.75" customHeight="1">
      <c r="A14" s="237">
        <v>2026.0</v>
      </c>
      <c r="B14" s="248">
        <v>3.0</v>
      </c>
      <c r="C14" s="249">
        <v>46090.0</v>
      </c>
      <c r="D14" s="248" t="s">
        <v>2578</v>
      </c>
      <c r="E14" s="248" t="s">
        <v>2579</v>
      </c>
      <c r="F14" s="279" t="s">
        <v>2519</v>
      </c>
      <c r="G14" s="248">
        <v>0.0</v>
      </c>
      <c r="H14" s="279" t="s">
        <v>2558</v>
      </c>
      <c r="I14" s="280">
        <v>0.0</v>
      </c>
      <c r="J14" s="266">
        <v>30.33</v>
      </c>
      <c r="K14" s="248" t="s">
        <v>2580</v>
      </c>
      <c r="L14" s="282" t="s">
        <v>162</v>
      </c>
      <c r="M14" s="269" t="s">
        <v>230</v>
      </c>
      <c r="N14" s="283" t="s">
        <v>2581</v>
      </c>
      <c r="O14" s="198"/>
      <c r="P14" s="198"/>
      <c r="Q14" s="198"/>
      <c r="R14" s="198"/>
    </row>
    <row r="15" ht="15.75" customHeight="1">
      <c r="A15" s="237">
        <v>2026.0</v>
      </c>
      <c r="B15" s="248">
        <v>3.0</v>
      </c>
      <c r="C15" s="249">
        <v>46082.0</v>
      </c>
      <c r="D15" s="248" t="s">
        <v>2582</v>
      </c>
      <c r="E15" s="248" t="s">
        <v>2583</v>
      </c>
      <c r="F15" s="279" t="s">
        <v>2514</v>
      </c>
      <c r="G15" s="248">
        <v>1.0</v>
      </c>
      <c r="H15" s="284"/>
      <c r="I15" s="280">
        <v>1.0</v>
      </c>
      <c r="J15" s="266">
        <v>30.33</v>
      </c>
      <c r="K15" s="248" t="s">
        <v>2584</v>
      </c>
      <c r="L15" s="282" t="s">
        <v>162</v>
      </c>
      <c r="M15" s="269" t="s">
        <v>163</v>
      </c>
      <c r="N15" s="283" t="s">
        <v>2585</v>
      </c>
      <c r="O15" s="198"/>
      <c r="P15" s="198"/>
      <c r="Q15" s="198"/>
      <c r="R15" s="198"/>
    </row>
    <row r="16" ht="15.75" customHeight="1">
      <c r="A16" s="237">
        <v>2026.0</v>
      </c>
      <c r="B16" s="248">
        <v>3.0</v>
      </c>
      <c r="C16" s="249">
        <v>46090.0</v>
      </c>
      <c r="D16" s="248" t="s">
        <v>2586</v>
      </c>
      <c r="E16" s="248" t="s">
        <v>2587</v>
      </c>
      <c r="F16" s="279" t="s">
        <v>205</v>
      </c>
      <c r="G16" s="248">
        <v>1.0</v>
      </c>
      <c r="H16" s="284"/>
      <c r="I16" s="280">
        <v>1.0</v>
      </c>
      <c r="J16" s="266">
        <v>23.0</v>
      </c>
      <c r="K16" s="248" t="s">
        <v>2584</v>
      </c>
      <c r="L16" s="282" t="s">
        <v>203</v>
      </c>
      <c r="M16" s="269" t="s">
        <v>248</v>
      </c>
      <c r="N16" s="283" t="s">
        <v>2588</v>
      </c>
      <c r="O16" s="198"/>
      <c r="P16" s="198"/>
      <c r="Q16" s="198"/>
      <c r="R16" s="198"/>
    </row>
    <row r="17" ht="15.75" customHeight="1">
      <c r="A17" s="237">
        <v>2026.0</v>
      </c>
      <c r="B17" s="248">
        <v>3.0</v>
      </c>
      <c r="C17" s="249">
        <v>46082.0</v>
      </c>
      <c r="D17" s="248" t="s">
        <v>2193</v>
      </c>
      <c r="E17" s="248" t="s">
        <v>2589</v>
      </c>
      <c r="F17" s="279" t="s">
        <v>205</v>
      </c>
      <c r="G17" s="248">
        <v>1.0</v>
      </c>
      <c r="H17" s="284"/>
      <c r="I17" s="280">
        <v>1.0</v>
      </c>
      <c r="J17" s="266">
        <v>23.0</v>
      </c>
      <c r="K17" s="248" t="s">
        <v>2584</v>
      </c>
      <c r="L17" s="282" t="s">
        <v>203</v>
      </c>
      <c r="M17" s="269" t="s">
        <v>248</v>
      </c>
      <c r="N17" s="283" t="s">
        <v>2590</v>
      </c>
      <c r="O17" s="198"/>
      <c r="P17" s="198"/>
      <c r="Q17" s="198"/>
      <c r="R17" s="198"/>
    </row>
    <row r="18" ht="15.75" customHeight="1">
      <c r="A18" s="237">
        <v>2026.0</v>
      </c>
      <c r="B18" s="248">
        <v>3.0</v>
      </c>
      <c r="C18" s="249">
        <v>46098.0</v>
      </c>
      <c r="D18" s="248" t="s">
        <v>2591</v>
      </c>
      <c r="E18" s="248" t="s">
        <v>2592</v>
      </c>
      <c r="F18" s="279" t="s">
        <v>2570</v>
      </c>
      <c r="G18" s="248">
        <v>1.0</v>
      </c>
      <c r="H18" s="279" t="s">
        <v>2584</v>
      </c>
      <c r="I18" s="280">
        <v>1.0</v>
      </c>
      <c r="J18" s="266">
        <v>33.0</v>
      </c>
      <c r="K18" s="285"/>
      <c r="L18" s="282" t="s">
        <v>162</v>
      </c>
      <c r="M18" s="269" t="s">
        <v>228</v>
      </c>
      <c r="N18" s="283" t="s">
        <v>2593</v>
      </c>
      <c r="O18" s="198"/>
      <c r="P18" s="198"/>
      <c r="Q18" s="198"/>
      <c r="R18" s="198"/>
    </row>
    <row r="19" ht="15.75" customHeight="1">
      <c r="A19" s="237">
        <v>2026.0</v>
      </c>
      <c r="B19" s="248">
        <v>3.0</v>
      </c>
      <c r="C19" s="249">
        <v>46098.0</v>
      </c>
      <c r="D19" s="248" t="s">
        <v>2594</v>
      </c>
      <c r="E19" s="248" t="s">
        <v>2595</v>
      </c>
      <c r="F19" s="279" t="s">
        <v>2570</v>
      </c>
      <c r="G19" s="248">
        <v>1.0</v>
      </c>
      <c r="H19" s="279" t="s">
        <v>2584</v>
      </c>
      <c r="I19" s="280">
        <v>1.0</v>
      </c>
      <c r="J19" s="266">
        <v>33.0</v>
      </c>
      <c r="K19" s="285"/>
      <c r="L19" s="282" t="s">
        <v>162</v>
      </c>
      <c r="M19" s="269" t="s">
        <v>228</v>
      </c>
      <c r="N19" s="283" t="s">
        <v>2596</v>
      </c>
      <c r="O19" s="198"/>
      <c r="P19" s="198"/>
      <c r="Q19" s="198"/>
      <c r="R19" s="198"/>
    </row>
    <row r="20" ht="15.75" customHeight="1">
      <c r="A20" s="237">
        <v>2026.0</v>
      </c>
      <c r="B20" s="248">
        <v>3.0</v>
      </c>
      <c r="C20" s="249">
        <v>46098.0</v>
      </c>
      <c r="D20" s="248" t="s">
        <v>2597</v>
      </c>
      <c r="E20" s="248" t="s">
        <v>2598</v>
      </c>
      <c r="F20" s="279" t="s">
        <v>246</v>
      </c>
      <c r="G20" s="248">
        <v>1.0</v>
      </c>
      <c r="H20" s="279" t="s">
        <v>2584</v>
      </c>
      <c r="I20" s="280">
        <v>1.0</v>
      </c>
      <c r="J20" s="266">
        <v>25.0</v>
      </c>
      <c r="K20" s="285"/>
      <c r="L20" s="282" t="s">
        <v>242</v>
      </c>
      <c r="M20" s="269" t="s">
        <v>2041</v>
      </c>
      <c r="N20" s="283" t="s">
        <v>2599</v>
      </c>
      <c r="O20" s="198"/>
      <c r="P20" s="198"/>
      <c r="Q20" s="198"/>
      <c r="R20" s="198"/>
    </row>
    <row r="21" ht="15.75" customHeight="1">
      <c r="A21" s="237">
        <v>2026.0</v>
      </c>
      <c r="B21" s="248">
        <v>3.0</v>
      </c>
      <c r="C21" s="249">
        <v>46105.0</v>
      </c>
      <c r="D21" s="248" t="s">
        <v>2600</v>
      </c>
      <c r="E21" s="248" t="s">
        <v>2601</v>
      </c>
      <c r="F21" s="279" t="s">
        <v>2528</v>
      </c>
      <c r="G21" s="248">
        <v>1.0</v>
      </c>
      <c r="H21" s="279" t="s">
        <v>2602</v>
      </c>
      <c r="I21" s="280">
        <v>102.0</v>
      </c>
      <c r="J21" s="266">
        <v>32.08</v>
      </c>
      <c r="K21" s="285"/>
      <c r="L21" s="282" t="s">
        <v>162</v>
      </c>
      <c r="M21" s="269" t="s">
        <v>201</v>
      </c>
      <c r="N21" s="283" t="s">
        <v>2603</v>
      </c>
      <c r="O21" s="198"/>
      <c r="P21" s="198"/>
      <c r="Q21" s="198"/>
      <c r="R21" s="198"/>
    </row>
    <row r="22" ht="15.75" customHeight="1">
      <c r="A22" s="237">
        <v>2026.0</v>
      </c>
      <c r="B22" s="248">
        <v>3.0</v>
      </c>
      <c r="C22" s="249">
        <v>46105.0</v>
      </c>
      <c r="D22" s="248" t="s">
        <v>2604</v>
      </c>
      <c r="E22" s="248" t="s">
        <v>2605</v>
      </c>
      <c r="F22" s="279" t="s">
        <v>2513</v>
      </c>
      <c r="G22" s="248">
        <v>1.0</v>
      </c>
      <c r="H22" s="279" t="s">
        <v>2549</v>
      </c>
      <c r="I22" s="280">
        <v>96.0</v>
      </c>
      <c r="J22" s="266">
        <v>26.0</v>
      </c>
      <c r="K22" s="285"/>
      <c r="L22" s="282" t="s">
        <v>203</v>
      </c>
      <c r="M22" s="269" t="s">
        <v>206</v>
      </c>
      <c r="N22" s="283" t="s">
        <v>2606</v>
      </c>
      <c r="O22" s="198"/>
      <c r="P22" s="198"/>
      <c r="Q22" s="198"/>
      <c r="R22" s="198"/>
    </row>
    <row r="23" ht="15.75" customHeight="1">
      <c r="A23" s="237">
        <v>2026.0</v>
      </c>
      <c r="B23" s="248">
        <v>3.0</v>
      </c>
      <c r="C23" s="249">
        <v>46107.0</v>
      </c>
      <c r="D23" s="248" t="s">
        <v>2607</v>
      </c>
      <c r="E23" s="248" t="s">
        <v>2608</v>
      </c>
      <c r="F23" s="279" t="s">
        <v>2012</v>
      </c>
      <c r="G23" s="248">
        <v>1.0</v>
      </c>
      <c r="H23" s="279" t="s">
        <v>2609</v>
      </c>
      <c r="I23" s="280">
        <v>52.0</v>
      </c>
      <c r="J23" s="266">
        <v>21.3</v>
      </c>
      <c r="K23" s="285"/>
      <c r="L23" s="282" t="s">
        <v>2563</v>
      </c>
      <c r="M23" s="269"/>
      <c r="N23" s="283" t="s">
        <v>2610</v>
      </c>
      <c r="O23" s="198"/>
      <c r="P23" s="198"/>
      <c r="Q23" s="198"/>
      <c r="R23" s="198"/>
    </row>
    <row r="24" ht="15.75" customHeight="1">
      <c r="A24" s="237">
        <v>2026.0</v>
      </c>
      <c r="B24" s="248">
        <v>3.0</v>
      </c>
      <c r="C24" s="249">
        <v>46107.0</v>
      </c>
      <c r="D24" s="248" t="s">
        <v>2607</v>
      </c>
      <c r="E24" s="248" t="s">
        <v>2608</v>
      </c>
      <c r="F24" s="279" t="s">
        <v>2009</v>
      </c>
      <c r="G24" s="248">
        <v>1.0</v>
      </c>
      <c r="H24" s="279" t="s">
        <v>2609</v>
      </c>
      <c r="I24" s="280">
        <v>55.0</v>
      </c>
      <c r="J24" s="266">
        <v>23.0</v>
      </c>
      <c r="K24" s="285"/>
      <c r="L24" s="282" t="s">
        <v>269</v>
      </c>
      <c r="M24" s="269" t="s">
        <v>2560</v>
      </c>
      <c r="N24" s="283" t="s">
        <v>2611</v>
      </c>
      <c r="O24" s="198"/>
      <c r="P24" s="198"/>
      <c r="Q24" s="198"/>
      <c r="R24" s="198"/>
    </row>
    <row r="25" ht="15.75" customHeight="1">
      <c r="A25" s="237">
        <v>2026.0</v>
      </c>
      <c r="B25" s="248">
        <v>3.0</v>
      </c>
      <c r="C25" s="249">
        <v>46107.0</v>
      </c>
      <c r="D25" s="248" t="s">
        <v>2193</v>
      </c>
      <c r="E25" s="248" t="s">
        <v>2612</v>
      </c>
      <c r="F25" s="279" t="s">
        <v>258</v>
      </c>
      <c r="G25" s="248">
        <v>1.0</v>
      </c>
      <c r="H25" s="279" t="s">
        <v>2549</v>
      </c>
      <c r="I25" s="280">
        <v>63.0</v>
      </c>
      <c r="J25" s="266">
        <v>16.5</v>
      </c>
      <c r="K25" s="285"/>
      <c r="L25" s="282" t="s">
        <v>2613</v>
      </c>
      <c r="M25" s="269" t="s">
        <v>257</v>
      </c>
      <c r="N25" s="283" t="s">
        <v>2614</v>
      </c>
      <c r="O25" s="198"/>
      <c r="P25" s="198"/>
      <c r="Q25" s="198"/>
      <c r="R25" s="198"/>
    </row>
    <row r="26" ht="15.75" customHeight="1">
      <c r="A26" s="237">
        <v>2026.0</v>
      </c>
      <c r="B26" s="248">
        <v>3.0</v>
      </c>
      <c r="C26" s="249">
        <v>46108.0</v>
      </c>
      <c r="D26" s="248" t="s">
        <v>2615</v>
      </c>
      <c r="E26" s="248" t="s">
        <v>2616</v>
      </c>
      <c r="F26" s="279" t="s">
        <v>2020</v>
      </c>
      <c r="G26" s="248">
        <v>1.0</v>
      </c>
      <c r="H26" s="279" t="s">
        <v>2549</v>
      </c>
      <c r="I26" s="280">
        <v>25.0</v>
      </c>
      <c r="J26" s="266">
        <v>8.0</v>
      </c>
      <c r="K26" s="285"/>
      <c r="L26" s="282" t="s">
        <v>2020</v>
      </c>
      <c r="M26" s="269" t="s">
        <v>2020</v>
      </c>
      <c r="N26" s="283" t="s">
        <v>2617</v>
      </c>
      <c r="O26" s="198"/>
      <c r="P26" s="198"/>
      <c r="Q26" s="198"/>
      <c r="R26" s="198"/>
    </row>
    <row r="27" ht="15.75" customHeight="1">
      <c r="A27" s="237">
        <v>2026.0</v>
      </c>
      <c r="B27" s="248">
        <v>3.0</v>
      </c>
      <c r="C27" s="249">
        <v>46108.0</v>
      </c>
      <c r="D27" s="248" t="s">
        <v>2615</v>
      </c>
      <c r="E27" s="248" t="s">
        <v>2618</v>
      </c>
      <c r="F27" s="279" t="s">
        <v>2018</v>
      </c>
      <c r="G27" s="248">
        <v>1.0</v>
      </c>
      <c r="H27" s="279" t="s">
        <v>2549</v>
      </c>
      <c r="I27" s="280">
        <v>63.0</v>
      </c>
      <c r="J27" s="266">
        <v>16.5</v>
      </c>
      <c r="K27" s="285"/>
      <c r="L27" s="282" t="s">
        <v>252</v>
      </c>
      <c r="M27" s="269" t="s">
        <v>2619</v>
      </c>
      <c r="N27" s="283" t="s">
        <v>2620</v>
      </c>
      <c r="O27" s="198"/>
      <c r="P27" s="198"/>
      <c r="Q27" s="198"/>
      <c r="R27" s="198"/>
    </row>
    <row r="28" ht="15.75" customHeight="1">
      <c r="A28" s="237">
        <v>2026.0</v>
      </c>
      <c r="B28" s="248">
        <v>3.0</v>
      </c>
      <c r="C28" s="249">
        <v>46108.0</v>
      </c>
      <c r="D28" s="248" t="s">
        <v>2572</v>
      </c>
      <c r="E28" s="248" t="s">
        <v>2621</v>
      </c>
      <c r="F28" s="279" t="s">
        <v>2020</v>
      </c>
      <c r="G28" s="248">
        <v>1.0</v>
      </c>
      <c r="H28" s="279" t="s">
        <v>2549</v>
      </c>
      <c r="I28" s="280">
        <v>15.0</v>
      </c>
      <c r="J28" s="266">
        <v>8.0</v>
      </c>
      <c r="K28" s="285"/>
      <c r="L28" s="282" t="s">
        <v>2020</v>
      </c>
      <c r="M28" s="269" t="s">
        <v>2020</v>
      </c>
      <c r="N28" s="283" t="s">
        <v>2622</v>
      </c>
      <c r="O28" s="198"/>
      <c r="P28" s="198"/>
      <c r="Q28" s="198"/>
      <c r="R28" s="198"/>
    </row>
    <row r="29" ht="15.75" customHeight="1">
      <c r="A29" s="237">
        <v>2026.0</v>
      </c>
      <c r="B29" s="248">
        <v>3.0</v>
      </c>
      <c r="C29" s="249">
        <v>46108.0</v>
      </c>
      <c r="D29" s="248" t="s">
        <v>2623</v>
      </c>
      <c r="E29" s="248" t="s">
        <v>2624</v>
      </c>
      <c r="F29" s="279" t="s">
        <v>2019</v>
      </c>
      <c r="G29" s="248">
        <v>1.0</v>
      </c>
      <c r="H29" s="279" t="s">
        <v>2549</v>
      </c>
      <c r="I29" s="280">
        <v>50.0</v>
      </c>
      <c r="J29" s="266">
        <v>10.0</v>
      </c>
      <c r="K29" s="285"/>
      <c r="L29" s="282" t="s">
        <v>252</v>
      </c>
      <c r="M29" s="269" t="s">
        <v>2625</v>
      </c>
      <c r="N29" s="283" t="s">
        <v>2626</v>
      </c>
      <c r="O29" s="198"/>
      <c r="P29" s="198"/>
      <c r="Q29" s="198"/>
      <c r="R29" s="198"/>
    </row>
    <row r="30" ht="15.75" customHeight="1">
      <c r="A30" s="237">
        <v>2026.0</v>
      </c>
      <c r="B30" s="248">
        <v>3.0</v>
      </c>
      <c r="C30" s="249">
        <v>46108.0</v>
      </c>
      <c r="D30" s="248" t="s">
        <v>2627</v>
      </c>
      <c r="E30" s="248" t="s">
        <v>2628</v>
      </c>
      <c r="F30" s="279" t="s">
        <v>2629</v>
      </c>
      <c r="G30" s="248">
        <v>1.0</v>
      </c>
      <c r="H30" s="279" t="s">
        <v>2558</v>
      </c>
      <c r="I30" s="280">
        <v>123.0</v>
      </c>
      <c r="J30" s="266">
        <v>52.5</v>
      </c>
      <c r="K30" s="285"/>
      <c r="L30" s="282" t="s">
        <v>208</v>
      </c>
      <c r="M30" s="269" t="s">
        <v>2555</v>
      </c>
      <c r="N30" s="283" t="s">
        <v>2630</v>
      </c>
      <c r="O30" s="198"/>
      <c r="P30" s="198"/>
      <c r="Q30" s="198"/>
      <c r="R30" s="198"/>
    </row>
    <row r="31" ht="15.75" customHeight="1">
      <c r="A31" s="237">
        <v>2026.0</v>
      </c>
      <c r="B31" s="248">
        <v>3.0</v>
      </c>
      <c r="C31" s="249">
        <v>46107.0</v>
      </c>
      <c r="D31" s="248" t="s">
        <v>2631</v>
      </c>
      <c r="E31" s="248" t="s">
        <v>2632</v>
      </c>
      <c r="F31" s="279" t="s">
        <v>2017</v>
      </c>
      <c r="G31" s="248">
        <v>1.0</v>
      </c>
      <c r="H31" s="279" t="s">
        <v>2549</v>
      </c>
      <c r="I31" s="280">
        <v>84.0</v>
      </c>
      <c r="J31" s="266">
        <v>30.3</v>
      </c>
      <c r="K31" s="285"/>
      <c r="L31" s="282" t="s">
        <v>162</v>
      </c>
      <c r="M31" s="269" t="s">
        <v>2633</v>
      </c>
      <c r="N31" s="283" t="s">
        <v>2634</v>
      </c>
      <c r="O31" s="198"/>
      <c r="P31" s="198"/>
      <c r="Q31" s="198"/>
      <c r="R31" s="198"/>
    </row>
    <row r="32" ht="15.75" customHeight="1">
      <c r="A32" s="237">
        <v>2026.0</v>
      </c>
      <c r="B32" s="248">
        <v>4.0</v>
      </c>
      <c r="C32" s="249">
        <v>46119.0</v>
      </c>
      <c r="D32" s="248" t="s">
        <v>2635</v>
      </c>
      <c r="E32" s="248" t="s">
        <v>2636</v>
      </c>
      <c r="F32" s="279" t="s">
        <v>2009</v>
      </c>
      <c r="G32" s="248">
        <v>1.0</v>
      </c>
      <c r="H32" s="279" t="s">
        <v>2558</v>
      </c>
      <c r="I32" s="280">
        <v>55.0</v>
      </c>
      <c r="J32" s="266">
        <v>23.0</v>
      </c>
      <c r="K32" s="285"/>
      <c r="L32" s="282" t="s">
        <v>269</v>
      </c>
      <c r="M32" s="269" t="s">
        <v>2560</v>
      </c>
      <c r="N32" s="283" t="s">
        <v>2637</v>
      </c>
      <c r="O32" s="198"/>
      <c r="P32" s="198"/>
      <c r="Q32" s="198"/>
      <c r="R32" s="198"/>
    </row>
    <row r="33" ht="15.75" customHeight="1">
      <c r="A33" s="237">
        <v>2026.0</v>
      </c>
      <c r="B33" s="248">
        <v>4.0</v>
      </c>
      <c r="C33" s="249">
        <v>46119.0</v>
      </c>
      <c r="D33" s="248" t="s">
        <v>2638</v>
      </c>
      <c r="E33" s="285"/>
      <c r="F33" s="279" t="s">
        <v>2629</v>
      </c>
      <c r="G33" s="248">
        <v>1.0</v>
      </c>
      <c r="H33" s="279" t="s">
        <v>2558</v>
      </c>
      <c r="I33" s="280">
        <v>140.0</v>
      </c>
      <c r="J33" s="266">
        <v>52.5</v>
      </c>
      <c r="K33" s="285"/>
      <c r="L33" s="282" t="s">
        <v>208</v>
      </c>
      <c r="M33" s="269" t="s">
        <v>2555</v>
      </c>
      <c r="N33" s="283" t="s">
        <v>2639</v>
      </c>
      <c r="O33" s="198"/>
      <c r="P33" s="198"/>
      <c r="Q33" s="198"/>
      <c r="R33" s="198"/>
    </row>
    <row r="34" ht="15.75" customHeight="1">
      <c r="A34" s="237">
        <v>2026.0</v>
      </c>
      <c r="B34" s="248">
        <v>4.0</v>
      </c>
      <c r="C34" s="249">
        <v>46120.0</v>
      </c>
      <c r="D34" s="248" t="s">
        <v>2561</v>
      </c>
      <c r="E34" s="248" t="s">
        <v>2562</v>
      </c>
      <c r="F34" s="279" t="s">
        <v>2032</v>
      </c>
      <c r="G34" s="248">
        <v>1.0</v>
      </c>
      <c r="H34" s="279" t="s">
        <v>2558</v>
      </c>
      <c r="I34" s="280">
        <v>30.0</v>
      </c>
      <c r="J34" s="266">
        <v>8.0</v>
      </c>
      <c r="K34" s="285"/>
      <c r="L34" s="282" t="s">
        <v>2563</v>
      </c>
      <c r="M34" s="269" t="s">
        <v>2012</v>
      </c>
      <c r="N34" s="283" t="s">
        <v>2640</v>
      </c>
      <c r="O34" s="198"/>
      <c r="P34" s="198"/>
      <c r="Q34" s="198"/>
      <c r="R34" s="198"/>
    </row>
    <row r="35" ht="15.75" customHeight="1">
      <c r="A35" s="237">
        <v>2026.0</v>
      </c>
      <c r="B35" s="248">
        <v>4.0</v>
      </c>
      <c r="C35" s="249">
        <v>46124.0</v>
      </c>
      <c r="D35" s="248" t="s">
        <v>2641</v>
      </c>
      <c r="E35" s="285"/>
      <c r="F35" s="279" t="s">
        <v>2009</v>
      </c>
      <c r="G35" s="248">
        <v>1.0</v>
      </c>
      <c r="H35" s="279" t="s">
        <v>2558</v>
      </c>
      <c r="I35" s="280">
        <v>55.0</v>
      </c>
      <c r="J35" s="266">
        <v>23.0</v>
      </c>
      <c r="K35" s="285"/>
      <c r="L35" s="282" t="s">
        <v>269</v>
      </c>
      <c r="M35" s="269" t="s">
        <v>2560</v>
      </c>
      <c r="N35" s="283" t="s">
        <v>2642</v>
      </c>
      <c r="O35" s="198"/>
      <c r="P35" s="198"/>
      <c r="Q35" s="198"/>
      <c r="R35" s="198"/>
    </row>
    <row r="36" ht="15.75" customHeight="1">
      <c r="A36" s="237">
        <v>2026.0</v>
      </c>
      <c r="B36" s="248">
        <v>4.0</v>
      </c>
      <c r="C36" s="249">
        <v>46126.0</v>
      </c>
      <c r="D36" s="248" t="s">
        <v>2607</v>
      </c>
      <c r="E36" s="248" t="s">
        <v>2643</v>
      </c>
      <c r="F36" s="279" t="s">
        <v>2028</v>
      </c>
      <c r="G36" s="248">
        <v>1.0</v>
      </c>
      <c r="H36" s="279" t="s">
        <v>2558</v>
      </c>
      <c r="I36" s="280">
        <v>50.0</v>
      </c>
      <c r="J36" s="266">
        <v>19.0</v>
      </c>
      <c r="K36" s="285"/>
      <c r="L36" s="282" t="s">
        <v>269</v>
      </c>
      <c r="M36" s="269" t="s">
        <v>2644</v>
      </c>
      <c r="N36" s="283" t="s">
        <v>2645</v>
      </c>
      <c r="O36" s="198"/>
      <c r="P36" s="198"/>
      <c r="Q36" s="198"/>
      <c r="R36" s="198"/>
    </row>
    <row r="37" ht="15.75" customHeight="1">
      <c r="A37" s="237">
        <v>2026.0</v>
      </c>
      <c r="B37" s="248">
        <v>4.0</v>
      </c>
      <c r="C37" s="249">
        <v>46126.0</v>
      </c>
      <c r="D37" s="248" t="s">
        <v>2607</v>
      </c>
      <c r="E37" s="248" t="s">
        <v>2643</v>
      </c>
      <c r="F37" s="279" t="s">
        <v>2033</v>
      </c>
      <c r="G37" s="248">
        <v>1.0</v>
      </c>
      <c r="H37" s="279" t="s">
        <v>2558</v>
      </c>
      <c r="I37" s="280">
        <v>55.0</v>
      </c>
      <c r="J37" s="266">
        <v>21.3</v>
      </c>
      <c r="K37" s="285"/>
      <c r="L37" s="282" t="s">
        <v>2563</v>
      </c>
      <c r="M37" s="269" t="s">
        <v>2012</v>
      </c>
      <c r="N37" s="283" t="s">
        <v>2646</v>
      </c>
      <c r="O37" s="198"/>
      <c r="P37" s="198"/>
      <c r="Q37" s="198"/>
      <c r="R37" s="198"/>
    </row>
    <row r="38" ht="15.75" customHeight="1">
      <c r="A38" s="237">
        <v>2026.0</v>
      </c>
      <c r="B38" s="248">
        <v>4.0</v>
      </c>
      <c r="C38" s="249">
        <v>46129.0</v>
      </c>
      <c r="D38" s="248" t="s">
        <v>2647</v>
      </c>
      <c r="E38" s="248" t="s">
        <v>2648</v>
      </c>
      <c r="F38" s="279" t="s">
        <v>2046</v>
      </c>
      <c r="G38" s="248">
        <v>1.0</v>
      </c>
      <c r="H38" s="279" t="s">
        <v>2558</v>
      </c>
      <c r="I38" s="280">
        <v>147.0</v>
      </c>
      <c r="J38" s="266">
        <v>40.0</v>
      </c>
      <c r="K38" s="285"/>
      <c r="L38" s="282" t="s">
        <v>2649</v>
      </c>
      <c r="M38" s="269" t="s">
        <v>2650</v>
      </c>
      <c r="N38" s="283" t="s">
        <v>2651</v>
      </c>
      <c r="O38" s="198"/>
      <c r="P38" s="198"/>
      <c r="Q38" s="198"/>
      <c r="R38" s="198"/>
    </row>
    <row r="39" ht="15.75" customHeight="1">
      <c r="A39" s="237">
        <v>2026.0</v>
      </c>
      <c r="B39" s="248">
        <v>4.0</v>
      </c>
      <c r="C39" s="249">
        <v>46130.0</v>
      </c>
      <c r="D39" s="285"/>
      <c r="E39" s="285"/>
      <c r="F39" s="279" t="s">
        <v>2018</v>
      </c>
      <c r="G39" s="248">
        <v>1.0</v>
      </c>
      <c r="H39" s="279" t="s">
        <v>2558</v>
      </c>
      <c r="I39" s="280">
        <v>50.0</v>
      </c>
      <c r="J39" s="266">
        <v>16.5</v>
      </c>
      <c r="K39" s="285"/>
      <c r="L39" s="282" t="s">
        <v>252</v>
      </c>
      <c r="M39" s="269" t="s">
        <v>2619</v>
      </c>
      <c r="N39" s="283" t="s">
        <v>2652</v>
      </c>
      <c r="O39" s="198"/>
      <c r="P39" s="198"/>
      <c r="Q39" s="198"/>
      <c r="R39" s="198"/>
    </row>
    <row r="40" ht="15.75" customHeight="1">
      <c r="A40" s="237">
        <v>2026.0</v>
      </c>
      <c r="B40" s="248">
        <v>4.0</v>
      </c>
      <c r="C40" s="249">
        <v>46135.0</v>
      </c>
      <c r="D40" s="248" t="s">
        <v>2653</v>
      </c>
      <c r="E40" s="248" t="s">
        <v>2654</v>
      </c>
      <c r="F40" s="279" t="s">
        <v>223</v>
      </c>
      <c r="G40" s="248">
        <v>1.0</v>
      </c>
      <c r="H40" s="279" t="s">
        <v>2584</v>
      </c>
      <c r="I40" s="280">
        <v>0.0</v>
      </c>
      <c r="J40" s="266">
        <v>20.0</v>
      </c>
      <c r="K40" s="285"/>
      <c r="L40" s="282" t="s">
        <v>162</v>
      </c>
      <c r="M40" s="269" t="s">
        <v>222</v>
      </c>
      <c r="N40" s="283" t="s">
        <v>2655</v>
      </c>
      <c r="O40" s="198"/>
      <c r="P40" s="198"/>
      <c r="Q40" s="198"/>
      <c r="R40" s="198"/>
    </row>
    <row r="41" ht="15.75" customHeight="1">
      <c r="A41" s="237">
        <v>2026.0</v>
      </c>
      <c r="B41" s="248">
        <v>4.0</v>
      </c>
      <c r="C41" s="249">
        <v>46135.0</v>
      </c>
      <c r="D41" s="248" t="s">
        <v>2653</v>
      </c>
      <c r="E41" s="248" t="s">
        <v>2654</v>
      </c>
      <c r="F41" s="279" t="s">
        <v>287</v>
      </c>
      <c r="G41" s="248">
        <v>1.0</v>
      </c>
      <c r="H41" s="279" t="s">
        <v>2558</v>
      </c>
      <c r="I41" s="280">
        <v>0.0</v>
      </c>
      <c r="J41" s="266">
        <v>33.0</v>
      </c>
      <c r="K41" s="285"/>
      <c r="L41" s="282"/>
      <c r="M41" s="269"/>
      <c r="N41" s="283" t="s">
        <v>2656</v>
      </c>
      <c r="O41" s="198"/>
      <c r="P41" s="198"/>
      <c r="Q41" s="198"/>
      <c r="R41" s="198"/>
    </row>
    <row r="42" ht="15.75" customHeight="1">
      <c r="A42" s="248">
        <v>2026.0</v>
      </c>
      <c r="B42" s="248">
        <v>4.0</v>
      </c>
      <c r="C42" s="249">
        <v>46137.0</v>
      </c>
      <c r="D42" s="285"/>
      <c r="E42" s="285"/>
      <c r="F42" s="279" t="s">
        <v>2020</v>
      </c>
      <c r="G42" s="248">
        <v>1.0</v>
      </c>
      <c r="H42" s="279" t="s">
        <v>2549</v>
      </c>
      <c r="I42" s="280">
        <v>25.0</v>
      </c>
      <c r="J42" s="266">
        <v>8.0</v>
      </c>
      <c r="K42" s="285"/>
      <c r="L42" s="282" t="s">
        <v>2020</v>
      </c>
      <c r="M42" s="269" t="s">
        <v>2020</v>
      </c>
      <c r="N42" s="283" t="s">
        <v>2657</v>
      </c>
      <c r="O42" s="198"/>
      <c r="P42" s="198"/>
      <c r="Q42" s="198"/>
      <c r="R42" s="198"/>
    </row>
    <row r="43" ht="15.75" customHeight="1">
      <c r="A43" s="248">
        <v>2026.0</v>
      </c>
      <c r="B43" s="248">
        <v>5.0</v>
      </c>
      <c r="C43" s="249">
        <v>46149.0</v>
      </c>
      <c r="D43" s="248" t="s">
        <v>2658</v>
      </c>
      <c r="E43" s="248" t="s">
        <v>2659</v>
      </c>
      <c r="F43" s="279" t="s">
        <v>2660</v>
      </c>
      <c r="G43" s="248">
        <v>1.0</v>
      </c>
      <c r="H43" s="279" t="s">
        <v>2602</v>
      </c>
      <c r="I43" s="280">
        <v>99.0</v>
      </c>
      <c r="J43" s="266">
        <v>30.33</v>
      </c>
      <c r="K43" s="285"/>
      <c r="L43" s="282" t="s">
        <v>162</v>
      </c>
      <c r="M43" s="269" t="s">
        <v>2661</v>
      </c>
      <c r="N43" s="283" t="s">
        <v>2662</v>
      </c>
      <c r="O43" s="198"/>
      <c r="P43" s="198"/>
      <c r="Q43" s="198"/>
      <c r="R43" s="198"/>
    </row>
    <row r="44" ht="15.75" customHeight="1">
      <c r="A44" s="248">
        <v>2026.0</v>
      </c>
      <c r="B44" s="248">
        <v>5.0</v>
      </c>
      <c r="C44" s="249">
        <v>46143.0</v>
      </c>
      <c r="D44" s="248" t="s">
        <v>2561</v>
      </c>
      <c r="E44" s="248" t="s">
        <v>2562</v>
      </c>
      <c r="F44" s="279" t="s">
        <v>2525</v>
      </c>
      <c r="G44" s="248">
        <v>1.0</v>
      </c>
      <c r="H44" s="279" t="s">
        <v>2558</v>
      </c>
      <c r="I44" s="280">
        <v>0.0</v>
      </c>
      <c r="J44" s="266">
        <v>19.0</v>
      </c>
      <c r="K44" s="248" t="s">
        <v>2663</v>
      </c>
      <c r="L44" s="282" t="s">
        <v>269</v>
      </c>
      <c r="M44" s="269" t="s">
        <v>270</v>
      </c>
      <c r="N44" s="283" t="s">
        <v>2664</v>
      </c>
      <c r="O44" s="198"/>
      <c r="P44" s="198"/>
      <c r="Q44" s="198"/>
      <c r="R44" s="198"/>
    </row>
    <row r="45" ht="15.75" customHeight="1">
      <c r="A45" s="248">
        <v>2026.0</v>
      </c>
      <c r="B45" s="248">
        <v>5.0</v>
      </c>
      <c r="C45" s="249">
        <v>46151.0</v>
      </c>
      <c r="D45" s="248" t="s">
        <v>2665</v>
      </c>
      <c r="E45" s="248" t="s">
        <v>2666</v>
      </c>
      <c r="F45" s="279" t="s">
        <v>2017</v>
      </c>
      <c r="G45" s="248">
        <v>1.0</v>
      </c>
      <c r="H45" s="279" t="s">
        <v>2549</v>
      </c>
      <c r="I45" s="280">
        <v>120.0</v>
      </c>
      <c r="J45" s="266">
        <v>30.3</v>
      </c>
      <c r="K45" s="285"/>
      <c r="L45" s="282" t="s">
        <v>162</v>
      </c>
      <c r="M45" s="269" t="s">
        <v>2633</v>
      </c>
      <c r="N45" s="283" t="s">
        <v>2667</v>
      </c>
      <c r="O45" s="198"/>
      <c r="P45" s="198"/>
      <c r="Q45" s="198"/>
      <c r="R45" s="198"/>
    </row>
    <row r="46" ht="15.75" customHeight="1">
      <c r="A46" s="248">
        <v>2026.0</v>
      </c>
      <c r="B46" s="248">
        <v>6.0</v>
      </c>
      <c r="C46" s="249">
        <v>46182.0</v>
      </c>
      <c r="D46" s="248" t="s">
        <v>2668</v>
      </c>
      <c r="E46" s="248" t="s">
        <v>2669</v>
      </c>
      <c r="F46" s="279" t="s">
        <v>393</v>
      </c>
      <c r="G46" s="248">
        <v>14.0</v>
      </c>
      <c r="H46" s="279" t="s">
        <v>2558</v>
      </c>
      <c r="I46" s="280">
        <v>1040.0</v>
      </c>
      <c r="J46" s="266">
        <v>210.0</v>
      </c>
      <c r="K46" s="248" t="s">
        <v>2670</v>
      </c>
      <c r="L46" s="282" t="s">
        <v>252</v>
      </c>
      <c r="M46" s="269" t="s">
        <v>392</v>
      </c>
      <c r="N46" s="283" t="s">
        <v>2671</v>
      </c>
      <c r="O46" s="198"/>
      <c r="P46" s="198"/>
      <c r="Q46" s="198"/>
      <c r="R46" s="198"/>
    </row>
    <row r="47" ht="15.75" customHeight="1">
      <c r="A47" s="286">
        <v>2026.0</v>
      </c>
      <c r="B47" s="286">
        <v>6.0</v>
      </c>
      <c r="C47" s="287">
        <v>46182.625</v>
      </c>
      <c r="D47" s="288" t="s">
        <v>2672</v>
      </c>
      <c r="E47" s="288" t="s">
        <v>2673</v>
      </c>
      <c r="F47" s="289" t="s">
        <v>304</v>
      </c>
      <c r="G47" s="286">
        <v>0.0</v>
      </c>
      <c r="H47" s="290"/>
      <c r="I47" s="291">
        <v>0.0</v>
      </c>
      <c r="J47" s="292">
        <v>19.0</v>
      </c>
      <c r="K47" s="288" t="s">
        <v>2674</v>
      </c>
      <c r="L47" s="293" t="s">
        <v>269</v>
      </c>
      <c r="M47" s="269" t="s">
        <v>2048</v>
      </c>
      <c r="N47" s="294" t="s">
        <v>2675</v>
      </c>
      <c r="O47" s="295"/>
      <c r="P47" s="295"/>
      <c r="Q47" s="295"/>
      <c r="R47" s="295"/>
    </row>
    <row r="48" ht="15.75" customHeight="1">
      <c r="A48" s="286">
        <v>2026.0</v>
      </c>
      <c r="B48" s="286">
        <v>6.0</v>
      </c>
      <c r="C48" s="287">
        <v>46182.625</v>
      </c>
      <c r="D48" s="288" t="s">
        <v>2672</v>
      </c>
      <c r="E48" s="288" t="s">
        <v>2673</v>
      </c>
      <c r="F48" s="289" t="s">
        <v>281</v>
      </c>
      <c r="G48" s="286">
        <v>1.0</v>
      </c>
      <c r="H48" s="290"/>
      <c r="I48" s="291">
        <v>0.0</v>
      </c>
      <c r="J48" s="292">
        <v>16.5</v>
      </c>
      <c r="K48" s="288" t="s">
        <v>2676</v>
      </c>
      <c r="L48" s="293" t="s">
        <v>269</v>
      </c>
      <c r="M48" s="269" t="s">
        <v>280</v>
      </c>
      <c r="N48" s="294" t="s">
        <v>2677</v>
      </c>
      <c r="O48" s="295"/>
      <c r="P48" s="295"/>
      <c r="Q48" s="295"/>
      <c r="R48" s="295"/>
    </row>
    <row r="49" ht="15.75" customHeight="1">
      <c r="A49" s="286">
        <v>2026.0</v>
      </c>
      <c r="B49" s="286">
        <v>6.0</v>
      </c>
      <c r="C49" s="287">
        <v>46182.625</v>
      </c>
      <c r="D49" s="288" t="s">
        <v>2672</v>
      </c>
      <c r="E49" s="288" t="s">
        <v>2673</v>
      </c>
      <c r="F49" s="289" t="s">
        <v>387</v>
      </c>
      <c r="G49" s="286">
        <v>0.0</v>
      </c>
      <c r="H49" s="290"/>
      <c r="I49" s="291">
        <v>0.0</v>
      </c>
      <c r="J49" s="292">
        <v>16.5</v>
      </c>
      <c r="K49" s="288" t="s">
        <v>2678</v>
      </c>
      <c r="L49" s="293" t="s">
        <v>252</v>
      </c>
      <c r="M49" s="269" t="s">
        <v>386</v>
      </c>
      <c r="N49" s="294" t="s">
        <v>2679</v>
      </c>
      <c r="O49" s="295"/>
      <c r="P49" s="295"/>
      <c r="Q49" s="295"/>
      <c r="R49" s="295"/>
    </row>
    <row r="50" ht="15.75" customHeight="1">
      <c r="A50" s="286">
        <v>2026.0</v>
      </c>
      <c r="B50" s="286">
        <v>6.0</v>
      </c>
      <c r="C50" s="287">
        <v>46182.625</v>
      </c>
      <c r="D50" s="288" t="s">
        <v>2672</v>
      </c>
      <c r="E50" s="288" t="s">
        <v>2673</v>
      </c>
      <c r="F50" s="289" t="s">
        <v>262</v>
      </c>
      <c r="G50" s="286">
        <v>1.0</v>
      </c>
      <c r="H50" s="290"/>
      <c r="I50" s="291">
        <v>0.0</v>
      </c>
      <c r="J50" s="292">
        <v>16.5</v>
      </c>
      <c r="K50" s="288" t="s">
        <v>2680</v>
      </c>
      <c r="L50" s="293" t="s">
        <v>2681</v>
      </c>
      <c r="M50" s="269" t="s">
        <v>2682</v>
      </c>
      <c r="N50" s="294" t="s">
        <v>2683</v>
      </c>
      <c r="O50" s="295"/>
      <c r="P50" s="295"/>
      <c r="Q50" s="295"/>
      <c r="R50" s="295"/>
    </row>
    <row r="51" ht="15.75" customHeight="1">
      <c r="A51" s="286">
        <v>2026.0</v>
      </c>
      <c r="B51" s="286">
        <v>6.0</v>
      </c>
      <c r="C51" s="287">
        <v>46182.625</v>
      </c>
      <c r="D51" s="288" t="s">
        <v>2684</v>
      </c>
      <c r="E51" s="288" t="s">
        <v>2685</v>
      </c>
      <c r="F51" s="289" t="s">
        <v>264</v>
      </c>
      <c r="G51" s="286">
        <v>1.0</v>
      </c>
      <c r="H51" s="290"/>
      <c r="I51" s="291">
        <v>90.0</v>
      </c>
      <c r="J51" s="292">
        <v>16.5</v>
      </c>
      <c r="K51" s="288" t="s">
        <v>2686</v>
      </c>
      <c r="L51" s="293" t="s">
        <v>2681</v>
      </c>
      <c r="M51" s="269" t="s">
        <v>2687</v>
      </c>
      <c r="N51" s="294" t="s">
        <v>2688</v>
      </c>
      <c r="O51" s="295"/>
      <c r="P51" s="295"/>
      <c r="Q51" s="295"/>
      <c r="R51" s="295"/>
    </row>
    <row r="52" ht="15.75" customHeight="1">
      <c r="A52" s="286">
        <v>2026.0</v>
      </c>
      <c r="B52" s="286">
        <v>6.0</v>
      </c>
      <c r="C52" s="287">
        <v>46182.625</v>
      </c>
      <c r="D52" s="288" t="s">
        <v>2672</v>
      </c>
      <c r="E52" s="288" t="s">
        <v>2673</v>
      </c>
      <c r="F52" s="289" t="s">
        <v>264</v>
      </c>
      <c r="G52" s="286">
        <v>1.0</v>
      </c>
      <c r="H52" s="290"/>
      <c r="I52" s="291">
        <v>0.0</v>
      </c>
      <c r="J52" s="292">
        <v>16.5</v>
      </c>
      <c r="K52" s="288" t="s">
        <v>2689</v>
      </c>
      <c r="L52" s="293" t="s">
        <v>2681</v>
      </c>
      <c r="M52" s="269" t="s">
        <v>2687</v>
      </c>
      <c r="N52" s="294" t="s">
        <v>2690</v>
      </c>
      <c r="O52" s="295"/>
      <c r="P52" s="295"/>
      <c r="Q52" s="295"/>
      <c r="R52" s="295"/>
    </row>
    <row r="53" ht="15.75" customHeight="1">
      <c r="A53" s="286">
        <v>2026.0</v>
      </c>
      <c r="B53" s="286">
        <v>6.0</v>
      </c>
      <c r="C53" s="287">
        <v>46182.625</v>
      </c>
      <c r="D53" s="288" t="s">
        <v>2672</v>
      </c>
      <c r="E53" s="288" t="s">
        <v>2673</v>
      </c>
      <c r="F53" s="289" t="s">
        <v>264</v>
      </c>
      <c r="G53" s="286">
        <v>1.0</v>
      </c>
      <c r="H53" s="290"/>
      <c r="I53" s="291">
        <v>0.0</v>
      </c>
      <c r="J53" s="292">
        <v>16.5</v>
      </c>
      <c r="K53" s="288" t="s">
        <v>2689</v>
      </c>
      <c r="L53" s="293" t="s">
        <v>2681</v>
      </c>
      <c r="M53" s="269" t="s">
        <v>2687</v>
      </c>
      <c r="N53" s="294" t="s">
        <v>2691</v>
      </c>
      <c r="O53" s="295"/>
      <c r="P53" s="295"/>
      <c r="Q53" s="295"/>
      <c r="R53" s="295"/>
    </row>
    <row r="54" ht="15.75" customHeight="1">
      <c r="A54" s="286">
        <v>2026.0</v>
      </c>
      <c r="B54" s="286">
        <v>6.0</v>
      </c>
      <c r="C54" s="287">
        <v>46182.625</v>
      </c>
      <c r="D54" s="288" t="s">
        <v>2672</v>
      </c>
      <c r="E54" s="288" t="s">
        <v>2673</v>
      </c>
      <c r="F54" s="289" t="s">
        <v>266</v>
      </c>
      <c r="G54" s="286">
        <v>1.0</v>
      </c>
      <c r="H54" s="290"/>
      <c r="I54" s="291">
        <v>0.0</v>
      </c>
      <c r="J54" s="292">
        <v>16.5</v>
      </c>
      <c r="K54" s="288" t="s">
        <v>2692</v>
      </c>
      <c r="L54" s="293" t="s">
        <v>2681</v>
      </c>
      <c r="M54" s="269" t="s">
        <v>2693</v>
      </c>
      <c r="N54" s="294" t="s">
        <v>2694</v>
      </c>
      <c r="O54" s="295"/>
      <c r="P54" s="295"/>
      <c r="Q54" s="295"/>
      <c r="R54" s="295"/>
    </row>
    <row r="55" ht="15.75" customHeight="1">
      <c r="A55" s="286">
        <v>2026.0</v>
      </c>
      <c r="B55" s="286">
        <v>6.0</v>
      </c>
      <c r="C55" s="287">
        <v>46182.625</v>
      </c>
      <c r="D55" s="288" t="s">
        <v>2672</v>
      </c>
      <c r="E55" s="288" t="s">
        <v>2673</v>
      </c>
      <c r="F55" s="289" t="s">
        <v>256</v>
      </c>
      <c r="G55" s="286">
        <v>1.0</v>
      </c>
      <c r="H55" s="290"/>
      <c r="I55" s="291">
        <v>0.0</v>
      </c>
      <c r="J55" s="292">
        <v>16.5</v>
      </c>
      <c r="K55" s="288" t="s">
        <v>2695</v>
      </c>
      <c r="L55" s="293" t="s">
        <v>2681</v>
      </c>
      <c r="M55" s="269" t="s">
        <v>259</v>
      </c>
      <c r="N55" s="294" t="s">
        <v>2696</v>
      </c>
      <c r="O55" s="295"/>
      <c r="P55" s="295"/>
      <c r="Q55" s="295"/>
      <c r="R55" s="295"/>
    </row>
    <row r="56" ht="15.75" customHeight="1">
      <c r="A56" s="286">
        <v>2026.0</v>
      </c>
      <c r="B56" s="286">
        <v>6.0</v>
      </c>
      <c r="C56" s="287">
        <v>46182.625</v>
      </c>
      <c r="D56" s="288" t="s">
        <v>2672</v>
      </c>
      <c r="E56" s="288" t="s">
        <v>2673</v>
      </c>
      <c r="F56" s="289" t="s">
        <v>256</v>
      </c>
      <c r="G56" s="286">
        <v>1.0</v>
      </c>
      <c r="H56" s="290"/>
      <c r="I56" s="291">
        <v>0.0</v>
      </c>
      <c r="J56" s="292">
        <v>16.5</v>
      </c>
      <c r="K56" s="288" t="s">
        <v>2695</v>
      </c>
      <c r="L56" s="293" t="s">
        <v>2681</v>
      </c>
      <c r="M56" s="269" t="s">
        <v>259</v>
      </c>
      <c r="N56" s="294" t="s">
        <v>2697</v>
      </c>
      <c r="O56" s="295"/>
      <c r="P56" s="295"/>
      <c r="Q56" s="295"/>
      <c r="R56" s="295"/>
    </row>
    <row r="57" ht="15.75" customHeight="1">
      <c r="A57" s="286">
        <v>2026.0</v>
      </c>
      <c r="B57" s="286">
        <v>6.0</v>
      </c>
      <c r="C57" s="287">
        <v>46182.625</v>
      </c>
      <c r="D57" s="288" t="s">
        <v>2672</v>
      </c>
      <c r="E57" s="288" t="s">
        <v>2673</v>
      </c>
      <c r="F57" s="289" t="s">
        <v>389</v>
      </c>
      <c r="G57" s="286">
        <v>0.0</v>
      </c>
      <c r="H57" s="290"/>
      <c r="I57" s="291">
        <v>0.0</v>
      </c>
      <c r="J57" s="292">
        <v>16.5</v>
      </c>
      <c r="K57" s="288" t="s">
        <v>2698</v>
      </c>
      <c r="L57" s="293" t="s">
        <v>252</v>
      </c>
      <c r="M57" s="269" t="s">
        <v>2699</v>
      </c>
      <c r="N57" s="294" t="s">
        <v>2700</v>
      </c>
      <c r="O57" s="295"/>
      <c r="P57" s="295"/>
      <c r="Q57" s="295"/>
      <c r="R57" s="295"/>
    </row>
    <row r="58" ht="15.75" customHeight="1">
      <c r="A58" s="286">
        <v>2026.0</v>
      </c>
      <c r="B58" s="286">
        <v>6.0</v>
      </c>
      <c r="C58" s="287">
        <v>46182.625</v>
      </c>
      <c r="D58" s="288" t="s">
        <v>2672</v>
      </c>
      <c r="E58" s="288" t="s">
        <v>2673</v>
      </c>
      <c r="F58" s="289" t="s">
        <v>285</v>
      </c>
      <c r="G58" s="286">
        <v>0.0</v>
      </c>
      <c r="H58" s="290"/>
      <c r="I58" s="291">
        <v>0.0</v>
      </c>
      <c r="J58" s="292">
        <v>16.5</v>
      </c>
      <c r="K58" s="288" t="s">
        <v>2701</v>
      </c>
      <c r="L58" s="293" t="s">
        <v>252</v>
      </c>
      <c r="M58" s="269" t="s">
        <v>284</v>
      </c>
      <c r="N58" s="294" t="s">
        <v>2702</v>
      </c>
      <c r="O58" s="295"/>
      <c r="P58" s="295"/>
      <c r="Q58" s="295"/>
      <c r="R58" s="295"/>
    </row>
    <row r="59" ht="15.75" customHeight="1">
      <c r="A59" s="286">
        <v>2026.0</v>
      </c>
      <c r="B59" s="286">
        <v>6.0</v>
      </c>
      <c r="C59" s="287">
        <v>46182.625</v>
      </c>
      <c r="D59" s="288" t="s">
        <v>2672</v>
      </c>
      <c r="E59" s="288" t="s">
        <v>2673</v>
      </c>
      <c r="F59" s="289" t="s">
        <v>285</v>
      </c>
      <c r="G59" s="286">
        <v>1.0</v>
      </c>
      <c r="H59" s="290"/>
      <c r="I59" s="291">
        <v>0.0</v>
      </c>
      <c r="J59" s="292">
        <v>16.5</v>
      </c>
      <c r="K59" s="288" t="s">
        <v>2701</v>
      </c>
      <c r="L59" s="293" t="s">
        <v>252</v>
      </c>
      <c r="M59" s="269" t="s">
        <v>284</v>
      </c>
      <c r="N59" s="294" t="s">
        <v>2703</v>
      </c>
      <c r="O59" s="295"/>
      <c r="P59" s="295"/>
      <c r="Q59" s="295"/>
      <c r="R59" s="295"/>
    </row>
    <row r="60" ht="15.75" customHeight="1">
      <c r="A60" s="286">
        <v>2026.0</v>
      </c>
      <c r="B60" s="286">
        <v>6.0</v>
      </c>
      <c r="C60" s="287">
        <v>46182.625</v>
      </c>
      <c r="D60" s="288" t="s">
        <v>2672</v>
      </c>
      <c r="E60" s="288" t="s">
        <v>2673</v>
      </c>
      <c r="F60" s="289" t="s">
        <v>285</v>
      </c>
      <c r="G60" s="286">
        <v>1.0</v>
      </c>
      <c r="H60" s="290"/>
      <c r="I60" s="291">
        <v>0.0</v>
      </c>
      <c r="J60" s="292">
        <v>16.5</v>
      </c>
      <c r="K60" s="288" t="s">
        <v>2701</v>
      </c>
      <c r="L60" s="293" t="s">
        <v>252</v>
      </c>
      <c r="M60" s="269" t="s">
        <v>284</v>
      </c>
      <c r="N60" s="294" t="s">
        <v>2704</v>
      </c>
      <c r="O60" s="295"/>
      <c r="P60" s="295"/>
      <c r="Q60" s="295"/>
      <c r="R60" s="295"/>
    </row>
    <row r="61" ht="15.75" customHeight="1">
      <c r="A61" s="286">
        <v>2026.0</v>
      </c>
      <c r="B61" s="286">
        <v>6.0</v>
      </c>
      <c r="C61" s="287">
        <v>46182.625</v>
      </c>
      <c r="D61" s="288" t="s">
        <v>2705</v>
      </c>
      <c r="E61" s="288" t="s">
        <v>2706</v>
      </c>
      <c r="F61" s="289" t="s">
        <v>260</v>
      </c>
      <c r="G61" s="286">
        <v>1.0</v>
      </c>
      <c r="H61" s="290"/>
      <c r="I61" s="291">
        <v>0.0</v>
      </c>
      <c r="J61" s="292">
        <v>16.5</v>
      </c>
      <c r="K61" s="288" t="s">
        <v>2707</v>
      </c>
      <c r="L61" s="293" t="s">
        <v>2613</v>
      </c>
      <c r="M61" s="269" t="s">
        <v>259</v>
      </c>
      <c r="N61" s="294" t="s">
        <v>2708</v>
      </c>
      <c r="O61" s="295"/>
      <c r="P61" s="295"/>
      <c r="Q61" s="295"/>
      <c r="R61" s="295"/>
    </row>
    <row r="62" ht="15.75" customHeight="1">
      <c r="A62" s="286">
        <v>2026.0</v>
      </c>
      <c r="B62" s="286">
        <v>6.0</v>
      </c>
      <c r="C62" s="287">
        <v>46182.625</v>
      </c>
      <c r="D62" s="288" t="s">
        <v>2672</v>
      </c>
      <c r="E62" s="288" t="s">
        <v>2673</v>
      </c>
      <c r="F62" s="289" t="s">
        <v>260</v>
      </c>
      <c r="G62" s="286">
        <v>0.0</v>
      </c>
      <c r="H62" s="290"/>
      <c r="I62" s="291">
        <v>0.0</v>
      </c>
      <c r="J62" s="292">
        <v>16.5</v>
      </c>
      <c r="K62" s="288" t="s">
        <v>2709</v>
      </c>
      <c r="L62" s="293" t="s">
        <v>2613</v>
      </c>
      <c r="M62" s="269" t="s">
        <v>259</v>
      </c>
      <c r="N62" s="294" t="s">
        <v>2710</v>
      </c>
      <c r="O62" s="295"/>
      <c r="P62" s="295"/>
      <c r="Q62" s="295"/>
      <c r="R62" s="295"/>
    </row>
    <row r="63" ht="15.75" customHeight="1">
      <c r="A63" s="286">
        <v>2026.0</v>
      </c>
      <c r="B63" s="286">
        <v>6.0</v>
      </c>
      <c r="C63" s="287">
        <v>46182.625</v>
      </c>
      <c r="D63" s="288" t="s">
        <v>2672</v>
      </c>
      <c r="E63" s="288" t="s">
        <v>2673</v>
      </c>
      <c r="F63" s="289" t="s">
        <v>260</v>
      </c>
      <c r="G63" s="286">
        <v>1.0</v>
      </c>
      <c r="H63" s="290"/>
      <c r="I63" s="291">
        <v>0.0</v>
      </c>
      <c r="J63" s="292">
        <v>16.5</v>
      </c>
      <c r="K63" s="288" t="s">
        <v>2709</v>
      </c>
      <c r="L63" s="293" t="s">
        <v>2613</v>
      </c>
      <c r="M63" s="269" t="s">
        <v>259</v>
      </c>
      <c r="N63" s="294" t="s">
        <v>2711</v>
      </c>
      <c r="O63" s="295"/>
      <c r="P63" s="295"/>
      <c r="Q63" s="295"/>
      <c r="R63" s="295"/>
    </row>
    <row r="64" ht="15.75" customHeight="1">
      <c r="A64" s="286">
        <v>2026.0</v>
      </c>
      <c r="B64" s="286">
        <v>6.0</v>
      </c>
      <c r="C64" s="287">
        <v>46182.625</v>
      </c>
      <c r="D64" s="288" t="s">
        <v>2668</v>
      </c>
      <c r="E64" s="288" t="s">
        <v>2712</v>
      </c>
      <c r="F64" s="289" t="s">
        <v>254</v>
      </c>
      <c r="G64" s="286">
        <v>1.0</v>
      </c>
      <c r="H64" s="290"/>
      <c r="I64" s="291">
        <v>0.0</v>
      </c>
      <c r="J64" s="292">
        <v>16.5</v>
      </c>
      <c r="K64" s="288" t="s">
        <v>2713</v>
      </c>
      <c r="L64" s="293" t="s">
        <v>2613</v>
      </c>
      <c r="M64" s="269" t="s">
        <v>253</v>
      </c>
      <c r="N64" s="294" t="s">
        <v>2714</v>
      </c>
      <c r="O64" s="295"/>
      <c r="P64" s="295"/>
      <c r="Q64" s="295"/>
      <c r="R64" s="295"/>
    </row>
    <row r="65" ht="15.75" customHeight="1">
      <c r="A65" s="286">
        <v>2026.0</v>
      </c>
      <c r="B65" s="286">
        <v>6.0</v>
      </c>
      <c r="C65" s="287">
        <v>46182.625</v>
      </c>
      <c r="D65" s="288" t="s">
        <v>2668</v>
      </c>
      <c r="E65" s="288" t="s">
        <v>2712</v>
      </c>
      <c r="F65" s="289" t="s">
        <v>254</v>
      </c>
      <c r="G65" s="286">
        <v>1.0</v>
      </c>
      <c r="H65" s="290"/>
      <c r="I65" s="291">
        <v>0.0</v>
      </c>
      <c r="J65" s="292">
        <v>16.5</v>
      </c>
      <c r="K65" s="288" t="s">
        <v>2713</v>
      </c>
      <c r="L65" s="293" t="s">
        <v>2613</v>
      </c>
      <c r="M65" s="269" t="s">
        <v>253</v>
      </c>
      <c r="N65" s="294" t="s">
        <v>2715</v>
      </c>
      <c r="O65" s="295"/>
      <c r="P65" s="295"/>
      <c r="Q65" s="295"/>
      <c r="R65" s="295"/>
    </row>
    <row r="66" ht="15.75" customHeight="1">
      <c r="A66" s="286">
        <v>2026.0</v>
      </c>
      <c r="B66" s="286">
        <v>6.0</v>
      </c>
      <c r="C66" s="287">
        <v>46182.625</v>
      </c>
      <c r="D66" s="288" t="s">
        <v>2668</v>
      </c>
      <c r="E66" s="288" t="s">
        <v>2712</v>
      </c>
      <c r="F66" s="289" t="s">
        <v>254</v>
      </c>
      <c r="G66" s="286">
        <v>1.0</v>
      </c>
      <c r="H66" s="290"/>
      <c r="I66" s="291">
        <v>0.0</v>
      </c>
      <c r="J66" s="292">
        <v>16.5</v>
      </c>
      <c r="K66" s="288" t="s">
        <v>2713</v>
      </c>
      <c r="L66" s="293" t="s">
        <v>2613</v>
      </c>
      <c r="M66" s="269" t="s">
        <v>253</v>
      </c>
      <c r="N66" s="294" t="s">
        <v>2716</v>
      </c>
      <c r="O66" s="295"/>
      <c r="P66" s="295"/>
      <c r="Q66" s="295"/>
      <c r="R66" s="295"/>
    </row>
    <row r="67" ht="15.75" customHeight="1">
      <c r="A67" s="286">
        <v>2026.0</v>
      </c>
      <c r="B67" s="286">
        <v>6.0</v>
      </c>
      <c r="C67" s="287">
        <v>46182.625</v>
      </c>
      <c r="D67" s="288" t="s">
        <v>2668</v>
      </c>
      <c r="E67" s="288" t="s">
        <v>2712</v>
      </c>
      <c r="F67" s="289" t="s">
        <v>254</v>
      </c>
      <c r="G67" s="286">
        <v>1.0</v>
      </c>
      <c r="H67" s="290"/>
      <c r="I67" s="291">
        <v>0.0</v>
      </c>
      <c r="J67" s="292">
        <v>16.5</v>
      </c>
      <c r="K67" s="288" t="s">
        <v>2713</v>
      </c>
      <c r="L67" s="293" t="s">
        <v>2613</v>
      </c>
      <c r="M67" s="269" t="s">
        <v>253</v>
      </c>
      <c r="N67" s="294" t="s">
        <v>2717</v>
      </c>
      <c r="O67" s="295"/>
      <c r="P67" s="295"/>
      <c r="Q67" s="295"/>
      <c r="R67" s="295"/>
    </row>
    <row r="68" ht="15.75" customHeight="1">
      <c r="A68" s="286">
        <v>2026.0</v>
      </c>
      <c r="B68" s="286">
        <v>6.0</v>
      </c>
      <c r="C68" s="287">
        <v>46182.625</v>
      </c>
      <c r="D68" s="288" t="s">
        <v>2668</v>
      </c>
      <c r="E68" s="288" t="s">
        <v>2712</v>
      </c>
      <c r="F68" s="289" t="s">
        <v>254</v>
      </c>
      <c r="G68" s="286">
        <v>1.0</v>
      </c>
      <c r="H68" s="290"/>
      <c r="I68" s="291">
        <v>0.0</v>
      </c>
      <c r="J68" s="292">
        <v>16.5</v>
      </c>
      <c r="K68" s="288" t="s">
        <v>2713</v>
      </c>
      <c r="L68" s="293" t="s">
        <v>2613</v>
      </c>
      <c r="M68" s="269" t="s">
        <v>253</v>
      </c>
      <c r="N68" s="294" t="s">
        <v>2718</v>
      </c>
      <c r="O68" s="295"/>
      <c r="P68" s="295"/>
      <c r="Q68" s="295"/>
      <c r="R68" s="295"/>
    </row>
    <row r="69" ht="15.75" customHeight="1">
      <c r="A69" s="286">
        <v>2026.0</v>
      </c>
      <c r="B69" s="286">
        <v>6.0</v>
      </c>
      <c r="C69" s="287">
        <v>46182.625</v>
      </c>
      <c r="D69" s="288" t="s">
        <v>2668</v>
      </c>
      <c r="E69" s="288" t="s">
        <v>2712</v>
      </c>
      <c r="F69" s="289" t="s">
        <v>254</v>
      </c>
      <c r="G69" s="286">
        <v>1.0</v>
      </c>
      <c r="H69" s="290"/>
      <c r="I69" s="291">
        <v>0.0</v>
      </c>
      <c r="J69" s="292">
        <v>16.5</v>
      </c>
      <c r="K69" s="288" t="s">
        <v>2713</v>
      </c>
      <c r="L69" s="293" t="s">
        <v>2613</v>
      </c>
      <c r="M69" s="269" t="s">
        <v>253</v>
      </c>
      <c r="N69" s="294" t="s">
        <v>2719</v>
      </c>
      <c r="O69" s="295"/>
      <c r="P69" s="295"/>
      <c r="Q69" s="295"/>
      <c r="R69" s="295"/>
    </row>
    <row r="70" ht="15.75" customHeight="1">
      <c r="A70" s="286">
        <v>2026.0</v>
      </c>
      <c r="B70" s="286">
        <v>6.0</v>
      </c>
      <c r="C70" s="287">
        <v>46182.625</v>
      </c>
      <c r="D70" s="288" t="s">
        <v>2668</v>
      </c>
      <c r="E70" s="288" t="s">
        <v>2712</v>
      </c>
      <c r="F70" s="289" t="s">
        <v>254</v>
      </c>
      <c r="G70" s="286">
        <v>1.0</v>
      </c>
      <c r="H70" s="290"/>
      <c r="I70" s="291">
        <v>0.0</v>
      </c>
      <c r="J70" s="292">
        <v>16.5</v>
      </c>
      <c r="K70" s="288" t="s">
        <v>2713</v>
      </c>
      <c r="L70" s="293" t="s">
        <v>2613</v>
      </c>
      <c r="M70" s="269" t="s">
        <v>253</v>
      </c>
      <c r="N70" s="294" t="s">
        <v>2720</v>
      </c>
      <c r="O70" s="295"/>
      <c r="P70" s="295"/>
      <c r="Q70" s="295"/>
      <c r="R70" s="295"/>
    </row>
    <row r="71" ht="15.75" customHeight="1">
      <c r="A71" s="286">
        <v>2026.0</v>
      </c>
      <c r="B71" s="286">
        <v>6.0</v>
      </c>
      <c r="C71" s="287">
        <v>46182.625</v>
      </c>
      <c r="D71" s="288" t="s">
        <v>2668</v>
      </c>
      <c r="E71" s="288" t="s">
        <v>2712</v>
      </c>
      <c r="F71" s="289" t="s">
        <v>254</v>
      </c>
      <c r="G71" s="286">
        <v>1.0</v>
      </c>
      <c r="H71" s="290"/>
      <c r="I71" s="291">
        <v>0.0</v>
      </c>
      <c r="J71" s="292">
        <v>16.5</v>
      </c>
      <c r="K71" s="288" t="s">
        <v>2713</v>
      </c>
      <c r="L71" s="293" t="s">
        <v>2613</v>
      </c>
      <c r="M71" s="269" t="s">
        <v>253</v>
      </c>
      <c r="N71" s="294" t="s">
        <v>2721</v>
      </c>
      <c r="O71" s="295"/>
      <c r="P71" s="295"/>
      <c r="Q71" s="295"/>
      <c r="R71" s="295"/>
    </row>
    <row r="72" ht="15.75" customHeight="1">
      <c r="A72" s="286">
        <v>2026.0</v>
      </c>
      <c r="B72" s="286">
        <v>6.0</v>
      </c>
      <c r="C72" s="287">
        <v>46182.625</v>
      </c>
      <c r="D72" s="288" t="s">
        <v>2668</v>
      </c>
      <c r="E72" s="288" t="s">
        <v>2712</v>
      </c>
      <c r="F72" s="289" t="s">
        <v>254</v>
      </c>
      <c r="G72" s="286">
        <v>1.0</v>
      </c>
      <c r="H72" s="290"/>
      <c r="I72" s="291">
        <v>0.0</v>
      </c>
      <c r="J72" s="292">
        <v>16.5</v>
      </c>
      <c r="K72" s="288" t="s">
        <v>2713</v>
      </c>
      <c r="L72" s="293" t="s">
        <v>2613</v>
      </c>
      <c r="M72" s="269" t="s">
        <v>253</v>
      </c>
      <c r="N72" s="294" t="s">
        <v>2722</v>
      </c>
      <c r="O72" s="295"/>
      <c r="P72" s="295"/>
      <c r="Q72" s="295"/>
      <c r="R72" s="295"/>
    </row>
    <row r="73" ht="15.75" customHeight="1">
      <c r="A73" s="286">
        <v>2026.0</v>
      </c>
      <c r="B73" s="286">
        <v>6.0</v>
      </c>
      <c r="C73" s="287">
        <v>46182.625</v>
      </c>
      <c r="D73" s="288" t="s">
        <v>2705</v>
      </c>
      <c r="E73" s="288" t="s">
        <v>2706</v>
      </c>
      <c r="F73" s="289" t="s">
        <v>254</v>
      </c>
      <c r="G73" s="286">
        <v>1.0</v>
      </c>
      <c r="H73" s="290"/>
      <c r="I73" s="291">
        <v>0.0</v>
      </c>
      <c r="J73" s="292">
        <v>16.5</v>
      </c>
      <c r="K73" s="288" t="s">
        <v>2723</v>
      </c>
      <c r="L73" s="293" t="s">
        <v>2613</v>
      </c>
      <c r="M73" s="269" t="s">
        <v>253</v>
      </c>
      <c r="N73" s="294" t="s">
        <v>2724</v>
      </c>
      <c r="O73" s="295"/>
      <c r="P73" s="295"/>
      <c r="Q73" s="295"/>
      <c r="R73" s="295"/>
    </row>
    <row r="74" ht="15.75" customHeight="1">
      <c r="A74" s="286">
        <v>2026.0</v>
      </c>
      <c r="B74" s="286">
        <v>6.0</v>
      </c>
      <c r="C74" s="287">
        <v>46182.625</v>
      </c>
      <c r="D74" s="288" t="s">
        <v>2672</v>
      </c>
      <c r="E74" s="288" t="s">
        <v>2673</v>
      </c>
      <c r="F74" s="289" t="s">
        <v>221</v>
      </c>
      <c r="G74" s="286">
        <v>1.0</v>
      </c>
      <c r="H74" s="290"/>
      <c r="I74" s="291">
        <v>0.0</v>
      </c>
      <c r="J74" s="292">
        <v>33.0</v>
      </c>
      <c r="K74" s="288" t="s">
        <v>2725</v>
      </c>
      <c r="L74" s="293" t="s">
        <v>162</v>
      </c>
      <c r="M74" s="269" t="s">
        <v>220</v>
      </c>
      <c r="N74" s="294" t="s">
        <v>2726</v>
      </c>
      <c r="O74" s="295"/>
      <c r="P74" s="295"/>
      <c r="Q74" s="295"/>
      <c r="R74" s="295"/>
    </row>
    <row r="75" ht="15.75" customHeight="1">
      <c r="A75" s="286">
        <v>2026.0</v>
      </c>
      <c r="B75" s="286">
        <v>6.0</v>
      </c>
      <c r="C75" s="287">
        <v>46182.625</v>
      </c>
      <c r="D75" s="288" t="s">
        <v>2672</v>
      </c>
      <c r="E75" s="288" t="s">
        <v>2673</v>
      </c>
      <c r="F75" s="289" t="s">
        <v>221</v>
      </c>
      <c r="G75" s="286">
        <v>1.0</v>
      </c>
      <c r="H75" s="290"/>
      <c r="I75" s="291">
        <v>0.0</v>
      </c>
      <c r="J75" s="292">
        <v>33.0</v>
      </c>
      <c r="K75" s="288" t="s">
        <v>2725</v>
      </c>
      <c r="L75" s="293" t="s">
        <v>162</v>
      </c>
      <c r="M75" s="269" t="s">
        <v>220</v>
      </c>
      <c r="N75" s="294" t="s">
        <v>2727</v>
      </c>
      <c r="O75" s="295"/>
      <c r="P75" s="295"/>
      <c r="Q75" s="295"/>
      <c r="R75" s="295"/>
    </row>
    <row r="76" ht="15.75" customHeight="1">
      <c r="A76" s="286">
        <v>2026.0</v>
      </c>
      <c r="B76" s="286">
        <v>6.0</v>
      </c>
      <c r="C76" s="287">
        <v>46182.625</v>
      </c>
      <c r="D76" s="288" t="s">
        <v>2672</v>
      </c>
      <c r="E76" s="288" t="s">
        <v>2673</v>
      </c>
      <c r="F76" s="289" t="s">
        <v>221</v>
      </c>
      <c r="G76" s="286">
        <v>1.0</v>
      </c>
      <c r="H76" s="290"/>
      <c r="I76" s="291">
        <v>0.0</v>
      </c>
      <c r="J76" s="292">
        <v>33.0</v>
      </c>
      <c r="K76" s="288" t="s">
        <v>2725</v>
      </c>
      <c r="L76" s="293" t="s">
        <v>162</v>
      </c>
      <c r="M76" s="269" t="s">
        <v>220</v>
      </c>
      <c r="N76" s="294" t="s">
        <v>2728</v>
      </c>
      <c r="O76" s="295"/>
      <c r="P76" s="295"/>
      <c r="Q76" s="295"/>
      <c r="R76" s="295"/>
    </row>
    <row r="77" ht="15.75" customHeight="1">
      <c r="A77" s="286">
        <v>2026.0</v>
      </c>
      <c r="B77" s="286">
        <v>6.0</v>
      </c>
      <c r="C77" s="287">
        <v>46182.625</v>
      </c>
      <c r="D77" s="288" t="s">
        <v>2672</v>
      </c>
      <c r="E77" s="288" t="s">
        <v>2673</v>
      </c>
      <c r="F77" s="289" t="s">
        <v>291</v>
      </c>
      <c r="G77" s="286">
        <v>0.0</v>
      </c>
      <c r="H77" s="290"/>
      <c r="I77" s="291">
        <v>0.0</v>
      </c>
      <c r="J77" s="292">
        <v>20.0</v>
      </c>
      <c r="K77" s="288" t="s">
        <v>2729</v>
      </c>
      <c r="L77" s="293" t="s">
        <v>162</v>
      </c>
      <c r="M77" s="269" t="s">
        <v>2730</v>
      </c>
      <c r="N77" s="294" t="s">
        <v>2731</v>
      </c>
      <c r="O77" s="295"/>
      <c r="P77" s="295"/>
      <c r="Q77" s="295"/>
      <c r="R77" s="295"/>
    </row>
    <row r="78" ht="15.75" customHeight="1">
      <c r="A78" s="286">
        <v>2026.0</v>
      </c>
      <c r="B78" s="286">
        <v>6.0</v>
      </c>
      <c r="C78" s="287">
        <v>46182.625</v>
      </c>
      <c r="D78" s="288" t="s">
        <v>2672</v>
      </c>
      <c r="E78" s="288" t="s">
        <v>2673</v>
      </c>
      <c r="F78" s="289" t="s">
        <v>298</v>
      </c>
      <c r="G78" s="286">
        <v>0.0</v>
      </c>
      <c r="H78" s="290"/>
      <c r="I78" s="291">
        <v>0.0</v>
      </c>
      <c r="J78" s="292">
        <v>20.0</v>
      </c>
      <c r="K78" s="288" t="s">
        <v>2732</v>
      </c>
      <c r="L78" s="293" t="s">
        <v>162</v>
      </c>
      <c r="M78" s="269" t="s">
        <v>2044</v>
      </c>
      <c r="N78" s="294" t="s">
        <v>2733</v>
      </c>
      <c r="O78" s="295"/>
      <c r="P78" s="295"/>
      <c r="Q78" s="295"/>
      <c r="R78" s="295"/>
    </row>
    <row r="79" ht="15.75" customHeight="1">
      <c r="A79" s="286">
        <v>2026.0</v>
      </c>
      <c r="B79" s="286">
        <v>6.0</v>
      </c>
      <c r="C79" s="287">
        <v>46182.625</v>
      </c>
      <c r="D79" s="288" t="s">
        <v>2672</v>
      </c>
      <c r="E79" s="288" t="s">
        <v>2673</v>
      </c>
      <c r="F79" s="289" t="s">
        <v>247</v>
      </c>
      <c r="G79" s="286">
        <v>0.0</v>
      </c>
      <c r="H79" s="290"/>
      <c r="I79" s="291">
        <v>0.0</v>
      </c>
      <c r="J79" s="292">
        <v>36.0</v>
      </c>
      <c r="K79" s="288" t="s">
        <v>2734</v>
      </c>
      <c r="L79" s="293" t="s">
        <v>242</v>
      </c>
      <c r="M79" s="269" t="s">
        <v>2735</v>
      </c>
      <c r="N79" s="294" t="s">
        <v>2736</v>
      </c>
      <c r="O79" s="295"/>
      <c r="P79" s="295"/>
      <c r="Q79" s="295"/>
      <c r="R79" s="295"/>
    </row>
    <row r="80" ht="15.75" customHeight="1">
      <c r="A80" s="286">
        <v>2026.0</v>
      </c>
      <c r="B80" s="286">
        <v>6.0</v>
      </c>
      <c r="C80" s="287">
        <v>46182.625</v>
      </c>
      <c r="D80" s="288" t="s">
        <v>2672</v>
      </c>
      <c r="E80" s="288" t="s">
        <v>2673</v>
      </c>
      <c r="F80" s="289" t="s">
        <v>247</v>
      </c>
      <c r="G80" s="286">
        <v>1.0</v>
      </c>
      <c r="H80" s="290"/>
      <c r="I80" s="291">
        <v>0.0</v>
      </c>
      <c r="J80" s="292">
        <v>36.0</v>
      </c>
      <c r="K80" s="288" t="s">
        <v>2734</v>
      </c>
      <c r="L80" s="293" t="s">
        <v>242</v>
      </c>
      <c r="M80" s="269" t="s">
        <v>2735</v>
      </c>
      <c r="N80" s="294">
        <v>3.3007533E7</v>
      </c>
      <c r="O80" s="295"/>
      <c r="P80" s="295"/>
      <c r="Q80" s="295"/>
      <c r="R80" s="295"/>
    </row>
    <row r="81" ht="15.75" customHeight="1">
      <c r="A81" s="286">
        <v>2026.0</v>
      </c>
      <c r="B81" s="286">
        <v>6.0</v>
      </c>
      <c r="C81" s="287">
        <v>46182.625</v>
      </c>
      <c r="D81" s="288" t="s">
        <v>2672</v>
      </c>
      <c r="E81" s="288" t="s">
        <v>2673</v>
      </c>
      <c r="F81" s="289" t="s">
        <v>247</v>
      </c>
      <c r="G81" s="286">
        <v>0.0</v>
      </c>
      <c r="H81" s="290"/>
      <c r="I81" s="291">
        <v>0.0</v>
      </c>
      <c r="J81" s="292">
        <v>36.0</v>
      </c>
      <c r="K81" s="288" t="s">
        <v>2734</v>
      </c>
      <c r="L81" s="293" t="s">
        <v>242</v>
      </c>
      <c r="M81" s="269" t="s">
        <v>2735</v>
      </c>
      <c r="N81" s="294" t="s">
        <v>2737</v>
      </c>
      <c r="O81" s="295"/>
      <c r="P81" s="295"/>
      <c r="Q81" s="295"/>
      <c r="R81" s="295"/>
    </row>
    <row r="82" ht="15.75" customHeight="1">
      <c r="A82" s="286">
        <v>2026.0</v>
      </c>
      <c r="B82" s="286">
        <v>6.0</v>
      </c>
      <c r="C82" s="287">
        <v>46182.625</v>
      </c>
      <c r="D82" s="288" t="s">
        <v>2738</v>
      </c>
      <c r="E82" s="288" t="s">
        <v>2739</v>
      </c>
      <c r="F82" s="289" t="s">
        <v>244</v>
      </c>
      <c r="G82" s="286">
        <v>1.0</v>
      </c>
      <c r="H82" s="290"/>
      <c r="I82" s="291">
        <v>0.0</v>
      </c>
      <c r="J82" s="292">
        <v>30.0</v>
      </c>
      <c r="K82" s="288" t="s">
        <v>2740</v>
      </c>
      <c r="L82" s="293" t="s">
        <v>242</v>
      </c>
      <c r="M82" s="269" t="s">
        <v>2043</v>
      </c>
      <c r="N82" s="294" t="s">
        <v>2741</v>
      </c>
      <c r="O82" s="295"/>
      <c r="P82" s="295"/>
      <c r="Q82" s="295"/>
      <c r="R82" s="295"/>
    </row>
    <row r="83" ht="15.75" customHeight="1">
      <c r="A83" s="286">
        <v>2026.0</v>
      </c>
      <c r="B83" s="286">
        <v>6.0</v>
      </c>
      <c r="C83" s="287">
        <v>46182.625</v>
      </c>
      <c r="D83" s="288" t="s">
        <v>2742</v>
      </c>
      <c r="E83" s="288" t="s">
        <v>2743</v>
      </c>
      <c r="F83" s="289" t="s">
        <v>244</v>
      </c>
      <c r="G83" s="286">
        <v>1.0</v>
      </c>
      <c r="H83" s="290"/>
      <c r="I83" s="291">
        <v>0.0</v>
      </c>
      <c r="J83" s="292">
        <v>30.0</v>
      </c>
      <c r="K83" s="288" t="s">
        <v>2744</v>
      </c>
      <c r="L83" s="293" t="s">
        <v>242</v>
      </c>
      <c r="M83" s="269" t="s">
        <v>2043</v>
      </c>
      <c r="N83" s="294" t="s">
        <v>2745</v>
      </c>
      <c r="O83" s="295"/>
      <c r="P83" s="295"/>
      <c r="Q83" s="295"/>
      <c r="R83" s="295"/>
    </row>
    <row r="84" ht="15.75" customHeight="1">
      <c r="A84" s="286">
        <v>2026.0</v>
      </c>
      <c r="B84" s="286">
        <v>6.0</v>
      </c>
      <c r="C84" s="287">
        <v>46182.625</v>
      </c>
      <c r="D84" s="288" t="s">
        <v>2672</v>
      </c>
      <c r="E84" s="288" t="s">
        <v>2673</v>
      </c>
      <c r="F84" s="289" t="s">
        <v>244</v>
      </c>
      <c r="G84" s="286">
        <v>0.0</v>
      </c>
      <c r="H84" s="290"/>
      <c r="I84" s="291">
        <v>0.0</v>
      </c>
      <c r="J84" s="292">
        <v>30.0</v>
      </c>
      <c r="K84" s="288" t="s">
        <v>2746</v>
      </c>
      <c r="L84" s="293" t="s">
        <v>242</v>
      </c>
      <c r="M84" s="269" t="s">
        <v>2043</v>
      </c>
      <c r="N84" s="294" t="s">
        <v>2747</v>
      </c>
      <c r="O84" s="295"/>
      <c r="P84" s="295"/>
      <c r="Q84" s="295"/>
      <c r="R84" s="295"/>
    </row>
    <row r="85" ht="15.75" customHeight="1">
      <c r="A85" s="286">
        <v>2026.0</v>
      </c>
      <c r="B85" s="286">
        <v>6.0</v>
      </c>
      <c r="C85" s="287">
        <v>46182.625</v>
      </c>
      <c r="D85" s="288" t="s">
        <v>2672</v>
      </c>
      <c r="E85" s="288" t="s">
        <v>2673</v>
      </c>
      <c r="F85" s="289" t="s">
        <v>244</v>
      </c>
      <c r="G85" s="286">
        <v>0.0</v>
      </c>
      <c r="H85" s="290"/>
      <c r="I85" s="291">
        <v>0.0</v>
      </c>
      <c r="J85" s="292">
        <v>30.0</v>
      </c>
      <c r="K85" s="288" t="s">
        <v>2746</v>
      </c>
      <c r="L85" s="293" t="s">
        <v>242</v>
      </c>
      <c r="M85" s="269" t="s">
        <v>2043</v>
      </c>
      <c r="N85" s="294" t="s">
        <v>2748</v>
      </c>
      <c r="O85" s="295"/>
      <c r="P85" s="295"/>
      <c r="Q85" s="295"/>
      <c r="R85" s="295"/>
    </row>
    <row r="86" ht="15.75" customHeight="1">
      <c r="A86" s="286">
        <v>2026.0</v>
      </c>
      <c r="B86" s="286">
        <v>6.0</v>
      </c>
      <c r="C86" s="287">
        <v>46182.625</v>
      </c>
      <c r="D86" s="288" t="s">
        <v>2672</v>
      </c>
      <c r="E86" s="288" t="s">
        <v>2673</v>
      </c>
      <c r="F86" s="289" t="s">
        <v>244</v>
      </c>
      <c r="G86" s="286">
        <v>1.0</v>
      </c>
      <c r="H86" s="290"/>
      <c r="I86" s="291">
        <v>0.0</v>
      </c>
      <c r="J86" s="292">
        <v>30.0</v>
      </c>
      <c r="K86" s="288" t="s">
        <v>2746</v>
      </c>
      <c r="L86" s="293" t="s">
        <v>242</v>
      </c>
      <c r="M86" s="269" t="s">
        <v>2043</v>
      </c>
      <c r="N86" s="294" t="s">
        <v>2749</v>
      </c>
      <c r="O86" s="295"/>
      <c r="P86" s="295"/>
      <c r="Q86" s="295"/>
      <c r="R86" s="295"/>
    </row>
    <row r="87" ht="15.75" customHeight="1">
      <c r="A87" s="286">
        <v>2026.0</v>
      </c>
      <c r="B87" s="286">
        <v>6.0</v>
      </c>
      <c r="C87" s="287">
        <v>46182.625</v>
      </c>
      <c r="D87" s="288" t="s">
        <v>2672</v>
      </c>
      <c r="E87" s="288" t="s">
        <v>2673</v>
      </c>
      <c r="F87" s="289" t="s">
        <v>223</v>
      </c>
      <c r="G87" s="286">
        <v>1.0</v>
      </c>
      <c r="H87" s="290"/>
      <c r="I87" s="291">
        <v>0.0</v>
      </c>
      <c r="J87" s="292">
        <v>20.0</v>
      </c>
      <c r="K87" s="288" t="s">
        <v>2750</v>
      </c>
      <c r="L87" s="293" t="s">
        <v>162</v>
      </c>
      <c r="M87" s="269" t="s">
        <v>222</v>
      </c>
      <c r="N87" s="294" t="s">
        <v>2751</v>
      </c>
      <c r="O87" s="295"/>
      <c r="P87" s="295"/>
      <c r="Q87" s="295"/>
      <c r="R87" s="295"/>
    </row>
    <row r="88" ht="15.75" customHeight="1">
      <c r="A88" s="286">
        <v>2026.0</v>
      </c>
      <c r="B88" s="286">
        <v>6.0</v>
      </c>
      <c r="C88" s="287">
        <v>46182.625</v>
      </c>
      <c r="D88" s="288" t="s">
        <v>2672</v>
      </c>
      <c r="E88" s="288" t="s">
        <v>2673</v>
      </c>
      <c r="F88" s="289" t="s">
        <v>223</v>
      </c>
      <c r="G88" s="286">
        <v>1.0</v>
      </c>
      <c r="H88" s="290"/>
      <c r="I88" s="291">
        <v>0.0</v>
      </c>
      <c r="J88" s="292">
        <v>20.0</v>
      </c>
      <c r="K88" s="288" t="s">
        <v>2750</v>
      </c>
      <c r="L88" s="293" t="s">
        <v>162</v>
      </c>
      <c r="M88" s="269" t="s">
        <v>222</v>
      </c>
      <c r="N88" s="294" t="s">
        <v>2752</v>
      </c>
      <c r="O88" s="295"/>
      <c r="P88" s="295"/>
      <c r="Q88" s="295"/>
      <c r="R88" s="295"/>
    </row>
    <row r="89" ht="15.75" customHeight="1">
      <c r="A89" s="286">
        <v>2026.0</v>
      </c>
      <c r="B89" s="286">
        <v>6.0</v>
      </c>
      <c r="C89" s="287">
        <v>46182.625</v>
      </c>
      <c r="D89" s="288" t="s">
        <v>2672</v>
      </c>
      <c r="E89" s="288" t="s">
        <v>2673</v>
      </c>
      <c r="F89" s="289" t="s">
        <v>196</v>
      </c>
      <c r="G89" s="286">
        <v>1.0</v>
      </c>
      <c r="H89" s="290"/>
      <c r="I89" s="291">
        <v>0.0</v>
      </c>
      <c r="J89" s="292">
        <v>33.0</v>
      </c>
      <c r="K89" s="288" t="s">
        <v>2753</v>
      </c>
      <c r="L89" s="293" t="s">
        <v>2754</v>
      </c>
      <c r="M89" s="269" t="s">
        <v>2755</v>
      </c>
      <c r="N89" s="294" t="s">
        <v>2756</v>
      </c>
      <c r="O89" s="295"/>
      <c r="P89" s="295"/>
      <c r="Q89" s="295"/>
      <c r="R89" s="295"/>
    </row>
    <row r="90" ht="15.75" customHeight="1">
      <c r="A90" s="286">
        <v>2026.0</v>
      </c>
      <c r="B90" s="286">
        <v>6.0</v>
      </c>
      <c r="C90" s="287">
        <v>46182.625</v>
      </c>
      <c r="D90" s="288" t="s">
        <v>2672</v>
      </c>
      <c r="E90" s="288" t="s">
        <v>2673</v>
      </c>
      <c r="F90" s="289" t="s">
        <v>196</v>
      </c>
      <c r="G90" s="286">
        <v>1.0</v>
      </c>
      <c r="H90" s="290"/>
      <c r="I90" s="291">
        <v>0.0</v>
      </c>
      <c r="J90" s="292">
        <v>33.0</v>
      </c>
      <c r="K90" s="288" t="s">
        <v>2753</v>
      </c>
      <c r="L90" s="293" t="s">
        <v>2754</v>
      </c>
      <c r="M90" s="269" t="s">
        <v>2755</v>
      </c>
      <c r="N90" s="294" t="s">
        <v>2757</v>
      </c>
      <c r="O90" s="295"/>
      <c r="P90" s="295"/>
      <c r="Q90" s="295"/>
      <c r="R90" s="295"/>
    </row>
    <row r="91" ht="15.75" customHeight="1">
      <c r="A91" s="286">
        <v>2026.0</v>
      </c>
      <c r="B91" s="286">
        <v>6.0</v>
      </c>
      <c r="C91" s="287">
        <v>46182.625</v>
      </c>
      <c r="D91" s="288" t="s">
        <v>2672</v>
      </c>
      <c r="E91" s="288" t="s">
        <v>2673</v>
      </c>
      <c r="F91" s="289" t="s">
        <v>207</v>
      </c>
      <c r="G91" s="286">
        <v>1.0</v>
      </c>
      <c r="H91" s="290"/>
      <c r="I91" s="291">
        <v>0.0</v>
      </c>
      <c r="J91" s="292">
        <v>26.0</v>
      </c>
      <c r="K91" s="288" t="s">
        <v>2758</v>
      </c>
      <c r="L91" s="293" t="s">
        <v>203</v>
      </c>
      <c r="M91" s="269" t="s">
        <v>206</v>
      </c>
      <c r="N91" s="294" t="s">
        <v>2759</v>
      </c>
      <c r="O91" s="295"/>
      <c r="P91" s="295"/>
      <c r="Q91" s="295"/>
      <c r="R91" s="295"/>
    </row>
    <row r="92" ht="15.75" customHeight="1">
      <c r="A92" s="286">
        <v>2026.0</v>
      </c>
      <c r="B92" s="286">
        <v>6.0</v>
      </c>
      <c r="C92" s="287">
        <v>46182.625</v>
      </c>
      <c r="D92" s="288" t="s">
        <v>2672</v>
      </c>
      <c r="E92" s="288" t="s">
        <v>2673</v>
      </c>
      <c r="F92" s="289" t="s">
        <v>207</v>
      </c>
      <c r="G92" s="286">
        <v>1.0</v>
      </c>
      <c r="H92" s="290"/>
      <c r="I92" s="291">
        <v>0.0</v>
      </c>
      <c r="J92" s="292">
        <v>26.0</v>
      </c>
      <c r="K92" s="288" t="s">
        <v>2758</v>
      </c>
      <c r="L92" s="293" t="s">
        <v>203</v>
      </c>
      <c r="M92" s="269" t="s">
        <v>206</v>
      </c>
      <c r="N92" s="294" t="s">
        <v>2760</v>
      </c>
      <c r="O92" s="295"/>
      <c r="P92" s="295"/>
      <c r="Q92" s="295"/>
      <c r="R92" s="295"/>
    </row>
    <row r="93" ht="15.75" customHeight="1">
      <c r="A93" s="286">
        <v>2026.0</v>
      </c>
      <c r="B93" s="286">
        <v>6.0</v>
      </c>
      <c r="C93" s="287">
        <v>46182.625</v>
      </c>
      <c r="D93" s="288" t="s">
        <v>2672</v>
      </c>
      <c r="E93" s="288" t="s">
        <v>2673</v>
      </c>
      <c r="F93" s="289" t="s">
        <v>191</v>
      </c>
      <c r="G93" s="286">
        <v>0.0</v>
      </c>
      <c r="H93" s="290"/>
      <c r="I93" s="291">
        <v>0.0</v>
      </c>
      <c r="J93" s="292">
        <v>33.0</v>
      </c>
      <c r="K93" s="288" t="s">
        <v>2761</v>
      </c>
      <c r="L93" s="293" t="s">
        <v>162</v>
      </c>
      <c r="M93" s="269" t="s">
        <v>190</v>
      </c>
      <c r="N93" s="294" t="s">
        <v>2762</v>
      </c>
      <c r="O93" s="295"/>
      <c r="P93" s="295"/>
      <c r="Q93" s="295"/>
      <c r="R93" s="295"/>
    </row>
    <row r="94" ht="15.75" customHeight="1">
      <c r="A94" s="286">
        <v>2026.0</v>
      </c>
      <c r="B94" s="286">
        <v>6.0</v>
      </c>
      <c r="C94" s="287">
        <v>46182.625</v>
      </c>
      <c r="D94" s="288" t="s">
        <v>2672</v>
      </c>
      <c r="E94" s="288" t="s">
        <v>2673</v>
      </c>
      <c r="F94" s="289" t="s">
        <v>233</v>
      </c>
      <c r="G94" s="286">
        <v>1.0</v>
      </c>
      <c r="H94" s="290"/>
      <c r="I94" s="291">
        <v>0.0</v>
      </c>
      <c r="J94" s="292">
        <v>20.0</v>
      </c>
      <c r="K94" s="288" t="s">
        <v>2763</v>
      </c>
      <c r="L94" s="293" t="s">
        <v>162</v>
      </c>
      <c r="M94" s="269" t="s">
        <v>232</v>
      </c>
      <c r="N94" s="294" t="s">
        <v>2764</v>
      </c>
      <c r="O94" s="295"/>
      <c r="P94" s="295"/>
      <c r="Q94" s="295"/>
      <c r="R94" s="295"/>
    </row>
    <row r="95" ht="15.75" customHeight="1">
      <c r="A95" s="286">
        <v>2026.0</v>
      </c>
      <c r="B95" s="286">
        <v>6.0</v>
      </c>
      <c r="C95" s="287">
        <v>46182.625</v>
      </c>
      <c r="D95" s="288" t="s">
        <v>2672</v>
      </c>
      <c r="E95" s="288" t="s">
        <v>2673</v>
      </c>
      <c r="F95" s="289" t="s">
        <v>241</v>
      </c>
      <c r="G95" s="286">
        <v>1.0</v>
      </c>
      <c r="H95" s="290"/>
      <c r="I95" s="291">
        <v>0.0</v>
      </c>
      <c r="J95" s="292">
        <v>20.0</v>
      </c>
      <c r="K95" s="288" t="s">
        <v>2765</v>
      </c>
      <c r="L95" s="293" t="s">
        <v>162</v>
      </c>
      <c r="M95" s="269" t="s">
        <v>2766</v>
      </c>
      <c r="N95" s="294" t="s">
        <v>2767</v>
      </c>
      <c r="O95" s="295"/>
      <c r="P95" s="295"/>
      <c r="Q95" s="295"/>
      <c r="R95" s="295"/>
    </row>
    <row r="96" ht="15.75" customHeight="1">
      <c r="A96" s="288">
        <v>2026.0</v>
      </c>
      <c r="B96" s="288">
        <v>6.0</v>
      </c>
      <c r="C96" s="287">
        <v>46188.0</v>
      </c>
      <c r="D96" s="288" t="s">
        <v>2768</v>
      </c>
      <c r="E96" s="288" t="s">
        <v>2769</v>
      </c>
      <c r="F96" s="289" t="s">
        <v>285</v>
      </c>
      <c r="G96" s="288">
        <v>1.0</v>
      </c>
      <c r="H96" s="290"/>
      <c r="I96" s="291">
        <v>72.0</v>
      </c>
      <c r="J96" s="292">
        <v>16.5</v>
      </c>
      <c r="K96" s="288" t="s">
        <v>2770</v>
      </c>
      <c r="L96" s="293" t="s">
        <v>252</v>
      </c>
      <c r="M96" s="269" t="s">
        <v>284</v>
      </c>
      <c r="N96" s="294" t="s">
        <v>2771</v>
      </c>
      <c r="O96" s="295"/>
      <c r="P96" s="295"/>
      <c r="Q96" s="295"/>
      <c r="R96" s="295"/>
    </row>
    <row r="97" ht="15.75" customHeight="1">
      <c r="A97" s="288">
        <v>2026.0</v>
      </c>
      <c r="B97" s="288">
        <v>6.0</v>
      </c>
      <c r="C97" s="287">
        <v>46188.0</v>
      </c>
      <c r="D97" s="288" t="s">
        <v>2772</v>
      </c>
      <c r="E97" s="288" t="s">
        <v>2773</v>
      </c>
      <c r="F97" s="289" t="s">
        <v>304</v>
      </c>
      <c r="G97" s="288">
        <v>1.0</v>
      </c>
      <c r="H97" s="290"/>
      <c r="I97" s="291">
        <v>64.0</v>
      </c>
      <c r="J97" s="292">
        <v>19.0</v>
      </c>
      <c r="K97" s="288" t="s">
        <v>2774</v>
      </c>
      <c r="L97" s="293" t="s">
        <v>269</v>
      </c>
      <c r="M97" s="269" t="s">
        <v>2048</v>
      </c>
      <c r="N97" s="294" t="s">
        <v>2775</v>
      </c>
      <c r="O97" s="295"/>
      <c r="P97" s="295"/>
      <c r="Q97" s="295"/>
      <c r="R97" s="295"/>
    </row>
    <row r="98" ht="15.75" customHeight="1">
      <c r="A98" s="288">
        <v>2026.0</v>
      </c>
      <c r="B98" s="288">
        <v>5.0</v>
      </c>
      <c r="C98" s="287">
        <v>46165.0</v>
      </c>
      <c r="D98" s="288" t="s">
        <v>2776</v>
      </c>
      <c r="E98" s="288"/>
      <c r="F98" s="289" t="s">
        <v>244</v>
      </c>
      <c r="G98" s="288">
        <v>1.0</v>
      </c>
      <c r="H98" s="289" t="s">
        <v>2558</v>
      </c>
      <c r="I98" s="291">
        <v>170.0</v>
      </c>
      <c r="J98" s="292">
        <v>30.0</v>
      </c>
      <c r="K98" s="288"/>
      <c r="L98" s="293" t="s">
        <v>242</v>
      </c>
      <c r="M98" s="269" t="s">
        <v>2043</v>
      </c>
      <c r="N98" s="294" t="s">
        <v>2777</v>
      </c>
      <c r="O98" s="295"/>
      <c r="P98" s="295"/>
      <c r="Q98" s="295"/>
      <c r="R98" s="295"/>
    </row>
    <row r="99" ht="15.75" customHeight="1">
      <c r="A99" s="288">
        <v>2026.0</v>
      </c>
      <c r="B99" s="288">
        <v>6.0</v>
      </c>
      <c r="C99" s="287">
        <v>46184.0</v>
      </c>
      <c r="D99" s="288" t="s">
        <v>2638</v>
      </c>
      <c r="E99" s="288" t="s">
        <v>2778</v>
      </c>
      <c r="F99" s="289" t="s">
        <v>210</v>
      </c>
      <c r="G99" s="288">
        <v>1.0</v>
      </c>
      <c r="H99" s="289" t="s">
        <v>2549</v>
      </c>
      <c r="I99" s="291">
        <v>140.0</v>
      </c>
      <c r="J99" s="292">
        <v>52.5</v>
      </c>
      <c r="K99" s="288"/>
      <c r="L99" s="293" t="s">
        <v>208</v>
      </c>
      <c r="M99" s="269" t="s">
        <v>2555</v>
      </c>
      <c r="N99" s="294" t="s">
        <v>2779</v>
      </c>
      <c r="O99" s="295"/>
      <c r="P99" s="295"/>
      <c r="Q99" s="295"/>
      <c r="R99" s="295"/>
    </row>
    <row r="100" ht="15.75" customHeight="1">
      <c r="A100" s="288">
        <v>2026.0</v>
      </c>
      <c r="B100" s="288">
        <v>6.0</v>
      </c>
      <c r="C100" s="287">
        <v>46176.0</v>
      </c>
      <c r="D100" s="288" t="s">
        <v>2780</v>
      </c>
      <c r="E100" s="288" t="s">
        <v>2781</v>
      </c>
      <c r="F100" s="289" t="s">
        <v>2514</v>
      </c>
      <c r="G100" s="288">
        <v>1.0</v>
      </c>
      <c r="H100" s="289" t="s">
        <v>2558</v>
      </c>
      <c r="I100" s="291">
        <v>100.0</v>
      </c>
      <c r="J100" s="292">
        <v>30.33</v>
      </c>
      <c r="K100" s="288"/>
      <c r="L100" s="293" t="s">
        <v>162</v>
      </c>
      <c r="M100" s="269" t="s">
        <v>163</v>
      </c>
      <c r="N100" s="294" t="s">
        <v>2782</v>
      </c>
      <c r="O100" s="295"/>
      <c r="P100" s="295"/>
      <c r="Q100" s="295"/>
      <c r="R100" s="295"/>
    </row>
    <row r="101" ht="15.75" customHeight="1">
      <c r="A101" s="288">
        <v>2026.0</v>
      </c>
      <c r="B101" s="288">
        <v>6.0</v>
      </c>
      <c r="C101" s="287">
        <v>46176.0</v>
      </c>
      <c r="D101" s="288" t="s">
        <v>2783</v>
      </c>
      <c r="E101" s="288" t="s">
        <v>2784</v>
      </c>
      <c r="F101" s="289" t="s">
        <v>63</v>
      </c>
      <c r="G101" s="288">
        <v>1.0</v>
      </c>
      <c r="H101" s="289" t="s">
        <v>2558</v>
      </c>
      <c r="I101" s="291">
        <v>65.0</v>
      </c>
      <c r="J101" s="292">
        <v>19.0</v>
      </c>
      <c r="K101" s="288"/>
      <c r="L101" s="293" t="s">
        <v>269</v>
      </c>
      <c r="M101" s="269" t="s">
        <v>2785</v>
      </c>
      <c r="N101" s="294" t="s">
        <v>2786</v>
      </c>
      <c r="O101" s="295"/>
      <c r="P101" s="295"/>
      <c r="Q101" s="295"/>
      <c r="R101" s="295"/>
    </row>
    <row r="102" ht="15.75" customHeight="1">
      <c r="A102" s="288">
        <v>2026.0</v>
      </c>
      <c r="B102" s="288">
        <v>6.0</v>
      </c>
      <c r="C102" s="287">
        <v>46177.0</v>
      </c>
      <c r="D102" s="288" t="s">
        <v>2787</v>
      </c>
      <c r="E102" s="288" t="s">
        <v>2788</v>
      </c>
      <c r="F102" s="289" t="s">
        <v>268</v>
      </c>
      <c r="G102" s="288">
        <v>1.0</v>
      </c>
      <c r="H102" s="289" t="s">
        <v>2558</v>
      </c>
      <c r="I102" s="291">
        <v>60.0</v>
      </c>
      <c r="J102" s="292">
        <v>16.5</v>
      </c>
      <c r="K102" s="288"/>
      <c r="L102" s="293" t="s">
        <v>2681</v>
      </c>
      <c r="M102" s="269" t="s">
        <v>267</v>
      </c>
      <c r="N102" s="294" t="s">
        <v>2789</v>
      </c>
      <c r="O102" s="295"/>
      <c r="P102" s="295"/>
      <c r="Q102" s="295"/>
      <c r="R102" s="295"/>
    </row>
    <row r="103" ht="15.75" customHeight="1">
      <c r="A103" s="288">
        <v>2026.0</v>
      </c>
      <c r="B103" s="288">
        <v>6.0</v>
      </c>
      <c r="C103" s="287">
        <v>46177.0</v>
      </c>
      <c r="D103" s="288" t="s">
        <v>2790</v>
      </c>
      <c r="E103" s="288" t="s">
        <v>2551</v>
      </c>
      <c r="F103" s="289" t="s">
        <v>247</v>
      </c>
      <c r="G103" s="288">
        <v>2.0</v>
      </c>
      <c r="H103" s="289" t="s">
        <v>2558</v>
      </c>
      <c r="I103" s="291">
        <v>270.0</v>
      </c>
      <c r="J103" s="292">
        <v>36.0</v>
      </c>
      <c r="K103" s="288" t="s">
        <v>2774</v>
      </c>
      <c r="L103" s="293" t="s">
        <v>242</v>
      </c>
      <c r="M103" s="269" t="s">
        <v>2735</v>
      </c>
      <c r="N103" s="294" t="s">
        <v>2791</v>
      </c>
      <c r="O103" s="295"/>
      <c r="P103" s="295"/>
      <c r="Q103" s="295"/>
      <c r="R103" s="295"/>
    </row>
    <row r="104" ht="15.75" customHeight="1">
      <c r="A104" s="288">
        <v>2026.0</v>
      </c>
      <c r="B104" s="288">
        <v>6.0</v>
      </c>
      <c r="C104" s="287">
        <v>46177.0</v>
      </c>
      <c r="D104" s="288" t="s">
        <v>2792</v>
      </c>
      <c r="E104" s="288" t="s">
        <v>2793</v>
      </c>
      <c r="F104" s="289" t="s">
        <v>244</v>
      </c>
      <c r="G104" s="288">
        <v>1.0</v>
      </c>
      <c r="H104" s="289" t="s">
        <v>2584</v>
      </c>
      <c r="I104" s="291">
        <v>0.0</v>
      </c>
      <c r="J104" s="292">
        <v>30.0</v>
      </c>
      <c r="K104" s="288" t="s">
        <v>2794</v>
      </c>
      <c r="L104" s="293" t="s">
        <v>242</v>
      </c>
      <c r="M104" s="269" t="s">
        <v>2043</v>
      </c>
      <c r="N104" s="294" t="s">
        <v>2795</v>
      </c>
      <c r="O104" s="295"/>
      <c r="P104" s="295"/>
      <c r="Q104" s="295"/>
      <c r="R104" s="295"/>
    </row>
    <row r="105" ht="15.75" customHeight="1">
      <c r="A105" s="288"/>
      <c r="B105" s="288">
        <v>6.0</v>
      </c>
      <c r="C105" s="287">
        <v>46189.0</v>
      </c>
      <c r="D105" s="288" t="s">
        <v>2672</v>
      </c>
      <c r="E105" s="288" t="s">
        <v>2796</v>
      </c>
      <c r="F105" s="289" t="s">
        <v>381</v>
      </c>
      <c r="G105" s="288">
        <v>1.0</v>
      </c>
      <c r="H105" s="289"/>
      <c r="I105" s="291">
        <v>0.0</v>
      </c>
      <c r="J105" s="292">
        <v>19.0</v>
      </c>
      <c r="K105" s="288" t="s">
        <v>2797</v>
      </c>
      <c r="L105" s="293" t="s">
        <v>269</v>
      </c>
      <c r="M105" s="269" t="s">
        <v>2053</v>
      </c>
      <c r="N105" s="294" t="s">
        <v>2798</v>
      </c>
      <c r="O105" s="295"/>
      <c r="P105" s="295"/>
      <c r="Q105" s="295"/>
      <c r="R105" s="295"/>
    </row>
    <row r="106" ht="15.75" customHeight="1">
      <c r="A106" s="288"/>
      <c r="B106" s="288">
        <v>6.0</v>
      </c>
      <c r="C106" s="287">
        <v>46189.0</v>
      </c>
      <c r="D106" s="288" t="s">
        <v>2672</v>
      </c>
      <c r="E106" s="288" t="s">
        <v>2796</v>
      </c>
      <c r="F106" s="289" t="s">
        <v>198</v>
      </c>
      <c r="G106" s="288">
        <v>1.0</v>
      </c>
      <c r="H106" s="289"/>
      <c r="I106" s="291">
        <v>0.0</v>
      </c>
      <c r="J106" s="292">
        <v>33.0</v>
      </c>
      <c r="K106" s="288" t="s">
        <v>2797</v>
      </c>
      <c r="L106" s="293" t="s">
        <v>162</v>
      </c>
      <c r="M106" s="269" t="s">
        <v>197</v>
      </c>
      <c r="N106" s="294" t="s">
        <v>2799</v>
      </c>
      <c r="O106" s="295"/>
      <c r="P106" s="295"/>
      <c r="Q106" s="295"/>
      <c r="R106" s="295"/>
    </row>
    <row r="107" ht="15.75" customHeight="1">
      <c r="A107" s="288"/>
      <c r="B107" s="288">
        <v>6.0</v>
      </c>
      <c r="C107" s="287">
        <v>46189.0</v>
      </c>
      <c r="D107" s="288" t="s">
        <v>2672</v>
      </c>
      <c r="E107" s="288" t="s">
        <v>2796</v>
      </c>
      <c r="F107" s="289" t="s">
        <v>198</v>
      </c>
      <c r="G107" s="288">
        <v>1.0</v>
      </c>
      <c r="H107" s="289"/>
      <c r="I107" s="291">
        <v>0.0</v>
      </c>
      <c r="J107" s="292">
        <v>33.0</v>
      </c>
      <c r="K107" s="288" t="s">
        <v>2797</v>
      </c>
      <c r="L107" s="293" t="s">
        <v>162</v>
      </c>
      <c r="M107" s="269" t="s">
        <v>197</v>
      </c>
      <c r="N107" s="294" t="s">
        <v>2800</v>
      </c>
      <c r="O107" s="295"/>
      <c r="P107" s="295"/>
      <c r="Q107" s="295"/>
      <c r="R107" s="295"/>
    </row>
    <row r="108" ht="15.75" customHeight="1">
      <c r="A108" s="288"/>
      <c r="B108" s="288">
        <v>6.0</v>
      </c>
      <c r="C108" s="287">
        <v>46189.0</v>
      </c>
      <c r="D108" s="288" t="s">
        <v>2672</v>
      </c>
      <c r="E108" s="288" t="s">
        <v>2796</v>
      </c>
      <c r="F108" s="289" t="s">
        <v>186</v>
      </c>
      <c r="G108" s="288">
        <v>1.0</v>
      </c>
      <c r="H108" s="289"/>
      <c r="I108" s="291">
        <v>0.0</v>
      </c>
      <c r="J108" s="292">
        <v>30.0</v>
      </c>
      <c r="K108" s="288" t="s">
        <v>2797</v>
      </c>
      <c r="L108" s="293" t="s">
        <v>162</v>
      </c>
      <c r="M108" s="269" t="s">
        <v>185</v>
      </c>
      <c r="N108" s="294" t="s">
        <v>2801</v>
      </c>
      <c r="O108" s="295"/>
      <c r="P108" s="295"/>
      <c r="Q108" s="295"/>
      <c r="R108" s="295"/>
    </row>
    <row r="109" ht="15.75" customHeight="1">
      <c r="A109" s="288"/>
      <c r="B109" s="288">
        <v>6.0</v>
      </c>
      <c r="C109" s="287">
        <v>46189.0</v>
      </c>
      <c r="D109" s="288" t="s">
        <v>2672</v>
      </c>
      <c r="E109" s="288" t="s">
        <v>2796</v>
      </c>
      <c r="F109" s="289" t="s">
        <v>241</v>
      </c>
      <c r="G109" s="288">
        <v>1.0</v>
      </c>
      <c r="H109" s="289"/>
      <c r="I109" s="291">
        <v>0.0</v>
      </c>
      <c r="J109" s="292">
        <v>20.0</v>
      </c>
      <c r="K109" s="288" t="s">
        <v>2797</v>
      </c>
      <c r="L109" s="293" t="s">
        <v>162</v>
      </c>
      <c r="M109" s="269" t="s">
        <v>2766</v>
      </c>
      <c r="N109" s="294" t="s">
        <v>2802</v>
      </c>
      <c r="O109" s="295"/>
      <c r="P109" s="295"/>
      <c r="Q109" s="295"/>
      <c r="R109" s="295"/>
    </row>
    <row r="110" ht="15.75" customHeight="1">
      <c r="A110" s="288">
        <v>2026.0</v>
      </c>
      <c r="B110" s="288">
        <v>6.0</v>
      </c>
      <c r="C110" s="287">
        <v>46190.0</v>
      </c>
      <c r="D110" s="288" t="s">
        <v>2638</v>
      </c>
      <c r="E110" s="288" t="s">
        <v>2803</v>
      </c>
      <c r="F110" s="289" t="s">
        <v>2018</v>
      </c>
      <c r="G110" s="288">
        <v>1.0</v>
      </c>
      <c r="H110" s="289" t="s">
        <v>2549</v>
      </c>
      <c r="I110" s="291">
        <v>90.0</v>
      </c>
      <c r="J110" s="292">
        <v>16.5</v>
      </c>
      <c r="K110" s="288"/>
      <c r="L110" s="293" t="s">
        <v>252</v>
      </c>
      <c r="M110" s="269" t="s">
        <v>2619</v>
      </c>
      <c r="N110" s="294" t="s">
        <v>2804</v>
      </c>
      <c r="O110" s="295"/>
      <c r="P110" s="295"/>
      <c r="Q110" s="295"/>
      <c r="R110" s="295"/>
    </row>
    <row r="111" ht="15.75" customHeight="1">
      <c r="A111" s="288">
        <v>2026.0</v>
      </c>
      <c r="B111" s="288">
        <v>6.0</v>
      </c>
      <c r="C111" s="287">
        <v>46190.0</v>
      </c>
      <c r="D111" s="288" t="s">
        <v>2805</v>
      </c>
      <c r="E111" s="288" t="s">
        <v>2806</v>
      </c>
      <c r="F111" s="289" t="s">
        <v>2514</v>
      </c>
      <c r="G111" s="288">
        <v>1.0</v>
      </c>
      <c r="H111" s="289" t="s">
        <v>2807</v>
      </c>
      <c r="I111" s="291">
        <v>59.0</v>
      </c>
      <c r="J111" s="292">
        <v>30.33</v>
      </c>
      <c r="K111" s="288"/>
      <c r="L111" s="293" t="s">
        <v>162</v>
      </c>
      <c r="M111" s="269" t="s">
        <v>163</v>
      </c>
      <c r="N111" s="294" t="s">
        <v>2808</v>
      </c>
      <c r="O111" s="295"/>
      <c r="P111" s="295"/>
      <c r="Q111" s="295"/>
      <c r="R111" s="295"/>
    </row>
    <row r="112" ht="15.75" customHeight="1">
      <c r="A112" s="288">
        <v>2026.0</v>
      </c>
      <c r="B112" s="288">
        <v>6.0</v>
      </c>
      <c r="C112" s="287">
        <v>46190.0</v>
      </c>
      <c r="D112" s="288" t="s">
        <v>2805</v>
      </c>
      <c r="E112" s="288" t="s">
        <v>2806</v>
      </c>
      <c r="F112" s="289" t="s">
        <v>293</v>
      </c>
      <c r="G112" s="288">
        <v>1.0</v>
      </c>
      <c r="H112" s="289" t="s">
        <v>2807</v>
      </c>
      <c r="I112" s="291">
        <v>59.0</v>
      </c>
      <c r="J112" s="292">
        <v>20.0</v>
      </c>
      <c r="K112" s="288"/>
      <c r="L112" s="293" t="s">
        <v>162</v>
      </c>
      <c r="M112" s="269" t="s">
        <v>2052</v>
      </c>
      <c r="N112" s="294" t="s">
        <v>2809</v>
      </c>
      <c r="O112" s="295"/>
      <c r="P112" s="295"/>
      <c r="Q112" s="295"/>
      <c r="R112" s="295"/>
    </row>
    <row r="113" ht="15.75" customHeight="1">
      <c r="A113" s="288">
        <v>2026.0</v>
      </c>
      <c r="B113" s="288">
        <v>6.0</v>
      </c>
      <c r="C113" s="287">
        <v>46190.0</v>
      </c>
      <c r="D113" s="288" t="s">
        <v>2805</v>
      </c>
      <c r="E113" s="288" t="s">
        <v>2806</v>
      </c>
      <c r="F113" s="289" t="s">
        <v>167</v>
      </c>
      <c r="G113" s="288">
        <v>1.0</v>
      </c>
      <c r="H113" s="289" t="s">
        <v>2807</v>
      </c>
      <c r="I113" s="291">
        <v>73.0</v>
      </c>
      <c r="J113" s="292">
        <v>33.0</v>
      </c>
      <c r="K113" s="288"/>
      <c r="L113" s="293" t="s">
        <v>162</v>
      </c>
      <c r="M113" s="269" t="s">
        <v>168</v>
      </c>
      <c r="N113" s="294" t="s">
        <v>2810</v>
      </c>
      <c r="O113" s="295"/>
      <c r="P113" s="295"/>
      <c r="Q113" s="295"/>
      <c r="R113" s="295"/>
    </row>
    <row r="114" ht="15.75" customHeight="1">
      <c r="A114" s="288">
        <v>2026.0</v>
      </c>
      <c r="B114" s="288">
        <v>6.0</v>
      </c>
      <c r="C114" s="287">
        <v>46190.0</v>
      </c>
      <c r="D114" s="288" t="s">
        <v>2805</v>
      </c>
      <c r="E114" s="288" t="s">
        <v>2806</v>
      </c>
      <c r="F114" s="289" t="s">
        <v>181</v>
      </c>
      <c r="G114" s="288">
        <v>1.0</v>
      </c>
      <c r="H114" s="289" t="s">
        <v>2807</v>
      </c>
      <c r="I114" s="291">
        <v>73.0</v>
      </c>
      <c r="J114" s="292">
        <v>30.33</v>
      </c>
      <c r="K114" s="288"/>
      <c r="L114" s="293" t="s">
        <v>162</v>
      </c>
      <c r="M114" s="269" t="s">
        <v>2811</v>
      </c>
      <c r="N114" s="294" t="s">
        <v>2812</v>
      </c>
      <c r="O114" s="295"/>
      <c r="P114" s="295"/>
      <c r="Q114" s="295"/>
      <c r="R114" s="295"/>
    </row>
    <row r="115" ht="15.75" customHeight="1">
      <c r="A115" s="288">
        <v>2026.0</v>
      </c>
      <c r="B115" s="288">
        <v>6.0</v>
      </c>
      <c r="C115" s="287">
        <v>46190.0</v>
      </c>
      <c r="D115" s="288" t="s">
        <v>2805</v>
      </c>
      <c r="E115" s="288" t="s">
        <v>2806</v>
      </c>
      <c r="F115" s="289" t="s">
        <v>300</v>
      </c>
      <c r="G115" s="288">
        <v>1.0</v>
      </c>
      <c r="H115" s="289" t="s">
        <v>2807</v>
      </c>
      <c r="I115" s="291">
        <v>59.0</v>
      </c>
      <c r="J115" s="292">
        <v>20.0</v>
      </c>
      <c r="K115" s="288"/>
      <c r="L115" s="293" t="s">
        <v>162</v>
      </c>
      <c r="M115" s="269" t="s">
        <v>2045</v>
      </c>
      <c r="N115" s="294" t="s">
        <v>2813</v>
      </c>
      <c r="O115" s="295"/>
      <c r="P115" s="295"/>
      <c r="Q115" s="295"/>
      <c r="R115" s="295"/>
    </row>
    <row r="116" ht="15.75" customHeight="1">
      <c r="A116" s="288">
        <v>2026.0</v>
      </c>
      <c r="B116" s="288">
        <v>6.0</v>
      </c>
      <c r="C116" s="287">
        <v>46190.0</v>
      </c>
      <c r="D116" s="288" t="s">
        <v>2805</v>
      </c>
      <c r="E116" s="288" t="s">
        <v>2806</v>
      </c>
      <c r="F116" s="289" t="s">
        <v>291</v>
      </c>
      <c r="G116" s="288">
        <v>1.0</v>
      </c>
      <c r="H116" s="289" t="s">
        <v>2807</v>
      </c>
      <c r="I116" s="291">
        <v>59.0</v>
      </c>
      <c r="J116" s="292">
        <v>20.0</v>
      </c>
      <c r="K116" s="288"/>
      <c r="L116" s="293" t="s">
        <v>162</v>
      </c>
      <c r="M116" s="269" t="s">
        <v>2730</v>
      </c>
      <c r="N116" s="294" t="s">
        <v>2814</v>
      </c>
      <c r="O116" s="295"/>
      <c r="P116" s="295"/>
      <c r="Q116" s="295"/>
      <c r="R116" s="295"/>
    </row>
    <row r="117" ht="15.75" customHeight="1">
      <c r="A117" s="288">
        <v>2026.0</v>
      </c>
      <c r="B117" s="288">
        <v>6.0</v>
      </c>
      <c r="C117" s="287">
        <v>46190.0</v>
      </c>
      <c r="D117" s="288" t="s">
        <v>2805</v>
      </c>
      <c r="E117" s="288" t="s">
        <v>2806</v>
      </c>
      <c r="F117" s="289" t="s">
        <v>298</v>
      </c>
      <c r="G117" s="288">
        <v>1.0</v>
      </c>
      <c r="H117" s="289" t="s">
        <v>2807</v>
      </c>
      <c r="I117" s="291">
        <v>59.0</v>
      </c>
      <c r="J117" s="292">
        <v>20.0</v>
      </c>
      <c r="K117" s="288"/>
      <c r="L117" s="293" t="s">
        <v>162</v>
      </c>
      <c r="M117" s="269" t="s">
        <v>2044</v>
      </c>
      <c r="N117" s="294" t="s">
        <v>2815</v>
      </c>
      <c r="O117" s="295"/>
      <c r="P117" s="295"/>
      <c r="Q117" s="295"/>
      <c r="R117" s="295"/>
    </row>
    <row r="118" ht="15.75" customHeight="1">
      <c r="A118" s="288">
        <v>2026.0</v>
      </c>
      <c r="B118" s="288">
        <v>6.0</v>
      </c>
      <c r="C118" s="287">
        <v>46190.0</v>
      </c>
      <c r="D118" s="288" t="s">
        <v>2805</v>
      </c>
      <c r="E118" s="288" t="s">
        <v>2806</v>
      </c>
      <c r="F118" s="289" t="s">
        <v>223</v>
      </c>
      <c r="G118" s="288">
        <v>1.0</v>
      </c>
      <c r="H118" s="289" t="s">
        <v>2807</v>
      </c>
      <c r="I118" s="291">
        <v>59.0</v>
      </c>
      <c r="J118" s="292">
        <v>20.0</v>
      </c>
      <c r="K118" s="288"/>
      <c r="L118" s="293" t="s">
        <v>162</v>
      </c>
      <c r="M118" s="269" t="s">
        <v>222</v>
      </c>
      <c r="N118" s="294" t="s">
        <v>2816</v>
      </c>
      <c r="O118" s="295"/>
      <c r="P118" s="295"/>
      <c r="Q118" s="295"/>
      <c r="R118" s="295"/>
    </row>
    <row r="119" ht="15.75" customHeight="1">
      <c r="A119" s="288">
        <v>2026.0</v>
      </c>
      <c r="B119" s="288">
        <v>6.0</v>
      </c>
      <c r="C119" s="287">
        <v>46190.0</v>
      </c>
      <c r="D119" s="288" t="s">
        <v>2805</v>
      </c>
      <c r="E119" s="288" t="s">
        <v>2806</v>
      </c>
      <c r="F119" s="289" t="s">
        <v>2017</v>
      </c>
      <c r="G119" s="288">
        <v>1.0</v>
      </c>
      <c r="H119" s="289" t="s">
        <v>2807</v>
      </c>
      <c r="I119" s="291">
        <v>59.0</v>
      </c>
      <c r="J119" s="292">
        <v>30.3</v>
      </c>
      <c r="K119" s="288"/>
      <c r="L119" s="293" t="s">
        <v>162</v>
      </c>
      <c r="M119" s="269" t="s">
        <v>2633</v>
      </c>
      <c r="N119" s="294" t="s">
        <v>2817</v>
      </c>
      <c r="O119" s="295"/>
      <c r="P119" s="295"/>
      <c r="Q119" s="295"/>
      <c r="R119" s="295"/>
    </row>
    <row r="120" ht="15.75" customHeight="1">
      <c r="A120" s="288">
        <v>2026.0</v>
      </c>
      <c r="B120" s="288">
        <v>6.0</v>
      </c>
      <c r="C120" s="287">
        <v>46190.0</v>
      </c>
      <c r="D120" s="288" t="s">
        <v>2805</v>
      </c>
      <c r="E120" s="288" t="s">
        <v>2806</v>
      </c>
      <c r="F120" s="289" t="s">
        <v>239</v>
      </c>
      <c r="G120" s="288">
        <v>1.0</v>
      </c>
      <c r="H120" s="289" t="s">
        <v>2807</v>
      </c>
      <c r="I120" s="291">
        <v>59.0</v>
      </c>
      <c r="J120" s="292">
        <v>20.0</v>
      </c>
      <c r="K120" s="288"/>
      <c r="L120" s="293" t="s">
        <v>162</v>
      </c>
      <c r="M120" s="269" t="s">
        <v>2818</v>
      </c>
      <c r="N120" s="294" t="s">
        <v>2819</v>
      </c>
      <c r="O120" s="295"/>
      <c r="P120" s="295"/>
      <c r="Q120" s="295"/>
      <c r="R120" s="295"/>
    </row>
    <row r="121" ht="15.75" customHeight="1">
      <c r="A121" s="288">
        <v>2026.0</v>
      </c>
      <c r="B121" s="288">
        <v>6.0</v>
      </c>
      <c r="C121" s="287">
        <v>46190.0</v>
      </c>
      <c r="D121" s="288" t="s">
        <v>2805</v>
      </c>
      <c r="E121" s="288" t="s">
        <v>2806</v>
      </c>
      <c r="F121" s="289" t="s">
        <v>247</v>
      </c>
      <c r="G121" s="288">
        <v>2.0</v>
      </c>
      <c r="H121" s="289" t="s">
        <v>2807</v>
      </c>
      <c r="I121" s="291">
        <v>166.0</v>
      </c>
      <c r="J121" s="292">
        <v>36.0</v>
      </c>
      <c r="K121" s="288"/>
      <c r="L121" s="293" t="s">
        <v>242</v>
      </c>
      <c r="M121" s="269" t="s">
        <v>2735</v>
      </c>
      <c r="N121" s="294" t="s">
        <v>2820</v>
      </c>
      <c r="O121" s="295"/>
      <c r="P121" s="295"/>
      <c r="Q121" s="295"/>
      <c r="R121" s="295"/>
    </row>
    <row r="122" ht="15.75" customHeight="1">
      <c r="A122" s="288">
        <v>2026.0</v>
      </c>
      <c r="B122" s="288">
        <v>6.0</v>
      </c>
      <c r="C122" s="287">
        <v>46190.0</v>
      </c>
      <c r="D122" s="288" t="s">
        <v>2805</v>
      </c>
      <c r="E122" s="288" t="s">
        <v>2806</v>
      </c>
      <c r="F122" s="289" t="s">
        <v>296</v>
      </c>
      <c r="G122" s="288">
        <v>2.0</v>
      </c>
      <c r="H122" s="289" t="s">
        <v>2807</v>
      </c>
      <c r="I122" s="291">
        <v>166.0</v>
      </c>
      <c r="J122" s="292">
        <v>25.0</v>
      </c>
      <c r="K122" s="288"/>
      <c r="L122" s="293" t="s">
        <v>242</v>
      </c>
      <c r="M122" s="269" t="s">
        <v>2821</v>
      </c>
      <c r="N122" s="294" t="s">
        <v>2822</v>
      </c>
      <c r="O122" s="295"/>
      <c r="P122" s="295"/>
      <c r="Q122" s="295"/>
      <c r="R122" s="295"/>
    </row>
    <row r="123" ht="15.75" customHeight="1">
      <c r="A123" s="288"/>
      <c r="B123" s="288"/>
      <c r="C123" s="287"/>
      <c r="D123" s="288"/>
      <c r="E123" s="288"/>
      <c r="F123" s="289"/>
      <c r="G123" s="288"/>
      <c r="H123" s="289"/>
      <c r="I123" s="291"/>
      <c r="J123" s="292" t="s">
        <v>51</v>
      </c>
      <c r="K123" s="288"/>
      <c r="L123" s="293" t="s">
        <v>51</v>
      </c>
      <c r="M123" s="269" t="s">
        <v>51</v>
      </c>
      <c r="N123" s="294"/>
      <c r="O123" s="295"/>
      <c r="P123" s="295"/>
      <c r="Q123" s="295"/>
      <c r="R123" s="295"/>
    </row>
    <row r="124" ht="15.75" customHeight="1">
      <c r="A124" s="288">
        <v>2026.0</v>
      </c>
      <c r="B124" s="288">
        <v>6.0</v>
      </c>
      <c r="C124" s="287">
        <v>46191.0</v>
      </c>
      <c r="D124" s="288" t="s">
        <v>2823</v>
      </c>
      <c r="E124" s="288" t="s">
        <v>2824</v>
      </c>
      <c r="F124" s="289" t="s">
        <v>2065</v>
      </c>
      <c r="G124" s="288">
        <v>1.0</v>
      </c>
      <c r="H124" s="289" t="s">
        <v>2558</v>
      </c>
      <c r="I124" s="291">
        <v>140.0</v>
      </c>
      <c r="J124" s="292">
        <v>40.0</v>
      </c>
      <c r="K124" s="288"/>
      <c r="L124" s="293" t="s">
        <v>2649</v>
      </c>
      <c r="M124" s="269" t="s">
        <v>2619</v>
      </c>
      <c r="N124" s="294" t="s">
        <v>2825</v>
      </c>
      <c r="O124" s="295"/>
      <c r="P124" s="295"/>
      <c r="Q124" s="295"/>
      <c r="R124" s="295"/>
    </row>
    <row r="125" ht="15.75" customHeight="1">
      <c r="A125" s="288">
        <v>2026.0</v>
      </c>
      <c r="B125" s="288">
        <v>6.0</v>
      </c>
      <c r="C125" s="287">
        <v>46193.625</v>
      </c>
      <c r="D125" s="288" t="s">
        <v>2826</v>
      </c>
      <c r="E125" s="288" t="s">
        <v>2827</v>
      </c>
      <c r="F125" s="289" t="s">
        <v>472</v>
      </c>
      <c r="G125" s="288">
        <v>1.0</v>
      </c>
      <c r="H125" s="289" t="s">
        <v>2558</v>
      </c>
      <c r="I125" s="291">
        <v>0.0</v>
      </c>
      <c r="J125" s="292">
        <v>10.24</v>
      </c>
      <c r="K125" s="288"/>
      <c r="L125" s="293" t="s">
        <v>365</v>
      </c>
      <c r="M125" s="269" t="s">
        <v>368</v>
      </c>
      <c r="N125" s="294" t="s">
        <v>2828</v>
      </c>
      <c r="O125" s="295"/>
      <c r="P125" s="295"/>
      <c r="Q125" s="295"/>
      <c r="R125" s="295"/>
    </row>
    <row r="126" ht="15.75" customHeight="1">
      <c r="A126" s="288">
        <v>2026.0</v>
      </c>
      <c r="B126" s="288">
        <v>6.0</v>
      </c>
      <c r="C126" s="287">
        <v>46203.125</v>
      </c>
      <c r="D126" s="288" t="s">
        <v>2672</v>
      </c>
      <c r="E126" s="288" t="s">
        <v>2829</v>
      </c>
      <c r="F126" s="289" t="s">
        <v>285</v>
      </c>
      <c r="G126" s="288">
        <v>1.0</v>
      </c>
      <c r="H126" s="289"/>
      <c r="I126" s="291">
        <v>0.0</v>
      </c>
      <c r="J126" s="292">
        <v>16.5</v>
      </c>
      <c r="K126" s="288" t="s">
        <v>2830</v>
      </c>
      <c r="L126" s="293" t="s">
        <v>252</v>
      </c>
      <c r="M126" s="269" t="s">
        <v>284</v>
      </c>
      <c r="N126" s="294" t="s">
        <v>2831</v>
      </c>
      <c r="O126" s="295"/>
      <c r="P126" s="295"/>
      <c r="Q126" s="295"/>
      <c r="R126" s="295"/>
    </row>
    <row r="127" ht="15.75" customHeight="1">
      <c r="A127" s="288">
        <v>2026.0</v>
      </c>
      <c r="B127" s="288">
        <v>6.0</v>
      </c>
      <c r="C127" s="287">
        <v>46203.125</v>
      </c>
      <c r="D127" s="288" t="s">
        <v>2832</v>
      </c>
      <c r="E127" s="288" t="s">
        <v>2833</v>
      </c>
      <c r="F127" s="289" t="s">
        <v>268</v>
      </c>
      <c r="G127" s="288">
        <v>1.0</v>
      </c>
      <c r="H127" s="289"/>
      <c r="I127" s="291">
        <v>0.0</v>
      </c>
      <c r="J127" s="292">
        <v>16.5</v>
      </c>
      <c r="K127" s="288" t="s">
        <v>2834</v>
      </c>
      <c r="L127" s="293" t="s">
        <v>2681</v>
      </c>
      <c r="M127" s="269" t="s">
        <v>267</v>
      </c>
      <c r="N127" s="294" t="s">
        <v>2835</v>
      </c>
      <c r="O127" s="295"/>
      <c r="P127" s="295"/>
      <c r="Q127" s="295"/>
      <c r="R127" s="295"/>
    </row>
    <row r="128" ht="15.75" customHeight="1">
      <c r="A128" s="288">
        <v>2026.0</v>
      </c>
      <c r="B128" s="288">
        <v>6.0</v>
      </c>
      <c r="C128" s="287">
        <v>46203.125</v>
      </c>
      <c r="D128" s="288" t="s">
        <v>2832</v>
      </c>
      <c r="E128" s="288" t="s">
        <v>2833</v>
      </c>
      <c r="F128" s="289" t="s">
        <v>207</v>
      </c>
      <c r="G128" s="288">
        <v>1.0</v>
      </c>
      <c r="H128" s="289"/>
      <c r="I128" s="291">
        <v>0.0</v>
      </c>
      <c r="J128" s="292">
        <v>26.0</v>
      </c>
      <c r="K128" s="288" t="s">
        <v>2836</v>
      </c>
      <c r="L128" s="293" t="s">
        <v>203</v>
      </c>
      <c r="M128" s="269" t="s">
        <v>206</v>
      </c>
      <c r="N128" s="294" t="s">
        <v>2837</v>
      </c>
      <c r="O128" s="295"/>
      <c r="P128" s="295"/>
      <c r="Q128" s="295"/>
      <c r="R128" s="295"/>
    </row>
    <row r="129" ht="15.75" customHeight="1">
      <c r="A129" s="288">
        <v>2026.0</v>
      </c>
      <c r="B129" s="288">
        <v>6.0</v>
      </c>
      <c r="C129" s="287">
        <v>46203.125</v>
      </c>
      <c r="D129" s="288" t="s">
        <v>2672</v>
      </c>
      <c r="E129" s="288" t="s">
        <v>2829</v>
      </c>
      <c r="F129" s="289" t="s">
        <v>277</v>
      </c>
      <c r="G129" s="288">
        <v>1.0</v>
      </c>
      <c r="H129" s="289"/>
      <c r="I129" s="291">
        <v>0.0</v>
      </c>
      <c r="J129" s="292">
        <v>19.0</v>
      </c>
      <c r="K129" s="288" t="s">
        <v>2838</v>
      </c>
      <c r="L129" s="293" t="s">
        <v>269</v>
      </c>
      <c r="M129" s="269" t="s">
        <v>2839</v>
      </c>
      <c r="N129" s="294" t="s">
        <v>2840</v>
      </c>
      <c r="O129" s="295"/>
      <c r="P129" s="295"/>
      <c r="Q129" s="295"/>
      <c r="R129" s="295"/>
    </row>
    <row r="130" ht="15.75" customHeight="1">
      <c r="A130" s="288">
        <v>2026.0</v>
      </c>
      <c r="B130" s="288">
        <v>7.0</v>
      </c>
      <c r="C130" s="287">
        <v>46205.0</v>
      </c>
      <c r="D130" s="288" t="s">
        <v>2841</v>
      </c>
      <c r="E130" s="288" t="s">
        <v>2842</v>
      </c>
      <c r="F130" s="289" t="s">
        <v>304</v>
      </c>
      <c r="G130" s="288">
        <v>1.0</v>
      </c>
      <c r="H130" s="289" t="s">
        <v>2843</v>
      </c>
      <c r="I130" s="291">
        <v>72.0</v>
      </c>
      <c r="J130" s="292">
        <v>19.0</v>
      </c>
      <c r="K130" s="288"/>
      <c r="L130" s="293" t="s">
        <v>269</v>
      </c>
      <c r="M130" s="269" t="s">
        <v>2048</v>
      </c>
      <c r="N130" s="294" t="s">
        <v>2844</v>
      </c>
      <c r="O130" s="295"/>
      <c r="P130" s="295"/>
      <c r="Q130" s="295"/>
      <c r="R130" s="295"/>
    </row>
    <row r="131" ht="15.75" customHeight="1">
      <c r="A131" s="288">
        <v>2026.0</v>
      </c>
      <c r="B131" s="288">
        <v>7.0</v>
      </c>
      <c r="C131" s="287">
        <v>46205.0</v>
      </c>
      <c r="D131" s="288" t="s">
        <v>2845</v>
      </c>
      <c r="E131" s="288" t="s">
        <v>2846</v>
      </c>
      <c r="F131" s="289" t="s">
        <v>2847</v>
      </c>
      <c r="G131" s="288">
        <v>1.0</v>
      </c>
      <c r="H131" s="289" t="s">
        <v>2807</v>
      </c>
      <c r="I131" s="291">
        <v>168.0</v>
      </c>
      <c r="J131" s="292" t="s">
        <v>51</v>
      </c>
      <c r="K131" s="288" t="s">
        <v>2848</v>
      </c>
      <c r="L131" s="293" t="s">
        <v>51</v>
      </c>
      <c r="M131" s="269" t="s">
        <v>51</v>
      </c>
      <c r="N131" s="294" t="s">
        <v>2849</v>
      </c>
      <c r="O131" s="295"/>
      <c r="P131" s="295"/>
      <c r="Q131" s="295"/>
      <c r="R131" s="295"/>
    </row>
    <row r="132" ht="15.75" customHeight="1">
      <c r="A132" s="288">
        <v>2026.0</v>
      </c>
      <c r="B132" s="288">
        <v>6.0</v>
      </c>
      <c r="C132" s="287">
        <v>46203.0</v>
      </c>
      <c r="D132" s="288" t="s">
        <v>2850</v>
      </c>
      <c r="E132" s="288"/>
      <c r="F132" s="289" t="s">
        <v>2851</v>
      </c>
      <c r="G132" s="288">
        <v>1.0</v>
      </c>
      <c r="H132" s="289" t="s">
        <v>2558</v>
      </c>
      <c r="I132" s="291">
        <v>80.0</v>
      </c>
      <c r="J132" s="292">
        <v>30.33</v>
      </c>
      <c r="K132" s="288" t="s">
        <v>2852</v>
      </c>
      <c r="L132" s="293" t="s">
        <v>162</v>
      </c>
      <c r="M132" s="269" t="s">
        <v>2853</v>
      </c>
      <c r="N132" s="294" t="s">
        <v>2854</v>
      </c>
      <c r="O132" s="295"/>
      <c r="P132" s="295"/>
      <c r="Q132" s="295"/>
      <c r="R132" s="295"/>
    </row>
  </sheetData>
  <dataValidations>
    <dataValidation type="list" allowBlank="1" showErrorMessage="1" sqref="L2:L132">
      <formula1>#REF!</formula1>
    </dataValidation>
    <dataValidation type="custom" allowBlank="1" showDropDown="1" sqref="C2:C132">
      <formula1>OR(NOT(ISERROR(DATEVALUE(C2))), AND(ISNUMBER(C2), LEFT(CELL("format", C2))="D"))</formula1>
    </dataValidation>
    <dataValidation type="custom" allowBlank="1" showDropDown="1" sqref="I2:J132 N2:N132">
      <formula1>AND(ISNUMBER(I2),(NOT(OR(NOT(ISERROR(DATEVALUE(I2))), AND(ISNUMBER(I2), LEFT(CELL("format", I2))="D")))))</formula1>
    </dataValidation>
    <dataValidation type="list" allowBlank="1" sqref="F2:F132 H2:H132 M2:M132">
      <formula1>#REF!</formula1>
    </dataValidation>
  </dataValidations>
  <printOptions/>
  <pageMargins bottom="0.75" footer="0.0" header="0.0" left="0.7" right="0.7" top="0.75"/>
  <pageSetup paperSize="9" orientation="portrait"/>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25.38"/>
    <col customWidth="1" min="3" max="3" width="18.5"/>
    <col customWidth="1" min="4" max="4" width="25.25"/>
    <col customWidth="1" min="5" max="5" width="19.5"/>
    <col customWidth="1" min="6" max="6" width="25.5"/>
    <col customWidth="1" min="7" max="7" width="20.63"/>
    <col customWidth="1" min="8" max="8" width="12.88"/>
    <col customWidth="1" min="9" max="9" width="12.25"/>
    <col customWidth="1" min="10" max="10" width="12.63"/>
    <col customWidth="1" min="11" max="11" width="10.25"/>
    <col customWidth="1" min="12" max="12" width="9.38"/>
    <col customWidth="1" min="13" max="13" width="23.5"/>
    <col customWidth="1" min="14" max="14" width="19.5"/>
    <col customWidth="1" min="15" max="15" width="30.88"/>
    <col customWidth="1" min="16" max="16" width="25.5"/>
    <col customWidth="1" min="17" max="17" width="19.38"/>
    <col customWidth="1" min="18" max="18" width="35.5"/>
    <col customWidth="1" min="19" max="19" width="16.88"/>
    <col customWidth="1" min="20" max="20" width="2.63"/>
    <col customWidth="1" min="21" max="21" width="11.25"/>
    <col customWidth="1" min="22" max="38" width="1.0"/>
    <col customWidth="1" min="39" max="50" width="16.38"/>
    <col customWidth="1" min="51" max="79" width="1.0"/>
    <col customWidth="1" min="80" max="80" width="13.63"/>
    <col customWidth="1" min="81" max="81" width="10.63"/>
    <col customWidth="1" min="82" max="82" width="12.25"/>
    <col customWidth="1" min="83" max="83" width="19.13"/>
    <col customWidth="1" min="84" max="84" width="11.13"/>
    <col customWidth="1" min="85" max="85" width="19.63"/>
    <col customWidth="1" min="86" max="86" width="14.13"/>
    <col customWidth="1" min="87" max="87" width="22.75"/>
    <col customWidth="1" min="88" max="88" width="29.13"/>
    <col customWidth="1" min="89" max="89" width="22.75"/>
    <col customWidth="1" min="90" max="90" width="28.0"/>
    <col customWidth="1" min="91" max="91" width="42.13"/>
  </cols>
  <sheetData>
    <row r="1" ht="14.25" customHeight="1">
      <c r="A1" s="296" t="s">
        <v>2855</v>
      </c>
      <c r="B1" s="297" t="s">
        <v>2856</v>
      </c>
      <c r="C1" s="297" t="s">
        <v>2857</v>
      </c>
      <c r="D1" s="297" t="s">
        <v>2858</v>
      </c>
      <c r="E1" s="297" t="s">
        <v>2859</v>
      </c>
      <c r="F1" s="297" t="s">
        <v>2860</v>
      </c>
      <c r="G1" s="297" t="s">
        <v>2861</v>
      </c>
      <c r="H1" s="297" t="s">
        <v>2862</v>
      </c>
      <c r="I1" s="297" t="s">
        <v>2863</v>
      </c>
      <c r="J1" s="297" t="s">
        <v>2864</v>
      </c>
      <c r="K1" s="297" t="s">
        <v>2865</v>
      </c>
      <c r="L1" s="297" t="s">
        <v>1646</v>
      </c>
      <c r="M1" s="297" t="s">
        <v>2866</v>
      </c>
      <c r="N1" s="297" t="s">
        <v>2867</v>
      </c>
      <c r="O1" s="297" t="s">
        <v>2868</v>
      </c>
      <c r="P1" s="297" t="s">
        <v>2869</v>
      </c>
      <c r="Q1" s="297" t="s">
        <v>2870</v>
      </c>
      <c r="R1" s="297" t="s">
        <v>2871</v>
      </c>
      <c r="S1" s="297" t="s">
        <v>2872</v>
      </c>
      <c r="T1" s="297" t="s">
        <v>2873</v>
      </c>
      <c r="U1" s="297" t="s">
        <v>2874</v>
      </c>
      <c r="V1" s="297" t="s">
        <v>2875</v>
      </c>
      <c r="W1" s="297" t="s">
        <v>2876</v>
      </c>
      <c r="X1" s="297" t="s">
        <v>2877</v>
      </c>
      <c r="Y1" s="297" t="s">
        <v>2878</v>
      </c>
      <c r="Z1" s="297" t="s">
        <v>2879</v>
      </c>
      <c r="AA1" s="297" t="s">
        <v>2880</v>
      </c>
      <c r="AB1" s="297" t="s">
        <v>2881</v>
      </c>
      <c r="AC1" s="297" t="s">
        <v>2882</v>
      </c>
      <c r="AD1" s="297" t="s">
        <v>2883</v>
      </c>
      <c r="AE1" s="297" t="s">
        <v>2884</v>
      </c>
      <c r="AF1" s="297" t="s">
        <v>2885</v>
      </c>
      <c r="AG1" s="297" t="s">
        <v>2886</v>
      </c>
      <c r="AH1" s="297" t="s">
        <v>2887</v>
      </c>
      <c r="AI1" s="297" t="s">
        <v>2888</v>
      </c>
      <c r="AJ1" s="297" t="s">
        <v>2889</v>
      </c>
      <c r="AK1" s="297" t="s">
        <v>2890</v>
      </c>
      <c r="AL1" s="297" t="s">
        <v>2891</v>
      </c>
      <c r="AM1" s="297" t="s">
        <v>2892</v>
      </c>
      <c r="AN1" s="297" t="s">
        <v>2893</v>
      </c>
      <c r="AO1" s="297" t="s">
        <v>2894</v>
      </c>
      <c r="AP1" s="297" t="s">
        <v>2895</v>
      </c>
      <c r="AQ1" s="297" t="s">
        <v>2896</v>
      </c>
      <c r="AR1" s="297" t="s">
        <v>2897</v>
      </c>
      <c r="AS1" s="297" t="s">
        <v>2898</v>
      </c>
      <c r="AT1" s="297" t="s">
        <v>2899</v>
      </c>
      <c r="AU1" s="297" t="s">
        <v>2900</v>
      </c>
      <c r="AV1" s="297" t="s">
        <v>2901</v>
      </c>
      <c r="AW1" s="297" t="s">
        <v>2902</v>
      </c>
      <c r="AX1" s="297" t="s">
        <v>2903</v>
      </c>
      <c r="AY1" s="297" t="s">
        <v>2904</v>
      </c>
      <c r="AZ1" s="297" t="s">
        <v>2905</v>
      </c>
      <c r="BA1" s="297" t="s">
        <v>2906</v>
      </c>
      <c r="BB1" s="297" t="s">
        <v>2907</v>
      </c>
      <c r="BC1" s="297" t="s">
        <v>2908</v>
      </c>
      <c r="BD1" s="297" t="s">
        <v>2909</v>
      </c>
      <c r="BE1" s="297" t="s">
        <v>2910</v>
      </c>
      <c r="BF1" s="297" t="s">
        <v>2911</v>
      </c>
      <c r="BG1" s="297" t="s">
        <v>2912</v>
      </c>
      <c r="BH1" s="297" t="s">
        <v>2913</v>
      </c>
      <c r="BI1" s="297" t="s">
        <v>2914</v>
      </c>
      <c r="BJ1" s="297" t="s">
        <v>2915</v>
      </c>
      <c r="BK1" s="297" t="s">
        <v>2916</v>
      </c>
      <c r="BL1" s="297" t="s">
        <v>2917</v>
      </c>
      <c r="BM1" s="297" t="s">
        <v>2918</v>
      </c>
      <c r="BN1" s="297" t="s">
        <v>2919</v>
      </c>
      <c r="BO1" s="297" t="s">
        <v>2920</v>
      </c>
      <c r="BP1" s="297" t="s">
        <v>2921</v>
      </c>
      <c r="BQ1" s="297" t="s">
        <v>2922</v>
      </c>
      <c r="BR1" s="297" t="s">
        <v>2923</v>
      </c>
      <c r="BS1" s="297" t="s">
        <v>2924</v>
      </c>
      <c r="BT1" s="297" t="s">
        <v>2925</v>
      </c>
      <c r="BU1" s="297" t="s">
        <v>2926</v>
      </c>
      <c r="BV1" s="297" t="s">
        <v>2927</v>
      </c>
      <c r="BW1" s="297" t="s">
        <v>2928</v>
      </c>
      <c r="BX1" s="297" t="s">
        <v>2929</v>
      </c>
      <c r="BY1" s="297" t="s">
        <v>2930</v>
      </c>
      <c r="BZ1" s="297" t="s">
        <v>2931</v>
      </c>
      <c r="CA1" s="297" t="s">
        <v>2932</v>
      </c>
      <c r="CB1" s="298" t="s">
        <v>2502</v>
      </c>
      <c r="CC1" s="298" t="s">
        <v>1595</v>
      </c>
      <c r="CD1" s="298" t="s">
        <v>1596</v>
      </c>
      <c r="CE1" s="298" t="s">
        <v>2933</v>
      </c>
      <c r="CF1" s="298" t="s">
        <v>2934</v>
      </c>
      <c r="CG1" s="298" t="s">
        <v>2935</v>
      </c>
      <c r="CH1" s="298" t="s">
        <v>42</v>
      </c>
      <c r="CI1" s="298" t="s">
        <v>2936</v>
      </c>
      <c r="CJ1" s="298" t="s">
        <v>2937</v>
      </c>
      <c r="CK1" s="298" t="s">
        <v>2938</v>
      </c>
      <c r="CL1" s="299" t="s">
        <v>172</v>
      </c>
      <c r="CM1" s="300" t="s">
        <v>2939</v>
      </c>
    </row>
    <row r="2" ht="17.25" customHeight="1">
      <c r="A2" s="301" t="s">
        <v>2940</v>
      </c>
      <c r="B2" s="301" t="s">
        <v>2941</v>
      </c>
      <c r="C2" s="301" t="s">
        <v>2942</v>
      </c>
      <c r="D2" s="301" t="s">
        <v>2943</v>
      </c>
      <c r="E2" s="301" t="s">
        <v>2944</v>
      </c>
      <c r="F2" s="301" t="s">
        <v>2945</v>
      </c>
      <c r="G2" s="301" t="s">
        <v>2946</v>
      </c>
      <c r="H2" s="301" t="s">
        <v>2947</v>
      </c>
      <c r="I2" s="301">
        <v>100.0</v>
      </c>
      <c r="J2" s="301">
        <v>6.9</v>
      </c>
      <c r="K2" s="301">
        <v>19.27</v>
      </c>
      <c r="L2" s="301">
        <v>106.9</v>
      </c>
      <c r="N2" s="301">
        <v>0.0</v>
      </c>
      <c r="O2" s="301" t="s">
        <v>2948</v>
      </c>
      <c r="P2" s="301" t="s">
        <v>2949</v>
      </c>
      <c r="Q2" s="302">
        <v>1.0</v>
      </c>
      <c r="R2" s="301" t="s">
        <v>2950</v>
      </c>
      <c r="S2" s="301">
        <v>100.0</v>
      </c>
      <c r="U2" s="301" t="s">
        <v>2951</v>
      </c>
      <c r="V2" s="301" t="b">
        <v>1</v>
      </c>
      <c r="W2" s="301" t="b">
        <v>1</v>
      </c>
      <c r="X2" s="301" t="s">
        <v>2944</v>
      </c>
      <c r="Y2" s="301" t="s">
        <v>2952</v>
      </c>
      <c r="Z2" s="301" t="s">
        <v>2953</v>
      </c>
      <c r="AA2" s="301" t="s">
        <v>2953</v>
      </c>
      <c r="AD2" s="301" t="s">
        <v>23</v>
      </c>
      <c r="AE2" s="301">
        <v>20155.0</v>
      </c>
      <c r="AF2" s="301" t="s">
        <v>2954</v>
      </c>
      <c r="AG2" s="301" t="s">
        <v>2955</v>
      </c>
      <c r="AH2" s="301">
        <v>3.395809769E9</v>
      </c>
      <c r="AI2" s="301" t="s">
        <v>2952</v>
      </c>
      <c r="AJ2" s="301" t="s">
        <v>2953</v>
      </c>
      <c r="AK2" s="301" t="s">
        <v>2953</v>
      </c>
      <c r="AN2" s="301" t="s">
        <v>23</v>
      </c>
      <c r="AO2" s="301">
        <v>20155.0</v>
      </c>
      <c r="AP2" s="301" t="s">
        <v>2954</v>
      </c>
      <c r="AQ2" s="301" t="s">
        <v>2955</v>
      </c>
      <c r="AR2" s="301">
        <v>3.395809769E9</v>
      </c>
      <c r="AV2" s="301" t="s">
        <v>2956</v>
      </c>
      <c r="AW2" s="301">
        <v>4.6398940873031E13</v>
      </c>
      <c r="AX2" s="302">
        <v>0.0</v>
      </c>
      <c r="AY2" s="301" t="s">
        <v>2957</v>
      </c>
      <c r="AZ2" s="301">
        <v>0.0</v>
      </c>
      <c r="BD2" s="301">
        <v>7.379433390407E12</v>
      </c>
      <c r="BG2" s="301" t="s">
        <v>2958</v>
      </c>
      <c r="BH2" s="301">
        <v>0.0</v>
      </c>
      <c r="BI2" s="301" t="s">
        <v>2959</v>
      </c>
      <c r="BJ2" s="301">
        <v>18.03</v>
      </c>
      <c r="BV2" s="301" t="s">
        <v>23</v>
      </c>
      <c r="BW2" s="301" t="s">
        <v>23</v>
      </c>
      <c r="BX2" s="301" t="s">
        <v>2956</v>
      </c>
      <c r="CA2" s="301" t="s">
        <v>2956</v>
      </c>
      <c r="CB2" s="303" t="str">
        <f t="shared" ref="CB2:CB467" si="1">IFERROR(IF(MID(D2,9,2)&amp;"/"&amp;MID(D2,6,2)&amp;"/"&amp;LEFT(D2,4)="//",CB1,MID(D2,9,2)&amp;"/"&amp;MID(D2,6,2)&amp;"/"&amp;LEFT(D2,4)),0)</f>
        <v>16/02/2026</v>
      </c>
      <c r="CC2" s="304">
        <f t="shared" ref="CC2:CC467" si="2">+IFERROR(YEAR(CB2),0)</f>
        <v>2026</v>
      </c>
      <c r="CD2" s="305">
        <f t="shared" ref="CD2:CD467" si="3">MONTH(CB2)</f>
        <v>2</v>
      </c>
      <c r="CE2" s="305">
        <f t="shared" ref="CE2:CE467" si="4">IFERROR(IF(AND(OR(C2="paid",C2="partially_refunded"),COUNTIF($A$1:A2,A2)=1),1,0),0)
</f>
        <v>1</v>
      </c>
      <c r="CF2" s="305">
        <f t="shared" ref="CF2:CF467" si="5">IF(OR(C2="refunded"),0,Q2)</f>
        <v>1</v>
      </c>
      <c r="CG2" s="305">
        <f t="shared" ref="CG2:CG467" si="6">IF(CL2="Gift Card",0,IF(AND(C2="paid",J2=0),IF(AND(AQ2&lt;&gt;"IT",AQ2&lt;&gt;""),-10,-5),0))</f>
        <v>0</v>
      </c>
      <c r="CH2" s="306">
        <f>VLOOKUP(CL2,'PRODUCT_COGS&amp;PRICE'!A:E,5,false)</f>
        <v>30</v>
      </c>
      <c r="CI2" s="306">
        <f t="shared" ref="CI2:CI467" si="7">IF(A2=A1,0,IF(AV2="shopify_payments",0.25+0.019*SUMIF($A:$A,$A2,$L:$L),0.35+0.0349*SUMIF($A:$A,$A2,$L:$L)))*-1</f>
        <v>-2.2811</v>
      </c>
      <c r="CJ2" s="307">
        <f t="shared" ref="CJ2:CJ467" si="8">-IF(OR(T2="",T2=0),0,S2-T2)</f>
        <v>0</v>
      </c>
      <c r="CK2" s="307">
        <f t="shared" ref="CK2:CK467" si="9">CJ2+N2</f>
        <v>0</v>
      </c>
      <c r="CL2" s="305" t="str">
        <f>VLOOKUP(R2,PRODUCT_MAP!A:B,2,FALSE)</f>
        <v>Lea_Bag_BLUE_ELECTRIC</v>
      </c>
      <c r="CM2" s="305" t="str">
        <f>VLOOKUP(R2,PRODUCT_MAP!A:E,3,FALSE)</f>
        <v>Lea Bag</v>
      </c>
    </row>
    <row r="3" ht="22.5" customHeight="1">
      <c r="A3" s="308" t="s">
        <v>2960</v>
      </c>
      <c r="B3" s="308" t="s">
        <v>2961</v>
      </c>
      <c r="C3" s="308" t="s">
        <v>2962</v>
      </c>
      <c r="D3" s="308" t="s">
        <v>2963</v>
      </c>
      <c r="E3" s="308" t="s">
        <v>2944</v>
      </c>
      <c r="F3" s="308" t="s">
        <v>2964</v>
      </c>
      <c r="G3" s="308" t="s">
        <v>2965</v>
      </c>
      <c r="H3" s="308" t="s">
        <v>2947</v>
      </c>
      <c r="I3" s="308">
        <v>150.0</v>
      </c>
      <c r="J3" s="308">
        <v>6.9</v>
      </c>
      <c r="K3" s="308">
        <v>28.29</v>
      </c>
      <c r="L3" s="308">
        <v>156.9</v>
      </c>
      <c r="M3" s="309"/>
      <c r="N3" s="308">
        <v>0.0</v>
      </c>
      <c r="O3" s="308" t="s">
        <v>2948</v>
      </c>
      <c r="P3" s="308" t="s">
        <v>2966</v>
      </c>
      <c r="Q3" s="310">
        <v>1.0</v>
      </c>
      <c r="R3" s="308" t="s">
        <v>2967</v>
      </c>
      <c r="S3" s="308">
        <v>150.0</v>
      </c>
      <c r="T3" s="311"/>
      <c r="U3" s="308" t="s">
        <v>2968</v>
      </c>
      <c r="V3" s="308" t="b">
        <v>1</v>
      </c>
      <c r="W3" s="308" t="b">
        <v>1</v>
      </c>
      <c r="X3" s="308" t="s">
        <v>2944</v>
      </c>
      <c r="Y3" s="308" t="s">
        <v>2969</v>
      </c>
      <c r="Z3" s="308" t="s">
        <v>2970</v>
      </c>
      <c r="AA3" s="308" t="s">
        <v>2970</v>
      </c>
      <c r="AB3" s="311"/>
      <c r="AC3" s="311"/>
      <c r="AD3" s="308" t="s">
        <v>2971</v>
      </c>
      <c r="AE3" s="308">
        <v>37138.0</v>
      </c>
      <c r="AF3" s="308" t="s">
        <v>2972</v>
      </c>
      <c r="AG3" s="308" t="s">
        <v>2955</v>
      </c>
      <c r="AH3" s="311"/>
      <c r="AI3" s="308" t="s">
        <v>2969</v>
      </c>
      <c r="AJ3" s="308" t="s">
        <v>2973</v>
      </c>
      <c r="AK3" s="308" t="s">
        <v>2973</v>
      </c>
      <c r="AL3" s="311"/>
      <c r="AM3" s="311"/>
      <c r="AN3" s="308" t="s">
        <v>23</v>
      </c>
      <c r="AO3" s="308">
        <v>20122.0</v>
      </c>
      <c r="AP3" s="308" t="s">
        <v>2954</v>
      </c>
      <c r="AQ3" s="308" t="s">
        <v>2955</v>
      </c>
      <c r="AR3" s="308">
        <v>3.402640331E9</v>
      </c>
      <c r="AS3" s="311"/>
      <c r="AT3" s="311"/>
      <c r="AU3" s="311"/>
      <c r="AV3" s="308" t="s">
        <v>2956</v>
      </c>
      <c r="AW3" s="308">
        <v>4.6402575171911E13</v>
      </c>
      <c r="AX3" s="310">
        <v>6.9</v>
      </c>
      <c r="AY3" s="308" t="s">
        <v>2974</v>
      </c>
      <c r="AZ3" s="308">
        <v>0.0</v>
      </c>
      <c r="BA3" s="311"/>
      <c r="BB3" s="311"/>
      <c r="BC3" s="311"/>
      <c r="BD3" s="308">
        <v>7.380115423559E12</v>
      </c>
      <c r="BE3" s="311"/>
      <c r="BF3" s="311"/>
      <c r="BG3" s="308" t="s">
        <v>2958</v>
      </c>
      <c r="BH3" s="308">
        <v>0.0</v>
      </c>
      <c r="BI3" s="308" t="s">
        <v>2959</v>
      </c>
      <c r="BJ3" s="308">
        <v>27.05</v>
      </c>
      <c r="BK3" s="311"/>
      <c r="BL3" s="311"/>
      <c r="BM3" s="311"/>
      <c r="BN3" s="311"/>
      <c r="BO3" s="311"/>
      <c r="BP3" s="311"/>
      <c r="BQ3" s="311"/>
      <c r="BR3" s="311"/>
      <c r="BS3" s="311"/>
      <c r="BT3" s="311"/>
      <c r="BU3" s="311"/>
      <c r="BV3" s="308" t="s">
        <v>2971</v>
      </c>
      <c r="BW3" s="308" t="s">
        <v>23</v>
      </c>
      <c r="BX3" s="308" t="s">
        <v>2956</v>
      </c>
      <c r="BY3" s="311"/>
      <c r="BZ3" s="311"/>
      <c r="CA3" s="308" t="s">
        <v>2956</v>
      </c>
      <c r="CB3" s="312" t="str">
        <f t="shared" si="1"/>
        <v>16/02/2026</v>
      </c>
      <c r="CC3" s="313">
        <f t="shared" si="2"/>
        <v>2026</v>
      </c>
      <c r="CD3" s="314">
        <f t="shared" si="3"/>
        <v>2</v>
      </c>
      <c r="CE3" s="314">
        <f t="shared" si="4"/>
        <v>1</v>
      </c>
      <c r="CF3" s="314">
        <f t="shared" si="5"/>
        <v>1</v>
      </c>
      <c r="CG3" s="314">
        <f t="shared" si="6"/>
        <v>0</v>
      </c>
      <c r="CH3" s="315">
        <f>VLOOKUP(CL3,'PRODUCT_COGS&amp;PRICE'!A:E,5,false)</f>
        <v>33</v>
      </c>
      <c r="CI3" s="306">
        <f t="shared" si="7"/>
        <v>-3.2311</v>
      </c>
      <c r="CJ3" s="316">
        <f t="shared" si="8"/>
        <v>0</v>
      </c>
      <c r="CK3" s="316">
        <f t="shared" si="9"/>
        <v>0</v>
      </c>
      <c r="CL3" s="314" t="str">
        <f>VLOOKUP(R3,PRODUCT_MAP!A:B,2,FALSE)</f>
        <v>Lea_Bag_Zebra_Dark</v>
      </c>
      <c r="CM3" s="314" t="str">
        <f>VLOOKUP(R3,PRODUCT_MAP!A:E,3,FALSE)</f>
        <v>Lea Bag</v>
      </c>
    </row>
    <row r="4" ht="22.5" customHeight="1">
      <c r="A4" s="308" t="s">
        <v>2975</v>
      </c>
      <c r="B4" s="308" t="s">
        <v>2976</v>
      </c>
      <c r="C4" s="308" t="s">
        <v>2942</v>
      </c>
      <c r="D4" s="308" t="s">
        <v>2977</v>
      </c>
      <c r="E4" s="308" t="s">
        <v>2944</v>
      </c>
      <c r="F4" s="308" t="s">
        <v>2978</v>
      </c>
      <c r="G4" s="308" t="s">
        <v>2946</v>
      </c>
      <c r="H4" s="308" t="s">
        <v>2947</v>
      </c>
      <c r="I4" s="308">
        <v>150.0</v>
      </c>
      <c r="J4" s="308">
        <v>0.0</v>
      </c>
      <c r="K4" s="308">
        <v>27.05</v>
      </c>
      <c r="L4" s="308">
        <v>150.0</v>
      </c>
      <c r="M4" s="309"/>
      <c r="N4" s="308">
        <v>0.0</v>
      </c>
      <c r="O4" s="308" t="s">
        <v>2979</v>
      </c>
      <c r="P4" s="308" t="s">
        <v>2980</v>
      </c>
      <c r="Q4" s="310">
        <v>1.0</v>
      </c>
      <c r="R4" s="308" t="s">
        <v>2981</v>
      </c>
      <c r="S4" s="308">
        <v>150.0</v>
      </c>
      <c r="T4" s="311"/>
      <c r="U4" s="308" t="s">
        <v>2982</v>
      </c>
      <c r="V4" s="308" t="b">
        <v>1</v>
      </c>
      <c r="W4" s="308" t="b">
        <v>1</v>
      </c>
      <c r="X4" s="308" t="s">
        <v>2944</v>
      </c>
      <c r="Y4" s="308" t="s">
        <v>2983</v>
      </c>
      <c r="Z4" s="308" t="s">
        <v>2984</v>
      </c>
      <c r="AA4" s="308" t="s">
        <v>2984</v>
      </c>
      <c r="AB4" s="311"/>
      <c r="AC4" s="311"/>
      <c r="AD4" s="308" t="s">
        <v>23</v>
      </c>
      <c r="AE4" s="308">
        <v>20145.0</v>
      </c>
      <c r="AF4" s="308" t="s">
        <v>2954</v>
      </c>
      <c r="AG4" s="308" t="s">
        <v>2955</v>
      </c>
      <c r="AH4" s="311"/>
      <c r="AI4" s="311"/>
      <c r="AJ4" s="311"/>
      <c r="AK4" s="311"/>
      <c r="AL4" s="311"/>
      <c r="AM4" s="311"/>
      <c r="AN4" s="311"/>
      <c r="AO4" s="311"/>
      <c r="AP4" s="311"/>
      <c r="AQ4" s="311"/>
      <c r="AR4" s="311"/>
      <c r="AS4" s="311"/>
      <c r="AT4" s="311"/>
      <c r="AU4" s="311"/>
      <c r="AV4" s="308" t="s">
        <v>2956</v>
      </c>
      <c r="AW4" s="308">
        <v>4.6405352948039E13</v>
      </c>
      <c r="AX4" s="310">
        <v>0.0</v>
      </c>
      <c r="AY4" s="308" t="s">
        <v>2974</v>
      </c>
      <c r="AZ4" s="308">
        <v>0.0</v>
      </c>
      <c r="BA4" s="311"/>
      <c r="BB4" s="311"/>
      <c r="BC4" s="311"/>
      <c r="BD4" s="308">
        <v>7.380555497799E12</v>
      </c>
      <c r="BE4" s="311"/>
      <c r="BF4" s="311"/>
      <c r="BG4" s="308" t="s">
        <v>2958</v>
      </c>
      <c r="BH4" s="308">
        <v>0.0</v>
      </c>
      <c r="BI4" s="308" t="s">
        <v>2959</v>
      </c>
      <c r="BJ4" s="308">
        <v>27.05</v>
      </c>
      <c r="BK4" s="311"/>
      <c r="BL4" s="311"/>
      <c r="BM4" s="311"/>
      <c r="BN4" s="311"/>
      <c r="BO4" s="311"/>
      <c r="BP4" s="311"/>
      <c r="BQ4" s="311"/>
      <c r="BR4" s="311"/>
      <c r="BS4" s="311"/>
      <c r="BT4" s="311"/>
      <c r="BU4" s="311"/>
      <c r="BV4" s="308" t="s">
        <v>23</v>
      </c>
      <c r="BW4" s="311"/>
      <c r="BX4" s="308" t="s">
        <v>2956</v>
      </c>
      <c r="BY4" s="311"/>
      <c r="BZ4" s="311"/>
      <c r="CA4" s="308" t="s">
        <v>2956</v>
      </c>
      <c r="CB4" s="312" t="str">
        <f t="shared" si="1"/>
        <v>16/02/2026</v>
      </c>
      <c r="CC4" s="313">
        <f t="shared" si="2"/>
        <v>2026</v>
      </c>
      <c r="CD4" s="314">
        <f t="shared" si="3"/>
        <v>2</v>
      </c>
      <c r="CE4" s="314">
        <f t="shared" si="4"/>
        <v>1</v>
      </c>
      <c r="CF4" s="314">
        <f t="shared" si="5"/>
        <v>1</v>
      </c>
      <c r="CG4" s="314">
        <f t="shared" si="6"/>
        <v>-5</v>
      </c>
      <c r="CH4" s="315">
        <f>VLOOKUP(CL4,'PRODUCT_COGS&amp;PRICE'!A:E,5,false)</f>
        <v>30.33</v>
      </c>
      <c r="CI4" s="306">
        <f t="shared" si="7"/>
        <v>-3.1</v>
      </c>
      <c r="CJ4" s="316">
        <f t="shared" si="8"/>
        <v>0</v>
      </c>
      <c r="CK4" s="316">
        <f t="shared" si="9"/>
        <v>0</v>
      </c>
      <c r="CL4" s="314" t="str">
        <f>VLOOKUP(R4,PRODUCT_MAP!A:B,2,FALSE)</f>
        <v>Lea_Bag_MUCCATA_MARRONE</v>
      </c>
      <c r="CM4" s="314" t="str">
        <f>VLOOKUP(R4,PRODUCT_MAP!A:E,3,FALSE)</f>
        <v>Lea Bag</v>
      </c>
    </row>
    <row r="5" ht="22.5" customHeight="1">
      <c r="A5" s="308" t="s">
        <v>2985</v>
      </c>
      <c r="B5" s="308" t="s">
        <v>2986</v>
      </c>
      <c r="C5" s="308" t="s">
        <v>2942</v>
      </c>
      <c r="D5" s="308" t="s">
        <v>2987</v>
      </c>
      <c r="E5" s="308" t="s">
        <v>2944</v>
      </c>
      <c r="F5" s="308" t="s">
        <v>2988</v>
      </c>
      <c r="G5" s="308" t="s">
        <v>2946</v>
      </c>
      <c r="H5" s="308" t="s">
        <v>2947</v>
      </c>
      <c r="I5" s="308">
        <v>120.0</v>
      </c>
      <c r="J5" s="308">
        <v>6.9</v>
      </c>
      <c r="K5" s="308">
        <v>22.88</v>
      </c>
      <c r="L5" s="308">
        <v>126.9</v>
      </c>
      <c r="M5" s="309"/>
      <c r="N5" s="308">
        <v>0.0</v>
      </c>
      <c r="O5" s="308" t="s">
        <v>2948</v>
      </c>
      <c r="P5" s="308" t="s">
        <v>2989</v>
      </c>
      <c r="Q5" s="310">
        <v>1.0</v>
      </c>
      <c r="R5" s="308" t="s">
        <v>2990</v>
      </c>
      <c r="S5" s="308">
        <v>120.0</v>
      </c>
      <c r="T5" s="311"/>
      <c r="U5" s="308" t="s">
        <v>2991</v>
      </c>
      <c r="V5" s="308" t="b">
        <v>1</v>
      </c>
      <c r="W5" s="308" t="b">
        <v>1</v>
      </c>
      <c r="X5" s="308" t="s">
        <v>2944</v>
      </c>
      <c r="Y5" s="308" t="s">
        <v>2992</v>
      </c>
      <c r="Z5" s="308" t="s">
        <v>2993</v>
      </c>
      <c r="AA5" s="308" t="s">
        <v>2993</v>
      </c>
      <c r="AB5" s="311"/>
      <c r="AC5" s="311"/>
      <c r="AD5" s="308" t="s">
        <v>2994</v>
      </c>
      <c r="AE5" s="308">
        <v>31100.0</v>
      </c>
      <c r="AF5" s="308" t="s">
        <v>2995</v>
      </c>
      <c r="AG5" s="308" t="s">
        <v>2955</v>
      </c>
      <c r="AH5" s="311"/>
      <c r="AI5" s="308" t="s">
        <v>2996</v>
      </c>
      <c r="AJ5" s="308" t="s">
        <v>2997</v>
      </c>
      <c r="AK5" s="308" t="s">
        <v>2997</v>
      </c>
      <c r="AL5" s="311"/>
      <c r="AM5" s="311"/>
      <c r="AN5" s="308" t="s">
        <v>2971</v>
      </c>
      <c r="AO5" s="308">
        <v>37126.0</v>
      </c>
      <c r="AP5" s="308" t="s">
        <v>2972</v>
      </c>
      <c r="AQ5" s="308" t="s">
        <v>2955</v>
      </c>
      <c r="AR5" s="308">
        <v>3.408695164E9</v>
      </c>
      <c r="AS5" s="311"/>
      <c r="AT5" s="311"/>
      <c r="AU5" s="311"/>
      <c r="AV5" s="308" t="s">
        <v>2956</v>
      </c>
      <c r="AW5" s="308">
        <v>4.6417282171207E13</v>
      </c>
      <c r="AX5" s="310">
        <v>0.0</v>
      </c>
      <c r="AY5" s="308" t="s">
        <v>2974</v>
      </c>
      <c r="AZ5" s="308">
        <v>0.0</v>
      </c>
      <c r="BA5" s="311"/>
      <c r="BB5" s="311"/>
      <c r="BC5" s="311"/>
      <c r="BD5" s="308">
        <v>7.383765713223E12</v>
      </c>
      <c r="BE5" s="311"/>
      <c r="BF5" s="311"/>
      <c r="BG5" s="308" t="s">
        <v>2958</v>
      </c>
      <c r="BH5" s="308">
        <v>0.0</v>
      </c>
      <c r="BI5" s="308" t="s">
        <v>2959</v>
      </c>
      <c r="BJ5" s="308">
        <v>21.64</v>
      </c>
      <c r="BK5" s="311"/>
      <c r="BL5" s="311"/>
      <c r="BM5" s="311"/>
      <c r="BN5" s="311"/>
      <c r="BO5" s="311"/>
      <c r="BP5" s="311"/>
      <c r="BQ5" s="311"/>
      <c r="BR5" s="311"/>
      <c r="BS5" s="311"/>
      <c r="BT5" s="311"/>
      <c r="BU5" s="311"/>
      <c r="BV5" s="308" t="s">
        <v>2994</v>
      </c>
      <c r="BW5" s="308" t="s">
        <v>2971</v>
      </c>
      <c r="BX5" s="308" t="s">
        <v>2956</v>
      </c>
      <c r="BY5" s="311"/>
      <c r="BZ5" s="311"/>
      <c r="CA5" s="308" t="s">
        <v>2956</v>
      </c>
      <c r="CB5" s="312" t="str">
        <f t="shared" si="1"/>
        <v>17/02/2026</v>
      </c>
      <c r="CC5" s="313">
        <f t="shared" si="2"/>
        <v>2026</v>
      </c>
      <c r="CD5" s="314">
        <f t="shared" si="3"/>
        <v>2</v>
      </c>
      <c r="CE5" s="314">
        <f t="shared" si="4"/>
        <v>1</v>
      </c>
      <c r="CF5" s="314">
        <f t="shared" si="5"/>
        <v>1</v>
      </c>
      <c r="CG5" s="314">
        <f t="shared" si="6"/>
        <v>0</v>
      </c>
      <c r="CH5" s="315">
        <f>VLOOKUP(CL5,'PRODUCT_COGS&amp;PRICE'!A:E,5,false)</f>
        <v>20</v>
      </c>
      <c r="CI5" s="306">
        <f t="shared" si="7"/>
        <v>-2.6611</v>
      </c>
      <c r="CJ5" s="316">
        <f t="shared" si="8"/>
        <v>0</v>
      </c>
      <c r="CK5" s="316">
        <f t="shared" si="9"/>
        <v>0</v>
      </c>
      <c r="CL5" s="314" t="str">
        <f>VLOOKUP(R5,PRODUCT_MAP!A:B,2,FALSE)</f>
        <v>Lea_Bag_RED_PATENT</v>
      </c>
      <c r="CM5" s="314" t="str">
        <f>VLOOKUP(R5,PRODUCT_MAP!A:E,3,FALSE)</f>
        <v>Lea Bag</v>
      </c>
    </row>
    <row r="6" ht="22.5" customHeight="1">
      <c r="A6" s="308" t="s">
        <v>2998</v>
      </c>
      <c r="B6" s="308" t="s">
        <v>2999</v>
      </c>
      <c r="C6" s="308" t="s">
        <v>2942</v>
      </c>
      <c r="D6" s="308" t="s">
        <v>3000</v>
      </c>
      <c r="E6" s="308" t="s">
        <v>2944</v>
      </c>
      <c r="F6" s="308" t="s">
        <v>3001</v>
      </c>
      <c r="G6" s="308" t="s">
        <v>2946</v>
      </c>
      <c r="H6" s="308" t="s">
        <v>2947</v>
      </c>
      <c r="I6" s="308">
        <v>120.0</v>
      </c>
      <c r="J6" s="308">
        <v>6.9</v>
      </c>
      <c r="K6" s="308">
        <v>22.88</v>
      </c>
      <c r="L6" s="308">
        <v>126.9</v>
      </c>
      <c r="M6" s="309"/>
      <c r="N6" s="308">
        <v>0.0</v>
      </c>
      <c r="O6" s="308" t="s">
        <v>2948</v>
      </c>
      <c r="P6" s="308" t="s">
        <v>3002</v>
      </c>
      <c r="Q6" s="310">
        <v>1.0</v>
      </c>
      <c r="R6" s="308" t="s">
        <v>3003</v>
      </c>
      <c r="S6" s="308">
        <v>120.0</v>
      </c>
      <c r="T6" s="311"/>
      <c r="U6" s="308" t="s">
        <v>3004</v>
      </c>
      <c r="V6" s="308" t="b">
        <v>1</v>
      </c>
      <c r="W6" s="308" t="b">
        <v>1</v>
      </c>
      <c r="X6" s="308" t="s">
        <v>2944</v>
      </c>
      <c r="Y6" s="308" t="s">
        <v>3005</v>
      </c>
      <c r="Z6" s="308" t="s">
        <v>3006</v>
      </c>
      <c r="AA6" s="308" t="s">
        <v>3006</v>
      </c>
      <c r="AB6" s="311"/>
      <c r="AC6" s="311"/>
      <c r="AD6" s="308" t="s">
        <v>3007</v>
      </c>
      <c r="AE6" s="308">
        <v>80129.0</v>
      </c>
      <c r="AF6" s="308" t="s">
        <v>3008</v>
      </c>
      <c r="AG6" s="308" t="s">
        <v>2955</v>
      </c>
      <c r="AH6" s="308">
        <v>3.473915328E9</v>
      </c>
      <c r="AI6" s="308" t="s">
        <v>3005</v>
      </c>
      <c r="AJ6" s="308" t="s">
        <v>3006</v>
      </c>
      <c r="AK6" s="308" t="s">
        <v>3006</v>
      </c>
      <c r="AL6" s="311"/>
      <c r="AM6" s="311"/>
      <c r="AN6" s="308" t="s">
        <v>3007</v>
      </c>
      <c r="AO6" s="308">
        <v>80129.0</v>
      </c>
      <c r="AP6" s="308" t="s">
        <v>3008</v>
      </c>
      <c r="AQ6" s="308" t="s">
        <v>2955</v>
      </c>
      <c r="AR6" s="308">
        <v>3.473915328E9</v>
      </c>
      <c r="AS6" s="311"/>
      <c r="AT6" s="311"/>
      <c r="AU6" s="311"/>
      <c r="AV6" s="308" t="s">
        <v>3009</v>
      </c>
      <c r="AW6" s="308">
        <v>4.6405876613447E13</v>
      </c>
      <c r="AX6" s="310">
        <v>0.0</v>
      </c>
      <c r="AY6" s="308" t="s">
        <v>2974</v>
      </c>
      <c r="AZ6" s="308">
        <v>0.0</v>
      </c>
      <c r="BA6" s="311"/>
      <c r="BB6" s="311"/>
      <c r="BC6" s="311"/>
      <c r="BD6" s="308">
        <v>7.384192385351E12</v>
      </c>
      <c r="BE6" s="311"/>
      <c r="BF6" s="311"/>
      <c r="BG6" s="308" t="s">
        <v>2958</v>
      </c>
      <c r="BH6" s="308">
        <v>0.0</v>
      </c>
      <c r="BI6" s="308" t="s">
        <v>2959</v>
      </c>
      <c r="BJ6" s="308">
        <v>21.64</v>
      </c>
      <c r="BK6" s="311"/>
      <c r="BL6" s="311"/>
      <c r="BM6" s="311"/>
      <c r="BN6" s="311"/>
      <c r="BO6" s="311"/>
      <c r="BP6" s="311"/>
      <c r="BQ6" s="311"/>
      <c r="BR6" s="311"/>
      <c r="BS6" s="311"/>
      <c r="BT6" s="311"/>
      <c r="BU6" s="311"/>
      <c r="BV6" s="308" t="s">
        <v>3007</v>
      </c>
      <c r="BW6" s="308" t="s">
        <v>3007</v>
      </c>
      <c r="BX6" s="308" t="s">
        <v>3009</v>
      </c>
      <c r="BY6" s="311"/>
      <c r="BZ6" s="311"/>
      <c r="CA6" s="308" t="s">
        <v>3009</v>
      </c>
      <c r="CB6" s="312" t="str">
        <f t="shared" si="1"/>
        <v>18/02/2026</v>
      </c>
      <c r="CC6" s="313">
        <f t="shared" si="2"/>
        <v>2026</v>
      </c>
      <c r="CD6" s="314">
        <f t="shared" si="3"/>
        <v>2</v>
      </c>
      <c r="CE6" s="314">
        <f t="shared" si="4"/>
        <v>1</v>
      </c>
      <c r="CF6" s="314">
        <f t="shared" si="5"/>
        <v>1</v>
      </c>
      <c r="CG6" s="314">
        <f t="shared" si="6"/>
        <v>0</v>
      </c>
      <c r="CH6" s="315">
        <f>VLOOKUP(CL6,'PRODUCT_COGS&amp;PRICE'!A:E,5,false)</f>
        <v>30.33</v>
      </c>
      <c r="CI6" s="306">
        <f t="shared" si="7"/>
        <v>-4.77881</v>
      </c>
      <c r="CJ6" s="316">
        <f t="shared" si="8"/>
        <v>0</v>
      </c>
      <c r="CK6" s="316">
        <f t="shared" si="9"/>
        <v>0</v>
      </c>
      <c r="CL6" s="314" t="str">
        <f>VLOOKUP(R6,PRODUCT_MAP!A:B,2,FALSE)</f>
        <v>Lea_Bag_COCCO_BLACK</v>
      </c>
      <c r="CM6" s="314" t="str">
        <f>VLOOKUP(R6,PRODUCT_MAP!A:E,3,FALSE)</f>
        <v>Lea Bag</v>
      </c>
    </row>
    <row r="7" ht="22.5" customHeight="1">
      <c r="A7" s="308" t="s">
        <v>3010</v>
      </c>
      <c r="B7" s="308" t="s">
        <v>3011</v>
      </c>
      <c r="C7" s="308" t="s">
        <v>2942</v>
      </c>
      <c r="D7" s="308" t="s">
        <v>3012</v>
      </c>
      <c r="E7" s="308" t="s">
        <v>3013</v>
      </c>
      <c r="F7" s="308"/>
      <c r="G7" s="308" t="s">
        <v>2965</v>
      </c>
      <c r="H7" s="308" t="s">
        <v>2947</v>
      </c>
      <c r="I7" s="308">
        <v>150.0</v>
      </c>
      <c r="J7" s="308">
        <v>0.0</v>
      </c>
      <c r="K7" s="308">
        <v>27.05</v>
      </c>
      <c r="L7" s="308">
        <v>150.0</v>
      </c>
      <c r="M7" s="309"/>
      <c r="N7" s="308">
        <v>0.0</v>
      </c>
      <c r="O7" s="308" t="s">
        <v>2979</v>
      </c>
      <c r="P7" s="308" t="s">
        <v>3014</v>
      </c>
      <c r="Q7" s="310">
        <v>1.0</v>
      </c>
      <c r="R7" s="308" t="s">
        <v>2981</v>
      </c>
      <c r="S7" s="308">
        <v>150.0</v>
      </c>
      <c r="T7" s="311"/>
      <c r="U7" s="308" t="s">
        <v>2982</v>
      </c>
      <c r="V7" s="308" t="b">
        <v>1</v>
      </c>
      <c r="W7" s="308" t="b">
        <v>1</v>
      </c>
      <c r="X7" s="308" t="s">
        <v>2944</v>
      </c>
      <c r="Y7" s="308" t="s">
        <v>3015</v>
      </c>
      <c r="Z7" s="308" t="s">
        <v>3016</v>
      </c>
      <c r="AA7" s="308" t="s">
        <v>3017</v>
      </c>
      <c r="AB7" s="308" t="s">
        <v>3018</v>
      </c>
      <c r="AC7" s="311"/>
      <c r="AD7" s="308" t="s">
        <v>23</v>
      </c>
      <c r="AE7" s="308">
        <v>20139.0</v>
      </c>
      <c r="AF7" s="308" t="s">
        <v>2954</v>
      </c>
      <c r="AG7" s="308" t="s">
        <v>2955</v>
      </c>
      <c r="AH7" s="311"/>
      <c r="AI7" s="311"/>
      <c r="AJ7" s="311"/>
      <c r="AK7" s="311"/>
      <c r="AL7" s="311"/>
      <c r="AM7" s="311"/>
      <c r="AN7" s="311"/>
      <c r="AO7" s="311"/>
      <c r="AP7" s="311"/>
      <c r="AQ7" s="311"/>
      <c r="AR7" s="311"/>
      <c r="AS7" s="311"/>
      <c r="AT7" s="311"/>
      <c r="AU7" s="311"/>
      <c r="AV7" s="308" t="s">
        <v>2956</v>
      </c>
      <c r="AW7" s="308">
        <v>4.6427988918599E13</v>
      </c>
      <c r="AX7" s="310">
        <v>0.0</v>
      </c>
      <c r="AY7" s="308" t="s">
        <v>2974</v>
      </c>
      <c r="AZ7" s="308">
        <v>0.0</v>
      </c>
      <c r="BA7" s="311"/>
      <c r="BB7" s="311"/>
      <c r="BC7" s="311"/>
      <c r="BD7" s="308">
        <v>7.384403575111E12</v>
      </c>
      <c r="BE7" s="311"/>
      <c r="BF7" s="311"/>
      <c r="BG7" s="308" t="s">
        <v>2958</v>
      </c>
      <c r="BH7" s="308">
        <v>0.0</v>
      </c>
      <c r="BI7" s="308" t="s">
        <v>2959</v>
      </c>
      <c r="BJ7" s="308">
        <v>27.05</v>
      </c>
      <c r="BK7" s="311"/>
      <c r="BL7" s="311"/>
      <c r="BM7" s="311"/>
      <c r="BN7" s="311"/>
      <c r="BO7" s="311"/>
      <c r="BP7" s="311"/>
      <c r="BQ7" s="311"/>
      <c r="BR7" s="311"/>
      <c r="BS7" s="311"/>
      <c r="BT7" s="311"/>
      <c r="BU7" s="311"/>
      <c r="BV7" s="308" t="s">
        <v>23</v>
      </c>
      <c r="BW7" s="311"/>
      <c r="BX7" s="308" t="s">
        <v>2956</v>
      </c>
      <c r="BY7" s="311"/>
      <c r="BZ7" s="311"/>
      <c r="CA7" s="308" t="s">
        <v>2956</v>
      </c>
      <c r="CB7" s="312" t="str">
        <f t="shared" si="1"/>
        <v>18/02/2026</v>
      </c>
      <c r="CC7" s="313">
        <f t="shared" si="2"/>
        <v>2026</v>
      </c>
      <c r="CD7" s="314">
        <f t="shared" si="3"/>
        <v>2</v>
      </c>
      <c r="CE7" s="314">
        <f t="shared" si="4"/>
        <v>1</v>
      </c>
      <c r="CF7" s="314">
        <f t="shared" si="5"/>
        <v>1</v>
      </c>
      <c r="CG7" s="314">
        <f t="shared" si="6"/>
        <v>-5</v>
      </c>
      <c r="CH7" s="315">
        <f>VLOOKUP(CL7,'PRODUCT_COGS&amp;PRICE'!A:E,5,false)</f>
        <v>30.33</v>
      </c>
      <c r="CI7" s="306">
        <f t="shared" si="7"/>
        <v>-3.1</v>
      </c>
      <c r="CJ7" s="316">
        <f t="shared" si="8"/>
        <v>0</v>
      </c>
      <c r="CK7" s="316">
        <f t="shared" si="9"/>
        <v>0</v>
      </c>
      <c r="CL7" s="314" t="str">
        <f>VLOOKUP(R7,PRODUCT_MAP!A:B,2,FALSE)</f>
        <v>Lea_Bag_MUCCATA_MARRONE</v>
      </c>
      <c r="CM7" s="314" t="str">
        <f>VLOOKUP(R7,PRODUCT_MAP!A:E,3,FALSE)</f>
        <v>Lea Bag</v>
      </c>
    </row>
    <row r="8" ht="22.5" customHeight="1">
      <c r="A8" s="308" t="s">
        <v>3019</v>
      </c>
      <c r="B8" s="308" t="s">
        <v>3020</v>
      </c>
      <c r="C8" s="308" t="s">
        <v>2942</v>
      </c>
      <c r="D8" s="308" t="s">
        <v>3021</v>
      </c>
      <c r="E8" s="308" t="s">
        <v>2944</v>
      </c>
      <c r="F8" s="308" t="s">
        <v>3022</v>
      </c>
      <c r="G8" s="308" t="s">
        <v>2965</v>
      </c>
      <c r="H8" s="308" t="s">
        <v>2947</v>
      </c>
      <c r="I8" s="308">
        <v>120.0</v>
      </c>
      <c r="J8" s="308">
        <v>0.0</v>
      </c>
      <c r="K8" s="308">
        <v>21.64</v>
      </c>
      <c r="L8" s="308">
        <v>120.0</v>
      </c>
      <c r="M8" s="309"/>
      <c r="N8" s="308">
        <v>0.0</v>
      </c>
      <c r="O8" s="308" t="s">
        <v>2979</v>
      </c>
      <c r="P8" s="308" t="s">
        <v>3023</v>
      </c>
      <c r="Q8" s="310">
        <v>1.0</v>
      </c>
      <c r="R8" s="308" t="s">
        <v>3024</v>
      </c>
      <c r="S8" s="308">
        <v>120.0</v>
      </c>
      <c r="T8" s="311"/>
      <c r="U8" s="308"/>
      <c r="V8" s="308" t="b">
        <v>1</v>
      </c>
      <c r="W8" s="308" t="b">
        <v>1</v>
      </c>
      <c r="X8" s="308" t="s">
        <v>2944</v>
      </c>
      <c r="Y8" s="308" t="s">
        <v>3025</v>
      </c>
      <c r="Z8" s="308" t="s">
        <v>3026</v>
      </c>
      <c r="AA8" s="308" t="s">
        <v>3027</v>
      </c>
      <c r="AB8" s="308">
        <v>35.0</v>
      </c>
      <c r="AC8" s="311"/>
      <c r="AD8" s="308" t="s">
        <v>3028</v>
      </c>
      <c r="AE8" s="308">
        <v>37066.0</v>
      </c>
      <c r="AF8" s="308" t="s">
        <v>2972</v>
      </c>
      <c r="AG8" s="308" t="s">
        <v>2955</v>
      </c>
      <c r="AH8" s="311"/>
      <c r="AI8" s="311"/>
      <c r="AJ8" s="311"/>
      <c r="AK8" s="311"/>
      <c r="AL8" s="311"/>
      <c r="AM8" s="311"/>
      <c r="AN8" s="311"/>
      <c r="AO8" s="311"/>
      <c r="AP8" s="311"/>
      <c r="AQ8" s="311"/>
      <c r="AR8" s="311"/>
      <c r="AS8" s="311"/>
      <c r="AT8" s="311"/>
      <c r="AU8" s="311"/>
      <c r="AV8" s="308" t="s">
        <v>2956</v>
      </c>
      <c r="AW8" s="308">
        <v>4.6431873270087E13</v>
      </c>
      <c r="AX8" s="310">
        <v>0.0</v>
      </c>
      <c r="AY8" s="308" t="s">
        <v>2974</v>
      </c>
      <c r="AZ8" s="308">
        <v>0.0</v>
      </c>
      <c r="BA8" s="311"/>
      <c r="BB8" s="311"/>
      <c r="BC8" s="311"/>
      <c r="BD8" s="308">
        <v>7.384919114055E12</v>
      </c>
      <c r="BE8" s="311"/>
      <c r="BF8" s="311"/>
      <c r="BG8" s="308" t="s">
        <v>2958</v>
      </c>
      <c r="BH8" s="308">
        <v>0.0</v>
      </c>
      <c r="BI8" s="308" t="s">
        <v>2959</v>
      </c>
      <c r="BJ8" s="308">
        <v>21.64</v>
      </c>
      <c r="BK8" s="311"/>
      <c r="BL8" s="311"/>
      <c r="BM8" s="311"/>
      <c r="BN8" s="311"/>
      <c r="BO8" s="311"/>
      <c r="BP8" s="311"/>
      <c r="BQ8" s="311"/>
      <c r="BR8" s="311"/>
      <c r="BS8" s="311"/>
      <c r="BT8" s="311"/>
      <c r="BU8" s="311"/>
      <c r="BV8" s="308" t="s">
        <v>2971</v>
      </c>
      <c r="BW8" s="311"/>
      <c r="BX8" s="308" t="s">
        <v>2956</v>
      </c>
      <c r="BY8" s="311"/>
      <c r="BZ8" s="311"/>
      <c r="CA8" s="308" t="s">
        <v>2956</v>
      </c>
      <c r="CB8" s="312" t="str">
        <f t="shared" si="1"/>
        <v>18/02/2026</v>
      </c>
      <c r="CC8" s="313">
        <f t="shared" si="2"/>
        <v>2026</v>
      </c>
      <c r="CD8" s="314">
        <f t="shared" si="3"/>
        <v>2</v>
      </c>
      <c r="CE8" s="314">
        <f t="shared" si="4"/>
        <v>1</v>
      </c>
      <c r="CF8" s="314">
        <f t="shared" si="5"/>
        <v>1</v>
      </c>
      <c r="CG8" s="314">
        <f t="shared" si="6"/>
        <v>-5</v>
      </c>
      <c r="CH8" s="315">
        <f>VLOOKUP(CL8,'PRODUCT_COGS&amp;PRICE'!A:E,5,false)</f>
        <v>30</v>
      </c>
      <c r="CI8" s="306">
        <f t="shared" si="7"/>
        <v>-2.53</v>
      </c>
      <c r="CJ8" s="316">
        <f t="shared" si="8"/>
        <v>0</v>
      </c>
      <c r="CK8" s="316">
        <f t="shared" si="9"/>
        <v>0</v>
      </c>
      <c r="CL8" s="314" t="str">
        <f>VLOOKUP(R8,PRODUCT_MAP!A:B,2,FALSE)</f>
        <v>Lea_Bag_GREEN_MILITARY</v>
      </c>
      <c r="CM8" s="314" t="str">
        <f>VLOOKUP(R8,PRODUCT_MAP!A:E,3,FALSE)</f>
        <v>Lea Bag</v>
      </c>
    </row>
    <row r="9" ht="22.5" customHeight="1">
      <c r="A9" s="308" t="s">
        <v>3029</v>
      </c>
      <c r="B9" s="308" t="s">
        <v>3030</v>
      </c>
      <c r="C9" s="308" t="s">
        <v>2942</v>
      </c>
      <c r="D9" s="308" t="s">
        <v>3031</v>
      </c>
      <c r="E9" s="308" t="s">
        <v>2944</v>
      </c>
      <c r="F9" s="308" t="s">
        <v>3032</v>
      </c>
      <c r="G9" s="308" t="s">
        <v>2946</v>
      </c>
      <c r="H9" s="308" t="s">
        <v>2947</v>
      </c>
      <c r="I9" s="308">
        <v>125.0</v>
      </c>
      <c r="J9" s="308">
        <v>6.9</v>
      </c>
      <c r="K9" s="308">
        <v>23.78</v>
      </c>
      <c r="L9" s="308">
        <v>131.9</v>
      </c>
      <c r="M9" s="308" t="s">
        <v>3033</v>
      </c>
      <c r="N9" s="308">
        <v>50.0</v>
      </c>
      <c r="O9" s="308" t="s">
        <v>2948</v>
      </c>
      <c r="P9" s="308" t="s">
        <v>3034</v>
      </c>
      <c r="Q9" s="310">
        <v>1.0</v>
      </c>
      <c r="R9" s="308" t="s">
        <v>768</v>
      </c>
      <c r="S9" s="308">
        <v>175.0</v>
      </c>
      <c r="T9" s="311"/>
      <c r="U9" s="308">
        <v>50.0</v>
      </c>
      <c r="V9" s="308" t="b">
        <v>1</v>
      </c>
      <c r="W9" s="308" t="b">
        <v>1</v>
      </c>
      <c r="X9" s="308" t="s">
        <v>2944</v>
      </c>
      <c r="Y9" s="308" t="s">
        <v>3035</v>
      </c>
      <c r="Z9" s="308" t="s">
        <v>3036</v>
      </c>
      <c r="AA9" s="308" t="s">
        <v>3036</v>
      </c>
      <c r="AB9" s="311"/>
      <c r="AC9" s="311"/>
      <c r="AD9" s="308" t="s">
        <v>3037</v>
      </c>
      <c r="AE9" s="308">
        <v>35030.0</v>
      </c>
      <c r="AF9" s="308" t="s">
        <v>3038</v>
      </c>
      <c r="AG9" s="308" t="s">
        <v>2955</v>
      </c>
      <c r="AH9" s="308">
        <v>3.45764631E9</v>
      </c>
      <c r="AI9" s="308" t="s">
        <v>3035</v>
      </c>
      <c r="AJ9" s="308" t="s">
        <v>3036</v>
      </c>
      <c r="AK9" s="308" t="s">
        <v>3036</v>
      </c>
      <c r="AL9" s="311"/>
      <c r="AM9" s="311"/>
      <c r="AN9" s="308" t="s">
        <v>3037</v>
      </c>
      <c r="AO9" s="308">
        <v>35030.0</v>
      </c>
      <c r="AP9" s="308" t="s">
        <v>3038</v>
      </c>
      <c r="AQ9" s="308" t="s">
        <v>2955</v>
      </c>
      <c r="AR9" s="308">
        <v>3.45764631E9</v>
      </c>
      <c r="AS9" s="311"/>
      <c r="AT9" s="311"/>
      <c r="AU9" s="311"/>
      <c r="AV9" s="308" t="s">
        <v>3009</v>
      </c>
      <c r="AW9" s="308">
        <v>4.6446740144455E13</v>
      </c>
      <c r="AX9" s="310">
        <v>0.0</v>
      </c>
      <c r="AY9" s="308" t="s">
        <v>2974</v>
      </c>
      <c r="AZ9" s="308">
        <v>0.0</v>
      </c>
      <c r="BA9" s="311"/>
      <c r="BB9" s="311"/>
      <c r="BC9" s="311"/>
      <c r="BD9" s="308">
        <v>7.386788823367E12</v>
      </c>
      <c r="BE9" s="311"/>
      <c r="BF9" s="311"/>
      <c r="BG9" s="308" t="s">
        <v>2958</v>
      </c>
      <c r="BH9" s="308">
        <v>0.0</v>
      </c>
      <c r="BI9" s="308" t="s">
        <v>2959</v>
      </c>
      <c r="BJ9" s="308">
        <v>22.54</v>
      </c>
      <c r="BK9" s="311"/>
      <c r="BL9" s="311"/>
      <c r="BM9" s="311"/>
      <c r="BN9" s="311"/>
      <c r="BO9" s="311"/>
      <c r="BP9" s="311"/>
      <c r="BQ9" s="311"/>
      <c r="BR9" s="311"/>
      <c r="BS9" s="311"/>
      <c r="BT9" s="311"/>
      <c r="BU9" s="311"/>
      <c r="BV9" s="308" t="s">
        <v>3039</v>
      </c>
      <c r="BW9" s="308" t="s">
        <v>3039</v>
      </c>
      <c r="BX9" s="308" t="s">
        <v>3009</v>
      </c>
      <c r="BY9" s="311"/>
      <c r="BZ9" s="311"/>
      <c r="CA9" s="308" t="s">
        <v>3009</v>
      </c>
      <c r="CB9" s="312" t="str">
        <f t="shared" si="1"/>
        <v>19/02/2026</v>
      </c>
      <c r="CC9" s="313">
        <f t="shared" si="2"/>
        <v>2026</v>
      </c>
      <c r="CD9" s="314">
        <f t="shared" si="3"/>
        <v>2</v>
      </c>
      <c r="CE9" s="314">
        <f t="shared" si="4"/>
        <v>1</v>
      </c>
      <c r="CF9" s="314">
        <f t="shared" si="5"/>
        <v>1</v>
      </c>
      <c r="CG9" s="314">
        <f t="shared" si="6"/>
        <v>0</v>
      </c>
      <c r="CH9" s="315">
        <f>VLOOKUP(CL9,'PRODUCT_COGS&amp;PRICE'!A:E,5,false)</f>
        <v>52.5</v>
      </c>
      <c r="CI9" s="306">
        <f t="shared" si="7"/>
        <v>-4.95331</v>
      </c>
      <c r="CJ9" s="316">
        <f t="shared" si="8"/>
        <v>0</v>
      </c>
      <c r="CK9" s="316">
        <f t="shared" si="9"/>
        <v>50</v>
      </c>
      <c r="CL9" s="314" t="str">
        <f>VLOOKUP(R9,PRODUCT_MAP!A:B,2,FALSE)</f>
        <v>Valentina_Bag_CHOCOLATE</v>
      </c>
      <c r="CM9" s="314" t="str">
        <f>VLOOKUP(R9,PRODUCT_MAP!A:E,3,FALSE)</f>
        <v>Valentina Bag</v>
      </c>
    </row>
    <row r="10" ht="22.5" customHeight="1">
      <c r="A10" s="308" t="s">
        <v>3040</v>
      </c>
      <c r="B10" s="308" t="s">
        <v>3041</v>
      </c>
      <c r="C10" s="308" t="s">
        <v>2942</v>
      </c>
      <c r="D10" s="308" t="s">
        <v>3042</v>
      </c>
      <c r="E10" s="308" t="s">
        <v>3013</v>
      </c>
      <c r="F10" s="308"/>
      <c r="G10" s="308" t="s">
        <v>2946</v>
      </c>
      <c r="H10" s="308" t="s">
        <v>2947</v>
      </c>
      <c r="I10" s="308">
        <v>102.0</v>
      </c>
      <c r="J10" s="308">
        <v>6.9</v>
      </c>
      <c r="K10" s="308">
        <v>19.63</v>
      </c>
      <c r="L10" s="308">
        <v>108.9</v>
      </c>
      <c r="M10" s="317">
        <v>0.15</v>
      </c>
      <c r="N10" s="308">
        <v>18.0</v>
      </c>
      <c r="O10" s="308" t="s">
        <v>2948</v>
      </c>
      <c r="P10" s="308" t="s">
        <v>3043</v>
      </c>
      <c r="Q10" s="310">
        <v>1.0</v>
      </c>
      <c r="R10" s="308" t="s">
        <v>2990</v>
      </c>
      <c r="S10" s="308">
        <v>120.0</v>
      </c>
      <c r="T10" s="311"/>
      <c r="U10" s="308" t="s">
        <v>2991</v>
      </c>
      <c r="V10" s="308" t="b">
        <v>1</v>
      </c>
      <c r="W10" s="308" t="b">
        <v>1</v>
      </c>
      <c r="X10" s="308" t="s">
        <v>2944</v>
      </c>
      <c r="Y10" s="308" t="s">
        <v>3044</v>
      </c>
      <c r="Z10" s="308" t="s">
        <v>3045</v>
      </c>
      <c r="AA10" s="308" t="s">
        <v>3045</v>
      </c>
      <c r="AB10" s="311"/>
      <c r="AC10" s="311"/>
      <c r="AD10" s="308" t="s">
        <v>3046</v>
      </c>
      <c r="AE10" s="308">
        <v>41058.0</v>
      </c>
      <c r="AF10" s="308" t="s">
        <v>3047</v>
      </c>
      <c r="AG10" s="308" t="s">
        <v>2955</v>
      </c>
      <c r="AH10" s="308">
        <v>3.319232531E9</v>
      </c>
      <c r="AI10" s="308" t="s">
        <v>3044</v>
      </c>
      <c r="AJ10" s="308" t="s">
        <v>3045</v>
      </c>
      <c r="AK10" s="308" t="s">
        <v>3045</v>
      </c>
      <c r="AL10" s="311"/>
      <c r="AM10" s="311"/>
      <c r="AN10" s="308" t="s">
        <v>3046</v>
      </c>
      <c r="AO10" s="308">
        <v>41058.0</v>
      </c>
      <c r="AP10" s="308" t="s">
        <v>3047</v>
      </c>
      <c r="AQ10" s="308" t="s">
        <v>2955</v>
      </c>
      <c r="AR10" s="308">
        <v>3.319232531E9</v>
      </c>
      <c r="AS10" s="311"/>
      <c r="AT10" s="311"/>
      <c r="AU10" s="311"/>
      <c r="AV10" s="308" t="s">
        <v>3009</v>
      </c>
      <c r="AW10" s="308">
        <v>4.6451629982023E13</v>
      </c>
      <c r="AX10" s="310">
        <v>0.0</v>
      </c>
      <c r="AY10" s="308" t="s">
        <v>2974</v>
      </c>
      <c r="AZ10" s="308">
        <v>0.0</v>
      </c>
      <c r="BA10" s="311"/>
      <c r="BB10" s="311"/>
      <c r="BC10" s="311"/>
      <c r="BD10" s="308">
        <v>7.387876557127E12</v>
      </c>
      <c r="BE10" s="311"/>
      <c r="BF10" s="311"/>
      <c r="BG10" s="308" t="s">
        <v>2958</v>
      </c>
      <c r="BH10" s="308">
        <v>0.0</v>
      </c>
      <c r="BI10" s="308" t="s">
        <v>2959</v>
      </c>
      <c r="BJ10" s="308">
        <v>18.39</v>
      </c>
      <c r="BK10" s="311"/>
      <c r="BL10" s="311"/>
      <c r="BM10" s="311"/>
      <c r="BN10" s="311"/>
      <c r="BO10" s="311"/>
      <c r="BP10" s="311"/>
      <c r="BQ10" s="311"/>
      <c r="BR10" s="311"/>
      <c r="BS10" s="318" t="s">
        <v>3048</v>
      </c>
      <c r="BT10" s="311"/>
      <c r="BU10" s="311"/>
      <c r="BV10" s="308" t="s">
        <v>3049</v>
      </c>
      <c r="BW10" s="308" t="s">
        <v>3049</v>
      </c>
      <c r="BX10" s="308" t="s">
        <v>3009</v>
      </c>
      <c r="BY10" s="311"/>
      <c r="BZ10" s="311"/>
      <c r="CA10" s="308" t="s">
        <v>3009</v>
      </c>
      <c r="CB10" s="312" t="str">
        <f t="shared" si="1"/>
        <v>19/02/2026</v>
      </c>
      <c r="CC10" s="313">
        <f t="shared" si="2"/>
        <v>2026</v>
      </c>
      <c r="CD10" s="314">
        <f t="shared" si="3"/>
        <v>2</v>
      </c>
      <c r="CE10" s="314">
        <f t="shared" si="4"/>
        <v>1</v>
      </c>
      <c r="CF10" s="314">
        <f t="shared" si="5"/>
        <v>1</v>
      </c>
      <c r="CG10" s="314">
        <f t="shared" si="6"/>
        <v>0</v>
      </c>
      <c r="CH10" s="315">
        <f>VLOOKUP(CL10,'PRODUCT_COGS&amp;PRICE'!A:E,5,false)</f>
        <v>20</v>
      </c>
      <c r="CI10" s="306">
        <f t="shared" si="7"/>
        <v>-4.15061</v>
      </c>
      <c r="CJ10" s="316">
        <f t="shared" si="8"/>
        <v>0</v>
      </c>
      <c r="CK10" s="316">
        <f t="shared" si="9"/>
        <v>18</v>
      </c>
      <c r="CL10" s="314" t="str">
        <f>VLOOKUP(R10,PRODUCT_MAP!A:B,2,FALSE)</f>
        <v>Lea_Bag_RED_PATENT</v>
      </c>
      <c r="CM10" s="314" t="str">
        <f>VLOOKUP(R10,PRODUCT_MAP!A:E,3,FALSE)</f>
        <v>Lea Bag</v>
      </c>
    </row>
    <row r="11" ht="22.5" customHeight="1">
      <c r="A11" s="308" t="s">
        <v>3050</v>
      </c>
      <c r="B11" s="308" t="s">
        <v>3051</v>
      </c>
      <c r="C11" s="308" t="s">
        <v>2942</v>
      </c>
      <c r="D11" s="308" t="s">
        <v>3052</v>
      </c>
      <c r="E11" s="308" t="s">
        <v>2944</v>
      </c>
      <c r="F11" s="308" t="s">
        <v>3053</v>
      </c>
      <c r="G11" s="308" t="s">
        <v>2965</v>
      </c>
      <c r="H11" s="308" t="s">
        <v>2947</v>
      </c>
      <c r="I11" s="308">
        <v>150.0</v>
      </c>
      <c r="J11" s="308">
        <v>0.0</v>
      </c>
      <c r="K11" s="308">
        <v>27.05</v>
      </c>
      <c r="L11" s="308">
        <v>150.0</v>
      </c>
      <c r="M11" s="317"/>
      <c r="N11" s="308">
        <v>0.0</v>
      </c>
      <c r="O11" s="308" t="s">
        <v>2979</v>
      </c>
      <c r="P11" s="308" t="s">
        <v>3054</v>
      </c>
      <c r="Q11" s="310">
        <v>1.0</v>
      </c>
      <c r="R11" s="308" t="s">
        <v>3055</v>
      </c>
      <c r="S11" s="308">
        <v>150.0</v>
      </c>
      <c r="T11" s="311"/>
      <c r="U11" s="308"/>
      <c r="V11" s="308" t="b">
        <v>1</v>
      </c>
      <c r="W11" s="308" t="b">
        <v>1</v>
      </c>
      <c r="X11" s="308" t="s">
        <v>2944</v>
      </c>
      <c r="Y11" s="308" t="s">
        <v>3056</v>
      </c>
      <c r="Z11" s="308" t="s">
        <v>3057</v>
      </c>
      <c r="AA11" s="308" t="s">
        <v>3057</v>
      </c>
      <c r="AB11" s="311"/>
      <c r="AC11" s="311"/>
      <c r="AD11" s="308" t="s">
        <v>23</v>
      </c>
      <c r="AE11" s="308">
        <v>20146.0</v>
      </c>
      <c r="AF11" s="308" t="s">
        <v>2954</v>
      </c>
      <c r="AG11" s="308" t="s">
        <v>2955</v>
      </c>
      <c r="AH11" s="311"/>
      <c r="AI11" s="311"/>
      <c r="AJ11" s="311"/>
      <c r="AK11" s="311"/>
      <c r="AL11" s="311"/>
      <c r="AM11" s="311"/>
      <c r="AN11" s="311"/>
      <c r="AO11" s="311"/>
      <c r="AP11" s="311"/>
      <c r="AQ11" s="311"/>
      <c r="AR11" s="311"/>
      <c r="AS11" s="311"/>
      <c r="AT11" s="311"/>
      <c r="AU11" s="311"/>
      <c r="AV11" s="308" t="s">
        <v>3009</v>
      </c>
      <c r="AW11" s="308">
        <v>4.6450435948871E13</v>
      </c>
      <c r="AX11" s="310">
        <v>0.0</v>
      </c>
      <c r="AY11" s="308" t="s">
        <v>2974</v>
      </c>
      <c r="AZ11" s="308">
        <v>0.0</v>
      </c>
      <c r="BA11" s="311"/>
      <c r="BB11" s="311"/>
      <c r="BC11" s="311"/>
      <c r="BD11" s="308">
        <v>7.388499804487E12</v>
      </c>
      <c r="BE11" s="311"/>
      <c r="BF11" s="311"/>
      <c r="BG11" s="308" t="s">
        <v>2958</v>
      </c>
      <c r="BH11" s="308">
        <v>0.0</v>
      </c>
      <c r="BI11" s="308" t="s">
        <v>2959</v>
      </c>
      <c r="BJ11" s="308">
        <v>27.05</v>
      </c>
      <c r="BK11" s="311"/>
      <c r="BL11" s="311"/>
      <c r="BM11" s="311"/>
      <c r="BN11" s="311"/>
      <c r="BO11" s="311"/>
      <c r="BP11" s="311"/>
      <c r="BQ11" s="311"/>
      <c r="BR11" s="311"/>
      <c r="BS11" s="311"/>
      <c r="BT11" s="311"/>
      <c r="BU11" s="311"/>
      <c r="BV11" s="308" t="s">
        <v>23</v>
      </c>
      <c r="BW11" s="311"/>
      <c r="BX11" s="308" t="s">
        <v>3009</v>
      </c>
      <c r="BY11" s="311"/>
      <c r="BZ11" s="311"/>
      <c r="CA11" s="308" t="s">
        <v>3009</v>
      </c>
      <c r="CB11" s="312" t="str">
        <f t="shared" si="1"/>
        <v>20/02/2026</v>
      </c>
      <c r="CC11" s="313">
        <f t="shared" si="2"/>
        <v>2026</v>
      </c>
      <c r="CD11" s="314">
        <f t="shared" si="3"/>
        <v>2</v>
      </c>
      <c r="CE11" s="314">
        <f t="shared" si="4"/>
        <v>1</v>
      </c>
      <c r="CF11" s="314">
        <f t="shared" si="5"/>
        <v>1</v>
      </c>
      <c r="CG11" s="314">
        <f t="shared" si="6"/>
        <v>-5</v>
      </c>
      <c r="CH11" s="315">
        <f>VLOOKUP(CL11,'PRODUCT_COGS&amp;PRICE'!A:E,5,false)</f>
        <v>30</v>
      </c>
      <c r="CI11" s="306">
        <f t="shared" si="7"/>
        <v>-5.585</v>
      </c>
      <c r="CJ11" s="316">
        <f t="shared" si="8"/>
        <v>0</v>
      </c>
      <c r="CK11" s="316">
        <f t="shared" si="9"/>
        <v>0</v>
      </c>
      <c r="CL11" s="314" t="str">
        <f>VLOOKUP(R11,PRODUCT_MAP!A:B,2,FALSE)</f>
        <v>Lea_Bag_JUNGLE</v>
      </c>
      <c r="CM11" s="314" t="str">
        <f>VLOOKUP(R11,PRODUCT_MAP!A:E,3,FALSE)</f>
        <v>Lea Bag</v>
      </c>
    </row>
    <row r="12" ht="22.5" customHeight="1">
      <c r="A12" s="308" t="s">
        <v>3058</v>
      </c>
      <c r="B12" s="308" t="s">
        <v>3059</v>
      </c>
      <c r="C12" s="308" t="s">
        <v>2942</v>
      </c>
      <c r="D12" s="308" t="s">
        <v>3060</v>
      </c>
      <c r="E12" s="308" t="s">
        <v>2944</v>
      </c>
      <c r="F12" s="308" t="s">
        <v>3061</v>
      </c>
      <c r="G12" s="308" t="s">
        <v>2965</v>
      </c>
      <c r="H12" s="308" t="s">
        <v>2947</v>
      </c>
      <c r="I12" s="308">
        <v>150.0</v>
      </c>
      <c r="J12" s="308">
        <v>0.0</v>
      </c>
      <c r="K12" s="308">
        <v>27.05</v>
      </c>
      <c r="L12" s="308">
        <v>150.0</v>
      </c>
      <c r="M12" s="317"/>
      <c r="N12" s="308">
        <v>0.0</v>
      </c>
      <c r="O12" s="308" t="s">
        <v>2948</v>
      </c>
      <c r="P12" s="308" t="s">
        <v>3062</v>
      </c>
      <c r="Q12" s="310">
        <v>1.0</v>
      </c>
      <c r="R12" s="308" t="s">
        <v>3055</v>
      </c>
      <c r="S12" s="308">
        <v>150.0</v>
      </c>
      <c r="T12" s="311"/>
      <c r="U12" s="308"/>
      <c r="V12" s="308" t="b">
        <v>1</v>
      </c>
      <c r="W12" s="308" t="b">
        <v>1</v>
      </c>
      <c r="X12" s="308" t="s">
        <v>2944</v>
      </c>
      <c r="Y12" s="308" t="s">
        <v>3063</v>
      </c>
      <c r="Z12" s="308" t="s">
        <v>3064</v>
      </c>
      <c r="AA12" s="308" t="s">
        <v>3064</v>
      </c>
      <c r="AB12" s="311"/>
      <c r="AC12" s="311"/>
      <c r="AD12" s="308" t="s">
        <v>3065</v>
      </c>
      <c r="AE12" s="308">
        <v>1040.0</v>
      </c>
      <c r="AF12" s="311"/>
      <c r="AG12" s="308" t="s">
        <v>3066</v>
      </c>
      <c r="AH12" s="311"/>
      <c r="AI12" s="308" t="s">
        <v>3063</v>
      </c>
      <c r="AJ12" s="308" t="s">
        <v>3067</v>
      </c>
      <c r="AK12" s="308" t="s">
        <v>3067</v>
      </c>
      <c r="AL12" s="311"/>
      <c r="AM12" s="311"/>
      <c r="AN12" s="308" t="s">
        <v>3068</v>
      </c>
      <c r="AO12" s="308">
        <v>40139.0</v>
      </c>
      <c r="AP12" s="308" t="s">
        <v>3069</v>
      </c>
      <c r="AQ12" s="308" t="s">
        <v>2955</v>
      </c>
      <c r="AR12" s="308">
        <v>3.396318079E9</v>
      </c>
      <c r="AS12" s="311"/>
      <c r="AT12" s="311"/>
      <c r="AU12" s="311"/>
      <c r="AV12" s="308" t="s">
        <v>2956</v>
      </c>
      <c r="AW12" s="308">
        <v>4.6436155425095E13</v>
      </c>
      <c r="AX12" s="310">
        <v>0.0</v>
      </c>
      <c r="AY12" s="308" t="s">
        <v>2974</v>
      </c>
      <c r="AZ12" s="308">
        <v>0.0</v>
      </c>
      <c r="BA12" s="311"/>
      <c r="BB12" s="311"/>
      <c r="BC12" s="311"/>
      <c r="BD12" s="308">
        <v>7.390967791943E12</v>
      </c>
      <c r="BE12" s="311"/>
      <c r="BF12" s="311"/>
      <c r="BG12" s="308" t="s">
        <v>2958</v>
      </c>
      <c r="BH12" s="308">
        <v>0.0</v>
      </c>
      <c r="BI12" s="308" t="s">
        <v>2959</v>
      </c>
      <c r="BJ12" s="308">
        <v>27.05</v>
      </c>
      <c r="BK12" s="311"/>
      <c r="BL12" s="311"/>
      <c r="BM12" s="311"/>
      <c r="BN12" s="311"/>
      <c r="BO12" s="311"/>
      <c r="BP12" s="311"/>
      <c r="BQ12" s="311"/>
      <c r="BR12" s="311"/>
      <c r="BS12" s="311"/>
      <c r="BT12" s="311"/>
      <c r="BU12" s="311"/>
      <c r="BV12" s="311"/>
      <c r="BW12" s="308" t="s">
        <v>3068</v>
      </c>
      <c r="BX12" s="308" t="s">
        <v>2956</v>
      </c>
      <c r="BY12" s="311"/>
      <c r="BZ12" s="311"/>
      <c r="CA12" s="308" t="s">
        <v>2956</v>
      </c>
      <c r="CB12" s="312" t="str">
        <f t="shared" si="1"/>
        <v>21/02/2026</v>
      </c>
      <c r="CC12" s="313">
        <f t="shared" si="2"/>
        <v>2026</v>
      </c>
      <c r="CD12" s="314">
        <f t="shared" si="3"/>
        <v>2</v>
      </c>
      <c r="CE12" s="314">
        <f t="shared" si="4"/>
        <v>1</v>
      </c>
      <c r="CF12" s="314">
        <f t="shared" si="5"/>
        <v>1</v>
      </c>
      <c r="CG12" s="314">
        <f t="shared" si="6"/>
        <v>-5</v>
      </c>
      <c r="CH12" s="315">
        <f>VLOOKUP(CL12,'PRODUCT_COGS&amp;PRICE'!A:E,5,false)</f>
        <v>30</v>
      </c>
      <c r="CI12" s="306">
        <f t="shared" si="7"/>
        <v>-3.1</v>
      </c>
      <c r="CJ12" s="316">
        <f t="shared" si="8"/>
        <v>0</v>
      </c>
      <c r="CK12" s="316">
        <f t="shared" si="9"/>
        <v>0</v>
      </c>
      <c r="CL12" s="314" t="str">
        <f>VLOOKUP(R12,PRODUCT_MAP!A:B,2,FALSE)</f>
        <v>Lea_Bag_JUNGLE</v>
      </c>
      <c r="CM12" s="314" t="str">
        <f>VLOOKUP(R12,PRODUCT_MAP!A:E,3,FALSE)</f>
        <v>Lea Bag</v>
      </c>
    </row>
    <row r="13" ht="22.5" customHeight="1">
      <c r="A13" s="308" t="s">
        <v>3070</v>
      </c>
      <c r="B13" s="308" t="s">
        <v>3071</v>
      </c>
      <c r="C13" s="308" t="s">
        <v>2942</v>
      </c>
      <c r="D13" s="308" t="s">
        <v>3072</v>
      </c>
      <c r="E13" s="308" t="s">
        <v>2944</v>
      </c>
      <c r="F13" s="308" t="s">
        <v>3073</v>
      </c>
      <c r="G13" s="308" t="s">
        <v>2946</v>
      </c>
      <c r="H13" s="308" t="s">
        <v>2947</v>
      </c>
      <c r="I13" s="308">
        <v>150.0</v>
      </c>
      <c r="J13" s="308">
        <v>0.0</v>
      </c>
      <c r="K13" s="308">
        <v>27.05</v>
      </c>
      <c r="L13" s="308">
        <v>150.0</v>
      </c>
      <c r="M13" s="317"/>
      <c r="N13" s="308">
        <v>0.0</v>
      </c>
      <c r="O13" s="308" t="s">
        <v>2948</v>
      </c>
      <c r="P13" s="308" t="s">
        <v>3074</v>
      </c>
      <c r="Q13" s="310">
        <v>1.0</v>
      </c>
      <c r="R13" s="308" t="s">
        <v>2981</v>
      </c>
      <c r="S13" s="308">
        <v>150.0</v>
      </c>
      <c r="T13" s="311"/>
      <c r="U13" s="308" t="s">
        <v>2982</v>
      </c>
      <c r="V13" s="308" t="b">
        <v>1</v>
      </c>
      <c r="W13" s="308" t="b">
        <v>1</v>
      </c>
      <c r="X13" s="308" t="s">
        <v>2944</v>
      </c>
      <c r="Y13" s="308" t="s">
        <v>3075</v>
      </c>
      <c r="Z13" s="308" t="s">
        <v>3076</v>
      </c>
      <c r="AA13" s="308" t="s">
        <v>3076</v>
      </c>
      <c r="AB13" s="311"/>
      <c r="AC13" s="311"/>
      <c r="AD13" s="308" t="s">
        <v>3077</v>
      </c>
      <c r="AE13" s="308">
        <v>56123.0</v>
      </c>
      <c r="AF13" s="308" t="s">
        <v>3078</v>
      </c>
      <c r="AG13" s="308" t="s">
        <v>2955</v>
      </c>
      <c r="AH13" s="311"/>
      <c r="AI13" s="308" t="s">
        <v>3079</v>
      </c>
      <c r="AJ13" s="308" t="s">
        <v>3080</v>
      </c>
      <c r="AK13" s="308" t="s">
        <v>3080</v>
      </c>
      <c r="AL13" s="311"/>
      <c r="AM13" s="311"/>
      <c r="AN13" s="308" t="s">
        <v>3081</v>
      </c>
      <c r="AO13" s="308">
        <v>183.0</v>
      </c>
      <c r="AP13" s="308" t="s">
        <v>3082</v>
      </c>
      <c r="AQ13" s="308" t="s">
        <v>2955</v>
      </c>
      <c r="AR13" s="308">
        <v>3.514896642E9</v>
      </c>
      <c r="AS13" s="311"/>
      <c r="AT13" s="311"/>
      <c r="AU13" s="311"/>
      <c r="AV13" s="308" t="s">
        <v>2956</v>
      </c>
      <c r="AW13" s="308">
        <v>4.6489614582087E13</v>
      </c>
      <c r="AX13" s="310">
        <v>0.0</v>
      </c>
      <c r="AY13" s="308" t="s">
        <v>2974</v>
      </c>
      <c r="AZ13" s="308">
        <v>0.0</v>
      </c>
      <c r="BA13" s="311"/>
      <c r="BB13" s="311"/>
      <c r="BC13" s="311"/>
      <c r="BD13" s="308">
        <v>7.392525320519E12</v>
      </c>
      <c r="BE13" s="311"/>
      <c r="BF13" s="311"/>
      <c r="BG13" s="308" t="s">
        <v>2958</v>
      </c>
      <c r="BH13" s="308">
        <v>0.0</v>
      </c>
      <c r="BI13" s="308" t="s">
        <v>2959</v>
      </c>
      <c r="BJ13" s="308">
        <v>27.05</v>
      </c>
      <c r="BK13" s="311"/>
      <c r="BL13" s="311"/>
      <c r="BM13" s="311"/>
      <c r="BN13" s="311"/>
      <c r="BO13" s="311"/>
      <c r="BP13" s="311"/>
      <c r="BQ13" s="311"/>
      <c r="BR13" s="311"/>
      <c r="BS13" s="311"/>
      <c r="BT13" s="311"/>
      <c r="BU13" s="311"/>
      <c r="BV13" s="308" t="s">
        <v>3077</v>
      </c>
      <c r="BW13" s="308" t="s">
        <v>3081</v>
      </c>
      <c r="BX13" s="308" t="s">
        <v>2956</v>
      </c>
      <c r="BY13" s="311"/>
      <c r="BZ13" s="311"/>
      <c r="CA13" s="308" t="s">
        <v>2956</v>
      </c>
      <c r="CB13" s="312" t="str">
        <f t="shared" si="1"/>
        <v>21/02/2026</v>
      </c>
      <c r="CC13" s="313">
        <f t="shared" si="2"/>
        <v>2026</v>
      </c>
      <c r="CD13" s="314">
        <f t="shared" si="3"/>
        <v>2</v>
      </c>
      <c r="CE13" s="314">
        <f t="shared" si="4"/>
        <v>1</v>
      </c>
      <c r="CF13" s="314">
        <f t="shared" si="5"/>
        <v>1</v>
      </c>
      <c r="CG13" s="314">
        <f t="shared" si="6"/>
        <v>-5</v>
      </c>
      <c r="CH13" s="315">
        <f>VLOOKUP(CL13,'PRODUCT_COGS&amp;PRICE'!A:E,5,false)</f>
        <v>30.33</v>
      </c>
      <c r="CI13" s="306">
        <f t="shared" si="7"/>
        <v>-3.1</v>
      </c>
      <c r="CJ13" s="316">
        <f t="shared" si="8"/>
        <v>0</v>
      </c>
      <c r="CK13" s="316">
        <f t="shared" si="9"/>
        <v>0</v>
      </c>
      <c r="CL13" s="314" t="str">
        <f>VLOOKUP(R13,PRODUCT_MAP!A:B,2,FALSE)</f>
        <v>Lea_Bag_MUCCATA_MARRONE</v>
      </c>
      <c r="CM13" s="314" t="str">
        <f>VLOOKUP(R13,PRODUCT_MAP!A:E,3,FALSE)</f>
        <v>Lea Bag</v>
      </c>
    </row>
    <row r="14" ht="22.5" customHeight="1">
      <c r="A14" s="308" t="s">
        <v>3083</v>
      </c>
      <c r="B14" s="308" t="s">
        <v>3084</v>
      </c>
      <c r="C14" s="308" t="s">
        <v>2942</v>
      </c>
      <c r="D14" s="308" t="s">
        <v>3085</v>
      </c>
      <c r="E14" s="308" t="s">
        <v>2944</v>
      </c>
      <c r="F14" s="308" t="s">
        <v>3086</v>
      </c>
      <c r="G14" s="308" t="s">
        <v>2946</v>
      </c>
      <c r="H14" s="308" t="s">
        <v>2947</v>
      </c>
      <c r="I14" s="308">
        <v>120.0</v>
      </c>
      <c r="J14" s="308">
        <v>0.0</v>
      </c>
      <c r="K14" s="308">
        <v>21.64</v>
      </c>
      <c r="L14" s="308">
        <v>120.0</v>
      </c>
      <c r="M14" s="317"/>
      <c r="N14" s="308">
        <v>0.0</v>
      </c>
      <c r="O14" s="308" t="s">
        <v>2979</v>
      </c>
      <c r="P14" s="308" t="s">
        <v>3087</v>
      </c>
      <c r="Q14" s="310">
        <v>1.0</v>
      </c>
      <c r="R14" s="308" t="s">
        <v>916</v>
      </c>
      <c r="S14" s="308">
        <v>120.0</v>
      </c>
      <c r="T14" s="311"/>
      <c r="U14" s="308"/>
      <c r="V14" s="308" t="b">
        <v>1</v>
      </c>
      <c r="W14" s="308" t="b">
        <v>1</v>
      </c>
      <c r="X14" s="308" t="s">
        <v>2944</v>
      </c>
      <c r="Y14" s="308" t="s">
        <v>3088</v>
      </c>
      <c r="Z14" s="308" t="s">
        <v>3089</v>
      </c>
      <c r="AA14" s="308" t="s">
        <v>3089</v>
      </c>
      <c r="AB14" s="311"/>
      <c r="AC14" s="311"/>
      <c r="AD14" s="308" t="s">
        <v>23</v>
      </c>
      <c r="AE14" s="308">
        <v>20141.0</v>
      </c>
      <c r="AF14" s="308" t="s">
        <v>2954</v>
      </c>
      <c r="AG14" s="308" t="s">
        <v>2955</v>
      </c>
      <c r="AH14" s="308">
        <v>3.246242037E9</v>
      </c>
      <c r="AI14" s="311"/>
      <c r="AJ14" s="311"/>
      <c r="AK14" s="311"/>
      <c r="AL14" s="311"/>
      <c r="AM14" s="311"/>
      <c r="AN14" s="311"/>
      <c r="AO14" s="311"/>
      <c r="AP14" s="311"/>
      <c r="AQ14" s="311"/>
      <c r="AR14" s="311"/>
      <c r="AS14" s="311"/>
      <c r="AT14" s="311"/>
      <c r="AU14" s="311"/>
      <c r="AV14" s="308" t="s">
        <v>2956</v>
      </c>
      <c r="AW14" s="308">
        <v>4.6537964618055E13</v>
      </c>
      <c r="AX14" s="310">
        <v>0.0</v>
      </c>
      <c r="AY14" s="308" t="s">
        <v>2974</v>
      </c>
      <c r="AZ14" s="308">
        <v>0.0</v>
      </c>
      <c r="BA14" s="311"/>
      <c r="BB14" s="311"/>
      <c r="BC14" s="311"/>
      <c r="BD14" s="308">
        <v>7.397043142983E12</v>
      </c>
      <c r="BE14" s="311"/>
      <c r="BF14" s="311"/>
      <c r="BG14" s="308" t="s">
        <v>2958</v>
      </c>
      <c r="BH14" s="308">
        <v>0.0</v>
      </c>
      <c r="BI14" s="308" t="s">
        <v>2959</v>
      </c>
      <c r="BJ14" s="308">
        <v>21.64</v>
      </c>
      <c r="BK14" s="311"/>
      <c r="BL14" s="311"/>
      <c r="BM14" s="311"/>
      <c r="BN14" s="311"/>
      <c r="BO14" s="311"/>
      <c r="BP14" s="311"/>
      <c r="BQ14" s="311"/>
      <c r="BR14" s="311"/>
      <c r="BS14" s="311"/>
      <c r="BT14" s="311"/>
      <c r="BU14" s="311"/>
      <c r="BV14" s="308" t="s">
        <v>23</v>
      </c>
      <c r="BW14" s="311"/>
      <c r="BX14" s="308" t="s">
        <v>2956</v>
      </c>
      <c r="BY14" s="311"/>
      <c r="BZ14" s="311"/>
      <c r="CA14" s="308" t="s">
        <v>2956</v>
      </c>
      <c r="CB14" s="312" t="str">
        <f t="shared" si="1"/>
        <v>23/02/2026</v>
      </c>
      <c r="CC14" s="313">
        <f t="shared" si="2"/>
        <v>2026</v>
      </c>
      <c r="CD14" s="314">
        <f t="shared" si="3"/>
        <v>2</v>
      </c>
      <c r="CE14" s="314">
        <f t="shared" si="4"/>
        <v>1</v>
      </c>
      <c r="CF14" s="314">
        <f t="shared" si="5"/>
        <v>1</v>
      </c>
      <c r="CG14" s="314">
        <f t="shared" si="6"/>
        <v>-5</v>
      </c>
      <c r="CH14" s="315">
        <f>VLOOKUP(CL14,'PRODUCT_COGS&amp;PRICE'!A:E,5,false)</f>
        <v>33</v>
      </c>
      <c r="CI14" s="306">
        <f t="shared" si="7"/>
        <v>-2.53</v>
      </c>
      <c r="CJ14" s="316">
        <f t="shared" si="8"/>
        <v>0</v>
      </c>
      <c r="CK14" s="316">
        <f t="shared" si="9"/>
        <v>0</v>
      </c>
      <c r="CL14" s="314" t="str">
        <f>VLOOKUP(R14,PRODUCT_MAP!A:B,2,FALSE)</f>
        <v>Lea_Bag_PONY_COCCO_BLACK</v>
      </c>
      <c r="CM14" s="314" t="str">
        <f>VLOOKUP(R14,PRODUCT_MAP!A:E,3,FALSE)</f>
        <v>Lea Bag</v>
      </c>
    </row>
    <row r="15" ht="22.5" customHeight="1">
      <c r="A15" s="308" t="s">
        <v>3090</v>
      </c>
      <c r="B15" s="308" t="s">
        <v>3091</v>
      </c>
      <c r="C15" s="308" t="s">
        <v>2942</v>
      </c>
      <c r="D15" s="308" t="s">
        <v>3092</v>
      </c>
      <c r="E15" s="308" t="s">
        <v>2944</v>
      </c>
      <c r="F15" s="308" t="s">
        <v>3093</v>
      </c>
      <c r="G15" s="308" t="s">
        <v>2946</v>
      </c>
      <c r="H15" s="308" t="s">
        <v>2947</v>
      </c>
      <c r="I15" s="308">
        <v>135.0</v>
      </c>
      <c r="J15" s="308">
        <v>0.0</v>
      </c>
      <c r="K15" s="308">
        <v>24.34</v>
      </c>
      <c r="L15" s="308">
        <v>135.0</v>
      </c>
      <c r="M15" s="308" t="s">
        <v>3094</v>
      </c>
      <c r="N15" s="308">
        <v>15.0</v>
      </c>
      <c r="O15" s="308" t="s">
        <v>2948</v>
      </c>
      <c r="P15" s="308" t="s">
        <v>3095</v>
      </c>
      <c r="Q15" s="310">
        <v>1.0</v>
      </c>
      <c r="R15" s="308" t="s">
        <v>3096</v>
      </c>
      <c r="S15" s="308">
        <v>150.0</v>
      </c>
      <c r="T15" s="311"/>
      <c r="U15" s="308" t="s">
        <v>2982</v>
      </c>
      <c r="V15" s="308" t="b">
        <v>1</v>
      </c>
      <c r="W15" s="308" t="b">
        <v>1</v>
      </c>
      <c r="X15" s="308" t="s">
        <v>2944</v>
      </c>
      <c r="Y15" s="308" t="s">
        <v>3097</v>
      </c>
      <c r="Z15" s="308" t="s">
        <v>3098</v>
      </c>
      <c r="AA15" s="308" t="s">
        <v>3098</v>
      </c>
      <c r="AB15" s="311"/>
      <c r="AC15" s="311"/>
      <c r="AD15" s="308" t="s">
        <v>3099</v>
      </c>
      <c r="AE15" s="308">
        <v>10.0</v>
      </c>
      <c r="AF15" s="308" t="s">
        <v>3082</v>
      </c>
      <c r="AG15" s="308" t="s">
        <v>2955</v>
      </c>
      <c r="AH15" s="311"/>
      <c r="AI15" s="308" t="s">
        <v>3097</v>
      </c>
      <c r="AJ15" s="308" t="s">
        <v>3100</v>
      </c>
      <c r="AK15" s="308" t="s">
        <v>3100</v>
      </c>
      <c r="AL15" s="311"/>
      <c r="AM15" s="311"/>
      <c r="AN15" s="308" t="s">
        <v>23</v>
      </c>
      <c r="AO15" s="308">
        <v>20129.0</v>
      </c>
      <c r="AP15" s="308" t="s">
        <v>2954</v>
      </c>
      <c r="AQ15" s="308" t="s">
        <v>2955</v>
      </c>
      <c r="AR15" s="308">
        <v>3.664791939E9</v>
      </c>
      <c r="AS15" s="311"/>
      <c r="AT15" s="311"/>
      <c r="AU15" s="311"/>
      <c r="AV15" s="308" t="s">
        <v>2956</v>
      </c>
      <c r="AW15" s="308">
        <v>4.6562873213255E13</v>
      </c>
      <c r="AX15" s="310">
        <v>0.0</v>
      </c>
      <c r="AY15" s="308" t="s">
        <v>2974</v>
      </c>
      <c r="AZ15" s="308">
        <v>0.0</v>
      </c>
      <c r="BA15" s="311"/>
      <c r="BB15" s="311"/>
      <c r="BC15" s="311"/>
      <c r="BD15" s="308">
        <v>7.402595156295E12</v>
      </c>
      <c r="BE15" s="311"/>
      <c r="BF15" s="311"/>
      <c r="BG15" s="308" t="s">
        <v>2958</v>
      </c>
      <c r="BH15" s="308">
        <v>0.0</v>
      </c>
      <c r="BI15" s="308" t="s">
        <v>2959</v>
      </c>
      <c r="BJ15" s="308">
        <v>24.34</v>
      </c>
      <c r="BK15" s="311"/>
      <c r="BL15" s="311"/>
      <c r="BM15" s="311"/>
      <c r="BN15" s="311"/>
      <c r="BO15" s="311"/>
      <c r="BP15" s="311"/>
      <c r="BQ15" s="311"/>
      <c r="BR15" s="311"/>
      <c r="BS15" s="311"/>
      <c r="BT15" s="311"/>
      <c r="BU15" s="311"/>
      <c r="BV15" s="308" t="s">
        <v>3081</v>
      </c>
      <c r="BW15" s="308" t="s">
        <v>23</v>
      </c>
      <c r="BX15" s="308" t="s">
        <v>2956</v>
      </c>
      <c r="BY15" s="311"/>
      <c r="BZ15" s="311"/>
      <c r="CA15" s="308" t="s">
        <v>2956</v>
      </c>
      <c r="CB15" s="312" t="str">
        <f t="shared" si="1"/>
        <v>25/02/2026</v>
      </c>
      <c r="CC15" s="313">
        <f t="shared" si="2"/>
        <v>2026</v>
      </c>
      <c r="CD15" s="314">
        <f t="shared" si="3"/>
        <v>2</v>
      </c>
      <c r="CE15" s="314">
        <f t="shared" si="4"/>
        <v>1</v>
      </c>
      <c r="CF15" s="314">
        <f t="shared" si="5"/>
        <v>1</v>
      </c>
      <c r="CG15" s="314">
        <f t="shared" si="6"/>
        <v>-5</v>
      </c>
      <c r="CH15" s="315">
        <f>VLOOKUP(CL15,'PRODUCT_COGS&amp;PRICE'!A:E,5,false)</f>
        <v>30.33</v>
      </c>
      <c r="CI15" s="306">
        <f t="shared" si="7"/>
        <v>-2.815</v>
      </c>
      <c r="CJ15" s="316">
        <f t="shared" si="8"/>
        <v>0</v>
      </c>
      <c r="CK15" s="316">
        <f t="shared" si="9"/>
        <v>15</v>
      </c>
      <c r="CL15" s="314" t="str">
        <f>VLOOKUP(R15,PRODUCT_MAP!A:B,2,FALSE)</f>
        <v>Lea_Bag_MUCCATA_MARRONE</v>
      </c>
      <c r="CM15" s="314" t="str">
        <f>VLOOKUP(R15,PRODUCT_MAP!A:E,3,FALSE)</f>
        <v>Lea Bag</v>
      </c>
    </row>
    <row r="16" ht="22.5" customHeight="1">
      <c r="A16" s="308" t="s">
        <v>3101</v>
      </c>
      <c r="B16" s="308" t="s">
        <v>3102</v>
      </c>
      <c r="C16" s="308" t="s">
        <v>2942</v>
      </c>
      <c r="D16" s="308" t="s">
        <v>3103</v>
      </c>
      <c r="E16" s="308" t="s">
        <v>2944</v>
      </c>
      <c r="F16" s="308" t="s">
        <v>3104</v>
      </c>
      <c r="G16" s="308" t="s">
        <v>2946</v>
      </c>
      <c r="H16" s="308" t="s">
        <v>2947</v>
      </c>
      <c r="I16" s="308">
        <v>135.0</v>
      </c>
      <c r="J16" s="308">
        <v>0.0</v>
      </c>
      <c r="K16" s="308">
        <v>24.34</v>
      </c>
      <c r="L16" s="308">
        <v>135.0</v>
      </c>
      <c r="M16" s="308" t="s">
        <v>3094</v>
      </c>
      <c r="N16" s="308">
        <v>15.0</v>
      </c>
      <c r="O16" s="308" t="s">
        <v>2948</v>
      </c>
      <c r="P16" s="308" t="s">
        <v>3105</v>
      </c>
      <c r="Q16" s="310">
        <v>1.0</v>
      </c>
      <c r="R16" s="308" t="s">
        <v>3106</v>
      </c>
      <c r="S16" s="308">
        <v>150.0</v>
      </c>
      <c r="T16" s="311"/>
      <c r="U16" s="308" t="s">
        <v>2968</v>
      </c>
      <c r="V16" s="308" t="b">
        <v>1</v>
      </c>
      <c r="W16" s="308" t="b">
        <v>1</v>
      </c>
      <c r="X16" s="308" t="s">
        <v>2944</v>
      </c>
      <c r="Y16" s="308" t="s">
        <v>3107</v>
      </c>
      <c r="Z16" s="308" t="s">
        <v>3108</v>
      </c>
      <c r="AA16" s="308" t="s">
        <v>3108</v>
      </c>
      <c r="AB16" s="311"/>
      <c r="AC16" s="311"/>
      <c r="AD16" s="308" t="s">
        <v>3109</v>
      </c>
      <c r="AE16" s="308">
        <v>52100.0</v>
      </c>
      <c r="AF16" s="308" t="s">
        <v>3110</v>
      </c>
      <c r="AG16" s="308" t="s">
        <v>2955</v>
      </c>
      <c r="AH16" s="311"/>
      <c r="AI16" s="308" t="s">
        <v>3107</v>
      </c>
      <c r="AJ16" s="308" t="s">
        <v>3111</v>
      </c>
      <c r="AK16" s="308" t="s">
        <v>3111</v>
      </c>
      <c r="AL16" s="311"/>
      <c r="AM16" s="311"/>
      <c r="AN16" s="308" t="s">
        <v>3109</v>
      </c>
      <c r="AO16" s="308">
        <v>52100.0</v>
      </c>
      <c r="AP16" s="308" t="s">
        <v>3110</v>
      </c>
      <c r="AQ16" s="308" t="s">
        <v>2955</v>
      </c>
      <c r="AR16" s="318" t="s">
        <v>3112</v>
      </c>
      <c r="AS16" s="311"/>
      <c r="AT16" s="311"/>
      <c r="AU16" s="311"/>
      <c r="AV16" s="308" t="s">
        <v>2956</v>
      </c>
      <c r="AW16" s="308">
        <v>4.6550151496007E13</v>
      </c>
      <c r="AX16" s="310">
        <v>0.0</v>
      </c>
      <c r="AY16" s="308" t="s">
        <v>2974</v>
      </c>
      <c r="AZ16" s="308">
        <v>0.0</v>
      </c>
      <c r="BA16" s="311"/>
      <c r="BB16" s="311"/>
      <c r="BC16" s="311"/>
      <c r="BD16" s="308">
        <v>7.403012653383E12</v>
      </c>
      <c r="BE16" s="311"/>
      <c r="BF16" s="311"/>
      <c r="BG16" s="308" t="s">
        <v>2958</v>
      </c>
      <c r="BH16" s="308">
        <v>0.0</v>
      </c>
      <c r="BI16" s="308" t="s">
        <v>2959</v>
      </c>
      <c r="BJ16" s="308">
        <v>24.34</v>
      </c>
      <c r="BK16" s="311"/>
      <c r="BL16" s="311"/>
      <c r="BM16" s="311"/>
      <c r="BN16" s="311"/>
      <c r="BO16" s="311"/>
      <c r="BP16" s="311"/>
      <c r="BQ16" s="311"/>
      <c r="BR16" s="311"/>
      <c r="BS16" s="311"/>
      <c r="BT16" s="311"/>
      <c r="BU16" s="311"/>
      <c r="BV16" s="308" t="s">
        <v>3109</v>
      </c>
      <c r="BW16" s="308" t="s">
        <v>3109</v>
      </c>
      <c r="BX16" s="308" t="s">
        <v>2956</v>
      </c>
      <c r="BY16" s="311"/>
      <c r="BZ16" s="311"/>
      <c r="CA16" s="308" t="s">
        <v>2956</v>
      </c>
      <c r="CB16" s="312" t="str">
        <f t="shared" si="1"/>
        <v>25/02/2026</v>
      </c>
      <c r="CC16" s="313">
        <f t="shared" si="2"/>
        <v>2026</v>
      </c>
      <c r="CD16" s="314">
        <f t="shared" si="3"/>
        <v>2</v>
      </c>
      <c r="CE16" s="314">
        <f t="shared" si="4"/>
        <v>1</v>
      </c>
      <c r="CF16" s="314">
        <f t="shared" si="5"/>
        <v>1</v>
      </c>
      <c r="CG16" s="314">
        <f t="shared" si="6"/>
        <v>-5</v>
      </c>
      <c r="CH16" s="315">
        <f>VLOOKUP(CL16,'PRODUCT_COGS&amp;PRICE'!A:E,5,false)</f>
        <v>30.33</v>
      </c>
      <c r="CI16" s="306">
        <f t="shared" si="7"/>
        <v>-2.815</v>
      </c>
      <c r="CJ16" s="316">
        <f t="shared" si="8"/>
        <v>0</v>
      </c>
      <c r="CK16" s="316">
        <f t="shared" si="9"/>
        <v>15</v>
      </c>
      <c r="CL16" s="314" t="str">
        <f>VLOOKUP(R16,PRODUCT_MAP!A:B,2,FALSE)</f>
        <v>Lea_Bag_LEOPARDO_SAVANA</v>
      </c>
      <c r="CM16" s="314" t="str">
        <f>VLOOKUP(R16,PRODUCT_MAP!A:E,3,FALSE)</f>
        <v>Lea Bag</v>
      </c>
    </row>
    <row r="17" ht="22.5" customHeight="1">
      <c r="A17" s="308" t="s">
        <v>3113</v>
      </c>
      <c r="B17" s="308" t="s">
        <v>3114</v>
      </c>
      <c r="C17" s="308" t="s">
        <v>2942</v>
      </c>
      <c r="D17" s="308" t="s">
        <v>3115</v>
      </c>
      <c r="E17" s="308" t="s">
        <v>2944</v>
      </c>
      <c r="F17" s="308" t="s">
        <v>3116</v>
      </c>
      <c r="G17" s="308" t="s">
        <v>2946</v>
      </c>
      <c r="H17" s="308" t="s">
        <v>2947</v>
      </c>
      <c r="I17" s="308">
        <v>135.0</v>
      </c>
      <c r="J17" s="308">
        <v>0.0</v>
      </c>
      <c r="K17" s="308">
        <v>24.34</v>
      </c>
      <c r="L17" s="308">
        <v>135.0</v>
      </c>
      <c r="M17" s="308" t="s">
        <v>3094</v>
      </c>
      <c r="N17" s="308">
        <v>15.0</v>
      </c>
      <c r="O17" s="308" t="s">
        <v>2948</v>
      </c>
      <c r="P17" s="308" t="s">
        <v>3117</v>
      </c>
      <c r="Q17" s="310">
        <v>1.0</v>
      </c>
      <c r="R17" s="308" t="s">
        <v>3096</v>
      </c>
      <c r="S17" s="308">
        <v>150.0</v>
      </c>
      <c r="T17" s="311"/>
      <c r="U17" s="308" t="s">
        <v>2982</v>
      </c>
      <c r="V17" s="308" t="b">
        <v>1</v>
      </c>
      <c r="W17" s="308" t="b">
        <v>1</v>
      </c>
      <c r="X17" s="308" t="s">
        <v>2944</v>
      </c>
      <c r="Y17" s="308" t="s">
        <v>3118</v>
      </c>
      <c r="Z17" s="308" t="s">
        <v>3119</v>
      </c>
      <c r="AA17" s="308" t="s">
        <v>3120</v>
      </c>
      <c r="AB17" s="308" t="s">
        <v>3121</v>
      </c>
      <c r="AC17" s="311"/>
      <c r="AD17" s="308" t="s">
        <v>23</v>
      </c>
      <c r="AE17" s="308">
        <v>20145.0</v>
      </c>
      <c r="AF17" s="308" t="s">
        <v>2954</v>
      </c>
      <c r="AG17" s="308" t="s">
        <v>2955</v>
      </c>
      <c r="AH17" s="308">
        <v>3.929911441E9</v>
      </c>
      <c r="AI17" s="308" t="s">
        <v>3118</v>
      </c>
      <c r="AJ17" s="308" t="s">
        <v>3119</v>
      </c>
      <c r="AK17" s="308" t="s">
        <v>3120</v>
      </c>
      <c r="AL17" s="308" t="s">
        <v>3121</v>
      </c>
      <c r="AM17" s="311"/>
      <c r="AN17" s="308" t="s">
        <v>23</v>
      </c>
      <c r="AO17" s="308">
        <v>20145.0</v>
      </c>
      <c r="AP17" s="308" t="s">
        <v>2954</v>
      </c>
      <c r="AQ17" s="308" t="s">
        <v>2955</v>
      </c>
      <c r="AR17" s="308">
        <v>3.929911441E9</v>
      </c>
      <c r="AS17" s="311"/>
      <c r="AT17" s="311"/>
      <c r="AU17" s="311"/>
      <c r="AV17" s="308" t="s">
        <v>2956</v>
      </c>
      <c r="AW17" s="308">
        <v>4.6577667801415E13</v>
      </c>
      <c r="AX17" s="310">
        <v>0.0</v>
      </c>
      <c r="AY17" s="308" t="s">
        <v>2974</v>
      </c>
      <c r="AZ17" s="308">
        <v>0.0</v>
      </c>
      <c r="BA17" s="311"/>
      <c r="BB17" s="311"/>
      <c r="BC17" s="311"/>
      <c r="BD17" s="308">
        <v>7.404679692615E12</v>
      </c>
      <c r="BE17" s="311"/>
      <c r="BF17" s="311"/>
      <c r="BG17" s="308" t="s">
        <v>2958</v>
      </c>
      <c r="BH17" s="308">
        <v>0.0</v>
      </c>
      <c r="BI17" s="308" t="s">
        <v>2959</v>
      </c>
      <c r="BJ17" s="308">
        <v>24.34</v>
      </c>
      <c r="BK17" s="311"/>
      <c r="BL17" s="311"/>
      <c r="BM17" s="311"/>
      <c r="BN17" s="311"/>
      <c r="BO17" s="311"/>
      <c r="BP17" s="311"/>
      <c r="BQ17" s="311"/>
      <c r="BR17" s="311"/>
      <c r="BS17" s="311"/>
      <c r="BT17" s="311"/>
      <c r="BU17" s="311"/>
      <c r="BV17" s="308" t="s">
        <v>23</v>
      </c>
      <c r="BW17" s="308" t="s">
        <v>23</v>
      </c>
      <c r="BX17" s="308" t="s">
        <v>2956</v>
      </c>
      <c r="BY17" s="311"/>
      <c r="BZ17" s="311"/>
      <c r="CA17" s="308" t="s">
        <v>2956</v>
      </c>
      <c r="CB17" s="312" t="str">
        <f t="shared" si="1"/>
        <v>25/02/2026</v>
      </c>
      <c r="CC17" s="313">
        <f t="shared" si="2"/>
        <v>2026</v>
      </c>
      <c r="CD17" s="314">
        <f t="shared" si="3"/>
        <v>2</v>
      </c>
      <c r="CE17" s="314">
        <f t="shared" si="4"/>
        <v>1</v>
      </c>
      <c r="CF17" s="314">
        <f t="shared" si="5"/>
        <v>1</v>
      </c>
      <c r="CG17" s="314">
        <f t="shared" si="6"/>
        <v>-5</v>
      </c>
      <c r="CH17" s="315">
        <f>VLOOKUP(CL17,'PRODUCT_COGS&amp;PRICE'!A:E,5,false)</f>
        <v>30.33</v>
      </c>
      <c r="CI17" s="306">
        <f t="shared" si="7"/>
        <v>-2.815</v>
      </c>
      <c r="CJ17" s="316">
        <f t="shared" si="8"/>
        <v>0</v>
      </c>
      <c r="CK17" s="316">
        <f t="shared" si="9"/>
        <v>15</v>
      </c>
      <c r="CL17" s="314" t="str">
        <f>VLOOKUP(R17,PRODUCT_MAP!A:B,2,FALSE)</f>
        <v>Lea_Bag_MUCCATA_MARRONE</v>
      </c>
      <c r="CM17" s="314" t="str">
        <f>VLOOKUP(R17,PRODUCT_MAP!A:E,3,FALSE)</f>
        <v>Lea Bag</v>
      </c>
    </row>
    <row r="18" ht="22.5" customHeight="1">
      <c r="A18" s="308" t="s">
        <v>3122</v>
      </c>
      <c r="B18" s="308" t="s">
        <v>3123</v>
      </c>
      <c r="C18" s="308" t="s">
        <v>2942</v>
      </c>
      <c r="D18" s="308" t="s">
        <v>3124</v>
      </c>
      <c r="E18" s="308" t="s">
        <v>3013</v>
      </c>
      <c r="F18" s="308"/>
      <c r="G18" s="308" t="s">
        <v>2946</v>
      </c>
      <c r="H18" s="308" t="s">
        <v>2947</v>
      </c>
      <c r="I18" s="308">
        <v>108.0</v>
      </c>
      <c r="J18" s="308">
        <v>0.0</v>
      </c>
      <c r="K18" s="308">
        <v>19.48</v>
      </c>
      <c r="L18" s="308">
        <v>108.0</v>
      </c>
      <c r="M18" s="308" t="s">
        <v>3094</v>
      </c>
      <c r="N18" s="308">
        <v>12.0</v>
      </c>
      <c r="O18" s="308" t="s">
        <v>2979</v>
      </c>
      <c r="P18" s="308" t="s">
        <v>3125</v>
      </c>
      <c r="Q18" s="310">
        <v>1.0</v>
      </c>
      <c r="R18" s="308" t="s">
        <v>3126</v>
      </c>
      <c r="S18" s="308">
        <v>120.0</v>
      </c>
      <c r="T18" s="311"/>
      <c r="U18" s="308" t="s">
        <v>3127</v>
      </c>
      <c r="V18" s="308" t="b">
        <v>1</v>
      </c>
      <c r="W18" s="308" t="b">
        <v>1</v>
      </c>
      <c r="X18" s="308" t="s">
        <v>2944</v>
      </c>
      <c r="Y18" s="308" t="s">
        <v>3128</v>
      </c>
      <c r="Z18" s="308" t="s">
        <v>3129</v>
      </c>
      <c r="AA18" s="308" t="s">
        <v>3129</v>
      </c>
      <c r="AB18" s="311"/>
      <c r="AC18" s="311"/>
      <c r="AD18" s="308" t="s">
        <v>3130</v>
      </c>
      <c r="AE18" s="308">
        <v>15121.0</v>
      </c>
      <c r="AF18" s="308" t="s">
        <v>3131</v>
      </c>
      <c r="AG18" s="308" t="s">
        <v>2955</v>
      </c>
      <c r="AH18" s="311"/>
      <c r="AI18" s="311"/>
      <c r="AJ18" s="311"/>
      <c r="AK18" s="311"/>
      <c r="AL18" s="311"/>
      <c r="AM18" s="311"/>
      <c r="AN18" s="311"/>
      <c r="AO18" s="311"/>
      <c r="AP18" s="311"/>
      <c r="AQ18" s="311"/>
      <c r="AR18" s="311"/>
      <c r="AS18" s="311"/>
      <c r="AT18" s="311"/>
      <c r="AU18" s="311"/>
      <c r="AV18" s="308" t="s">
        <v>3009</v>
      </c>
      <c r="AW18" s="308">
        <v>4.6401501036871E13</v>
      </c>
      <c r="AX18" s="310">
        <v>0.0</v>
      </c>
      <c r="AY18" s="308" t="s">
        <v>2974</v>
      </c>
      <c r="AZ18" s="308">
        <v>0.0</v>
      </c>
      <c r="BA18" s="311"/>
      <c r="BB18" s="311"/>
      <c r="BC18" s="311"/>
      <c r="BD18" s="308">
        <v>7.409125065031E12</v>
      </c>
      <c r="BE18" s="311"/>
      <c r="BF18" s="311"/>
      <c r="BG18" s="308" t="s">
        <v>2958</v>
      </c>
      <c r="BH18" s="308">
        <v>0.0</v>
      </c>
      <c r="BI18" s="308" t="s">
        <v>2959</v>
      </c>
      <c r="BJ18" s="308">
        <v>19.48</v>
      </c>
      <c r="BK18" s="311"/>
      <c r="BL18" s="311"/>
      <c r="BM18" s="311"/>
      <c r="BN18" s="311"/>
      <c r="BO18" s="311"/>
      <c r="BP18" s="311"/>
      <c r="BQ18" s="311"/>
      <c r="BR18" s="311"/>
      <c r="BS18" s="311"/>
      <c r="BT18" s="311"/>
      <c r="BU18" s="311"/>
      <c r="BV18" s="308" t="s">
        <v>3130</v>
      </c>
      <c r="BW18" s="311"/>
      <c r="BX18" s="308" t="s">
        <v>3009</v>
      </c>
      <c r="BY18" s="311"/>
      <c r="BZ18" s="311"/>
      <c r="CA18" s="308" t="s">
        <v>3009</v>
      </c>
      <c r="CB18" s="312" t="str">
        <f t="shared" si="1"/>
        <v>27/02/2026</v>
      </c>
      <c r="CC18" s="313">
        <f t="shared" si="2"/>
        <v>2026</v>
      </c>
      <c r="CD18" s="314">
        <f t="shared" si="3"/>
        <v>2</v>
      </c>
      <c r="CE18" s="314">
        <f t="shared" si="4"/>
        <v>1</v>
      </c>
      <c r="CF18" s="314">
        <f t="shared" si="5"/>
        <v>1</v>
      </c>
      <c r="CG18" s="314">
        <f t="shared" si="6"/>
        <v>-5</v>
      </c>
      <c r="CH18" s="315">
        <f>VLOOKUP(CL18,'PRODUCT_COGS&amp;PRICE'!A:E,5,false)</f>
        <v>33</v>
      </c>
      <c r="CI18" s="306">
        <f t="shared" si="7"/>
        <v>-4.1192</v>
      </c>
      <c r="CJ18" s="316">
        <f t="shared" si="8"/>
        <v>0</v>
      </c>
      <c r="CK18" s="316">
        <f t="shared" si="9"/>
        <v>12</v>
      </c>
      <c r="CL18" s="314" t="str">
        <f>VLOOKUP(R18,PRODUCT_MAP!A:B,2,FALSE)</f>
        <v>Lea_Bag_Bordeaux</v>
      </c>
      <c r="CM18" s="314" t="str">
        <f>VLOOKUP(R18,PRODUCT_MAP!A:E,3,FALSE)</f>
        <v>Lea Bag</v>
      </c>
    </row>
    <row r="19" ht="22.5" customHeight="1">
      <c r="A19" s="308" t="s">
        <v>3132</v>
      </c>
      <c r="B19" s="308" t="s">
        <v>3133</v>
      </c>
      <c r="C19" s="308" t="s">
        <v>2942</v>
      </c>
      <c r="D19" s="308" t="s">
        <v>3134</v>
      </c>
      <c r="E19" s="308" t="s">
        <v>2944</v>
      </c>
      <c r="F19" s="308" t="s">
        <v>3135</v>
      </c>
      <c r="G19" s="308" t="s">
        <v>2946</v>
      </c>
      <c r="H19" s="308" t="s">
        <v>2947</v>
      </c>
      <c r="I19" s="308">
        <v>108.0</v>
      </c>
      <c r="J19" s="308">
        <v>0.0</v>
      </c>
      <c r="K19" s="308">
        <v>19.48</v>
      </c>
      <c r="L19" s="308">
        <v>108.0</v>
      </c>
      <c r="M19" s="308" t="s">
        <v>3094</v>
      </c>
      <c r="N19" s="308">
        <v>12.0</v>
      </c>
      <c r="O19" s="308" t="s">
        <v>2948</v>
      </c>
      <c r="P19" s="308" t="s">
        <v>3136</v>
      </c>
      <c r="Q19" s="310">
        <v>1.0</v>
      </c>
      <c r="R19" s="308" t="s">
        <v>509</v>
      </c>
      <c r="S19" s="308">
        <v>120.0</v>
      </c>
      <c r="T19" s="311"/>
      <c r="U19" s="308" t="s">
        <v>3004</v>
      </c>
      <c r="V19" s="308" t="b">
        <v>1</v>
      </c>
      <c r="W19" s="308" t="b">
        <v>1</v>
      </c>
      <c r="X19" s="308" t="s">
        <v>2944</v>
      </c>
      <c r="Y19" s="308" t="s">
        <v>3137</v>
      </c>
      <c r="Z19" s="308" t="s">
        <v>3138</v>
      </c>
      <c r="AA19" s="308" t="s">
        <v>3138</v>
      </c>
      <c r="AB19" s="311"/>
      <c r="AC19" s="308" t="s">
        <v>3139</v>
      </c>
      <c r="AD19" s="308" t="s">
        <v>3140</v>
      </c>
      <c r="AE19" s="308">
        <v>39014.0</v>
      </c>
      <c r="AF19" s="308" t="s">
        <v>3141</v>
      </c>
      <c r="AG19" s="308" t="s">
        <v>2955</v>
      </c>
      <c r="AH19" s="308">
        <v>3.339429263E9</v>
      </c>
      <c r="AI19" s="308" t="s">
        <v>3137</v>
      </c>
      <c r="AJ19" s="308" t="s">
        <v>3138</v>
      </c>
      <c r="AK19" s="308" t="s">
        <v>3138</v>
      </c>
      <c r="AL19" s="311"/>
      <c r="AM19" s="308" t="s">
        <v>3139</v>
      </c>
      <c r="AN19" s="308" t="s">
        <v>3140</v>
      </c>
      <c r="AO19" s="308">
        <v>39014.0</v>
      </c>
      <c r="AP19" s="308" t="s">
        <v>3141</v>
      </c>
      <c r="AQ19" s="308" t="s">
        <v>2955</v>
      </c>
      <c r="AR19" s="308">
        <v>3.339429263E9</v>
      </c>
      <c r="AS19" s="311"/>
      <c r="AT19" s="311"/>
      <c r="AU19" s="311"/>
      <c r="AV19" s="308" t="s">
        <v>3009</v>
      </c>
      <c r="AW19" s="308">
        <v>4.6688815743303E13</v>
      </c>
      <c r="AX19" s="310">
        <v>0.0</v>
      </c>
      <c r="AY19" s="308" t="s">
        <v>2974</v>
      </c>
      <c r="AZ19" s="308">
        <v>0.0</v>
      </c>
      <c r="BA19" s="311"/>
      <c r="BB19" s="311"/>
      <c r="BC19" s="311"/>
      <c r="BD19" s="308">
        <v>7.413061288263E12</v>
      </c>
      <c r="BE19" s="311"/>
      <c r="BF19" s="311"/>
      <c r="BG19" s="308" t="s">
        <v>2958</v>
      </c>
      <c r="BH19" s="308">
        <v>0.0</v>
      </c>
      <c r="BI19" s="308" t="s">
        <v>2959</v>
      </c>
      <c r="BJ19" s="308">
        <v>19.48</v>
      </c>
      <c r="BK19" s="311"/>
      <c r="BL19" s="311"/>
      <c r="BM19" s="311"/>
      <c r="BN19" s="311"/>
      <c r="BO19" s="311"/>
      <c r="BP19" s="311"/>
      <c r="BQ19" s="311"/>
      <c r="BR19" s="311"/>
      <c r="BS19" s="311"/>
      <c r="BT19" s="311"/>
      <c r="BU19" s="311"/>
      <c r="BV19" s="308" t="s">
        <v>3142</v>
      </c>
      <c r="BW19" s="308" t="s">
        <v>3142</v>
      </c>
      <c r="BX19" s="308" t="s">
        <v>3009</v>
      </c>
      <c r="BY19" s="311"/>
      <c r="BZ19" s="311"/>
      <c r="CA19" s="308" t="s">
        <v>3009</v>
      </c>
      <c r="CB19" s="312" t="str">
        <f t="shared" si="1"/>
        <v>01/03/2026</v>
      </c>
      <c r="CC19" s="313">
        <f t="shared" si="2"/>
        <v>2026</v>
      </c>
      <c r="CD19" s="314">
        <f t="shared" si="3"/>
        <v>3</v>
      </c>
      <c r="CE19" s="314">
        <f t="shared" si="4"/>
        <v>1</v>
      </c>
      <c r="CF19" s="314">
        <f t="shared" si="5"/>
        <v>1</v>
      </c>
      <c r="CG19" s="314">
        <f t="shared" si="6"/>
        <v>-5</v>
      </c>
      <c r="CH19" s="315">
        <f>VLOOKUP(CL19,'PRODUCT_COGS&amp;PRICE'!A:E,5,false)</f>
        <v>30.33</v>
      </c>
      <c r="CI19" s="306">
        <f t="shared" si="7"/>
        <v>-4.1192</v>
      </c>
      <c r="CJ19" s="316">
        <f t="shared" si="8"/>
        <v>0</v>
      </c>
      <c r="CK19" s="316">
        <f t="shared" si="9"/>
        <v>12</v>
      </c>
      <c r="CL19" s="314" t="str">
        <f>VLOOKUP(R19,PRODUCT_MAP!A:B,2,FALSE)</f>
        <v>Lea_Bag_COCCO_BLACK</v>
      </c>
      <c r="CM19" s="314" t="str">
        <f>VLOOKUP(R19,PRODUCT_MAP!A:E,3,FALSE)</f>
        <v>Lea Bag</v>
      </c>
    </row>
    <row r="20" ht="22.5" customHeight="1">
      <c r="A20" s="308" t="s">
        <v>3143</v>
      </c>
      <c r="B20" s="308" t="s">
        <v>3144</v>
      </c>
      <c r="C20" s="308" t="s">
        <v>2942</v>
      </c>
      <c r="D20" s="308" t="s">
        <v>3145</v>
      </c>
      <c r="E20" s="308" t="s">
        <v>2944</v>
      </c>
      <c r="F20" s="308" t="s">
        <v>3146</v>
      </c>
      <c r="G20" s="308" t="s">
        <v>2946</v>
      </c>
      <c r="H20" s="308" t="s">
        <v>2947</v>
      </c>
      <c r="I20" s="308">
        <v>135.0</v>
      </c>
      <c r="J20" s="308">
        <v>3.9</v>
      </c>
      <c r="K20" s="308">
        <v>25.04</v>
      </c>
      <c r="L20" s="308">
        <v>138.9</v>
      </c>
      <c r="M20" s="308" t="s">
        <v>3094</v>
      </c>
      <c r="N20" s="308">
        <v>15.0</v>
      </c>
      <c r="O20" s="308" t="s">
        <v>2948</v>
      </c>
      <c r="P20" s="308" t="s">
        <v>3147</v>
      </c>
      <c r="Q20" s="310">
        <v>1.0</v>
      </c>
      <c r="R20" s="308" t="s">
        <v>3106</v>
      </c>
      <c r="S20" s="308">
        <v>150.0</v>
      </c>
      <c r="T20" s="311"/>
      <c r="U20" s="308" t="s">
        <v>2968</v>
      </c>
      <c r="V20" s="308" t="b">
        <v>1</v>
      </c>
      <c r="W20" s="308" t="b">
        <v>1</v>
      </c>
      <c r="X20" s="308" t="s">
        <v>2944</v>
      </c>
      <c r="Y20" s="308" t="s">
        <v>3148</v>
      </c>
      <c r="Z20" s="308" t="s">
        <v>3149</v>
      </c>
      <c r="AA20" s="308" t="s">
        <v>3149</v>
      </c>
      <c r="AB20" s="311"/>
      <c r="AC20" s="311"/>
      <c r="AD20" s="308" t="s">
        <v>3150</v>
      </c>
      <c r="AE20" s="308">
        <v>28028.0</v>
      </c>
      <c r="AF20" s="308" t="s">
        <v>1628</v>
      </c>
      <c r="AG20" s="308" t="s">
        <v>2955</v>
      </c>
      <c r="AH20" s="308">
        <v>3.40992322E9</v>
      </c>
      <c r="AI20" s="308" t="s">
        <v>3148</v>
      </c>
      <c r="AJ20" s="308" t="s">
        <v>3149</v>
      </c>
      <c r="AK20" s="308" t="s">
        <v>3149</v>
      </c>
      <c r="AL20" s="311"/>
      <c r="AM20" s="311"/>
      <c r="AN20" s="308" t="s">
        <v>3150</v>
      </c>
      <c r="AO20" s="308">
        <v>28028.0</v>
      </c>
      <c r="AP20" s="308" t="s">
        <v>1628</v>
      </c>
      <c r="AQ20" s="308" t="s">
        <v>2955</v>
      </c>
      <c r="AR20" s="308">
        <v>3.40992322E9</v>
      </c>
      <c r="AS20" s="311"/>
      <c r="AT20" s="311"/>
      <c r="AU20" s="311"/>
      <c r="AV20" s="308" t="s">
        <v>3009</v>
      </c>
      <c r="AW20" s="308">
        <v>4.6694187434311E13</v>
      </c>
      <c r="AX20" s="310">
        <v>0.0</v>
      </c>
      <c r="AY20" s="308" t="s">
        <v>2974</v>
      </c>
      <c r="AZ20" s="308">
        <v>0.0</v>
      </c>
      <c r="BA20" s="311"/>
      <c r="BB20" s="311"/>
      <c r="BC20" s="311"/>
      <c r="BD20" s="308">
        <v>7.413705572679E12</v>
      </c>
      <c r="BE20" s="311"/>
      <c r="BF20" s="311"/>
      <c r="BG20" s="308" t="s">
        <v>2958</v>
      </c>
      <c r="BH20" s="308">
        <v>0.0</v>
      </c>
      <c r="BI20" s="308" t="s">
        <v>2959</v>
      </c>
      <c r="BJ20" s="308">
        <v>24.34</v>
      </c>
      <c r="BK20" s="311"/>
      <c r="BL20" s="311"/>
      <c r="BM20" s="311"/>
      <c r="BN20" s="311"/>
      <c r="BO20" s="311"/>
      <c r="BP20" s="311"/>
      <c r="BQ20" s="311"/>
      <c r="BR20" s="311"/>
      <c r="BS20" s="311"/>
      <c r="BT20" s="311"/>
      <c r="BU20" s="311"/>
      <c r="BV20" s="308" t="s">
        <v>3151</v>
      </c>
      <c r="BW20" s="308" t="s">
        <v>3151</v>
      </c>
      <c r="BX20" s="308" t="s">
        <v>3009</v>
      </c>
      <c r="BY20" s="311"/>
      <c r="BZ20" s="311"/>
      <c r="CA20" s="308" t="s">
        <v>3009</v>
      </c>
      <c r="CB20" s="312" t="str">
        <f t="shared" si="1"/>
        <v>01/03/2026</v>
      </c>
      <c r="CC20" s="313">
        <f t="shared" si="2"/>
        <v>2026</v>
      </c>
      <c r="CD20" s="314">
        <f t="shared" si="3"/>
        <v>3</v>
      </c>
      <c r="CE20" s="314">
        <f t="shared" si="4"/>
        <v>1</v>
      </c>
      <c r="CF20" s="314">
        <f t="shared" si="5"/>
        <v>1</v>
      </c>
      <c r="CG20" s="314">
        <f t="shared" si="6"/>
        <v>0</v>
      </c>
      <c r="CH20" s="315">
        <f>VLOOKUP(CL20,'PRODUCT_COGS&amp;PRICE'!A:E,5,false)</f>
        <v>30.33</v>
      </c>
      <c r="CI20" s="306">
        <f t="shared" si="7"/>
        <v>-5.19761</v>
      </c>
      <c r="CJ20" s="316">
        <f t="shared" si="8"/>
        <v>0</v>
      </c>
      <c r="CK20" s="316">
        <f t="shared" si="9"/>
        <v>15</v>
      </c>
      <c r="CL20" s="314" t="str">
        <f>VLOOKUP(R20,PRODUCT_MAP!A:B,2,FALSE)</f>
        <v>Lea_Bag_LEOPARDO_SAVANA</v>
      </c>
      <c r="CM20" s="314" t="str">
        <f>VLOOKUP(R20,PRODUCT_MAP!A:E,3,FALSE)</f>
        <v>Lea Bag</v>
      </c>
    </row>
    <row r="21" ht="22.5" customHeight="1">
      <c r="A21" s="308" t="s">
        <v>3152</v>
      </c>
      <c r="B21" s="308" t="s">
        <v>3153</v>
      </c>
      <c r="C21" s="308" t="s">
        <v>2942</v>
      </c>
      <c r="D21" s="308" t="s">
        <v>3154</v>
      </c>
      <c r="E21" s="308" t="s">
        <v>3013</v>
      </c>
      <c r="F21" s="308"/>
      <c r="G21" s="308" t="s">
        <v>2946</v>
      </c>
      <c r="H21" s="308" t="s">
        <v>2947</v>
      </c>
      <c r="I21" s="308">
        <v>135.0</v>
      </c>
      <c r="J21" s="308">
        <v>0.0</v>
      </c>
      <c r="K21" s="308">
        <v>24.34</v>
      </c>
      <c r="L21" s="308">
        <v>135.0</v>
      </c>
      <c r="M21" s="308" t="s">
        <v>3094</v>
      </c>
      <c r="N21" s="308">
        <v>15.0</v>
      </c>
      <c r="O21" s="308" t="s">
        <v>2979</v>
      </c>
      <c r="P21" s="308" t="s">
        <v>3154</v>
      </c>
      <c r="Q21" s="310">
        <v>1.0</v>
      </c>
      <c r="R21" s="308" t="s">
        <v>3096</v>
      </c>
      <c r="S21" s="308">
        <v>150.0</v>
      </c>
      <c r="T21" s="311"/>
      <c r="U21" s="308" t="s">
        <v>2982</v>
      </c>
      <c r="V21" s="308" t="b">
        <v>1</v>
      </c>
      <c r="W21" s="308" t="b">
        <v>1</v>
      </c>
      <c r="X21" s="308" t="s">
        <v>2944</v>
      </c>
      <c r="Y21" s="308" t="s">
        <v>3155</v>
      </c>
      <c r="Z21" s="308" t="s">
        <v>3156</v>
      </c>
      <c r="AA21" s="308" t="s">
        <v>3156</v>
      </c>
      <c r="AB21" s="311"/>
      <c r="AC21" s="311"/>
      <c r="AD21" s="308" t="s">
        <v>23</v>
      </c>
      <c r="AE21" s="308">
        <v>20145.0</v>
      </c>
      <c r="AF21" s="308" t="s">
        <v>2954</v>
      </c>
      <c r="AG21" s="308" t="s">
        <v>2955</v>
      </c>
      <c r="AH21" s="308">
        <v>3.291695198E9</v>
      </c>
      <c r="AI21" s="311"/>
      <c r="AJ21" s="311"/>
      <c r="AK21" s="311"/>
      <c r="AL21" s="311"/>
      <c r="AM21" s="311"/>
      <c r="AN21" s="311"/>
      <c r="AO21" s="311"/>
      <c r="AP21" s="311"/>
      <c r="AQ21" s="311"/>
      <c r="AR21" s="311"/>
      <c r="AS21" s="311"/>
      <c r="AT21" s="311"/>
      <c r="AU21" s="311"/>
      <c r="AV21" s="308" t="s">
        <v>3009</v>
      </c>
      <c r="AW21" s="308">
        <v>4.6698726097223E13</v>
      </c>
      <c r="AX21" s="310">
        <v>0.0</v>
      </c>
      <c r="AY21" s="308" t="s">
        <v>2974</v>
      </c>
      <c r="AZ21" s="308">
        <v>0.0</v>
      </c>
      <c r="BA21" s="311"/>
      <c r="BB21" s="311"/>
      <c r="BC21" s="311"/>
      <c r="BD21" s="308">
        <v>7.414056550727E12</v>
      </c>
      <c r="BE21" s="311"/>
      <c r="BF21" s="311"/>
      <c r="BG21" s="308" t="s">
        <v>2958</v>
      </c>
      <c r="BH21" s="308">
        <v>0.0</v>
      </c>
      <c r="BI21" s="308" t="s">
        <v>2959</v>
      </c>
      <c r="BJ21" s="308">
        <v>24.34</v>
      </c>
      <c r="BK21" s="311"/>
      <c r="BL21" s="311"/>
      <c r="BM21" s="311"/>
      <c r="BN21" s="311"/>
      <c r="BO21" s="311"/>
      <c r="BP21" s="311"/>
      <c r="BQ21" s="311"/>
      <c r="BR21" s="311"/>
      <c r="BS21" s="311"/>
      <c r="BT21" s="311"/>
      <c r="BU21" s="311"/>
      <c r="BV21" s="308" t="s">
        <v>23</v>
      </c>
      <c r="BW21" s="311"/>
      <c r="BX21" s="308" t="s">
        <v>3009</v>
      </c>
      <c r="BY21" s="311"/>
      <c r="BZ21" s="311"/>
      <c r="CA21" s="308" t="s">
        <v>3009</v>
      </c>
      <c r="CB21" s="312" t="str">
        <f t="shared" si="1"/>
        <v>01/03/2026</v>
      </c>
      <c r="CC21" s="313">
        <f t="shared" si="2"/>
        <v>2026</v>
      </c>
      <c r="CD21" s="314">
        <f t="shared" si="3"/>
        <v>3</v>
      </c>
      <c r="CE21" s="314">
        <f t="shared" si="4"/>
        <v>1</v>
      </c>
      <c r="CF21" s="314">
        <f t="shared" si="5"/>
        <v>1</v>
      </c>
      <c r="CG21" s="314">
        <f t="shared" si="6"/>
        <v>-5</v>
      </c>
      <c r="CH21" s="315">
        <f>VLOOKUP(CL21,'PRODUCT_COGS&amp;PRICE'!A:E,5,false)</f>
        <v>30.33</v>
      </c>
      <c r="CI21" s="306">
        <f t="shared" si="7"/>
        <v>-5.0615</v>
      </c>
      <c r="CJ21" s="316">
        <f t="shared" si="8"/>
        <v>0</v>
      </c>
      <c r="CK21" s="316">
        <f t="shared" si="9"/>
        <v>15</v>
      </c>
      <c r="CL21" s="314" t="str">
        <f>VLOOKUP(R21,PRODUCT_MAP!A:B,2,FALSE)</f>
        <v>Lea_Bag_MUCCATA_MARRONE</v>
      </c>
      <c r="CM21" s="314" t="str">
        <f>VLOOKUP(R21,PRODUCT_MAP!A:E,3,FALSE)</f>
        <v>Lea Bag</v>
      </c>
    </row>
    <row r="22" ht="22.5" customHeight="1">
      <c r="A22" s="308" t="s">
        <v>3157</v>
      </c>
      <c r="B22" s="308" t="s">
        <v>3158</v>
      </c>
      <c r="C22" s="308" t="s">
        <v>2942</v>
      </c>
      <c r="D22" s="308" t="s">
        <v>3159</v>
      </c>
      <c r="E22" s="308" t="s">
        <v>3013</v>
      </c>
      <c r="F22" s="308"/>
      <c r="G22" s="308" t="s">
        <v>2946</v>
      </c>
      <c r="H22" s="308" t="s">
        <v>2947</v>
      </c>
      <c r="I22" s="308">
        <v>150.0</v>
      </c>
      <c r="J22" s="308">
        <v>0.0</v>
      </c>
      <c r="K22" s="308">
        <v>27.05</v>
      </c>
      <c r="L22" s="308">
        <v>150.0</v>
      </c>
      <c r="M22" s="308"/>
      <c r="N22" s="308">
        <v>0.0</v>
      </c>
      <c r="O22" s="308" t="s">
        <v>2948</v>
      </c>
      <c r="P22" s="308" t="s">
        <v>3160</v>
      </c>
      <c r="Q22" s="310">
        <v>1.0</v>
      </c>
      <c r="R22" s="308" t="s">
        <v>3161</v>
      </c>
      <c r="S22" s="308">
        <v>150.0</v>
      </c>
      <c r="T22" s="311"/>
      <c r="U22" s="308" t="s">
        <v>2968</v>
      </c>
      <c r="V22" s="308" t="b">
        <v>1</v>
      </c>
      <c r="W22" s="308" t="b">
        <v>1</v>
      </c>
      <c r="X22" s="308" t="s">
        <v>2944</v>
      </c>
      <c r="Y22" s="308" t="s">
        <v>3162</v>
      </c>
      <c r="Z22" s="308" t="s">
        <v>3163</v>
      </c>
      <c r="AA22" s="308" t="s">
        <v>3164</v>
      </c>
      <c r="AB22" s="308" t="s">
        <v>3165</v>
      </c>
      <c r="AC22" s="311"/>
      <c r="AD22" s="308" t="s">
        <v>3081</v>
      </c>
      <c r="AE22" s="308">
        <v>167.0</v>
      </c>
      <c r="AF22" s="308" t="s">
        <v>3082</v>
      </c>
      <c r="AG22" s="308" t="s">
        <v>2955</v>
      </c>
      <c r="AH22" s="311"/>
      <c r="AI22" s="308" t="s">
        <v>3166</v>
      </c>
      <c r="AJ22" s="308" t="s">
        <v>3167</v>
      </c>
      <c r="AK22" s="308" t="s">
        <v>3167</v>
      </c>
      <c r="AL22" s="311"/>
      <c r="AM22" s="311"/>
      <c r="AN22" s="308" t="s">
        <v>3081</v>
      </c>
      <c r="AO22" s="308">
        <v>167.0</v>
      </c>
      <c r="AP22" s="308" t="s">
        <v>3082</v>
      </c>
      <c r="AQ22" s="308" t="s">
        <v>2955</v>
      </c>
      <c r="AR22" s="308">
        <v>3.468883844E9</v>
      </c>
      <c r="AS22" s="311"/>
      <c r="AT22" s="311"/>
      <c r="AU22" s="311"/>
      <c r="AV22" s="308" t="s">
        <v>2956</v>
      </c>
      <c r="AW22" s="308">
        <v>4.6739958890823E13</v>
      </c>
      <c r="AX22" s="310">
        <v>0.0</v>
      </c>
      <c r="AY22" s="308" t="s">
        <v>2974</v>
      </c>
      <c r="AZ22" s="308">
        <v>0.0</v>
      </c>
      <c r="BA22" s="311"/>
      <c r="BB22" s="311"/>
      <c r="BC22" s="311"/>
      <c r="BD22" s="308">
        <v>7.416361353543E12</v>
      </c>
      <c r="BE22" s="311"/>
      <c r="BF22" s="311"/>
      <c r="BG22" s="308" t="s">
        <v>2958</v>
      </c>
      <c r="BH22" s="308">
        <v>0.0</v>
      </c>
      <c r="BI22" s="308" t="s">
        <v>2959</v>
      </c>
      <c r="BJ22" s="308">
        <v>27.05</v>
      </c>
      <c r="BK22" s="311"/>
      <c r="BL22" s="311"/>
      <c r="BM22" s="311"/>
      <c r="BN22" s="311"/>
      <c r="BO22" s="311"/>
      <c r="BP22" s="311"/>
      <c r="BQ22" s="311"/>
      <c r="BR22" s="311"/>
      <c r="BS22" s="311"/>
      <c r="BT22" s="311"/>
      <c r="BU22" s="311"/>
      <c r="BV22" s="308" t="s">
        <v>3081</v>
      </c>
      <c r="BW22" s="308" t="s">
        <v>3081</v>
      </c>
      <c r="BX22" s="308" t="s">
        <v>2956</v>
      </c>
      <c r="BY22" s="311"/>
      <c r="BZ22" s="311"/>
      <c r="CA22" s="308" t="s">
        <v>2956</v>
      </c>
      <c r="CB22" s="312" t="str">
        <f t="shared" si="1"/>
        <v>02/03/2026</v>
      </c>
      <c r="CC22" s="313">
        <f t="shared" si="2"/>
        <v>2026</v>
      </c>
      <c r="CD22" s="314">
        <f t="shared" si="3"/>
        <v>3</v>
      </c>
      <c r="CE22" s="314">
        <f t="shared" si="4"/>
        <v>1</v>
      </c>
      <c r="CF22" s="314">
        <f t="shared" si="5"/>
        <v>1</v>
      </c>
      <c r="CG22" s="314">
        <f t="shared" si="6"/>
        <v>-5</v>
      </c>
      <c r="CH22" s="315">
        <f>VLOOKUP(CL22,'PRODUCT_COGS&amp;PRICE'!A:E,5,false)</f>
        <v>33</v>
      </c>
      <c r="CI22" s="306">
        <f t="shared" si="7"/>
        <v>-3.1</v>
      </c>
      <c r="CJ22" s="316">
        <f t="shared" si="8"/>
        <v>0</v>
      </c>
      <c r="CK22" s="316">
        <f t="shared" si="9"/>
        <v>0</v>
      </c>
      <c r="CL22" s="314" t="str">
        <f>VLOOKUP(R22,PRODUCT_MAP!A:B,2,FALSE)</f>
        <v>Lea_Bag_ZEBRA</v>
      </c>
      <c r="CM22" s="314" t="str">
        <f>VLOOKUP(R22,PRODUCT_MAP!A:E,3,FALSE)</f>
        <v>Lea Bag</v>
      </c>
    </row>
    <row r="23" ht="22.5" customHeight="1">
      <c r="A23" s="308" t="s">
        <v>3168</v>
      </c>
      <c r="B23" s="308" t="s">
        <v>3169</v>
      </c>
      <c r="C23" s="308" t="s">
        <v>2942</v>
      </c>
      <c r="D23" s="308" t="s">
        <v>3170</v>
      </c>
      <c r="E23" s="308" t="s">
        <v>3013</v>
      </c>
      <c r="F23" s="308"/>
      <c r="G23" s="308" t="s">
        <v>2946</v>
      </c>
      <c r="H23" s="308" t="s">
        <v>2947</v>
      </c>
      <c r="I23" s="308">
        <v>135.0</v>
      </c>
      <c r="J23" s="308">
        <v>0.0</v>
      </c>
      <c r="K23" s="308">
        <v>24.34</v>
      </c>
      <c r="L23" s="308">
        <v>135.0</v>
      </c>
      <c r="M23" s="308" t="s">
        <v>3094</v>
      </c>
      <c r="N23" s="308">
        <v>15.0</v>
      </c>
      <c r="O23" s="308" t="s">
        <v>2948</v>
      </c>
      <c r="P23" s="308" t="s">
        <v>3171</v>
      </c>
      <c r="Q23" s="310">
        <v>1.0</v>
      </c>
      <c r="R23" s="308" t="s">
        <v>3106</v>
      </c>
      <c r="S23" s="308">
        <v>150.0</v>
      </c>
      <c r="T23" s="311"/>
      <c r="U23" s="308" t="s">
        <v>2968</v>
      </c>
      <c r="V23" s="308" t="b">
        <v>1</v>
      </c>
      <c r="W23" s="308" t="b">
        <v>1</v>
      </c>
      <c r="X23" s="308" t="s">
        <v>2944</v>
      </c>
      <c r="Y23" s="308" t="s">
        <v>3172</v>
      </c>
      <c r="Z23" s="308" t="s">
        <v>3173</v>
      </c>
      <c r="AA23" s="308" t="s">
        <v>3174</v>
      </c>
      <c r="AB23" s="308" t="s">
        <v>3175</v>
      </c>
      <c r="AC23" s="308" t="s">
        <v>3176</v>
      </c>
      <c r="AD23" s="308" t="s">
        <v>23</v>
      </c>
      <c r="AE23" s="308">
        <v>20121.0</v>
      </c>
      <c r="AF23" s="308" t="s">
        <v>2954</v>
      </c>
      <c r="AG23" s="308" t="s">
        <v>2955</v>
      </c>
      <c r="AH23" s="308">
        <v>3.339594552E9</v>
      </c>
      <c r="AI23" s="308" t="s">
        <v>3172</v>
      </c>
      <c r="AJ23" s="308" t="s">
        <v>3173</v>
      </c>
      <c r="AK23" s="308" t="s">
        <v>3174</v>
      </c>
      <c r="AL23" s="308" t="s">
        <v>3175</v>
      </c>
      <c r="AM23" s="308" t="s">
        <v>3176</v>
      </c>
      <c r="AN23" s="308" t="s">
        <v>23</v>
      </c>
      <c r="AO23" s="308">
        <v>20121.0</v>
      </c>
      <c r="AP23" s="308" t="s">
        <v>2954</v>
      </c>
      <c r="AQ23" s="308" t="s">
        <v>2955</v>
      </c>
      <c r="AR23" s="308">
        <v>3.339594552E9</v>
      </c>
      <c r="AS23" s="311"/>
      <c r="AT23" s="311"/>
      <c r="AU23" s="311"/>
      <c r="AV23" s="308" t="s">
        <v>2956</v>
      </c>
      <c r="AW23" s="308">
        <v>4.6743312859463E13</v>
      </c>
      <c r="AX23" s="310">
        <v>0.0</v>
      </c>
      <c r="AY23" s="308" t="s">
        <v>2974</v>
      </c>
      <c r="AZ23" s="308">
        <v>0.0</v>
      </c>
      <c r="BA23" s="311"/>
      <c r="BB23" s="311"/>
      <c r="BC23" s="311"/>
      <c r="BD23" s="308">
        <v>7.416571429191E12</v>
      </c>
      <c r="BE23" s="311"/>
      <c r="BF23" s="311"/>
      <c r="BG23" s="308" t="s">
        <v>2958</v>
      </c>
      <c r="BH23" s="308">
        <v>0.0</v>
      </c>
      <c r="BI23" s="308" t="s">
        <v>2959</v>
      </c>
      <c r="BJ23" s="308">
        <v>24.34</v>
      </c>
      <c r="BK23" s="311"/>
      <c r="BL23" s="311"/>
      <c r="BM23" s="311"/>
      <c r="BN23" s="311"/>
      <c r="BO23" s="311"/>
      <c r="BP23" s="311"/>
      <c r="BQ23" s="311"/>
      <c r="BR23" s="311"/>
      <c r="BS23" s="311"/>
      <c r="BT23" s="311"/>
      <c r="BU23" s="311"/>
      <c r="BV23" s="308" t="s">
        <v>23</v>
      </c>
      <c r="BW23" s="308" t="s">
        <v>23</v>
      </c>
      <c r="BX23" s="308" t="s">
        <v>2956</v>
      </c>
      <c r="BY23" s="311"/>
      <c r="BZ23" s="311"/>
      <c r="CA23" s="308" t="s">
        <v>2956</v>
      </c>
      <c r="CB23" s="312" t="str">
        <f t="shared" si="1"/>
        <v>02/03/2026</v>
      </c>
      <c r="CC23" s="313">
        <f t="shared" si="2"/>
        <v>2026</v>
      </c>
      <c r="CD23" s="314">
        <f t="shared" si="3"/>
        <v>3</v>
      </c>
      <c r="CE23" s="314">
        <f t="shared" si="4"/>
        <v>1</v>
      </c>
      <c r="CF23" s="314">
        <f t="shared" si="5"/>
        <v>1</v>
      </c>
      <c r="CG23" s="314">
        <f t="shared" si="6"/>
        <v>-5</v>
      </c>
      <c r="CH23" s="315">
        <f>VLOOKUP(CL23,'PRODUCT_COGS&amp;PRICE'!A:E,5,false)</f>
        <v>30.33</v>
      </c>
      <c r="CI23" s="306">
        <f t="shared" si="7"/>
        <v>-2.815</v>
      </c>
      <c r="CJ23" s="316">
        <f t="shared" si="8"/>
        <v>0</v>
      </c>
      <c r="CK23" s="316">
        <f t="shared" si="9"/>
        <v>15</v>
      </c>
      <c r="CL23" s="314" t="str">
        <f>VLOOKUP(R23,PRODUCT_MAP!A:B,2,FALSE)</f>
        <v>Lea_Bag_LEOPARDO_SAVANA</v>
      </c>
      <c r="CM23" s="314" t="str">
        <f>VLOOKUP(R23,PRODUCT_MAP!A:E,3,FALSE)</f>
        <v>Lea Bag</v>
      </c>
    </row>
    <row r="24" ht="22.5" customHeight="1">
      <c r="A24" s="308" t="s">
        <v>3177</v>
      </c>
      <c r="B24" s="308" t="s">
        <v>3178</v>
      </c>
      <c r="C24" s="308" t="s">
        <v>2942</v>
      </c>
      <c r="D24" s="308" t="s">
        <v>3179</v>
      </c>
      <c r="E24" s="308" t="s">
        <v>3013</v>
      </c>
      <c r="F24" s="308"/>
      <c r="G24" s="308" t="s">
        <v>2965</v>
      </c>
      <c r="H24" s="308" t="s">
        <v>2947</v>
      </c>
      <c r="I24" s="308">
        <v>120.0</v>
      </c>
      <c r="J24" s="308">
        <v>0.0</v>
      </c>
      <c r="K24" s="308">
        <v>21.64</v>
      </c>
      <c r="L24" s="308">
        <v>120.0</v>
      </c>
      <c r="M24" s="308"/>
      <c r="N24" s="308">
        <v>0.0</v>
      </c>
      <c r="O24" s="308" t="s">
        <v>2948</v>
      </c>
      <c r="P24" s="308" t="s">
        <v>3180</v>
      </c>
      <c r="Q24" s="310">
        <v>1.0</v>
      </c>
      <c r="R24" s="308" t="s">
        <v>569</v>
      </c>
      <c r="S24" s="308">
        <v>120.0</v>
      </c>
      <c r="T24" s="311"/>
      <c r="U24" s="308" t="s">
        <v>2991</v>
      </c>
      <c r="V24" s="308" t="b">
        <v>1</v>
      </c>
      <c r="W24" s="308" t="b">
        <v>1</v>
      </c>
      <c r="X24" s="308" t="s">
        <v>2944</v>
      </c>
      <c r="Y24" s="308" t="s">
        <v>3181</v>
      </c>
      <c r="Z24" s="308" t="s">
        <v>3182</v>
      </c>
      <c r="AA24" s="308" t="s">
        <v>3183</v>
      </c>
      <c r="AB24" s="308" t="s">
        <v>3184</v>
      </c>
      <c r="AC24" s="311"/>
      <c r="AD24" s="308" t="s">
        <v>23</v>
      </c>
      <c r="AE24" s="308">
        <v>20141.0</v>
      </c>
      <c r="AF24" s="308" t="s">
        <v>2954</v>
      </c>
      <c r="AG24" s="308" t="s">
        <v>2955</v>
      </c>
      <c r="AH24" s="308">
        <v>3.496177606E9</v>
      </c>
      <c r="AI24" s="308" t="s">
        <v>3181</v>
      </c>
      <c r="AJ24" s="308" t="s">
        <v>3182</v>
      </c>
      <c r="AK24" s="308" t="s">
        <v>3183</v>
      </c>
      <c r="AL24" s="308" t="s">
        <v>3184</v>
      </c>
      <c r="AM24" s="311"/>
      <c r="AN24" s="308" t="s">
        <v>23</v>
      </c>
      <c r="AO24" s="308">
        <v>20141.0</v>
      </c>
      <c r="AP24" s="308" t="s">
        <v>2954</v>
      </c>
      <c r="AQ24" s="308" t="s">
        <v>2955</v>
      </c>
      <c r="AR24" s="308">
        <v>3.496177606E9</v>
      </c>
      <c r="AS24" s="311"/>
      <c r="AT24" s="311"/>
      <c r="AU24" s="311"/>
      <c r="AV24" s="308" t="s">
        <v>3009</v>
      </c>
      <c r="AW24" s="308">
        <v>4.6746024575303E13</v>
      </c>
      <c r="AX24" s="310">
        <v>0.0</v>
      </c>
      <c r="AY24" s="308" t="s">
        <v>2974</v>
      </c>
      <c r="AZ24" s="308">
        <v>0.0</v>
      </c>
      <c r="BA24" s="311"/>
      <c r="BB24" s="311"/>
      <c r="BC24" s="311"/>
      <c r="BD24" s="308">
        <v>7.416847827271E12</v>
      </c>
      <c r="BE24" s="311"/>
      <c r="BF24" s="311"/>
      <c r="BG24" s="308" t="s">
        <v>2958</v>
      </c>
      <c r="BH24" s="308">
        <v>0.0</v>
      </c>
      <c r="BI24" s="308" t="s">
        <v>2959</v>
      </c>
      <c r="BJ24" s="308">
        <v>21.64</v>
      </c>
      <c r="BK24" s="311"/>
      <c r="BL24" s="311"/>
      <c r="BM24" s="311"/>
      <c r="BN24" s="311"/>
      <c r="BO24" s="311"/>
      <c r="BP24" s="311"/>
      <c r="BQ24" s="311"/>
      <c r="BR24" s="311"/>
      <c r="BS24" s="311"/>
      <c r="BT24" s="311"/>
      <c r="BU24" s="311"/>
      <c r="BV24" s="308" t="s">
        <v>23</v>
      </c>
      <c r="BW24" s="308" t="s">
        <v>23</v>
      </c>
      <c r="BX24" s="308" t="s">
        <v>3009</v>
      </c>
      <c r="BY24" s="311"/>
      <c r="BZ24" s="311"/>
      <c r="CA24" s="308" t="s">
        <v>3009</v>
      </c>
      <c r="CB24" s="312" t="str">
        <f t="shared" si="1"/>
        <v>02/03/2026</v>
      </c>
      <c r="CC24" s="313">
        <f t="shared" si="2"/>
        <v>2026</v>
      </c>
      <c r="CD24" s="314">
        <f t="shared" si="3"/>
        <v>3</v>
      </c>
      <c r="CE24" s="314">
        <f t="shared" si="4"/>
        <v>1</v>
      </c>
      <c r="CF24" s="314">
        <f t="shared" si="5"/>
        <v>1</v>
      </c>
      <c r="CG24" s="314">
        <f t="shared" si="6"/>
        <v>-5</v>
      </c>
      <c r="CH24" s="315">
        <f>VLOOKUP(CL24,'PRODUCT_COGS&amp;PRICE'!A:E,5,false)</f>
        <v>20</v>
      </c>
      <c r="CI24" s="306">
        <f t="shared" si="7"/>
        <v>-4.538</v>
      </c>
      <c r="CJ24" s="316">
        <f t="shared" si="8"/>
        <v>0</v>
      </c>
      <c r="CK24" s="316">
        <f t="shared" si="9"/>
        <v>0</v>
      </c>
      <c r="CL24" s="314" t="str">
        <f>VLOOKUP(R24,PRODUCT_MAP!A:B,2,FALSE)</f>
        <v>Lea_Bag_RED_PATENT</v>
      </c>
      <c r="CM24" s="314" t="str">
        <f>VLOOKUP(R24,PRODUCT_MAP!A:E,3,FALSE)</f>
        <v>Lea Bag</v>
      </c>
    </row>
    <row r="25" ht="22.5" customHeight="1">
      <c r="A25" s="308" t="s">
        <v>3185</v>
      </c>
      <c r="B25" s="308" t="s">
        <v>3186</v>
      </c>
      <c r="C25" s="308" t="s">
        <v>2942</v>
      </c>
      <c r="D25" s="308" t="s">
        <v>3187</v>
      </c>
      <c r="E25" s="308" t="s">
        <v>3013</v>
      </c>
      <c r="F25" s="308"/>
      <c r="G25" s="308" t="s">
        <v>2946</v>
      </c>
      <c r="H25" s="308" t="s">
        <v>2947</v>
      </c>
      <c r="I25" s="308">
        <v>150.0</v>
      </c>
      <c r="J25" s="308">
        <v>0.0</v>
      </c>
      <c r="K25" s="308">
        <v>27.05</v>
      </c>
      <c r="L25" s="308">
        <v>150.0</v>
      </c>
      <c r="M25" s="308"/>
      <c r="N25" s="308">
        <v>0.0</v>
      </c>
      <c r="O25" s="308" t="s">
        <v>2948</v>
      </c>
      <c r="P25" s="308" t="s">
        <v>3188</v>
      </c>
      <c r="Q25" s="310">
        <v>1.0</v>
      </c>
      <c r="R25" s="308" t="s">
        <v>3161</v>
      </c>
      <c r="S25" s="308">
        <v>150.0</v>
      </c>
      <c r="T25" s="311"/>
      <c r="U25" s="308" t="s">
        <v>2968</v>
      </c>
      <c r="V25" s="308" t="b">
        <v>1</v>
      </c>
      <c r="W25" s="308" t="b">
        <v>1</v>
      </c>
      <c r="X25" s="308" t="s">
        <v>2944</v>
      </c>
      <c r="Y25" s="308" t="s">
        <v>3189</v>
      </c>
      <c r="Z25" s="308" t="s">
        <v>3190</v>
      </c>
      <c r="AA25" s="308" t="s">
        <v>3190</v>
      </c>
      <c r="AB25" s="311"/>
      <c r="AC25" s="311"/>
      <c r="AD25" s="308" t="s">
        <v>3191</v>
      </c>
      <c r="AE25" s="308">
        <v>20088.0</v>
      </c>
      <c r="AF25" s="308" t="s">
        <v>2954</v>
      </c>
      <c r="AG25" s="308" t="s">
        <v>2955</v>
      </c>
      <c r="AH25" s="308">
        <v>3.342446505E9</v>
      </c>
      <c r="AI25" s="308" t="s">
        <v>3192</v>
      </c>
      <c r="AJ25" s="308" t="s">
        <v>3193</v>
      </c>
      <c r="AK25" s="308" t="s">
        <v>3194</v>
      </c>
      <c r="AL25" s="308" t="s">
        <v>3195</v>
      </c>
      <c r="AM25" s="308" t="s">
        <v>3196</v>
      </c>
      <c r="AN25" s="308" t="s">
        <v>3197</v>
      </c>
      <c r="AO25" s="308">
        <v>20057.0</v>
      </c>
      <c r="AP25" s="308" t="s">
        <v>2954</v>
      </c>
      <c r="AQ25" s="308" t="s">
        <v>2955</v>
      </c>
      <c r="AR25" s="308">
        <v>3.342446505E9</v>
      </c>
      <c r="AS25" s="311"/>
      <c r="AT25" s="311"/>
      <c r="AU25" s="311"/>
      <c r="AV25" s="308" t="s">
        <v>3009</v>
      </c>
      <c r="AW25" s="308">
        <v>4.6748313649479E13</v>
      </c>
      <c r="AX25" s="310">
        <v>0.0</v>
      </c>
      <c r="AY25" s="308" t="s">
        <v>2974</v>
      </c>
      <c r="AZ25" s="308">
        <v>0.0</v>
      </c>
      <c r="BA25" s="311"/>
      <c r="BB25" s="311"/>
      <c r="BC25" s="311"/>
      <c r="BD25" s="308">
        <v>7.416904188231E12</v>
      </c>
      <c r="BE25" s="311"/>
      <c r="BF25" s="311"/>
      <c r="BG25" s="308" t="s">
        <v>2958</v>
      </c>
      <c r="BH25" s="308">
        <v>0.0</v>
      </c>
      <c r="BI25" s="308" t="s">
        <v>2959</v>
      </c>
      <c r="BJ25" s="308">
        <v>27.05</v>
      </c>
      <c r="BK25" s="311"/>
      <c r="BL25" s="311"/>
      <c r="BM25" s="311"/>
      <c r="BN25" s="311"/>
      <c r="BO25" s="311"/>
      <c r="BP25" s="311"/>
      <c r="BQ25" s="311"/>
      <c r="BR25" s="311"/>
      <c r="BS25" s="311"/>
      <c r="BT25" s="311"/>
      <c r="BU25" s="311"/>
      <c r="BV25" s="308" t="s">
        <v>23</v>
      </c>
      <c r="BW25" s="308" t="s">
        <v>23</v>
      </c>
      <c r="BX25" s="308" t="s">
        <v>3009</v>
      </c>
      <c r="BY25" s="311"/>
      <c r="BZ25" s="311"/>
      <c r="CA25" s="308" t="s">
        <v>3009</v>
      </c>
      <c r="CB25" s="312" t="str">
        <f t="shared" si="1"/>
        <v>02/03/2026</v>
      </c>
      <c r="CC25" s="313">
        <f t="shared" si="2"/>
        <v>2026</v>
      </c>
      <c r="CD25" s="314">
        <f t="shared" si="3"/>
        <v>3</v>
      </c>
      <c r="CE25" s="314">
        <f t="shared" si="4"/>
        <v>1</v>
      </c>
      <c r="CF25" s="314">
        <f t="shared" si="5"/>
        <v>1</v>
      </c>
      <c r="CG25" s="314">
        <f t="shared" si="6"/>
        <v>-5</v>
      </c>
      <c r="CH25" s="315">
        <f>VLOOKUP(CL25,'PRODUCT_COGS&amp;PRICE'!A:E,5,false)</f>
        <v>33</v>
      </c>
      <c r="CI25" s="306">
        <f t="shared" si="7"/>
        <v>-5.585</v>
      </c>
      <c r="CJ25" s="316">
        <f t="shared" si="8"/>
        <v>0</v>
      </c>
      <c r="CK25" s="316">
        <f t="shared" si="9"/>
        <v>0</v>
      </c>
      <c r="CL25" s="314" t="str">
        <f>VLOOKUP(R25,PRODUCT_MAP!A:B,2,FALSE)</f>
        <v>Lea_Bag_ZEBRA</v>
      </c>
      <c r="CM25" s="314" t="str">
        <f>VLOOKUP(R25,PRODUCT_MAP!A:E,3,FALSE)</f>
        <v>Lea Bag</v>
      </c>
    </row>
    <row r="26" ht="22.5" customHeight="1">
      <c r="A26" s="308" t="s">
        <v>3198</v>
      </c>
      <c r="B26" s="308" t="s">
        <v>3199</v>
      </c>
      <c r="C26" s="308" t="s">
        <v>2942</v>
      </c>
      <c r="D26" s="308" t="s">
        <v>3200</v>
      </c>
      <c r="E26" s="308" t="s">
        <v>3013</v>
      </c>
      <c r="F26" s="308"/>
      <c r="G26" s="308" t="s">
        <v>2946</v>
      </c>
      <c r="H26" s="308" t="s">
        <v>2947</v>
      </c>
      <c r="I26" s="308">
        <v>175.0</v>
      </c>
      <c r="J26" s="308">
        <v>0.0</v>
      </c>
      <c r="K26" s="308">
        <v>31.56</v>
      </c>
      <c r="L26" s="308">
        <v>175.0</v>
      </c>
      <c r="M26" s="308"/>
      <c r="N26" s="308">
        <v>0.0</v>
      </c>
      <c r="O26" s="308" t="s">
        <v>2948</v>
      </c>
      <c r="P26" s="308" t="s">
        <v>3201</v>
      </c>
      <c r="Q26" s="310">
        <v>1.0</v>
      </c>
      <c r="R26" s="308" t="s">
        <v>783</v>
      </c>
      <c r="S26" s="308">
        <v>175.0</v>
      </c>
      <c r="T26" s="311"/>
      <c r="U26" s="308" t="s">
        <v>249</v>
      </c>
      <c r="V26" s="308" t="b">
        <v>1</v>
      </c>
      <c r="W26" s="308" t="b">
        <v>1</v>
      </c>
      <c r="X26" s="308" t="s">
        <v>2944</v>
      </c>
      <c r="Y26" s="308" t="s">
        <v>3202</v>
      </c>
      <c r="Z26" s="308" t="s">
        <v>3203</v>
      </c>
      <c r="AA26" s="308" t="s">
        <v>3204</v>
      </c>
      <c r="AB26" s="308">
        <v>6.0</v>
      </c>
      <c r="AC26" s="311"/>
      <c r="AD26" s="308" t="s">
        <v>3205</v>
      </c>
      <c r="AE26" s="308">
        <v>21040.0</v>
      </c>
      <c r="AF26" s="308" t="s">
        <v>3206</v>
      </c>
      <c r="AG26" s="308" t="s">
        <v>2955</v>
      </c>
      <c r="AH26" s="311"/>
      <c r="AI26" s="308" t="s">
        <v>3202</v>
      </c>
      <c r="AJ26" s="308" t="s">
        <v>3203</v>
      </c>
      <c r="AK26" s="308" t="s">
        <v>3204</v>
      </c>
      <c r="AL26" s="308">
        <v>6.0</v>
      </c>
      <c r="AM26" s="311"/>
      <c r="AN26" s="308" t="s">
        <v>3205</v>
      </c>
      <c r="AO26" s="308">
        <v>21040.0</v>
      </c>
      <c r="AP26" s="308" t="s">
        <v>3206</v>
      </c>
      <c r="AQ26" s="308" t="s">
        <v>2955</v>
      </c>
      <c r="AR26" s="318" t="s">
        <v>3207</v>
      </c>
      <c r="AS26" s="311"/>
      <c r="AT26" s="311"/>
      <c r="AU26" s="311"/>
      <c r="AV26" s="308" t="s">
        <v>2956</v>
      </c>
      <c r="AW26" s="308">
        <v>4.6788528472391E13</v>
      </c>
      <c r="AX26" s="310">
        <v>0.0</v>
      </c>
      <c r="AY26" s="308" t="s">
        <v>2974</v>
      </c>
      <c r="AZ26" s="308">
        <v>0.0</v>
      </c>
      <c r="BA26" s="311"/>
      <c r="BB26" s="311"/>
      <c r="BC26" s="311"/>
      <c r="BD26" s="308">
        <v>7.418641121607E12</v>
      </c>
      <c r="BE26" s="311"/>
      <c r="BF26" s="311"/>
      <c r="BG26" s="308" t="s">
        <v>2958</v>
      </c>
      <c r="BH26" s="308">
        <v>0.0</v>
      </c>
      <c r="BI26" s="308" t="s">
        <v>2959</v>
      </c>
      <c r="BJ26" s="308">
        <v>31.56</v>
      </c>
      <c r="BK26" s="311"/>
      <c r="BL26" s="311"/>
      <c r="BM26" s="311"/>
      <c r="BN26" s="311"/>
      <c r="BO26" s="311"/>
      <c r="BP26" s="311"/>
      <c r="BQ26" s="311"/>
      <c r="BR26" s="311"/>
      <c r="BS26" s="311"/>
      <c r="BT26" s="311"/>
      <c r="BU26" s="311"/>
      <c r="BV26" s="308" t="s">
        <v>3208</v>
      </c>
      <c r="BW26" s="308" t="s">
        <v>3208</v>
      </c>
      <c r="BX26" s="308" t="s">
        <v>2956</v>
      </c>
      <c r="BY26" s="311"/>
      <c r="BZ26" s="311"/>
      <c r="CA26" s="308" t="s">
        <v>2956</v>
      </c>
      <c r="CB26" s="312" t="str">
        <f t="shared" si="1"/>
        <v>03/03/2026</v>
      </c>
      <c r="CC26" s="313">
        <f t="shared" si="2"/>
        <v>2026</v>
      </c>
      <c r="CD26" s="314">
        <f t="shared" si="3"/>
        <v>3</v>
      </c>
      <c r="CE26" s="314">
        <f t="shared" si="4"/>
        <v>1</v>
      </c>
      <c r="CF26" s="314">
        <f t="shared" si="5"/>
        <v>1</v>
      </c>
      <c r="CG26" s="314">
        <f t="shared" si="6"/>
        <v>-5</v>
      </c>
      <c r="CH26" s="315">
        <f>VLOOKUP(CL26,'PRODUCT_COGS&amp;PRICE'!A:E,5,false)</f>
        <v>52.5</v>
      </c>
      <c r="CI26" s="306">
        <f t="shared" si="7"/>
        <v>-3.575</v>
      </c>
      <c r="CJ26" s="316">
        <f t="shared" si="8"/>
        <v>0</v>
      </c>
      <c r="CK26" s="316">
        <f t="shared" si="9"/>
        <v>0</v>
      </c>
      <c r="CL26" s="314" t="str">
        <f>VLOOKUP(R26,PRODUCT_MAP!A:B,2,FALSE)</f>
        <v>Valentina_Bag_RED</v>
      </c>
      <c r="CM26" s="314" t="str">
        <f>VLOOKUP(R26,PRODUCT_MAP!A:E,3,FALSE)</f>
        <v>Valentina Bag</v>
      </c>
    </row>
    <row r="27" ht="22.5" customHeight="1">
      <c r="A27" s="308" t="s">
        <v>3209</v>
      </c>
      <c r="B27" s="308" t="s">
        <v>3210</v>
      </c>
      <c r="C27" s="308" t="s">
        <v>2942</v>
      </c>
      <c r="D27" s="308" t="s">
        <v>3211</v>
      </c>
      <c r="E27" s="308" t="s">
        <v>2944</v>
      </c>
      <c r="F27" s="308" t="s">
        <v>3212</v>
      </c>
      <c r="G27" s="308" t="s">
        <v>2946</v>
      </c>
      <c r="H27" s="308" t="s">
        <v>2947</v>
      </c>
      <c r="I27" s="308">
        <v>135.0</v>
      </c>
      <c r="J27" s="308">
        <v>0.0</v>
      </c>
      <c r="K27" s="308">
        <v>24.34</v>
      </c>
      <c r="L27" s="308">
        <v>135.0</v>
      </c>
      <c r="M27" s="308" t="s">
        <v>3094</v>
      </c>
      <c r="N27" s="308">
        <v>15.0</v>
      </c>
      <c r="O27" s="308" t="s">
        <v>2948</v>
      </c>
      <c r="P27" s="308" t="s">
        <v>3213</v>
      </c>
      <c r="Q27" s="310">
        <v>1.0</v>
      </c>
      <c r="R27" s="308" t="s">
        <v>3214</v>
      </c>
      <c r="S27" s="308">
        <v>150.0</v>
      </c>
      <c r="T27" s="311"/>
      <c r="U27" s="308" t="s">
        <v>229</v>
      </c>
      <c r="V27" s="308" t="b">
        <v>1</v>
      </c>
      <c r="W27" s="308" t="b">
        <v>1</v>
      </c>
      <c r="X27" s="308" t="s">
        <v>2944</v>
      </c>
      <c r="Y27" s="308" t="s">
        <v>3215</v>
      </c>
      <c r="Z27" s="308" t="s">
        <v>3216</v>
      </c>
      <c r="AA27" s="308" t="s">
        <v>3216</v>
      </c>
      <c r="AB27" s="311"/>
      <c r="AC27" s="311"/>
      <c r="AD27" s="308" t="s">
        <v>3217</v>
      </c>
      <c r="AE27" s="308">
        <v>20125.0</v>
      </c>
      <c r="AF27" s="308" t="s">
        <v>2954</v>
      </c>
      <c r="AG27" s="308" t="s">
        <v>2955</v>
      </c>
      <c r="AH27" s="308">
        <v>3.663562391E9</v>
      </c>
      <c r="AI27" s="308" t="s">
        <v>3215</v>
      </c>
      <c r="AJ27" s="308" t="s">
        <v>3216</v>
      </c>
      <c r="AK27" s="308" t="s">
        <v>3216</v>
      </c>
      <c r="AL27" s="311"/>
      <c r="AM27" s="311"/>
      <c r="AN27" s="308" t="s">
        <v>3217</v>
      </c>
      <c r="AO27" s="308">
        <v>20125.0</v>
      </c>
      <c r="AP27" s="308" t="s">
        <v>2954</v>
      </c>
      <c r="AQ27" s="308" t="s">
        <v>2955</v>
      </c>
      <c r="AR27" s="308">
        <v>3.663562391E9</v>
      </c>
      <c r="AS27" s="311"/>
      <c r="AT27" s="311"/>
      <c r="AU27" s="311"/>
      <c r="AV27" s="308" t="s">
        <v>3009</v>
      </c>
      <c r="AW27" s="308">
        <v>4.6775708483911E13</v>
      </c>
      <c r="AX27" s="310">
        <v>0.0</v>
      </c>
      <c r="AY27" s="308" t="s">
        <v>2974</v>
      </c>
      <c r="AZ27" s="308">
        <v>0.0</v>
      </c>
      <c r="BA27" s="311"/>
      <c r="BB27" s="311"/>
      <c r="BC27" s="311"/>
      <c r="BD27" s="308">
        <v>7.422633967943E12</v>
      </c>
      <c r="BE27" s="311"/>
      <c r="BF27" s="311"/>
      <c r="BG27" s="308" t="s">
        <v>2958</v>
      </c>
      <c r="BH27" s="308">
        <v>0.0</v>
      </c>
      <c r="BI27" s="308" t="s">
        <v>2959</v>
      </c>
      <c r="BJ27" s="308">
        <v>24.34</v>
      </c>
      <c r="BK27" s="311"/>
      <c r="BL27" s="311"/>
      <c r="BM27" s="311"/>
      <c r="BN27" s="311"/>
      <c r="BO27" s="311"/>
      <c r="BP27" s="311"/>
      <c r="BQ27" s="311"/>
      <c r="BR27" s="311"/>
      <c r="BS27" s="311"/>
      <c r="BT27" s="311"/>
      <c r="BU27" s="311"/>
      <c r="BV27" s="308" t="s">
        <v>23</v>
      </c>
      <c r="BW27" s="308" t="s">
        <v>23</v>
      </c>
      <c r="BX27" s="308" t="s">
        <v>3009</v>
      </c>
      <c r="BY27" s="311"/>
      <c r="BZ27" s="311"/>
      <c r="CA27" s="308" t="s">
        <v>3009</v>
      </c>
      <c r="CB27" s="312" t="str">
        <f t="shared" si="1"/>
        <v>05/03/2026</v>
      </c>
      <c r="CC27" s="313">
        <f t="shared" si="2"/>
        <v>2026</v>
      </c>
      <c r="CD27" s="314">
        <f t="shared" si="3"/>
        <v>3</v>
      </c>
      <c r="CE27" s="314">
        <f t="shared" si="4"/>
        <v>1</v>
      </c>
      <c r="CF27" s="314">
        <f t="shared" si="5"/>
        <v>1</v>
      </c>
      <c r="CG27" s="314">
        <f t="shared" si="6"/>
        <v>-5</v>
      </c>
      <c r="CH27" s="315">
        <f>VLOOKUP(CL27,'PRODUCT_COGS&amp;PRICE'!A:E,5,false)</f>
        <v>33</v>
      </c>
      <c r="CI27" s="306">
        <f t="shared" si="7"/>
        <v>-5.0615</v>
      </c>
      <c r="CJ27" s="316">
        <f t="shared" si="8"/>
        <v>0</v>
      </c>
      <c r="CK27" s="316">
        <f t="shared" si="9"/>
        <v>15</v>
      </c>
      <c r="CL27" s="314" t="str">
        <f>VLOOKUP(R27,PRODUCT_MAP!A:B,2,FALSE)</f>
        <v>Lea_Bag_ZEBRA</v>
      </c>
      <c r="CM27" s="314" t="str">
        <f>VLOOKUP(R27,PRODUCT_MAP!A:E,3,FALSE)</f>
        <v>Lea Bag</v>
      </c>
    </row>
    <row r="28" ht="22.5" customHeight="1">
      <c r="A28" s="308" t="s">
        <v>3218</v>
      </c>
      <c r="B28" s="308" t="s">
        <v>3219</v>
      </c>
      <c r="C28" s="308" t="s">
        <v>2942</v>
      </c>
      <c r="D28" s="308" t="s">
        <v>3220</v>
      </c>
      <c r="E28" s="308" t="s">
        <v>3013</v>
      </c>
      <c r="F28" s="308"/>
      <c r="G28" s="308" t="s">
        <v>2946</v>
      </c>
      <c r="H28" s="308" t="s">
        <v>2947</v>
      </c>
      <c r="I28" s="308">
        <v>135.0</v>
      </c>
      <c r="J28" s="308">
        <v>0.0</v>
      </c>
      <c r="K28" s="308">
        <v>24.34</v>
      </c>
      <c r="L28" s="308">
        <v>135.0</v>
      </c>
      <c r="M28" s="308" t="s">
        <v>3221</v>
      </c>
      <c r="N28" s="308">
        <v>15.0</v>
      </c>
      <c r="O28" s="308" t="s">
        <v>2948</v>
      </c>
      <c r="P28" s="308" t="s">
        <v>3222</v>
      </c>
      <c r="Q28" s="310">
        <v>1.0</v>
      </c>
      <c r="R28" s="308" t="s">
        <v>539</v>
      </c>
      <c r="S28" s="308">
        <v>150.0</v>
      </c>
      <c r="T28" s="311"/>
      <c r="U28" s="308" t="s">
        <v>3223</v>
      </c>
      <c r="V28" s="308" t="b">
        <v>1</v>
      </c>
      <c r="W28" s="308" t="b">
        <v>1</v>
      </c>
      <c r="X28" s="308" t="s">
        <v>2944</v>
      </c>
      <c r="Y28" s="308" t="s">
        <v>3224</v>
      </c>
      <c r="Z28" s="308" t="s">
        <v>3225</v>
      </c>
      <c r="AA28" s="308" t="s">
        <v>3225</v>
      </c>
      <c r="AB28" s="311"/>
      <c r="AC28" s="311"/>
      <c r="AD28" s="308" t="s">
        <v>3226</v>
      </c>
      <c r="AE28" s="308">
        <v>90040.0</v>
      </c>
      <c r="AF28" s="308" t="s">
        <v>3227</v>
      </c>
      <c r="AG28" s="308" t="s">
        <v>2955</v>
      </c>
      <c r="AH28" s="308">
        <v>3.209351375E9</v>
      </c>
      <c r="AI28" s="308" t="s">
        <v>3224</v>
      </c>
      <c r="AJ28" s="308" t="s">
        <v>3225</v>
      </c>
      <c r="AK28" s="308" t="s">
        <v>3225</v>
      </c>
      <c r="AL28" s="311"/>
      <c r="AM28" s="311"/>
      <c r="AN28" s="308" t="s">
        <v>3226</v>
      </c>
      <c r="AO28" s="308">
        <v>90040.0</v>
      </c>
      <c r="AP28" s="308" t="s">
        <v>3227</v>
      </c>
      <c r="AQ28" s="308" t="s">
        <v>2955</v>
      </c>
      <c r="AR28" s="308">
        <v>3.209351375E9</v>
      </c>
      <c r="AS28" s="311"/>
      <c r="AT28" s="311"/>
      <c r="AU28" s="311"/>
      <c r="AV28" s="308" t="s">
        <v>2956</v>
      </c>
      <c r="AW28" s="308">
        <v>4.6888581366087E13</v>
      </c>
      <c r="AX28" s="310">
        <v>0.0</v>
      </c>
      <c r="AY28" s="308" t="s">
        <v>2974</v>
      </c>
      <c r="AZ28" s="308">
        <v>0.0</v>
      </c>
      <c r="BA28" s="311"/>
      <c r="BB28" s="311"/>
      <c r="BC28" s="311"/>
      <c r="BD28" s="308">
        <v>7.423551209799E12</v>
      </c>
      <c r="BE28" s="311"/>
      <c r="BF28" s="311"/>
      <c r="BG28" s="308" t="s">
        <v>2958</v>
      </c>
      <c r="BH28" s="308">
        <v>0.0</v>
      </c>
      <c r="BI28" s="308" t="s">
        <v>2959</v>
      </c>
      <c r="BJ28" s="308">
        <v>24.34</v>
      </c>
      <c r="BK28" s="311"/>
      <c r="BL28" s="311"/>
      <c r="BM28" s="311"/>
      <c r="BN28" s="311"/>
      <c r="BO28" s="311"/>
      <c r="BP28" s="311"/>
      <c r="BQ28" s="311"/>
      <c r="BR28" s="311"/>
      <c r="BS28" s="311"/>
      <c r="BT28" s="311"/>
      <c r="BU28" s="311"/>
      <c r="BV28" s="308" t="s">
        <v>3228</v>
      </c>
      <c r="BW28" s="308" t="s">
        <v>3228</v>
      </c>
      <c r="BX28" s="308" t="s">
        <v>2956</v>
      </c>
      <c r="BY28" s="311"/>
      <c r="BZ28" s="311"/>
      <c r="CA28" s="308" t="s">
        <v>2956</v>
      </c>
      <c r="CB28" s="312" t="str">
        <f t="shared" si="1"/>
        <v>05/03/2026</v>
      </c>
      <c r="CC28" s="313">
        <f t="shared" si="2"/>
        <v>2026</v>
      </c>
      <c r="CD28" s="314">
        <f t="shared" si="3"/>
        <v>3</v>
      </c>
      <c r="CE28" s="314">
        <f t="shared" si="4"/>
        <v>1</v>
      </c>
      <c r="CF28" s="314">
        <f t="shared" si="5"/>
        <v>1</v>
      </c>
      <c r="CG28" s="314">
        <f t="shared" si="6"/>
        <v>-5</v>
      </c>
      <c r="CH28" s="315">
        <f>VLOOKUP(CL28,'PRODUCT_COGS&amp;PRICE'!A:E,5,false)</f>
        <v>33</v>
      </c>
      <c r="CI28" s="306">
        <f t="shared" si="7"/>
        <v>-2.815</v>
      </c>
      <c r="CJ28" s="316">
        <f t="shared" si="8"/>
        <v>0</v>
      </c>
      <c r="CK28" s="316">
        <f t="shared" si="9"/>
        <v>15</v>
      </c>
      <c r="CL28" s="314" t="str">
        <f>VLOOKUP(R28,PRODUCT_MAP!A:B,2,FALSE)</f>
        <v>Lea_Bag_Zebra_Dark</v>
      </c>
      <c r="CM28" s="314" t="str">
        <f>VLOOKUP(R28,PRODUCT_MAP!A:E,3,FALSE)</f>
        <v>Lea Bag</v>
      </c>
    </row>
    <row r="29" ht="22.5" customHeight="1">
      <c r="A29" s="308" t="s">
        <v>3229</v>
      </c>
      <c r="B29" s="308" t="s">
        <v>3230</v>
      </c>
      <c r="C29" s="308" t="s">
        <v>2942</v>
      </c>
      <c r="D29" s="308" t="s">
        <v>3231</v>
      </c>
      <c r="E29" s="308" t="s">
        <v>3013</v>
      </c>
      <c r="F29" s="308"/>
      <c r="G29" s="308" t="s">
        <v>2946</v>
      </c>
      <c r="H29" s="308" t="s">
        <v>2947</v>
      </c>
      <c r="I29" s="308">
        <v>108.0</v>
      </c>
      <c r="J29" s="308">
        <v>0.0</v>
      </c>
      <c r="K29" s="308">
        <v>19.48</v>
      </c>
      <c r="L29" s="308">
        <v>108.0</v>
      </c>
      <c r="M29" s="308" t="s">
        <v>3094</v>
      </c>
      <c r="N29" s="308">
        <v>12.0</v>
      </c>
      <c r="O29" s="308" t="s">
        <v>2979</v>
      </c>
      <c r="P29" s="308" t="s">
        <v>3232</v>
      </c>
      <c r="Q29" s="310">
        <v>1.0</v>
      </c>
      <c r="R29" s="308" t="s">
        <v>3233</v>
      </c>
      <c r="S29" s="308">
        <v>120.0</v>
      </c>
      <c r="T29" s="311"/>
      <c r="U29" s="308" t="s">
        <v>3234</v>
      </c>
      <c r="V29" s="308" t="b">
        <v>1</v>
      </c>
      <c r="W29" s="308" t="b">
        <v>1</v>
      </c>
      <c r="X29" s="308" t="s">
        <v>2944</v>
      </c>
      <c r="Y29" s="308" t="s">
        <v>3235</v>
      </c>
      <c r="Z29" s="308" t="s">
        <v>3236</v>
      </c>
      <c r="AA29" s="308" t="s">
        <v>3236</v>
      </c>
      <c r="AB29" s="311"/>
      <c r="AC29" s="311"/>
      <c r="AD29" s="308" t="s">
        <v>3237</v>
      </c>
      <c r="AE29" s="308">
        <v>16148.0</v>
      </c>
      <c r="AF29" s="308" t="s">
        <v>3238</v>
      </c>
      <c r="AG29" s="308" t="s">
        <v>2955</v>
      </c>
      <c r="AH29" s="311"/>
      <c r="AI29" s="311"/>
      <c r="AJ29" s="311"/>
      <c r="AK29" s="311"/>
      <c r="AL29" s="311"/>
      <c r="AM29" s="311"/>
      <c r="AN29" s="311"/>
      <c r="AO29" s="311"/>
      <c r="AP29" s="311"/>
      <c r="AQ29" s="311"/>
      <c r="AR29" s="311"/>
      <c r="AS29" s="311"/>
      <c r="AT29" s="311"/>
      <c r="AU29" s="311"/>
      <c r="AV29" s="308" t="s">
        <v>3009</v>
      </c>
      <c r="AW29" s="308">
        <v>4.6814915854663E13</v>
      </c>
      <c r="AX29" s="310">
        <v>0.0</v>
      </c>
      <c r="AY29" s="308" t="s">
        <v>2974</v>
      </c>
      <c r="AZ29" s="308">
        <v>0.0</v>
      </c>
      <c r="BA29" s="311"/>
      <c r="BB29" s="311"/>
      <c r="BC29" s="311"/>
      <c r="BD29" s="308">
        <v>7.425100644679E12</v>
      </c>
      <c r="BE29" s="311"/>
      <c r="BF29" s="311"/>
      <c r="BG29" s="308" t="s">
        <v>2958</v>
      </c>
      <c r="BH29" s="308">
        <v>0.0</v>
      </c>
      <c r="BI29" s="308" t="s">
        <v>2959</v>
      </c>
      <c r="BJ29" s="308">
        <v>19.48</v>
      </c>
      <c r="BK29" s="311"/>
      <c r="BL29" s="311"/>
      <c r="BM29" s="311"/>
      <c r="BN29" s="311"/>
      <c r="BO29" s="311"/>
      <c r="BP29" s="311"/>
      <c r="BQ29" s="311"/>
      <c r="BR29" s="311"/>
      <c r="BS29" s="311"/>
      <c r="BT29" s="311"/>
      <c r="BU29" s="311"/>
      <c r="BV29" s="308" t="s">
        <v>3237</v>
      </c>
      <c r="BW29" s="311"/>
      <c r="BX29" s="308" t="s">
        <v>3009</v>
      </c>
      <c r="BY29" s="311"/>
      <c r="BZ29" s="311"/>
      <c r="CA29" s="308" t="s">
        <v>3009</v>
      </c>
      <c r="CB29" s="312" t="str">
        <f t="shared" si="1"/>
        <v>06/03/2026</v>
      </c>
      <c r="CC29" s="313">
        <f t="shared" si="2"/>
        <v>2026</v>
      </c>
      <c r="CD29" s="314">
        <f t="shared" si="3"/>
        <v>3</v>
      </c>
      <c r="CE29" s="314">
        <f t="shared" si="4"/>
        <v>1</v>
      </c>
      <c r="CF29" s="314">
        <f t="shared" si="5"/>
        <v>1</v>
      </c>
      <c r="CG29" s="314">
        <f t="shared" si="6"/>
        <v>-5</v>
      </c>
      <c r="CH29" s="315">
        <f>VLOOKUP(CL29,'PRODUCT_COGS&amp;PRICE'!A:E,5,false)</f>
        <v>20</v>
      </c>
      <c r="CI29" s="306">
        <f t="shared" si="7"/>
        <v>-4.1192</v>
      </c>
      <c r="CJ29" s="316">
        <f t="shared" si="8"/>
        <v>0</v>
      </c>
      <c r="CK29" s="316">
        <f t="shared" si="9"/>
        <v>12</v>
      </c>
      <c r="CL29" s="314" t="str">
        <f>VLOOKUP(R29,PRODUCT_MAP!A:B,2,FALSE)</f>
        <v>Lea_Bag_SMOOTH_BROWN_LEATHER</v>
      </c>
      <c r="CM29" s="314" t="str">
        <f>VLOOKUP(R29,PRODUCT_MAP!A:E,3,FALSE)</f>
        <v>Lea Bag</v>
      </c>
    </row>
    <row r="30" ht="22.5" customHeight="1">
      <c r="A30" s="308" t="s">
        <v>3239</v>
      </c>
      <c r="B30" s="308" t="s">
        <v>3240</v>
      </c>
      <c r="C30" s="308" t="s">
        <v>2942</v>
      </c>
      <c r="D30" s="308" t="s">
        <v>3241</v>
      </c>
      <c r="E30" s="308" t="s">
        <v>3013</v>
      </c>
      <c r="F30" s="308"/>
      <c r="G30" s="308" t="s">
        <v>2946</v>
      </c>
      <c r="H30" s="308" t="s">
        <v>2947</v>
      </c>
      <c r="I30" s="308">
        <v>120.0</v>
      </c>
      <c r="J30" s="308">
        <v>0.0</v>
      </c>
      <c r="K30" s="308">
        <v>21.64</v>
      </c>
      <c r="L30" s="308">
        <v>120.0</v>
      </c>
      <c r="M30" s="308"/>
      <c r="N30" s="308">
        <v>0.0</v>
      </c>
      <c r="O30" s="308" t="s">
        <v>2979</v>
      </c>
      <c r="P30" s="308" t="s">
        <v>3242</v>
      </c>
      <c r="Q30" s="310">
        <v>1.0</v>
      </c>
      <c r="R30" s="308" t="s">
        <v>3126</v>
      </c>
      <c r="S30" s="308">
        <v>120.0</v>
      </c>
      <c r="T30" s="311"/>
      <c r="U30" s="308" t="s">
        <v>227</v>
      </c>
      <c r="V30" s="308" t="b">
        <v>1</v>
      </c>
      <c r="W30" s="308" t="b">
        <v>1</v>
      </c>
      <c r="X30" s="308" t="s">
        <v>2944</v>
      </c>
      <c r="Y30" s="308" t="s">
        <v>3243</v>
      </c>
      <c r="Z30" s="308" t="s">
        <v>3244</v>
      </c>
      <c r="AA30" s="308" t="s">
        <v>3244</v>
      </c>
      <c r="AB30" s="311"/>
      <c r="AC30" s="311"/>
      <c r="AD30" s="308" t="s">
        <v>23</v>
      </c>
      <c r="AE30" s="308">
        <v>20129.0</v>
      </c>
      <c r="AF30" s="308" t="s">
        <v>2954</v>
      </c>
      <c r="AG30" s="308" t="s">
        <v>2955</v>
      </c>
      <c r="AH30" s="308">
        <v>3.337857067E9</v>
      </c>
      <c r="AI30" s="311"/>
      <c r="AJ30" s="311"/>
      <c r="AK30" s="311"/>
      <c r="AL30" s="311"/>
      <c r="AM30" s="311"/>
      <c r="AN30" s="311"/>
      <c r="AO30" s="311"/>
      <c r="AP30" s="311"/>
      <c r="AQ30" s="311"/>
      <c r="AR30" s="311"/>
      <c r="AS30" s="311"/>
      <c r="AT30" s="311"/>
      <c r="AU30" s="311"/>
      <c r="AV30" s="308" t="s">
        <v>2956</v>
      </c>
      <c r="AW30" s="308">
        <v>4.7003336933703E13</v>
      </c>
      <c r="AX30" s="310">
        <v>0.0</v>
      </c>
      <c r="AY30" s="308" t="s">
        <v>2974</v>
      </c>
      <c r="AZ30" s="308">
        <v>0.0</v>
      </c>
      <c r="BA30" s="311"/>
      <c r="BB30" s="311"/>
      <c r="BC30" s="311"/>
      <c r="BD30" s="308">
        <v>7.428829937991E12</v>
      </c>
      <c r="BE30" s="311"/>
      <c r="BF30" s="311"/>
      <c r="BG30" s="308" t="s">
        <v>2958</v>
      </c>
      <c r="BH30" s="308">
        <v>0.0</v>
      </c>
      <c r="BI30" s="308" t="s">
        <v>2959</v>
      </c>
      <c r="BJ30" s="308">
        <v>21.64</v>
      </c>
      <c r="BK30" s="311"/>
      <c r="BL30" s="311"/>
      <c r="BM30" s="311"/>
      <c r="BN30" s="311"/>
      <c r="BO30" s="311"/>
      <c r="BP30" s="311"/>
      <c r="BQ30" s="311"/>
      <c r="BR30" s="311"/>
      <c r="BS30" s="311"/>
      <c r="BT30" s="311"/>
      <c r="BU30" s="311"/>
      <c r="BV30" s="308" t="s">
        <v>23</v>
      </c>
      <c r="BW30" s="311"/>
      <c r="BX30" s="308" t="s">
        <v>2956</v>
      </c>
      <c r="BY30" s="311"/>
      <c r="BZ30" s="311"/>
      <c r="CA30" s="308" t="s">
        <v>2956</v>
      </c>
      <c r="CB30" s="312" t="str">
        <f t="shared" si="1"/>
        <v>08/03/2026</v>
      </c>
      <c r="CC30" s="313">
        <f t="shared" si="2"/>
        <v>2026</v>
      </c>
      <c r="CD30" s="314">
        <f t="shared" si="3"/>
        <v>3</v>
      </c>
      <c r="CE30" s="314">
        <f t="shared" si="4"/>
        <v>1</v>
      </c>
      <c r="CF30" s="314">
        <f t="shared" si="5"/>
        <v>1</v>
      </c>
      <c r="CG30" s="314">
        <f t="shared" si="6"/>
        <v>-5</v>
      </c>
      <c r="CH30" s="315">
        <f>VLOOKUP(CL30,'PRODUCT_COGS&amp;PRICE'!A:E,5,false)</f>
        <v>33</v>
      </c>
      <c r="CI30" s="306">
        <f t="shared" si="7"/>
        <v>-2.53</v>
      </c>
      <c r="CJ30" s="316">
        <f t="shared" si="8"/>
        <v>0</v>
      </c>
      <c r="CK30" s="316">
        <f t="shared" si="9"/>
        <v>0</v>
      </c>
      <c r="CL30" s="314" t="str">
        <f>VLOOKUP(R30,PRODUCT_MAP!A:B,2,FALSE)</f>
        <v>Lea_Bag_Bordeaux</v>
      </c>
      <c r="CM30" s="314" t="str">
        <f>VLOOKUP(R30,PRODUCT_MAP!A:E,3,FALSE)</f>
        <v>Lea Bag</v>
      </c>
    </row>
    <row r="31" ht="22.5" customHeight="1">
      <c r="A31" s="308" t="s">
        <v>3245</v>
      </c>
      <c r="B31" s="308" t="s">
        <v>3246</v>
      </c>
      <c r="C31" s="308" t="s">
        <v>2942</v>
      </c>
      <c r="D31" s="308" t="s">
        <v>3247</v>
      </c>
      <c r="E31" s="308" t="s">
        <v>3013</v>
      </c>
      <c r="F31" s="308"/>
      <c r="G31" s="308" t="s">
        <v>2946</v>
      </c>
      <c r="H31" s="308" t="s">
        <v>2947</v>
      </c>
      <c r="I31" s="308">
        <v>135.0</v>
      </c>
      <c r="J31" s="308">
        <v>0.0</v>
      </c>
      <c r="K31" s="308">
        <v>24.34</v>
      </c>
      <c r="L31" s="308">
        <v>135.0</v>
      </c>
      <c r="M31" s="308" t="s">
        <v>3094</v>
      </c>
      <c r="N31" s="308">
        <v>15.0</v>
      </c>
      <c r="O31" s="308" t="s">
        <v>2948</v>
      </c>
      <c r="P31" s="308" t="s">
        <v>3248</v>
      </c>
      <c r="Q31" s="310">
        <v>1.0</v>
      </c>
      <c r="R31" s="308" t="s">
        <v>3106</v>
      </c>
      <c r="S31" s="308">
        <v>150.0</v>
      </c>
      <c r="T31" s="311"/>
      <c r="U31" s="308" t="s">
        <v>3249</v>
      </c>
      <c r="V31" s="308" t="b">
        <v>1</v>
      </c>
      <c r="W31" s="308" t="b">
        <v>1</v>
      </c>
      <c r="X31" s="308" t="s">
        <v>2944</v>
      </c>
      <c r="Y31" s="308" t="s">
        <v>3250</v>
      </c>
      <c r="Z31" s="308" t="s">
        <v>3251</v>
      </c>
      <c r="AA31" s="308" t="s">
        <v>3251</v>
      </c>
      <c r="AB31" s="311"/>
      <c r="AC31" s="311"/>
      <c r="AD31" s="308" t="s">
        <v>3252</v>
      </c>
      <c r="AE31" s="308">
        <v>80122.0</v>
      </c>
      <c r="AF31" s="308" t="s">
        <v>3008</v>
      </c>
      <c r="AG31" s="308" t="s">
        <v>2955</v>
      </c>
      <c r="AH31" s="311"/>
      <c r="AI31" s="308" t="s">
        <v>3250</v>
      </c>
      <c r="AJ31" s="308" t="s">
        <v>3253</v>
      </c>
      <c r="AK31" s="308" t="s">
        <v>3254</v>
      </c>
      <c r="AL31" s="308" t="s">
        <v>3254</v>
      </c>
      <c r="AM31" s="311"/>
      <c r="AN31" s="308" t="s">
        <v>3007</v>
      </c>
      <c r="AO31" s="308">
        <v>80122.0</v>
      </c>
      <c r="AP31" s="308" t="s">
        <v>3008</v>
      </c>
      <c r="AQ31" s="308" t="s">
        <v>2955</v>
      </c>
      <c r="AR31" s="308">
        <v>3.392497345E9</v>
      </c>
      <c r="AS31" s="311"/>
      <c r="AT31" s="311"/>
      <c r="AU31" s="311"/>
      <c r="AV31" s="308" t="s">
        <v>2956</v>
      </c>
      <c r="AW31" s="308">
        <v>4.7011077783879E13</v>
      </c>
      <c r="AX31" s="310">
        <v>0.0</v>
      </c>
      <c r="AY31" s="308" t="s">
        <v>2974</v>
      </c>
      <c r="AZ31" s="308">
        <v>0.0</v>
      </c>
      <c r="BA31" s="311"/>
      <c r="BB31" s="311"/>
      <c r="BC31" s="311"/>
      <c r="BD31" s="308">
        <v>7.429352390983E12</v>
      </c>
      <c r="BE31" s="311"/>
      <c r="BF31" s="311"/>
      <c r="BG31" s="308" t="s">
        <v>2958</v>
      </c>
      <c r="BH31" s="308">
        <v>0.0</v>
      </c>
      <c r="BI31" s="308" t="s">
        <v>2959</v>
      </c>
      <c r="BJ31" s="308">
        <v>24.34</v>
      </c>
      <c r="BK31" s="311"/>
      <c r="BL31" s="311"/>
      <c r="BM31" s="311"/>
      <c r="BN31" s="311"/>
      <c r="BO31" s="311"/>
      <c r="BP31" s="311"/>
      <c r="BQ31" s="311"/>
      <c r="BR31" s="311"/>
      <c r="BS31" s="311"/>
      <c r="BT31" s="311"/>
      <c r="BU31" s="311"/>
      <c r="BV31" s="308" t="s">
        <v>3007</v>
      </c>
      <c r="BW31" s="308" t="s">
        <v>3007</v>
      </c>
      <c r="BX31" s="308" t="s">
        <v>2956</v>
      </c>
      <c r="BY31" s="311"/>
      <c r="BZ31" s="311"/>
      <c r="CA31" s="308" t="s">
        <v>2956</v>
      </c>
      <c r="CB31" s="312" t="str">
        <f t="shared" si="1"/>
        <v>08/03/2026</v>
      </c>
      <c r="CC31" s="313">
        <f t="shared" si="2"/>
        <v>2026</v>
      </c>
      <c r="CD31" s="314">
        <f t="shared" si="3"/>
        <v>3</v>
      </c>
      <c r="CE31" s="314">
        <f t="shared" si="4"/>
        <v>1</v>
      </c>
      <c r="CF31" s="314">
        <f t="shared" si="5"/>
        <v>1</v>
      </c>
      <c r="CG31" s="314">
        <f t="shared" si="6"/>
        <v>-5</v>
      </c>
      <c r="CH31" s="315">
        <f>VLOOKUP(CL31,'PRODUCT_COGS&amp;PRICE'!A:E,5,false)</f>
        <v>30.33</v>
      </c>
      <c r="CI31" s="306">
        <f t="shared" si="7"/>
        <v>-2.815</v>
      </c>
      <c r="CJ31" s="316">
        <f t="shared" si="8"/>
        <v>0</v>
      </c>
      <c r="CK31" s="316">
        <f t="shared" si="9"/>
        <v>15</v>
      </c>
      <c r="CL31" s="314" t="str">
        <f>VLOOKUP(R31,PRODUCT_MAP!A:B,2,FALSE)</f>
        <v>Lea_Bag_LEOPARDO_SAVANA</v>
      </c>
      <c r="CM31" s="314" t="str">
        <f>VLOOKUP(R31,PRODUCT_MAP!A:E,3,FALSE)</f>
        <v>Lea Bag</v>
      </c>
    </row>
    <row r="32" ht="22.5" customHeight="1">
      <c r="A32" s="308" t="s">
        <v>3255</v>
      </c>
      <c r="B32" s="308" t="s">
        <v>3256</v>
      </c>
      <c r="C32" s="308" t="s">
        <v>2942</v>
      </c>
      <c r="D32" s="308" t="s">
        <v>3257</v>
      </c>
      <c r="E32" s="308" t="s">
        <v>3013</v>
      </c>
      <c r="F32" s="308"/>
      <c r="G32" s="308" t="s">
        <v>2946</v>
      </c>
      <c r="H32" s="308" t="s">
        <v>2947</v>
      </c>
      <c r="I32" s="308">
        <v>157.5</v>
      </c>
      <c r="J32" s="308">
        <v>0.0</v>
      </c>
      <c r="K32" s="308">
        <v>28.4</v>
      </c>
      <c r="L32" s="308">
        <v>157.5</v>
      </c>
      <c r="M32" s="308" t="s">
        <v>3094</v>
      </c>
      <c r="N32" s="308">
        <v>17.5</v>
      </c>
      <c r="O32" s="308" t="s">
        <v>2948</v>
      </c>
      <c r="P32" s="308" t="s">
        <v>3258</v>
      </c>
      <c r="Q32" s="310">
        <v>1.0</v>
      </c>
      <c r="R32" s="308" t="s">
        <v>783</v>
      </c>
      <c r="S32" s="308">
        <v>175.0</v>
      </c>
      <c r="T32" s="311"/>
      <c r="U32" s="308" t="s">
        <v>249</v>
      </c>
      <c r="V32" s="308" t="b">
        <v>1</v>
      </c>
      <c r="W32" s="308" t="b">
        <v>1</v>
      </c>
      <c r="X32" s="311"/>
      <c r="Y32" s="308" t="s">
        <v>3259</v>
      </c>
      <c r="Z32" s="308" t="s">
        <v>3260</v>
      </c>
      <c r="AA32" s="308" t="s">
        <v>3260</v>
      </c>
      <c r="AB32" s="311"/>
      <c r="AC32" s="311"/>
      <c r="AD32" s="308" t="s">
        <v>3261</v>
      </c>
      <c r="AE32" s="308">
        <v>20023.0</v>
      </c>
      <c r="AF32" s="308" t="s">
        <v>2954</v>
      </c>
      <c r="AG32" s="308" t="s">
        <v>2955</v>
      </c>
      <c r="AH32" s="308">
        <v>3.494480833E9</v>
      </c>
      <c r="AI32" s="308" t="s">
        <v>3259</v>
      </c>
      <c r="AJ32" s="308" t="s">
        <v>3260</v>
      </c>
      <c r="AK32" s="308" t="s">
        <v>3260</v>
      </c>
      <c r="AL32" s="311"/>
      <c r="AM32" s="311"/>
      <c r="AN32" s="308" t="s">
        <v>3261</v>
      </c>
      <c r="AO32" s="308">
        <v>20023.0</v>
      </c>
      <c r="AP32" s="308" t="s">
        <v>2954</v>
      </c>
      <c r="AQ32" s="308" t="s">
        <v>2955</v>
      </c>
      <c r="AR32" s="308">
        <v>3.494480833E9</v>
      </c>
      <c r="AS32" s="311"/>
      <c r="AT32" s="311"/>
      <c r="AU32" s="311"/>
      <c r="AV32" s="308" t="s">
        <v>2956</v>
      </c>
      <c r="AW32" s="308">
        <v>4.7012031463751E13</v>
      </c>
      <c r="AX32" s="310">
        <v>0.0</v>
      </c>
      <c r="AY32" s="308" t="s">
        <v>2974</v>
      </c>
      <c r="AZ32" s="308">
        <v>0.0</v>
      </c>
      <c r="BA32" s="311"/>
      <c r="BB32" s="311"/>
      <c r="BC32" s="311"/>
      <c r="BD32" s="308">
        <v>7.429413470535E12</v>
      </c>
      <c r="BE32" s="311"/>
      <c r="BF32" s="311"/>
      <c r="BG32" s="308" t="s">
        <v>2958</v>
      </c>
      <c r="BH32" s="308">
        <v>0.0</v>
      </c>
      <c r="BI32" s="308" t="s">
        <v>2959</v>
      </c>
      <c r="BJ32" s="308">
        <v>28.4</v>
      </c>
      <c r="BK32" s="311"/>
      <c r="BL32" s="311"/>
      <c r="BM32" s="311"/>
      <c r="BN32" s="311"/>
      <c r="BO32" s="311"/>
      <c r="BP32" s="311"/>
      <c r="BQ32" s="311"/>
      <c r="BR32" s="311"/>
      <c r="BS32" s="311"/>
      <c r="BT32" s="311"/>
      <c r="BU32" s="311"/>
      <c r="BV32" s="308" t="s">
        <v>23</v>
      </c>
      <c r="BW32" s="308" t="s">
        <v>23</v>
      </c>
      <c r="BX32" s="308" t="s">
        <v>2956</v>
      </c>
      <c r="BY32" s="311"/>
      <c r="BZ32" s="311"/>
      <c r="CA32" s="308" t="s">
        <v>2956</v>
      </c>
      <c r="CB32" s="312" t="str">
        <f t="shared" si="1"/>
        <v>08/03/2026</v>
      </c>
      <c r="CC32" s="313">
        <f t="shared" si="2"/>
        <v>2026</v>
      </c>
      <c r="CD32" s="314">
        <f t="shared" si="3"/>
        <v>3</v>
      </c>
      <c r="CE32" s="314">
        <f t="shared" si="4"/>
        <v>1</v>
      </c>
      <c r="CF32" s="314">
        <f t="shared" si="5"/>
        <v>1</v>
      </c>
      <c r="CG32" s="314">
        <f t="shared" si="6"/>
        <v>-5</v>
      </c>
      <c r="CH32" s="315">
        <f>VLOOKUP(CL32,'PRODUCT_COGS&amp;PRICE'!A:E,5,false)</f>
        <v>52.5</v>
      </c>
      <c r="CI32" s="306">
        <f t="shared" si="7"/>
        <v>-3.2425</v>
      </c>
      <c r="CJ32" s="316">
        <f t="shared" si="8"/>
        <v>0</v>
      </c>
      <c r="CK32" s="316">
        <f t="shared" si="9"/>
        <v>17.5</v>
      </c>
      <c r="CL32" s="314" t="str">
        <f>VLOOKUP(R32,PRODUCT_MAP!A:B,2,FALSE)</f>
        <v>Valentina_Bag_RED</v>
      </c>
      <c r="CM32" s="314" t="str">
        <f>VLOOKUP(R32,PRODUCT_MAP!A:E,3,FALSE)</f>
        <v>Valentina Bag</v>
      </c>
    </row>
    <row r="33" ht="22.5" customHeight="1">
      <c r="A33" s="308" t="s">
        <v>3262</v>
      </c>
      <c r="B33" s="308" t="s">
        <v>3263</v>
      </c>
      <c r="C33" s="308" t="s">
        <v>2942</v>
      </c>
      <c r="D33" s="308" t="s">
        <v>3264</v>
      </c>
      <c r="E33" s="308" t="s">
        <v>3013</v>
      </c>
      <c r="F33" s="308"/>
      <c r="G33" s="308" t="s">
        <v>2946</v>
      </c>
      <c r="H33" s="308" t="s">
        <v>2947</v>
      </c>
      <c r="I33" s="308">
        <v>120.0</v>
      </c>
      <c r="J33" s="308">
        <v>0.0</v>
      </c>
      <c r="K33" s="308">
        <v>21.64</v>
      </c>
      <c r="L33" s="308">
        <v>120.0</v>
      </c>
      <c r="M33" s="308"/>
      <c r="N33" s="308">
        <v>0.0</v>
      </c>
      <c r="O33" s="308" t="s">
        <v>2948</v>
      </c>
      <c r="P33" s="308" t="s">
        <v>3265</v>
      </c>
      <c r="Q33" s="310">
        <v>1.0</v>
      </c>
      <c r="R33" s="308" t="s">
        <v>3266</v>
      </c>
      <c r="S33" s="308">
        <v>120.0</v>
      </c>
      <c r="T33" s="311"/>
      <c r="U33" s="308" t="s">
        <v>237</v>
      </c>
      <c r="V33" s="308" t="b">
        <v>1</v>
      </c>
      <c r="W33" s="308" t="b">
        <v>1</v>
      </c>
      <c r="X33" s="308" t="s">
        <v>2944</v>
      </c>
      <c r="Y33" s="308" t="s">
        <v>3267</v>
      </c>
      <c r="Z33" s="308" t="s">
        <v>3268</v>
      </c>
      <c r="AA33" s="308" t="s">
        <v>3268</v>
      </c>
      <c r="AB33" s="311"/>
      <c r="AC33" s="311"/>
      <c r="AD33" s="308" t="s">
        <v>3269</v>
      </c>
      <c r="AE33" s="308">
        <v>20900.0</v>
      </c>
      <c r="AF33" s="308" t="s">
        <v>3270</v>
      </c>
      <c r="AG33" s="308" t="s">
        <v>2955</v>
      </c>
      <c r="AH33" s="308">
        <v>3.477743988E9</v>
      </c>
      <c r="AI33" s="308" t="s">
        <v>3267</v>
      </c>
      <c r="AJ33" s="308" t="s">
        <v>3268</v>
      </c>
      <c r="AK33" s="308" t="s">
        <v>3268</v>
      </c>
      <c r="AL33" s="311"/>
      <c r="AM33" s="311"/>
      <c r="AN33" s="308" t="s">
        <v>3269</v>
      </c>
      <c r="AO33" s="308">
        <v>20900.0</v>
      </c>
      <c r="AP33" s="308" t="s">
        <v>3270</v>
      </c>
      <c r="AQ33" s="308" t="s">
        <v>2955</v>
      </c>
      <c r="AR33" s="308">
        <v>3.477743988E9</v>
      </c>
      <c r="AS33" s="311"/>
      <c r="AT33" s="311"/>
      <c r="AU33" s="311"/>
      <c r="AV33" s="308" t="s">
        <v>2956</v>
      </c>
      <c r="AW33" s="308">
        <v>4.7020504318279E13</v>
      </c>
      <c r="AX33" s="310">
        <v>0.0</v>
      </c>
      <c r="AY33" s="308" t="s">
        <v>2974</v>
      </c>
      <c r="AZ33" s="308">
        <v>0.0</v>
      </c>
      <c r="BA33" s="311"/>
      <c r="BB33" s="311"/>
      <c r="BC33" s="311"/>
      <c r="BD33" s="308">
        <v>7.430369444167E12</v>
      </c>
      <c r="BE33" s="311"/>
      <c r="BF33" s="311"/>
      <c r="BG33" s="308" t="s">
        <v>2958</v>
      </c>
      <c r="BH33" s="308">
        <v>0.0</v>
      </c>
      <c r="BI33" s="308" t="s">
        <v>2959</v>
      </c>
      <c r="BJ33" s="308">
        <v>21.64</v>
      </c>
      <c r="BK33" s="311"/>
      <c r="BL33" s="311"/>
      <c r="BM33" s="311"/>
      <c r="BN33" s="311"/>
      <c r="BO33" s="311"/>
      <c r="BP33" s="311"/>
      <c r="BQ33" s="311"/>
      <c r="BR33" s="311"/>
      <c r="BS33" s="311"/>
      <c r="BT33" s="311"/>
      <c r="BU33" s="311"/>
      <c r="BV33" s="308" t="s">
        <v>3271</v>
      </c>
      <c r="BW33" s="308" t="s">
        <v>3271</v>
      </c>
      <c r="BX33" s="308" t="s">
        <v>2956</v>
      </c>
      <c r="BY33" s="311"/>
      <c r="BZ33" s="311"/>
      <c r="CA33" s="308" t="s">
        <v>2956</v>
      </c>
      <c r="CB33" s="312" t="str">
        <f t="shared" si="1"/>
        <v>08/03/2026</v>
      </c>
      <c r="CC33" s="313">
        <f t="shared" si="2"/>
        <v>2026</v>
      </c>
      <c r="CD33" s="314">
        <f t="shared" si="3"/>
        <v>3</v>
      </c>
      <c r="CE33" s="314">
        <f t="shared" si="4"/>
        <v>1</v>
      </c>
      <c r="CF33" s="314">
        <f t="shared" si="5"/>
        <v>1</v>
      </c>
      <c r="CG33" s="314">
        <f t="shared" si="6"/>
        <v>-5</v>
      </c>
      <c r="CH33" s="315">
        <f>VLOOKUP(CL33,'PRODUCT_COGS&amp;PRICE'!A:E,5,false)</f>
        <v>30.33</v>
      </c>
      <c r="CI33" s="306">
        <f t="shared" si="7"/>
        <v>-2.53</v>
      </c>
      <c r="CJ33" s="316">
        <f t="shared" si="8"/>
        <v>0</v>
      </c>
      <c r="CK33" s="316">
        <f t="shared" si="9"/>
        <v>0</v>
      </c>
      <c r="CL33" s="314" t="str">
        <f>VLOOKUP(R33,PRODUCT_MAP!A:B,2,FALSE)</f>
        <v>Lea_Bag_COCCO_CHOCOLATE</v>
      </c>
      <c r="CM33" s="314" t="str">
        <f>VLOOKUP(R33,PRODUCT_MAP!A:E,3,FALSE)</f>
        <v>Lea Bag</v>
      </c>
    </row>
    <row r="34" ht="22.5" customHeight="1">
      <c r="A34" s="308" t="s">
        <v>3272</v>
      </c>
      <c r="B34" s="308" t="s">
        <v>3273</v>
      </c>
      <c r="C34" s="308" t="s">
        <v>2942</v>
      </c>
      <c r="D34" s="308" t="s">
        <v>3274</v>
      </c>
      <c r="E34" s="308" t="s">
        <v>3013</v>
      </c>
      <c r="F34" s="308"/>
      <c r="G34" s="308" t="s">
        <v>2946</v>
      </c>
      <c r="H34" s="308" t="s">
        <v>2947</v>
      </c>
      <c r="I34" s="308">
        <v>108.0</v>
      </c>
      <c r="J34" s="308">
        <v>0.0</v>
      </c>
      <c r="K34" s="308">
        <v>19.48</v>
      </c>
      <c r="L34" s="308">
        <v>108.0</v>
      </c>
      <c r="M34" s="308" t="s">
        <v>3094</v>
      </c>
      <c r="N34" s="308">
        <v>12.0</v>
      </c>
      <c r="O34" s="308" t="s">
        <v>2948</v>
      </c>
      <c r="P34" s="308" t="s">
        <v>3275</v>
      </c>
      <c r="Q34" s="310">
        <v>1.0</v>
      </c>
      <c r="R34" s="308" t="s">
        <v>3233</v>
      </c>
      <c r="S34" s="308">
        <v>120.0</v>
      </c>
      <c r="T34" s="311"/>
      <c r="U34" s="308" t="s">
        <v>3234</v>
      </c>
      <c r="V34" s="308" t="b">
        <v>1</v>
      </c>
      <c r="W34" s="308" t="b">
        <v>1</v>
      </c>
      <c r="X34" s="308" t="s">
        <v>2944</v>
      </c>
      <c r="Y34" s="308" t="s">
        <v>3276</v>
      </c>
      <c r="Z34" s="308" t="s">
        <v>3277</v>
      </c>
      <c r="AA34" s="308" t="s">
        <v>3278</v>
      </c>
      <c r="AB34" s="308">
        <v>41.0</v>
      </c>
      <c r="AC34" s="311"/>
      <c r="AD34" s="308" t="s">
        <v>3279</v>
      </c>
      <c r="AE34" s="308">
        <v>6128.0</v>
      </c>
      <c r="AF34" s="308" t="s">
        <v>3280</v>
      </c>
      <c r="AG34" s="308" t="s">
        <v>2955</v>
      </c>
      <c r="AH34" s="311"/>
      <c r="AI34" s="308" t="s">
        <v>3276</v>
      </c>
      <c r="AJ34" s="308" t="s">
        <v>3281</v>
      </c>
      <c r="AK34" s="308" t="s">
        <v>3282</v>
      </c>
      <c r="AL34" s="308" t="s">
        <v>3283</v>
      </c>
      <c r="AM34" s="311"/>
      <c r="AN34" s="308" t="s">
        <v>23</v>
      </c>
      <c r="AO34" s="308">
        <v>20122.0</v>
      </c>
      <c r="AP34" s="308" t="s">
        <v>2954</v>
      </c>
      <c r="AQ34" s="308" t="s">
        <v>2955</v>
      </c>
      <c r="AR34" s="308">
        <v>3.276851917E9</v>
      </c>
      <c r="AS34" s="311"/>
      <c r="AT34" s="311"/>
      <c r="AU34" s="311"/>
      <c r="AV34" s="308" t="s">
        <v>2956</v>
      </c>
      <c r="AW34" s="308">
        <v>4.7024474423623E13</v>
      </c>
      <c r="AX34" s="310">
        <v>0.0</v>
      </c>
      <c r="AY34" s="308" t="s">
        <v>2974</v>
      </c>
      <c r="AZ34" s="308">
        <v>0.0</v>
      </c>
      <c r="BA34" s="311"/>
      <c r="BB34" s="311"/>
      <c r="BC34" s="311"/>
      <c r="BD34" s="308">
        <v>7.431578976583E12</v>
      </c>
      <c r="BE34" s="311"/>
      <c r="BF34" s="311"/>
      <c r="BG34" s="308" t="s">
        <v>2958</v>
      </c>
      <c r="BH34" s="308">
        <v>0.0</v>
      </c>
      <c r="BI34" s="308" t="s">
        <v>2959</v>
      </c>
      <c r="BJ34" s="308">
        <v>19.48</v>
      </c>
      <c r="BK34" s="311"/>
      <c r="BL34" s="311"/>
      <c r="BM34" s="311"/>
      <c r="BN34" s="311"/>
      <c r="BO34" s="311"/>
      <c r="BP34" s="311"/>
      <c r="BQ34" s="311"/>
      <c r="BR34" s="311"/>
      <c r="BS34" s="311"/>
      <c r="BT34" s="311"/>
      <c r="BU34" s="311"/>
      <c r="BV34" s="308" t="s">
        <v>3279</v>
      </c>
      <c r="BW34" s="308" t="s">
        <v>23</v>
      </c>
      <c r="BX34" s="308" t="s">
        <v>2956</v>
      </c>
      <c r="BY34" s="311"/>
      <c r="BZ34" s="311"/>
      <c r="CA34" s="308" t="s">
        <v>2956</v>
      </c>
      <c r="CB34" s="312" t="str">
        <f t="shared" si="1"/>
        <v>08/03/2026</v>
      </c>
      <c r="CC34" s="313">
        <f t="shared" si="2"/>
        <v>2026</v>
      </c>
      <c r="CD34" s="314">
        <f t="shared" si="3"/>
        <v>3</v>
      </c>
      <c r="CE34" s="314">
        <f t="shared" si="4"/>
        <v>1</v>
      </c>
      <c r="CF34" s="314">
        <f t="shared" si="5"/>
        <v>1</v>
      </c>
      <c r="CG34" s="314">
        <f t="shared" si="6"/>
        <v>-5</v>
      </c>
      <c r="CH34" s="315">
        <f>VLOOKUP(CL34,'PRODUCT_COGS&amp;PRICE'!A:E,5,false)</f>
        <v>20</v>
      </c>
      <c r="CI34" s="306">
        <f t="shared" si="7"/>
        <v>-2.302</v>
      </c>
      <c r="CJ34" s="316">
        <f t="shared" si="8"/>
        <v>0</v>
      </c>
      <c r="CK34" s="316">
        <f t="shared" si="9"/>
        <v>12</v>
      </c>
      <c r="CL34" s="314" t="str">
        <f>VLOOKUP(R34,PRODUCT_MAP!A:B,2,FALSE)</f>
        <v>Lea_Bag_SMOOTH_BROWN_LEATHER</v>
      </c>
      <c r="CM34" s="314" t="str">
        <f>VLOOKUP(R34,PRODUCT_MAP!A:E,3,FALSE)</f>
        <v>Lea Bag</v>
      </c>
    </row>
    <row r="35" ht="22.5" customHeight="1">
      <c r="A35" s="308" t="s">
        <v>3284</v>
      </c>
      <c r="B35" s="308" t="s">
        <v>3285</v>
      </c>
      <c r="C35" s="308" t="s">
        <v>2942</v>
      </c>
      <c r="D35" s="308" t="s">
        <v>3286</v>
      </c>
      <c r="E35" s="308" t="s">
        <v>3013</v>
      </c>
      <c r="F35" s="308"/>
      <c r="G35" s="308" t="s">
        <v>2946</v>
      </c>
      <c r="H35" s="308" t="s">
        <v>2947</v>
      </c>
      <c r="I35" s="308">
        <v>135.0</v>
      </c>
      <c r="J35" s="308">
        <v>0.0</v>
      </c>
      <c r="K35" s="308">
        <v>24.34</v>
      </c>
      <c r="L35" s="308">
        <v>135.0</v>
      </c>
      <c r="M35" s="308" t="s">
        <v>3094</v>
      </c>
      <c r="N35" s="308">
        <v>15.0</v>
      </c>
      <c r="O35" s="308" t="s">
        <v>2948</v>
      </c>
      <c r="P35" s="308" t="s">
        <v>3287</v>
      </c>
      <c r="Q35" s="310">
        <v>1.0</v>
      </c>
      <c r="R35" s="308" t="s">
        <v>3214</v>
      </c>
      <c r="S35" s="308">
        <v>150.0</v>
      </c>
      <c r="T35" s="311"/>
      <c r="U35" s="308" t="s">
        <v>229</v>
      </c>
      <c r="V35" s="308" t="b">
        <v>1</v>
      </c>
      <c r="W35" s="308" t="b">
        <v>1</v>
      </c>
      <c r="X35" s="308" t="s">
        <v>2944</v>
      </c>
      <c r="Y35" s="308" t="s">
        <v>3288</v>
      </c>
      <c r="Z35" s="308" t="s">
        <v>3289</v>
      </c>
      <c r="AA35" s="308" t="s">
        <v>3290</v>
      </c>
      <c r="AB35" s="308" t="s">
        <v>3291</v>
      </c>
      <c r="AC35" s="308" t="s">
        <v>3291</v>
      </c>
      <c r="AD35" s="308" t="s">
        <v>3292</v>
      </c>
      <c r="AE35" s="308">
        <v>12084.0</v>
      </c>
      <c r="AF35" s="308" t="s">
        <v>3293</v>
      </c>
      <c r="AG35" s="308" t="s">
        <v>2955</v>
      </c>
      <c r="AH35" s="308">
        <v>3.345715295E9</v>
      </c>
      <c r="AI35" s="308" t="s">
        <v>3288</v>
      </c>
      <c r="AJ35" s="308" t="s">
        <v>3289</v>
      </c>
      <c r="AK35" s="308" t="s">
        <v>3290</v>
      </c>
      <c r="AL35" s="308" t="s">
        <v>3291</v>
      </c>
      <c r="AM35" s="308" t="s">
        <v>3291</v>
      </c>
      <c r="AN35" s="308" t="s">
        <v>3292</v>
      </c>
      <c r="AO35" s="308">
        <v>12084.0</v>
      </c>
      <c r="AP35" s="308" t="s">
        <v>3293</v>
      </c>
      <c r="AQ35" s="308" t="s">
        <v>2955</v>
      </c>
      <c r="AR35" s="308">
        <v>3.345715295E9</v>
      </c>
      <c r="AS35" s="311"/>
      <c r="AT35" s="311"/>
      <c r="AU35" s="311"/>
      <c r="AV35" s="308" t="s">
        <v>2956</v>
      </c>
      <c r="AW35" s="308">
        <v>4.7028633076039E13</v>
      </c>
      <c r="AX35" s="310">
        <v>0.0</v>
      </c>
      <c r="AY35" s="308" t="s">
        <v>2974</v>
      </c>
      <c r="AZ35" s="308">
        <v>0.0</v>
      </c>
      <c r="BA35" s="311"/>
      <c r="BB35" s="311"/>
      <c r="BC35" s="311"/>
      <c r="BD35" s="308">
        <v>7.432825471303E12</v>
      </c>
      <c r="BE35" s="311"/>
      <c r="BF35" s="311"/>
      <c r="BG35" s="308" t="s">
        <v>2958</v>
      </c>
      <c r="BH35" s="308">
        <v>0.0</v>
      </c>
      <c r="BI35" s="308" t="s">
        <v>2959</v>
      </c>
      <c r="BJ35" s="308">
        <v>24.34</v>
      </c>
      <c r="BK35" s="311"/>
      <c r="BL35" s="311"/>
      <c r="BM35" s="311"/>
      <c r="BN35" s="311"/>
      <c r="BO35" s="311"/>
      <c r="BP35" s="311"/>
      <c r="BQ35" s="311"/>
      <c r="BR35" s="311"/>
      <c r="BS35" s="311"/>
      <c r="BT35" s="311"/>
      <c r="BU35" s="311"/>
      <c r="BV35" s="308" t="s">
        <v>3294</v>
      </c>
      <c r="BW35" s="308" t="s">
        <v>3294</v>
      </c>
      <c r="BX35" s="308" t="s">
        <v>2956</v>
      </c>
      <c r="BY35" s="311"/>
      <c r="BZ35" s="311"/>
      <c r="CA35" s="308" t="s">
        <v>2956</v>
      </c>
      <c r="CB35" s="312" t="str">
        <f t="shared" si="1"/>
        <v>08/03/2026</v>
      </c>
      <c r="CC35" s="313">
        <f t="shared" si="2"/>
        <v>2026</v>
      </c>
      <c r="CD35" s="314">
        <f t="shared" si="3"/>
        <v>3</v>
      </c>
      <c r="CE35" s="314">
        <f t="shared" si="4"/>
        <v>1</v>
      </c>
      <c r="CF35" s="314">
        <f t="shared" si="5"/>
        <v>1</v>
      </c>
      <c r="CG35" s="314">
        <f t="shared" si="6"/>
        <v>-5</v>
      </c>
      <c r="CH35" s="315">
        <f>VLOOKUP(CL35,'PRODUCT_COGS&amp;PRICE'!A:E,5,false)</f>
        <v>33</v>
      </c>
      <c r="CI35" s="306">
        <f t="shared" si="7"/>
        <v>-2.815</v>
      </c>
      <c r="CJ35" s="316">
        <f t="shared" si="8"/>
        <v>0</v>
      </c>
      <c r="CK35" s="316">
        <f t="shared" si="9"/>
        <v>15</v>
      </c>
      <c r="CL35" s="314" t="str">
        <f>VLOOKUP(R35,PRODUCT_MAP!A:B,2,FALSE)</f>
        <v>Lea_Bag_ZEBRA</v>
      </c>
      <c r="CM35" s="314" t="str">
        <f>VLOOKUP(R35,PRODUCT_MAP!A:E,3,FALSE)</f>
        <v>Lea Bag</v>
      </c>
    </row>
    <row r="36" ht="22.5" customHeight="1">
      <c r="A36" s="308" t="s">
        <v>3295</v>
      </c>
      <c r="B36" s="308" t="s">
        <v>3296</v>
      </c>
      <c r="C36" s="308" t="s">
        <v>2942</v>
      </c>
      <c r="D36" s="308" t="s">
        <v>3297</v>
      </c>
      <c r="E36" s="308" t="s">
        <v>3013</v>
      </c>
      <c r="F36" s="308"/>
      <c r="G36" s="308" t="s">
        <v>2946</v>
      </c>
      <c r="H36" s="308" t="s">
        <v>2947</v>
      </c>
      <c r="I36" s="308">
        <v>135.0</v>
      </c>
      <c r="J36" s="308">
        <v>15.0</v>
      </c>
      <c r="K36" s="308">
        <v>27.04</v>
      </c>
      <c r="L36" s="308">
        <v>150.0</v>
      </c>
      <c r="M36" s="308" t="s">
        <v>3094</v>
      </c>
      <c r="N36" s="308">
        <v>15.0</v>
      </c>
      <c r="O36" s="308" t="s">
        <v>3298</v>
      </c>
      <c r="P36" s="308" t="s">
        <v>3299</v>
      </c>
      <c r="Q36" s="310">
        <v>1.0</v>
      </c>
      <c r="R36" s="308" t="s">
        <v>3106</v>
      </c>
      <c r="S36" s="308">
        <v>150.0</v>
      </c>
      <c r="T36" s="311"/>
      <c r="U36" s="308" t="s">
        <v>3249</v>
      </c>
      <c r="V36" s="308" t="b">
        <v>1</v>
      </c>
      <c r="W36" s="308" t="b">
        <v>1</v>
      </c>
      <c r="X36" s="308" t="s">
        <v>2944</v>
      </c>
      <c r="Y36" s="308" t="s">
        <v>3300</v>
      </c>
      <c r="Z36" s="308" t="s">
        <v>3301</v>
      </c>
      <c r="AA36" s="308" t="s">
        <v>3301</v>
      </c>
      <c r="AB36" s="311"/>
      <c r="AC36" s="311"/>
      <c r="AD36" s="308" t="s">
        <v>3302</v>
      </c>
      <c r="AE36" s="308">
        <v>8010.0</v>
      </c>
      <c r="AF36" s="311"/>
      <c r="AG36" s="308" t="s">
        <v>3303</v>
      </c>
      <c r="AH36" s="308">
        <v>4.36642406706E11</v>
      </c>
      <c r="AI36" s="308" t="s">
        <v>3300</v>
      </c>
      <c r="AJ36" s="308" t="s">
        <v>3301</v>
      </c>
      <c r="AK36" s="308" t="s">
        <v>3301</v>
      </c>
      <c r="AL36" s="311"/>
      <c r="AM36" s="311"/>
      <c r="AN36" s="308" t="s">
        <v>3302</v>
      </c>
      <c r="AO36" s="308">
        <v>8010.0</v>
      </c>
      <c r="AP36" s="311"/>
      <c r="AQ36" s="308" t="s">
        <v>3303</v>
      </c>
      <c r="AR36" s="308">
        <v>4.36642406702E11</v>
      </c>
      <c r="AS36" s="311"/>
      <c r="AT36" s="311"/>
      <c r="AU36" s="311"/>
      <c r="AV36" s="308" t="s">
        <v>2956</v>
      </c>
      <c r="AW36" s="308">
        <v>4.7008255181127E13</v>
      </c>
      <c r="AX36" s="310">
        <v>0.0</v>
      </c>
      <c r="AY36" s="308" t="s">
        <v>2974</v>
      </c>
      <c r="AZ36" s="308">
        <v>0.0</v>
      </c>
      <c r="BA36" s="311"/>
      <c r="BB36" s="311"/>
      <c r="BC36" s="311"/>
      <c r="BD36" s="308">
        <v>7.434001875271E12</v>
      </c>
      <c r="BE36" s="311"/>
      <c r="BF36" s="311"/>
      <c r="BG36" s="308" t="s">
        <v>2958</v>
      </c>
      <c r="BH36" s="308">
        <v>0.0</v>
      </c>
      <c r="BI36" s="308" t="s">
        <v>2959</v>
      </c>
      <c r="BJ36" s="308">
        <v>24.34</v>
      </c>
      <c r="BK36" s="311"/>
      <c r="BL36" s="311"/>
      <c r="BM36" s="311"/>
      <c r="BN36" s="311"/>
      <c r="BO36" s="311"/>
      <c r="BP36" s="311"/>
      <c r="BQ36" s="311"/>
      <c r="BR36" s="311"/>
      <c r="BS36" s="311"/>
      <c r="BT36" s="311"/>
      <c r="BU36" s="311"/>
      <c r="BV36" s="311"/>
      <c r="BW36" s="311"/>
      <c r="BX36" s="308" t="s">
        <v>2956</v>
      </c>
      <c r="BY36" s="311"/>
      <c r="BZ36" s="311"/>
      <c r="CA36" s="308" t="s">
        <v>2956</v>
      </c>
      <c r="CB36" s="312" t="str">
        <f t="shared" si="1"/>
        <v>09/03/2026</v>
      </c>
      <c r="CC36" s="313">
        <f t="shared" si="2"/>
        <v>2026</v>
      </c>
      <c r="CD36" s="314">
        <f t="shared" si="3"/>
        <v>3</v>
      </c>
      <c r="CE36" s="314">
        <f t="shared" si="4"/>
        <v>1</v>
      </c>
      <c r="CF36" s="314">
        <f t="shared" si="5"/>
        <v>1</v>
      </c>
      <c r="CG36" s="314">
        <f t="shared" si="6"/>
        <v>0</v>
      </c>
      <c r="CH36" s="315">
        <f>VLOOKUP(CL36,'PRODUCT_COGS&amp;PRICE'!A:E,5,false)</f>
        <v>30.33</v>
      </c>
      <c r="CI36" s="306">
        <f t="shared" si="7"/>
        <v>-3.1</v>
      </c>
      <c r="CJ36" s="316">
        <f t="shared" si="8"/>
        <v>0</v>
      </c>
      <c r="CK36" s="316">
        <f t="shared" si="9"/>
        <v>15</v>
      </c>
      <c r="CL36" s="314" t="str">
        <f>VLOOKUP(R36,PRODUCT_MAP!A:B,2,FALSE)</f>
        <v>Lea_Bag_LEOPARDO_SAVANA</v>
      </c>
      <c r="CM36" s="314" t="str">
        <f>VLOOKUP(R36,PRODUCT_MAP!A:E,3,FALSE)</f>
        <v>Lea Bag</v>
      </c>
    </row>
    <row r="37" ht="22.5" customHeight="1">
      <c r="A37" s="308" t="s">
        <v>3304</v>
      </c>
      <c r="B37" s="308" t="s">
        <v>3305</v>
      </c>
      <c r="C37" s="308" t="s">
        <v>2942</v>
      </c>
      <c r="D37" s="308" t="s">
        <v>3306</v>
      </c>
      <c r="E37" s="308" t="s">
        <v>2944</v>
      </c>
      <c r="F37" s="308" t="s">
        <v>3307</v>
      </c>
      <c r="G37" s="308" t="s">
        <v>2946</v>
      </c>
      <c r="H37" s="308" t="s">
        <v>2947</v>
      </c>
      <c r="I37" s="308">
        <v>108.0</v>
      </c>
      <c r="J37" s="308">
        <v>0.0</v>
      </c>
      <c r="K37" s="308">
        <v>19.48</v>
      </c>
      <c r="L37" s="308">
        <v>108.0</v>
      </c>
      <c r="M37" s="308" t="s">
        <v>3094</v>
      </c>
      <c r="N37" s="308">
        <v>12.0</v>
      </c>
      <c r="O37" s="308" t="s">
        <v>2979</v>
      </c>
      <c r="P37" s="308" t="s">
        <v>3308</v>
      </c>
      <c r="Q37" s="310">
        <v>1.0</v>
      </c>
      <c r="R37" s="308" t="s">
        <v>579</v>
      </c>
      <c r="S37" s="308">
        <v>120.0</v>
      </c>
      <c r="T37" s="311"/>
      <c r="U37" s="308" t="s">
        <v>2002</v>
      </c>
      <c r="V37" s="308" t="b">
        <v>1</v>
      </c>
      <c r="W37" s="308" t="b">
        <v>1</v>
      </c>
      <c r="X37" s="308" t="s">
        <v>2944</v>
      </c>
      <c r="Y37" s="308" t="s">
        <v>3309</v>
      </c>
      <c r="Z37" s="308" t="s">
        <v>3310</v>
      </c>
      <c r="AA37" s="308" t="s">
        <v>3310</v>
      </c>
      <c r="AB37" s="311"/>
      <c r="AC37" s="311"/>
      <c r="AD37" s="308" t="s">
        <v>23</v>
      </c>
      <c r="AE37" s="308">
        <v>20124.0</v>
      </c>
      <c r="AF37" s="308" t="s">
        <v>2954</v>
      </c>
      <c r="AG37" s="308" t="s">
        <v>2955</v>
      </c>
      <c r="AH37" s="311"/>
      <c r="AI37" s="311"/>
      <c r="AJ37" s="311"/>
      <c r="AK37" s="311"/>
      <c r="AL37" s="311"/>
      <c r="AM37" s="311"/>
      <c r="AN37" s="311"/>
      <c r="AO37" s="311"/>
      <c r="AP37" s="311"/>
      <c r="AQ37" s="311"/>
      <c r="AR37" s="311"/>
      <c r="AS37" s="311"/>
      <c r="AT37" s="311"/>
      <c r="AU37" s="311"/>
      <c r="AV37" s="308" t="s">
        <v>3009</v>
      </c>
      <c r="AW37" s="308">
        <v>4.7053632373063E13</v>
      </c>
      <c r="AX37" s="310">
        <v>0.0</v>
      </c>
      <c r="AY37" s="308" t="s">
        <v>2974</v>
      </c>
      <c r="AZ37" s="308">
        <v>0.0</v>
      </c>
      <c r="BA37" s="311"/>
      <c r="BB37" s="311"/>
      <c r="BC37" s="311"/>
      <c r="BD37" s="308">
        <v>7.435090428231E12</v>
      </c>
      <c r="BE37" s="311"/>
      <c r="BF37" s="311"/>
      <c r="BG37" s="308" t="s">
        <v>2958</v>
      </c>
      <c r="BH37" s="308">
        <v>0.0</v>
      </c>
      <c r="BI37" s="308" t="s">
        <v>2959</v>
      </c>
      <c r="BJ37" s="308">
        <v>19.48</v>
      </c>
      <c r="BK37" s="311"/>
      <c r="BL37" s="311"/>
      <c r="BM37" s="311"/>
      <c r="BN37" s="311"/>
      <c r="BO37" s="311"/>
      <c r="BP37" s="311"/>
      <c r="BQ37" s="311"/>
      <c r="BR37" s="311"/>
      <c r="BS37" s="311"/>
      <c r="BT37" s="311"/>
      <c r="BU37" s="311"/>
      <c r="BV37" s="308" t="s">
        <v>23</v>
      </c>
      <c r="BW37" s="311"/>
      <c r="BX37" s="308" t="s">
        <v>3009</v>
      </c>
      <c r="BY37" s="311"/>
      <c r="BZ37" s="311"/>
      <c r="CA37" s="308" t="s">
        <v>3009</v>
      </c>
      <c r="CB37" s="312" t="str">
        <f t="shared" si="1"/>
        <v>09/03/2026</v>
      </c>
      <c r="CC37" s="313">
        <f t="shared" si="2"/>
        <v>2026</v>
      </c>
      <c r="CD37" s="314">
        <f t="shared" si="3"/>
        <v>3</v>
      </c>
      <c r="CE37" s="314">
        <f t="shared" si="4"/>
        <v>1</v>
      </c>
      <c r="CF37" s="314">
        <f t="shared" si="5"/>
        <v>1</v>
      </c>
      <c r="CG37" s="314">
        <f t="shared" si="6"/>
        <v>-5</v>
      </c>
      <c r="CH37" s="315">
        <f>VLOOKUP(CL37,'PRODUCT_COGS&amp;PRICE'!A:E,5,false)</f>
        <v>20</v>
      </c>
      <c r="CI37" s="306">
        <f t="shared" si="7"/>
        <v>-4.1192</v>
      </c>
      <c r="CJ37" s="316">
        <f t="shared" si="8"/>
        <v>0</v>
      </c>
      <c r="CK37" s="316">
        <f t="shared" si="9"/>
        <v>12</v>
      </c>
      <c r="CL37" s="314" t="str">
        <f>VLOOKUP(R37,PRODUCT_MAP!A:B,2,FALSE)</f>
        <v>Lea_Bag_VERNICE_PURPLE_PATENT</v>
      </c>
      <c r="CM37" s="314" t="str">
        <f>VLOOKUP(R37,PRODUCT_MAP!A:E,3,FALSE)</f>
        <v>Lea Bag</v>
      </c>
    </row>
    <row r="38" ht="22.5" customHeight="1">
      <c r="A38" s="308" t="s">
        <v>3311</v>
      </c>
      <c r="B38" s="308" t="s">
        <v>3312</v>
      </c>
      <c r="C38" s="308" t="s">
        <v>2942</v>
      </c>
      <c r="D38" s="308" t="s">
        <v>3313</v>
      </c>
      <c r="E38" s="308" t="s">
        <v>3013</v>
      </c>
      <c r="F38" s="308"/>
      <c r="G38" s="308" t="s">
        <v>2946</v>
      </c>
      <c r="H38" s="308" t="s">
        <v>2947</v>
      </c>
      <c r="I38" s="308">
        <v>135.0</v>
      </c>
      <c r="J38" s="308">
        <v>0.0</v>
      </c>
      <c r="K38" s="308">
        <v>24.34</v>
      </c>
      <c r="L38" s="308">
        <v>135.0</v>
      </c>
      <c r="M38" s="308" t="s">
        <v>3221</v>
      </c>
      <c r="N38" s="308">
        <v>15.0</v>
      </c>
      <c r="O38" s="308" t="s">
        <v>2948</v>
      </c>
      <c r="P38" s="308" t="s">
        <v>3314</v>
      </c>
      <c r="Q38" s="310">
        <v>1.0</v>
      </c>
      <c r="R38" s="308" t="s">
        <v>539</v>
      </c>
      <c r="S38" s="308">
        <v>150.0</v>
      </c>
      <c r="T38" s="311"/>
      <c r="U38" s="308" t="s">
        <v>3223</v>
      </c>
      <c r="V38" s="308" t="b">
        <v>1</v>
      </c>
      <c r="W38" s="308" t="b">
        <v>1</v>
      </c>
      <c r="X38" s="308" t="s">
        <v>2944</v>
      </c>
      <c r="Y38" s="308" t="s">
        <v>3315</v>
      </c>
      <c r="Z38" s="308" t="s">
        <v>3316</v>
      </c>
      <c r="AA38" s="308" t="s">
        <v>3316</v>
      </c>
      <c r="AB38" s="311"/>
      <c r="AC38" s="311"/>
      <c r="AD38" s="308" t="s">
        <v>3317</v>
      </c>
      <c r="AE38" s="308">
        <v>20099.0</v>
      </c>
      <c r="AF38" s="308" t="s">
        <v>2954</v>
      </c>
      <c r="AG38" s="308" t="s">
        <v>2955</v>
      </c>
      <c r="AH38" s="311"/>
      <c r="AI38" s="308" t="s">
        <v>3315</v>
      </c>
      <c r="AJ38" s="308" t="s">
        <v>3316</v>
      </c>
      <c r="AK38" s="308" t="s">
        <v>3316</v>
      </c>
      <c r="AL38" s="311"/>
      <c r="AM38" s="311"/>
      <c r="AN38" s="308" t="s">
        <v>3317</v>
      </c>
      <c r="AO38" s="308">
        <v>20099.0</v>
      </c>
      <c r="AP38" s="308" t="s">
        <v>2954</v>
      </c>
      <c r="AQ38" s="308" t="s">
        <v>2955</v>
      </c>
      <c r="AR38" s="308">
        <v>3.317534909E9</v>
      </c>
      <c r="AS38" s="311"/>
      <c r="AT38" s="311"/>
      <c r="AU38" s="311"/>
      <c r="AV38" s="308" t="s">
        <v>2956</v>
      </c>
      <c r="AW38" s="308">
        <v>4.7064079991111E13</v>
      </c>
      <c r="AX38" s="310">
        <v>0.0</v>
      </c>
      <c r="AY38" s="308" t="s">
        <v>2974</v>
      </c>
      <c r="AZ38" s="308">
        <v>0.0</v>
      </c>
      <c r="BA38" s="311"/>
      <c r="BB38" s="311"/>
      <c r="BC38" s="311"/>
      <c r="BD38" s="308">
        <v>7.436140642631E12</v>
      </c>
      <c r="BE38" s="311"/>
      <c r="BF38" s="311"/>
      <c r="BG38" s="308" t="s">
        <v>2958</v>
      </c>
      <c r="BH38" s="308">
        <v>0.0</v>
      </c>
      <c r="BI38" s="308" t="s">
        <v>2959</v>
      </c>
      <c r="BJ38" s="308">
        <v>24.34</v>
      </c>
      <c r="BK38" s="311"/>
      <c r="BL38" s="311"/>
      <c r="BM38" s="311"/>
      <c r="BN38" s="311"/>
      <c r="BO38" s="311"/>
      <c r="BP38" s="311"/>
      <c r="BQ38" s="311"/>
      <c r="BR38" s="311"/>
      <c r="BS38" s="311"/>
      <c r="BT38" s="311"/>
      <c r="BU38" s="311"/>
      <c r="BV38" s="308" t="s">
        <v>23</v>
      </c>
      <c r="BW38" s="308" t="s">
        <v>23</v>
      </c>
      <c r="BX38" s="308" t="s">
        <v>2956</v>
      </c>
      <c r="BY38" s="311"/>
      <c r="BZ38" s="311"/>
      <c r="CA38" s="308" t="s">
        <v>2956</v>
      </c>
      <c r="CB38" s="312" t="str">
        <f t="shared" si="1"/>
        <v>09/03/2026</v>
      </c>
      <c r="CC38" s="313">
        <f t="shared" si="2"/>
        <v>2026</v>
      </c>
      <c r="CD38" s="314">
        <f t="shared" si="3"/>
        <v>3</v>
      </c>
      <c r="CE38" s="314">
        <f t="shared" si="4"/>
        <v>1</v>
      </c>
      <c r="CF38" s="314">
        <f t="shared" si="5"/>
        <v>1</v>
      </c>
      <c r="CG38" s="314">
        <f t="shared" si="6"/>
        <v>-5</v>
      </c>
      <c r="CH38" s="315">
        <f>VLOOKUP(CL38,'PRODUCT_COGS&amp;PRICE'!A:E,5,false)</f>
        <v>33</v>
      </c>
      <c r="CI38" s="306">
        <f t="shared" si="7"/>
        <v>-2.815</v>
      </c>
      <c r="CJ38" s="316">
        <f t="shared" si="8"/>
        <v>0</v>
      </c>
      <c r="CK38" s="316">
        <f t="shared" si="9"/>
        <v>15</v>
      </c>
      <c r="CL38" s="314" t="str">
        <f>VLOOKUP(R38,PRODUCT_MAP!A:B,2,FALSE)</f>
        <v>Lea_Bag_Zebra_Dark</v>
      </c>
      <c r="CM38" s="314" t="str">
        <f>VLOOKUP(R38,PRODUCT_MAP!A:E,3,FALSE)</f>
        <v>Lea Bag</v>
      </c>
    </row>
    <row r="39" ht="22.5" customHeight="1">
      <c r="A39" s="308" t="s">
        <v>3318</v>
      </c>
      <c r="B39" s="308"/>
      <c r="C39" s="308" t="s">
        <v>2942</v>
      </c>
      <c r="D39" s="308" t="s">
        <v>3319</v>
      </c>
      <c r="E39" s="308" t="s">
        <v>3013</v>
      </c>
      <c r="F39" s="308"/>
      <c r="G39" s="308" t="s">
        <v>2965</v>
      </c>
      <c r="H39" s="308" t="s">
        <v>2947</v>
      </c>
      <c r="I39" s="308">
        <v>120.0</v>
      </c>
      <c r="J39" s="308">
        <v>0.0</v>
      </c>
      <c r="K39" s="308">
        <v>21.64</v>
      </c>
      <c r="L39" s="308">
        <v>120.0</v>
      </c>
      <c r="M39" s="308"/>
      <c r="N39" s="308">
        <v>0.0</v>
      </c>
      <c r="O39" s="308" t="s">
        <v>2979</v>
      </c>
      <c r="P39" s="308" t="s">
        <v>3320</v>
      </c>
      <c r="Q39" s="310">
        <v>1.0</v>
      </c>
      <c r="R39" s="308" t="s">
        <v>509</v>
      </c>
      <c r="S39" s="308">
        <v>120.0</v>
      </c>
      <c r="T39" s="311"/>
      <c r="U39" s="308" t="s">
        <v>161</v>
      </c>
      <c r="V39" s="308" t="b">
        <v>1</v>
      </c>
      <c r="W39" s="308" t="b">
        <v>1</v>
      </c>
      <c r="X39" s="311"/>
      <c r="Y39" s="308" t="s">
        <v>3321</v>
      </c>
      <c r="Z39" s="308" t="s">
        <v>3322</v>
      </c>
      <c r="AA39" s="308" t="s">
        <v>3322</v>
      </c>
      <c r="AB39" s="311"/>
      <c r="AC39" s="311"/>
      <c r="AD39" s="308" t="s">
        <v>23</v>
      </c>
      <c r="AE39" s="308">
        <v>20129.0</v>
      </c>
      <c r="AF39" s="308" t="s">
        <v>2954</v>
      </c>
      <c r="AG39" s="308" t="s">
        <v>2955</v>
      </c>
      <c r="AH39" s="311"/>
      <c r="AI39" s="311"/>
      <c r="AJ39" s="311"/>
      <c r="AK39" s="311"/>
      <c r="AL39" s="311"/>
      <c r="AM39" s="311"/>
      <c r="AN39" s="311"/>
      <c r="AO39" s="311"/>
      <c r="AP39" s="311"/>
      <c r="AQ39" s="311"/>
      <c r="AR39" s="311"/>
      <c r="AS39" s="311"/>
      <c r="AT39" s="311"/>
      <c r="AU39" s="311"/>
      <c r="AV39" s="308" t="s">
        <v>2956</v>
      </c>
      <c r="AW39" s="308">
        <v>4.7129586827591E13</v>
      </c>
      <c r="AX39" s="310">
        <v>0.0</v>
      </c>
      <c r="AY39" s="308" t="s">
        <v>2974</v>
      </c>
      <c r="AZ39" s="308">
        <v>0.0</v>
      </c>
      <c r="BA39" s="311"/>
      <c r="BB39" s="311"/>
      <c r="BC39" s="311"/>
      <c r="BD39" s="308">
        <v>7.440064872775E12</v>
      </c>
      <c r="BE39" s="311"/>
      <c r="BF39" s="311"/>
      <c r="BG39" s="308" t="s">
        <v>2958</v>
      </c>
      <c r="BH39" s="308">
        <v>0.0</v>
      </c>
      <c r="BI39" s="308" t="s">
        <v>2959</v>
      </c>
      <c r="BJ39" s="308">
        <v>21.64</v>
      </c>
      <c r="BK39" s="311"/>
      <c r="BL39" s="311"/>
      <c r="BM39" s="311"/>
      <c r="BN39" s="311"/>
      <c r="BO39" s="311"/>
      <c r="BP39" s="311"/>
      <c r="BQ39" s="311"/>
      <c r="BR39" s="311"/>
      <c r="BS39" s="318" t="s">
        <v>3323</v>
      </c>
      <c r="BT39" s="311"/>
      <c r="BU39" s="311"/>
      <c r="BV39" s="308" t="s">
        <v>23</v>
      </c>
      <c r="BW39" s="311"/>
      <c r="BX39" s="308" t="s">
        <v>2956</v>
      </c>
      <c r="BY39" s="311"/>
      <c r="BZ39" s="311"/>
      <c r="CA39" s="308" t="s">
        <v>2956</v>
      </c>
      <c r="CB39" s="312" t="str">
        <f t="shared" si="1"/>
        <v>11/03/2026</v>
      </c>
      <c r="CC39" s="313">
        <f t="shared" si="2"/>
        <v>2026</v>
      </c>
      <c r="CD39" s="314">
        <f t="shared" si="3"/>
        <v>3</v>
      </c>
      <c r="CE39" s="314">
        <f t="shared" si="4"/>
        <v>1</v>
      </c>
      <c r="CF39" s="314">
        <f t="shared" si="5"/>
        <v>1</v>
      </c>
      <c r="CG39" s="314">
        <f t="shared" si="6"/>
        <v>-5</v>
      </c>
      <c r="CH39" s="315">
        <f>VLOOKUP(CL39,'PRODUCT_COGS&amp;PRICE'!A:E,5,false)</f>
        <v>30.33</v>
      </c>
      <c r="CI39" s="306">
        <f t="shared" si="7"/>
        <v>-2.53</v>
      </c>
      <c r="CJ39" s="316">
        <f t="shared" si="8"/>
        <v>0</v>
      </c>
      <c r="CK39" s="316">
        <f t="shared" si="9"/>
        <v>0</v>
      </c>
      <c r="CL39" s="314" t="str">
        <f>VLOOKUP(R39,PRODUCT_MAP!A:B,2,FALSE)</f>
        <v>Lea_Bag_COCCO_BLACK</v>
      </c>
      <c r="CM39" s="314" t="str">
        <f>VLOOKUP(R39,PRODUCT_MAP!A:E,3,FALSE)</f>
        <v>Lea Bag</v>
      </c>
    </row>
    <row r="40" ht="22.5" customHeight="1">
      <c r="A40" s="308" t="s">
        <v>3324</v>
      </c>
      <c r="B40" s="308" t="s">
        <v>3325</v>
      </c>
      <c r="C40" s="308" t="s">
        <v>2942</v>
      </c>
      <c r="D40" s="308" t="s">
        <v>3326</v>
      </c>
      <c r="E40" s="308" t="s">
        <v>3013</v>
      </c>
      <c r="F40" s="308"/>
      <c r="G40" s="308" t="s">
        <v>2965</v>
      </c>
      <c r="H40" s="308" t="s">
        <v>2947</v>
      </c>
      <c r="I40" s="308">
        <v>120.0</v>
      </c>
      <c r="J40" s="308">
        <v>0.0</v>
      </c>
      <c r="K40" s="308">
        <v>21.64</v>
      </c>
      <c r="L40" s="308">
        <v>120.0</v>
      </c>
      <c r="M40" s="308"/>
      <c r="N40" s="308">
        <v>0.0</v>
      </c>
      <c r="O40" s="308" t="s">
        <v>2948</v>
      </c>
      <c r="P40" s="308" t="s">
        <v>3327</v>
      </c>
      <c r="Q40" s="310">
        <v>1.0</v>
      </c>
      <c r="R40" s="308" t="s">
        <v>3233</v>
      </c>
      <c r="S40" s="308">
        <v>120.0</v>
      </c>
      <c r="T40" s="311"/>
      <c r="U40" s="308" t="s">
        <v>3234</v>
      </c>
      <c r="V40" s="308" t="b">
        <v>1</v>
      </c>
      <c r="W40" s="308" t="b">
        <v>1</v>
      </c>
      <c r="X40" s="308" t="s">
        <v>2944</v>
      </c>
      <c r="Y40" s="308" t="s">
        <v>3328</v>
      </c>
      <c r="Z40" s="308" t="s">
        <v>3329</v>
      </c>
      <c r="AA40" s="308" t="s">
        <v>3329</v>
      </c>
      <c r="AB40" s="311"/>
      <c r="AC40" s="311"/>
      <c r="AD40" s="308" t="s">
        <v>3330</v>
      </c>
      <c r="AE40" s="308">
        <v>4010.0</v>
      </c>
      <c r="AF40" s="308" t="s">
        <v>3331</v>
      </c>
      <c r="AG40" s="308" t="s">
        <v>2955</v>
      </c>
      <c r="AH40" s="311"/>
      <c r="AI40" s="308" t="s">
        <v>3328</v>
      </c>
      <c r="AJ40" s="308" t="s">
        <v>3332</v>
      </c>
      <c r="AK40" s="308" t="s">
        <v>3333</v>
      </c>
      <c r="AL40" s="308" t="s">
        <v>3334</v>
      </c>
      <c r="AM40" s="311"/>
      <c r="AN40" s="308" t="s">
        <v>3330</v>
      </c>
      <c r="AO40" s="308">
        <v>4010.0</v>
      </c>
      <c r="AP40" s="308" t="s">
        <v>3331</v>
      </c>
      <c r="AQ40" s="308" t="s">
        <v>2955</v>
      </c>
      <c r="AR40" s="308">
        <v>3.317046848E9</v>
      </c>
      <c r="AS40" s="311"/>
      <c r="AT40" s="311"/>
      <c r="AU40" s="311"/>
      <c r="AV40" s="308" t="s">
        <v>2956</v>
      </c>
      <c r="AW40" s="308">
        <v>4.7130772898119E13</v>
      </c>
      <c r="AX40" s="310">
        <v>0.0</v>
      </c>
      <c r="AY40" s="308" t="s">
        <v>2974</v>
      </c>
      <c r="AZ40" s="308">
        <v>0.0</v>
      </c>
      <c r="BA40" s="311"/>
      <c r="BB40" s="311"/>
      <c r="BC40" s="311"/>
      <c r="BD40" s="308">
        <v>7.440219767111E12</v>
      </c>
      <c r="BE40" s="311"/>
      <c r="BF40" s="311"/>
      <c r="BG40" s="308" t="s">
        <v>2958</v>
      </c>
      <c r="BH40" s="308">
        <v>0.0</v>
      </c>
      <c r="BI40" s="308" t="s">
        <v>2959</v>
      </c>
      <c r="BJ40" s="308">
        <v>21.64</v>
      </c>
      <c r="BK40" s="311"/>
      <c r="BL40" s="311"/>
      <c r="BM40" s="311"/>
      <c r="BN40" s="311"/>
      <c r="BO40" s="311"/>
      <c r="BP40" s="311"/>
      <c r="BQ40" s="311"/>
      <c r="BR40" s="311"/>
      <c r="BS40" s="311"/>
      <c r="BT40" s="311"/>
      <c r="BU40" s="311"/>
      <c r="BV40" s="308" t="s">
        <v>3335</v>
      </c>
      <c r="BW40" s="308" t="s">
        <v>3335</v>
      </c>
      <c r="BX40" s="308" t="s">
        <v>2956</v>
      </c>
      <c r="BY40" s="311"/>
      <c r="BZ40" s="311"/>
      <c r="CA40" s="308" t="s">
        <v>2956</v>
      </c>
      <c r="CB40" s="312" t="str">
        <f t="shared" si="1"/>
        <v>11/03/2026</v>
      </c>
      <c r="CC40" s="313">
        <f t="shared" si="2"/>
        <v>2026</v>
      </c>
      <c r="CD40" s="314">
        <f t="shared" si="3"/>
        <v>3</v>
      </c>
      <c r="CE40" s="314">
        <f t="shared" si="4"/>
        <v>1</v>
      </c>
      <c r="CF40" s="314">
        <f t="shared" si="5"/>
        <v>1</v>
      </c>
      <c r="CG40" s="314">
        <f t="shared" si="6"/>
        <v>-5</v>
      </c>
      <c r="CH40" s="315">
        <f>VLOOKUP(CL40,'PRODUCT_COGS&amp;PRICE'!A:E,5,false)</f>
        <v>20</v>
      </c>
      <c r="CI40" s="306">
        <f t="shared" si="7"/>
        <v>-2.53</v>
      </c>
      <c r="CJ40" s="316">
        <f t="shared" si="8"/>
        <v>0</v>
      </c>
      <c r="CK40" s="316">
        <f t="shared" si="9"/>
        <v>0</v>
      </c>
      <c r="CL40" s="314" t="str">
        <f>VLOOKUP(R40,PRODUCT_MAP!A:B,2,FALSE)</f>
        <v>Lea_Bag_SMOOTH_BROWN_LEATHER</v>
      </c>
      <c r="CM40" s="314" t="str">
        <f>VLOOKUP(R40,PRODUCT_MAP!A:E,3,FALSE)</f>
        <v>Lea Bag</v>
      </c>
    </row>
    <row r="41" ht="22.5" customHeight="1">
      <c r="A41" s="308" t="s">
        <v>3336</v>
      </c>
      <c r="B41" s="308" t="s">
        <v>3337</v>
      </c>
      <c r="C41" s="308" t="s">
        <v>2942</v>
      </c>
      <c r="D41" s="308" t="s">
        <v>3338</v>
      </c>
      <c r="E41" s="308" t="s">
        <v>3013</v>
      </c>
      <c r="F41" s="308"/>
      <c r="G41" s="308" t="s">
        <v>2946</v>
      </c>
      <c r="H41" s="308" t="s">
        <v>2947</v>
      </c>
      <c r="I41" s="308">
        <v>135.0</v>
      </c>
      <c r="J41" s="308">
        <v>0.0</v>
      </c>
      <c r="K41" s="308">
        <v>24.34</v>
      </c>
      <c r="L41" s="308">
        <v>135.0</v>
      </c>
      <c r="M41" s="308" t="s">
        <v>3094</v>
      </c>
      <c r="N41" s="308">
        <v>15.0</v>
      </c>
      <c r="O41" s="308" t="s">
        <v>2948</v>
      </c>
      <c r="P41" s="308" t="s">
        <v>3339</v>
      </c>
      <c r="Q41" s="310">
        <v>1.0</v>
      </c>
      <c r="R41" s="308" t="s">
        <v>3214</v>
      </c>
      <c r="S41" s="308">
        <v>150.0</v>
      </c>
      <c r="T41" s="311"/>
      <c r="U41" s="308" t="s">
        <v>229</v>
      </c>
      <c r="V41" s="308" t="b">
        <v>1</v>
      </c>
      <c r="W41" s="308" t="b">
        <v>1</v>
      </c>
      <c r="X41" s="308" t="s">
        <v>2944</v>
      </c>
      <c r="Y41" s="308" t="s">
        <v>3340</v>
      </c>
      <c r="Z41" s="308" t="s">
        <v>3341</v>
      </c>
      <c r="AA41" s="308" t="s">
        <v>3341</v>
      </c>
      <c r="AB41" s="311"/>
      <c r="AC41" s="311"/>
      <c r="AD41" s="308" t="s">
        <v>3342</v>
      </c>
      <c r="AE41" s="308">
        <v>19038.0</v>
      </c>
      <c r="AF41" s="308" t="s">
        <v>3343</v>
      </c>
      <c r="AG41" s="308" t="s">
        <v>2955</v>
      </c>
      <c r="AH41" s="308">
        <v>3.319996869E9</v>
      </c>
      <c r="AI41" s="308" t="s">
        <v>3340</v>
      </c>
      <c r="AJ41" s="308" t="s">
        <v>3341</v>
      </c>
      <c r="AK41" s="308" t="s">
        <v>3341</v>
      </c>
      <c r="AL41" s="311"/>
      <c r="AM41" s="311"/>
      <c r="AN41" s="308" t="s">
        <v>3342</v>
      </c>
      <c r="AO41" s="308">
        <v>19038.0</v>
      </c>
      <c r="AP41" s="308" t="s">
        <v>3343</v>
      </c>
      <c r="AQ41" s="308" t="s">
        <v>2955</v>
      </c>
      <c r="AR41" s="308">
        <v>3.319996869E9</v>
      </c>
      <c r="AS41" s="311"/>
      <c r="AT41" s="311"/>
      <c r="AU41" s="311"/>
      <c r="AV41" s="308" t="s">
        <v>3009</v>
      </c>
      <c r="AW41" s="308">
        <v>4.7144856486215E13</v>
      </c>
      <c r="AX41" s="310">
        <v>0.0</v>
      </c>
      <c r="AY41" s="308" t="s">
        <v>2974</v>
      </c>
      <c r="AZ41" s="308">
        <v>0.0</v>
      </c>
      <c r="BA41" s="311"/>
      <c r="BB41" s="311"/>
      <c r="BC41" s="311"/>
      <c r="BD41" s="308">
        <v>7.441657561415E12</v>
      </c>
      <c r="BE41" s="311"/>
      <c r="BF41" s="311"/>
      <c r="BG41" s="308" t="s">
        <v>2958</v>
      </c>
      <c r="BH41" s="308">
        <v>0.0</v>
      </c>
      <c r="BI41" s="308" t="s">
        <v>2959</v>
      </c>
      <c r="BJ41" s="308">
        <v>24.34</v>
      </c>
      <c r="BK41" s="311"/>
      <c r="BL41" s="311"/>
      <c r="BM41" s="311"/>
      <c r="BN41" s="311"/>
      <c r="BO41" s="311"/>
      <c r="BP41" s="311"/>
      <c r="BQ41" s="311"/>
      <c r="BR41" s="311"/>
      <c r="BS41" s="311"/>
      <c r="BT41" s="311"/>
      <c r="BU41" s="311"/>
      <c r="BV41" s="308" t="s">
        <v>3344</v>
      </c>
      <c r="BW41" s="308" t="s">
        <v>3344</v>
      </c>
      <c r="BX41" s="308" t="s">
        <v>3009</v>
      </c>
      <c r="BY41" s="311"/>
      <c r="BZ41" s="311"/>
      <c r="CA41" s="308" t="s">
        <v>3009</v>
      </c>
      <c r="CB41" s="312" t="str">
        <f t="shared" si="1"/>
        <v>11/03/2026</v>
      </c>
      <c r="CC41" s="313">
        <f t="shared" si="2"/>
        <v>2026</v>
      </c>
      <c r="CD41" s="314">
        <f t="shared" si="3"/>
        <v>3</v>
      </c>
      <c r="CE41" s="314">
        <f t="shared" si="4"/>
        <v>1</v>
      </c>
      <c r="CF41" s="314">
        <f t="shared" si="5"/>
        <v>1</v>
      </c>
      <c r="CG41" s="314">
        <f t="shared" si="6"/>
        <v>-5</v>
      </c>
      <c r="CH41" s="315">
        <f>VLOOKUP(CL41,'PRODUCT_COGS&amp;PRICE'!A:E,5,false)</f>
        <v>33</v>
      </c>
      <c r="CI41" s="306">
        <f t="shared" si="7"/>
        <v>-5.0615</v>
      </c>
      <c r="CJ41" s="316">
        <f t="shared" si="8"/>
        <v>0</v>
      </c>
      <c r="CK41" s="316">
        <f t="shared" si="9"/>
        <v>15</v>
      </c>
      <c r="CL41" s="314" t="str">
        <f>VLOOKUP(R41,PRODUCT_MAP!A:B,2,FALSE)</f>
        <v>Lea_Bag_ZEBRA</v>
      </c>
      <c r="CM41" s="314" t="str">
        <f>VLOOKUP(R41,PRODUCT_MAP!A:E,3,FALSE)</f>
        <v>Lea Bag</v>
      </c>
    </row>
    <row r="42" ht="22.5" customHeight="1">
      <c r="A42" s="308" t="s">
        <v>3345</v>
      </c>
      <c r="B42" s="308" t="s">
        <v>3346</v>
      </c>
      <c r="C42" s="308" t="s">
        <v>2942</v>
      </c>
      <c r="D42" s="308" t="s">
        <v>3347</v>
      </c>
      <c r="E42" s="308" t="s">
        <v>3013</v>
      </c>
      <c r="F42" s="308"/>
      <c r="G42" s="308" t="s">
        <v>2946</v>
      </c>
      <c r="H42" s="308" t="s">
        <v>2947</v>
      </c>
      <c r="I42" s="308">
        <v>120.0</v>
      </c>
      <c r="J42" s="308">
        <v>0.0</v>
      </c>
      <c r="K42" s="308">
        <v>21.64</v>
      </c>
      <c r="L42" s="308">
        <v>120.0</v>
      </c>
      <c r="M42" s="308"/>
      <c r="N42" s="308">
        <v>0.0</v>
      </c>
      <c r="O42" s="308" t="s">
        <v>2948</v>
      </c>
      <c r="P42" s="308" t="s">
        <v>3348</v>
      </c>
      <c r="Q42" s="310">
        <v>1.0</v>
      </c>
      <c r="R42" s="308" t="s">
        <v>509</v>
      </c>
      <c r="S42" s="308">
        <v>120.0</v>
      </c>
      <c r="T42" s="311"/>
      <c r="U42" s="308" t="s">
        <v>161</v>
      </c>
      <c r="V42" s="308" t="b">
        <v>1</v>
      </c>
      <c r="W42" s="308" t="b">
        <v>1</v>
      </c>
      <c r="X42" s="308" t="s">
        <v>2944</v>
      </c>
      <c r="Y42" s="308" t="s">
        <v>3349</v>
      </c>
      <c r="Z42" s="308" t="s">
        <v>3350</v>
      </c>
      <c r="AA42" s="308" t="s">
        <v>3351</v>
      </c>
      <c r="AB42" s="308" t="s">
        <v>3352</v>
      </c>
      <c r="AC42" s="311"/>
      <c r="AD42" s="308" t="s">
        <v>3353</v>
      </c>
      <c r="AE42" s="308">
        <v>20063.0</v>
      </c>
      <c r="AF42" s="308" t="s">
        <v>2954</v>
      </c>
      <c r="AG42" s="308" t="s">
        <v>2955</v>
      </c>
      <c r="AH42" s="308">
        <v>3.458762357E9</v>
      </c>
      <c r="AI42" s="308" t="s">
        <v>3349</v>
      </c>
      <c r="AJ42" s="308" t="s">
        <v>3350</v>
      </c>
      <c r="AK42" s="308" t="s">
        <v>3351</v>
      </c>
      <c r="AL42" s="308" t="s">
        <v>3352</v>
      </c>
      <c r="AM42" s="311"/>
      <c r="AN42" s="308" t="s">
        <v>3353</v>
      </c>
      <c r="AO42" s="308">
        <v>20063.0</v>
      </c>
      <c r="AP42" s="308" t="s">
        <v>2954</v>
      </c>
      <c r="AQ42" s="308" t="s">
        <v>2955</v>
      </c>
      <c r="AR42" s="308">
        <v>3.458762357E9</v>
      </c>
      <c r="AS42" s="311"/>
      <c r="AT42" s="311"/>
      <c r="AU42" s="311"/>
      <c r="AV42" s="308" t="s">
        <v>3009</v>
      </c>
      <c r="AW42" s="308">
        <v>4.7056196010311E13</v>
      </c>
      <c r="AX42" s="310">
        <v>0.0</v>
      </c>
      <c r="AY42" s="308" t="s">
        <v>2974</v>
      </c>
      <c r="AZ42" s="308">
        <v>0.0</v>
      </c>
      <c r="BA42" s="311"/>
      <c r="BB42" s="311"/>
      <c r="BC42" s="311"/>
      <c r="BD42" s="308">
        <v>7.442319212871E12</v>
      </c>
      <c r="BE42" s="311"/>
      <c r="BF42" s="311"/>
      <c r="BG42" s="308" t="s">
        <v>2958</v>
      </c>
      <c r="BH42" s="308">
        <v>0.0</v>
      </c>
      <c r="BI42" s="308" t="s">
        <v>2959</v>
      </c>
      <c r="BJ42" s="308">
        <v>21.64</v>
      </c>
      <c r="BK42" s="311"/>
      <c r="BL42" s="311"/>
      <c r="BM42" s="311"/>
      <c r="BN42" s="311"/>
      <c r="BO42" s="311"/>
      <c r="BP42" s="311"/>
      <c r="BQ42" s="311"/>
      <c r="BR42" s="311"/>
      <c r="BS42" s="311"/>
      <c r="BT42" s="311"/>
      <c r="BU42" s="311"/>
      <c r="BV42" s="308" t="s">
        <v>23</v>
      </c>
      <c r="BW42" s="308" t="s">
        <v>23</v>
      </c>
      <c r="BX42" s="308" t="s">
        <v>3009</v>
      </c>
      <c r="BY42" s="311"/>
      <c r="BZ42" s="311"/>
      <c r="CA42" s="308" t="s">
        <v>3009</v>
      </c>
      <c r="CB42" s="312" t="str">
        <f t="shared" si="1"/>
        <v>12/03/2026</v>
      </c>
      <c r="CC42" s="313">
        <f t="shared" si="2"/>
        <v>2026</v>
      </c>
      <c r="CD42" s="314">
        <f t="shared" si="3"/>
        <v>3</v>
      </c>
      <c r="CE42" s="314">
        <f t="shared" si="4"/>
        <v>1</v>
      </c>
      <c r="CF42" s="314">
        <f t="shared" si="5"/>
        <v>1</v>
      </c>
      <c r="CG42" s="314">
        <f t="shared" si="6"/>
        <v>-5</v>
      </c>
      <c r="CH42" s="315">
        <f>VLOOKUP(CL42,'PRODUCT_COGS&amp;PRICE'!A:E,5,false)</f>
        <v>30.33</v>
      </c>
      <c r="CI42" s="306">
        <f t="shared" si="7"/>
        <v>-4.538</v>
      </c>
      <c r="CJ42" s="316">
        <f t="shared" si="8"/>
        <v>0</v>
      </c>
      <c r="CK42" s="316">
        <f t="shared" si="9"/>
        <v>0</v>
      </c>
      <c r="CL42" s="314" t="str">
        <f>VLOOKUP(R42,PRODUCT_MAP!A:B,2,FALSE)</f>
        <v>Lea_Bag_COCCO_BLACK</v>
      </c>
      <c r="CM42" s="314" t="str">
        <f>VLOOKUP(R42,PRODUCT_MAP!A:E,3,FALSE)</f>
        <v>Lea Bag</v>
      </c>
    </row>
    <row r="43" ht="22.5" customHeight="1">
      <c r="A43" s="308" t="s">
        <v>3354</v>
      </c>
      <c r="B43" s="308" t="s">
        <v>3355</v>
      </c>
      <c r="C43" s="308" t="s">
        <v>2942</v>
      </c>
      <c r="D43" s="308" t="s">
        <v>3356</v>
      </c>
      <c r="E43" s="308" t="s">
        <v>2944</v>
      </c>
      <c r="F43" s="308" t="s">
        <v>3357</v>
      </c>
      <c r="G43" s="308" t="s">
        <v>2946</v>
      </c>
      <c r="H43" s="308" t="s">
        <v>2947</v>
      </c>
      <c r="I43" s="308">
        <v>135.0</v>
      </c>
      <c r="J43" s="308">
        <v>0.0</v>
      </c>
      <c r="K43" s="308">
        <v>24.34</v>
      </c>
      <c r="L43" s="308">
        <v>135.0</v>
      </c>
      <c r="M43" s="308" t="s">
        <v>3094</v>
      </c>
      <c r="N43" s="308">
        <v>15.0</v>
      </c>
      <c r="O43" s="308" t="s">
        <v>2948</v>
      </c>
      <c r="P43" s="308" t="s">
        <v>3358</v>
      </c>
      <c r="Q43" s="310">
        <v>1.0</v>
      </c>
      <c r="R43" s="308" t="s">
        <v>3214</v>
      </c>
      <c r="S43" s="308">
        <v>150.0</v>
      </c>
      <c r="T43" s="311"/>
      <c r="U43" s="308" t="s">
        <v>229</v>
      </c>
      <c r="V43" s="308" t="b">
        <v>1</v>
      </c>
      <c r="W43" s="308" t="b">
        <v>1</v>
      </c>
      <c r="X43" s="308" t="s">
        <v>2944</v>
      </c>
      <c r="Y43" s="308" t="s">
        <v>3359</v>
      </c>
      <c r="Z43" s="308" t="s">
        <v>3360</v>
      </c>
      <c r="AA43" s="308" t="s">
        <v>3360</v>
      </c>
      <c r="AB43" s="311"/>
      <c r="AC43" s="311"/>
      <c r="AD43" s="308" t="s">
        <v>3081</v>
      </c>
      <c r="AE43" s="308">
        <v>161.0</v>
      </c>
      <c r="AF43" s="308" t="s">
        <v>3082</v>
      </c>
      <c r="AG43" s="308" t="s">
        <v>2955</v>
      </c>
      <c r="AH43" s="308">
        <v>3.278529415E9</v>
      </c>
      <c r="AI43" s="308" t="s">
        <v>3359</v>
      </c>
      <c r="AJ43" s="308" t="s">
        <v>3360</v>
      </c>
      <c r="AK43" s="308" t="s">
        <v>3360</v>
      </c>
      <c r="AL43" s="311"/>
      <c r="AM43" s="311"/>
      <c r="AN43" s="308" t="s">
        <v>3081</v>
      </c>
      <c r="AO43" s="308">
        <v>161.0</v>
      </c>
      <c r="AP43" s="308" t="s">
        <v>3082</v>
      </c>
      <c r="AQ43" s="308" t="s">
        <v>2955</v>
      </c>
      <c r="AR43" s="308">
        <v>3.278529415E9</v>
      </c>
      <c r="AS43" s="311"/>
      <c r="AT43" s="311"/>
      <c r="AU43" s="311"/>
      <c r="AV43" s="308" t="s">
        <v>2956</v>
      </c>
      <c r="AW43" s="308">
        <v>4.7168636813639E13</v>
      </c>
      <c r="AX43" s="310">
        <v>0.0</v>
      </c>
      <c r="AY43" s="308" t="s">
        <v>2974</v>
      </c>
      <c r="AZ43" s="308">
        <v>0.0</v>
      </c>
      <c r="BA43" s="311"/>
      <c r="BB43" s="311"/>
      <c r="BC43" s="311"/>
      <c r="BD43" s="308">
        <v>7.443001835847E12</v>
      </c>
      <c r="BE43" s="311"/>
      <c r="BF43" s="311"/>
      <c r="BG43" s="308" t="s">
        <v>2958</v>
      </c>
      <c r="BH43" s="308">
        <v>0.0</v>
      </c>
      <c r="BI43" s="308" t="s">
        <v>2959</v>
      </c>
      <c r="BJ43" s="308">
        <v>24.34</v>
      </c>
      <c r="BK43" s="311"/>
      <c r="BL43" s="311"/>
      <c r="BM43" s="311"/>
      <c r="BN43" s="311"/>
      <c r="BO43" s="311"/>
      <c r="BP43" s="311"/>
      <c r="BQ43" s="311"/>
      <c r="BR43" s="311"/>
      <c r="BS43" s="311"/>
      <c r="BT43" s="311"/>
      <c r="BU43" s="311"/>
      <c r="BV43" s="308" t="s">
        <v>3081</v>
      </c>
      <c r="BW43" s="308" t="s">
        <v>3081</v>
      </c>
      <c r="BX43" s="308" t="s">
        <v>2956</v>
      </c>
      <c r="BY43" s="311"/>
      <c r="BZ43" s="311"/>
      <c r="CA43" s="308" t="s">
        <v>2956</v>
      </c>
      <c r="CB43" s="312" t="str">
        <f t="shared" si="1"/>
        <v>12/03/2026</v>
      </c>
      <c r="CC43" s="313">
        <f t="shared" si="2"/>
        <v>2026</v>
      </c>
      <c r="CD43" s="314">
        <f t="shared" si="3"/>
        <v>3</v>
      </c>
      <c r="CE43" s="314">
        <f t="shared" si="4"/>
        <v>1</v>
      </c>
      <c r="CF43" s="314">
        <f t="shared" si="5"/>
        <v>1</v>
      </c>
      <c r="CG43" s="314">
        <f t="shared" si="6"/>
        <v>-5</v>
      </c>
      <c r="CH43" s="315">
        <f>VLOOKUP(CL43,'PRODUCT_COGS&amp;PRICE'!A:E,5,false)</f>
        <v>33</v>
      </c>
      <c r="CI43" s="306">
        <f t="shared" si="7"/>
        <v>-2.815</v>
      </c>
      <c r="CJ43" s="316">
        <f t="shared" si="8"/>
        <v>0</v>
      </c>
      <c r="CK43" s="316">
        <f t="shared" si="9"/>
        <v>15</v>
      </c>
      <c r="CL43" s="314" t="str">
        <f>VLOOKUP(R43,PRODUCT_MAP!A:B,2,FALSE)</f>
        <v>Lea_Bag_ZEBRA</v>
      </c>
      <c r="CM43" s="314" t="str">
        <f>VLOOKUP(R43,PRODUCT_MAP!A:E,3,FALSE)</f>
        <v>Lea Bag</v>
      </c>
    </row>
    <row r="44" ht="22.5" customHeight="1">
      <c r="A44" s="308" t="s">
        <v>3361</v>
      </c>
      <c r="B44" s="308" t="s">
        <v>3362</v>
      </c>
      <c r="C44" s="308" t="s">
        <v>2942</v>
      </c>
      <c r="D44" s="308" t="s">
        <v>3363</v>
      </c>
      <c r="E44" s="308" t="s">
        <v>2944</v>
      </c>
      <c r="F44" s="308" t="s">
        <v>3364</v>
      </c>
      <c r="G44" s="308" t="s">
        <v>2946</v>
      </c>
      <c r="H44" s="308" t="s">
        <v>2947</v>
      </c>
      <c r="I44" s="308">
        <v>108.0</v>
      </c>
      <c r="J44" s="308">
        <v>0.0</v>
      </c>
      <c r="K44" s="308">
        <v>19.48</v>
      </c>
      <c r="L44" s="308">
        <v>108.0</v>
      </c>
      <c r="M44" s="308" t="s">
        <v>3094</v>
      </c>
      <c r="N44" s="308">
        <v>12.0</v>
      </c>
      <c r="O44" s="308" t="s">
        <v>2948</v>
      </c>
      <c r="P44" s="308" t="s">
        <v>3365</v>
      </c>
      <c r="Q44" s="310">
        <v>1.0</v>
      </c>
      <c r="R44" s="308" t="s">
        <v>607</v>
      </c>
      <c r="S44" s="308">
        <v>120.0</v>
      </c>
      <c r="T44" s="311"/>
      <c r="U44" s="308" t="s">
        <v>207</v>
      </c>
      <c r="V44" s="308" t="b">
        <v>1</v>
      </c>
      <c r="W44" s="308" t="b">
        <v>1</v>
      </c>
      <c r="X44" s="308" t="s">
        <v>2944</v>
      </c>
      <c r="Y44" s="308" t="s">
        <v>3366</v>
      </c>
      <c r="Z44" s="308" t="s">
        <v>3367</v>
      </c>
      <c r="AA44" s="308" t="s">
        <v>3367</v>
      </c>
      <c r="AB44" s="311"/>
      <c r="AC44" s="311"/>
      <c r="AD44" s="308" t="s">
        <v>3368</v>
      </c>
      <c r="AE44" s="308">
        <v>62020.0</v>
      </c>
      <c r="AF44" s="308" t="s">
        <v>3369</v>
      </c>
      <c r="AG44" s="308" t="s">
        <v>2955</v>
      </c>
      <c r="AH44" s="308">
        <v>3.398390369E9</v>
      </c>
      <c r="AI44" s="308" t="s">
        <v>3366</v>
      </c>
      <c r="AJ44" s="308" t="s">
        <v>3367</v>
      </c>
      <c r="AK44" s="308" t="s">
        <v>3367</v>
      </c>
      <c r="AL44" s="311"/>
      <c r="AM44" s="311"/>
      <c r="AN44" s="308" t="s">
        <v>3368</v>
      </c>
      <c r="AO44" s="308">
        <v>62020.0</v>
      </c>
      <c r="AP44" s="308" t="s">
        <v>3369</v>
      </c>
      <c r="AQ44" s="308" t="s">
        <v>2955</v>
      </c>
      <c r="AR44" s="308">
        <v>3.398390369E9</v>
      </c>
      <c r="AS44" s="311"/>
      <c r="AT44" s="311"/>
      <c r="AU44" s="311"/>
      <c r="AV44" s="308" t="s">
        <v>2956</v>
      </c>
      <c r="AW44" s="308">
        <v>4.7170937979207E13</v>
      </c>
      <c r="AX44" s="310">
        <v>0.0</v>
      </c>
      <c r="AY44" s="308" t="s">
        <v>2974</v>
      </c>
      <c r="AZ44" s="308">
        <v>0.0</v>
      </c>
      <c r="BA44" s="311"/>
      <c r="BB44" s="311"/>
      <c r="BC44" s="311"/>
      <c r="BD44" s="308">
        <v>7.443280396615E12</v>
      </c>
      <c r="BE44" s="311"/>
      <c r="BF44" s="311"/>
      <c r="BG44" s="308" t="s">
        <v>2958</v>
      </c>
      <c r="BH44" s="308">
        <v>0.0</v>
      </c>
      <c r="BI44" s="308" t="s">
        <v>2959</v>
      </c>
      <c r="BJ44" s="308">
        <v>19.48</v>
      </c>
      <c r="BK44" s="311"/>
      <c r="BL44" s="311"/>
      <c r="BM44" s="311"/>
      <c r="BN44" s="311"/>
      <c r="BO44" s="311"/>
      <c r="BP44" s="311"/>
      <c r="BQ44" s="311"/>
      <c r="BR44" s="311"/>
      <c r="BS44" s="311"/>
      <c r="BT44" s="311"/>
      <c r="BU44" s="311"/>
      <c r="BV44" s="308" t="s">
        <v>3370</v>
      </c>
      <c r="BW44" s="308" t="s">
        <v>3370</v>
      </c>
      <c r="BX44" s="308" t="s">
        <v>2956</v>
      </c>
      <c r="BY44" s="311"/>
      <c r="BZ44" s="311"/>
      <c r="CA44" s="308" t="s">
        <v>2956</v>
      </c>
      <c r="CB44" s="312" t="str">
        <f t="shared" si="1"/>
        <v>12/03/2026</v>
      </c>
      <c r="CC44" s="313">
        <f t="shared" si="2"/>
        <v>2026</v>
      </c>
      <c r="CD44" s="314">
        <f t="shared" si="3"/>
        <v>3</v>
      </c>
      <c r="CE44" s="314">
        <f t="shared" si="4"/>
        <v>1</v>
      </c>
      <c r="CF44" s="314">
        <f t="shared" si="5"/>
        <v>1</v>
      </c>
      <c r="CG44" s="314">
        <f t="shared" si="6"/>
        <v>-5</v>
      </c>
      <c r="CH44" s="315">
        <f>VLOOKUP(CL44,'PRODUCT_COGS&amp;PRICE'!A:E,5,false)</f>
        <v>26</v>
      </c>
      <c r="CI44" s="306">
        <f t="shared" si="7"/>
        <v>-2.302</v>
      </c>
      <c r="CJ44" s="316">
        <f t="shared" si="8"/>
        <v>0</v>
      </c>
      <c r="CK44" s="316">
        <f t="shared" si="9"/>
        <v>12</v>
      </c>
      <c r="CL44" s="314" t="str">
        <f>VLOOKUP(R44,PRODUCT_MAP!A:B,2,FALSE)</f>
        <v>Maria_Bag_RED_PIERCING</v>
      </c>
      <c r="CM44" s="314" t="str">
        <f>VLOOKUP(R44,PRODUCT_MAP!A:E,3,FALSE)</f>
        <v>Maria Bag</v>
      </c>
    </row>
    <row r="45" ht="22.5" customHeight="1">
      <c r="A45" s="308" t="s">
        <v>3371</v>
      </c>
      <c r="B45" s="308" t="s">
        <v>3372</v>
      </c>
      <c r="C45" s="308" t="s">
        <v>2942</v>
      </c>
      <c r="D45" s="308" t="s">
        <v>3373</v>
      </c>
      <c r="E45" s="308" t="s">
        <v>3013</v>
      </c>
      <c r="F45" s="308"/>
      <c r="G45" s="308" t="s">
        <v>2946</v>
      </c>
      <c r="H45" s="308" t="s">
        <v>2947</v>
      </c>
      <c r="I45" s="308">
        <v>108.0</v>
      </c>
      <c r="J45" s="308">
        <v>0.0</v>
      </c>
      <c r="K45" s="308">
        <v>19.48</v>
      </c>
      <c r="L45" s="308">
        <v>108.0</v>
      </c>
      <c r="M45" s="308" t="s">
        <v>3094</v>
      </c>
      <c r="N45" s="308">
        <v>12.0</v>
      </c>
      <c r="O45" s="308" t="s">
        <v>2948</v>
      </c>
      <c r="P45" s="308" t="s">
        <v>3374</v>
      </c>
      <c r="Q45" s="310">
        <v>1.0</v>
      </c>
      <c r="R45" s="308" t="s">
        <v>569</v>
      </c>
      <c r="S45" s="308">
        <v>120.0</v>
      </c>
      <c r="T45" s="311"/>
      <c r="U45" s="308" t="s">
        <v>3375</v>
      </c>
      <c r="V45" s="308" t="b">
        <v>1</v>
      </c>
      <c r="W45" s="308" t="b">
        <v>1</v>
      </c>
      <c r="X45" s="311"/>
      <c r="Y45" s="308" t="s">
        <v>3376</v>
      </c>
      <c r="Z45" s="308" t="s">
        <v>3377</v>
      </c>
      <c r="AA45" s="308" t="s">
        <v>3377</v>
      </c>
      <c r="AB45" s="311"/>
      <c r="AC45" s="311"/>
      <c r="AD45" s="308" t="s">
        <v>3378</v>
      </c>
      <c r="AE45" s="308">
        <v>76015.0</v>
      </c>
      <c r="AF45" s="308" t="s">
        <v>3379</v>
      </c>
      <c r="AG45" s="308" t="s">
        <v>2955</v>
      </c>
      <c r="AH45" s="308">
        <v>3.804780227E9</v>
      </c>
      <c r="AI45" s="308" t="s">
        <v>3376</v>
      </c>
      <c r="AJ45" s="308" t="s">
        <v>3377</v>
      </c>
      <c r="AK45" s="308" t="s">
        <v>3377</v>
      </c>
      <c r="AL45" s="311"/>
      <c r="AM45" s="311"/>
      <c r="AN45" s="308" t="s">
        <v>3378</v>
      </c>
      <c r="AO45" s="308">
        <v>76015.0</v>
      </c>
      <c r="AP45" s="308" t="s">
        <v>3379</v>
      </c>
      <c r="AQ45" s="308" t="s">
        <v>2955</v>
      </c>
      <c r="AR45" s="308">
        <v>3.804780227E9</v>
      </c>
      <c r="AS45" s="311"/>
      <c r="AT45" s="311"/>
      <c r="AU45" s="311"/>
      <c r="AV45" s="308" t="s">
        <v>3009</v>
      </c>
      <c r="AW45" s="308">
        <v>4.7068143976775E13</v>
      </c>
      <c r="AX45" s="310">
        <v>0.0</v>
      </c>
      <c r="AY45" s="308" t="s">
        <v>2974</v>
      </c>
      <c r="AZ45" s="308">
        <v>0.0</v>
      </c>
      <c r="BA45" s="311"/>
      <c r="BB45" s="311"/>
      <c r="BC45" s="311"/>
      <c r="BD45" s="308">
        <v>7.444327498055E12</v>
      </c>
      <c r="BE45" s="311"/>
      <c r="BF45" s="311"/>
      <c r="BG45" s="308" t="s">
        <v>2958</v>
      </c>
      <c r="BH45" s="308">
        <v>0.0</v>
      </c>
      <c r="BI45" s="308" t="s">
        <v>2959</v>
      </c>
      <c r="BJ45" s="308">
        <v>19.48</v>
      </c>
      <c r="BK45" s="311"/>
      <c r="BL45" s="311"/>
      <c r="BM45" s="311"/>
      <c r="BN45" s="311"/>
      <c r="BO45" s="311"/>
      <c r="BP45" s="311"/>
      <c r="BQ45" s="311"/>
      <c r="BR45" s="311"/>
      <c r="BS45" s="311"/>
      <c r="BT45" s="311"/>
      <c r="BU45" s="311"/>
      <c r="BV45" s="308" t="s">
        <v>3380</v>
      </c>
      <c r="BW45" s="308" t="s">
        <v>3380</v>
      </c>
      <c r="BX45" s="308" t="s">
        <v>3009</v>
      </c>
      <c r="BY45" s="311"/>
      <c r="BZ45" s="311"/>
      <c r="CA45" s="308" t="s">
        <v>3009</v>
      </c>
      <c r="CB45" s="312" t="str">
        <f t="shared" si="1"/>
        <v>12/03/2026</v>
      </c>
      <c r="CC45" s="313">
        <f t="shared" si="2"/>
        <v>2026</v>
      </c>
      <c r="CD45" s="314">
        <f t="shared" si="3"/>
        <v>3</v>
      </c>
      <c r="CE45" s="314">
        <f t="shared" si="4"/>
        <v>1</v>
      </c>
      <c r="CF45" s="314">
        <f t="shared" si="5"/>
        <v>1</v>
      </c>
      <c r="CG45" s="314">
        <f t="shared" si="6"/>
        <v>-5</v>
      </c>
      <c r="CH45" s="315">
        <f>VLOOKUP(CL45,'PRODUCT_COGS&amp;PRICE'!A:E,5,false)</f>
        <v>20</v>
      </c>
      <c r="CI45" s="306">
        <f t="shared" si="7"/>
        <v>-4.1192</v>
      </c>
      <c r="CJ45" s="316">
        <f t="shared" si="8"/>
        <v>0</v>
      </c>
      <c r="CK45" s="316">
        <f t="shared" si="9"/>
        <v>12</v>
      </c>
      <c r="CL45" s="314" t="str">
        <f>VLOOKUP(R45,PRODUCT_MAP!A:B,2,FALSE)</f>
        <v>Lea_Bag_RED_PATENT</v>
      </c>
      <c r="CM45" s="314" t="str">
        <f>VLOOKUP(R45,PRODUCT_MAP!A:E,3,FALSE)</f>
        <v>Lea Bag</v>
      </c>
    </row>
    <row r="46" ht="22.5" customHeight="1">
      <c r="A46" s="308" t="s">
        <v>3381</v>
      </c>
      <c r="B46" s="308" t="s">
        <v>3382</v>
      </c>
      <c r="C46" s="308" t="s">
        <v>2942</v>
      </c>
      <c r="D46" s="308" t="s">
        <v>3383</v>
      </c>
      <c r="E46" s="308" t="s">
        <v>3013</v>
      </c>
      <c r="F46" s="308"/>
      <c r="G46" s="308" t="s">
        <v>2946</v>
      </c>
      <c r="H46" s="308" t="s">
        <v>2947</v>
      </c>
      <c r="I46" s="308">
        <v>108.0</v>
      </c>
      <c r="J46" s="308">
        <v>0.0</v>
      </c>
      <c r="K46" s="308">
        <v>19.48</v>
      </c>
      <c r="L46" s="308">
        <v>108.0</v>
      </c>
      <c r="M46" s="308" t="s">
        <v>3094</v>
      </c>
      <c r="N46" s="308">
        <v>12.0</v>
      </c>
      <c r="O46" s="308" t="s">
        <v>2948</v>
      </c>
      <c r="P46" s="308" t="s">
        <v>3383</v>
      </c>
      <c r="Q46" s="310">
        <v>1.0</v>
      </c>
      <c r="R46" s="308" t="s">
        <v>569</v>
      </c>
      <c r="S46" s="308">
        <v>120.0</v>
      </c>
      <c r="T46" s="311"/>
      <c r="U46" s="308" t="s">
        <v>3375</v>
      </c>
      <c r="V46" s="308" t="b">
        <v>1</v>
      </c>
      <c r="W46" s="308" t="b">
        <v>1</v>
      </c>
      <c r="X46" s="311"/>
      <c r="Y46" s="308" t="s">
        <v>3384</v>
      </c>
      <c r="Z46" s="308" t="s">
        <v>3385</v>
      </c>
      <c r="AA46" s="308" t="s">
        <v>3385</v>
      </c>
      <c r="AB46" s="311"/>
      <c r="AC46" s="311"/>
      <c r="AD46" s="308" t="s">
        <v>3081</v>
      </c>
      <c r="AE46" s="308">
        <v>162.0</v>
      </c>
      <c r="AF46" s="308" t="s">
        <v>3082</v>
      </c>
      <c r="AG46" s="308" t="s">
        <v>2955</v>
      </c>
      <c r="AH46" s="308">
        <v>3.463348453E9</v>
      </c>
      <c r="AI46" s="308" t="s">
        <v>3384</v>
      </c>
      <c r="AJ46" s="308" t="s">
        <v>3385</v>
      </c>
      <c r="AK46" s="308" t="s">
        <v>3385</v>
      </c>
      <c r="AL46" s="311"/>
      <c r="AM46" s="311"/>
      <c r="AN46" s="308" t="s">
        <v>3081</v>
      </c>
      <c r="AO46" s="308">
        <v>162.0</v>
      </c>
      <c r="AP46" s="308" t="s">
        <v>3082</v>
      </c>
      <c r="AQ46" s="308" t="s">
        <v>2955</v>
      </c>
      <c r="AR46" s="308">
        <v>3.463348453E9</v>
      </c>
      <c r="AS46" s="311"/>
      <c r="AT46" s="311"/>
      <c r="AU46" s="311"/>
      <c r="AV46" s="308" t="s">
        <v>3009</v>
      </c>
      <c r="AW46" s="308">
        <v>4.7142556860743E13</v>
      </c>
      <c r="AX46" s="310">
        <v>0.0</v>
      </c>
      <c r="AY46" s="308" t="s">
        <v>2974</v>
      </c>
      <c r="AZ46" s="308">
        <v>0.0</v>
      </c>
      <c r="BA46" s="311"/>
      <c r="BB46" s="311"/>
      <c r="BC46" s="311"/>
      <c r="BD46" s="308">
        <v>7.445945647431E12</v>
      </c>
      <c r="BE46" s="311"/>
      <c r="BF46" s="311"/>
      <c r="BG46" s="308" t="s">
        <v>2958</v>
      </c>
      <c r="BH46" s="308">
        <v>0.0</v>
      </c>
      <c r="BI46" s="308" t="s">
        <v>2959</v>
      </c>
      <c r="BJ46" s="308">
        <v>19.48</v>
      </c>
      <c r="BK46" s="311"/>
      <c r="BL46" s="311"/>
      <c r="BM46" s="311"/>
      <c r="BN46" s="311"/>
      <c r="BO46" s="311"/>
      <c r="BP46" s="311"/>
      <c r="BQ46" s="311"/>
      <c r="BR46" s="311"/>
      <c r="BS46" s="311"/>
      <c r="BT46" s="311"/>
      <c r="BU46" s="311"/>
      <c r="BV46" s="308" t="s">
        <v>3081</v>
      </c>
      <c r="BW46" s="308" t="s">
        <v>3081</v>
      </c>
      <c r="BX46" s="308" t="s">
        <v>3009</v>
      </c>
      <c r="BY46" s="311"/>
      <c r="BZ46" s="311"/>
      <c r="CA46" s="308" t="s">
        <v>3009</v>
      </c>
      <c r="CB46" s="312" t="str">
        <f t="shared" si="1"/>
        <v>12/03/2026</v>
      </c>
      <c r="CC46" s="313">
        <f t="shared" si="2"/>
        <v>2026</v>
      </c>
      <c r="CD46" s="314">
        <f t="shared" si="3"/>
        <v>3</v>
      </c>
      <c r="CE46" s="314">
        <f t="shared" si="4"/>
        <v>1</v>
      </c>
      <c r="CF46" s="314">
        <f t="shared" si="5"/>
        <v>1</v>
      </c>
      <c r="CG46" s="314">
        <f t="shared" si="6"/>
        <v>-5</v>
      </c>
      <c r="CH46" s="315">
        <f>VLOOKUP(CL46,'PRODUCT_COGS&amp;PRICE'!A:E,5,false)</f>
        <v>20</v>
      </c>
      <c r="CI46" s="306">
        <f t="shared" si="7"/>
        <v>-4.1192</v>
      </c>
      <c r="CJ46" s="316">
        <f t="shared" si="8"/>
        <v>0</v>
      </c>
      <c r="CK46" s="316">
        <f t="shared" si="9"/>
        <v>12</v>
      </c>
      <c r="CL46" s="314" t="str">
        <f>VLOOKUP(R46,PRODUCT_MAP!A:B,2,FALSE)</f>
        <v>Lea_Bag_RED_PATENT</v>
      </c>
      <c r="CM46" s="314" t="str">
        <f>VLOOKUP(R46,PRODUCT_MAP!A:E,3,FALSE)</f>
        <v>Lea Bag</v>
      </c>
    </row>
    <row r="47" ht="22.5" customHeight="1">
      <c r="A47" s="308" t="s">
        <v>3386</v>
      </c>
      <c r="B47" s="308" t="s">
        <v>3387</v>
      </c>
      <c r="C47" s="308" t="s">
        <v>2942</v>
      </c>
      <c r="D47" s="308" t="s">
        <v>3388</v>
      </c>
      <c r="E47" s="308" t="s">
        <v>3013</v>
      </c>
      <c r="F47" s="308"/>
      <c r="G47" s="308" t="s">
        <v>2946</v>
      </c>
      <c r="H47" s="308" t="s">
        <v>2947</v>
      </c>
      <c r="I47" s="308">
        <v>120.0</v>
      </c>
      <c r="J47" s="308">
        <v>0.0</v>
      </c>
      <c r="K47" s="308">
        <v>21.64</v>
      </c>
      <c r="L47" s="308">
        <v>120.0</v>
      </c>
      <c r="M47" s="308"/>
      <c r="N47" s="308">
        <v>0.0</v>
      </c>
      <c r="O47" s="308" t="s">
        <v>2948</v>
      </c>
      <c r="P47" s="308" t="s">
        <v>3389</v>
      </c>
      <c r="Q47" s="310">
        <v>1.0</v>
      </c>
      <c r="R47" s="308" t="s">
        <v>509</v>
      </c>
      <c r="S47" s="308">
        <v>120.0</v>
      </c>
      <c r="T47" s="311"/>
      <c r="U47" s="308" t="s">
        <v>161</v>
      </c>
      <c r="V47" s="308" t="b">
        <v>1</v>
      </c>
      <c r="W47" s="308" t="b">
        <v>1</v>
      </c>
      <c r="X47" s="311"/>
      <c r="Y47" s="308" t="s">
        <v>3390</v>
      </c>
      <c r="Z47" s="308" t="s">
        <v>3391</v>
      </c>
      <c r="AA47" s="308" t="s">
        <v>3392</v>
      </c>
      <c r="AB47" s="308" t="s">
        <v>3393</v>
      </c>
      <c r="AC47" s="311"/>
      <c r="AD47" s="308" t="s">
        <v>3394</v>
      </c>
      <c r="AE47" s="308">
        <v>59100.0</v>
      </c>
      <c r="AF47" s="308" t="s">
        <v>3395</v>
      </c>
      <c r="AG47" s="308" t="s">
        <v>2955</v>
      </c>
      <c r="AH47" s="308">
        <v>3.931056148E9</v>
      </c>
      <c r="AI47" s="308" t="s">
        <v>3390</v>
      </c>
      <c r="AJ47" s="308" t="s">
        <v>3391</v>
      </c>
      <c r="AK47" s="308" t="s">
        <v>3392</v>
      </c>
      <c r="AL47" s="308" t="s">
        <v>3393</v>
      </c>
      <c r="AM47" s="311"/>
      <c r="AN47" s="308" t="s">
        <v>3394</v>
      </c>
      <c r="AO47" s="308">
        <v>59100.0</v>
      </c>
      <c r="AP47" s="308" t="s">
        <v>3395</v>
      </c>
      <c r="AQ47" s="308" t="s">
        <v>2955</v>
      </c>
      <c r="AR47" s="308">
        <v>3.931056148E9</v>
      </c>
      <c r="AS47" s="311"/>
      <c r="AT47" s="311"/>
      <c r="AU47" s="311"/>
      <c r="AV47" s="308" t="s">
        <v>2956</v>
      </c>
      <c r="AW47" s="308">
        <v>4.7211400200519E13</v>
      </c>
      <c r="AX47" s="310">
        <v>0.0</v>
      </c>
      <c r="AY47" s="308" t="s">
        <v>2974</v>
      </c>
      <c r="AZ47" s="308">
        <v>0.0</v>
      </c>
      <c r="BA47" s="311"/>
      <c r="BB47" s="311"/>
      <c r="BC47" s="311"/>
      <c r="BD47" s="308">
        <v>7.451326808391E12</v>
      </c>
      <c r="BE47" s="311"/>
      <c r="BF47" s="311"/>
      <c r="BG47" s="308" t="s">
        <v>2958</v>
      </c>
      <c r="BH47" s="308">
        <v>0.0</v>
      </c>
      <c r="BI47" s="308" t="s">
        <v>2959</v>
      </c>
      <c r="BJ47" s="308">
        <v>21.64</v>
      </c>
      <c r="BK47" s="311"/>
      <c r="BL47" s="311"/>
      <c r="BM47" s="311"/>
      <c r="BN47" s="311"/>
      <c r="BO47" s="311"/>
      <c r="BP47" s="311"/>
      <c r="BQ47" s="311"/>
      <c r="BR47" s="311"/>
      <c r="BS47" s="311"/>
      <c r="BT47" s="311"/>
      <c r="BU47" s="311"/>
      <c r="BV47" s="308" t="s">
        <v>3394</v>
      </c>
      <c r="BW47" s="308" t="s">
        <v>3394</v>
      </c>
      <c r="BX47" s="308" t="s">
        <v>2956</v>
      </c>
      <c r="BY47" s="311"/>
      <c r="BZ47" s="311"/>
      <c r="CA47" s="308" t="s">
        <v>2956</v>
      </c>
      <c r="CB47" s="312" t="str">
        <f t="shared" si="1"/>
        <v>13/03/2026</v>
      </c>
      <c r="CC47" s="313">
        <f t="shared" si="2"/>
        <v>2026</v>
      </c>
      <c r="CD47" s="314">
        <f t="shared" si="3"/>
        <v>3</v>
      </c>
      <c r="CE47" s="314">
        <f t="shared" si="4"/>
        <v>1</v>
      </c>
      <c r="CF47" s="314">
        <f t="shared" si="5"/>
        <v>1</v>
      </c>
      <c r="CG47" s="314">
        <f t="shared" si="6"/>
        <v>-5</v>
      </c>
      <c r="CH47" s="315">
        <f>VLOOKUP(CL47,'PRODUCT_COGS&amp;PRICE'!A:E,5,false)</f>
        <v>30.33</v>
      </c>
      <c r="CI47" s="306">
        <f t="shared" si="7"/>
        <v>-2.53</v>
      </c>
      <c r="CJ47" s="316">
        <f t="shared" si="8"/>
        <v>0</v>
      </c>
      <c r="CK47" s="316">
        <f t="shared" si="9"/>
        <v>0</v>
      </c>
      <c r="CL47" s="314" t="str">
        <f>VLOOKUP(R47,PRODUCT_MAP!A:B,2,FALSE)</f>
        <v>Lea_Bag_COCCO_BLACK</v>
      </c>
      <c r="CM47" s="314" t="str">
        <f>VLOOKUP(R47,PRODUCT_MAP!A:E,3,FALSE)</f>
        <v>Lea Bag</v>
      </c>
    </row>
    <row r="48" ht="22.5" customHeight="1">
      <c r="A48" s="308" t="s">
        <v>3396</v>
      </c>
      <c r="B48" s="308" t="s">
        <v>3397</v>
      </c>
      <c r="C48" s="308" t="s">
        <v>2942</v>
      </c>
      <c r="D48" s="308" t="s">
        <v>3398</v>
      </c>
      <c r="E48" s="308" t="s">
        <v>3013</v>
      </c>
      <c r="F48" s="308"/>
      <c r="G48" s="308" t="s">
        <v>2946</v>
      </c>
      <c r="H48" s="308" t="s">
        <v>2947</v>
      </c>
      <c r="I48" s="308">
        <v>120.0</v>
      </c>
      <c r="J48" s="308">
        <v>0.0</v>
      </c>
      <c r="K48" s="308">
        <v>21.64</v>
      </c>
      <c r="L48" s="308">
        <v>120.0</v>
      </c>
      <c r="M48" s="308"/>
      <c r="N48" s="308">
        <v>0.0</v>
      </c>
      <c r="O48" s="308" t="s">
        <v>2948</v>
      </c>
      <c r="P48" s="308" t="s">
        <v>3399</v>
      </c>
      <c r="Q48" s="310">
        <v>1.0</v>
      </c>
      <c r="R48" s="308" t="s">
        <v>3400</v>
      </c>
      <c r="S48" s="308">
        <v>120.0</v>
      </c>
      <c r="T48" s="311"/>
      <c r="U48" s="308" t="s">
        <v>200</v>
      </c>
      <c r="V48" s="308" t="b">
        <v>1</v>
      </c>
      <c r="W48" s="308" t="b">
        <v>1</v>
      </c>
      <c r="X48" s="311"/>
      <c r="Y48" s="308" t="s">
        <v>3401</v>
      </c>
      <c r="Z48" s="308" t="s">
        <v>3402</v>
      </c>
      <c r="AA48" s="308" t="s">
        <v>3402</v>
      </c>
      <c r="AB48" s="311"/>
      <c r="AC48" s="311"/>
      <c r="AD48" s="308" t="s">
        <v>3403</v>
      </c>
      <c r="AE48" s="308">
        <v>19046.0</v>
      </c>
      <c r="AF48" s="308" t="s">
        <v>3227</v>
      </c>
      <c r="AG48" s="308" t="s">
        <v>3404</v>
      </c>
      <c r="AH48" s="311"/>
      <c r="AI48" s="308" t="s">
        <v>3401</v>
      </c>
      <c r="AJ48" s="308" t="s">
        <v>3405</v>
      </c>
      <c r="AK48" s="308" t="s">
        <v>3405</v>
      </c>
      <c r="AL48" s="311"/>
      <c r="AM48" s="311"/>
      <c r="AN48" s="308" t="s">
        <v>3406</v>
      </c>
      <c r="AO48" s="308">
        <v>15033.0</v>
      </c>
      <c r="AP48" s="308" t="s">
        <v>3131</v>
      </c>
      <c r="AQ48" s="308" t="s">
        <v>2955</v>
      </c>
      <c r="AR48" s="308">
        <v>3.386933296E9</v>
      </c>
      <c r="AS48" s="311"/>
      <c r="AT48" s="311"/>
      <c r="AU48" s="311"/>
      <c r="AV48" s="308" t="s">
        <v>2956</v>
      </c>
      <c r="AW48" s="308">
        <v>4.7215872311623E13</v>
      </c>
      <c r="AX48" s="310">
        <v>0.0</v>
      </c>
      <c r="AY48" s="308" t="s">
        <v>2974</v>
      </c>
      <c r="AZ48" s="308">
        <v>0.0</v>
      </c>
      <c r="BA48" s="311"/>
      <c r="BB48" s="311"/>
      <c r="BC48" s="311"/>
      <c r="BD48" s="308">
        <v>7.451838972231E12</v>
      </c>
      <c r="BE48" s="311"/>
      <c r="BF48" s="311"/>
      <c r="BG48" s="308" t="s">
        <v>2958</v>
      </c>
      <c r="BH48" s="308">
        <v>0.0</v>
      </c>
      <c r="BI48" s="308" t="s">
        <v>2959</v>
      </c>
      <c r="BJ48" s="308">
        <v>21.64</v>
      </c>
      <c r="BK48" s="311"/>
      <c r="BL48" s="311"/>
      <c r="BM48" s="311"/>
      <c r="BN48" s="311"/>
      <c r="BO48" s="311"/>
      <c r="BP48" s="311"/>
      <c r="BQ48" s="311"/>
      <c r="BR48" s="311"/>
      <c r="BS48" s="311"/>
      <c r="BT48" s="311"/>
      <c r="BU48" s="311"/>
      <c r="BV48" s="308" t="s">
        <v>3407</v>
      </c>
      <c r="BW48" s="308" t="s">
        <v>3130</v>
      </c>
      <c r="BX48" s="308" t="s">
        <v>2956</v>
      </c>
      <c r="BY48" s="311"/>
      <c r="BZ48" s="311"/>
      <c r="CA48" s="308" t="s">
        <v>2956</v>
      </c>
      <c r="CB48" s="312" t="str">
        <f t="shared" si="1"/>
        <v>13/03/2026</v>
      </c>
      <c r="CC48" s="313">
        <f t="shared" si="2"/>
        <v>2026</v>
      </c>
      <c r="CD48" s="314">
        <f t="shared" si="3"/>
        <v>3</v>
      </c>
      <c r="CE48" s="314">
        <f t="shared" si="4"/>
        <v>1</v>
      </c>
      <c r="CF48" s="314">
        <f t="shared" si="5"/>
        <v>1</v>
      </c>
      <c r="CG48" s="314">
        <f t="shared" si="6"/>
        <v>-5</v>
      </c>
      <c r="CH48" s="315">
        <f>VLOOKUP(CL48,'PRODUCT_COGS&amp;PRICE'!A:E,5,false)</f>
        <v>33</v>
      </c>
      <c r="CI48" s="306">
        <f t="shared" si="7"/>
        <v>-2.53</v>
      </c>
      <c r="CJ48" s="316">
        <f t="shared" si="8"/>
        <v>0</v>
      </c>
      <c r="CK48" s="316">
        <f t="shared" si="9"/>
        <v>0</v>
      </c>
      <c r="CL48" s="314" t="str">
        <f>VLOOKUP(R48,PRODUCT_MAP!A:B,2,FALSE)</f>
        <v>Lea_Bag_ESPRESSO_PONY</v>
      </c>
      <c r="CM48" s="314" t="str">
        <f>VLOOKUP(R48,PRODUCT_MAP!A:E,3,FALSE)</f>
        <v>Lea Bag</v>
      </c>
    </row>
    <row r="49" ht="22.5" customHeight="1">
      <c r="A49" s="308" t="s">
        <v>3408</v>
      </c>
      <c r="B49" s="308" t="s">
        <v>3409</v>
      </c>
      <c r="C49" s="308" t="s">
        <v>2942</v>
      </c>
      <c r="D49" s="308" t="s">
        <v>3410</v>
      </c>
      <c r="E49" s="308" t="s">
        <v>3013</v>
      </c>
      <c r="F49" s="308"/>
      <c r="G49" s="308" t="s">
        <v>2946</v>
      </c>
      <c r="H49" s="308" t="s">
        <v>2947</v>
      </c>
      <c r="I49" s="308">
        <v>108.0</v>
      </c>
      <c r="J49" s="308">
        <v>0.0</v>
      </c>
      <c r="K49" s="308">
        <v>19.48</v>
      </c>
      <c r="L49" s="308">
        <v>108.0</v>
      </c>
      <c r="M49" s="308" t="s">
        <v>3094</v>
      </c>
      <c r="N49" s="308">
        <v>12.0</v>
      </c>
      <c r="O49" s="308" t="s">
        <v>2948</v>
      </c>
      <c r="P49" s="308" t="s">
        <v>3411</v>
      </c>
      <c r="Q49" s="310">
        <v>1.0</v>
      </c>
      <c r="R49" s="308" t="s">
        <v>569</v>
      </c>
      <c r="S49" s="308">
        <v>120.0</v>
      </c>
      <c r="T49" s="311"/>
      <c r="U49" s="308" t="s">
        <v>3375</v>
      </c>
      <c r="V49" s="308" t="b">
        <v>1</v>
      </c>
      <c r="W49" s="308" t="b">
        <v>1</v>
      </c>
      <c r="X49" s="311"/>
      <c r="Y49" s="308" t="s">
        <v>3412</v>
      </c>
      <c r="Z49" s="308" t="s">
        <v>3413</v>
      </c>
      <c r="AA49" s="308" t="s">
        <v>3413</v>
      </c>
      <c r="AB49" s="311"/>
      <c r="AC49" s="311"/>
      <c r="AD49" s="308" t="s">
        <v>3414</v>
      </c>
      <c r="AE49" s="308">
        <v>9128.0</v>
      </c>
      <c r="AF49" s="308" t="s">
        <v>3415</v>
      </c>
      <c r="AG49" s="308" t="s">
        <v>2955</v>
      </c>
      <c r="AH49" s="308">
        <v>3.397383626E9</v>
      </c>
      <c r="AI49" s="308" t="s">
        <v>3412</v>
      </c>
      <c r="AJ49" s="308" t="s">
        <v>3413</v>
      </c>
      <c r="AK49" s="308" t="s">
        <v>3413</v>
      </c>
      <c r="AL49" s="311"/>
      <c r="AM49" s="311"/>
      <c r="AN49" s="308" t="s">
        <v>3414</v>
      </c>
      <c r="AO49" s="308">
        <v>9128.0</v>
      </c>
      <c r="AP49" s="308" t="s">
        <v>3415</v>
      </c>
      <c r="AQ49" s="308" t="s">
        <v>2955</v>
      </c>
      <c r="AR49" s="308">
        <v>3.397383626E9</v>
      </c>
      <c r="AS49" s="311"/>
      <c r="AT49" s="311"/>
      <c r="AU49" s="311"/>
      <c r="AV49" s="308" t="s">
        <v>2956</v>
      </c>
      <c r="AW49" s="308">
        <v>4.7225227215175E13</v>
      </c>
      <c r="AX49" s="310">
        <v>0.0</v>
      </c>
      <c r="AY49" s="308" t="s">
        <v>2974</v>
      </c>
      <c r="AZ49" s="308">
        <v>0.0</v>
      </c>
      <c r="BA49" s="311"/>
      <c r="BB49" s="311"/>
      <c r="BC49" s="311"/>
      <c r="BD49" s="308">
        <v>7.452768534855E12</v>
      </c>
      <c r="BE49" s="311"/>
      <c r="BF49" s="311"/>
      <c r="BG49" s="308" t="s">
        <v>2958</v>
      </c>
      <c r="BH49" s="308">
        <v>0.0</v>
      </c>
      <c r="BI49" s="308" t="s">
        <v>2959</v>
      </c>
      <c r="BJ49" s="308">
        <v>19.48</v>
      </c>
      <c r="BK49" s="311"/>
      <c r="BL49" s="311"/>
      <c r="BM49" s="311"/>
      <c r="BN49" s="311"/>
      <c r="BO49" s="311"/>
      <c r="BP49" s="311"/>
      <c r="BQ49" s="311"/>
      <c r="BR49" s="311"/>
      <c r="BS49" s="311"/>
      <c r="BT49" s="311"/>
      <c r="BU49" s="311"/>
      <c r="BV49" s="308" t="s">
        <v>3414</v>
      </c>
      <c r="BW49" s="308" t="s">
        <v>3414</v>
      </c>
      <c r="BX49" s="308" t="s">
        <v>2956</v>
      </c>
      <c r="BY49" s="311"/>
      <c r="BZ49" s="311"/>
      <c r="CA49" s="308" t="s">
        <v>2956</v>
      </c>
      <c r="CB49" s="312" t="str">
        <f t="shared" si="1"/>
        <v>13/03/2026</v>
      </c>
      <c r="CC49" s="313">
        <f t="shared" si="2"/>
        <v>2026</v>
      </c>
      <c r="CD49" s="314">
        <f t="shared" si="3"/>
        <v>3</v>
      </c>
      <c r="CE49" s="314">
        <f t="shared" si="4"/>
        <v>1</v>
      </c>
      <c r="CF49" s="314">
        <f t="shared" si="5"/>
        <v>1</v>
      </c>
      <c r="CG49" s="314">
        <f t="shared" si="6"/>
        <v>-5</v>
      </c>
      <c r="CH49" s="315">
        <f>VLOOKUP(CL49,'PRODUCT_COGS&amp;PRICE'!A:E,5,false)</f>
        <v>20</v>
      </c>
      <c r="CI49" s="306">
        <f t="shared" si="7"/>
        <v>-2.302</v>
      </c>
      <c r="CJ49" s="316">
        <f t="shared" si="8"/>
        <v>0</v>
      </c>
      <c r="CK49" s="316">
        <f t="shared" si="9"/>
        <v>12</v>
      </c>
      <c r="CL49" s="314" t="str">
        <f>VLOOKUP(R49,PRODUCT_MAP!A:B,2,FALSE)</f>
        <v>Lea_Bag_RED_PATENT</v>
      </c>
      <c r="CM49" s="314" t="str">
        <f>VLOOKUP(R49,PRODUCT_MAP!A:E,3,FALSE)</f>
        <v>Lea Bag</v>
      </c>
    </row>
    <row r="50" ht="22.5" customHeight="1">
      <c r="A50" s="308" t="s">
        <v>3416</v>
      </c>
      <c r="B50" s="308" t="s">
        <v>3417</v>
      </c>
      <c r="C50" s="308" t="s">
        <v>2942</v>
      </c>
      <c r="D50" s="308" t="s">
        <v>3418</v>
      </c>
      <c r="E50" s="308" t="s">
        <v>3013</v>
      </c>
      <c r="F50" s="308"/>
      <c r="G50" s="308" t="s">
        <v>2965</v>
      </c>
      <c r="H50" s="308" t="s">
        <v>2947</v>
      </c>
      <c r="I50" s="308">
        <v>120.0</v>
      </c>
      <c r="J50" s="308">
        <v>0.0</v>
      </c>
      <c r="K50" s="308">
        <v>21.64</v>
      </c>
      <c r="L50" s="308">
        <v>120.0</v>
      </c>
      <c r="M50" s="308"/>
      <c r="N50" s="308">
        <v>0.0</v>
      </c>
      <c r="O50" s="308" t="s">
        <v>2948</v>
      </c>
      <c r="P50" s="308" t="s">
        <v>3419</v>
      </c>
      <c r="Q50" s="310">
        <v>1.0</v>
      </c>
      <c r="R50" s="308" t="s">
        <v>3266</v>
      </c>
      <c r="S50" s="308">
        <v>120.0</v>
      </c>
      <c r="T50" s="311"/>
      <c r="U50" s="308" t="s">
        <v>237</v>
      </c>
      <c r="V50" s="308" t="b">
        <v>1</v>
      </c>
      <c r="W50" s="308" t="b">
        <v>1</v>
      </c>
      <c r="X50" s="311"/>
      <c r="Y50" s="308" t="s">
        <v>3420</v>
      </c>
      <c r="Z50" s="308" t="s">
        <v>3421</v>
      </c>
      <c r="AA50" s="308" t="s">
        <v>3422</v>
      </c>
      <c r="AB50" s="308" t="s">
        <v>3423</v>
      </c>
      <c r="AC50" s="311"/>
      <c r="AD50" s="308" t="s">
        <v>3151</v>
      </c>
      <c r="AE50" s="308">
        <v>28100.0</v>
      </c>
      <c r="AF50" s="308" t="s">
        <v>1628</v>
      </c>
      <c r="AG50" s="308" t="s">
        <v>2955</v>
      </c>
      <c r="AH50" s="308">
        <v>3.356978076E9</v>
      </c>
      <c r="AI50" s="308" t="s">
        <v>3420</v>
      </c>
      <c r="AJ50" s="308" t="s">
        <v>3424</v>
      </c>
      <c r="AK50" s="308" t="s">
        <v>3425</v>
      </c>
      <c r="AL50" s="308" t="s">
        <v>3426</v>
      </c>
      <c r="AM50" s="311"/>
      <c r="AN50" s="308" t="s">
        <v>23</v>
      </c>
      <c r="AO50" s="308">
        <v>20129.0</v>
      </c>
      <c r="AP50" s="308" t="s">
        <v>2954</v>
      </c>
      <c r="AQ50" s="308" t="s">
        <v>2955</v>
      </c>
      <c r="AR50" s="308">
        <v>3.356978076E9</v>
      </c>
      <c r="AS50" s="311"/>
      <c r="AT50" s="311"/>
      <c r="AU50" s="311"/>
      <c r="AV50" s="308" t="s">
        <v>2956</v>
      </c>
      <c r="AW50" s="308">
        <v>4.7290893795655E13</v>
      </c>
      <c r="AX50" s="310">
        <v>0.0</v>
      </c>
      <c r="AY50" s="308" t="s">
        <v>2974</v>
      </c>
      <c r="AZ50" s="308">
        <v>0.0</v>
      </c>
      <c r="BA50" s="311"/>
      <c r="BB50" s="311"/>
      <c r="BC50" s="311"/>
      <c r="BD50" s="308">
        <v>7.458102313287E12</v>
      </c>
      <c r="BE50" s="311"/>
      <c r="BF50" s="311"/>
      <c r="BG50" s="308" t="s">
        <v>2958</v>
      </c>
      <c r="BH50" s="308">
        <v>0.0</v>
      </c>
      <c r="BI50" s="308" t="s">
        <v>2959</v>
      </c>
      <c r="BJ50" s="308">
        <v>21.64</v>
      </c>
      <c r="BK50" s="311"/>
      <c r="BL50" s="311"/>
      <c r="BM50" s="311"/>
      <c r="BN50" s="311"/>
      <c r="BO50" s="311"/>
      <c r="BP50" s="311"/>
      <c r="BQ50" s="311"/>
      <c r="BR50" s="311"/>
      <c r="BS50" s="318" t="s">
        <v>3427</v>
      </c>
      <c r="BT50" s="311"/>
      <c r="BU50" s="311"/>
      <c r="BV50" s="308" t="s">
        <v>3151</v>
      </c>
      <c r="BW50" s="308" t="s">
        <v>23</v>
      </c>
      <c r="BX50" s="308" t="s">
        <v>2956</v>
      </c>
      <c r="BY50" s="311"/>
      <c r="BZ50" s="311"/>
      <c r="CA50" s="308" t="s">
        <v>2956</v>
      </c>
      <c r="CB50" s="312" t="str">
        <f t="shared" si="1"/>
        <v>15/03/2026</v>
      </c>
      <c r="CC50" s="313">
        <f t="shared" si="2"/>
        <v>2026</v>
      </c>
      <c r="CD50" s="314">
        <f t="shared" si="3"/>
        <v>3</v>
      </c>
      <c r="CE50" s="314">
        <f t="shared" si="4"/>
        <v>1</v>
      </c>
      <c r="CF50" s="314">
        <f t="shared" si="5"/>
        <v>1</v>
      </c>
      <c r="CG50" s="314">
        <f t="shared" si="6"/>
        <v>-5</v>
      </c>
      <c r="CH50" s="315">
        <f>VLOOKUP(CL50,'PRODUCT_COGS&amp;PRICE'!A:E,5,false)</f>
        <v>30.33</v>
      </c>
      <c r="CI50" s="306">
        <f t="shared" si="7"/>
        <v>-2.53</v>
      </c>
      <c r="CJ50" s="316">
        <f t="shared" si="8"/>
        <v>0</v>
      </c>
      <c r="CK50" s="316">
        <f t="shared" si="9"/>
        <v>0</v>
      </c>
      <c r="CL50" s="314" t="str">
        <f>VLOOKUP(R50,PRODUCT_MAP!A:B,2,FALSE)</f>
        <v>Lea_Bag_COCCO_CHOCOLATE</v>
      </c>
      <c r="CM50" s="314" t="str">
        <f>VLOOKUP(R50,PRODUCT_MAP!A:E,3,FALSE)</f>
        <v>Lea Bag</v>
      </c>
    </row>
    <row r="51" ht="22.5" customHeight="1">
      <c r="A51" s="308" t="s">
        <v>3428</v>
      </c>
      <c r="B51" s="308" t="s">
        <v>3429</v>
      </c>
      <c r="C51" s="308" t="s">
        <v>2942</v>
      </c>
      <c r="D51" s="308" t="s">
        <v>3430</v>
      </c>
      <c r="E51" s="308" t="s">
        <v>3013</v>
      </c>
      <c r="F51" s="308"/>
      <c r="G51" s="308" t="s">
        <v>2946</v>
      </c>
      <c r="H51" s="308" t="s">
        <v>2947</v>
      </c>
      <c r="I51" s="308">
        <v>108.0</v>
      </c>
      <c r="J51" s="308">
        <v>0.0</v>
      </c>
      <c r="K51" s="308">
        <v>19.48</v>
      </c>
      <c r="L51" s="308">
        <v>108.0</v>
      </c>
      <c r="M51" s="308" t="s">
        <v>3094</v>
      </c>
      <c r="N51" s="308">
        <v>12.0</v>
      </c>
      <c r="O51" s="308" t="s">
        <v>2979</v>
      </c>
      <c r="P51" s="308" t="s">
        <v>3431</v>
      </c>
      <c r="Q51" s="310">
        <v>1.0</v>
      </c>
      <c r="R51" s="308" t="s">
        <v>938</v>
      </c>
      <c r="S51" s="308">
        <v>120.0</v>
      </c>
      <c r="T51" s="311"/>
      <c r="U51" s="308" t="s">
        <v>233</v>
      </c>
      <c r="V51" s="308" t="b">
        <v>1</v>
      </c>
      <c r="W51" s="308" t="b">
        <v>1</v>
      </c>
      <c r="X51" s="311"/>
      <c r="Y51" s="308" t="s">
        <v>3432</v>
      </c>
      <c r="Z51" s="308" t="s">
        <v>3433</v>
      </c>
      <c r="AA51" s="308" t="s">
        <v>3433</v>
      </c>
      <c r="AB51" s="308"/>
      <c r="AC51" s="311"/>
      <c r="AD51" s="308" t="s">
        <v>3434</v>
      </c>
      <c r="AE51" s="308">
        <v>52044.0</v>
      </c>
      <c r="AF51" s="308" t="s">
        <v>3110</v>
      </c>
      <c r="AG51" s="308" t="s">
        <v>2955</v>
      </c>
      <c r="AH51" s="308"/>
      <c r="AI51" s="308"/>
      <c r="AJ51" s="308"/>
      <c r="AK51" s="308"/>
      <c r="AL51" s="308"/>
      <c r="AM51" s="311"/>
      <c r="AN51" s="308"/>
      <c r="AO51" s="308"/>
      <c r="AP51" s="308"/>
      <c r="AQ51" s="308"/>
      <c r="AR51" s="308"/>
      <c r="AS51" s="311"/>
      <c r="AT51" s="311"/>
      <c r="AU51" s="311"/>
      <c r="AV51" s="308" t="s">
        <v>2956</v>
      </c>
      <c r="AW51" s="308">
        <v>4.7303840858439E13</v>
      </c>
      <c r="AX51" s="310">
        <v>0.0</v>
      </c>
      <c r="AY51" s="308" t="s">
        <v>2974</v>
      </c>
      <c r="AZ51" s="308">
        <v>0.0</v>
      </c>
      <c r="BA51" s="311"/>
      <c r="BB51" s="311"/>
      <c r="BC51" s="311"/>
      <c r="BD51" s="308">
        <v>7.459129131335E12</v>
      </c>
      <c r="BE51" s="311"/>
      <c r="BF51" s="311"/>
      <c r="BG51" s="308" t="s">
        <v>2958</v>
      </c>
      <c r="BH51" s="308">
        <v>0.0</v>
      </c>
      <c r="BI51" s="308" t="s">
        <v>2959</v>
      </c>
      <c r="BJ51" s="308">
        <v>19.48</v>
      </c>
      <c r="BK51" s="311"/>
      <c r="BL51" s="311"/>
      <c r="BM51" s="311"/>
      <c r="BN51" s="311"/>
      <c r="BO51" s="311"/>
      <c r="BP51" s="311"/>
      <c r="BQ51" s="311"/>
      <c r="BR51" s="311"/>
      <c r="BS51" s="308"/>
      <c r="BT51" s="311"/>
      <c r="BU51" s="311"/>
      <c r="BV51" s="308" t="s">
        <v>3109</v>
      </c>
      <c r="BW51" s="308"/>
      <c r="BX51" s="308" t="s">
        <v>2956</v>
      </c>
      <c r="BY51" s="311"/>
      <c r="BZ51" s="311"/>
      <c r="CA51" s="308" t="s">
        <v>2956</v>
      </c>
      <c r="CB51" s="312" t="str">
        <f t="shared" si="1"/>
        <v>15/03/2026</v>
      </c>
      <c r="CC51" s="313">
        <f t="shared" si="2"/>
        <v>2026</v>
      </c>
      <c r="CD51" s="314">
        <f t="shared" si="3"/>
        <v>3</v>
      </c>
      <c r="CE51" s="314">
        <f t="shared" si="4"/>
        <v>1</v>
      </c>
      <c r="CF51" s="314">
        <f t="shared" si="5"/>
        <v>1</v>
      </c>
      <c r="CG51" s="314">
        <f t="shared" si="6"/>
        <v>-5</v>
      </c>
      <c r="CH51" s="315">
        <f>VLOOKUP(CL51,'PRODUCT_COGS&amp;PRICE'!A:E,5,false)</f>
        <v>20</v>
      </c>
      <c r="CI51" s="306">
        <f t="shared" si="7"/>
        <v>-2.302</v>
      </c>
      <c r="CJ51" s="316">
        <f t="shared" si="8"/>
        <v>0</v>
      </c>
      <c r="CK51" s="316">
        <f t="shared" si="9"/>
        <v>12</v>
      </c>
      <c r="CL51" s="314" t="str">
        <f>VLOOKUP(R51,PRODUCT_MAP!A:B,2,FALSE)</f>
        <v>Lea_Bag_TOASTED_LEATHER</v>
      </c>
      <c r="CM51" s="314" t="str">
        <f>VLOOKUP(R51,PRODUCT_MAP!A:E,3,FALSE)</f>
        <v>Lea Bag</v>
      </c>
    </row>
    <row r="52" ht="22.5" customHeight="1">
      <c r="A52" s="308" t="s">
        <v>3435</v>
      </c>
      <c r="B52" s="308" t="s">
        <v>3436</v>
      </c>
      <c r="C52" s="308" t="s">
        <v>2942</v>
      </c>
      <c r="D52" s="308" t="s">
        <v>3437</v>
      </c>
      <c r="E52" s="308" t="s">
        <v>3013</v>
      </c>
      <c r="F52" s="308"/>
      <c r="G52" s="308" t="s">
        <v>2946</v>
      </c>
      <c r="H52" s="308" t="s">
        <v>2947</v>
      </c>
      <c r="I52" s="308">
        <v>108.0</v>
      </c>
      <c r="J52" s="308">
        <v>0.0</v>
      </c>
      <c r="K52" s="308">
        <v>19.48</v>
      </c>
      <c r="L52" s="308">
        <v>108.0</v>
      </c>
      <c r="M52" s="308" t="s">
        <v>3094</v>
      </c>
      <c r="N52" s="308">
        <v>12.0</v>
      </c>
      <c r="O52" s="308" t="s">
        <v>2948</v>
      </c>
      <c r="P52" s="308" t="s">
        <v>3438</v>
      </c>
      <c r="Q52" s="310">
        <v>1.0</v>
      </c>
      <c r="R52" s="308" t="s">
        <v>509</v>
      </c>
      <c r="S52" s="308">
        <v>120.0</v>
      </c>
      <c r="T52" s="311"/>
      <c r="U52" s="308" t="s">
        <v>161</v>
      </c>
      <c r="V52" s="308" t="b">
        <v>1</v>
      </c>
      <c r="W52" s="308" t="b">
        <v>1</v>
      </c>
      <c r="X52" s="311"/>
      <c r="Y52" s="308" t="s">
        <v>3439</v>
      </c>
      <c r="Z52" s="308" t="s">
        <v>3440</v>
      </c>
      <c r="AA52" s="308" t="s">
        <v>3440</v>
      </c>
      <c r="AB52" s="308"/>
      <c r="AC52" s="311"/>
      <c r="AD52" s="308" t="s">
        <v>23</v>
      </c>
      <c r="AE52" s="308">
        <v>20154.0</v>
      </c>
      <c r="AF52" s="308" t="s">
        <v>2954</v>
      </c>
      <c r="AG52" s="308" t="s">
        <v>2955</v>
      </c>
      <c r="AH52" s="308">
        <v>3.4026799E9</v>
      </c>
      <c r="AI52" s="308" t="s">
        <v>3439</v>
      </c>
      <c r="AJ52" s="308" t="s">
        <v>3440</v>
      </c>
      <c r="AK52" s="308" t="s">
        <v>3440</v>
      </c>
      <c r="AL52" s="308"/>
      <c r="AM52" s="311"/>
      <c r="AN52" s="308" t="s">
        <v>23</v>
      </c>
      <c r="AO52" s="308">
        <v>20154.0</v>
      </c>
      <c r="AP52" s="308" t="s">
        <v>2954</v>
      </c>
      <c r="AQ52" s="308" t="s">
        <v>2955</v>
      </c>
      <c r="AR52" s="308">
        <v>3.4026799E9</v>
      </c>
      <c r="AS52" s="311"/>
      <c r="AT52" s="311"/>
      <c r="AU52" s="311"/>
      <c r="AV52" s="308" t="s">
        <v>3009</v>
      </c>
      <c r="AW52" s="308">
        <v>4.7334529433927E13</v>
      </c>
      <c r="AX52" s="310">
        <v>0.0</v>
      </c>
      <c r="AY52" s="308" t="s">
        <v>2974</v>
      </c>
      <c r="AZ52" s="308">
        <v>0.0</v>
      </c>
      <c r="BA52" s="311"/>
      <c r="BB52" s="311"/>
      <c r="BC52" s="311"/>
      <c r="BD52" s="308">
        <v>7.461901238599E12</v>
      </c>
      <c r="BE52" s="311"/>
      <c r="BF52" s="311"/>
      <c r="BG52" s="308" t="s">
        <v>2958</v>
      </c>
      <c r="BH52" s="308">
        <v>0.0</v>
      </c>
      <c r="BI52" s="308" t="s">
        <v>2959</v>
      </c>
      <c r="BJ52" s="308">
        <v>19.48</v>
      </c>
      <c r="BK52" s="311"/>
      <c r="BL52" s="311"/>
      <c r="BM52" s="311"/>
      <c r="BN52" s="311"/>
      <c r="BO52" s="311"/>
      <c r="BP52" s="311"/>
      <c r="BQ52" s="311"/>
      <c r="BR52" s="311"/>
      <c r="BS52" s="308"/>
      <c r="BT52" s="311"/>
      <c r="BU52" s="311"/>
      <c r="BV52" s="308" t="s">
        <v>23</v>
      </c>
      <c r="BW52" s="308" t="s">
        <v>23</v>
      </c>
      <c r="BX52" s="308" t="s">
        <v>3009</v>
      </c>
      <c r="BY52" s="311"/>
      <c r="BZ52" s="311"/>
      <c r="CA52" s="308" t="s">
        <v>3009</v>
      </c>
      <c r="CB52" s="312" t="str">
        <f t="shared" si="1"/>
        <v>16/03/2026</v>
      </c>
      <c r="CC52" s="313">
        <f t="shared" si="2"/>
        <v>2026</v>
      </c>
      <c r="CD52" s="314">
        <f t="shared" si="3"/>
        <v>3</v>
      </c>
      <c r="CE52" s="314">
        <f t="shared" si="4"/>
        <v>1</v>
      </c>
      <c r="CF52" s="314">
        <f t="shared" si="5"/>
        <v>1</v>
      </c>
      <c r="CG52" s="314">
        <f t="shared" si="6"/>
        <v>-5</v>
      </c>
      <c r="CH52" s="315">
        <f>VLOOKUP(CL52,'PRODUCT_COGS&amp;PRICE'!A:E,5,false)</f>
        <v>30.33</v>
      </c>
      <c r="CI52" s="306">
        <f t="shared" si="7"/>
        <v>-4.1192</v>
      </c>
      <c r="CJ52" s="316">
        <f t="shared" si="8"/>
        <v>0</v>
      </c>
      <c r="CK52" s="316">
        <f t="shared" si="9"/>
        <v>12</v>
      </c>
      <c r="CL52" s="314" t="str">
        <f>VLOOKUP(R52,PRODUCT_MAP!A:B,2,FALSE)</f>
        <v>Lea_Bag_COCCO_BLACK</v>
      </c>
      <c r="CM52" s="314" t="str">
        <f>VLOOKUP(R52,PRODUCT_MAP!A:E,3,FALSE)</f>
        <v>Lea Bag</v>
      </c>
    </row>
    <row r="53" ht="22.5" customHeight="1">
      <c r="A53" s="308" t="s">
        <v>3441</v>
      </c>
      <c r="B53" s="308" t="s">
        <v>3442</v>
      </c>
      <c r="C53" s="308" t="s">
        <v>2942</v>
      </c>
      <c r="D53" s="308" t="s">
        <v>3443</v>
      </c>
      <c r="E53" s="308" t="s">
        <v>3013</v>
      </c>
      <c r="F53" s="308"/>
      <c r="G53" s="308" t="s">
        <v>2946</v>
      </c>
      <c r="H53" s="308" t="s">
        <v>2947</v>
      </c>
      <c r="I53" s="308">
        <v>120.0</v>
      </c>
      <c r="J53" s="308">
        <v>0.0</v>
      </c>
      <c r="K53" s="308">
        <v>21.64</v>
      </c>
      <c r="L53" s="308">
        <v>120.0</v>
      </c>
      <c r="M53" s="308"/>
      <c r="N53" s="308">
        <v>0.0</v>
      </c>
      <c r="O53" s="308" t="s">
        <v>2979</v>
      </c>
      <c r="P53" s="308" t="s">
        <v>3444</v>
      </c>
      <c r="Q53" s="310">
        <v>1.0</v>
      </c>
      <c r="R53" s="308" t="s">
        <v>3266</v>
      </c>
      <c r="S53" s="308">
        <v>120.0</v>
      </c>
      <c r="T53" s="311"/>
      <c r="U53" s="308" t="s">
        <v>237</v>
      </c>
      <c r="V53" s="308" t="b">
        <v>1</v>
      </c>
      <c r="W53" s="308" t="b">
        <v>1</v>
      </c>
      <c r="X53" s="311"/>
      <c r="Y53" s="308" t="s">
        <v>3445</v>
      </c>
      <c r="Z53" s="308" t="s">
        <v>3446</v>
      </c>
      <c r="AA53" s="308" t="s">
        <v>3446</v>
      </c>
      <c r="AB53" s="308"/>
      <c r="AC53" s="311"/>
      <c r="AD53" s="308" t="s">
        <v>3049</v>
      </c>
      <c r="AE53" s="308">
        <v>41121.0</v>
      </c>
      <c r="AF53" s="308" t="s">
        <v>3047</v>
      </c>
      <c r="AG53" s="308" t="s">
        <v>2955</v>
      </c>
      <c r="AH53" s="308">
        <v>3.4506256E8</v>
      </c>
      <c r="AI53" s="308"/>
      <c r="AJ53" s="308"/>
      <c r="AK53" s="308"/>
      <c r="AL53" s="308"/>
      <c r="AM53" s="311"/>
      <c r="AN53" s="308"/>
      <c r="AO53" s="308"/>
      <c r="AP53" s="308"/>
      <c r="AQ53" s="308"/>
      <c r="AR53" s="308"/>
      <c r="AS53" s="311"/>
      <c r="AT53" s="311"/>
      <c r="AU53" s="311"/>
      <c r="AV53" s="308" t="s">
        <v>3009</v>
      </c>
      <c r="AW53" s="308">
        <v>4.7336005206343E13</v>
      </c>
      <c r="AX53" s="310">
        <v>0.0</v>
      </c>
      <c r="AY53" s="308" t="s">
        <v>2974</v>
      </c>
      <c r="AZ53" s="308">
        <v>0.0</v>
      </c>
      <c r="BA53" s="311"/>
      <c r="BB53" s="311"/>
      <c r="BC53" s="311"/>
      <c r="BD53" s="308">
        <v>7.462301991239E12</v>
      </c>
      <c r="BE53" s="311"/>
      <c r="BF53" s="311"/>
      <c r="BG53" s="308" t="s">
        <v>2958</v>
      </c>
      <c r="BH53" s="308">
        <v>0.0</v>
      </c>
      <c r="BI53" s="308" t="s">
        <v>2959</v>
      </c>
      <c r="BJ53" s="308">
        <v>21.64</v>
      </c>
      <c r="BK53" s="311"/>
      <c r="BL53" s="311"/>
      <c r="BM53" s="311"/>
      <c r="BN53" s="311"/>
      <c r="BO53" s="311"/>
      <c r="BP53" s="311"/>
      <c r="BQ53" s="311"/>
      <c r="BR53" s="311"/>
      <c r="BS53" s="308"/>
      <c r="BT53" s="311"/>
      <c r="BU53" s="311"/>
      <c r="BV53" s="308" t="s">
        <v>3049</v>
      </c>
      <c r="BW53" s="308"/>
      <c r="BX53" s="308" t="s">
        <v>3009</v>
      </c>
      <c r="BY53" s="311"/>
      <c r="BZ53" s="311"/>
      <c r="CA53" s="308" t="s">
        <v>3009</v>
      </c>
      <c r="CB53" s="312" t="str">
        <f t="shared" si="1"/>
        <v>16/03/2026</v>
      </c>
      <c r="CC53" s="313">
        <f t="shared" si="2"/>
        <v>2026</v>
      </c>
      <c r="CD53" s="314">
        <f t="shared" si="3"/>
        <v>3</v>
      </c>
      <c r="CE53" s="314">
        <f t="shared" si="4"/>
        <v>1</v>
      </c>
      <c r="CF53" s="314">
        <f t="shared" si="5"/>
        <v>1</v>
      </c>
      <c r="CG53" s="314">
        <f t="shared" si="6"/>
        <v>-5</v>
      </c>
      <c r="CH53" s="315">
        <f>VLOOKUP(CL53,'PRODUCT_COGS&amp;PRICE'!A:E,5,false)</f>
        <v>30.33</v>
      </c>
      <c r="CI53" s="306">
        <f t="shared" si="7"/>
        <v>-4.538</v>
      </c>
      <c r="CJ53" s="316">
        <f t="shared" si="8"/>
        <v>0</v>
      </c>
      <c r="CK53" s="316">
        <f t="shared" si="9"/>
        <v>0</v>
      </c>
      <c r="CL53" s="314" t="str">
        <f>VLOOKUP(R53,PRODUCT_MAP!A:B,2,FALSE)</f>
        <v>Lea_Bag_COCCO_CHOCOLATE</v>
      </c>
      <c r="CM53" s="314" t="str">
        <f>VLOOKUP(R53,PRODUCT_MAP!A:E,3,FALSE)</f>
        <v>Lea Bag</v>
      </c>
    </row>
    <row r="54" ht="22.5" customHeight="1">
      <c r="A54" s="308" t="s">
        <v>3447</v>
      </c>
      <c r="B54" s="308" t="s">
        <v>3448</v>
      </c>
      <c r="C54" s="308" t="s">
        <v>2942</v>
      </c>
      <c r="D54" s="308" t="s">
        <v>3449</v>
      </c>
      <c r="E54" s="308" t="s">
        <v>3013</v>
      </c>
      <c r="F54" s="308"/>
      <c r="G54" s="308" t="s">
        <v>2946</v>
      </c>
      <c r="H54" s="308" t="s">
        <v>2947</v>
      </c>
      <c r="I54" s="308">
        <v>120.0</v>
      </c>
      <c r="J54" s="308">
        <v>0.0</v>
      </c>
      <c r="K54" s="308">
        <v>21.64</v>
      </c>
      <c r="L54" s="308">
        <v>120.0</v>
      </c>
      <c r="M54" s="308"/>
      <c r="N54" s="308">
        <v>0.0</v>
      </c>
      <c r="O54" s="308" t="s">
        <v>2979</v>
      </c>
      <c r="P54" s="308" t="s">
        <v>3450</v>
      </c>
      <c r="Q54" s="310">
        <v>1.0</v>
      </c>
      <c r="R54" s="308" t="s">
        <v>607</v>
      </c>
      <c r="S54" s="308">
        <v>120.0</v>
      </c>
      <c r="T54" s="311"/>
      <c r="U54" s="308" t="s">
        <v>207</v>
      </c>
      <c r="V54" s="308" t="b">
        <v>1</v>
      </c>
      <c r="W54" s="308" t="b">
        <v>1</v>
      </c>
      <c r="X54" s="311"/>
      <c r="Y54" s="308" t="s">
        <v>3451</v>
      </c>
      <c r="Z54" s="308" t="s">
        <v>3452</v>
      </c>
      <c r="AA54" s="308" t="s">
        <v>3453</v>
      </c>
      <c r="AB54" s="308">
        <v>461.0</v>
      </c>
      <c r="AC54" s="311"/>
      <c r="AD54" s="308" t="s">
        <v>3454</v>
      </c>
      <c r="AE54" s="308">
        <v>20054.0</v>
      </c>
      <c r="AF54" s="308" t="s">
        <v>2954</v>
      </c>
      <c r="AG54" s="308" t="s">
        <v>2955</v>
      </c>
      <c r="AH54" s="308"/>
      <c r="AI54" s="308"/>
      <c r="AJ54" s="308"/>
      <c r="AK54" s="308"/>
      <c r="AL54" s="308"/>
      <c r="AM54" s="311"/>
      <c r="AN54" s="308"/>
      <c r="AO54" s="308"/>
      <c r="AP54" s="308"/>
      <c r="AQ54" s="308"/>
      <c r="AR54" s="308"/>
      <c r="AS54" s="311"/>
      <c r="AT54" s="311"/>
      <c r="AU54" s="311"/>
      <c r="AV54" s="308" t="s">
        <v>2956</v>
      </c>
      <c r="AW54" s="308">
        <v>4.7424035389767E13</v>
      </c>
      <c r="AX54" s="310">
        <v>0.0</v>
      </c>
      <c r="AY54" s="308" t="s">
        <v>2974</v>
      </c>
      <c r="AZ54" s="308">
        <v>0.0</v>
      </c>
      <c r="BA54" s="311"/>
      <c r="BB54" s="311"/>
      <c r="BC54" s="311"/>
      <c r="BD54" s="308">
        <v>7.467517968711E12</v>
      </c>
      <c r="BE54" s="311"/>
      <c r="BF54" s="311"/>
      <c r="BG54" s="308" t="s">
        <v>2958</v>
      </c>
      <c r="BH54" s="308">
        <v>0.0</v>
      </c>
      <c r="BI54" s="308" t="s">
        <v>2959</v>
      </c>
      <c r="BJ54" s="308">
        <v>21.64</v>
      </c>
      <c r="BK54" s="311"/>
      <c r="BL54" s="311"/>
      <c r="BM54" s="311"/>
      <c r="BN54" s="311"/>
      <c r="BO54" s="311"/>
      <c r="BP54" s="311"/>
      <c r="BQ54" s="311"/>
      <c r="BR54" s="311"/>
      <c r="BS54" s="308"/>
      <c r="BT54" s="311"/>
      <c r="BU54" s="311"/>
      <c r="BV54" s="308" t="s">
        <v>23</v>
      </c>
      <c r="BW54" s="308"/>
      <c r="BX54" s="308" t="s">
        <v>2956</v>
      </c>
      <c r="BY54" s="311"/>
      <c r="BZ54" s="311"/>
      <c r="CA54" s="308" t="s">
        <v>2956</v>
      </c>
      <c r="CB54" s="312" t="str">
        <f t="shared" si="1"/>
        <v>18/03/2026</v>
      </c>
      <c r="CC54" s="313">
        <f t="shared" si="2"/>
        <v>2026</v>
      </c>
      <c r="CD54" s="314">
        <f t="shared" si="3"/>
        <v>3</v>
      </c>
      <c r="CE54" s="314">
        <f t="shared" si="4"/>
        <v>1</v>
      </c>
      <c r="CF54" s="314">
        <f t="shared" si="5"/>
        <v>1</v>
      </c>
      <c r="CG54" s="314">
        <f t="shared" si="6"/>
        <v>-5</v>
      </c>
      <c r="CH54" s="315">
        <f>VLOOKUP(CL54,'PRODUCT_COGS&amp;PRICE'!A:E,5,false)</f>
        <v>26</v>
      </c>
      <c r="CI54" s="306">
        <f t="shared" si="7"/>
        <v>-2.53</v>
      </c>
      <c r="CJ54" s="316">
        <f t="shared" si="8"/>
        <v>0</v>
      </c>
      <c r="CK54" s="316">
        <f t="shared" si="9"/>
        <v>0</v>
      </c>
      <c r="CL54" s="314" t="str">
        <f>VLOOKUP(R54,PRODUCT_MAP!A:B,2,FALSE)</f>
        <v>Maria_Bag_RED_PIERCING</v>
      </c>
      <c r="CM54" s="314" t="str">
        <f>VLOOKUP(R54,PRODUCT_MAP!A:E,3,FALSE)</f>
        <v>Maria Bag</v>
      </c>
    </row>
    <row r="55" ht="22.5" customHeight="1">
      <c r="A55" s="308" t="s">
        <v>3455</v>
      </c>
      <c r="B55" s="308" t="s">
        <v>3456</v>
      </c>
      <c r="C55" s="308" t="s">
        <v>2942</v>
      </c>
      <c r="D55" s="308" t="s">
        <v>3457</v>
      </c>
      <c r="E55" s="308" t="s">
        <v>3013</v>
      </c>
      <c r="F55" s="308"/>
      <c r="G55" s="308" t="s">
        <v>2946</v>
      </c>
      <c r="H55" s="308" t="s">
        <v>2947</v>
      </c>
      <c r="I55" s="308">
        <v>108.0</v>
      </c>
      <c r="J55" s="308">
        <v>0.0</v>
      </c>
      <c r="K55" s="308">
        <v>19.48</v>
      </c>
      <c r="L55" s="308">
        <v>108.0</v>
      </c>
      <c r="M55" s="308" t="s">
        <v>3094</v>
      </c>
      <c r="N55" s="308">
        <v>12.0</v>
      </c>
      <c r="O55" s="308" t="s">
        <v>2948</v>
      </c>
      <c r="P55" s="308" t="s">
        <v>3458</v>
      </c>
      <c r="Q55" s="310">
        <v>1.0</v>
      </c>
      <c r="R55" s="308" t="s">
        <v>607</v>
      </c>
      <c r="S55" s="308">
        <v>120.0</v>
      </c>
      <c r="T55" s="311"/>
      <c r="U55" s="308" t="s">
        <v>207</v>
      </c>
      <c r="V55" s="308" t="b">
        <v>1</v>
      </c>
      <c r="W55" s="308" t="b">
        <v>1</v>
      </c>
      <c r="X55" s="311"/>
      <c r="Y55" s="308" t="s">
        <v>3459</v>
      </c>
      <c r="Z55" s="308" t="s">
        <v>3460</v>
      </c>
      <c r="AA55" s="308" t="s">
        <v>3460</v>
      </c>
      <c r="AB55" s="308"/>
      <c r="AC55" s="311"/>
      <c r="AD55" s="308" t="s">
        <v>3461</v>
      </c>
      <c r="AE55" s="308">
        <v>40067.0</v>
      </c>
      <c r="AF55" s="308" t="s">
        <v>3069</v>
      </c>
      <c r="AG55" s="308" t="s">
        <v>2955</v>
      </c>
      <c r="AH55" s="308">
        <v>3.481806208E9</v>
      </c>
      <c r="AI55" s="308" t="s">
        <v>3459</v>
      </c>
      <c r="AJ55" s="308" t="s">
        <v>3460</v>
      </c>
      <c r="AK55" s="308" t="s">
        <v>3460</v>
      </c>
      <c r="AL55" s="308"/>
      <c r="AM55" s="311"/>
      <c r="AN55" s="308" t="s">
        <v>3461</v>
      </c>
      <c r="AO55" s="308">
        <v>40067.0</v>
      </c>
      <c r="AP55" s="308" t="s">
        <v>3069</v>
      </c>
      <c r="AQ55" s="308" t="s">
        <v>2955</v>
      </c>
      <c r="AR55" s="308">
        <v>3.481806208E9</v>
      </c>
      <c r="AS55" s="311"/>
      <c r="AT55" s="311"/>
      <c r="AU55" s="311"/>
      <c r="AV55" s="308" t="s">
        <v>3009</v>
      </c>
      <c r="AW55" s="308">
        <v>4.7424880640327E13</v>
      </c>
      <c r="AX55" s="310">
        <v>0.0</v>
      </c>
      <c r="AY55" s="308" t="s">
        <v>2974</v>
      </c>
      <c r="AZ55" s="308">
        <v>0.0</v>
      </c>
      <c r="BA55" s="311"/>
      <c r="BB55" s="311"/>
      <c r="BC55" s="311"/>
      <c r="BD55" s="308">
        <v>7.467581079879E12</v>
      </c>
      <c r="BE55" s="311"/>
      <c r="BF55" s="311"/>
      <c r="BG55" s="308" t="s">
        <v>2958</v>
      </c>
      <c r="BH55" s="308">
        <v>0.0</v>
      </c>
      <c r="BI55" s="308" t="s">
        <v>2959</v>
      </c>
      <c r="BJ55" s="308">
        <v>19.48</v>
      </c>
      <c r="BK55" s="311"/>
      <c r="BL55" s="311"/>
      <c r="BM55" s="311"/>
      <c r="BN55" s="311"/>
      <c r="BO55" s="311"/>
      <c r="BP55" s="311"/>
      <c r="BQ55" s="311"/>
      <c r="BR55" s="311"/>
      <c r="BS55" s="308"/>
      <c r="BT55" s="311"/>
      <c r="BU55" s="311"/>
      <c r="BV55" s="308" t="s">
        <v>3068</v>
      </c>
      <c r="BW55" s="308" t="s">
        <v>3068</v>
      </c>
      <c r="BX55" s="308" t="s">
        <v>3009</v>
      </c>
      <c r="BY55" s="311"/>
      <c r="BZ55" s="311"/>
      <c r="CA55" s="308" t="s">
        <v>3009</v>
      </c>
      <c r="CB55" s="312" t="str">
        <f t="shared" si="1"/>
        <v>18/03/2026</v>
      </c>
      <c r="CC55" s="313">
        <f t="shared" si="2"/>
        <v>2026</v>
      </c>
      <c r="CD55" s="314">
        <f t="shared" si="3"/>
        <v>3</v>
      </c>
      <c r="CE55" s="314">
        <f t="shared" si="4"/>
        <v>1</v>
      </c>
      <c r="CF55" s="314">
        <f t="shared" si="5"/>
        <v>1</v>
      </c>
      <c r="CG55" s="314">
        <f t="shared" si="6"/>
        <v>-5</v>
      </c>
      <c r="CH55" s="315">
        <f>VLOOKUP(CL55,'PRODUCT_COGS&amp;PRICE'!A:E,5,false)</f>
        <v>26</v>
      </c>
      <c r="CI55" s="306">
        <f t="shared" si="7"/>
        <v>-4.1192</v>
      </c>
      <c r="CJ55" s="316">
        <f t="shared" si="8"/>
        <v>0</v>
      </c>
      <c r="CK55" s="316">
        <f t="shared" si="9"/>
        <v>12</v>
      </c>
      <c r="CL55" s="314" t="str">
        <f>VLOOKUP(R55,PRODUCT_MAP!A:B,2,FALSE)</f>
        <v>Maria_Bag_RED_PIERCING</v>
      </c>
      <c r="CM55" s="314" t="str">
        <f>VLOOKUP(R55,PRODUCT_MAP!A:E,3,FALSE)</f>
        <v>Maria Bag</v>
      </c>
    </row>
    <row r="56" ht="22.5" customHeight="1">
      <c r="A56" s="308" t="s">
        <v>3462</v>
      </c>
      <c r="B56" s="308" t="s">
        <v>3463</v>
      </c>
      <c r="C56" s="308" t="s">
        <v>2942</v>
      </c>
      <c r="D56" s="308" t="s">
        <v>3464</v>
      </c>
      <c r="E56" s="308" t="s">
        <v>3013</v>
      </c>
      <c r="F56" s="308"/>
      <c r="G56" s="308" t="s">
        <v>2946</v>
      </c>
      <c r="H56" s="308" t="s">
        <v>2947</v>
      </c>
      <c r="I56" s="308">
        <v>108.0</v>
      </c>
      <c r="J56" s="308">
        <v>0.0</v>
      </c>
      <c r="K56" s="308">
        <v>19.48</v>
      </c>
      <c r="L56" s="308">
        <v>108.0</v>
      </c>
      <c r="M56" s="308" t="s">
        <v>3094</v>
      </c>
      <c r="N56" s="308">
        <v>12.0</v>
      </c>
      <c r="O56" s="308" t="s">
        <v>2948</v>
      </c>
      <c r="P56" s="308" t="s">
        <v>3465</v>
      </c>
      <c r="Q56" s="310">
        <v>1.0</v>
      </c>
      <c r="R56" s="308" t="s">
        <v>509</v>
      </c>
      <c r="S56" s="308">
        <v>120.0</v>
      </c>
      <c r="T56" s="311"/>
      <c r="U56" s="308" t="s">
        <v>161</v>
      </c>
      <c r="V56" s="308" t="b">
        <v>1</v>
      </c>
      <c r="W56" s="308" t="b">
        <v>1</v>
      </c>
      <c r="X56" s="311"/>
      <c r="Y56" s="308" t="s">
        <v>3466</v>
      </c>
      <c r="Z56" s="308" t="s">
        <v>3467</v>
      </c>
      <c r="AA56" s="308" t="s">
        <v>3468</v>
      </c>
      <c r="AB56" s="308" t="s">
        <v>3469</v>
      </c>
      <c r="AC56" s="311"/>
      <c r="AD56" s="308" t="s">
        <v>3081</v>
      </c>
      <c r="AE56" s="308">
        <v>198.0</v>
      </c>
      <c r="AF56" s="308" t="s">
        <v>3082</v>
      </c>
      <c r="AG56" s="308" t="s">
        <v>2955</v>
      </c>
      <c r="AH56" s="308"/>
      <c r="AI56" s="308" t="s">
        <v>3466</v>
      </c>
      <c r="AJ56" s="308" t="s">
        <v>3467</v>
      </c>
      <c r="AK56" s="308" t="s">
        <v>3468</v>
      </c>
      <c r="AL56" s="308" t="s">
        <v>3469</v>
      </c>
      <c r="AM56" s="311"/>
      <c r="AN56" s="308" t="s">
        <v>3081</v>
      </c>
      <c r="AO56" s="308">
        <v>198.0</v>
      </c>
      <c r="AP56" s="308" t="s">
        <v>3082</v>
      </c>
      <c r="AQ56" s="308" t="s">
        <v>2955</v>
      </c>
      <c r="AR56" s="308">
        <v>3.389566899E9</v>
      </c>
      <c r="AS56" s="311"/>
      <c r="AT56" s="311"/>
      <c r="AU56" s="311"/>
      <c r="AV56" s="308" t="s">
        <v>2956</v>
      </c>
      <c r="AW56" s="308">
        <v>4.7434684039495E13</v>
      </c>
      <c r="AX56" s="310">
        <v>0.0</v>
      </c>
      <c r="AY56" s="308" t="s">
        <v>2974</v>
      </c>
      <c r="AZ56" s="308">
        <v>0.0</v>
      </c>
      <c r="BA56" s="311"/>
      <c r="BB56" s="311"/>
      <c r="BC56" s="311"/>
      <c r="BD56" s="308">
        <v>7.468551045447E12</v>
      </c>
      <c r="BE56" s="311"/>
      <c r="BF56" s="311"/>
      <c r="BG56" s="308" t="s">
        <v>2958</v>
      </c>
      <c r="BH56" s="308">
        <v>0.0</v>
      </c>
      <c r="BI56" s="308" t="s">
        <v>2959</v>
      </c>
      <c r="BJ56" s="308">
        <v>19.48</v>
      </c>
      <c r="BK56" s="311"/>
      <c r="BL56" s="311"/>
      <c r="BM56" s="311"/>
      <c r="BN56" s="311"/>
      <c r="BO56" s="311"/>
      <c r="BP56" s="311"/>
      <c r="BQ56" s="311"/>
      <c r="BR56" s="311"/>
      <c r="BS56" s="308"/>
      <c r="BT56" s="311"/>
      <c r="BU56" s="311"/>
      <c r="BV56" s="308" t="s">
        <v>3081</v>
      </c>
      <c r="BW56" s="308" t="s">
        <v>3081</v>
      </c>
      <c r="BX56" s="308" t="s">
        <v>2956</v>
      </c>
      <c r="BY56" s="311"/>
      <c r="BZ56" s="311"/>
      <c r="CA56" s="308" t="s">
        <v>2956</v>
      </c>
      <c r="CB56" s="312" t="str">
        <f t="shared" si="1"/>
        <v>18/03/2026</v>
      </c>
      <c r="CC56" s="313">
        <f t="shared" si="2"/>
        <v>2026</v>
      </c>
      <c r="CD56" s="314">
        <f t="shared" si="3"/>
        <v>3</v>
      </c>
      <c r="CE56" s="314">
        <f t="shared" si="4"/>
        <v>1</v>
      </c>
      <c r="CF56" s="314">
        <f t="shared" si="5"/>
        <v>1</v>
      </c>
      <c r="CG56" s="314">
        <f t="shared" si="6"/>
        <v>-5</v>
      </c>
      <c r="CH56" s="315">
        <f>VLOOKUP(CL56,'PRODUCT_COGS&amp;PRICE'!A:E,5,false)</f>
        <v>30.33</v>
      </c>
      <c r="CI56" s="306">
        <f t="shared" si="7"/>
        <v>-2.302</v>
      </c>
      <c r="CJ56" s="316">
        <f t="shared" si="8"/>
        <v>0</v>
      </c>
      <c r="CK56" s="316">
        <f t="shared" si="9"/>
        <v>12</v>
      </c>
      <c r="CL56" s="314" t="str">
        <f>VLOOKUP(R56,PRODUCT_MAP!A:B,2,FALSE)</f>
        <v>Lea_Bag_COCCO_BLACK</v>
      </c>
      <c r="CM56" s="314" t="str">
        <f>VLOOKUP(R56,PRODUCT_MAP!A:E,3,FALSE)</f>
        <v>Lea Bag</v>
      </c>
    </row>
    <row r="57" ht="22.5" customHeight="1">
      <c r="A57" s="308" t="s">
        <v>3470</v>
      </c>
      <c r="B57" s="308" t="s">
        <v>3471</v>
      </c>
      <c r="C57" s="308" t="s">
        <v>2942</v>
      </c>
      <c r="D57" s="308" t="s">
        <v>3472</v>
      </c>
      <c r="E57" s="308" t="s">
        <v>3013</v>
      </c>
      <c r="F57" s="308"/>
      <c r="G57" s="308" t="s">
        <v>2946</v>
      </c>
      <c r="H57" s="308" t="s">
        <v>2947</v>
      </c>
      <c r="I57" s="308">
        <v>170.0</v>
      </c>
      <c r="J57" s="308">
        <v>0.0</v>
      </c>
      <c r="K57" s="308">
        <v>30.66</v>
      </c>
      <c r="L57" s="308">
        <v>170.0</v>
      </c>
      <c r="M57" s="308"/>
      <c r="N57" s="308">
        <v>0.0</v>
      </c>
      <c r="O57" s="308" t="s">
        <v>2948</v>
      </c>
      <c r="P57" s="308" t="s">
        <v>3473</v>
      </c>
      <c r="Q57" s="310">
        <v>1.0</v>
      </c>
      <c r="R57" s="308" t="s">
        <v>549</v>
      </c>
      <c r="S57" s="308">
        <v>170.0</v>
      </c>
      <c r="T57" s="311"/>
      <c r="U57" s="308"/>
      <c r="V57" s="308" t="b">
        <v>1</v>
      </c>
      <c r="W57" s="308" t="b">
        <v>1</v>
      </c>
      <c r="X57" s="311"/>
      <c r="Y57" s="308" t="s">
        <v>3474</v>
      </c>
      <c r="Z57" s="308" t="s">
        <v>3475</v>
      </c>
      <c r="AA57" s="308" t="s">
        <v>3475</v>
      </c>
      <c r="AB57" s="308"/>
      <c r="AC57" s="311"/>
      <c r="AD57" s="308" t="s">
        <v>3476</v>
      </c>
      <c r="AE57" s="308">
        <v>27100.0</v>
      </c>
      <c r="AF57" s="308" t="s">
        <v>3477</v>
      </c>
      <c r="AG57" s="308" t="s">
        <v>2955</v>
      </c>
      <c r="AH57" s="308"/>
      <c r="AI57" s="308" t="s">
        <v>3474</v>
      </c>
      <c r="AJ57" s="308" t="s">
        <v>3475</v>
      </c>
      <c r="AK57" s="308" t="s">
        <v>3475</v>
      </c>
      <c r="AL57" s="308"/>
      <c r="AM57" s="311"/>
      <c r="AN57" s="308" t="s">
        <v>3476</v>
      </c>
      <c r="AO57" s="308">
        <v>27100.0</v>
      </c>
      <c r="AP57" s="308" t="s">
        <v>3477</v>
      </c>
      <c r="AQ57" s="308" t="s">
        <v>2955</v>
      </c>
      <c r="AR57" s="308">
        <v>3.318634393E9</v>
      </c>
      <c r="AS57" s="311"/>
      <c r="AT57" s="311"/>
      <c r="AU57" s="311"/>
      <c r="AV57" s="308" t="s">
        <v>2956</v>
      </c>
      <c r="AW57" s="308">
        <v>4.7436826607943E13</v>
      </c>
      <c r="AX57" s="310">
        <v>0.0</v>
      </c>
      <c r="AY57" s="308" t="s">
        <v>2974</v>
      </c>
      <c r="AZ57" s="308">
        <v>0.0</v>
      </c>
      <c r="BA57" s="311"/>
      <c r="BB57" s="311"/>
      <c r="BC57" s="311"/>
      <c r="BD57" s="308">
        <v>7.468771770695E12</v>
      </c>
      <c r="BE57" s="311"/>
      <c r="BF57" s="311"/>
      <c r="BG57" s="308" t="s">
        <v>2958</v>
      </c>
      <c r="BH57" s="308">
        <v>0.0</v>
      </c>
      <c r="BI57" s="308" t="s">
        <v>2959</v>
      </c>
      <c r="BJ57" s="308">
        <v>30.66</v>
      </c>
      <c r="BK57" s="311"/>
      <c r="BL57" s="311"/>
      <c r="BM57" s="311"/>
      <c r="BN57" s="311"/>
      <c r="BO57" s="311"/>
      <c r="BP57" s="311"/>
      <c r="BQ57" s="311"/>
      <c r="BR57" s="311"/>
      <c r="BS57" s="308"/>
      <c r="BT57" s="311"/>
      <c r="BU57" s="311"/>
      <c r="BV57" s="308" t="s">
        <v>3476</v>
      </c>
      <c r="BW57" s="308" t="s">
        <v>3476</v>
      </c>
      <c r="BX57" s="308" t="s">
        <v>2956</v>
      </c>
      <c r="BY57" s="311"/>
      <c r="BZ57" s="311"/>
      <c r="CA57" s="308" t="s">
        <v>2956</v>
      </c>
      <c r="CB57" s="312" t="str">
        <f t="shared" si="1"/>
        <v>18/03/2026</v>
      </c>
      <c r="CC57" s="313">
        <f t="shared" si="2"/>
        <v>2026</v>
      </c>
      <c r="CD57" s="314">
        <f t="shared" si="3"/>
        <v>3</v>
      </c>
      <c r="CE57" s="314">
        <f t="shared" si="4"/>
        <v>1</v>
      </c>
      <c r="CF57" s="314">
        <f t="shared" si="5"/>
        <v>1</v>
      </c>
      <c r="CG57" s="314">
        <f t="shared" si="6"/>
        <v>-5</v>
      </c>
      <c r="CH57" s="315">
        <f>VLOOKUP(CL57,'PRODUCT_COGS&amp;PRICE'!A:E,5,false)</f>
        <v>36</v>
      </c>
      <c r="CI57" s="306">
        <f t="shared" si="7"/>
        <v>-3.48</v>
      </c>
      <c r="CJ57" s="316">
        <f t="shared" si="8"/>
        <v>0</v>
      </c>
      <c r="CK57" s="316">
        <f t="shared" si="9"/>
        <v>0</v>
      </c>
      <c r="CL57" s="314" t="str">
        <f>VLOOKUP(R57,PRODUCT_MAP!A:B,2,FALSE)</f>
        <v>Lea_Bag_Maxi_COCCO_BLACK</v>
      </c>
      <c r="CM57" s="314" t="str">
        <f>VLOOKUP(R57,PRODUCT_MAP!A:E,3,FALSE)</f>
        <v>Lea Bag Maxi</v>
      </c>
    </row>
    <row r="58" ht="22.5" customHeight="1">
      <c r="A58" s="308" t="s">
        <v>3478</v>
      </c>
      <c r="B58" s="308" t="s">
        <v>3479</v>
      </c>
      <c r="C58" s="308" t="s">
        <v>2942</v>
      </c>
      <c r="D58" s="308" t="s">
        <v>3480</v>
      </c>
      <c r="E58" s="308" t="s">
        <v>3013</v>
      </c>
      <c r="F58" s="308"/>
      <c r="G58" s="308" t="s">
        <v>2946</v>
      </c>
      <c r="H58" s="308" t="s">
        <v>2947</v>
      </c>
      <c r="I58" s="308">
        <v>170.0</v>
      </c>
      <c r="J58" s="308">
        <v>0.0</v>
      </c>
      <c r="K58" s="308">
        <v>30.66</v>
      </c>
      <c r="L58" s="308">
        <v>170.0</v>
      </c>
      <c r="M58" s="308"/>
      <c r="N58" s="308">
        <v>0.0</v>
      </c>
      <c r="O58" s="308" t="s">
        <v>2948</v>
      </c>
      <c r="P58" s="308" t="s">
        <v>3480</v>
      </c>
      <c r="Q58" s="310">
        <v>1.0</v>
      </c>
      <c r="R58" s="308" t="s">
        <v>559</v>
      </c>
      <c r="S58" s="308">
        <v>170.0</v>
      </c>
      <c r="T58" s="311"/>
      <c r="U58" s="308"/>
      <c r="V58" s="308" t="b">
        <v>1</v>
      </c>
      <c r="W58" s="308" t="b">
        <v>1</v>
      </c>
      <c r="X58" s="311"/>
      <c r="Y58" s="308" t="s">
        <v>3481</v>
      </c>
      <c r="Z58" s="308" t="s">
        <v>3482</v>
      </c>
      <c r="AA58" s="308" t="s">
        <v>3483</v>
      </c>
      <c r="AB58" s="308" t="s">
        <v>3484</v>
      </c>
      <c r="AC58" s="311"/>
      <c r="AD58" s="308" t="s">
        <v>3485</v>
      </c>
      <c r="AE58" s="308">
        <v>73100.0</v>
      </c>
      <c r="AF58" s="308" t="s">
        <v>3486</v>
      </c>
      <c r="AG58" s="308" t="s">
        <v>2955</v>
      </c>
      <c r="AH58" s="308">
        <v>3.881687276E9</v>
      </c>
      <c r="AI58" s="308" t="s">
        <v>3481</v>
      </c>
      <c r="AJ58" s="308" t="s">
        <v>3482</v>
      </c>
      <c r="AK58" s="308" t="s">
        <v>3483</v>
      </c>
      <c r="AL58" s="308" t="s">
        <v>3484</v>
      </c>
      <c r="AM58" s="311"/>
      <c r="AN58" s="308" t="s">
        <v>3485</v>
      </c>
      <c r="AO58" s="308">
        <v>73100.0</v>
      </c>
      <c r="AP58" s="308" t="s">
        <v>3486</v>
      </c>
      <c r="AQ58" s="308" t="s">
        <v>2955</v>
      </c>
      <c r="AR58" s="308">
        <v>3.881687276E9</v>
      </c>
      <c r="AS58" s="311"/>
      <c r="AT58" s="311"/>
      <c r="AU58" s="311"/>
      <c r="AV58" s="308" t="s">
        <v>3009</v>
      </c>
      <c r="AW58" s="308">
        <v>4.7437265895751E13</v>
      </c>
      <c r="AX58" s="310">
        <v>0.0</v>
      </c>
      <c r="AY58" s="308" t="s">
        <v>2974</v>
      </c>
      <c r="AZ58" s="308">
        <v>0.0</v>
      </c>
      <c r="BA58" s="311"/>
      <c r="BB58" s="311"/>
      <c r="BC58" s="311"/>
      <c r="BD58" s="308">
        <v>7.468801294663E12</v>
      </c>
      <c r="BE58" s="311"/>
      <c r="BF58" s="311"/>
      <c r="BG58" s="308" t="s">
        <v>2958</v>
      </c>
      <c r="BH58" s="308">
        <v>0.0</v>
      </c>
      <c r="BI58" s="308" t="s">
        <v>2959</v>
      </c>
      <c r="BJ58" s="308">
        <v>30.66</v>
      </c>
      <c r="BK58" s="311"/>
      <c r="BL58" s="311"/>
      <c r="BM58" s="311"/>
      <c r="BN58" s="311"/>
      <c r="BO58" s="311"/>
      <c r="BP58" s="311"/>
      <c r="BQ58" s="311"/>
      <c r="BR58" s="311"/>
      <c r="BS58" s="308"/>
      <c r="BT58" s="311"/>
      <c r="BU58" s="311"/>
      <c r="BV58" s="308" t="s">
        <v>3485</v>
      </c>
      <c r="BW58" s="308" t="s">
        <v>3485</v>
      </c>
      <c r="BX58" s="308" t="s">
        <v>3009</v>
      </c>
      <c r="BY58" s="311"/>
      <c r="BZ58" s="311"/>
      <c r="CA58" s="308" t="s">
        <v>3009</v>
      </c>
      <c r="CB58" s="312" t="str">
        <f t="shared" si="1"/>
        <v>18/03/2026</v>
      </c>
      <c r="CC58" s="313">
        <f t="shared" si="2"/>
        <v>2026</v>
      </c>
      <c r="CD58" s="314">
        <f t="shared" si="3"/>
        <v>3</v>
      </c>
      <c r="CE58" s="314">
        <f t="shared" si="4"/>
        <v>1</v>
      </c>
      <c r="CF58" s="314">
        <f t="shared" si="5"/>
        <v>1</v>
      </c>
      <c r="CG58" s="314">
        <f t="shared" si="6"/>
        <v>-5</v>
      </c>
      <c r="CH58" s="315">
        <f>VLOOKUP(CL58,'PRODUCT_COGS&amp;PRICE'!A:E,5,false)</f>
        <v>25</v>
      </c>
      <c r="CI58" s="306">
        <f t="shared" si="7"/>
        <v>-6.283</v>
      </c>
      <c r="CJ58" s="316">
        <f t="shared" si="8"/>
        <v>0</v>
      </c>
      <c r="CK58" s="316">
        <f t="shared" si="9"/>
        <v>0</v>
      </c>
      <c r="CL58" s="314" t="str">
        <f>VLOOKUP(R58,PRODUCT_MAP!A:B,2,FALSE)</f>
        <v>Lea_Bag_Maxi_SUEDE_CHOCOLATE</v>
      </c>
      <c r="CM58" s="314" t="str">
        <f>VLOOKUP(R58,PRODUCT_MAP!A:E,3,FALSE)</f>
        <v>Lea Bag Maxi</v>
      </c>
    </row>
    <row r="59" ht="22.5" customHeight="1">
      <c r="A59" s="308" t="s">
        <v>3487</v>
      </c>
      <c r="B59" s="308" t="s">
        <v>3488</v>
      </c>
      <c r="C59" s="308" t="s">
        <v>2942</v>
      </c>
      <c r="D59" s="308" t="s">
        <v>3489</v>
      </c>
      <c r="E59" s="308" t="s">
        <v>3013</v>
      </c>
      <c r="F59" s="308"/>
      <c r="G59" s="308" t="s">
        <v>2946</v>
      </c>
      <c r="H59" s="308" t="s">
        <v>2947</v>
      </c>
      <c r="I59" s="308">
        <v>153.0</v>
      </c>
      <c r="J59" s="308">
        <v>0.0</v>
      </c>
      <c r="K59" s="308">
        <v>27.59</v>
      </c>
      <c r="L59" s="308">
        <v>153.0</v>
      </c>
      <c r="M59" s="308" t="s">
        <v>3094</v>
      </c>
      <c r="N59" s="308">
        <v>17.0</v>
      </c>
      <c r="O59" s="308" t="s">
        <v>2979</v>
      </c>
      <c r="P59" s="308" t="s">
        <v>3490</v>
      </c>
      <c r="Q59" s="310">
        <v>1.0</v>
      </c>
      <c r="R59" s="308" t="s">
        <v>559</v>
      </c>
      <c r="S59" s="308">
        <v>170.0</v>
      </c>
      <c r="T59" s="311"/>
      <c r="U59" s="308"/>
      <c r="V59" s="308" t="b">
        <v>1</v>
      </c>
      <c r="W59" s="308" t="b">
        <v>1</v>
      </c>
      <c r="X59" s="311"/>
      <c r="Y59" s="308" t="s">
        <v>3491</v>
      </c>
      <c r="Z59" s="308" t="s">
        <v>3492</v>
      </c>
      <c r="AA59" s="308" t="s">
        <v>3492</v>
      </c>
      <c r="AB59" s="308"/>
      <c r="AC59" s="311"/>
      <c r="AD59" s="308" t="s">
        <v>23</v>
      </c>
      <c r="AE59" s="308">
        <v>20127.0</v>
      </c>
      <c r="AF59" s="308" t="s">
        <v>2954</v>
      </c>
      <c r="AG59" s="308" t="s">
        <v>2955</v>
      </c>
      <c r="AH59" s="308">
        <v>3.3935624E9</v>
      </c>
      <c r="AI59" s="308"/>
      <c r="AJ59" s="308"/>
      <c r="AK59" s="308"/>
      <c r="AL59" s="308"/>
      <c r="AM59" s="311"/>
      <c r="AN59" s="308"/>
      <c r="AO59" s="308"/>
      <c r="AP59" s="308"/>
      <c r="AQ59" s="308"/>
      <c r="AR59" s="308"/>
      <c r="AS59" s="311"/>
      <c r="AT59" s="311"/>
      <c r="AU59" s="311"/>
      <c r="AV59" s="308" t="s">
        <v>3009</v>
      </c>
      <c r="AW59" s="308">
        <v>4.7437735788871E13</v>
      </c>
      <c r="AX59" s="310">
        <v>0.0</v>
      </c>
      <c r="AY59" s="308" t="s">
        <v>2974</v>
      </c>
      <c r="AZ59" s="308">
        <v>0.0</v>
      </c>
      <c r="BA59" s="311"/>
      <c r="BB59" s="311"/>
      <c r="BC59" s="311"/>
      <c r="BD59" s="308">
        <v>7.468847923527E12</v>
      </c>
      <c r="BE59" s="311"/>
      <c r="BF59" s="311"/>
      <c r="BG59" s="308" t="s">
        <v>2958</v>
      </c>
      <c r="BH59" s="308">
        <v>0.0</v>
      </c>
      <c r="BI59" s="308" t="s">
        <v>2959</v>
      </c>
      <c r="BJ59" s="308">
        <v>27.59</v>
      </c>
      <c r="BK59" s="311"/>
      <c r="BL59" s="311"/>
      <c r="BM59" s="311"/>
      <c r="BN59" s="311"/>
      <c r="BO59" s="311"/>
      <c r="BP59" s="311"/>
      <c r="BQ59" s="311"/>
      <c r="BR59" s="311"/>
      <c r="BS59" s="308"/>
      <c r="BT59" s="311"/>
      <c r="BU59" s="311"/>
      <c r="BV59" s="308" t="s">
        <v>23</v>
      </c>
      <c r="BW59" s="308"/>
      <c r="BX59" s="308" t="s">
        <v>3009</v>
      </c>
      <c r="BY59" s="311"/>
      <c r="BZ59" s="311"/>
      <c r="CA59" s="308" t="s">
        <v>3009</v>
      </c>
      <c r="CB59" s="312" t="str">
        <f t="shared" si="1"/>
        <v>18/03/2026</v>
      </c>
      <c r="CC59" s="313">
        <f t="shared" si="2"/>
        <v>2026</v>
      </c>
      <c r="CD59" s="314">
        <f t="shared" si="3"/>
        <v>3</v>
      </c>
      <c r="CE59" s="314">
        <f t="shared" si="4"/>
        <v>1</v>
      </c>
      <c r="CF59" s="314">
        <f t="shared" si="5"/>
        <v>1</v>
      </c>
      <c r="CG59" s="314">
        <f t="shared" si="6"/>
        <v>-5</v>
      </c>
      <c r="CH59" s="315">
        <f>VLOOKUP(CL59,'PRODUCT_COGS&amp;PRICE'!A:E,5,false)</f>
        <v>25</v>
      </c>
      <c r="CI59" s="306">
        <f t="shared" si="7"/>
        <v>-5.6897</v>
      </c>
      <c r="CJ59" s="316">
        <f t="shared" si="8"/>
        <v>0</v>
      </c>
      <c r="CK59" s="316">
        <f t="shared" si="9"/>
        <v>17</v>
      </c>
      <c r="CL59" s="314" t="str">
        <f>VLOOKUP(R59,PRODUCT_MAP!A:B,2,FALSE)</f>
        <v>Lea_Bag_Maxi_SUEDE_CHOCOLATE</v>
      </c>
      <c r="CM59" s="314" t="str">
        <f>VLOOKUP(R59,PRODUCT_MAP!A:E,3,FALSE)</f>
        <v>Lea Bag Maxi</v>
      </c>
    </row>
    <row r="60" ht="22.5" customHeight="1">
      <c r="A60" s="308" t="s">
        <v>3493</v>
      </c>
      <c r="B60" s="308" t="s">
        <v>3494</v>
      </c>
      <c r="C60" s="308" t="s">
        <v>2942</v>
      </c>
      <c r="D60" s="308" t="s">
        <v>3495</v>
      </c>
      <c r="E60" s="308" t="s">
        <v>3013</v>
      </c>
      <c r="F60" s="308"/>
      <c r="G60" s="308" t="s">
        <v>2946</v>
      </c>
      <c r="H60" s="308" t="s">
        <v>2947</v>
      </c>
      <c r="I60" s="308">
        <v>153.0</v>
      </c>
      <c r="J60" s="308">
        <v>0.0</v>
      </c>
      <c r="K60" s="308">
        <v>27.59</v>
      </c>
      <c r="L60" s="308">
        <v>153.0</v>
      </c>
      <c r="M60" s="308" t="s">
        <v>3094</v>
      </c>
      <c r="N60" s="308">
        <v>17.0</v>
      </c>
      <c r="O60" s="308" t="s">
        <v>2948</v>
      </c>
      <c r="P60" s="308" t="s">
        <v>3496</v>
      </c>
      <c r="Q60" s="310">
        <v>1.0</v>
      </c>
      <c r="R60" s="308" t="s">
        <v>559</v>
      </c>
      <c r="S60" s="308">
        <v>170.0</v>
      </c>
      <c r="T60" s="311"/>
      <c r="U60" s="308"/>
      <c r="V60" s="308" t="b">
        <v>1</v>
      </c>
      <c r="W60" s="308" t="b">
        <v>1</v>
      </c>
      <c r="X60" s="311"/>
      <c r="Y60" s="308" t="s">
        <v>3497</v>
      </c>
      <c r="Z60" s="308" t="s">
        <v>3498</v>
      </c>
      <c r="AA60" s="308" t="s">
        <v>3498</v>
      </c>
      <c r="AB60" s="308"/>
      <c r="AC60" s="311"/>
      <c r="AD60" s="308" t="s">
        <v>23</v>
      </c>
      <c r="AE60" s="308">
        <v>20154.0</v>
      </c>
      <c r="AF60" s="308" t="s">
        <v>2954</v>
      </c>
      <c r="AG60" s="308" t="s">
        <v>2955</v>
      </c>
      <c r="AH60" s="308">
        <v>3.341237303E9</v>
      </c>
      <c r="AI60" s="308" t="s">
        <v>3497</v>
      </c>
      <c r="AJ60" s="308" t="s">
        <v>3498</v>
      </c>
      <c r="AK60" s="308" t="s">
        <v>3498</v>
      </c>
      <c r="AL60" s="308"/>
      <c r="AM60" s="311"/>
      <c r="AN60" s="308" t="s">
        <v>23</v>
      </c>
      <c r="AO60" s="308">
        <v>20154.0</v>
      </c>
      <c r="AP60" s="308" t="s">
        <v>2954</v>
      </c>
      <c r="AQ60" s="308" t="s">
        <v>2955</v>
      </c>
      <c r="AR60" s="308">
        <v>3.341237303E9</v>
      </c>
      <c r="AS60" s="311"/>
      <c r="AT60" s="311"/>
      <c r="AU60" s="311"/>
      <c r="AV60" s="308" t="s">
        <v>3009</v>
      </c>
      <c r="AW60" s="308">
        <v>4.7440253124935E13</v>
      </c>
      <c r="AX60" s="310">
        <v>0.0</v>
      </c>
      <c r="AY60" s="308" t="s">
        <v>2974</v>
      </c>
      <c r="AZ60" s="308">
        <v>0.0</v>
      </c>
      <c r="BA60" s="311"/>
      <c r="BB60" s="311"/>
      <c r="BC60" s="311"/>
      <c r="BD60" s="308">
        <v>7.469034963271E12</v>
      </c>
      <c r="BE60" s="311"/>
      <c r="BF60" s="311"/>
      <c r="BG60" s="308" t="s">
        <v>2958</v>
      </c>
      <c r="BH60" s="308">
        <v>0.0</v>
      </c>
      <c r="BI60" s="308" t="s">
        <v>2959</v>
      </c>
      <c r="BJ60" s="308">
        <v>27.59</v>
      </c>
      <c r="BK60" s="311"/>
      <c r="BL60" s="311"/>
      <c r="BM60" s="311"/>
      <c r="BN60" s="311"/>
      <c r="BO60" s="311"/>
      <c r="BP60" s="311"/>
      <c r="BQ60" s="311"/>
      <c r="BR60" s="311"/>
      <c r="BS60" s="308"/>
      <c r="BT60" s="311"/>
      <c r="BU60" s="311"/>
      <c r="BV60" s="308" t="s">
        <v>23</v>
      </c>
      <c r="BW60" s="308" t="s">
        <v>23</v>
      </c>
      <c r="BX60" s="308" t="s">
        <v>3009</v>
      </c>
      <c r="BY60" s="311"/>
      <c r="BZ60" s="311"/>
      <c r="CA60" s="308" t="s">
        <v>3009</v>
      </c>
      <c r="CB60" s="312" t="str">
        <f t="shared" si="1"/>
        <v>18/03/2026</v>
      </c>
      <c r="CC60" s="313">
        <f t="shared" si="2"/>
        <v>2026</v>
      </c>
      <c r="CD60" s="314">
        <f t="shared" si="3"/>
        <v>3</v>
      </c>
      <c r="CE60" s="314">
        <f t="shared" si="4"/>
        <v>1</v>
      </c>
      <c r="CF60" s="314">
        <f t="shared" si="5"/>
        <v>1</v>
      </c>
      <c r="CG60" s="314">
        <f t="shared" si="6"/>
        <v>-5</v>
      </c>
      <c r="CH60" s="315">
        <f>VLOOKUP(CL60,'PRODUCT_COGS&amp;PRICE'!A:E,5,false)</f>
        <v>25</v>
      </c>
      <c r="CI60" s="306">
        <f t="shared" si="7"/>
        <v>-5.6897</v>
      </c>
      <c r="CJ60" s="316">
        <f t="shared" si="8"/>
        <v>0</v>
      </c>
      <c r="CK60" s="316">
        <f t="shared" si="9"/>
        <v>17</v>
      </c>
      <c r="CL60" s="314" t="str">
        <f>VLOOKUP(R60,PRODUCT_MAP!A:B,2,FALSE)</f>
        <v>Lea_Bag_Maxi_SUEDE_CHOCOLATE</v>
      </c>
      <c r="CM60" s="314" t="str">
        <f>VLOOKUP(R60,PRODUCT_MAP!A:E,3,FALSE)</f>
        <v>Lea Bag Maxi</v>
      </c>
    </row>
    <row r="61" ht="22.5" customHeight="1">
      <c r="A61" s="308" t="s">
        <v>3499</v>
      </c>
      <c r="B61" s="308" t="s">
        <v>3500</v>
      </c>
      <c r="C61" s="308" t="s">
        <v>2942</v>
      </c>
      <c r="D61" s="308" t="s">
        <v>3501</v>
      </c>
      <c r="E61" s="308" t="s">
        <v>3013</v>
      </c>
      <c r="F61" s="308"/>
      <c r="G61" s="308" t="s">
        <v>2946</v>
      </c>
      <c r="H61" s="308" t="s">
        <v>2947</v>
      </c>
      <c r="I61" s="308">
        <v>170.0</v>
      </c>
      <c r="J61" s="308">
        <v>0.0</v>
      </c>
      <c r="K61" s="308">
        <v>30.66</v>
      </c>
      <c r="L61" s="308">
        <v>170.0</v>
      </c>
      <c r="M61" s="308"/>
      <c r="N61" s="308">
        <v>0.0</v>
      </c>
      <c r="O61" s="308" t="s">
        <v>2948</v>
      </c>
      <c r="P61" s="308" t="s">
        <v>3502</v>
      </c>
      <c r="Q61" s="310">
        <v>1.0</v>
      </c>
      <c r="R61" s="308" t="s">
        <v>549</v>
      </c>
      <c r="S61" s="308">
        <v>170.0</v>
      </c>
      <c r="T61" s="311"/>
      <c r="U61" s="308"/>
      <c r="V61" s="308" t="b">
        <v>1</v>
      </c>
      <c r="W61" s="308" t="b">
        <v>1</v>
      </c>
      <c r="X61" s="311"/>
      <c r="Y61" s="308" t="s">
        <v>3503</v>
      </c>
      <c r="Z61" s="308" t="s">
        <v>3504</v>
      </c>
      <c r="AA61" s="308" t="s">
        <v>3504</v>
      </c>
      <c r="AB61" s="308"/>
      <c r="AC61" s="311"/>
      <c r="AD61" s="308" t="s">
        <v>3505</v>
      </c>
      <c r="AE61" s="308">
        <v>42028.0</v>
      </c>
      <c r="AF61" s="308" t="s">
        <v>3506</v>
      </c>
      <c r="AG61" s="308" t="s">
        <v>2955</v>
      </c>
      <c r="AH61" s="308">
        <v>3.457156057E9</v>
      </c>
      <c r="AI61" s="308" t="s">
        <v>3503</v>
      </c>
      <c r="AJ61" s="308" t="s">
        <v>3504</v>
      </c>
      <c r="AK61" s="308" t="s">
        <v>3504</v>
      </c>
      <c r="AL61" s="308"/>
      <c r="AM61" s="311"/>
      <c r="AN61" s="308" t="s">
        <v>3505</v>
      </c>
      <c r="AO61" s="308">
        <v>42028.0</v>
      </c>
      <c r="AP61" s="308" t="s">
        <v>3506</v>
      </c>
      <c r="AQ61" s="308" t="s">
        <v>2955</v>
      </c>
      <c r="AR61" s="308">
        <v>3.457156057E9</v>
      </c>
      <c r="AS61" s="311"/>
      <c r="AT61" s="311"/>
      <c r="AU61" s="311"/>
      <c r="AV61" s="308" t="s">
        <v>3009</v>
      </c>
      <c r="AW61" s="308">
        <v>4.7443030933831E13</v>
      </c>
      <c r="AX61" s="310">
        <v>0.0</v>
      </c>
      <c r="AY61" s="308" t="s">
        <v>2974</v>
      </c>
      <c r="AZ61" s="308">
        <v>0.0</v>
      </c>
      <c r="BA61" s="311"/>
      <c r="BB61" s="311"/>
      <c r="BC61" s="311"/>
      <c r="BD61" s="308">
        <v>7.469258473799E12</v>
      </c>
      <c r="BE61" s="311"/>
      <c r="BF61" s="311"/>
      <c r="BG61" s="308" t="s">
        <v>2958</v>
      </c>
      <c r="BH61" s="308">
        <v>0.0</v>
      </c>
      <c r="BI61" s="308" t="s">
        <v>2959</v>
      </c>
      <c r="BJ61" s="308">
        <v>30.66</v>
      </c>
      <c r="BK61" s="311"/>
      <c r="BL61" s="311"/>
      <c r="BM61" s="311"/>
      <c r="BN61" s="311"/>
      <c r="BO61" s="311"/>
      <c r="BP61" s="311"/>
      <c r="BQ61" s="311"/>
      <c r="BR61" s="311"/>
      <c r="BS61" s="308"/>
      <c r="BT61" s="311"/>
      <c r="BU61" s="311"/>
      <c r="BV61" s="308" t="s">
        <v>3507</v>
      </c>
      <c r="BW61" s="308" t="s">
        <v>3507</v>
      </c>
      <c r="BX61" s="308" t="s">
        <v>3009</v>
      </c>
      <c r="BY61" s="311"/>
      <c r="BZ61" s="311"/>
      <c r="CA61" s="308" t="s">
        <v>3009</v>
      </c>
      <c r="CB61" s="312" t="str">
        <f t="shared" si="1"/>
        <v>18/03/2026</v>
      </c>
      <c r="CC61" s="313">
        <f t="shared" si="2"/>
        <v>2026</v>
      </c>
      <c r="CD61" s="314">
        <f t="shared" si="3"/>
        <v>3</v>
      </c>
      <c r="CE61" s="314">
        <f t="shared" si="4"/>
        <v>1</v>
      </c>
      <c r="CF61" s="314">
        <f t="shared" si="5"/>
        <v>1</v>
      </c>
      <c r="CG61" s="314">
        <f t="shared" si="6"/>
        <v>-5</v>
      </c>
      <c r="CH61" s="315">
        <f>VLOOKUP(CL61,'PRODUCT_COGS&amp;PRICE'!A:E,5,false)</f>
        <v>36</v>
      </c>
      <c r="CI61" s="306">
        <f t="shared" si="7"/>
        <v>-6.283</v>
      </c>
      <c r="CJ61" s="316">
        <f t="shared" si="8"/>
        <v>0</v>
      </c>
      <c r="CK61" s="316">
        <f t="shared" si="9"/>
        <v>0</v>
      </c>
      <c r="CL61" s="314" t="str">
        <f>VLOOKUP(R61,PRODUCT_MAP!A:B,2,FALSE)</f>
        <v>Lea_Bag_Maxi_COCCO_BLACK</v>
      </c>
      <c r="CM61" s="314" t="str">
        <f>VLOOKUP(R61,PRODUCT_MAP!A:E,3,FALSE)</f>
        <v>Lea Bag Maxi</v>
      </c>
    </row>
    <row r="62" ht="22.5" customHeight="1">
      <c r="A62" s="308" t="s">
        <v>3508</v>
      </c>
      <c r="B62" s="308" t="s">
        <v>3509</v>
      </c>
      <c r="C62" s="308" t="s">
        <v>2942</v>
      </c>
      <c r="D62" s="308" t="s">
        <v>3510</v>
      </c>
      <c r="E62" s="308" t="s">
        <v>3013</v>
      </c>
      <c r="F62" s="308"/>
      <c r="G62" s="308" t="s">
        <v>2946</v>
      </c>
      <c r="H62" s="308" t="s">
        <v>2947</v>
      </c>
      <c r="I62" s="308">
        <v>108.0</v>
      </c>
      <c r="J62" s="308">
        <v>0.0</v>
      </c>
      <c r="K62" s="308">
        <v>19.48</v>
      </c>
      <c r="L62" s="308">
        <v>108.0</v>
      </c>
      <c r="M62" s="308" t="s">
        <v>3094</v>
      </c>
      <c r="N62" s="308">
        <v>12.0</v>
      </c>
      <c r="O62" s="308" t="s">
        <v>2948</v>
      </c>
      <c r="P62" s="308" t="s">
        <v>3511</v>
      </c>
      <c r="Q62" s="310">
        <v>1.0</v>
      </c>
      <c r="R62" s="308" t="s">
        <v>3400</v>
      </c>
      <c r="S62" s="308">
        <v>120.0</v>
      </c>
      <c r="T62" s="311"/>
      <c r="U62" s="308" t="s">
        <v>200</v>
      </c>
      <c r="V62" s="308" t="b">
        <v>1</v>
      </c>
      <c r="W62" s="308" t="b">
        <v>1</v>
      </c>
      <c r="X62" s="311"/>
      <c r="Y62" s="308" t="s">
        <v>3512</v>
      </c>
      <c r="Z62" s="308" t="s">
        <v>3513</v>
      </c>
      <c r="AA62" s="308" t="s">
        <v>3513</v>
      </c>
      <c r="AB62" s="308"/>
      <c r="AC62" s="311"/>
      <c r="AD62" s="308" t="s">
        <v>3514</v>
      </c>
      <c r="AE62" s="308">
        <v>6049.0</v>
      </c>
      <c r="AF62" s="308" t="s">
        <v>3280</v>
      </c>
      <c r="AG62" s="308" t="s">
        <v>2955</v>
      </c>
      <c r="AH62" s="308">
        <v>3.387384562E9</v>
      </c>
      <c r="AI62" s="308" t="s">
        <v>3512</v>
      </c>
      <c r="AJ62" s="308" t="s">
        <v>3513</v>
      </c>
      <c r="AK62" s="308" t="s">
        <v>3513</v>
      </c>
      <c r="AL62" s="308"/>
      <c r="AM62" s="311"/>
      <c r="AN62" s="308" t="s">
        <v>3514</v>
      </c>
      <c r="AO62" s="308">
        <v>6049.0</v>
      </c>
      <c r="AP62" s="308" t="s">
        <v>3280</v>
      </c>
      <c r="AQ62" s="308" t="s">
        <v>2955</v>
      </c>
      <c r="AR62" s="308">
        <v>3.387384562E9</v>
      </c>
      <c r="AS62" s="311"/>
      <c r="AT62" s="311"/>
      <c r="AU62" s="311"/>
      <c r="AV62" s="308" t="s">
        <v>2956</v>
      </c>
      <c r="AW62" s="308">
        <v>4.7443207651655E13</v>
      </c>
      <c r="AX62" s="310">
        <v>0.0</v>
      </c>
      <c r="AY62" s="308" t="s">
        <v>2974</v>
      </c>
      <c r="AZ62" s="308">
        <v>0.0</v>
      </c>
      <c r="BA62" s="311"/>
      <c r="BB62" s="311"/>
      <c r="BC62" s="311"/>
      <c r="BD62" s="308">
        <v>7.469296419143E12</v>
      </c>
      <c r="BE62" s="311"/>
      <c r="BF62" s="311"/>
      <c r="BG62" s="308" t="s">
        <v>2958</v>
      </c>
      <c r="BH62" s="308">
        <v>0.0</v>
      </c>
      <c r="BI62" s="308" t="s">
        <v>2959</v>
      </c>
      <c r="BJ62" s="308">
        <v>19.48</v>
      </c>
      <c r="BK62" s="311"/>
      <c r="BL62" s="311"/>
      <c r="BM62" s="311"/>
      <c r="BN62" s="311"/>
      <c r="BO62" s="311"/>
      <c r="BP62" s="311"/>
      <c r="BQ62" s="311"/>
      <c r="BR62" s="311"/>
      <c r="BS62" s="308"/>
      <c r="BT62" s="311"/>
      <c r="BU62" s="311"/>
      <c r="BV62" s="308" t="s">
        <v>3279</v>
      </c>
      <c r="BW62" s="308" t="s">
        <v>3279</v>
      </c>
      <c r="BX62" s="308" t="s">
        <v>2956</v>
      </c>
      <c r="BY62" s="311"/>
      <c r="BZ62" s="311"/>
      <c r="CA62" s="308" t="s">
        <v>2956</v>
      </c>
      <c r="CB62" s="312" t="str">
        <f t="shared" si="1"/>
        <v>18/03/2026</v>
      </c>
      <c r="CC62" s="313">
        <f t="shared" si="2"/>
        <v>2026</v>
      </c>
      <c r="CD62" s="314">
        <f t="shared" si="3"/>
        <v>3</v>
      </c>
      <c r="CE62" s="314">
        <f t="shared" si="4"/>
        <v>1</v>
      </c>
      <c r="CF62" s="314">
        <f t="shared" si="5"/>
        <v>1</v>
      </c>
      <c r="CG62" s="314">
        <f t="shared" si="6"/>
        <v>-5</v>
      </c>
      <c r="CH62" s="315">
        <f>VLOOKUP(CL62,'PRODUCT_COGS&amp;PRICE'!A:E,5,false)</f>
        <v>33</v>
      </c>
      <c r="CI62" s="306">
        <f t="shared" si="7"/>
        <v>-2.302</v>
      </c>
      <c r="CJ62" s="316">
        <f t="shared" si="8"/>
        <v>0</v>
      </c>
      <c r="CK62" s="316">
        <f t="shared" si="9"/>
        <v>12</v>
      </c>
      <c r="CL62" s="314" t="str">
        <f>VLOOKUP(R62,PRODUCT_MAP!A:B,2,FALSE)</f>
        <v>Lea_Bag_ESPRESSO_PONY</v>
      </c>
      <c r="CM62" s="314" t="str">
        <f>VLOOKUP(R62,PRODUCT_MAP!A:E,3,FALSE)</f>
        <v>Lea Bag</v>
      </c>
    </row>
    <row r="63" ht="22.5" customHeight="1">
      <c r="A63" s="308" t="s">
        <v>3515</v>
      </c>
      <c r="B63" s="308" t="s">
        <v>3516</v>
      </c>
      <c r="C63" s="308" t="s">
        <v>2942</v>
      </c>
      <c r="D63" s="308" t="s">
        <v>3517</v>
      </c>
      <c r="E63" s="308" t="s">
        <v>3013</v>
      </c>
      <c r="F63" s="308"/>
      <c r="G63" s="308" t="s">
        <v>2946</v>
      </c>
      <c r="H63" s="308" t="s">
        <v>2947</v>
      </c>
      <c r="I63" s="308">
        <v>170.0</v>
      </c>
      <c r="J63" s="308">
        <v>0.0</v>
      </c>
      <c r="K63" s="308">
        <v>30.66</v>
      </c>
      <c r="L63" s="308">
        <v>170.0</v>
      </c>
      <c r="M63" s="308"/>
      <c r="N63" s="308">
        <v>0.0</v>
      </c>
      <c r="O63" s="308" t="s">
        <v>2948</v>
      </c>
      <c r="P63" s="308" t="s">
        <v>3518</v>
      </c>
      <c r="Q63" s="310">
        <v>1.0</v>
      </c>
      <c r="R63" s="308" t="s">
        <v>564</v>
      </c>
      <c r="S63" s="308">
        <v>170.0</v>
      </c>
      <c r="T63" s="311"/>
      <c r="U63" s="308"/>
      <c r="V63" s="308" t="b">
        <v>1</v>
      </c>
      <c r="W63" s="308" t="b">
        <v>1</v>
      </c>
      <c r="X63" s="311"/>
      <c r="Y63" s="308" t="s">
        <v>3519</v>
      </c>
      <c r="Z63" s="308" t="s">
        <v>3520</v>
      </c>
      <c r="AA63" s="308" t="s">
        <v>3520</v>
      </c>
      <c r="AB63" s="308"/>
      <c r="AC63" s="311"/>
      <c r="AD63" s="308" t="s">
        <v>23</v>
      </c>
      <c r="AE63" s="308">
        <v>20129.0</v>
      </c>
      <c r="AF63" s="308" t="s">
        <v>2954</v>
      </c>
      <c r="AG63" s="308" t="s">
        <v>2955</v>
      </c>
      <c r="AH63" s="308">
        <v>3.665970653E9</v>
      </c>
      <c r="AI63" s="308" t="s">
        <v>3519</v>
      </c>
      <c r="AJ63" s="308" t="s">
        <v>3520</v>
      </c>
      <c r="AK63" s="308" t="s">
        <v>3520</v>
      </c>
      <c r="AL63" s="308"/>
      <c r="AM63" s="311"/>
      <c r="AN63" s="308" t="s">
        <v>23</v>
      </c>
      <c r="AO63" s="308">
        <v>20129.0</v>
      </c>
      <c r="AP63" s="308" t="s">
        <v>2954</v>
      </c>
      <c r="AQ63" s="308" t="s">
        <v>2955</v>
      </c>
      <c r="AR63" s="308">
        <v>3.665970653E9</v>
      </c>
      <c r="AS63" s="311"/>
      <c r="AT63" s="311"/>
      <c r="AU63" s="311"/>
      <c r="AV63" s="308" t="s">
        <v>2956</v>
      </c>
      <c r="AW63" s="308">
        <v>4.7449950617927E13</v>
      </c>
      <c r="AX63" s="310">
        <v>0.0</v>
      </c>
      <c r="AY63" s="308" t="s">
        <v>2974</v>
      </c>
      <c r="AZ63" s="308">
        <v>0.0</v>
      </c>
      <c r="BA63" s="311"/>
      <c r="BB63" s="311"/>
      <c r="BC63" s="311"/>
      <c r="BD63" s="308">
        <v>7.469818282311E12</v>
      </c>
      <c r="BE63" s="311"/>
      <c r="BF63" s="311"/>
      <c r="BG63" s="308" t="s">
        <v>2958</v>
      </c>
      <c r="BH63" s="308">
        <v>0.0</v>
      </c>
      <c r="BI63" s="308" t="s">
        <v>2959</v>
      </c>
      <c r="BJ63" s="308">
        <v>30.66</v>
      </c>
      <c r="BK63" s="311"/>
      <c r="BL63" s="311"/>
      <c r="BM63" s="311"/>
      <c r="BN63" s="311"/>
      <c r="BO63" s="311"/>
      <c r="BP63" s="311"/>
      <c r="BQ63" s="311"/>
      <c r="BR63" s="311"/>
      <c r="BS63" s="308"/>
      <c r="BT63" s="311"/>
      <c r="BU63" s="311"/>
      <c r="BV63" s="308" t="s">
        <v>23</v>
      </c>
      <c r="BW63" s="308" t="s">
        <v>23</v>
      </c>
      <c r="BX63" s="308" t="s">
        <v>2956</v>
      </c>
      <c r="BY63" s="311"/>
      <c r="BZ63" s="311"/>
      <c r="CA63" s="308" t="s">
        <v>2956</v>
      </c>
      <c r="CB63" s="312" t="str">
        <f t="shared" si="1"/>
        <v>19/03/2026</v>
      </c>
      <c r="CC63" s="313">
        <f t="shared" si="2"/>
        <v>2026</v>
      </c>
      <c r="CD63" s="314">
        <f t="shared" si="3"/>
        <v>3</v>
      </c>
      <c r="CE63" s="314">
        <f t="shared" si="4"/>
        <v>1</v>
      </c>
      <c r="CF63" s="314">
        <f t="shared" si="5"/>
        <v>1</v>
      </c>
      <c r="CG63" s="314">
        <f t="shared" si="6"/>
        <v>-5</v>
      </c>
      <c r="CH63" s="315">
        <f>VLOOKUP(CL63,'PRODUCT_COGS&amp;PRICE'!A:E,5,false)</f>
        <v>30</v>
      </c>
      <c r="CI63" s="306">
        <f t="shared" si="7"/>
        <v>-3.48</v>
      </c>
      <c r="CJ63" s="316">
        <f t="shared" si="8"/>
        <v>0</v>
      </c>
      <c r="CK63" s="316">
        <f t="shared" si="9"/>
        <v>0</v>
      </c>
      <c r="CL63" s="314" t="str">
        <f>VLOOKUP(R63,PRODUCT_MAP!A:B,2,FALSE)</f>
        <v>Lea_Bag_Maxi_SUEDE_CHOCOLATE_CHARM</v>
      </c>
      <c r="CM63" s="314" t="str">
        <f>VLOOKUP(R63,PRODUCT_MAP!A:E,3,FALSE)</f>
        <v>Lea Bag Maxi</v>
      </c>
    </row>
    <row r="64" ht="22.5" customHeight="1">
      <c r="A64" s="308" t="s">
        <v>3521</v>
      </c>
      <c r="B64" s="308" t="s">
        <v>3522</v>
      </c>
      <c r="C64" s="308" t="s">
        <v>2942</v>
      </c>
      <c r="D64" s="308" t="s">
        <v>3523</v>
      </c>
      <c r="E64" s="308" t="s">
        <v>3013</v>
      </c>
      <c r="F64" s="308"/>
      <c r="G64" s="308" t="s">
        <v>2946</v>
      </c>
      <c r="H64" s="308" t="s">
        <v>2947</v>
      </c>
      <c r="I64" s="308">
        <v>153.0</v>
      </c>
      <c r="J64" s="308">
        <v>0.0</v>
      </c>
      <c r="K64" s="308">
        <v>27.59</v>
      </c>
      <c r="L64" s="308">
        <v>153.0</v>
      </c>
      <c r="M64" s="308" t="s">
        <v>3094</v>
      </c>
      <c r="N64" s="308">
        <v>17.0</v>
      </c>
      <c r="O64" s="308" t="s">
        <v>2948</v>
      </c>
      <c r="P64" s="308" t="s">
        <v>3524</v>
      </c>
      <c r="Q64" s="310">
        <v>1.0</v>
      </c>
      <c r="R64" s="308" t="s">
        <v>549</v>
      </c>
      <c r="S64" s="308">
        <v>170.0</v>
      </c>
      <c r="T64" s="311"/>
      <c r="U64" s="308"/>
      <c r="V64" s="308" t="b">
        <v>1</v>
      </c>
      <c r="W64" s="308" t="b">
        <v>1</v>
      </c>
      <c r="X64" s="311"/>
      <c r="Y64" s="308" t="s">
        <v>3525</v>
      </c>
      <c r="Z64" s="308" t="s">
        <v>3526</v>
      </c>
      <c r="AA64" s="308" t="s">
        <v>3526</v>
      </c>
      <c r="AB64" s="308"/>
      <c r="AC64" s="311"/>
      <c r="AD64" s="308" t="s">
        <v>3527</v>
      </c>
      <c r="AE64" s="308">
        <v>24068.0</v>
      </c>
      <c r="AF64" s="308" t="s">
        <v>3528</v>
      </c>
      <c r="AG64" s="308" t="s">
        <v>2955</v>
      </c>
      <c r="AH64" s="308"/>
      <c r="AI64" s="308" t="s">
        <v>3525</v>
      </c>
      <c r="AJ64" s="308" t="s">
        <v>3529</v>
      </c>
      <c r="AK64" s="308" t="s">
        <v>3530</v>
      </c>
      <c r="AL64" s="308" t="s">
        <v>3531</v>
      </c>
      <c r="AM64" s="311"/>
      <c r="AN64" s="308" t="s">
        <v>3532</v>
      </c>
      <c r="AO64" s="308">
        <v>24068.0</v>
      </c>
      <c r="AP64" s="308" t="s">
        <v>3528</v>
      </c>
      <c r="AQ64" s="308" t="s">
        <v>2955</v>
      </c>
      <c r="AR64" s="308">
        <v>3.93407312361E11</v>
      </c>
      <c r="AS64" s="311"/>
      <c r="AT64" s="311"/>
      <c r="AU64" s="311"/>
      <c r="AV64" s="308" t="s">
        <v>2956</v>
      </c>
      <c r="AW64" s="308">
        <v>4.7469396230471E13</v>
      </c>
      <c r="AX64" s="310">
        <v>0.0</v>
      </c>
      <c r="AY64" s="308" t="s">
        <v>2974</v>
      </c>
      <c r="AZ64" s="308">
        <v>0.0</v>
      </c>
      <c r="BA64" s="311"/>
      <c r="BB64" s="311"/>
      <c r="BC64" s="311"/>
      <c r="BD64" s="308">
        <v>7.470972698951E12</v>
      </c>
      <c r="BE64" s="311"/>
      <c r="BF64" s="311"/>
      <c r="BG64" s="308" t="s">
        <v>2958</v>
      </c>
      <c r="BH64" s="308">
        <v>0.0</v>
      </c>
      <c r="BI64" s="308" t="s">
        <v>2959</v>
      </c>
      <c r="BJ64" s="308">
        <v>27.59</v>
      </c>
      <c r="BK64" s="311"/>
      <c r="BL64" s="311"/>
      <c r="BM64" s="311"/>
      <c r="BN64" s="311"/>
      <c r="BO64" s="311"/>
      <c r="BP64" s="311"/>
      <c r="BQ64" s="311"/>
      <c r="BR64" s="311"/>
      <c r="BS64" s="308"/>
      <c r="BT64" s="311"/>
      <c r="BU64" s="311"/>
      <c r="BV64" s="308" t="s">
        <v>3533</v>
      </c>
      <c r="BW64" s="308" t="s">
        <v>3533</v>
      </c>
      <c r="BX64" s="308" t="s">
        <v>2956</v>
      </c>
      <c r="BY64" s="311"/>
      <c r="BZ64" s="311"/>
      <c r="CA64" s="308" t="s">
        <v>2956</v>
      </c>
      <c r="CB64" s="312" t="str">
        <f t="shared" si="1"/>
        <v>19/03/2026</v>
      </c>
      <c r="CC64" s="313">
        <f t="shared" si="2"/>
        <v>2026</v>
      </c>
      <c r="CD64" s="314">
        <f t="shared" si="3"/>
        <v>3</v>
      </c>
      <c r="CE64" s="314">
        <f t="shared" si="4"/>
        <v>1</v>
      </c>
      <c r="CF64" s="314">
        <f t="shared" si="5"/>
        <v>1</v>
      </c>
      <c r="CG64" s="314">
        <f t="shared" si="6"/>
        <v>-5</v>
      </c>
      <c r="CH64" s="315">
        <f>VLOOKUP(CL64,'PRODUCT_COGS&amp;PRICE'!A:E,5,false)</f>
        <v>36</v>
      </c>
      <c r="CI64" s="306">
        <f t="shared" si="7"/>
        <v>-3.157</v>
      </c>
      <c r="CJ64" s="316">
        <f t="shared" si="8"/>
        <v>0</v>
      </c>
      <c r="CK64" s="316">
        <f t="shared" si="9"/>
        <v>17</v>
      </c>
      <c r="CL64" s="314" t="str">
        <f>VLOOKUP(R64,PRODUCT_MAP!A:B,2,FALSE)</f>
        <v>Lea_Bag_Maxi_COCCO_BLACK</v>
      </c>
      <c r="CM64" s="314" t="str">
        <f>VLOOKUP(R64,PRODUCT_MAP!A:E,3,FALSE)</f>
        <v>Lea Bag Maxi</v>
      </c>
    </row>
    <row r="65" ht="22.5" customHeight="1">
      <c r="A65" s="308" t="s">
        <v>3534</v>
      </c>
      <c r="B65" s="308" t="s">
        <v>3535</v>
      </c>
      <c r="C65" s="308" t="s">
        <v>2942</v>
      </c>
      <c r="D65" s="308" t="s">
        <v>3536</v>
      </c>
      <c r="E65" s="308" t="s">
        <v>3013</v>
      </c>
      <c r="F65" s="308"/>
      <c r="G65" s="308" t="s">
        <v>2946</v>
      </c>
      <c r="H65" s="308" t="s">
        <v>2947</v>
      </c>
      <c r="I65" s="308">
        <v>108.0</v>
      </c>
      <c r="J65" s="308">
        <v>0.0</v>
      </c>
      <c r="K65" s="308">
        <v>19.48</v>
      </c>
      <c r="L65" s="308">
        <v>108.0</v>
      </c>
      <c r="M65" s="308" t="s">
        <v>3221</v>
      </c>
      <c r="N65" s="308">
        <v>12.0</v>
      </c>
      <c r="O65" s="308" t="s">
        <v>2948</v>
      </c>
      <c r="P65" s="308" t="s">
        <v>3537</v>
      </c>
      <c r="Q65" s="310">
        <v>1.0</v>
      </c>
      <c r="R65" s="308" t="s">
        <v>509</v>
      </c>
      <c r="S65" s="308">
        <v>120.0</v>
      </c>
      <c r="T65" s="311"/>
      <c r="U65" s="308" t="s">
        <v>161</v>
      </c>
      <c r="V65" s="308" t="b">
        <v>1</v>
      </c>
      <c r="W65" s="308" t="b">
        <v>1</v>
      </c>
      <c r="X65" s="311"/>
      <c r="Y65" s="308" t="s">
        <v>3538</v>
      </c>
      <c r="Z65" s="308" t="s">
        <v>3539</v>
      </c>
      <c r="AA65" s="308" t="s">
        <v>3539</v>
      </c>
      <c r="AB65" s="308"/>
      <c r="AC65" s="311"/>
      <c r="AD65" s="308" t="s">
        <v>3540</v>
      </c>
      <c r="AE65" s="308">
        <v>12034.0</v>
      </c>
      <c r="AF65" s="308" t="s">
        <v>3293</v>
      </c>
      <c r="AG65" s="308" t="s">
        <v>2955</v>
      </c>
      <c r="AH65" s="308">
        <v>3.42781617E9</v>
      </c>
      <c r="AI65" s="308" t="s">
        <v>3538</v>
      </c>
      <c r="AJ65" s="308" t="s">
        <v>3539</v>
      </c>
      <c r="AK65" s="308" t="s">
        <v>3539</v>
      </c>
      <c r="AL65" s="308"/>
      <c r="AM65" s="311"/>
      <c r="AN65" s="308" t="s">
        <v>3540</v>
      </c>
      <c r="AO65" s="308">
        <v>12034.0</v>
      </c>
      <c r="AP65" s="308" t="s">
        <v>3293</v>
      </c>
      <c r="AQ65" s="308" t="s">
        <v>2955</v>
      </c>
      <c r="AR65" s="308">
        <v>3.42781617E9</v>
      </c>
      <c r="AS65" s="311"/>
      <c r="AT65" s="311"/>
      <c r="AU65" s="311"/>
      <c r="AV65" s="308" t="s">
        <v>3009</v>
      </c>
      <c r="AW65" s="308">
        <v>4.7340687720775E13</v>
      </c>
      <c r="AX65" s="310">
        <v>0.0</v>
      </c>
      <c r="AY65" s="308" t="s">
        <v>2974</v>
      </c>
      <c r="AZ65" s="308">
        <v>0.0</v>
      </c>
      <c r="BA65" s="311"/>
      <c r="BB65" s="311"/>
      <c r="BC65" s="311"/>
      <c r="BD65" s="308">
        <v>7.471421751623E12</v>
      </c>
      <c r="BE65" s="311"/>
      <c r="BF65" s="311"/>
      <c r="BG65" s="308" t="s">
        <v>2958</v>
      </c>
      <c r="BH65" s="308">
        <v>0.0</v>
      </c>
      <c r="BI65" s="308" t="s">
        <v>2959</v>
      </c>
      <c r="BJ65" s="308">
        <v>19.48</v>
      </c>
      <c r="BK65" s="311"/>
      <c r="BL65" s="311"/>
      <c r="BM65" s="311"/>
      <c r="BN65" s="311"/>
      <c r="BO65" s="311"/>
      <c r="BP65" s="311"/>
      <c r="BQ65" s="311"/>
      <c r="BR65" s="311"/>
      <c r="BS65" s="308"/>
      <c r="BT65" s="311"/>
      <c r="BU65" s="311"/>
      <c r="BV65" s="308" t="s">
        <v>3294</v>
      </c>
      <c r="BW65" s="308" t="s">
        <v>3294</v>
      </c>
      <c r="BX65" s="308" t="s">
        <v>3009</v>
      </c>
      <c r="BY65" s="311"/>
      <c r="BZ65" s="311"/>
      <c r="CA65" s="308" t="s">
        <v>3009</v>
      </c>
      <c r="CB65" s="312" t="str">
        <f t="shared" si="1"/>
        <v>19/03/2026</v>
      </c>
      <c r="CC65" s="313">
        <f t="shared" si="2"/>
        <v>2026</v>
      </c>
      <c r="CD65" s="314">
        <f t="shared" si="3"/>
        <v>3</v>
      </c>
      <c r="CE65" s="314">
        <f t="shared" si="4"/>
        <v>1</v>
      </c>
      <c r="CF65" s="314">
        <f t="shared" si="5"/>
        <v>1</v>
      </c>
      <c r="CG65" s="314">
        <f t="shared" si="6"/>
        <v>-5</v>
      </c>
      <c r="CH65" s="315">
        <f>VLOOKUP(CL65,'PRODUCT_COGS&amp;PRICE'!A:E,5,false)</f>
        <v>30.33</v>
      </c>
      <c r="CI65" s="306">
        <f t="shared" si="7"/>
        <v>-4.1192</v>
      </c>
      <c r="CJ65" s="316">
        <f t="shared" si="8"/>
        <v>0</v>
      </c>
      <c r="CK65" s="316">
        <f t="shared" si="9"/>
        <v>12</v>
      </c>
      <c r="CL65" s="314" t="str">
        <f>VLOOKUP(R65,PRODUCT_MAP!A:B,2,FALSE)</f>
        <v>Lea_Bag_COCCO_BLACK</v>
      </c>
      <c r="CM65" s="314" t="str">
        <f>VLOOKUP(R65,PRODUCT_MAP!A:E,3,FALSE)</f>
        <v>Lea Bag</v>
      </c>
    </row>
    <row r="66" ht="22.5" customHeight="1">
      <c r="A66" s="308" t="s">
        <v>3541</v>
      </c>
      <c r="B66" s="308" t="s">
        <v>3542</v>
      </c>
      <c r="C66" s="308" t="s">
        <v>2942</v>
      </c>
      <c r="D66" s="308" t="s">
        <v>3543</v>
      </c>
      <c r="E66" s="308" t="s">
        <v>3013</v>
      </c>
      <c r="F66" s="308"/>
      <c r="G66" s="308" t="s">
        <v>2946</v>
      </c>
      <c r="H66" s="308" t="s">
        <v>2947</v>
      </c>
      <c r="I66" s="308">
        <v>153.0</v>
      </c>
      <c r="J66" s="308">
        <v>0.0</v>
      </c>
      <c r="K66" s="308">
        <v>27.59</v>
      </c>
      <c r="L66" s="308">
        <v>153.0</v>
      </c>
      <c r="M66" s="308" t="s">
        <v>3094</v>
      </c>
      <c r="N66" s="308">
        <v>17.0</v>
      </c>
      <c r="O66" s="308" t="s">
        <v>2948</v>
      </c>
      <c r="P66" s="308" t="s">
        <v>3544</v>
      </c>
      <c r="Q66" s="310">
        <v>1.0</v>
      </c>
      <c r="R66" s="308" t="s">
        <v>549</v>
      </c>
      <c r="S66" s="308">
        <v>170.0</v>
      </c>
      <c r="T66" s="311"/>
      <c r="U66" s="308"/>
      <c r="V66" s="308" t="b">
        <v>1</v>
      </c>
      <c r="W66" s="308" t="b">
        <v>1</v>
      </c>
      <c r="X66" s="311"/>
      <c r="Y66" s="308" t="s">
        <v>3545</v>
      </c>
      <c r="Z66" s="308" t="s">
        <v>3546</v>
      </c>
      <c r="AA66" s="308" t="s">
        <v>3547</v>
      </c>
      <c r="AB66" s="308" t="s">
        <v>3548</v>
      </c>
      <c r="AC66" s="311"/>
      <c r="AD66" s="308" t="s">
        <v>3549</v>
      </c>
      <c r="AE66" s="308">
        <v>50126.0</v>
      </c>
      <c r="AF66" s="308" t="s">
        <v>3550</v>
      </c>
      <c r="AG66" s="308" t="s">
        <v>2955</v>
      </c>
      <c r="AH66" s="308">
        <v>3.487790913E9</v>
      </c>
      <c r="AI66" s="308" t="s">
        <v>3545</v>
      </c>
      <c r="AJ66" s="308" t="s">
        <v>3546</v>
      </c>
      <c r="AK66" s="308" t="s">
        <v>3547</v>
      </c>
      <c r="AL66" s="308" t="s">
        <v>3548</v>
      </c>
      <c r="AM66" s="311"/>
      <c r="AN66" s="308" t="s">
        <v>3549</v>
      </c>
      <c r="AO66" s="308">
        <v>50126.0</v>
      </c>
      <c r="AP66" s="308" t="s">
        <v>3550</v>
      </c>
      <c r="AQ66" s="308" t="s">
        <v>2955</v>
      </c>
      <c r="AR66" s="308">
        <v>3.487790913E9</v>
      </c>
      <c r="AS66" s="311"/>
      <c r="AT66" s="311"/>
      <c r="AU66" s="311"/>
      <c r="AV66" s="308" t="s">
        <v>2956</v>
      </c>
      <c r="AW66" s="308">
        <v>4.7524160504135E13</v>
      </c>
      <c r="AX66" s="310">
        <v>0.0</v>
      </c>
      <c r="AY66" s="308" t="s">
        <v>2974</v>
      </c>
      <c r="AZ66" s="308">
        <v>0.0</v>
      </c>
      <c r="BA66" s="311"/>
      <c r="BB66" s="311"/>
      <c r="BC66" s="311"/>
      <c r="BD66" s="308">
        <v>7.474546639175E12</v>
      </c>
      <c r="BE66" s="311"/>
      <c r="BF66" s="311"/>
      <c r="BG66" s="308" t="s">
        <v>2958</v>
      </c>
      <c r="BH66" s="308">
        <v>0.0</v>
      </c>
      <c r="BI66" s="308" t="s">
        <v>2959</v>
      </c>
      <c r="BJ66" s="308">
        <v>27.59</v>
      </c>
      <c r="BK66" s="311"/>
      <c r="BL66" s="311"/>
      <c r="BM66" s="311"/>
      <c r="BN66" s="311"/>
      <c r="BO66" s="311"/>
      <c r="BP66" s="311"/>
      <c r="BQ66" s="311"/>
      <c r="BR66" s="311"/>
      <c r="BS66" s="308"/>
      <c r="BT66" s="311"/>
      <c r="BU66" s="311"/>
      <c r="BV66" s="308" t="s">
        <v>3549</v>
      </c>
      <c r="BW66" s="308" t="s">
        <v>3549</v>
      </c>
      <c r="BX66" s="308" t="s">
        <v>2956</v>
      </c>
      <c r="BY66" s="311"/>
      <c r="BZ66" s="311"/>
      <c r="CA66" s="308" t="s">
        <v>2956</v>
      </c>
      <c r="CB66" s="312" t="str">
        <f t="shared" si="1"/>
        <v>20/03/2026</v>
      </c>
      <c r="CC66" s="313">
        <f t="shared" si="2"/>
        <v>2026</v>
      </c>
      <c r="CD66" s="314">
        <f t="shared" si="3"/>
        <v>3</v>
      </c>
      <c r="CE66" s="314">
        <f t="shared" si="4"/>
        <v>1</v>
      </c>
      <c r="CF66" s="314">
        <f t="shared" si="5"/>
        <v>1</v>
      </c>
      <c r="CG66" s="314">
        <f t="shared" si="6"/>
        <v>-5</v>
      </c>
      <c r="CH66" s="315">
        <f>VLOOKUP(CL66,'PRODUCT_COGS&amp;PRICE'!A:E,5,false)</f>
        <v>36</v>
      </c>
      <c r="CI66" s="306">
        <f t="shared" si="7"/>
        <v>-3.157</v>
      </c>
      <c r="CJ66" s="316">
        <f t="shared" si="8"/>
        <v>0</v>
      </c>
      <c r="CK66" s="316">
        <f t="shared" si="9"/>
        <v>17</v>
      </c>
      <c r="CL66" s="314" t="str">
        <f>VLOOKUP(R66,PRODUCT_MAP!A:B,2,FALSE)</f>
        <v>Lea_Bag_Maxi_COCCO_BLACK</v>
      </c>
      <c r="CM66" s="314" t="str">
        <f>VLOOKUP(R66,PRODUCT_MAP!A:E,3,FALSE)</f>
        <v>Lea Bag Maxi</v>
      </c>
    </row>
    <row r="67" ht="22.5" customHeight="1">
      <c r="A67" s="308" t="s">
        <v>3551</v>
      </c>
      <c r="B67" s="308" t="s">
        <v>3552</v>
      </c>
      <c r="C67" s="308" t="s">
        <v>2942</v>
      </c>
      <c r="D67" s="308" t="s">
        <v>3553</v>
      </c>
      <c r="E67" s="308" t="s">
        <v>2944</v>
      </c>
      <c r="F67" s="308" t="s">
        <v>3554</v>
      </c>
      <c r="G67" s="308" t="s">
        <v>2946</v>
      </c>
      <c r="H67" s="308" t="s">
        <v>2947</v>
      </c>
      <c r="I67" s="308">
        <v>153.0</v>
      </c>
      <c r="J67" s="308">
        <v>0.0</v>
      </c>
      <c r="K67" s="308">
        <v>27.59</v>
      </c>
      <c r="L67" s="308">
        <v>153.0</v>
      </c>
      <c r="M67" s="308" t="s">
        <v>3094</v>
      </c>
      <c r="N67" s="308">
        <v>17.0</v>
      </c>
      <c r="O67" s="308" t="s">
        <v>2948</v>
      </c>
      <c r="P67" s="308" t="s">
        <v>3555</v>
      </c>
      <c r="Q67" s="310">
        <v>1.0</v>
      </c>
      <c r="R67" s="308" t="s">
        <v>564</v>
      </c>
      <c r="S67" s="308">
        <v>170.0</v>
      </c>
      <c r="T67" s="311"/>
      <c r="U67" s="308"/>
      <c r="V67" s="308" t="b">
        <v>1</v>
      </c>
      <c r="W67" s="308" t="b">
        <v>1</v>
      </c>
      <c r="X67" s="308" t="s">
        <v>2944</v>
      </c>
      <c r="Y67" s="308" t="s">
        <v>3556</v>
      </c>
      <c r="Z67" s="308" t="s">
        <v>3557</v>
      </c>
      <c r="AA67" s="308" t="s">
        <v>3557</v>
      </c>
      <c r="AB67" s="308"/>
      <c r="AC67" s="311"/>
      <c r="AD67" s="308" t="s">
        <v>3558</v>
      </c>
      <c r="AE67" s="308">
        <v>4014.0</v>
      </c>
      <c r="AF67" s="308" t="s">
        <v>3331</v>
      </c>
      <c r="AG67" s="308" t="s">
        <v>2955</v>
      </c>
      <c r="AH67" s="308">
        <v>3.939808618E9</v>
      </c>
      <c r="AI67" s="308" t="s">
        <v>3556</v>
      </c>
      <c r="AJ67" s="308" t="s">
        <v>3557</v>
      </c>
      <c r="AK67" s="308" t="s">
        <v>3557</v>
      </c>
      <c r="AL67" s="308"/>
      <c r="AM67" s="311"/>
      <c r="AN67" s="308" t="s">
        <v>3558</v>
      </c>
      <c r="AO67" s="308">
        <v>4014.0</v>
      </c>
      <c r="AP67" s="308" t="s">
        <v>3331</v>
      </c>
      <c r="AQ67" s="308" t="s">
        <v>2955</v>
      </c>
      <c r="AR67" s="308">
        <v>3.939808618E9</v>
      </c>
      <c r="AS67" s="311"/>
      <c r="AT67" s="311"/>
      <c r="AU67" s="311"/>
      <c r="AV67" s="308" t="s">
        <v>2956</v>
      </c>
      <c r="AW67" s="308">
        <v>4.7538764677447E13</v>
      </c>
      <c r="AX67" s="310">
        <v>0.0</v>
      </c>
      <c r="AY67" s="308" t="s">
        <v>2974</v>
      </c>
      <c r="AZ67" s="308">
        <v>0.0</v>
      </c>
      <c r="BA67" s="311"/>
      <c r="BB67" s="311"/>
      <c r="BC67" s="311"/>
      <c r="BD67" s="308">
        <v>7.479584424263E12</v>
      </c>
      <c r="BE67" s="311"/>
      <c r="BF67" s="311"/>
      <c r="BG67" s="308" t="s">
        <v>2958</v>
      </c>
      <c r="BH67" s="308">
        <v>0.0</v>
      </c>
      <c r="BI67" s="308" t="s">
        <v>2959</v>
      </c>
      <c r="BJ67" s="308">
        <v>27.59</v>
      </c>
      <c r="BK67" s="311"/>
      <c r="BL67" s="311"/>
      <c r="BM67" s="311"/>
      <c r="BN67" s="311"/>
      <c r="BO67" s="311"/>
      <c r="BP67" s="311"/>
      <c r="BQ67" s="311"/>
      <c r="BR67" s="311"/>
      <c r="BS67" s="308"/>
      <c r="BT67" s="311"/>
      <c r="BU67" s="311"/>
      <c r="BV67" s="308" t="s">
        <v>3335</v>
      </c>
      <c r="BW67" s="308" t="s">
        <v>3335</v>
      </c>
      <c r="BX67" s="308" t="s">
        <v>2956</v>
      </c>
      <c r="BY67" s="311"/>
      <c r="BZ67" s="311"/>
      <c r="CA67" s="308" t="s">
        <v>2956</v>
      </c>
      <c r="CB67" s="312" t="str">
        <f t="shared" si="1"/>
        <v>23/03/2026</v>
      </c>
      <c r="CC67" s="313">
        <f t="shared" si="2"/>
        <v>2026</v>
      </c>
      <c r="CD67" s="314">
        <f t="shared" si="3"/>
        <v>3</v>
      </c>
      <c r="CE67" s="314">
        <f t="shared" si="4"/>
        <v>1</v>
      </c>
      <c r="CF67" s="314">
        <f t="shared" si="5"/>
        <v>1</v>
      </c>
      <c r="CG67" s="314">
        <f t="shared" si="6"/>
        <v>-5</v>
      </c>
      <c r="CH67" s="315">
        <f>VLOOKUP(CL67,'PRODUCT_COGS&amp;PRICE'!A:E,5,false)</f>
        <v>30</v>
      </c>
      <c r="CI67" s="306">
        <f t="shared" si="7"/>
        <v>-3.157</v>
      </c>
      <c r="CJ67" s="316">
        <f t="shared" si="8"/>
        <v>0</v>
      </c>
      <c r="CK67" s="316">
        <f t="shared" si="9"/>
        <v>17</v>
      </c>
      <c r="CL67" s="314" t="str">
        <f>VLOOKUP(R67,PRODUCT_MAP!A:B,2,FALSE)</f>
        <v>Lea_Bag_Maxi_SUEDE_CHOCOLATE_CHARM</v>
      </c>
      <c r="CM67" s="314" t="str">
        <f>VLOOKUP(R67,PRODUCT_MAP!A:E,3,FALSE)</f>
        <v>Lea Bag Maxi</v>
      </c>
    </row>
    <row r="68" ht="22.5" customHeight="1">
      <c r="A68" s="308" t="s">
        <v>3559</v>
      </c>
      <c r="B68" s="308" t="s">
        <v>3560</v>
      </c>
      <c r="C68" s="308" t="s">
        <v>2942</v>
      </c>
      <c r="D68" s="308" t="s">
        <v>3561</v>
      </c>
      <c r="E68" s="308" t="s">
        <v>2944</v>
      </c>
      <c r="F68" s="308" t="s">
        <v>3562</v>
      </c>
      <c r="G68" s="308" t="s">
        <v>2965</v>
      </c>
      <c r="H68" s="308" t="s">
        <v>2947</v>
      </c>
      <c r="I68" s="308">
        <v>120.0</v>
      </c>
      <c r="J68" s="308">
        <v>0.0</v>
      </c>
      <c r="K68" s="308">
        <v>21.64</v>
      </c>
      <c r="L68" s="308">
        <v>120.0</v>
      </c>
      <c r="M68" s="308"/>
      <c r="N68" s="308">
        <v>0.0</v>
      </c>
      <c r="O68" s="308" t="s">
        <v>2948</v>
      </c>
      <c r="P68" s="308" t="s">
        <v>3563</v>
      </c>
      <c r="Q68" s="310">
        <v>1.0</v>
      </c>
      <c r="R68" s="308" t="s">
        <v>509</v>
      </c>
      <c r="S68" s="308">
        <v>120.0</v>
      </c>
      <c r="T68" s="311"/>
      <c r="U68" s="308" t="s">
        <v>161</v>
      </c>
      <c r="V68" s="308" t="b">
        <v>1</v>
      </c>
      <c r="W68" s="308" t="b">
        <v>1</v>
      </c>
      <c r="X68" s="308" t="s">
        <v>2944</v>
      </c>
      <c r="Y68" s="308" t="s">
        <v>3564</v>
      </c>
      <c r="Z68" s="308" t="s">
        <v>3565</v>
      </c>
      <c r="AA68" s="308" t="s">
        <v>3565</v>
      </c>
      <c r="AB68" s="308"/>
      <c r="AC68" s="311"/>
      <c r="AD68" s="308" t="s">
        <v>3566</v>
      </c>
      <c r="AE68" s="308">
        <v>74122.0</v>
      </c>
      <c r="AF68" s="308" t="s">
        <v>3567</v>
      </c>
      <c r="AG68" s="308" t="s">
        <v>2955</v>
      </c>
      <c r="AH68" s="308"/>
      <c r="AI68" s="308" t="s">
        <v>3568</v>
      </c>
      <c r="AJ68" s="308" t="s">
        <v>3569</v>
      </c>
      <c r="AK68" s="308" t="s">
        <v>3569</v>
      </c>
      <c r="AL68" s="308"/>
      <c r="AM68" s="311"/>
      <c r="AN68" s="308" t="s">
        <v>3081</v>
      </c>
      <c r="AO68" s="308">
        <v>151.0</v>
      </c>
      <c r="AP68" s="308" t="s">
        <v>3082</v>
      </c>
      <c r="AQ68" s="308" t="s">
        <v>2955</v>
      </c>
      <c r="AR68" s="308">
        <v>3.921370421E9</v>
      </c>
      <c r="AS68" s="311"/>
      <c r="AT68" s="311"/>
      <c r="AU68" s="311"/>
      <c r="AV68" s="308" t="s">
        <v>2956</v>
      </c>
      <c r="AW68" s="308">
        <v>4.7540340654407E13</v>
      </c>
      <c r="AX68" s="310">
        <v>0.0</v>
      </c>
      <c r="AY68" s="308" t="s">
        <v>2974</v>
      </c>
      <c r="AZ68" s="308">
        <v>0.0</v>
      </c>
      <c r="BA68" s="311"/>
      <c r="BB68" s="311"/>
      <c r="BC68" s="311"/>
      <c r="BD68" s="308">
        <v>7.480348639559E12</v>
      </c>
      <c r="BE68" s="311"/>
      <c r="BF68" s="311"/>
      <c r="BG68" s="308" t="s">
        <v>2958</v>
      </c>
      <c r="BH68" s="308">
        <v>0.0</v>
      </c>
      <c r="BI68" s="308" t="s">
        <v>2959</v>
      </c>
      <c r="BJ68" s="308">
        <v>21.64</v>
      </c>
      <c r="BK68" s="311"/>
      <c r="BL68" s="311"/>
      <c r="BM68" s="311"/>
      <c r="BN68" s="311"/>
      <c r="BO68" s="311"/>
      <c r="BP68" s="311"/>
      <c r="BQ68" s="311"/>
      <c r="BR68" s="311"/>
      <c r="BS68" s="308"/>
      <c r="BT68" s="311"/>
      <c r="BU68" s="311"/>
      <c r="BV68" s="308" t="s">
        <v>3566</v>
      </c>
      <c r="BW68" s="308" t="s">
        <v>3081</v>
      </c>
      <c r="BX68" s="308" t="s">
        <v>2956</v>
      </c>
      <c r="BY68" s="311"/>
      <c r="BZ68" s="311"/>
      <c r="CA68" s="308" t="s">
        <v>2956</v>
      </c>
      <c r="CB68" s="312" t="str">
        <f t="shared" si="1"/>
        <v>23/03/2026</v>
      </c>
      <c r="CC68" s="313">
        <f t="shared" si="2"/>
        <v>2026</v>
      </c>
      <c r="CD68" s="314">
        <f t="shared" si="3"/>
        <v>3</v>
      </c>
      <c r="CE68" s="314">
        <f t="shared" si="4"/>
        <v>1</v>
      </c>
      <c r="CF68" s="314">
        <f t="shared" si="5"/>
        <v>1</v>
      </c>
      <c r="CG68" s="314">
        <f t="shared" si="6"/>
        <v>-5</v>
      </c>
      <c r="CH68" s="315">
        <f>VLOOKUP(CL68,'PRODUCT_COGS&amp;PRICE'!A:E,5,false)</f>
        <v>30.33</v>
      </c>
      <c r="CI68" s="306">
        <f t="shared" si="7"/>
        <v>-2.53</v>
      </c>
      <c r="CJ68" s="316">
        <f t="shared" si="8"/>
        <v>0</v>
      </c>
      <c r="CK68" s="316">
        <f t="shared" si="9"/>
        <v>0</v>
      </c>
      <c r="CL68" s="314" t="str">
        <f>VLOOKUP(R68,PRODUCT_MAP!A:B,2,FALSE)</f>
        <v>Lea_Bag_COCCO_BLACK</v>
      </c>
      <c r="CM68" s="314" t="str">
        <f>VLOOKUP(R68,PRODUCT_MAP!A:E,3,FALSE)</f>
        <v>Lea Bag</v>
      </c>
    </row>
    <row r="69" ht="22.5" customHeight="1">
      <c r="A69" s="308" t="s">
        <v>3570</v>
      </c>
      <c r="B69" s="308"/>
      <c r="C69" s="308" t="s">
        <v>2942</v>
      </c>
      <c r="D69" s="308" t="s">
        <v>3571</v>
      </c>
      <c r="E69" s="308" t="s">
        <v>3013</v>
      </c>
      <c r="F69" s="308"/>
      <c r="G69" s="308" t="s">
        <v>2965</v>
      </c>
      <c r="H69" s="308" t="s">
        <v>2947</v>
      </c>
      <c r="I69" s="308">
        <v>108.0</v>
      </c>
      <c r="J69" s="308">
        <v>0.0</v>
      </c>
      <c r="K69" s="308">
        <v>19.48</v>
      </c>
      <c r="L69" s="308">
        <v>108.0</v>
      </c>
      <c r="M69" s="308" t="s">
        <v>3221</v>
      </c>
      <c r="N69" s="308">
        <v>12.0</v>
      </c>
      <c r="O69" s="308" t="s">
        <v>2979</v>
      </c>
      <c r="P69" s="308" t="s">
        <v>3572</v>
      </c>
      <c r="Q69" s="310">
        <v>1.0</v>
      </c>
      <c r="R69" s="308" t="s">
        <v>607</v>
      </c>
      <c r="S69" s="308">
        <v>120.0</v>
      </c>
      <c r="T69" s="311"/>
      <c r="U69" s="308" t="s">
        <v>207</v>
      </c>
      <c r="V69" s="308" t="b">
        <v>1</v>
      </c>
      <c r="W69" s="308" t="b">
        <v>1</v>
      </c>
      <c r="X69" s="308"/>
      <c r="Y69" s="308" t="s">
        <v>3573</v>
      </c>
      <c r="Z69" s="308" t="s">
        <v>3574</v>
      </c>
      <c r="AA69" s="308" t="s">
        <v>3574</v>
      </c>
      <c r="AB69" s="308"/>
      <c r="AC69" s="311"/>
      <c r="AD69" s="308" t="s">
        <v>3575</v>
      </c>
      <c r="AE69" s="308">
        <v>30174.0</v>
      </c>
      <c r="AF69" s="308" t="s">
        <v>3576</v>
      </c>
      <c r="AG69" s="308" t="s">
        <v>2955</v>
      </c>
      <c r="AH69" s="308"/>
      <c r="AI69" s="308"/>
      <c r="AJ69" s="308"/>
      <c r="AK69" s="308"/>
      <c r="AL69" s="308"/>
      <c r="AM69" s="311"/>
      <c r="AN69" s="308"/>
      <c r="AO69" s="308"/>
      <c r="AP69" s="308"/>
      <c r="AQ69" s="308"/>
      <c r="AR69" s="308"/>
      <c r="AS69" s="311"/>
      <c r="AT69" s="311"/>
      <c r="AU69" s="311"/>
      <c r="AV69" s="308" t="s">
        <v>2956</v>
      </c>
      <c r="AW69" s="308">
        <v>4.7546626605383E13</v>
      </c>
      <c r="AX69" s="310">
        <v>0.0</v>
      </c>
      <c r="AY69" s="308" t="s">
        <v>2974</v>
      </c>
      <c r="AZ69" s="308">
        <v>0.0</v>
      </c>
      <c r="BA69" s="311"/>
      <c r="BB69" s="311"/>
      <c r="BC69" s="311"/>
      <c r="BD69" s="308">
        <v>7.482381828423E12</v>
      </c>
      <c r="BE69" s="311"/>
      <c r="BF69" s="311"/>
      <c r="BG69" s="308" t="s">
        <v>2958</v>
      </c>
      <c r="BH69" s="308">
        <v>0.0</v>
      </c>
      <c r="BI69" s="308" t="s">
        <v>2959</v>
      </c>
      <c r="BJ69" s="308">
        <v>19.48</v>
      </c>
      <c r="BK69" s="311"/>
      <c r="BL69" s="311"/>
      <c r="BM69" s="311"/>
      <c r="BN69" s="311"/>
      <c r="BO69" s="311"/>
      <c r="BP69" s="311"/>
      <c r="BQ69" s="311"/>
      <c r="BR69" s="311"/>
      <c r="BS69" s="318" t="s">
        <v>3577</v>
      </c>
      <c r="BT69" s="311"/>
      <c r="BU69" s="311"/>
      <c r="BV69" s="308" t="s">
        <v>3578</v>
      </c>
      <c r="BW69" s="308"/>
      <c r="BX69" s="308" t="s">
        <v>2956</v>
      </c>
      <c r="BY69" s="311"/>
      <c r="BZ69" s="311"/>
      <c r="CA69" s="308" t="s">
        <v>2956</v>
      </c>
      <c r="CB69" s="312" t="str">
        <f t="shared" si="1"/>
        <v>24/03/2026</v>
      </c>
      <c r="CC69" s="313">
        <f t="shared" si="2"/>
        <v>2026</v>
      </c>
      <c r="CD69" s="314">
        <f t="shared" si="3"/>
        <v>3</v>
      </c>
      <c r="CE69" s="314">
        <f t="shared" si="4"/>
        <v>1</v>
      </c>
      <c r="CF69" s="314">
        <f t="shared" si="5"/>
        <v>1</v>
      </c>
      <c r="CG69" s="314">
        <f t="shared" si="6"/>
        <v>-5</v>
      </c>
      <c r="CH69" s="315">
        <f>VLOOKUP(CL69,'PRODUCT_COGS&amp;PRICE'!A:E,5,false)</f>
        <v>26</v>
      </c>
      <c r="CI69" s="306">
        <f t="shared" si="7"/>
        <v>-2.302</v>
      </c>
      <c r="CJ69" s="316">
        <f t="shared" si="8"/>
        <v>0</v>
      </c>
      <c r="CK69" s="316">
        <f t="shared" si="9"/>
        <v>12</v>
      </c>
      <c r="CL69" s="314" t="str">
        <f>VLOOKUP(R69,PRODUCT_MAP!A:B,2,FALSE)</f>
        <v>Maria_Bag_RED_PIERCING</v>
      </c>
      <c r="CM69" s="314" t="str">
        <f>VLOOKUP(R69,PRODUCT_MAP!A:E,3,FALSE)</f>
        <v>Maria Bag</v>
      </c>
    </row>
    <row r="70" ht="22.5" customHeight="1">
      <c r="A70" s="308" t="s">
        <v>3579</v>
      </c>
      <c r="B70" s="308" t="s">
        <v>3580</v>
      </c>
      <c r="C70" s="308" t="s">
        <v>2942</v>
      </c>
      <c r="D70" s="308" t="s">
        <v>3581</v>
      </c>
      <c r="E70" s="308" t="s">
        <v>3013</v>
      </c>
      <c r="F70" s="308"/>
      <c r="G70" s="308" t="s">
        <v>2946</v>
      </c>
      <c r="H70" s="308" t="s">
        <v>2947</v>
      </c>
      <c r="I70" s="308">
        <v>135.0</v>
      </c>
      <c r="J70" s="308">
        <v>0.0</v>
      </c>
      <c r="K70" s="308">
        <v>24.34</v>
      </c>
      <c r="L70" s="308">
        <v>135.0</v>
      </c>
      <c r="M70" s="308" t="s">
        <v>3094</v>
      </c>
      <c r="N70" s="308">
        <v>15.0</v>
      </c>
      <c r="O70" s="308" t="s">
        <v>2948</v>
      </c>
      <c r="P70" s="308" t="s">
        <v>3582</v>
      </c>
      <c r="Q70" s="310">
        <v>1.0</v>
      </c>
      <c r="R70" s="308" t="s">
        <v>3106</v>
      </c>
      <c r="S70" s="308">
        <v>150.0</v>
      </c>
      <c r="T70" s="311"/>
      <c r="U70" s="308" t="s">
        <v>3249</v>
      </c>
      <c r="V70" s="308" t="b">
        <v>1</v>
      </c>
      <c r="W70" s="308" t="b">
        <v>1</v>
      </c>
      <c r="X70" s="308"/>
      <c r="Y70" s="308" t="s">
        <v>3583</v>
      </c>
      <c r="Z70" s="308" t="s">
        <v>3584</v>
      </c>
      <c r="AA70" s="308" t="s">
        <v>3584</v>
      </c>
      <c r="AB70" s="308"/>
      <c r="AC70" s="311"/>
      <c r="AD70" s="308" t="s">
        <v>23</v>
      </c>
      <c r="AE70" s="308">
        <v>20131.0</v>
      </c>
      <c r="AF70" s="308" t="s">
        <v>2954</v>
      </c>
      <c r="AG70" s="308" t="s">
        <v>2955</v>
      </c>
      <c r="AH70" s="308"/>
      <c r="AI70" s="308" t="s">
        <v>3585</v>
      </c>
      <c r="AJ70" s="308" t="s">
        <v>3584</v>
      </c>
      <c r="AK70" s="308" t="s">
        <v>3584</v>
      </c>
      <c r="AL70" s="308"/>
      <c r="AM70" s="311"/>
      <c r="AN70" s="308" t="s">
        <v>23</v>
      </c>
      <c r="AO70" s="308">
        <v>20131.0</v>
      </c>
      <c r="AP70" s="308" t="s">
        <v>2954</v>
      </c>
      <c r="AQ70" s="308" t="s">
        <v>2955</v>
      </c>
      <c r="AR70" s="308">
        <v>3.467898438E9</v>
      </c>
      <c r="AS70" s="311"/>
      <c r="AT70" s="311"/>
      <c r="AU70" s="311"/>
      <c r="AV70" s="308" t="s">
        <v>2956</v>
      </c>
      <c r="AW70" s="308">
        <v>4.7555202842951E13</v>
      </c>
      <c r="AX70" s="310">
        <v>0.0</v>
      </c>
      <c r="AY70" s="308" t="s">
        <v>2974</v>
      </c>
      <c r="AZ70" s="308">
        <v>0.0</v>
      </c>
      <c r="BA70" s="311"/>
      <c r="BB70" s="311"/>
      <c r="BC70" s="311"/>
      <c r="BD70" s="308">
        <v>7.485839442247E12</v>
      </c>
      <c r="BE70" s="311"/>
      <c r="BF70" s="311"/>
      <c r="BG70" s="308" t="s">
        <v>2958</v>
      </c>
      <c r="BH70" s="308">
        <v>0.0</v>
      </c>
      <c r="BI70" s="308" t="s">
        <v>2959</v>
      </c>
      <c r="BJ70" s="308">
        <v>24.34</v>
      </c>
      <c r="BK70" s="311"/>
      <c r="BL70" s="311"/>
      <c r="BM70" s="311"/>
      <c r="BN70" s="311"/>
      <c r="BO70" s="311"/>
      <c r="BP70" s="311"/>
      <c r="BQ70" s="311"/>
      <c r="BR70" s="311"/>
      <c r="BS70" s="308"/>
      <c r="BT70" s="311"/>
      <c r="BU70" s="311"/>
      <c r="BV70" s="308" t="s">
        <v>23</v>
      </c>
      <c r="BW70" s="308" t="s">
        <v>23</v>
      </c>
      <c r="BX70" s="308" t="s">
        <v>2956</v>
      </c>
      <c r="BY70" s="311"/>
      <c r="BZ70" s="311"/>
      <c r="CA70" s="308" t="s">
        <v>2956</v>
      </c>
      <c r="CB70" s="312" t="str">
        <f t="shared" si="1"/>
        <v>25/03/2026</v>
      </c>
      <c r="CC70" s="313">
        <f t="shared" si="2"/>
        <v>2026</v>
      </c>
      <c r="CD70" s="314">
        <f t="shared" si="3"/>
        <v>3</v>
      </c>
      <c r="CE70" s="314">
        <f t="shared" si="4"/>
        <v>1</v>
      </c>
      <c r="CF70" s="314">
        <f t="shared" si="5"/>
        <v>1</v>
      </c>
      <c r="CG70" s="314">
        <f t="shared" si="6"/>
        <v>-5</v>
      </c>
      <c r="CH70" s="315">
        <f>VLOOKUP(CL70,'PRODUCT_COGS&amp;PRICE'!A:E,5,false)</f>
        <v>30.33</v>
      </c>
      <c r="CI70" s="306">
        <f t="shared" si="7"/>
        <v>-2.815</v>
      </c>
      <c r="CJ70" s="316">
        <f t="shared" si="8"/>
        <v>0</v>
      </c>
      <c r="CK70" s="316">
        <f t="shared" si="9"/>
        <v>15</v>
      </c>
      <c r="CL70" s="314" t="str">
        <f>VLOOKUP(R70,PRODUCT_MAP!A:B,2,FALSE)</f>
        <v>Lea_Bag_LEOPARDO_SAVANA</v>
      </c>
      <c r="CM70" s="314" t="str">
        <f>VLOOKUP(R70,PRODUCT_MAP!A:E,3,FALSE)</f>
        <v>Lea Bag</v>
      </c>
    </row>
    <row r="71" ht="22.5" customHeight="1">
      <c r="A71" s="308" t="s">
        <v>3586</v>
      </c>
      <c r="B71" s="308" t="s">
        <v>3587</v>
      </c>
      <c r="C71" s="308" t="s">
        <v>2942</v>
      </c>
      <c r="D71" s="308" t="s">
        <v>3588</v>
      </c>
      <c r="E71" s="308" t="s">
        <v>3013</v>
      </c>
      <c r="F71" s="308"/>
      <c r="G71" s="308" t="s">
        <v>2946</v>
      </c>
      <c r="H71" s="308" t="s">
        <v>2947</v>
      </c>
      <c r="I71" s="308">
        <v>135.0</v>
      </c>
      <c r="J71" s="308">
        <v>0.0</v>
      </c>
      <c r="K71" s="308">
        <v>24.34</v>
      </c>
      <c r="L71" s="308">
        <v>135.0</v>
      </c>
      <c r="M71" s="308" t="s">
        <v>3094</v>
      </c>
      <c r="N71" s="308">
        <v>15.0</v>
      </c>
      <c r="O71" s="308" t="s">
        <v>2948</v>
      </c>
      <c r="P71" s="308" t="s">
        <v>3589</v>
      </c>
      <c r="Q71" s="310">
        <v>1.0</v>
      </c>
      <c r="R71" s="308" t="s">
        <v>3214</v>
      </c>
      <c r="S71" s="308">
        <v>150.0</v>
      </c>
      <c r="T71" s="311"/>
      <c r="U71" s="308" t="s">
        <v>229</v>
      </c>
      <c r="V71" s="308" t="b">
        <v>1</v>
      </c>
      <c r="W71" s="308" t="b">
        <v>1</v>
      </c>
      <c r="X71" s="308"/>
      <c r="Y71" s="308" t="s">
        <v>3583</v>
      </c>
      <c r="Z71" s="308" t="s">
        <v>3584</v>
      </c>
      <c r="AA71" s="308" t="s">
        <v>3584</v>
      </c>
      <c r="AB71" s="308"/>
      <c r="AC71" s="311"/>
      <c r="AD71" s="308" t="s">
        <v>23</v>
      </c>
      <c r="AE71" s="308">
        <v>20131.0</v>
      </c>
      <c r="AF71" s="308" t="s">
        <v>2954</v>
      </c>
      <c r="AG71" s="308" t="s">
        <v>2955</v>
      </c>
      <c r="AH71" s="308"/>
      <c r="AI71" s="308" t="s">
        <v>3590</v>
      </c>
      <c r="AJ71" s="308" t="s">
        <v>3591</v>
      </c>
      <c r="AK71" s="308" t="s">
        <v>3591</v>
      </c>
      <c r="AL71" s="308"/>
      <c r="AM71" s="311"/>
      <c r="AN71" s="308" t="s">
        <v>23</v>
      </c>
      <c r="AO71" s="308">
        <v>20135.0</v>
      </c>
      <c r="AP71" s="308" t="s">
        <v>2954</v>
      </c>
      <c r="AQ71" s="308" t="s">
        <v>2955</v>
      </c>
      <c r="AR71" s="308">
        <v>3.467898438E9</v>
      </c>
      <c r="AS71" s="311"/>
      <c r="AT71" s="311"/>
      <c r="AU71" s="311"/>
      <c r="AV71" s="308" t="s">
        <v>2956</v>
      </c>
      <c r="AW71" s="308">
        <v>4.7555295969607E13</v>
      </c>
      <c r="AX71" s="310">
        <v>0.0</v>
      </c>
      <c r="AY71" s="308" t="s">
        <v>2974</v>
      </c>
      <c r="AZ71" s="308">
        <v>0.0</v>
      </c>
      <c r="BA71" s="311"/>
      <c r="BB71" s="311"/>
      <c r="BC71" s="311"/>
      <c r="BD71" s="308">
        <v>7.485886169415E12</v>
      </c>
      <c r="BE71" s="311"/>
      <c r="BF71" s="311"/>
      <c r="BG71" s="308" t="s">
        <v>2958</v>
      </c>
      <c r="BH71" s="308">
        <v>0.0</v>
      </c>
      <c r="BI71" s="308" t="s">
        <v>2959</v>
      </c>
      <c r="BJ71" s="308">
        <v>24.34</v>
      </c>
      <c r="BK71" s="311"/>
      <c r="BL71" s="311"/>
      <c r="BM71" s="311"/>
      <c r="BN71" s="311"/>
      <c r="BO71" s="311"/>
      <c r="BP71" s="311"/>
      <c r="BQ71" s="311"/>
      <c r="BR71" s="311"/>
      <c r="BS71" s="308"/>
      <c r="BT71" s="311"/>
      <c r="BU71" s="311"/>
      <c r="BV71" s="308" t="s">
        <v>23</v>
      </c>
      <c r="BW71" s="308" t="s">
        <v>23</v>
      </c>
      <c r="BX71" s="308" t="s">
        <v>2956</v>
      </c>
      <c r="BY71" s="311"/>
      <c r="BZ71" s="311"/>
      <c r="CA71" s="308" t="s">
        <v>2956</v>
      </c>
      <c r="CB71" s="312" t="str">
        <f t="shared" si="1"/>
        <v>25/03/2026</v>
      </c>
      <c r="CC71" s="313">
        <f t="shared" si="2"/>
        <v>2026</v>
      </c>
      <c r="CD71" s="314">
        <f t="shared" si="3"/>
        <v>3</v>
      </c>
      <c r="CE71" s="314">
        <f t="shared" si="4"/>
        <v>1</v>
      </c>
      <c r="CF71" s="314">
        <f t="shared" si="5"/>
        <v>1</v>
      </c>
      <c r="CG71" s="314">
        <f t="shared" si="6"/>
        <v>-5</v>
      </c>
      <c r="CH71" s="315">
        <f>VLOOKUP(CL71,'PRODUCT_COGS&amp;PRICE'!A:E,5,false)</f>
        <v>33</v>
      </c>
      <c r="CI71" s="306">
        <f t="shared" si="7"/>
        <v>-2.815</v>
      </c>
      <c r="CJ71" s="316">
        <f t="shared" si="8"/>
        <v>0</v>
      </c>
      <c r="CK71" s="316">
        <f t="shared" si="9"/>
        <v>15</v>
      </c>
      <c r="CL71" s="314" t="str">
        <f>VLOOKUP(R71,PRODUCT_MAP!A:B,2,FALSE)</f>
        <v>Lea_Bag_ZEBRA</v>
      </c>
      <c r="CM71" s="314" t="str">
        <f>VLOOKUP(R71,PRODUCT_MAP!A:E,3,FALSE)</f>
        <v>Lea Bag</v>
      </c>
    </row>
    <row r="72" ht="22.5" customHeight="1">
      <c r="A72" s="308" t="s">
        <v>3592</v>
      </c>
      <c r="B72" s="308" t="s">
        <v>3593</v>
      </c>
      <c r="C72" s="308" t="s">
        <v>2942</v>
      </c>
      <c r="D72" s="308" t="s">
        <v>3594</v>
      </c>
      <c r="E72" s="308" t="s">
        <v>3013</v>
      </c>
      <c r="F72" s="308"/>
      <c r="G72" s="308" t="s">
        <v>2965</v>
      </c>
      <c r="H72" s="308" t="s">
        <v>2947</v>
      </c>
      <c r="I72" s="308">
        <v>120.0</v>
      </c>
      <c r="J72" s="308">
        <v>0.0</v>
      </c>
      <c r="K72" s="308">
        <v>21.64</v>
      </c>
      <c r="L72" s="308">
        <v>120.0</v>
      </c>
      <c r="M72" s="308"/>
      <c r="N72" s="308">
        <v>0.0</v>
      </c>
      <c r="O72" s="308" t="s">
        <v>2948</v>
      </c>
      <c r="P72" s="308" t="s">
        <v>3595</v>
      </c>
      <c r="Q72" s="310">
        <v>1.0</v>
      </c>
      <c r="R72" s="308" t="s">
        <v>3266</v>
      </c>
      <c r="S72" s="308">
        <v>120.0</v>
      </c>
      <c r="T72" s="311"/>
      <c r="U72" s="308" t="s">
        <v>237</v>
      </c>
      <c r="V72" s="308" t="b">
        <v>1</v>
      </c>
      <c r="W72" s="308" t="b">
        <v>1</v>
      </c>
      <c r="X72" s="308"/>
      <c r="Y72" s="308" t="s">
        <v>3596</v>
      </c>
      <c r="Z72" s="308" t="s">
        <v>3597</v>
      </c>
      <c r="AA72" s="308" t="s">
        <v>3598</v>
      </c>
      <c r="AB72" s="308" t="s">
        <v>3599</v>
      </c>
      <c r="AC72" s="311"/>
      <c r="AD72" s="308" t="s">
        <v>23</v>
      </c>
      <c r="AE72" s="308">
        <v>20124.0</v>
      </c>
      <c r="AF72" s="308" t="s">
        <v>2954</v>
      </c>
      <c r="AG72" s="308" t="s">
        <v>2955</v>
      </c>
      <c r="AH72" s="308">
        <v>3.929688626E9</v>
      </c>
      <c r="AI72" s="308" t="s">
        <v>3596</v>
      </c>
      <c r="AJ72" s="308" t="s">
        <v>3597</v>
      </c>
      <c r="AK72" s="308" t="s">
        <v>3598</v>
      </c>
      <c r="AL72" s="308" t="s">
        <v>3599</v>
      </c>
      <c r="AM72" s="311"/>
      <c r="AN72" s="308" t="s">
        <v>23</v>
      </c>
      <c r="AO72" s="308">
        <v>20124.0</v>
      </c>
      <c r="AP72" s="308" t="s">
        <v>2954</v>
      </c>
      <c r="AQ72" s="308" t="s">
        <v>2955</v>
      </c>
      <c r="AR72" s="308">
        <v>3.929688626E9</v>
      </c>
      <c r="AS72" s="311"/>
      <c r="AT72" s="311"/>
      <c r="AU72" s="311"/>
      <c r="AV72" s="308" t="s">
        <v>3009</v>
      </c>
      <c r="AW72" s="308">
        <v>4.7561177268551E13</v>
      </c>
      <c r="AX72" s="310">
        <v>0.0</v>
      </c>
      <c r="AY72" s="308" t="s">
        <v>2974</v>
      </c>
      <c r="AZ72" s="308">
        <v>0.0</v>
      </c>
      <c r="BA72" s="311"/>
      <c r="BB72" s="311"/>
      <c r="BC72" s="311"/>
      <c r="BD72" s="308">
        <v>7.487954288967E12</v>
      </c>
      <c r="BE72" s="311"/>
      <c r="BF72" s="311"/>
      <c r="BG72" s="308" t="s">
        <v>2958</v>
      </c>
      <c r="BH72" s="308">
        <v>0.0</v>
      </c>
      <c r="BI72" s="308" t="s">
        <v>2959</v>
      </c>
      <c r="BJ72" s="308">
        <v>21.64</v>
      </c>
      <c r="BK72" s="311"/>
      <c r="BL72" s="311"/>
      <c r="BM72" s="311"/>
      <c r="BN72" s="311"/>
      <c r="BO72" s="311"/>
      <c r="BP72" s="311"/>
      <c r="BQ72" s="311"/>
      <c r="BR72" s="311"/>
      <c r="BS72" s="308"/>
      <c r="BT72" s="311"/>
      <c r="BU72" s="311"/>
      <c r="BV72" s="308" t="s">
        <v>23</v>
      </c>
      <c r="BW72" s="308" t="s">
        <v>23</v>
      </c>
      <c r="BX72" s="308" t="s">
        <v>3009</v>
      </c>
      <c r="BY72" s="311"/>
      <c r="BZ72" s="311"/>
      <c r="CA72" s="308" t="s">
        <v>3009</v>
      </c>
      <c r="CB72" s="312" t="str">
        <f t="shared" si="1"/>
        <v>26/03/2026</v>
      </c>
      <c r="CC72" s="313">
        <f t="shared" si="2"/>
        <v>2026</v>
      </c>
      <c r="CD72" s="314">
        <f t="shared" si="3"/>
        <v>3</v>
      </c>
      <c r="CE72" s="314">
        <f t="shared" si="4"/>
        <v>1</v>
      </c>
      <c r="CF72" s="314">
        <f t="shared" si="5"/>
        <v>1</v>
      </c>
      <c r="CG72" s="314">
        <f t="shared" si="6"/>
        <v>-5</v>
      </c>
      <c r="CH72" s="315">
        <f>VLOOKUP(CL72,'PRODUCT_COGS&amp;PRICE'!A:E,5,false)</f>
        <v>30.33</v>
      </c>
      <c r="CI72" s="306">
        <f t="shared" si="7"/>
        <v>-4.538</v>
      </c>
      <c r="CJ72" s="316">
        <f t="shared" si="8"/>
        <v>0</v>
      </c>
      <c r="CK72" s="316">
        <f t="shared" si="9"/>
        <v>0</v>
      </c>
      <c r="CL72" s="314" t="str">
        <f>VLOOKUP(R72,PRODUCT_MAP!A:B,2,FALSE)</f>
        <v>Lea_Bag_COCCO_CHOCOLATE</v>
      </c>
      <c r="CM72" s="314" t="str">
        <f>VLOOKUP(R72,PRODUCT_MAP!A:E,3,FALSE)</f>
        <v>Lea Bag</v>
      </c>
    </row>
    <row r="73" ht="22.5" customHeight="1">
      <c r="A73" s="308" t="s">
        <v>3600</v>
      </c>
      <c r="B73" s="308" t="s">
        <v>3601</v>
      </c>
      <c r="C73" s="308" t="s">
        <v>2942</v>
      </c>
      <c r="D73" s="308" t="s">
        <v>3602</v>
      </c>
      <c r="E73" s="308" t="s">
        <v>3013</v>
      </c>
      <c r="F73" s="308"/>
      <c r="G73" s="308" t="s">
        <v>2946</v>
      </c>
      <c r="H73" s="308" t="s">
        <v>2947</v>
      </c>
      <c r="I73" s="308">
        <v>120.0</v>
      </c>
      <c r="J73" s="308">
        <v>0.0</v>
      </c>
      <c r="K73" s="308">
        <v>21.64</v>
      </c>
      <c r="L73" s="308">
        <v>120.0</v>
      </c>
      <c r="M73" s="308"/>
      <c r="N73" s="308">
        <v>0.0</v>
      </c>
      <c r="O73" s="308" t="s">
        <v>2948</v>
      </c>
      <c r="P73" s="308" t="s">
        <v>3603</v>
      </c>
      <c r="Q73" s="310">
        <v>1.0</v>
      </c>
      <c r="R73" s="308" t="s">
        <v>3266</v>
      </c>
      <c r="S73" s="308">
        <v>120.0</v>
      </c>
      <c r="T73" s="311"/>
      <c r="U73" s="308" t="s">
        <v>237</v>
      </c>
      <c r="V73" s="308" t="b">
        <v>1</v>
      </c>
      <c r="W73" s="308" t="b">
        <v>1</v>
      </c>
      <c r="X73" s="308"/>
      <c r="Y73" s="308" t="s">
        <v>3604</v>
      </c>
      <c r="Z73" s="308" t="s">
        <v>3605</v>
      </c>
      <c r="AA73" s="308" t="s">
        <v>3606</v>
      </c>
      <c r="AB73" s="308">
        <v>101.0</v>
      </c>
      <c r="AC73" s="311"/>
      <c r="AD73" s="308" t="s">
        <v>3607</v>
      </c>
      <c r="AE73" s="308">
        <v>25030.0</v>
      </c>
      <c r="AF73" s="308" t="s">
        <v>3608</v>
      </c>
      <c r="AG73" s="308" t="s">
        <v>2955</v>
      </c>
      <c r="AH73" s="308"/>
      <c r="AI73" s="308" t="s">
        <v>3604</v>
      </c>
      <c r="AJ73" s="308" t="s">
        <v>3609</v>
      </c>
      <c r="AK73" s="308" t="s">
        <v>3610</v>
      </c>
      <c r="AL73" s="308">
        <v>101.0</v>
      </c>
      <c r="AM73" s="311"/>
      <c r="AN73" s="308" t="s">
        <v>3611</v>
      </c>
      <c r="AO73" s="308">
        <v>25030.0</v>
      </c>
      <c r="AP73" s="308" t="s">
        <v>3608</v>
      </c>
      <c r="AQ73" s="308" t="s">
        <v>2955</v>
      </c>
      <c r="AR73" s="308">
        <v>3.473743258E9</v>
      </c>
      <c r="AS73" s="311"/>
      <c r="AT73" s="311"/>
      <c r="AU73" s="311"/>
      <c r="AV73" s="308" t="s">
        <v>2956</v>
      </c>
      <c r="AW73" s="308">
        <v>4.7566817132871E13</v>
      </c>
      <c r="AX73" s="310">
        <v>0.0</v>
      </c>
      <c r="AY73" s="308" t="s">
        <v>2974</v>
      </c>
      <c r="AZ73" s="308">
        <v>0.0</v>
      </c>
      <c r="BA73" s="311"/>
      <c r="BB73" s="311"/>
      <c r="BC73" s="311"/>
      <c r="BD73" s="308">
        <v>7.490084733255E12</v>
      </c>
      <c r="BE73" s="311"/>
      <c r="BF73" s="311"/>
      <c r="BG73" s="308" t="s">
        <v>2958</v>
      </c>
      <c r="BH73" s="308">
        <v>0.0</v>
      </c>
      <c r="BI73" s="308" t="s">
        <v>2959</v>
      </c>
      <c r="BJ73" s="308">
        <v>21.64</v>
      </c>
      <c r="BK73" s="311"/>
      <c r="BL73" s="311"/>
      <c r="BM73" s="311"/>
      <c r="BN73" s="311"/>
      <c r="BO73" s="311"/>
      <c r="BP73" s="311"/>
      <c r="BQ73" s="311"/>
      <c r="BR73" s="311"/>
      <c r="BS73" s="308"/>
      <c r="BT73" s="311"/>
      <c r="BU73" s="311"/>
      <c r="BV73" s="308" t="s">
        <v>3612</v>
      </c>
      <c r="BW73" s="308" t="s">
        <v>3612</v>
      </c>
      <c r="BX73" s="308" t="s">
        <v>2956</v>
      </c>
      <c r="BY73" s="311"/>
      <c r="BZ73" s="311"/>
      <c r="CA73" s="308" t="s">
        <v>2956</v>
      </c>
      <c r="CB73" s="312" t="str">
        <f t="shared" si="1"/>
        <v>27/03/2026</v>
      </c>
      <c r="CC73" s="313">
        <f t="shared" si="2"/>
        <v>2026</v>
      </c>
      <c r="CD73" s="314">
        <f t="shared" si="3"/>
        <v>3</v>
      </c>
      <c r="CE73" s="314">
        <f t="shared" si="4"/>
        <v>1</v>
      </c>
      <c r="CF73" s="314">
        <f t="shared" si="5"/>
        <v>1</v>
      </c>
      <c r="CG73" s="314">
        <f t="shared" si="6"/>
        <v>-5</v>
      </c>
      <c r="CH73" s="315">
        <f>VLOOKUP(CL73,'PRODUCT_COGS&amp;PRICE'!A:E,5,false)</f>
        <v>30.33</v>
      </c>
      <c r="CI73" s="306">
        <f t="shared" si="7"/>
        <v>-2.53</v>
      </c>
      <c r="CJ73" s="316">
        <f t="shared" si="8"/>
        <v>0</v>
      </c>
      <c r="CK73" s="316">
        <f t="shared" si="9"/>
        <v>0</v>
      </c>
      <c r="CL73" s="314" t="str">
        <f>VLOOKUP(R73,PRODUCT_MAP!A:B,2,FALSE)</f>
        <v>Lea_Bag_COCCO_CHOCOLATE</v>
      </c>
      <c r="CM73" s="314" t="str">
        <f>VLOOKUP(R73,PRODUCT_MAP!A:E,3,FALSE)</f>
        <v>Lea Bag</v>
      </c>
    </row>
    <row r="74" ht="22.5" customHeight="1">
      <c r="A74" s="308" t="s">
        <v>3613</v>
      </c>
      <c r="B74" s="308" t="s">
        <v>3614</v>
      </c>
      <c r="C74" s="308" t="s">
        <v>2942</v>
      </c>
      <c r="D74" s="308" t="s">
        <v>3615</v>
      </c>
      <c r="E74" s="308" t="s">
        <v>3013</v>
      </c>
      <c r="F74" s="308"/>
      <c r="G74" s="308" t="s">
        <v>2946</v>
      </c>
      <c r="H74" s="308" t="s">
        <v>2947</v>
      </c>
      <c r="I74" s="308">
        <v>81.0</v>
      </c>
      <c r="J74" s="308">
        <v>0.0</v>
      </c>
      <c r="K74" s="308">
        <v>14.61</v>
      </c>
      <c r="L74" s="308">
        <v>81.0</v>
      </c>
      <c r="M74" s="308" t="s">
        <v>3221</v>
      </c>
      <c r="N74" s="308">
        <v>9.0</v>
      </c>
      <c r="O74" s="308" t="s">
        <v>2979</v>
      </c>
      <c r="P74" s="308" t="s">
        <v>3616</v>
      </c>
      <c r="Q74" s="310">
        <v>1.0</v>
      </c>
      <c r="R74" s="308" t="s">
        <v>3617</v>
      </c>
      <c r="S74" s="308">
        <v>90.0</v>
      </c>
      <c r="T74" s="311"/>
      <c r="U74" s="308" t="s">
        <v>3618</v>
      </c>
      <c r="V74" s="308" t="b">
        <v>1</v>
      </c>
      <c r="W74" s="308" t="b">
        <v>1</v>
      </c>
      <c r="X74" s="308"/>
      <c r="Y74" s="308" t="s">
        <v>3619</v>
      </c>
      <c r="Z74" s="308" t="s">
        <v>3620</v>
      </c>
      <c r="AA74" s="308" t="s">
        <v>3620</v>
      </c>
      <c r="AB74" s="308"/>
      <c r="AC74" s="311"/>
      <c r="AD74" s="308" t="s">
        <v>3621</v>
      </c>
      <c r="AE74" s="308">
        <v>20090.0</v>
      </c>
      <c r="AF74" s="308" t="s">
        <v>2954</v>
      </c>
      <c r="AG74" s="308" t="s">
        <v>2955</v>
      </c>
      <c r="AH74" s="308"/>
      <c r="AI74" s="308"/>
      <c r="AJ74" s="308"/>
      <c r="AK74" s="308"/>
      <c r="AL74" s="308"/>
      <c r="AM74" s="311"/>
      <c r="AN74" s="308"/>
      <c r="AO74" s="308"/>
      <c r="AP74" s="308"/>
      <c r="AQ74" s="308"/>
      <c r="AR74" s="308"/>
      <c r="AS74" s="311"/>
      <c r="AT74" s="311"/>
      <c r="AU74" s="311"/>
      <c r="AV74" s="308" t="s">
        <v>2956</v>
      </c>
      <c r="AW74" s="308">
        <v>4.7568321446215E13</v>
      </c>
      <c r="AX74" s="310">
        <v>0.0</v>
      </c>
      <c r="AY74" s="308" t="s">
        <v>2974</v>
      </c>
      <c r="AZ74" s="308">
        <v>0.0</v>
      </c>
      <c r="BA74" s="311"/>
      <c r="BB74" s="311"/>
      <c r="BC74" s="311"/>
      <c r="BD74" s="308">
        <v>7.490748645703E12</v>
      </c>
      <c r="BE74" s="311"/>
      <c r="BF74" s="311"/>
      <c r="BG74" s="308" t="s">
        <v>2958</v>
      </c>
      <c r="BH74" s="308">
        <v>0.0</v>
      </c>
      <c r="BI74" s="308" t="s">
        <v>2959</v>
      </c>
      <c r="BJ74" s="308">
        <v>14.61</v>
      </c>
      <c r="BK74" s="311"/>
      <c r="BL74" s="311"/>
      <c r="BM74" s="311"/>
      <c r="BN74" s="311"/>
      <c r="BO74" s="311"/>
      <c r="BP74" s="311"/>
      <c r="BQ74" s="311"/>
      <c r="BR74" s="311"/>
      <c r="BS74" s="308"/>
      <c r="BT74" s="311"/>
      <c r="BU74" s="311"/>
      <c r="BV74" s="308" t="s">
        <v>23</v>
      </c>
      <c r="BW74" s="308"/>
      <c r="BX74" s="308" t="s">
        <v>2956</v>
      </c>
      <c r="BY74" s="311"/>
      <c r="BZ74" s="311"/>
      <c r="CA74" s="308" t="s">
        <v>2956</v>
      </c>
      <c r="CB74" s="312" t="str">
        <f t="shared" si="1"/>
        <v>27/03/2026</v>
      </c>
      <c r="CC74" s="313">
        <f t="shared" si="2"/>
        <v>2026</v>
      </c>
      <c r="CD74" s="314">
        <f t="shared" si="3"/>
        <v>3</v>
      </c>
      <c r="CE74" s="314">
        <f t="shared" si="4"/>
        <v>1</v>
      </c>
      <c r="CF74" s="314">
        <f t="shared" si="5"/>
        <v>1</v>
      </c>
      <c r="CG74" s="314">
        <f t="shared" si="6"/>
        <v>-5</v>
      </c>
      <c r="CH74" s="315">
        <f>VLOOKUP(CL74,'PRODUCT_COGS&amp;PRICE'!A:E,5,false)</f>
        <v>16.5</v>
      </c>
      <c r="CI74" s="306">
        <f t="shared" si="7"/>
        <v>-1.789</v>
      </c>
      <c r="CJ74" s="316">
        <f t="shared" si="8"/>
        <v>0</v>
      </c>
      <c r="CK74" s="316">
        <f t="shared" si="9"/>
        <v>9</v>
      </c>
      <c r="CL74" s="314" t="str">
        <f>VLOOKUP(R74,PRODUCT_MAP!A:B,2,FALSE)</f>
        <v>Annie_Bag_PAILLETTES_NUDE</v>
      </c>
      <c r="CM74" s="314" t="str">
        <f>VLOOKUP(R74,PRODUCT_MAP!A:E,3,FALSE)</f>
        <v>Annie Bag paillettes</v>
      </c>
    </row>
    <row r="75" ht="22.5" customHeight="1">
      <c r="A75" s="308" t="s">
        <v>3622</v>
      </c>
      <c r="B75" s="308" t="s">
        <v>3623</v>
      </c>
      <c r="C75" s="308" t="s">
        <v>2942</v>
      </c>
      <c r="D75" s="308" t="s">
        <v>3624</v>
      </c>
      <c r="E75" s="308" t="s">
        <v>2944</v>
      </c>
      <c r="F75" s="308" t="s">
        <v>3625</v>
      </c>
      <c r="G75" s="308" t="s">
        <v>2965</v>
      </c>
      <c r="H75" s="308" t="s">
        <v>2947</v>
      </c>
      <c r="I75" s="308">
        <v>153.0</v>
      </c>
      <c r="J75" s="308">
        <v>0.0</v>
      </c>
      <c r="K75" s="308">
        <v>27.59</v>
      </c>
      <c r="L75" s="308">
        <v>153.0</v>
      </c>
      <c r="M75" s="308" t="s">
        <v>3221</v>
      </c>
      <c r="N75" s="308">
        <v>17.0</v>
      </c>
      <c r="O75" s="308" t="s">
        <v>2948</v>
      </c>
      <c r="P75" s="308" t="s">
        <v>3626</v>
      </c>
      <c r="Q75" s="310">
        <v>1.0</v>
      </c>
      <c r="R75" s="308" t="s">
        <v>559</v>
      </c>
      <c r="S75" s="308">
        <v>170.0</v>
      </c>
      <c r="T75" s="311"/>
      <c r="U75" s="308"/>
      <c r="V75" s="308" t="b">
        <v>1</v>
      </c>
      <c r="W75" s="308" t="b">
        <v>1</v>
      </c>
      <c r="X75" s="308" t="s">
        <v>2944</v>
      </c>
      <c r="Y75" s="308" t="s">
        <v>3627</v>
      </c>
      <c r="Z75" s="308" t="s">
        <v>3628</v>
      </c>
      <c r="AA75" s="308" t="s">
        <v>3629</v>
      </c>
      <c r="AB75" s="308" t="s">
        <v>3630</v>
      </c>
      <c r="AC75" s="311"/>
      <c r="AD75" s="308" t="s">
        <v>23</v>
      </c>
      <c r="AE75" s="308">
        <v>20132.0</v>
      </c>
      <c r="AF75" s="308" t="s">
        <v>2954</v>
      </c>
      <c r="AG75" s="308" t="s">
        <v>2955</v>
      </c>
      <c r="AH75" s="308"/>
      <c r="AI75" s="308" t="s">
        <v>3627</v>
      </c>
      <c r="AJ75" s="308" t="s">
        <v>3628</v>
      </c>
      <c r="AK75" s="308" t="s">
        <v>3629</v>
      </c>
      <c r="AL75" s="308" t="s">
        <v>3630</v>
      </c>
      <c r="AM75" s="311"/>
      <c r="AN75" s="308" t="s">
        <v>23</v>
      </c>
      <c r="AO75" s="308">
        <v>20132.0</v>
      </c>
      <c r="AP75" s="308" t="s">
        <v>2954</v>
      </c>
      <c r="AQ75" s="308" t="s">
        <v>2955</v>
      </c>
      <c r="AR75" s="308">
        <v>3.455793856E9</v>
      </c>
      <c r="AS75" s="311"/>
      <c r="AT75" s="311"/>
      <c r="AU75" s="311"/>
      <c r="AV75" s="308" t="s">
        <v>2956</v>
      </c>
      <c r="AW75" s="308">
        <v>4.7568738419015E13</v>
      </c>
      <c r="AX75" s="310">
        <v>0.0</v>
      </c>
      <c r="AY75" s="308" t="s">
        <v>2974</v>
      </c>
      <c r="AZ75" s="308">
        <v>0.0</v>
      </c>
      <c r="BA75" s="311"/>
      <c r="BB75" s="311"/>
      <c r="BC75" s="311"/>
      <c r="BD75" s="308">
        <v>7.490907013447E12</v>
      </c>
      <c r="BE75" s="311"/>
      <c r="BF75" s="311"/>
      <c r="BG75" s="308" t="s">
        <v>2958</v>
      </c>
      <c r="BH75" s="308">
        <v>0.0</v>
      </c>
      <c r="BI75" s="308" t="s">
        <v>2959</v>
      </c>
      <c r="BJ75" s="308">
        <v>27.59</v>
      </c>
      <c r="BK75" s="311"/>
      <c r="BL75" s="311"/>
      <c r="BM75" s="311"/>
      <c r="BN75" s="311"/>
      <c r="BO75" s="311"/>
      <c r="BP75" s="311"/>
      <c r="BQ75" s="311"/>
      <c r="BR75" s="311"/>
      <c r="BS75" s="308"/>
      <c r="BT75" s="311"/>
      <c r="BU75" s="311"/>
      <c r="BV75" s="308" t="s">
        <v>23</v>
      </c>
      <c r="BW75" s="308" t="s">
        <v>23</v>
      </c>
      <c r="BX75" s="308" t="s">
        <v>2956</v>
      </c>
      <c r="BY75" s="311"/>
      <c r="BZ75" s="311"/>
      <c r="CA75" s="308" t="s">
        <v>2956</v>
      </c>
      <c r="CB75" s="312" t="str">
        <f t="shared" si="1"/>
        <v>27/03/2026</v>
      </c>
      <c r="CC75" s="313">
        <f t="shared" si="2"/>
        <v>2026</v>
      </c>
      <c r="CD75" s="314">
        <f t="shared" si="3"/>
        <v>3</v>
      </c>
      <c r="CE75" s="314">
        <f t="shared" si="4"/>
        <v>1</v>
      </c>
      <c r="CF75" s="314">
        <f t="shared" si="5"/>
        <v>1</v>
      </c>
      <c r="CG75" s="314">
        <f t="shared" si="6"/>
        <v>-5</v>
      </c>
      <c r="CH75" s="315">
        <f>VLOOKUP(CL75,'PRODUCT_COGS&amp;PRICE'!A:E,5,false)</f>
        <v>25</v>
      </c>
      <c r="CI75" s="306">
        <f t="shared" si="7"/>
        <v>-3.157</v>
      </c>
      <c r="CJ75" s="316">
        <f t="shared" si="8"/>
        <v>0</v>
      </c>
      <c r="CK75" s="316">
        <f t="shared" si="9"/>
        <v>17</v>
      </c>
      <c r="CL75" s="314" t="str">
        <f>VLOOKUP(R75,PRODUCT_MAP!A:B,2,FALSE)</f>
        <v>Lea_Bag_Maxi_SUEDE_CHOCOLATE</v>
      </c>
      <c r="CM75" s="314" t="str">
        <f>VLOOKUP(R75,PRODUCT_MAP!A:E,3,FALSE)</f>
        <v>Lea Bag Maxi</v>
      </c>
    </row>
    <row r="76" ht="22.5" customHeight="1">
      <c r="A76" s="308" t="s">
        <v>3631</v>
      </c>
      <c r="B76" s="308" t="s">
        <v>3632</v>
      </c>
      <c r="C76" s="308" t="s">
        <v>2942</v>
      </c>
      <c r="D76" s="308" t="s">
        <v>3633</v>
      </c>
      <c r="E76" s="308" t="s">
        <v>2944</v>
      </c>
      <c r="F76" s="308" t="s">
        <v>3634</v>
      </c>
      <c r="G76" s="308" t="s">
        <v>2965</v>
      </c>
      <c r="H76" s="308" t="s">
        <v>2947</v>
      </c>
      <c r="I76" s="308">
        <v>108.0</v>
      </c>
      <c r="J76" s="308">
        <v>0.0</v>
      </c>
      <c r="K76" s="308">
        <v>19.48</v>
      </c>
      <c r="L76" s="308">
        <v>108.0</v>
      </c>
      <c r="M76" s="308"/>
      <c r="N76" s="308">
        <v>0.0</v>
      </c>
      <c r="O76" s="308" t="s">
        <v>2948</v>
      </c>
      <c r="P76" s="308" t="s">
        <v>3635</v>
      </c>
      <c r="Q76" s="310">
        <v>1.0</v>
      </c>
      <c r="R76" s="308" t="s">
        <v>3636</v>
      </c>
      <c r="S76" s="308">
        <v>108.0</v>
      </c>
      <c r="T76" s="311"/>
      <c r="U76" s="308"/>
      <c r="V76" s="308" t="b">
        <v>1</v>
      </c>
      <c r="W76" s="308" t="b">
        <v>1</v>
      </c>
      <c r="X76" s="308" t="s">
        <v>2944</v>
      </c>
      <c r="Y76" s="308" t="s">
        <v>3637</v>
      </c>
      <c r="Z76" s="308" t="s">
        <v>3638</v>
      </c>
      <c r="AA76" s="308" t="s">
        <v>3638</v>
      </c>
      <c r="AB76" s="308"/>
      <c r="AC76" s="311"/>
      <c r="AD76" s="308" t="s">
        <v>23</v>
      </c>
      <c r="AE76" s="308">
        <v>20154.0</v>
      </c>
      <c r="AF76" s="308" t="s">
        <v>2954</v>
      </c>
      <c r="AG76" s="308" t="s">
        <v>2955</v>
      </c>
      <c r="AH76" s="308"/>
      <c r="AI76" s="308" t="s">
        <v>3637</v>
      </c>
      <c r="AJ76" s="308" t="s">
        <v>3639</v>
      </c>
      <c r="AK76" s="308" t="s">
        <v>3639</v>
      </c>
      <c r="AL76" s="308"/>
      <c r="AM76" s="311"/>
      <c r="AN76" s="308" t="s">
        <v>23</v>
      </c>
      <c r="AO76" s="308">
        <v>20154.0</v>
      </c>
      <c r="AP76" s="308" t="s">
        <v>2954</v>
      </c>
      <c r="AQ76" s="308" t="s">
        <v>2955</v>
      </c>
      <c r="AR76" s="308">
        <v>3.463838517E9</v>
      </c>
      <c r="AS76" s="311"/>
      <c r="AT76" s="311"/>
      <c r="AU76" s="311"/>
      <c r="AV76" s="308" t="s">
        <v>2956</v>
      </c>
      <c r="AW76" s="308">
        <v>4.7568768500039E13</v>
      </c>
      <c r="AX76" s="310">
        <v>0.0</v>
      </c>
      <c r="AY76" s="308"/>
      <c r="AZ76" s="308">
        <v>0.0</v>
      </c>
      <c r="BA76" s="311"/>
      <c r="BB76" s="311"/>
      <c r="BC76" s="311"/>
      <c r="BD76" s="308">
        <v>7.490924904775E12</v>
      </c>
      <c r="BE76" s="311"/>
      <c r="BF76" s="311"/>
      <c r="BG76" s="308" t="s">
        <v>3640</v>
      </c>
      <c r="BH76" s="308">
        <v>0.0</v>
      </c>
      <c r="BI76" s="308" t="s">
        <v>2959</v>
      </c>
      <c r="BJ76" s="308">
        <v>19.48</v>
      </c>
      <c r="BK76" s="311"/>
      <c r="BL76" s="311"/>
      <c r="BM76" s="311"/>
      <c r="BN76" s="311"/>
      <c r="BO76" s="311"/>
      <c r="BP76" s="311"/>
      <c r="BQ76" s="311"/>
      <c r="BR76" s="311"/>
      <c r="BS76" s="308"/>
      <c r="BT76" s="311"/>
      <c r="BU76" s="311"/>
      <c r="BV76" s="308" t="s">
        <v>23</v>
      </c>
      <c r="BW76" s="308" t="s">
        <v>23</v>
      </c>
      <c r="BX76" s="308" t="s">
        <v>2956</v>
      </c>
      <c r="BY76" s="311"/>
      <c r="BZ76" s="311"/>
      <c r="CA76" s="308" t="s">
        <v>2956</v>
      </c>
      <c r="CB76" s="312" t="str">
        <f t="shared" si="1"/>
        <v>27/03/2026</v>
      </c>
      <c r="CC76" s="313">
        <f t="shared" si="2"/>
        <v>2026</v>
      </c>
      <c r="CD76" s="314">
        <f t="shared" si="3"/>
        <v>3</v>
      </c>
      <c r="CE76" s="314">
        <f t="shared" si="4"/>
        <v>1</v>
      </c>
      <c r="CF76" s="314">
        <f t="shared" si="5"/>
        <v>1</v>
      </c>
      <c r="CG76" s="314">
        <f t="shared" si="6"/>
        <v>-5</v>
      </c>
      <c r="CH76" s="315">
        <f>VLOOKUP(CL76,'PRODUCT_COGS&amp;PRICE'!A:E,5,false)</f>
        <v>30.33</v>
      </c>
      <c r="CI76" s="306">
        <f t="shared" si="7"/>
        <v>-2.302</v>
      </c>
      <c r="CJ76" s="316">
        <f t="shared" si="8"/>
        <v>0</v>
      </c>
      <c r="CK76" s="316">
        <f t="shared" si="9"/>
        <v>0</v>
      </c>
      <c r="CL76" s="314" t="str">
        <f>VLOOKUP(R76,PRODUCT_MAP!A:B,2,FALSE)</f>
        <v>Lea_Bag_GREEN</v>
      </c>
      <c r="CM76" s="314" t="str">
        <f>VLOOKUP(R76,PRODUCT_MAP!A:E,3,FALSE)</f>
        <v>Lea Bag</v>
      </c>
    </row>
    <row r="77" ht="22.5" customHeight="1">
      <c r="A77" s="308" t="s">
        <v>3641</v>
      </c>
      <c r="B77" s="308" t="s">
        <v>3642</v>
      </c>
      <c r="C77" s="308" t="s">
        <v>2942</v>
      </c>
      <c r="D77" s="308" t="s">
        <v>3643</v>
      </c>
      <c r="E77" s="308" t="s">
        <v>3013</v>
      </c>
      <c r="F77" s="308"/>
      <c r="G77" s="308" t="s">
        <v>2946</v>
      </c>
      <c r="H77" s="308" t="s">
        <v>2947</v>
      </c>
      <c r="I77" s="308">
        <v>81.0</v>
      </c>
      <c r="J77" s="308">
        <v>3.9</v>
      </c>
      <c r="K77" s="308">
        <v>15.31</v>
      </c>
      <c r="L77" s="308">
        <v>84.9</v>
      </c>
      <c r="M77" s="308" t="s">
        <v>3094</v>
      </c>
      <c r="N77" s="308">
        <v>9.0</v>
      </c>
      <c r="O77" s="308" t="s">
        <v>2948</v>
      </c>
      <c r="P77" s="308" t="s">
        <v>3644</v>
      </c>
      <c r="Q77" s="310">
        <v>1.0</v>
      </c>
      <c r="R77" s="308" t="s">
        <v>3617</v>
      </c>
      <c r="S77" s="308">
        <v>90.0</v>
      </c>
      <c r="T77" s="311"/>
      <c r="U77" s="308" t="s">
        <v>3618</v>
      </c>
      <c r="V77" s="308" t="b">
        <v>1</v>
      </c>
      <c r="W77" s="308" t="b">
        <v>1</v>
      </c>
      <c r="X77" s="308"/>
      <c r="Y77" s="308" t="s">
        <v>3645</v>
      </c>
      <c r="Z77" s="308" t="s">
        <v>3646</v>
      </c>
      <c r="AA77" s="308" t="s">
        <v>3646</v>
      </c>
      <c r="AB77" s="308"/>
      <c r="AC77" s="311"/>
      <c r="AD77" s="308" t="s">
        <v>23</v>
      </c>
      <c r="AE77" s="308">
        <v>20123.0</v>
      </c>
      <c r="AF77" s="308" t="s">
        <v>2954</v>
      </c>
      <c r="AG77" s="308" t="s">
        <v>2955</v>
      </c>
      <c r="AH77" s="308"/>
      <c r="AI77" s="308" t="s">
        <v>3645</v>
      </c>
      <c r="AJ77" s="308" t="s">
        <v>3646</v>
      </c>
      <c r="AK77" s="308" t="s">
        <v>3646</v>
      </c>
      <c r="AL77" s="308"/>
      <c r="AM77" s="311"/>
      <c r="AN77" s="308" t="s">
        <v>23</v>
      </c>
      <c r="AO77" s="308">
        <v>20123.0</v>
      </c>
      <c r="AP77" s="308" t="s">
        <v>2954</v>
      </c>
      <c r="AQ77" s="308" t="s">
        <v>2955</v>
      </c>
      <c r="AR77" s="308">
        <v>3.317997552E9</v>
      </c>
      <c r="AS77" s="311"/>
      <c r="AT77" s="311"/>
      <c r="AU77" s="311"/>
      <c r="AV77" s="308" t="s">
        <v>2956</v>
      </c>
      <c r="AW77" s="308">
        <v>4.7569158832455E13</v>
      </c>
      <c r="AX77" s="310">
        <v>0.0</v>
      </c>
      <c r="AY77" s="308" t="s">
        <v>2974</v>
      </c>
      <c r="AZ77" s="308">
        <v>0.0</v>
      </c>
      <c r="BA77" s="311"/>
      <c r="BB77" s="311"/>
      <c r="BC77" s="311"/>
      <c r="BD77" s="308">
        <v>7.491079897415E12</v>
      </c>
      <c r="BE77" s="311"/>
      <c r="BF77" s="311"/>
      <c r="BG77" s="308" t="s">
        <v>2958</v>
      </c>
      <c r="BH77" s="308">
        <v>0.0</v>
      </c>
      <c r="BI77" s="308" t="s">
        <v>2959</v>
      </c>
      <c r="BJ77" s="308">
        <v>14.61</v>
      </c>
      <c r="BK77" s="311"/>
      <c r="BL77" s="311"/>
      <c r="BM77" s="311"/>
      <c r="BN77" s="311"/>
      <c r="BO77" s="311"/>
      <c r="BP77" s="311"/>
      <c r="BQ77" s="311"/>
      <c r="BR77" s="311"/>
      <c r="BS77" s="308"/>
      <c r="BT77" s="311"/>
      <c r="BU77" s="311"/>
      <c r="BV77" s="308" t="s">
        <v>23</v>
      </c>
      <c r="BW77" s="308" t="s">
        <v>23</v>
      </c>
      <c r="BX77" s="308" t="s">
        <v>2956</v>
      </c>
      <c r="BY77" s="311"/>
      <c r="BZ77" s="311"/>
      <c r="CA77" s="308" t="s">
        <v>2956</v>
      </c>
      <c r="CB77" s="312" t="str">
        <f t="shared" si="1"/>
        <v>27/03/2026</v>
      </c>
      <c r="CC77" s="313">
        <f t="shared" si="2"/>
        <v>2026</v>
      </c>
      <c r="CD77" s="314">
        <f t="shared" si="3"/>
        <v>3</v>
      </c>
      <c r="CE77" s="314">
        <f t="shared" si="4"/>
        <v>1</v>
      </c>
      <c r="CF77" s="314">
        <f t="shared" si="5"/>
        <v>1</v>
      </c>
      <c r="CG77" s="314">
        <f t="shared" si="6"/>
        <v>0</v>
      </c>
      <c r="CH77" s="315">
        <f>VLOOKUP(CL77,'PRODUCT_COGS&amp;PRICE'!A:E,5,false)</f>
        <v>16.5</v>
      </c>
      <c r="CI77" s="306">
        <f t="shared" si="7"/>
        <v>-1.8631</v>
      </c>
      <c r="CJ77" s="316">
        <f t="shared" si="8"/>
        <v>0</v>
      </c>
      <c r="CK77" s="316">
        <f t="shared" si="9"/>
        <v>9</v>
      </c>
      <c r="CL77" s="314" t="str">
        <f>VLOOKUP(R77,PRODUCT_MAP!A:B,2,FALSE)</f>
        <v>Annie_Bag_PAILLETTES_NUDE</v>
      </c>
      <c r="CM77" s="314" t="str">
        <f>VLOOKUP(R77,PRODUCT_MAP!A:E,3,FALSE)</f>
        <v>Annie Bag paillettes</v>
      </c>
    </row>
    <row r="78" ht="22.5" customHeight="1">
      <c r="A78" s="308" t="s">
        <v>3647</v>
      </c>
      <c r="B78" s="308" t="s">
        <v>3648</v>
      </c>
      <c r="C78" s="308" t="s">
        <v>2942</v>
      </c>
      <c r="D78" s="308" t="s">
        <v>3649</v>
      </c>
      <c r="E78" s="308" t="s">
        <v>3013</v>
      </c>
      <c r="F78" s="308"/>
      <c r="G78" s="308" t="s">
        <v>2946</v>
      </c>
      <c r="H78" s="308" t="s">
        <v>2947</v>
      </c>
      <c r="I78" s="308">
        <v>81.0</v>
      </c>
      <c r="J78" s="308">
        <v>3.9</v>
      </c>
      <c r="K78" s="308">
        <v>15.31</v>
      </c>
      <c r="L78" s="308">
        <v>84.9</v>
      </c>
      <c r="M78" s="308" t="s">
        <v>3094</v>
      </c>
      <c r="N78" s="308">
        <v>9.0</v>
      </c>
      <c r="O78" s="308" t="s">
        <v>2948</v>
      </c>
      <c r="P78" s="308" t="s">
        <v>3650</v>
      </c>
      <c r="Q78" s="310">
        <v>1.0</v>
      </c>
      <c r="R78" s="308" t="s">
        <v>3617</v>
      </c>
      <c r="S78" s="308">
        <v>90.0</v>
      </c>
      <c r="T78" s="311"/>
      <c r="U78" s="308" t="s">
        <v>3618</v>
      </c>
      <c r="V78" s="308" t="b">
        <v>1</v>
      </c>
      <c r="W78" s="308" t="b">
        <v>1</v>
      </c>
      <c r="X78" s="308"/>
      <c r="Y78" s="308" t="s">
        <v>3651</v>
      </c>
      <c r="Z78" s="308" t="s">
        <v>3652</v>
      </c>
      <c r="AA78" s="308" t="s">
        <v>3652</v>
      </c>
      <c r="AB78" s="308"/>
      <c r="AC78" s="311"/>
      <c r="AD78" s="308" t="s">
        <v>3653</v>
      </c>
      <c r="AE78" s="308">
        <v>10146.0</v>
      </c>
      <c r="AF78" s="308" t="s">
        <v>3654</v>
      </c>
      <c r="AG78" s="308" t="s">
        <v>2955</v>
      </c>
      <c r="AH78" s="308">
        <v>3.470865511E9</v>
      </c>
      <c r="AI78" s="308" t="s">
        <v>3651</v>
      </c>
      <c r="AJ78" s="308" t="s">
        <v>3652</v>
      </c>
      <c r="AK78" s="308" t="s">
        <v>3652</v>
      </c>
      <c r="AL78" s="308"/>
      <c r="AM78" s="311"/>
      <c r="AN78" s="308" t="s">
        <v>3653</v>
      </c>
      <c r="AO78" s="308">
        <v>10146.0</v>
      </c>
      <c r="AP78" s="308" t="s">
        <v>3654</v>
      </c>
      <c r="AQ78" s="308" t="s">
        <v>2955</v>
      </c>
      <c r="AR78" s="308">
        <v>3.470865511E9</v>
      </c>
      <c r="AS78" s="311"/>
      <c r="AT78" s="311"/>
      <c r="AU78" s="311"/>
      <c r="AV78" s="308" t="s">
        <v>2956</v>
      </c>
      <c r="AW78" s="308">
        <v>4.7571381649735E13</v>
      </c>
      <c r="AX78" s="310">
        <v>0.0</v>
      </c>
      <c r="AY78" s="308" t="s">
        <v>2974</v>
      </c>
      <c r="AZ78" s="308">
        <v>0.0</v>
      </c>
      <c r="BA78" s="311"/>
      <c r="BB78" s="311"/>
      <c r="BC78" s="311"/>
      <c r="BD78" s="308">
        <v>7.491660087623E12</v>
      </c>
      <c r="BE78" s="311"/>
      <c r="BF78" s="311"/>
      <c r="BG78" s="308" t="s">
        <v>2958</v>
      </c>
      <c r="BH78" s="308">
        <v>0.0</v>
      </c>
      <c r="BI78" s="308" t="s">
        <v>2959</v>
      </c>
      <c r="BJ78" s="308">
        <v>14.61</v>
      </c>
      <c r="BK78" s="311"/>
      <c r="BL78" s="311"/>
      <c r="BM78" s="311"/>
      <c r="BN78" s="311"/>
      <c r="BO78" s="311"/>
      <c r="BP78" s="311"/>
      <c r="BQ78" s="311"/>
      <c r="BR78" s="311"/>
      <c r="BS78" s="308"/>
      <c r="BT78" s="311"/>
      <c r="BU78" s="311"/>
      <c r="BV78" s="308" t="s">
        <v>3655</v>
      </c>
      <c r="BW78" s="308" t="s">
        <v>3655</v>
      </c>
      <c r="BX78" s="308" t="s">
        <v>2956</v>
      </c>
      <c r="BY78" s="311"/>
      <c r="BZ78" s="311"/>
      <c r="CA78" s="308" t="s">
        <v>2956</v>
      </c>
      <c r="CB78" s="312" t="str">
        <f t="shared" si="1"/>
        <v>28/03/2026</v>
      </c>
      <c r="CC78" s="313">
        <f t="shared" si="2"/>
        <v>2026</v>
      </c>
      <c r="CD78" s="314">
        <f t="shared" si="3"/>
        <v>3</v>
      </c>
      <c r="CE78" s="314">
        <f t="shared" si="4"/>
        <v>1</v>
      </c>
      <c r="CF78" s="314">
        <f t="shared" si="5"/>
        <v>1</v>
      </c>
      <c r="CG78" s="314">
        <f t="shared" si="6"/>
        <v>0</v>
      </c>
      <c r="CH78" s="315">
        <f>VLOOKUP(CL78,'PRODUCT_COGS&amp;PRICE'!A:E,5,false)</f>
        <v>16.5</v>
      </c>
      <c r="CI78" s="306">
        <f t="shared" si="7"/>
        <v>-1.8631</v>
      </c>
      <c r="CJ78" s="316">
        <f t="shared" si="8"/>
        <v>0</v>
      </c>
      <c r="CK78" s="316">
        <f t="shared" si="9"/>
        <v>9</v>
      </c>
      <c r="CL78" s="314" t="str">
        <f>VLOOKUP(R78,PRODUCT_MAP!A:B,2,FALSE)</f>
        <v>Annie_Bag_PAILLETTES_NUDE</v>
      </c>
      <c r="CM78" s="314" t="str">
        <f>VLOOKUP(R78,PRODUCT_MAP!A:E,3,FALSE)</f>
        <v>Annie Bag paillettes</v>
      </c>
    </row>
    <row r="79" ht="22.5" customHeight="1">
      <c r="A79" s="308" t="s">
        <v>3656</v>
      </c>
      <c r="B79" s="308" t="s">
        <v>3657</v>
      </c>
      <c r="C79" s="308" t="s">
        <v>2942</v>
      </c>
      <c r="D79" s="308" t="s">
        <v>3658</v>
      </c>
      <c r="E79" s="308" t="s">
        <v>3013</v>
      </c>
      <c r="F79" s="308"/>
      <c r="G79" s="308" t="s">
        <v>2946</v>
      </c>
      <c r="H79" s="308" t="s">
        <v>2947</v>
      </c>
      <c r="I79" s="308">
        <v>90.0</v>
      </c>
      <c r="J79" s="308">
        <v>3.9</v>
      </c>
      <c r="K79" s="308">
        <v>16.93</v>
      </c>
      <c r="L79" s="308">
        <v>93.9</v>
      </c>
      <c r="M79" s="308"/>
      <c r="N79" s="308">
        <v>0.0</v>
      </c>
      <c r="O79" s="308" t="s">
        <v>2948</v>
      </c>
      <c r="P79" s="308" t="s">
        <v>3659</v>
      </c>
      <c r="Q79" s="310">
        <v>1.0</v>
      </c>
      <c r="R79" s="308" t="s">
        <v>820</v>
      </c>
      <c r="S79" s="308">
        <v>90.0</v>
      </c>
      <c r="T79" s="311"/>
      <c r="U79" s="308" t="s">
        <v>3660</v>
      </c>
      <c r="V79" s="308" t="b">
        <v>1</v>
      </c>
      <c r="W79" s="308" t="b">
        <v>1</v>
      </c>
      <c r="X79" s="308"/>
      <c r="Y79" s="308" t="s">
        <v>3661</v>
      </c>
      <c r="Z79" s="308" t="s">
        <v>3662</v>
      </c>
      <c r="AA79" s="308" t="s">
        <v>3662</v>
      </c>
      <c r="AB79" s="308"/>
      <c r="AC79" s="311"/>
      <c r="AD79" s="308" t="s">
        <v>3663</v>
      </c>
      <c r="AE79" s="308">
        <v>25010.0</v>
      </c>
      <c r="AF79" s="308" t="s">
        <v>3608</v>
      </c>
      <c r="AG79" s="308" t="s">
        <v>2955</v>
      </c>
      <c r="AH79" s="308"/>
      <c r="AI79" s="308" t="s">
        <v>3661</v>
      </c>
      <c r="AJ79" s="308" t="s">
        <v>3664</v>
      </c>
      <c r="AK79" s="308" t="s">
        <v>3664</v>
      </c>
      <c r="AL79" s="308"/>
      <c r="AM79" s="311"/>
      <c r="AN79" s="308" t="s">
        <v>3665</v>
      </c>
      <c r="AO79" s="308">
        <v>38121.0</v>
      </c>
      <c r="AP79" s="308" t="s">
        <v>3666</v>
      </c>
      <c r="AQ79" s="308" t="s">
        <v>2955</v>
      </c>
      <c r="AR79" s="308">
        <v>3.450425785E9</v>
      </c>
      <c r="AS79" s="311"/>
      <c r="AT79" s="311"/>
      <c r="AU79" s="311"/>
      <c r="AV79" s="308" t="s">
        <v>2956</v>
      </c>
      <c r="AW79" s="308">
        <v>4.7573063565639E13</v>
      </c>
      <c r="AX79" s="310">
        <v>0.0</v>
      </c>
      <c r="AY79" s="308" t="s">
        <v>2974</v>
      </c>
      <c r="AZ79" s="308">
        <v>0.0</v>
      </c>
      <c r="BA79" s="311"/>
      <c r="BB79" s="311"/>
      <c r="BC79" s="311"/>
      <c r="BD79" s="308">
        <v>7.492392517959E12</v>
      </c>
      <c r="BE79" s="311"/>
      <c r="BF79" s="311"/>
      <c r="BG79" s="308" t="s">
        <v>2958</v>
      </c>
      <c r="BH79" s="308">
        <v>0.0</v>
      </c>
      <c r="BI79" s="308" t="s">
        <v>2959</v>
      </c>
      <c r="BJ79" s="308">
        <v>16.23</v>
      </c>
      <c r="BK79" s="311"/>
      <c r="BL79" s="311"/>
      <c r="BM79" s="311"/>
      <c r="BN79" s="311"/>
      <c r="BO79" s="311"/>
      <c r="BP79" s="311"/>
      <c r="BQ79" s="311"/>
      <c r="BR79" s="311"/>
      <c r="BS79" s="308"/>
      <c r="BT79" s="311"/>
      <c r="BU79" s="311"/>
      <c r="BV79" s="308" t="s">
        <v>3612</v>
      </c>
      <c r="BW79" s="308" t="s">
        <v>3665</v>
      </c>
      <c r="BX79" s="308" t="s">
        <v>2956</v>
      </c>
      <c r="BY79" s="311"/>
      <c r="BZ79" s="311"/>
      <c r="CA79" s="308" t="s">
        <v>2956</v>
      </c>
      <c r="CB79" s="312" t="str">
        <f t="shared" si="1"/>
        <v>28/03/2026</v>
      </c>
      <c r="CC79" s="313">
        <f t="shared" si="2"/>
        <v>2026</v>
      </c>
      <c r="CD79" s="314">
        <f t="shared" si="3"/>
        <v>3</v>
      </c>
      <c r="CE79" s="314">
        <f t="shared" si="4"/>
        <v>1</v>
      </c>
      <c r="CF79" s="314">
        <f t="shared" si="5"/>
        <v>1</v>
      </c>
      <c r="CG79" s="314">
        <f t="shared" si="6"/>
        <v>0</v>
      </c>
      <c r="CH79" s="315">
        <f>VLOOKUP(CL79,'PRODUCT_COGS&amp;PRICE'!A:E,5,false)</f>
        <v>16.5</v>
      </c>
      <c r="CI79" s="306">
        <f t="shared" si="7"/>
        <v>-2.0341</v>
      </c>
      <c r="CJ79" s="316">
        <f t="shared" si="8"/>
        <v>0</v>
      </c>
      <c r="CK79" s="316">
        <f t="shared" si="9"/>
        <v>0</v>
      </c>
      <c r="CL79" s="314" t="str">
        <f>VLOOKUP(R79,PRODUCT_MAP!A:B,2,FALSE)</f>
        <v>Annie_Bag_PAILLETTES_PINK</v>
      </c>
      <c r="CM79" s="314" t="str">
        <f>VLOOKUP(R79,PRODUCT_MAP!A:E,3,FALSE)</f>
        <v>Annie Bag paillettes</v>
      </c>
    </row>
    <row r="80" ht="22.5" customHeight="1">
      <c r="A80" s="308" t="s">
        <v>3667</v>
      </c>
      <c r="B80" s="308"/>
      <c r="C80" s="308" t="s">
        <v>2942</v>
      </c>
      <c r="D80" s="308" t="s">
        <v>3668</v>
      </c>
      <c r="E80" s="308" t="s">
        <v>3013</v>
      </c>
      <c r="F80" s="308"/>
      <c r="G80" s="308" t="s">
        <v>2965</v>
      </c>
      <c r="H80" s="308" t="s">
        <v>2947</v>
      </c>
      <c r="I80" s="308">
        <v>105.0</v>
      </c>
      <c r="J80" s="308">
        <v>0.0</v>
      </c>
      <c r="K80" s="308">
        <v>18.93</v>
      </c>
      <c r="L80" s="308">
        <v>105.0</v>
      </c>
      <c r="M80" s="308"/>
      <c r="N80" s="308">
        <v>0.0</v>
      </c>
      <c r="O80" s="308" t="s">
        <v>2948</v>
      </c>
      <c r="P80" s="308" t="s">
        <v>3669</v>
      </c>
      <c r="Q80" s="310">
        <v>1.0</v>
      </c>
      <c r="R80" s="308" t="s">
        <v>3670</v>
      </c>
      <c r="S80" s="308">
        <v>105.0</v>
      </c>
      <c r="T80" s="311"/>
      <c r="U80" s="308" t="s">
        <v>3671</v>
      </c>
      <c r="V80" s="308" t="b">
        <v>1</v>
      </c>
      <c r="W80" s="308" t="b">
        <v>1</v>
      </c>
      <c r="X80" s="308"/>
      <c r="Y80" s="308" t="s">
        <v>3672</v>
      </c>
      <c r="Z80" s="308" t="s">
        <v>3673</v>
      </c>
      <c r="AA80" s="308" t="s">
        <v>3673</v>
      </c>
      <c r="AB80" s="308"/>
      <c r="AC80" s="308" t="s">
        <v>3674</v>
      </c>
      <c r="AD80" s="308" t="s">
        <v>3675</v>
      </c>
      <c r="AE80" s="308">
        <v>36016.0</v>
      </c>
      <c r="AF80" s="308" t="s">
        <v>3676</v>
      </c>
      <c r="AG80" s="308" t="s">
        <v>2955</v>
      </c>
      <c r="AH80" s="308">
        <v>3.928783422E9</v>
      </c>
      <c r="AI80" s="308" t="s">
        <v>3672</v>
      </c>
      <c r="AJ80" s="308" t="s">
        <v>3673</v>
      </c>
      <c r="AK80" s="308" t="s">
        <v>3673</v>
      </c>
      <c r="AL80" s="308"/>
      <c r="AM80" s="308" t="s">
        <v>3674</v>
      </c>
      <c r="AN80" s="308" t="s">
        <v>3675</v>
      </c>
      <c r="AO80" s="308">
        <v>36016.0</v>
      </c>
      <c r="AP80" s="308" t="s">
        <v>3676</v>
      </c>
      <c r="AQ80" s="308" t="s">
        <v>2955</v>
      </c>
      <c r="AR80" s="308">
        <v>3.928783422E9</v>
      </c>
      <c r="AS80" s="311"/>
      <c r="AT80" s="311"/>
      <c r="AU80" s="311"/>
      <c r="AV80" s="308" t="s">
        <v>2956</v>
      </c>
      <c r="AW80" s="308">
        <v>4.7573185560903E13</v>
      </c>
      <c r="AX80" s="310">
        <v>0.0</v>
      </c>
      <c r="AY80" s="308" t="s">
        <v>2974</v>
      </c>
      <c r="AZ80" s="308">
        <v>0.0</v>
      </c>
      <c r="BA80" s="311"/>
      <c r="BB80" s="311"/>
      <c r="BC80" s="311"/>
      <c r="BD80" s="308">
        <v>7.492458447175E12</v>
      </c>
      <c r="BE80" s="311"/>
      <c r="BF80" s="311"/>
      <c r="BG80" s="308" t="s">
        <v>2958</v>
      </c>
      <c r="BH80" s="308">
        <v>0.0</v>
      </c>
      <c r="BI80" s="308" t="s">
        <v>2959</v>
      </c>
      <c r="BJ80" s="308">
        <v>18.93</v>
      </c>
      <c r="BK80" s="311"/>
      <c r="BL80" s="311"/>
      <c r="BM80" s="311"/>
      <c r="BN80" s="311"/>
      <c r="BO80" s="311"/>
      <c r="BP80" s="311"/>
      <c r="BQ80" s="311"/>
      <c r="BR80" s="311"/>
      <c r="BS80" s="318" t="s">
        <v>3677</v>
      </c>
      <c r="BT80" s="311"/>
      <c r="BU80" s="311"/>
      <c r="BV80" s="308" t="s">
        <v>3678</v>
      </c>
      <c r="BW80" s="308" t="s">
        <v>3678</v>
      </c>
      <c r="BX80" s="308" t="s">
        <v>2956</v>
      </c>
      <c r="BY80" s="311"/>
      <c r="BZ80" s="311"/>
      <c r="CA80" s="308" t="s">
        <v>2956</v>
      </c>
      <c r="CB80" s="312" t="str">
        <f t="shared" si="1"/>
        <v>28/03/2026</v>
      </c>
      <c r="CC80" s="313">
        <f t="shared" si="2"/>
        <v>2026</v>
      </c>
      <c r="CD80" s="314">
        <f t="shared" si="3"/>
        <v>3</v>
      </c>
      <c r="CE80" s="314">
        <f t="shared" si="4"/>
        <v>1</v>
      </c>
      <c r="CF80" s="314">
        <f t="shared" si="5"/>
        <v>1</v>
      </c>
      <c r="CG80" s="314">
        <f t="shared" si="6"/>
        <v>-5</v>
      </c>
      <c r="CH80" s="315">
        <f>VLOOKUP(CL80,'PRODUCT_COGS&amp;PRICE'!A:E,5,false)</f>
        <v>23</v>
      </c>
      <c r="CI80" s="306">
        <f t="shared" si="7"/>
        <v>-2.245</v>
      </c>
      <c r="CJ80" s="316">
        <f t="shared" si="8"/>
        <v>0</v>
      </c>
      <c r="CK80" s="316">
        <f t="shared" si="9"/>
        <v>0</v>
      </c>
      <c r="CL80" s="314" t="str">
        <f>VLOOKUP(R80,PRODUCT_MAP!A:B,2,FALSE)</f>
        <v>Maria_Bag_Red</v>
      </c>
      <c r="CM80" s="314" t="str">
        <f>VLOOKUP(R80,PRODUCT_MAP!A:E,3,FALSE)</f>
        <v>Maria Bag</v>
      </c>
    </row>
    <row r="81" ht="22.5" customHeight="1">
      <c r="A81" s="308" t="s">
        <v>3679</v>
      </c>
      <c r="B81" s="308" t="s">
        <v>3680</v>
      </c>
      <c r="C81" s="308" t="s">
        <v>2942</v>
      </c>
      <c r="D81" s="308" t="s">
        <v>3681</v>
      </c>
      <c r="E81" s="308" t="s">
        <v>3013</v>
      </c>
      <c r="F81" s="308"/>
      <c r="G81" s="308" t="s">
        <v>2946</v>
      </c>
      <c r="H81" s="308" t="s">
        <v>2947</v>
      </c>
      <c r="I81" s="308">
        <v>175.0</v>
      </c>
      <c r="J81" s="308">
        <v>0.0</v>
      </c>
      <c r="K81" s="308">
        <v>31.56</v>
      </c>
      <c r="L81" s="308">
        <v>175.0</v>
      </c>
      <c r="M81" s="308"/>
      <c r="N81" s="308">
        <v>0.0</v>
      </c>
      <c r="O81" s="308" t="s">
        <v>2948</v>
      </c>
      <c r="P81" s="308" t="s">
        <v>3682</v>
      </c>
      <c r="Q81" s="310">
        <v>1.0</v>
      </c>
      <c r="R81" s="308" t="s">
        <v>768</v>
      </c>
      <c r="S81" s="308">
        <v>175.0</v>
      </c>
      <c r="T81" s="311"/>
      <c r="U81" s="308" t="s">
        <v>210</v>
      </c>
      <c r="V81" s="308" t="b">
        <v>1</v>
      </c>
      <c r="W81" s="308" t="b">
        <v>1</v>
      </c>
      <c r="X81" s="308"/>
      <c r="Y81" s="308" t="s">
        <v>3683</v>
      </c>
      <c r="Z81" s="308" t="s">
        <v>3684</v>
      </c>
      <c r="AA81" s="308" t="s">
        <v>3684</v>
      </c>
      <c r="AB81" s="308"/>
      <c r="AC81" s="308"/>
      <c r="AD81" s="308" t="s">
        <v>3655</v>
      </c>
      <c r="AE81" s="308">
        <v>10144.0</v>
      </c>
      <c r="AF81" s="308" t="s">
        <v>3654</v>
      </c>
      <c r="AG81" s="308" t="s">
        <v>2955</v>
      </c>
      <c r="AH81" s="308"/>
      <c r="AI81" s="308" t="s">
        <v>3683</v>
      </c>
      <c r="AJ81" s="308" t="s">
        <v>3685</v>
      </c>
      <c r="AK81" s="308" t="s">
        <v>3685</v>
      </c>
      <c r="AL81" s="308"/>
      <c r="AM81" s="308" t="s">
        <v>3686</v>
      </c>
      <c r="AN81" s="308" t="s">
        <v>3655</v>
      </c>
      <c r="AO81" s="308">
        <v>10141.0</v>
      </c>
      <c r="AP81" s="308" t="s">
        <v>3654</v>
      </c>
      <c r="AQ81" s="308" t="s">
        <v>2955</v>
      </c>
      <c r="AR81" s="308">
        <v>3.456026208E9</v>
      </c>
      <c r="AS81" s="311"/>
      <c r="AT81" s="311"/>
      <c r="AU81" s="311"/>
      <c r="AV81" s="308" t="s">
        <v>2956</v>
      </c>
      <c r="AW81" s="308">
        <v>4.7573483651399E13</v>
      </c>
      <c r="AX81" s="310">
        <v>0.0</v>
      </c>
      <c r="AY81" s="308" t="s">
        <v>2974</v>
      </c>
      <c r="AZ81" s="308">
        <v>0.0</v>
      </c>
      <c r="BA81" s="311"/>
      <c r="BB81" s="311"/>
      <c r="BC81" s="311"/>
      <c r="BD81" s="308">
        <v>7.492602462535E12</v>
      </c>
      <c r="BE81" s="311"/>
      <c r="BF81" s="311"/>
      <c r="BG81" s="308" t="s">
        <v>2958</v>
      </c>
      <c r="BH81" s="308">
        <v>0.0</v>
      </c>
      <c r="BI81" s="308" t="s">
        <v>2959</v>
      </c>
      <c r="BJ81" s="308">
        <v>31.56</v>
      </c>
      <c r="BK81" s="311"/>
      <c r="BL81" s="311"/>
      <c r="BM81" s="311"/>
      <c r="BN81" s="311"/>
      <c r="BO81" s="311"/>
      <c r="BP81" s="311"/>
      <c r="BQ81" s="311"/>
      <c r="BR81" s="311"/>
      <c r="BS81" s="308"/>
      <c r="BT81" s="311"/>
      <c r="BU81" s="311"/>
      <c r="BV81" s="308" t="s">
        <v>3655</v>
      </c>
      <c r="BW81" s="308" t="s">
        <v>3655</v>
      </c>
      <c r="BX81" s="308" t="s">
        <v>2956</v>
      </c>
      <c r="BY81" s="311"/>
      <c r="BZ81" s="311"/>
      <c r="CA81" s="308" t="s">
        <v>2956</v>
      </c>
      <c r="CB81" s="312" t="str">
        <f t="shared" si="1"/>
        <v>28/03/2026</v>
      </c>
      <c r="CC81" s="313">
        <f t="shared" si="2"/>
        <v>2026</v>
      </c>
      <c r="CD81" s="314">
        <f t="shared" si="3"/>
        <v>3</v>
      </c>
      <c r="CE81" s="314">
        <f t="shared" si="4"/>
        <v>1</v>
      </c>
      <c r="CF81" s="314">
        <f t="shared" si="5"/>
        <v>1</v>
      </c>
      <c r="CG81" s="314">
        <f t="shared" si="6"/>
        <v>-5</v>
      </c>
      <c r="CH81" s="315">
        <f>VLOOKUP(CL81,'PRODUCT_COGS&amp;PRICE'!A:E,5,false)</f>
        <v>52.5</v>
      </c>
      <c r="CI81" s="306">
        <f t="shared" si="7"/>
        <v>-3.575</v>
      </c>
      <c r="CJ81" s="316">
        <f t="shared" si="8"/>
        <v>0</v>
      </c>
      <c r="CK81" s="316">
        <f t="shared" si="9"/>
        <v>0</v>
      </c>
      <c r="CL81" s="314" t="str">
        <f>VLOOKUP(R81,PRODUCT_MAP!A:B,2,FALSE)</f>
        <v>Valentina_Bag_CHOCOLATE</v>
      </c>
      <c r="CM81" s="314" t="str">
        <f>VLOOKUP(R81,PRODUCT_MAP!A:E,3,FALSE)</f>
        <v>Valentina Bag</v>
      </c>
    </row>
    <row r="82" ht="22.5" customHeight="1">
      <c r="A82" s="308" t="s">
        <v>3687</v>
      </c>
      <c r="B82" s="308" t="s">
        <v>3688</v>
      </c>
      <c r="C82" s="308" t="s">
        <v>2942</v>
      </c>
      <c r="D82" s="308" t="s">
        <v>3689</v>
      </c>
      <c r="E82" s="308" t="s">
        <v>3013</v>
      </c>
      <c r="F82" s="308"/>
      <c r="G82" s="308" t="s">
        <v>2946</v>
      </c>
      <c r="H82" s="308" t="s">
        <v>2947</v>
      </c>
      <c r="I82" s="308">
        <v>120.0</v>
      </c>
      <c r="J82" s="308">
        <v>0.0</v>
      </c>
      <c r="K82" s="308">
        <v>21.64</v>
      </c>
      <c r="L82" s="308">
        <v>120.0</v>
      </c>
      <c r="M82" s="308"/>
      <c r="N82" s="308">
        <v>0.0</v>
      </c>
      <c r="O82" s="308" t="s">
        <v>2948</v>
      </c>
      <c r="P82" s="308" t="s">
        <v>3690</v>
      </c>
      <c r="Q82" s="310">
        <v>1.0</v>
      </c>
      <c r="R82" s="308" t="s">
        <v>607</v>
      </c>
      <c r="S82" s="308">
        <v>120.0</v>
      </c>
      <c r="T82" s="311"/>
      <c r="U82" s="308" t="s">
        <v>207</v>
      </c>
      <c r="V82" s="308" t="b">
        <v>1</v>
      </c>
      <c r="W82" s="308" t="b">
        <v>1</v>
      </c>
      <c r="X82" s="308"/>
      <c r="Y82" s="308" t="s">
        <v>3691</v>
      </c>
      <c r="Z82" s="308" t="s">
        <v>3692</v>
      </c>
      <c r="AA82" s="308" t="s">
        <v>3692</v>
      </c>
      <c r="AB82" s="308"/>
      <c r="AC82" s="308"/>
      <c r="AD82" s="308" t="s">
        <v>3693</v>
      </c>
      <c r="AE82" s="308">
        <v>36034.0</v>
      </c>
      <c r="AF82" s="308" t="s">
        <v>3676</v>
      </c>
      <c r="AG82" s="308" t="s">
        <v>2955</v>
      </c>
      <c r="AH82" s="308"/>
      <c r="AI82" s="308" t="s">
        <v>3691</v>
      </c>
      <c r="AJ82" s="308" t="s">
        <v>3694</v>
      </c>
      <c r="AK82" s="308" t="s">
        <v>3694</v>
      </c>
      <c r="AL82" s="308"/>
      <c r="AM82" s="308"/>
      <c r="AN82" s="308" t="s">
        <v>23</v>
      </c>
      <c r="AO82" s="308">
        <v>20129.0</v>
      </c>
      <c r="AP82" s="308" t="s">
        <v>2954</v>
      </c>
      <c r="AQ82" s="308" t="s">
        <v>2955</v>
      </c>
      <c r="AR82" s="308">
        <v>3.287772597E9</v>
      </c>
      <c r="AS82" s="311"/>
      <c r="AT82" s="311"/>
      <c r="AU82" s="311"/>
      <c r="AV82" s="308" t="s">
        <v>2956</v>
      </c>
      <c r="AW82" s="308">
        <v>4.7578452263239E13</v>
      </c>
      <c r="AX82" s="310">
        <v>0.0</v>
      </c>
      <c r="AY82" s="308" t="s">
        <v>2974</v>
      </c>
      <c r="AZ82" s="308">
        <v>0.0</v>
      </c>
      <c r="BA82" s="311"/>
      <c r="BB82" s="311"/>
      <c r="BC82" s="311"/>
      <c r="BD82" s="308">
        <v>7.494479151431E12</v>
      </c>
      <c r="BE82" s="311"/>
      <c r="BF82" s="311"/>
      <c r="BG82" s="308" t="s">
        <v>2958</v>
      </c>
      <c r="BH82" s="308">
        <v>0.0</v>
      </c>
      <c r="BI82" s="308" t="s">
        <v>2959</v>
      </c>
      <c r="BJ82" s="308">
        <v>21.64</v>
      </c>
      <c r="BK82" s="311"/>
      <c r="BL82" s="311"/>
      <c r="BM82" s="311"/>
      <c r="BN82" s="311"/>
      <c r="BO82" s="311"/>
      <c r="BP82" s="311"/>
      <c r="BQ82" s="311"/>
      <c r="BR82" s="311"/>
      <c r="BS82" s="308"/>
      <c r="BT82" s="311"/>
      <c r="BU82" s="311"/>
      <c r="BV82" s="308" t="s">
        <v>3678</v>
      </c>
      <c r="BW82" s="308" t="s">
        <v>23</v>
      </c>
      <c r="BX82" s="308" t="s">
        <v>2956</v>
      </c>
      <c r="BY82" s="311"/>
      <c r="BZ82" s="311"/>
      <c r="CA82" s="308" t="s">
        <v>2956</v>
      </c>
      <c r="CB82" s="312" t="str">
        <f t="shared" si="1"/>
        <v>29/03/2026</v>
      </c>
      <c r="CC82" s="313">
        <f t="shared" si="2"/>
        <v>2026</v>
      </c>
      <c r="CD82" s="314">
        <f t="shared" si="3"/>
        <v>3</v>
      </c>
      <c r="CE82" s="314">
        <f t="shared" si="4"/>
        <v>1</v>
      </c>
      <c r="CF82" s="314">
        <f t="shared" si="5"/>
        <v>1</v>
      </c>
      <c r="CG82" s="314">
        <f t="shared" si="6"/>
        <v>-5</v>
      </c>
      <c r="CH82" s="315">
        <f>VLOOKUP(CL82,'PRODUCT_COGS&amp;PRICE'!A:E,5,false)</f>
        <v>26</v>
      </c>
      <c r="CI82" s="306">
        <f t="shared" si="7"/>
        <v>-2.53</v>
      </c>
      <c r="CJ82" s="316">
        <f t="shared" si="8"/>
        <v>0</v>
      </c>
      <c r="CK82" s="316">
        <f t="shared" si="9"/>
        <v>0</v>
      </c>
      <c r="CL82" s="314" t="str">
        <f>VLOOKUP(R82,PRODUCT_MAP!A:B,2,FALSE)</f>
        <v>Maria_Bag_RED_PIERCING</v>
      </c>
      <c r="CM82" s="314" t="str">
        <f>VLOOKUP(R82,PRODUCT_MAP!A:E,3,FALSE)</f>
        <v>Maria Bag</v>
      </c>
    </row>
    <row r="83" ht="22.5" customHeight="1">
      <c r="A83" s="308" t="s">
        <v>3695</v>
      </c>
      <c r="B83" s="308" t="s">
        <v>3696</v>
      </c>
      <c r="C83" s="308" t="s">
        <v>2942</v>
      </c>
      <c r="D83" s="308" t="s">
        <v>3697</v>
      </c>
      <c r="E83" s="308" t="s">
        <v>3013</v>
      </c>
      <c r="F83" s="308"/>
      <c r="G83" s="308" t="s">
        <v>2946</v>
      </c>
      <c r="H83" s="308" t="s">
        <v>2947</v>
      </c>
      <c r="I83" s="308">
        <v>120.0</v>
      </c>
      <c r="J83" s="308">
        <v>0.0</v>
      </c>
      <c r="K83" s="308">
        <v>21.64</v>
      </c>
      <c r="L83" s="308">
        <v>120.0</v>
      </c>
      <c r="M83" s="308"/>
      <c r="N83" s="308">
        <v>0.0</v>
      </c>
      <c r="O83" s="308" t="s">
        <v>2948</v>
      </c>
      <c r="P83" s="308" t="s">
        <v>3698</v>
      </c>
      <c r="Q83" s="310">
        <v>1.0</v>
      </c>
      <c r="R83" s="308" t="s">
        <v>569</v>
      </c>
      <c r="S83" s="308">
        <v>120.0</v>
      </c>
      <c r="T83" s="311"/>
      <c r="U83" s="308" t="s">
        <v>3375</v>
      </c>
      <c r="V83" s="308" t="b">
        <v>1</v>
      </c>
      <c r="W83" s="308" t="b">
        <v>1</v>
      </c>
      <c r="X83" s="308"/>
      <c r="Y83" s="308" t="s">
        <v>3699</v>
      </c>
      <c r="Z83" s="308" t="s">
        <v>3700</v>
      </c>
      <c r="AA83" s="308" t="s">
        <v>3701</v>
      </c>
      <c r="AB83" s="308" t="s">
        <v>3702</v>
      </c>
      <c r="AC83" s="308"/>
      <c r="AD83" s="308" t="s">
        <v>3702</v>
      </c>
      <c r="AE83" s="308">
        <v>28041.0</v>
      </c>
      <c r="AF83" s="308" t="s">
        <v>1628</v>
      </c>
      <c r="AG83" s="308" t="s">
        <v>2955</v>
      </c>
      <c r="AH83" s="308">
        <v>3.478456974E9</v>
      </c>
      <c r="AI83" s="308" t="s">
        <v>3699</v>
      </c>
      <c r="AJ83" s="308" t="s">
        <v>3700</v>
      </c>
      <c r="AK83" s="308" t="s">
        <v>3701</v>
      </c>
      <c r="AL83" s="308" t="s">
        <v>3702</v>
      </c>
      <c r="AM83" s="308"/>
      <c r="AN83" s="308" t="s">
        <v>3702</v>
      </c>
      <c r="AO83" s="308">
        <v>28041.0</v>
      </c>
      <c r="AP83" s="308" t="s">
        <v>1628</v>
      </c>
      <c r="AQ83" s="308" t="s">
        <v>2955</v>
      </c>
      <c r="AR83" s="308">
        <v>3.478456974E9</v>
      </c>
      <c r="AS83" s="311"/>
      <c r="AT83" s="311"/>
      <c r="AU83" s="311"/>
      <c r="AV83" s="308" t="s">
        <v>3009</v>
      </c>
      <c r="AW83" s="308">
        <v>4.7578872185159E13</v>
      </c>
      <c r="AX83" s="310">
        <v>0.0</v>
      </c>
      <c r="AY83" s="308" t="s">
        <v>2974</v>
      </c>
      <c r="AZ83" s="308">
        <v>0.0</v>
      </c>
      <c r="BA83" s="311"/>
      <c r="BB83" s="311"/>
      <c r="BC83" s="311"/>
      <c r="BD83" s="308">
        <v>7.494646956359E12</v>
      </c>
      <c r="BE83" s="311"/>
      <c r="BF83" s="311"/>
      <c r="BG83" s="308" t="s">
        <v>2958</v>
      </c>
      <c r="BH83" s="308">
        <v>0.0</v>
      </c>
      <c r="BI83" s="308" t="s">
        <v>2959</v>
      </c>
      <c r="BJ83" s="308">
        <v>21.64</v>
      </c>
      <c r="BK83" s="311"/>
      <c r="BL83" s="311"/>
      <c r="BM83" s="311"/>
      <c r="BN83" s="311"/>
      <c r="BO83" s="311"/>
      <c r="BP83" s="311"/>
      <c r="BQ83" s="311"/>
      <c r="BR83" s="311"/>
      <c r="BS83" s="308"/>
      <c r="BT83" s="311"/>
      <c r="BU83" s="311"/>
      <c r="BV83" s="308" t="s">
        <v>3151</v>
      </c>
      <c r="BW83" s="308" t="s">
        <v>3151</v>
      </c>
      <c r="BX83" s="308" t="s">
        <v>3009</v>
      </c>
      <c r="BY83" s="311"/>
      <c r="BZ83" s="311"/>
      <c r="CA83" s="308" t="s">
        <v>3009</v>
      </c>
      <c r="CB83" s="312" t="str">
        <f t="shared" si="1"/>
        <v>29/03/2026</v>
      </c>
      <c r="CC83" s="313">
        <f t="shared" si="2"/>
        <v>2026</v>
      </c>
      <c r="CD83" s="314">
        <f t="shared" si="3"/>
        <v>3</v>
      </c>
      <c r="CE83" s="314">
        <f t="shared" si="4"/>
        <v>1</v>
      </c>
      <c r="CF83" s="314">
        <f t="shared" si="5"/>
        <v>1</v>
      </c>
      <c r="CG83" s="314">
        <f t="shared" si="6"/>
        <v>-5</v>
      </c>
      <c r="CH83" s="315">
        <f>VLOOKUP(CL83,'PRODUCT_COGS&amp;PRICE'!A:E,5,false)</f>
        <v>20</v>
      </c>
      <c r="CI83" s="306">
        <f t="shared" si="7"/>
        <v>-4.538</v>
      </c>
      <c r="CJ83" s="316">
        <f t="shared" si="8"/>
        <v>0</v>
      </c>
      <c r="CK83" s="316">
        <f t="shared" si="9"/>
        <v>0</v>
      </c>
      <c r="CL83" s="314" t="str">
        <f>VLOOKUP(R83,PRODUCT_MAP!A:B,2,FALSE)</f>
        <v>Lea_Bag_RED_PATENT</v>
      </c>
      <c r="CM83" s="314" t="str">
        <f>VLOOKUP(R83,PRODUCT_MAP!A:E,3,FALSE)</f>
        <v>Lea Bag</v>
      </c>
    </row>
    <row r="84" ht="22.5" customHeight="1">
      <c r="A84" s="308" t="s">
        <v>3703</v>
      </c>
      <c r="B84" s="308" t="s">
        <v>3704</v>
      </c>
      <c r="C84" s="308" t="s">
        <v>2942</v>
      </c>
      <c r="D84" s="308" t="s">
        <v>3705</v>
      </c>
      <c r="E84" s="308" t="s">
        <v>3013</v>
      </c>
      <c r="F84" s="308"/>
      <c r="G84" s="308" t="s">
        <v>2946</v>
      </c>
      <c r="H84" s="308" t="s">
        <v>2947</v>
      </c>
      <c r="I84" s="308">
        <v>90.0</v>
      </c>
      <c r="J84" s="308">
        <v>3.9</v>
      </c>
      <c r="K84" s="308">
        <v>16.93</v>
      </c>
      <c r="L84" s="308">
        <v>93.9</v>
      </c>
      <c r="M84" s="308"/>
      <c r="N84" s="308">
        <v>0.0</v>
      </c>
      <c r="O84" s="308" t="s">
        <v>2948</v>
      </c>
      <c r="P84" s="308" t="s">
        <v>3706</v>
      </c>
      <c r="Q84" s="310">
        <v>1.0</v>
      </c>
      <c r="R84" s="308" t="s">
        <v>3707</v>
      </c>
      <c r="S84" s="308">
        <v>90.0</v>
      </c>
      <c r="T84" s="311"/>
      <c r="U84" s="308"/>
      <c r="V84" s="308" t="b">
        <v>1</v>
      </c>
      <c r="W84" s="308" t="b">
        <v>1</v>
      </c>
      <c r="X84" s="308"/>
      <c r="Y84" s="308" t="s">
        <v>3708</v>
      </c>
      <c r="Z84" s="308" t="s">
        <v>3709</v>
      </c>
      <c r="AA84" s="308" t="s">
        <v>3709</v>
      </c>
      <c r="AB84" s="308"/>
      <c r="AC84" s="308" t="s">
        <v>3710</v>
      </c>
      <c r="AD84" s="308" t="s">
        <v>23</v>
      </c>
      <c r="AE84" s="308">
        <v>20122.0</v>
      </c>
      <c r="AF84" s="308" t="s">
        <v>2954</v>
      </c>
      <c r="AG84" s="308" t="s">
        <v>2955</v>
      </c>
      <c r="AH84" s="308">
        <v>3.20627351E9</v>
      </c>
      <c r="AI84" s="308" t="s">
        <v>3708</v>
      </c>
      <c r="AJ84" s="308" t="s">
        <v>3709</v>
      </c>
      <c r="AK84" s="308" t="s">
        <v>3709</v>
      </c>
      <c r="AL84" s="308"/>
      <c r="AM84" s="308" t="s">
        <v>3710</v>
      </c>
      <c r="AN84" s="308" t="s">
        <v>23</v>
      </c>
      <c r="AO84" s="308">
        <v>20122.0</v>
      </c>
      <c r="AP84" s="308" t="s">
        <v>2954</v>
      </c>
      <c r="AQ84" s="308" t="s">
        <v>2955</v>
      </c>
      <c r="AR84" s="308">
        <v>3.20627351E9</v>
      </c>
      <c r="AS84" s="311"/>
      <c r="AT84" s="311"/>
      <c r="AU84" s="311"/>
      <c r="AV84" s="308" t="s">
        <v>2956</v>
      </c>
      <c r="AW84" s="308">
        <v>4.7583046533447E13</v>
      </c>
      <c r="AX84" s="310">
        <v>0.0</v>
      </c>
      <c r="AY84" s="308"/>
      <c r="AZ84" s="308">
        <v>0.0</v>
      </c>
      <c r="BA84" s="311"/>
      <c r="BB84" s="311"/>
      <c r="BC84" s="311"/>
      <c r="BD84" s="308">
        <v>7.496181121351E12</v>
      </c>
      <c r="BE84" s="311"/>
      <c r="BF84" s="311"/>
      <c r="BG84" s="308" t="s">
        <v>3640</v>
      </c>
      <c r="BH84" s="308">
        <v>0.0</v>
      </c>
      <c r="BI84" s="308" t="s">
        <v>2959</v>
      </c>
      <c r="BJ84" s="308">
        <v>16.23</v>
      </c>
      <c r="BK84" s="311"/>
      <c r="BL84" s="311"/>
      <c r="BM84" s="311"/>
      <c r="BN84" s="311"/>
      <c r="BO84" s="311"/>
      <c r="BP84" s="311"/>
      <c r="BQ84" s="311"/>
      <c r="BR84" s="311"/>
      <c r="BS84" s="308"/>
      <c r="BT84" s="311"/>
      <c r="BU84" s="311"/>
      <c r="BV84" s="308" t="s">
        <v>23</v>
      </c>
      <c r="BW84" s="308" t="s">
        <v>23</v>
      </c>
      <c r="BX84" s="308" t="s">
        <v>2956</v>
      </c>
      <c r="BY84" s="311"/>
      <c r="BZ84" s="311"/>
      <c r="CA84" s="308" t="s">
        <v>2956</v>
      </c>
      <c r="CB84" s="312" t="str">
        <f t="shared" si="1"/>
        <v>30/03/2026</v>
      </c>
      <c r="CC84" s="313">
        <f t="shared" si="2"/>
        <v>2026</v>
      </c>
      <c r="CD84" s="314">
        <f t="shared" si="3"/>
        <v>3</v>
      </c>
      <c r="CE84" s="314">
        <f t="shared" si="4"/>
        <v>1</v>
      </c>
      <c r="CF84" s="314">
        <f t="shared" si="5"/>
        <v>1</v>
      </c>
      <c r="CG84" s="314">
        <f t="shared" si="6"/>
        <v>0</v>
      </c>
      <c r="CH84" s="315">
        <f>VLOOKUP(CL84,'PRODUCT_COGS&amp;PRICE'!A:E,5,false)</f>
        <v>16.5</v>
      </c>
      <c r="CI84" s="306">
        <f t="shared" si="7"/>
        <v>-2.0341</v>
      </c>
      <c r="CJ84" s="316">
        <f t="shared" si="8"/>
        <v>0</v>
      </c>
      <c r="CK84" s="316">
        <f t="shared" si="9"/>
        <v>0</v>
      </c>
      <c r="CL84" s="314" t="str">
        <f>VLOOKUP(R84,PRODUCT_MAP!A:B,2,FALSE)</f>
        <v>Annie_Bag_PAILLETTES_GREY</v>
      </c>
      <c r="CM84" s="314" t="str">
        <f>VLOOKUP(R84,PRODUCT_MAP!A:E,3,FALSE)</f>
        <v>Annie Bag paillettes</v>
      </c>
    </row>
    <row r="85" ht="22.5" customHeight="1">
      <c r="A85" s="308" t="s">
        <v>3711</v>
      </c>
      <c r="B85" s="308" t="s">
        <v>3712</v>
      </c>
      <c r="C85" s="308" t="s">
        <v>2942</v>
      </c>
      <c r="D85" s="308" t="s">
        <v>3713</v>
      </c>
      <c r="E85" s="308" t="s">
        <v>3013</v>
      </c>
      <c r="F85" s="308"/>
      <c r="G85" s="308" t="s">
        <v>2965</v>
      </c>
      <c r="H85" s="308" t="s">
        <v>2947</v>
      </c>
      <c r="I85" s="308">
        <v>150.0</v>
      </c>
      <c r="J85" s="308">
        <v>0.0</v>
      </c>
      <c r="K85" s="308">
        <v>27.05</v>
      </c>
      <c r="L85" s="308">
        <v>150.0</v>
      </c>
      <c r="M85" s="308"/>
      <c r="N85" s="308">
        <v>0.0</v>
      </c>
      <c r="O85" s="308" t="s">
        <v>2948</v>
      </c>
      <c r="P85" s="308" t="s">
        <v>3714</v>
      </c>
      <c r="Q85" s="310">
        <v>1.0</v>
      </c>
      <c r="R85" s="308" t="s">
        <v>3106</v>
      </c>
      <c r="S85" s="308">
        <v>150.0</v>
      </c>
      <c r="T85" s="311"/>
      <c r="U85" s="308" t="s">
        <v>3249</v>
      </c>
      <c r="V85" s="308" t="b">
        <v>1</v>
      </c>
      <c r="W85" s="308" t="b">
        <v>1</v>
      </c>
      <c r="X85" s="308"/>
      <c r="Y85" s="308" t="s">
        <v>3715</v>
      </c>
      <c r="Z85" s="308" t="s">
        <v>3716</v>
      </c>
      <c r="AA85" s="308" t="s">
        <v>3717</v>
      </c>
      <c r="AB85" s="308" t="s">
        <v>3718</v>
      </c>
      <c r="AC85" s="308" t="s">
        <v>3719</v>
      </c>
      <c r="AD85" s="308" t="s">
        <v>3720</v>
      </c>
      <c r="AE85" s="308">
        <v>31050.0</v>
      </c>
      <c r="AF85" s="308" t="s">
        <v>2995</v>
      </c>
      <c r="AG85" s="308" t="s">
        <v>2955</v>
      </c>
      <c r="AH85" s="308">
        <v>3.407144208E9</v>
      </c>
      <c r="AI85" s="308" t="s">
        <v>3715</v>
      </c>
      <c r="AJ85" s="308" t="s">
        <v>3716</v>
      </c>
      <c r="AK85" s="308" t="s">
        <v>3717</v>
      </c>
      <c r="AL85" s="308" t="s">
        <v>3718</v>
      </c>
      <c r="AM85" s="308" t="s">
        <v>3719</v>
      </c>
      <c r="AN85" s="308" t="s">
        <v>3720</v>
      </c>
      <c r="AO85" s="308">
        <v>31050.0</v>
      </c>
      <c r="AP85" s="308" t="s">
        <v>2995</v>
      </c>
      <c r="AQ85" s="308" t="s">
        <v>2955</v>
      </c>
      <c r="AR85" s="308">
        <v>3.407144208E9</v>
      </c>
      <c r="AS85" s="311"/>
      <c r="AT85" s="311"/>
      <c r="AU85" s="311"/>
      <c r="AV85" s="308" t="s">
        <v>3009</v>
      </c>
      <c r="AW85" s="308">
        <v>4.7583810060615E13</v>
      </c>
      <c r="AX85" s="310">
        <v>0.0</v>
      </c>
      <c r="AY85" s="308" t="s">
        <v>2974</v>
      </c>
      <c r="AZ85" s="308">
        <v>0.0</v>
      </c>
      <c r="BA85" s="311"/>
      <c r="BB85" s="311"/>
      <c r="BC85" s="311"/>
      <c r="BD85" s="308">
        <v>7.496589869383E12</v>
      </c>
      <c r="BE85" s="311"/>
      <c r="BF85" s="311"/>
      <c r="BG85" s="308" t="s">
        <v>2958</v>
      </c>
      <c r="BH85" s="308">
        <v>0.0</v>
      </c>
      <c r="BI85" s="308" t="s">
        <v>2959</v>
      </c>
      <c r="BJ85" s="308">
        <v>27.05</v>
      </c>
      <c r="BK85" s="311"/>
      <c r="BL85" s="311"/>
      <c r="BM85" s="311"/>
      <c r="BN85" s="311"/>
      <c r="BO85" s="311"/>
      <c r="BP85" s="311"/>
      <c r="BQ85" s="311"/>
      <c r="BR85" s="311"/>
      <c r="BS85" s="308"/>
      <c r="BT85" s="311"/>
      <c r="BU85" s="311"/>
      <c r="BV85" s="308" t="s">
        <v>2994</v>
      </c>
      <c r="BW85" s="308" t="s">
        <v>2994</v>
      </c>
      <c r="BX85" s="308" t="s">
        <v>3009</v>
      </c>
      <c r="BY85" s="311"/>
      <c r="BZ85" s="311"/>
      <c r="CA85" s="308" t="s">
        <v>3009</v>
      </c>
      <c r="CB85" s="312" t="str">
        <f t="shared" si="1"/>
        <v>30/03/2026</v>
      </c>
      <c r="CC85" s="313">
        <f t="shared" si="2"/>
        <v>2026</v>
      </c>
      <c r="CD85" s="314">
        <f t="shared" si="3"/>
        <v>3</v>
      </c>
      <c r="CE85" s="314">
        <f t="shared" si="4"/>
        <v>1</v>
      </c>
      <c r="CF85" s="314">
        <f t="shared" si="5"/>
        <v>1</v>
      </c>
      <c r="CG85" s="314">
        <f t="shared" si="6"/>
        <v>-5</v>
      </c>
      <c r="CH85" s="315">
        <f>VLOOKUP(CL85,'PRODUCT_COGS&amp;PRICE'!A:E,5,false)</f>
        <v>30.33</v>
      </c>
      <c r="CI85" s="306">
        <f t="shared" si="7"/>
        <v>-5.585</v>
      </c>
      <c r="CJ85" s="316">
        <f t="shared" si="8"/>
        <v>0</v>
      </c>
      <c r="CK85" s="316">
        <f t="shared" si="9"/>
        <v>0</v>
      </c>
      <c r="CL85" s="314" t="str">
        <f>VLOOKUP(R85,PRODUCT_MAP!A:B,2,FALSE)</f>
        <v>Lea_Bag_LEOPARDO_SAVANA</v>
      </c>
      <c r="CM85" s="314" t="str">
        <f>VLOOKUP(R85,PRODUCT_MAP!A:E,3,FALSE)</f>
        <v>Lea Bag</v>
      </c>
    </row>
    <row r="86" ht="22.5" customHeight="1">
      <c r="A86" s="308" t="s">
        <v>3721</v>
      </c>
      <c r="B86" s="308" t="s">
        <v>3722</v>
      </c>
      <c r="C86" s="308" t="s">
        <v>2942</v>
      </c>
      <c r="D86" s="308" t="s">
        <v>3723</v>
      </c>
      <c r="E86" s="308" t="s">
        <v>3013</v>
      </c>
      <c r="F86" s="308"/>
      <c r="G86" s="308" t="s">
        <v>2965</v>
      </c>
      <c r="H86" s="308" t="s">
        <v>2947</v>
      </c>
      <c r="I86" s="308">
        <v>150.0</v>
      </c>
      <c r="J86" s="308">
        <v>0.0</v>
      </c>
      <c r="K86" s="308">
        <v>27.05</v>
      </c>
      <c r="L86" s="308">
        <v>150.0</v>
      </c>
      <c r="M86" s="308"/>
      <c r="N86" s="308">
        <v>0.0</v>
      </c>
      <c r="O86" s="308" t="s">
        <v>2979</v>
      </c>
      <c r="P86" s="308" t="s">
        <v>3724</v>
      </c>
      <c r="Q86" s="310">
        <v>1.0</v>
      </c>
      <c r="R86" s="308" t="s">
        <v>3106</v>
      </c>
      <c r="S86" s="308">
        <v>150.0</v>
      </c>
      <c r="T86" s="311"/>
      <c r="U86" s="308" t="s">
        <v>3249</v>
      </c>
      <c r="V86" s="308" t="b">
        <v>1</v>
      </c>
      <c r="W86" s="308" t="b">
        <v>1</v>
      </c>
      <c r="X86" s="308"/>
      <c r="Y86" s="308" t="s">
        <v>3725</v>
      </c>
      <c r="Z86" s="308" t="s">
        <v>3726</v>
      </c>
      <c r="AA86" s="308" t="s">
        <v>3726</v>
      </c>
      <c r="AB86" s="308"/>
      <c r="AC86" s="308"/>
      <c r="AD86" s="308" t="s">
        <v>3727</v>
      </c>
      <c r="AE86" s="308">
        <v>20087.0</v>
      </c>
      <c r="AF86" s="308" t="s">
        <v>2954</v>
      </c>
      <c r="AG86" s="308" t="s">
        <v>2955</v>
      </c>
      <c r="AH86" s="308">
        <v>3.483203363E9</v>
      </c>
      <c r="AI86" s="308"/>
      <c r="AJ86" s="308"/>
      <c r="AK86" s="308"/>
      <c r="AL86" s="308"/>
      <c r="AM86" s="308"/>
      <c r="AN86" s="308"/>
      <c r="AO86" s="308"/>
      <c r="AP86" s="308"/>
      <c r="AQ86" s="308"/>
      <c r="AR86" s="308"/>
      <c r="AS86" s="311"/>
      <c r="AT86" s="311"/>
      <c r="AU86" s="311"/>
      <c r="AV86" s="308" t="s">
        <v>2956</v>
      </c>
      <c r="AW86" s="308">
        <v>4.7583891095879E13</v>
      </c>
      <c r="AX86" s="310">
        <v>0.0</v>
      </c>
      <c r="AY86" s="308" t="s">
        <v>2974</v>
      </c>
      <c r="AZ86" s="308">
        <v>0.0</v>
      </c>
      <c r="BA86" s="311"/>
      <c r="BB86" s="311"/>
      <c r="BC86" s="311"/>
      <c r="BD86" s="308">
        <v>7.496639381831E12</v>
      </c>
      <c r="BE86" s="311"/>
      <c r="BF86" s="311"/>
      <c r="BG86" s="308" t="s">
        <v>2958</v>
      </c>
      <c r="BH86" s="308">
        <v>0.0</v>
      </c>
      <c r="BI86" s="308" t="s">
        <v>2959</v>
      </c>
      <c r="BJ86" s="308">
        <v>27.05</v>
      </c>
      <c r="BK86" s="311"/>
      <c r="BL86" s="311"/>
      <c r="BM86" s="311"/>
      <c r="BN86" s="311"/>
      <c r="BO86" s="311"/>
      <c r="BP86" s="311"/>
      <c r="BQ86" s="311"/>
      <c r="BR86" s="311"/>
      <c r="BS86" s="308"/>
      <c r="BT86" s="311"/>
      <c r="BU86" s="311"/>
      <c r="BV86" s="308" t="s">
        <v>23</v>
      </c>
      <c r="BW86" s="308"/>
      <c r="BX86" s="308" t="s">
        <v>2956</v>
      </c>
      <c r="BY86" s="311"/>
      <c r="BZ86" s="311"/>
      <c r="CA86" s="308" t="s">
        <v>2956</v>
      </c>
      <c r="CB86" s="312" t="str">
        <f t="shared" si="1"/>
        <v>30/03/2026</v>
      </c>
      <c r="CC86" s="313">
        <f t="shared" si="2"/>
        <v>2026</v>
      </c>
      <c r="CD86" s="314">
        <f t="shared" si="3"/>
        <v>3</v>
      </c>
      <c r="CE86" s="314">
        <f t="shared" si="4"/>
        <v>1</v>
      </c>
      <c r="CF86" s="314">
        <f t="shared" si="5"/>
        <v>1</v>
      </c>
      <c r="CG86" s="314">
        <f t="shared" si="6"/>
        <v>-5</v>
      </c>
      <c r="CH86" s="315">
        <f>VLOOKUP(CL86,'PRODUCT_COGS&amp;PRICE'!A:E,5,false)</f>
        <v>30.33</v>
      </c>
      <c r="CI86" s="306">
        <f t="shared" si="7"/>
        <v>-3.1</v>
      </c>
      <c r="CJ86" s="316">
        <f t="shared" si="8"/>
        <v>0</v>
      </c>
      <c r="CK86" s="316">
        <f t="shared" si="9"/>
        <v>0</v>
      </c>
      <c r="CL86" s="314" t="str">
        <f>VLOOKUP(R86,PRODUCT_MAP!A:B,2,FALSE)</f>
        <v>Lea_Bag_LEOPARDO_SAVANA</v>
      </c>
      <c r="CM86" s="314" t="str">
        <f>VLOOKUP(R86,PRODUCT_MAP!A:E,3,FALSE)</f>
        <v>Lea Bag</v>
      </c>
    </row>
    <row r="87" ht="22.5" customHeight="1">
      <c r="A87" s="308" t="s">
        <v>3728</v>
      </c>
      <c r="B87" s="308"/>
      <c r="C87" s="308" t="s">
        <v>2942</v>
      </c>
      <c r="D87" s="308" t="s">
        <v>3729</v>
      </c>
      <c r="E87" s="308" t="s">
        <v>3013</v>
      </c>
      <c r="F87" s="308"/>
      <c r="G87" s="308" t="s">
        <v>2965</v>
      </c>
      <c r="H87" s="308" t="s">
        <v>2947</v>
      </c>
      <c r="I87" s="308">
        <v>50.0</v>
      </c>
      <c r="J87" s="308">
        <v>0.0</v>
      </c>
      <c r="K87" s="308">
        <v>9.02</v>
      </c>
      <c r="L87" s="308">
        <v>50.0</v>
      </c>
      <c r="M87" s="308"/>
      <c r="N87" s="308">
        <v>0.0</v>
      </c>
      <c r="O87" s="308" t="s">
        <v>2979</v>
      </c>
      <c r="P87" s="308" t="s">
        <v>3730</v>
      </c>
      <c r="Q87" s="310">
        <v>1.0</v>
      </c>
      <c r="R87" s="308" t="s">
        <v>717</v>
      </c>
      <c r="S87" s="308">
        <v>50.0</v>
      </c>
      <c r="T87" s="311"/>
      <c r="U87" s="308" t="s">
        <v>215</v>
      </c>
      <c r="V87" s="308" t="b">
        <v>1</v>
      </c>
      <c r="W87" s="308" t="b">
        <v>1</v>
      </c>
      <c r="X87" s="308"/>
      <c r="Y87" s="308" t="s">
        <v>3731</v>
      </c>
      <c r="Z87" s="308" t="s">
        <v>3732</v>
      </c>
      <c r="AA87" s="308" t="s">
        <v>3732</v>
      </c>
      <c r="AB87" s="308"/>
      <c r="AC87" s="308"/>
      <c r="AD87" s="308" t="s">
        <v>3237</v>
      </c>
      <c r="AE87" s="308">
        <v>16122.0</v>
      </c>
      <c r="AF87" s="308" t="s">
        <v>3238</v>
      </c>
      <c r="AG87" s="308" t="s">
        <v>2955</v>
      </c>
      <c r="AH87" s="308"/>
      <c r="AI87" s="308"/>
      <c r="AJ87" s="308"/>
      <c r="AK87" s="308"/>
      <c r="AL87" s="308"/>
      <c r="AM87" s="308"/>
      <c r="AN87" s="308"/>
      <c r="AO87" s="308"/>
      <c r="AP87" s="308"/>
      <c r="AQ87" s="308"/>
      <c r="AR87" s="308"/>
      <c r="AS87" s="311"/>
      <c r="AT87" s="311"/>
      <c r="AU87" s="311"/>
      <c r="AV87" s="308" t="s">
        <v>2956</v>
      </c>
      <c r="AW87" s="308">
        <v>4.7585130479943E13</v>
      </c>
      <c r="AX87" s="310">
        <v>0.0</v>
      </c>
      <c r="AY87" s="308" t="s">
        <v>2974</v>
      </c>
      <c r="AZ87" s="308">
        <v>0.0</v>
      </c>
      <c r="BA87" s="311"/>
      <c r="BB87" s="311"/>
      <c r="BC87" s="311"/>
      <c r="BD87" s="308">
        <v>7.497493610823E12</v>
      </c>
      <c r="BE87" s="311"/>
      <c r="BF87" s="311"/>
      <c r="BG87" s="308" t="s">
        <v>2958</v>
      </c>
      <c r="BH87" s="308">
        <v>0.0</v>
      </c>
      <c r="BI87" s="308" t="s">
        <v>2959</v>
      </c>
      <c r="BJ87" s="308">
        <v>9.02</v>
      </c>
      <c r="BK87" s="311"/>
      <c r="BL87" s="311"/>
      <c r="BM87" s="311"/>
      <c r="BN87" s="311"/>
      <c r="BO87" s="311"/>
      <c r="BP87" s="311"/>
      <c r="BQ87" s="311"/>
      <c r="BR87" s="311"/>
      <c r="BS87" s="318" t="s">
        <v>3733</v>
      </c>
      <c r="BT87" s="311"/>
      <c r="BU87" s="311"/>
      <c r="BV87" s="308" t="s">
        <v>3237</v>
      </c>
      <c r="BW87" s="308"/>
      <c r="BX87" s="308" t="s">
        <v>2956</v>
      </c>
      <c r="BY87" s="311"/>
      <c r="BZ87" s="311"/>
      <c r="CA87" s="308" t="s">
        <v>2956</v>
      </c>
      <c r="CB87" s="312" t="str">
        <f t="shared" si="1"/>
        <v>30/03/2026</v>
      </c>
      <c r="CC87" s="313">
        <f t="shared" si="2"/>
        <v>2026</v>
      </c>
      <c r="CD87" s="314">
        <f t="shared" si="3"/>
        <v>3</v>
      </c>
      <c r="CE87" s="314">
        <f t="shared" si="4"/>
        <v>1</v>
      </c>
      <c r="CF87" s="314">
        <f t="shared" si="5"/>
        <v>1</v>
      </c>
      <c r="CG87" s="314">
        <f t="shared" si="6"/>
        <v>-5</v>
      </c>
      <c r="CH87" s="315">
        <f>VLOOKUP(CL87,'PRODUCT_COGS&amp;PRICE'!A:E,5,false)</f>
        <v>4</v>
      </c>
      <c r="CI87" s="306">
        <f t="shared" si="7"/>
        <v>-1.2</v>
      </c>
      <c r="CJ87" s="316">
        <f t="shared" si="8"/>
        <v>0</v>
      </c>
      <c r="CK87" s="316">
        <f t="shared" si="9"/>
        <v>0</v>
      </c>
      <c r="CL87" s="314" t="str">
        <f>VLOOKUP(R87,PRODUCT_MAP!A:B,2,FALSE)</f>
        <v>Nina_Bag_PEACH</v>
      </c>
      <c r="CM87" s="314" t="str">
        <f>VLOOKUP(R87,PRODUCT_MAP!A:E,3,FALSE)</f>
        <v>Nina Bag</v>
      </c>
    </row>
    <row r="88" ht="22.5" customHeight="1">
      <c r="A88" s="308" t="s">
        <v>3734</v>
      </c>
      <c r="B88" s="308" t="s">
        <v>3735</v>
      </c>
      <c r="C88" s="308" t="s">
        <v>2942</v>
      </c>
      <c r="D88" s="308" t="s">
        <v>3736</v>
      </c>
      <c r="E88" s="308" t="s">
        <v>3013</v>
      </c>
      <c r="F88" s="308"/>
      <c r="G88" s="308" t="s">
        <v>2946</v>
      </c>
      <c r="H88" s="308" t="s">
        <v>2947</v>
      </c>
      <c r="I88" s="308">
        <v>135.0</v>
      </c>
      <c r="J88" s="308">
        <v>0.0</v>
      </c>
      <c r="K88" s="308">
        <v>24.34</v>
      </c>
      <c r="L88" s="308">
        <v>135.0</v>
      </c>
      <c r="M88" s="308" t="s">
        <v>3094</v>
      </c>
      <c r="N88" s="308">
        <v>15.0</v>
      </c>
      <c r="O88" s="308" t="s">
        <v>2948</v>
      </c>
      <c r="P88" s="308" t="s">
        <v>3737</v>
      </c>
      <c r="Q88" s="310">
        <v>1.0</v>
      </c>
      <c r="R88" s="308" t="s">
        <v>3738</v>
      </c>
      <c r="S88" s="308">
        <v>150.0</v>
      </c>
      <c r="T88" s="311"/>
      <c r="U88" s="308" t="s">
        <v>3739</v>
      </c>
      <c r="V88" s="308" t="b">
        <v>1</v>
      </c>
      <c r="W88" s="308" t="b">
        <v>1</v>
      </c>
      <c r="X88" s="308"/>
      <c r="Y88" s="308" t="s">
        <v>3740</v>
      </c>
      <c r="Z88" s="308" t="s">
        <v>3741</v>
      </c>
      <c r="AA88" s="308" t="s">
        <v>3741</v>
      </c>
      <c r="AB88" s="308"/>
      <c r="AC88" s="308"/>
      <c r="AD88" s="308" t="s">
        <v>3742</v>
      </c>
      <c r="AE88" s="308">
        <v>55100.0</v>
      </c>
      <c r="AF88" s="308" t="s">
        <v>3743</v>
      </c>
      <c r="AG88" s="308" t="s">
        <v>2955</v>
      </c>
      <c r="AH88" s="308">
        <v>3.339528988E9</v>
      </c>
      <c r="AI88" s="308" t="s">
        <v>3740</v>
      </c>
      <c r="AJ88" s="308" t="s">
        <v>3741</v>
      </c>
      <c r="AK88" s="308" t="s">
        <v>3741</v>
      </c>
      <c r="AL88" s="308"/>
      <c r="AM88" s="308"/>
      <c r="AN88" s="308" t="s">
        <v>3742</v>
      </c>
      <c r="AO88" s="308">
        <v>55100.0</v>
      </c>
      <c r="AP88" s="308" t="s">
        <v>3743</v>
      </c>
      <c r="AQ88" s="308" t="s">
        <v>2955</v>
      </c>
      <c r="AR88" s="308">
        <v>3.339528988E9</v>
      </c>
      <c r="AS88" s="311"/>
      <c r="AT88" s="311"/>
      <c r="AU88" s="311"/>
      <c r="AV88" s="308" t="s">
        <v>2956</v>
      </c>
      <c r="AW88" s="308">
        <v>4.7591732379975E13</v>
      </c>
      <c r="AX88" s="310">
        <v>0.0</v>
      </c>
      <c r="AY88" s="308" t="s">
        <v>2974</v>
      </c>
      <c r="AZ88" s="308">
        <v>0.0</v>
      </c>
      <c r="BA88" s="311"/>
      <c r="BB88" s="311"/>
      <c r="BC88" s="311"/>
      <c r="BD88" s="308">
        <v>7.500288524615E12</v>
      </c>
      <c r="BE88" s="311"/>
      <c r="BF88" s="311"/>
      <c r="BG88" s="308" t="s">
        <v>2958</v>
      </c>
      <c r="BH88" s="308">
        <v>0.0</v>
      </c>
      <c r="BI88" s="308" t="s">
        <v>2959</v>
      </c>
      <c r="BJ88" s="308">
        <v>24.34</v>
      </c>
      <c r="BK88" s="311"/>
      <c r="BL88" s="311"/>
      <c r="BM88" s="311"/>
      <c r="BN88" s="311"/>
      <c r="BO88" s="311"/>
      <c r="BP88" s="311"/>
      <c r="BQ88" s="311"/>
      <c r="BR88" s="311"/>
      <c r="BS88" s="308"/>
      <c r="BT88" s="311"/>
      <c r="BU88" s="311"/>
      <c r="BV88" s="308" t="s">
        <v>3742</v>
      </c>
      <c r="BW88" s="308" t="s">
        <v>3742</v>
      </c>
      <c r="BX88" s="308" t="s">
        <v>2956</v>
      </c>
      <c r="BY88" s="311"/>
      <c r="BZ88" s="311"/>
      <c r="CA88" s="308" t="s">
        <v>2956</v>
      </c>
      <c r="CB88" s="312" t="str">
        <f t="shared" si="1"/>
        <v>31/03/2026</v>
      </c>
      <c r="CC88" s="313">
        <f t="shared" si="2"/>
        <v>2026</v>
      </c>
      <c r="CD88" s="314">
        <f t="shared" si="3"/>
        <v>3</v>
      </c>
      <c r="CE88" s="314">
        <f t="shared" si="4"/>
        <v>1</v>
      </c>
      <c r="CF88" s="314">
        <f t="shared" si="5"/>
        <v>1</v>
      </c>
      <c r="CG88" s="314">
        <f t="shared" si="6"/>
        <v>-5</v>
      </c>
      <c r="CH88" s="315">
        <f>VLOOKUP(CL88,'PRODUCT_COGS&amp;PRICE'!A:E,5,false)</f>
        <v>33</v>
      </c>
      <c r="CI88" s="306">
        <f t="shared" si="7"/>
        <v>-2.815</v>
      </c>
      <c r="CJ88" s="316">
        <f t="shared" si="8"/>
        <v>0</v>
      </c>
      <c r="CK88" s="316">
        <f t="shared" si="9"/>
        <v>15</v>
      </c>
      <c r="CL88" s="314" t="str">
        <f>VLOOKUP(R88,PRODUCT_MAP!A:B,2,FALSE)</f>
        <v>Lea_Bag_BLACK_WHITE_PONY</v>
      </c>
      <c r="CM88" s="314" t="str">
        <f>VLOOKUP(R88,PRODUCT_MAP!A:E,3,FALSE)</f>
        <v>Lea Bag</v>
      </c>
    </row>
    <row r="89" ht="22.5" customHeight="1">
      <c r="A89" s="308" t="s">
        <v>3744</v>
      </c>
      <c r="B89" s="308" t="s">
        <v>3745</v>
      </c>
      <c r="C89" s="308" t="s">
        <v>2942</v>
      </c>
      <c r="D89" s="308" t="s">
        <v>3746</v>
      </c>
      <c r="E89" s="308" t="s">
        <v>3013</v>
      </c>
      <c r="F89" s="308"/>
      <c r="G89" s="308" t="s">
        <v>2946</v>
      </c>
      <c r="H89" s="308" t="s">
        <v>2947</v>
      </c>
      <c r="I89" s="308">
        <v>94.5</v>
      </c>
      <c r="J89" s="308">
        <v>0.0</v>
      </c>
      <c r="K89" s="308">
        <v>17.04</v>
      </c>
      <c r="L89" s="308">
        <v>94.5</v>
      </c>
      <c r="M89" s="308" t="s">
        <v>3094</v>
      </c>
      <c r="N89" s="308">
        <v>10.5</v>
      </c>
      <c r="O89" s="308" t="s">
        <v>2979</v>
      </c>
      <c r="P89" s="308" t="s">
        <v>3747</v>
      </c>
      <c r="Q89" s="310">
        <v>1.0</v>
      </c>
      <c r="R89" s="308" t="s">
        <v>3670</v>
      </c>
      <c r="S89" s="308">
        <v>105.0</v>
      </c>
      <c r="T89" s="311"/>
      <c r="U89" s="308" t="s">
        <v>3671</v>
      </c>
      <c r="V89" s="308" t="b">
        <v>1</v>
      </c>
      <c r="W89" s="308" t="b">
        <v>1</v>
      </c>
      <c r="X89" s="308"/>
      <c r="Y89" s="308" t="s">
        <v>3748</v>
      </c>
      <c r="Z89" s="308" t="s">
        <v>3749</v>
      </c>
      <c r="AA89" s="308" t="s">
        <v>3749</v>
      </c>
      <c r="AB89" s="308"/>
      <c r="AC89" s="308"/>
      <c r="AD89" s="308" t="s">
        <v>3750</v>
      </c>
      <c r="AE89" s="308">
        <v>96010.0</v>
      </c>
      <c r="AF89" s="308" t="s">
        <v>3751</v>
      </c>
      <c r="AG89" s="308" t="s">
        <v>2955</v>
      </c>
      <c r="AH89" s="308">
        <v>3.408502401E9</v>
      </c>
      <c r="AI89" s="308"/>
      <c r="AJ89" s="308"/>
      <c r="AK89" s="308"/>
      <c r="AL89" s="308"/>
      <c r="AM89" s="308"/>
      <c r="AN89" s="308"/>
      <c r="AO89" s="308"/>
      <c r="AP89" s="308"/>
      <c r="AQ89" s="308"/>
      <c r="AR89" s="308"/>
      <c r="AS89" s="311"/>
      <c r="AT89" s="311"/>
      <c r="AU89" s="311"/>
      <c r="AV89" s="308" t="s">
        <v>2956</v>
      </c>
      <c r="AW89" s="308">
        <v>4.7593034481991E13</v>
      </c>
      <c r="AX89" s="310">
        <v>0.0</v>
      </c>
      <c r="AY89" s="308" t="s">
        <v>2974</v>
      </c>
      <c r="AZ89" s="308">
        <v>0.0</v>
      </c>
      <c r="BA89" s="311"/>
      <c r="BB89" s="311"/>
      <c r="BC89" s="311"/>
      <c r="BD89" s="308">
        <v>7.501419282759E12</v>
      </c>
      <c r="BE89" s="311"/>
      <c r="BF89" s="311"/>
      <c r="BG89" s="308" t="s">
        <v>2958</v>
      </c>
      <c r="BH89" s="308">
        <v>0.0</v>
      </c>
      <c r="BI89" s="308" t="s">
        <v>2959</v>
      </c>
      <c r="BJ89" s="308">
        <v>17.04</v>
      </c>
      <c r="BK89" s="311"/>
      <c r="BL89" s="311"/>
      <c r="BM89" s="311"/>
      <c r="BN89" s="311"/>
      <c r="BO89" s="311"/>
      <c r="BP89" s="311"/>
      <c r="BQ89" s="311"/>
      <c r="BR89" s="311"/>
      <c r="BS89" s="308"/>
      <c r="BT89" s="311"/>
      <c r="BU89" s="311"/>
      <c r="BV89" s="308" t="s">
        <v>3752</v>
      </c>
      <c r="BW89" s="308"/>
      <c r="BX89" s="308" t="s">
        <v>2956</v>
      </c>
      <c r="BY89" s="311"/>
      <c r="BZ89" s="311"/>
      <c r="CA89" s="308" t="s">
        <v>2956</v>
      </c>
      <c r="CB89" s="312" t="str">
        <f t="shared" si="1"/>
        <v>31/03/2026</v>
      </c>
      <c r="CC89" s="313">
        <f t="shared" si="2"/>
        <v>2026</v>
      </c>
      <c r="CD89" s="314">
        <f t="shared" si="3"/>
        <v>3</v>
      </c>
      <c r="CE89" s="314">
        <f t="shared" si="4"/>
        <v>1</v>
      </c>
      <c r="CF89" s="314">
        <f t="shared" si="5"/>
        <v>1</v>
      </c>
      <c r="CG89" s="314">
        <f t="shared" si="6"/>
        <v>-5</v>
      </c>
      <c r="CH89" s="315">
        <f>VLOOKUP(CL89,'PRODUCT_COGS&amp;PRICE'!A:E,5,false)</f>
        <v>23</v>
      </c>
      <c r="CI89" s="306">
        <f t="shared" si="7"/>
        <v>-2.0455</v>
      </c>
      <c r="CJ89" s="316">
        <f t="shared" si="8"/>
        <v>0</v>
      </c>
      <c r="CK89" s="316">
        <f t="shared" si="9"/>
        <v>10.5</v>
      </c>
      <c r="CL89" s="314" t="str">
        <f>VLOOKUP(R89,PRODUCT_MAP!A:B,2,FALSE)</f>
        <v>Maria_Bag_Red</v>
      </c>
      <c r="CM89" s="314" t="str">
        <f>VLOOKUP(R89,PRODUCT_MAP!A:E,3,FALSE)</f>
        <v>Maria Bag</v>
      </c>
    </row>
    <row r="90" ht="22.5" customHeight="1">
      <c r="A90" s="308" t="s">
        <v>3753</v>
      </c>
      <c r="B90" s="308" t="s">
        <v>3754</v>
      </c>
      <c r="C90" s="308" t="s">
        <v>2942</v>
      </c>
      <c r="D90" s="308" t="s">
        <v>3755</v>
      </c>
      <c r="E90" s="308" t="s">
        <v>3013</v>
      </c>
      <c r="F90" s="308"/>
      <c r="G90" s="308" t="s">
        <v>2946</v>
      </c>
      <c r="H90" s="308" t="s">
        <v>2947</v>
      </c>
      <c r="I90" s="308">
        <v>170.0</v>
      </c>
      <c r="J90" s="308">
        <v>0.0</v>
      </c>
      <c r="K90" s="308">
        <v>30.66</v>
      </c>
      <c r="L90" s="308">
        <v>170.0</v>
      </c>
      <c r="M90" s="308"/>
      <c r="N90" s="308">
        <v>0.0</v>
      </c>
      <c r="O90" s="308" t="s">
        <v>2948</v>
      </c>
      <c r="P90" s="308" t="s">
        <v>3756</v>
      </c>
      <c r="Q90" s="310">
        <v>1.0</v>
      </c>
      <c r="R90" s="308" t="s">
        <v>549</v>
      </c>
      <c r="S90" s="308">
        <v>170.0</v>
      </c>
      <c r="T90" s="311"/>
      <c r="U90" s="308"/>
      <c r="V90" s="308" t="b">
        <v>1</v>
      </c>
      <c r="W90" s="308" t="b">
        <v>1</v>
      </c>
      <c r="X90" s="308"/>
      <c r="Y90" s="308" t="s">
        <v>3757</v>
      </c>
      <c r="Z90" s="308" t="s">
        <v>3758</v>
      </c>
      <c r="AA90" s="308" t="s">
        <v>3759</v>
      </c>
      <c r="AB90" s="308" t="s">
        <v>3760</v>
      </c>
      <c r="AC90" s="308"/>
      <c r="AD90" s="308" t="s">
        <v>23</v>
      </c>
      <c r="AE90" s="308">
        <v>20143.0</v>
      </c>
      <c r="AF90" s="308" t="s">
        <v>2954</v>
      </c>
      <c r="AG90" s="308" t="s">
        <v>2955</v>
      </c>
      <c r="AH90" s="308">
        <v>3.444074888E9</v>
      </c>
      <c r="AI90" s="308" t="s">
        <v>3757</v>
      </c>
      <c r="AJ90" s="308" t="s">
        <v>3758</v>
      </c>
      <c r="AK90" s="308" t="s">
        <v>3759</v>
      </c>
      <c r="AL90" s="308" t="s">
        <v>3760</v>
      </c>
      <c r="AM90" s="308"/>
      <c r="AN90" s="308" t="s">
        <v>23</v>
      </c>
      <c r="AO90" s="308">
        <v>20143.0</v>
      </c>
      <c r="AP90" s="308" t="s">
        <v>2954</v>
      </c>
      <c r="AQ90" s="308" t="s">
        <v>2955</v>
      </c>
      <c r="AR90" s="308">
        <v>3.444074888E9</v>
      </c>
      <c r="AS90" s="311"/>
      <c r="AT90" s="311"/>
      <c r="AU90" s="311"/>
      <c r="AV90" s="308" t="s">
        <v>2956</v>
      </c>
      <c r="AW90" s="308">
        <v>4.7594207412551E13</v>
      </c>
      <c r="AX90" s="310">
        <v>0.0</v>
      </c>
      <c r="AY90" s="308" t="s">
        <v>2974</v>
      </c>
      <c r="AZ90" s="308">
        <v>0.0</v>
      </c>
      <c r="BA90" s="311"/>
      <c r="BB90" s="311"/>
      <c r="BC90" s="311"/>
      <c r="BD90" s="308">
        <v>7.502381941063E12</v>
      </c>
      <c r="BE90" s="311"/>
      <c r="BF90" s="311"/>
      <c r="BG90" s="308" t="s">
        <v>2958</v>
      </c>
      <c r="BH90" s="308">
        <v>0.0</v>
      </c>
      <c r="BI90" s="308" t="s">
        <v>2959</v>
      </c>
      <c r="BJ90" s="308">
        <v>30.66</v>
      </c>
      <c r="BK90" s="311"/>
      <c r="BL90" s="311"/>
      <c r="BM90" s="311"/>
      <c r="BN90" s="311"/>
      <c r="BO90" s="311"/>
      <c r="BP90" s="311"/>
      <c r="BQ90" s="311"/>
      <c r="BR90" s="311"/>
      <c r="BS90" s="308"/>
      <c r="BT90" s="311"/>
      <c r="BU90" s="311"/>
      <c r="BV90" s="308" t="s">
        <v>23</v>
      </c>
      <c r="BW90" s="308" t="s">
        <v>23</v>
      </c>
      <c r="BX90" s="308" t="s">
        <v>2956</v>
      </c>
      <c r="BY90" s="311"/>
      <c r="BZ90" s="311"/>
      <c r="CA90" s="308" t="s">
        <v>2956</v>
      </c>
      <c r="CB90" s="312" t="str">
        <f t="shared" si="1"/>
        <v>01/04/2026</v>
      </c>
      <c r="CC90" s="313">
        <f t="shared" si="2"/>
        <v>2026</v>
      </c>
      <c r="CD90" s="314">
        <f t="shared" si="3"/>
        <v>4</v>
      </c>
      <c r="CE90" s="314">
        <f t="shared" si="4"/>
        <v>1</v>
      </c>
      <c r="CF90" s="314">
        <f t="shared" si="5"/>
        <v>1</v>
      </c>
      <c r="CG90" s="314">
        <f t="shared" si="6"/>
        <v>-5</v>
      </c>
      <c r="CH90" s="315">
        <f>VLOOKUP(CL90,'PRODUCT_COGS&amp;PRICE'!A:E,5,false)</f>
        <v>36</v>
      </c>
      <c r="CI90" s="306">
        <f t="shared" si="7"/>
        <v>-3.48</v>
      </c>
      <c r="CJ90" s="316">
        <f t="shared" si="8"/>
        <v>0</v>
      </c>
      <c r="CK90" s="316">
        <f t="shared" si="9"/>
        <v>0</v>
      </c>
      <c r="CL90" s="314" t="str">
        <f>VLOOKUP(R90,PRODUCT_MAP!A:B,2,FALSE)</f>
        <v>Lea_Bag_Maxi_COCCO_BLACK</v>
      </c>
      <c r="CM90" s="314" t="str">
        <f>VLOOKUP(R90,PRODUCT_MAP!A:E,3,FALSE)</f>
        <v>Lea Bag Maxi</v>
      </c>
    </row>
    <row r="91" ht="22.5" customHeight="1">
      <c r="A91" s="308" t="s">
        <v>3761</v>
      </c>
      <c r="B91" s="308" t="s">
        <v>3762</v>
      </c>
      <c r="C91" s="308" t="s">
        <v>2942</v>
      </c>
      <c r="D91" s="308" t="s">
        <v>3763</v>
      </c>
      <c r="E91" s="308" t="s">
        <v>3013</v>
      </c>
      <c r="F91" s="308"/>
      <c r="G91" s="308" t="s">
        <v>2946</v>
      </c>
      <c r="H91" s="308" t="s">
        <v>2947</v>
      </c>
      <c r="I91" s="308">
        <v>81.0</v>
      </c>
      <c r="J91" s="308">
        <v>3.9</v>
      </c>
      <c r="K91" s="308">
        <v>15.31</v>
      </c>
      <c r="L91" s="308">
        <v>84.9</v>
      </c>
      <c r="M91" s="308" t="s">
        <v>3094</v>
      </c>
      <c r="N91" s="308">
        <v>9.0</v>
      </c>
      <c r="O91" s="308" t="s">
        <v>2948</v>
      </c>
      <c r="P91" s="308" t="s">
        <v>3764</v>
      </c>
      <c r="Q91" s="310">
        <v>1.0</v>
      </c>
      <c r="R91" s="308" t="s">
        <v>3617</v>
      </c>
      <c r="S91" s="308">
        <v>90.0</v>
      </c>
      <c r="T91" s="311"/>
      <c r="U91" s="308" t="s">
        <v>3765</v>
      </c>
      <c r="V91" s="308" t="b">
        <v>1</v>
      </c>
      <c r="W91" s="308" t="b">
        <v>1</v>
      </c>
      <c r="X91" s="308"/>
      <c r="Y91" s="308" t="s">
        <v>3766</v>
      </c>
      <c r="Z91" s="308" t="s">
        <v>3767</v>
      </c>
      <c r="AA91" s="308" t="s">
        <v>3767</v>
      </c>
      <c r="AB91" s="308"/>
      <c r="AC91" s="308"/>
      <c r="AD91" s="308" t="s">
        <v>2994</v>
      </c>
      <c r="AE91" s="308">
        <v>31100.0</v>
      </c>
      <c r="AF91" s="308" t="s">
        <v>2995</v>
      </c>
      <c r="AG91" s="308" t="s">
        <v>2955</v>
      </c>
      <c r="AH91" s="308">
        <v>3.401605188E9</v>
      </c>
      <c r="AI91" s="308" t="s">
        <v>3766</v>
      </c>
      <c r="AJ91" s="308" t="s">
        <v>3767</v>
      </c>
      <c r="AK91" s="308" t="s">
        <v>3767</v>
      </c>
      <c r="AL91" s="308"/>
      <c r="AM91" s="308"/>
      <c r="AN91" s="308" t="s">
        <v>2994</v>
      </c>
      <c r="AO91" s="308">
        <v>31100.0</v>
      </c>
      <c r="AP91" s="308" t="s">
        <v>2995</v>
      </c>
      <c r="AQ91" s="308" t="s">
        <v>2955</v>
      </c>
      <c r="AR91" s="308">
        <v>3.401605188E9</v>
      </c>
      <c r="AS91" s="311"/>
      <c r="AT91" s="311"/>
      <c r="AU91" s="311"/>
      <c r="AV91" s="308" t="s">
        <v>3009</v>
      </c>
      <c r="AW91" s="308">
        <v>4.7599117599047E13</v>
      </c>
      <c r="AX91" s="310">
        <v>0.0</v>
      </c>
      <c r="AY91" s="308" t="s">
        <v>2974</v>
      </c>
      <c r="AZ91" s="308">
        <v>0.0</v>
      </c>
      <c r="BA91" s="311"/>
      <c r="BB91" s="311"/>
      <c r="BC91" s="311"/>
      <c r="BD91" s="308">
        <v>7.512376770887E12</v>
      </c>
      <c r="BE91" s="311"/>
      <c r="BF91" s="311"/>
      <c r="BG91" s="308" t="s">
        <v>2958</v>
      </c>
      <c r="BH91" s="308">
        <v>0.0</v>
      </c>
      <c r="BI91" s="308" t="s">
        <v>2959</v>
      </c>
      <c r="BJ91" s="308">
        <v>14.61</v>
      </c>
      <c r="BK91" s="311"/>
      <c r="BL91" s="311"/>
      <c r="BM91" s="311"/>
      <c r="BN91" s="311"/>
      <c r="BO91" s="311"/>
      <c r="BP91" s="311"/>
      <c r="BQ91" s="311"/>
      <c r="BR91" s="311"/>
      <c r="BS91" s="308"/>
      <c r="BT91" s="311"/>
      <c r="BU91" s="311"/>
      <c r="BV91" s="308" t="s">
        <v>2994</v>
      </c>
      <c r="BW91" s="308" t="s">
        <v>2994</v>
      </c>
      <c r="BX91" s="308" t="s">
        <v>3009</v>
      </c>
      <c r="BY91" s="311"/>
      <c r="BZ91" s="311"/>
      <c r="CA91" s="308" t="s">
        <v>3009</v>
      </c>
      <c r="CB91" s="312" t="str">
        <f t="shared" si="1"/>
        <v>01/04/2026</v>
      </c>
      <c r="CC91" s="313">
        <f t="shared" si="2"/>
        <v>2026</v>
      </c>
      <c r="CD91" s="314">
        <f t="shared" si="3"/>
        <v>4</v>
      </c>
      <c r="CE91" s="314">
        <f t="shared" si="4"/>
        <v>1</v>
      </c>
      <c r="CF91" s="314">
        <f t="shared" si="5"/>
        <v>1</v>
      </c>
      <c r="CG91" s="314">
        <f t="shared" si="6"/>
        <v>0</v>
      </c>
      <c r="CH91" s="315">
        <f>VLOOKUP(CL91,'PRODUCT_COGS&amp;PRICE'!A:E,5,false)</f>
        <v>16.5</v>
      </c>
      <c r="CI91" s="306">
        <f t="shared" si="7"/>
        <v>-3.31301</v>
      </c>
      <c r="CJ91" s="316">
        <f t="shared" si="8"/>
        <v>0</v>
      </c>
      <c r="CK91" s="316">
        <f t="shared" si="9"/>
        <v>9</v>
      </c>
      <c r="CL91" s="314" t="str">
        <f>VLOOKUP(R91,PRODUCT_MAP!A:B,2,FALSE)</f>
        <v>Annie_Bag_PAILLETTES_NUDE</v>
      </c>
      <c r="CM91" s="314" t="str">
        <f>VLOOKUP(R91,PRODUCT_MAP!A:E,3,FALSE)</f>
        <v>Annie Bag paillettes</v>
      </c>
    </row>
    <row r="92" ht="22.5" customHeight="1">
      <c r="A92" s="308" t="s">
        <v>3768</v>
      </c>
      <c r="B92" s="308" t="s">
        <v>3769</v>
      </c>
      <c r="C92" s="308" t="s">
        <v>2942</v>
      </c>
      <c r="D92" s="308" t="s">
        <v>3770</v>
      </c>
      <c r="E92" s="308" t="s">
        <v>3013</v>
      </c>
      <c r="F92" s="308"/>
      <c r="G92" s="308" t="s">
        <v>2946</v>
      </c>
      <c r="H92" s="308" t="s">
        <v>2947</v>
      </c>
      <c r="I92" s="308">
        <v>120.0</v>
      </c>
      <c r="J92" s="308">
        <v>0.0</v>
      </c>
      <c r="K92" s="308">
        <v>21.64</v>
      </c>
      <c r="L92" s="308">
        <v>120.0</v>
      </c>
      <c r="M92" s="308"/>
      <c r="N92" s="308">
        <v>0.0</v>
      </c>
      <c r="O92" s="308" t="s">
        <v>2948</v>
      </c>
      <c r="P92" s="308" t="s">
        <v>3770</v>
      </c>
      <c r="Q92" s="310">
        <v>1.0</v>
      </c>
      <c r="R92" s="308" t="s">
        <v>3266</v>
      </c>
      <c r="S92" s="308">
        <v>120.0</v>
      </c>
      <c r="T92" s="311"/>
      <c r="U92" s="308" t="s">
        <v>237</v>
      </c>
      <c r="V92" s="308" t="b">
        <v>1</v>
      </c>
      <c r="W92" s="308" t="b">
        <v>1</v>
      </c>
      <c r="X92" s="308"/>
      <c r="Y92" s="308" t="s">
        <v>3771</v>
      </c>
      <c r="Z92" s="308" t="s">
        <v>3772</v>
      </c>
      <c r="AA92" s="308" t="s">
        <v>3772</v>
      </c>
      <c r="AB92" s="308"/>
      <c r="AC92" s="308"/>
      <c r="AD92" s="308" t="s">
        <v>23</v>
      </c>
      <c r="AE92" s="308">
        <v>20123.0</v>
      </c>
      <c r="AF92" s="308" t="s">
        <v>2954</v>
      </c>
      <c r="AG92" s="308" t="s">
        <v>2955</v>
      </c>
      <c r="AH92" s="308"/>
      <c r="AI92" s="308" t="s">
        <v>3773</v>
      </c>
      <c r="AJ92" s="308" t="s">
        <v>3774</v>
      </c>
      <c r="AK92" s="308" t="s">
        <v>3774</v>
      </c>
      <c r="AL92" s="308"/>
      <c r="AM92" s="308"/>
      <c r="AN92" s="308" t="s">
        <v>3775</v>
      </c>
      <c r="AO92" s="308">
        <v>67100.0</v>
      </c>
      <c r="AP92" s="308" t="s">
        <v>3776</v>
      </c>
      <c r="AQ92" s="308" t="s">
        <v>2955</v>
      </c>
      <c r="AR92" s="308">
        <v>3.485788838E9</v>
      </c>
      <c r="AS92" s="311"/>
      <c r="AT92" s="311"/>
      <c r="AU92" s="311"/>
      <c r="AV92" s="308" t="s">
        <v>3009</v>
      </c>
      <c r="AW92" s="308">
        <v>4.7602775130439E13</v>
      </c>
      <c r="AX92" s="310">
        <v>0.0</v>
      </c>
      <c r="AY92" s="308" t="s">
        <v>2974</v>
      </c>
      <c r="AZ92" s="308">
        <v>0.0</v>
      </c>
      <c r="BA92" s="311"/>
      <c r="BB92" s="311"/>
      <c r="BC92" s="311"/>
      <c r="BD92" s="308">
        <v>7.518036951367E12</v>
      </c>
      <c r="BE92" s="311"/>
      <c r="BF92" s="311"/>
      <c r="BG92" s="308" t="s">
        <v>2958</v>
      </c>
      <c r="BH92" s="308">
        <v>0.0</v>
      </c>
      <c r="BI92" s="308" t="s">
        <v>2959</v>
      </c>
      <c r="BJ92" s="308">
        <v>21.64</v>
      </c>
      <c r="BK92" s="311"/>
      <c r="BL92" s="311"/>
      <c r="BM92" s="311"/>
      <c r="BN92" s="311"/>
      <c r="BO92" s="311"/>
      <c r="BP92" s="311"/>
      <c r="BQ92" s="311"/>
      <c r="BR92" s="311"/>
      <c r="BS92" s="308"/>
      <c r="BT92" s="311"/>
      <c r="BU92" s="311"/>
      <c r="BV92" s="308" t="s">
        <v>23</v>
      </c>
      <c r="BW92" s="308" t="s">
        <v>3775</v>
      </c>
      <c r="BX92" s="308" t="s">
        <v>3009</v>
      </c>
      <c r="BY92" s="311"/>
      <c r="BZ92" s="311"/>
      <c r="CA92" s="308" t="s">
        <v>3009</v>
      </c>
      <c r="CB92" s="312" t="str">
        <f t="shared" si="1"/>
        <v>02/04/2026</v>
      </c>
      <c r="CC92" s="313">
        <f t="shared" si="2"/>
        <v>2026</v>
      </c>
      <c r="CD92" s="314">
        <f t="shared" si="3"/>
        <v>4</v>
      </c>
      <c r="CE92" s="314">
        <f t="shared" si="4"/>
        <v>1</v>
      </c>
      <c r="CF92" s="314">
        <f t="shared" si="5"/>
        <v>1</v>
      </c>
      <c r="CG92" s="314">
        <f t="shared" si="6"/>
        <v>-5</v>
      </c>
      <c r="CH92" s="315">
        <f>VLOOKUP(CL92,'PRODUCT_COGS&amp;PRICE'!A:E,5,false)</f>
        <v>30.33</v>
      </c>
      <c r="CI92" s="306">
        <f t="shared" si="7"/>
        <v>-4.538</v>
      </c>
      <c r="CJ92" s="316">
        <f t="shared" si="8"/>
        <v>0</v>
      </c>
      <c r="CK92" s="316">
        <f t="shared" si="9"/>
        <v>0</v>
      </c>
      <c r="CL92" s="314" t="str">
        <f>VLOOKUP(R92,PRODUCT_MAP!A:B,2,FALSE)</f>
        <v>Lea_Bag_COCCO_CHOCOLATE</v>
      </c>
      <c r="CM92" s="314" t="str">
        <f>VLOOKUP(R92,PRODUCT_MAP!A:E,3,FALSE)</f>
        <v>Lea Bag</v>
      </c>
    </row>
    <row r="93" ht="22.5" customHeight="1">
      <c r="A93" s="308" t="s">
        <v>3777</v>
      </c>
      <c r="B93" s="308" t="s">
        <v>3778</v>
      </c>
      <c r="C93" s="308" t="s">
        <v>2942</v>
      </c>
      <c r="D93" s="308" t="s">
        <v>3779</v>
      </c>
      <c r="E93" s="308" t="s">
        <v>3013</v>
      </c>
      <c r="F93" s="308"/>
      <c r="G93" s="308" t="s">
        <v>2946</v>
      </c>
      <c r="H93" s="308" t="s">
        <v>2947</v>
      </c>
      <c r="I93" s="308">
        <v>108.0</v>
      </c>
      <c r="J93" s="308">
        <v>0.0</v>
      </c>
      <c r="K93" s="308">
        <v>19.48</v>
      </c>
      <c r="L93" s="308">
        <v>108.0</v>
      </c>
      <c r="M93" s="308" t="s">
        <v>3094</v>
      </c>
      <c r="N93" s="308">
        <v>12.0</v>
      </c>
      <c r="O93" s="308" t="s">
        <v>2948</v>
      </c>
      <c r="P93" s="308" t="s">
        <v>3780</v>
      </c>
      <c r="Q93" s="310">
        <v>1.0</v>
      </c>
      <c r="R93" s="308" t="s">
        <v>3781</v>
      </c>
      <c r="S93" s="308">
        <v>120.0</v>
      </c>
      <c r="T93" s="311"/>
      <c r="U93" s="308"/>
      <c r="V93" s="308" t="b">
        <v>1</v>
      </c>
      <c r="W93" s="308" t="b">
        <v>1</v>
      </c>
      <c r="X93" s="308"/>
      <c r="Y93" s="308" t="s">
        <v>3782</v>
      </c>
      <c r="Z93" s="308" t="s">
        <v>3783</v>
      </c>
      <c r="AA93" s="308" t="s">
        <v>3783</v>
      </c>
      <c r="AB93" s="308"/>
      <c r="AC93" s="308"/>
      <c r="AD93" s="308" t="s">
        <v>3784</v>
      </c>
      <c r="AE93" s="308">
        <v>20142.0</v>
      </c>
      <c r="AF93" s="308" t="s">
        <v>2954</v>
      </c>
      <c r="AG93" s="308" t="s">
        <v>2955</v>
      </c>
      <c r="AH93" s="308"/>
      <c r="AI93" s="308" t="s">
        <v>3782</v>
      </c>
      <c r="AJ93" s="308" t="s">
        <v>3785</v>
      </c>
      <c r="AK93" s="308" t="s">
        <v>3785</v>
      </c>
      <c r="AL93" s="308"/>
      <c r="AM93" s="308"/>
      <c r="AN93" s="308" t="s">
        <v>3784</v>
      </c>
      <c r="AO93" s="308">
        <v>20142.0</v>
      </c>
      <c r="AP93" s="308" t="s">
        <v>2954</v>
      </c>
      <c r="AQ93" s="308" t="s">
        <v>2955</v>
      </c>
      <c r="AR93" s="308">
        <v>3.473278509E9</v>
      </c>
      <c r="AS93" s="311"/>
      <c r="AT93" s="311"/>
      <c r="AU93" s="311"/>
      <c r="AV93" s="308" t="s">
        <v>2956</v>
      </c>
      <c r="AW93" s="308">
        <v>4.7607250780487E13</v>
      </c>
      <c r="AX93" s="310">
        <v>0.0</v>
      </c>
      <c r="AY93" s="308"/>
      <c r="AZ93" s="308">
        <v>0.0</v>
      </c>
      <c r="BA93" s="311"/>
      <c r="BB93" s="311"/>
      <c r="BC93" s="311"/>
      <c r="BD93" s="308">
        <v>7.524142612807E12</v>
      </c>
      <c r="BE93" s="311"/>
      <c r="BF93" s="311"/>
      <c r="BG93" s="308" t="s">
        <v>3640</v>
      </c>
      <c r="BH93" s="308">
        <v>0.0</v>
      </c>
      <c r="BI93" s="308" t="s">
        <v>2959</v>
      </c>
      <c r="BJ93" s="308">
        <v>19.48</v>
      </c>
      <c r="BK93" s="311"/>
      <c r="BL93" s="311"/>
      <c r="BM93" s="311"/>
      <c r="BN93" s="311"/>
      <c r="BO93" s="311"/>
      <c r="BP93" s="311"/>
      <c r="BQ93" s="311"/>
      <c r="BR93" s="311"/>
      <c r="BS93" s="308"/>
      <c r="BT93" s="311"/>
      <c r="BU93" s="311"/>
      <c r="BV93" s="308" t="s">
        <v>23</v>
      </c>
      <c r="BW93" s="308" t="s">
        <v>23</v>
      </c>
      <c r="BX93" s="308" t="s">
        <v>2956</v>
      </c>
      <c r="BY93" s="311"/>
      <c r="BZ93" s="311"/>
      <c r="CA93" s="308" t="s">
        <v>2956</v>
      </c>
      <c r="CB93" s="312" t="str">
        <f t="shared" si="1"/>
        <v>03/04/2026</v>
      </c>
      <c r="CC93" s="313">
        <f t="shared" si="2"/>
        <v>2026</v>
      </c>
      <c r="CD93" s="314">
        <f t="shared" si="3"/>
        <v>4</v>
      </c>
      <c r="CE93" s="314">
        <f t="shared" si="4"/>
        <v>1</v>
      </c>
      <c r="CF93" s="314">
        <f t="shared" si="5"/>
        <v>1</v>
      </c>
      <c r="CG93" s="314">
        <f t="shared" si="6"/>
        <v>-5</v>
      </c>
      <c r="CH93" s="315">
        <f>VLOOKUP(CL93,'PRODUCT_COGS&amp;PRICE'!A:E,5,false)</f>
        <v>26</v>
      </c>
      <c r="CI93" s="306">
        <f t="shared" si="7"/>
        <v>-2.302</v>
      </c>
      <c r="CJ93" s="316">
        <f t="shared" si="8"/>
        <v>0</v>
      </c>
      <c r="CK93" s="316">
        <f t="shared" si="9"/>
        <v>12</v>
      </c>
      <c r="CL93" s="314" t="str">
        <f>VLOOKUP(R93,PRODUCT_MAP!A:B,2,FALSE)</f>
        <v>Maria_Bag_RED_PIERCING</v>
      </c>
      <c r="CM93" s="314" t="str">
        <f>VLOOKUP(R93,PRODUCT_MAP!A:E,3,FALSE)</f>
        <v>Maria Bag</v>
      </c>
    </row>
    <row r="94" ht="22.5" customHeight="1">
      <c r="A94" s="308" t="s">
        <v>3786</v>
      </c>
      <c r="B94" s="308" t="s">
        <v>3787</v>
      </c>
      <c r="C94" s="308" t="s">
        <v>2942</v>
      </c>
      <c r="D94" s="308" t="s">
        <v>3788</v>
      </c>
      <c r="E94" s="308" t="s">
        <v>3013</v>
      </c>
      <c r="F94" s="308"/>
      <c r="G94" s="308" t="s">
        <v>2946</v>
      </c>
      <c r="H94" s="308" t="s">
        <v>2947</v>
      </c>
      <c r="I94" s="308">
        <v>153.0</v>
      </c>
      <c r="J94" s="308">
        <v>0.0</v>
      </c>
      <c r="K94" s="308">
        <v>27.59</v>
      </c>
      <c r="L94" s="308">
        <v>153.0</v>
      </c>
      <c r="M94" s="308" t="s">
        <v>3094</v>
      </c>
      <c r="N94" s="308">
        <v>17.0</v>
      </c>
      <c r="O94" s="308" t="s">
        <v>2948</v>
      </c>
      <c r="P94" s="308" t="s">
        <v>3789</v>
      </c>
      <c r="Q94" s="310">
        <v>1.0</v>
      </c>
      <c r="R94" s="308" t="s">
        <v>549</v>
      </c>
      <c r="S94" s="308">
        <v>170.0</v>
      </c>
      <c r="T94" s="311"/>
      <c r="U94" s="308"/>
      <c r="V94" s="308" t="b">
        <v>1</v>
      </c>
      <c r="W94" s="308" t="b">
        <v>1</v>
      </c>
      <c r="X94" s="308"/>
      <c r="Y94" s="308" t="s">
        <v>3790</v>
      </c>
      <c r="Z94" s="308" t="s">
        <v>3791</v>
      </c>
      <c r="AA94" s="308" t="s">
        <v>3791</v>
      </c>
      <c r="AB94" s="308"/>
      <c r="AC94" s="308"/>
      <c r="AD94" s="308" t="s">
        <v>3792</v>
      </c>
      <c r="AE94" s="308">
        <v>1012.0</v>
      </c>
      <c r="AF94" s="308" t="s">
        <v>3793</v>
      </c>
      <c r="AG94" s="308" t="s">
        <v>2955</v>
      </c>
      <c r="AH94" s="308">
        <v>3.491784987E9</v>
      </c>
      <c r="AI94" s="308" t="s">
        <v>3790</v>
      </c>
      <c r="AJ94" s="308" t="s">
        <v>3791</v>
      </c>
      <c r="AK94" s="308" t="s">
        <v>3791</v>
      </c>
      <c r="AL94" s="308"/>
      <c r="AM94" s="308"/>
      <c r="AN94" s="308" t="s">
        <v>3792</v>
      </c>
      <c r="AO94" s="308">
        <v>1012.0</v>
      </c>
      <c r="AP94" s="308" t="s">
        <v>3793</v>
      </c>
      <c r="AQ94" s="308" t="s">
        <v>2955</v>
      </c>
      <c r="AR94" s="308">
        <v>3.491784987E9</v>
      </c>
      <c r="AS94" s="311"/>
      <c r="AT94" s="311"/>
      <c r="AU94" s="311"/>
      <c r="AV94" s="308" t="s">
        <v>3009</v>
      </c>
      <c r="AW94" s="308">
        <v>4.7611461861703E13</v>
      </c>
      <c r="AX94" s="310">
        <v>0.0</v>
      </c>
      <c r="AY94" s="308" t="s">
        <v>2974</v>
      </c>
      <c r="AZ94" s="308">
        <v>0.0</v>
      </c>
      <c r="BA94" s="311"/>
      <c r="BB94" s="311"/>
      <c r="BC94" s="311"/>
      <c r="BD94" s="308">
        <v>7.528055112007E12</v>
      </c>
      <c r="BE94" s="311"/>
      <c r="BF94" s="311"/>
      <c r="BG94" s="308" t="s">
        <v>2958</v>
      </c>
      <c r="BH94" s="308">
        <v>0.0</v>
      </c>
      <c r="BI94" s="308" t="s">
        <v>2959</v>
      </c>
      <c r="BJ94" s="308">
        <v>27.59</v>
      </c>
      <c r="BK94" s="311"/>
      <c r="BL94" s="311"/>
      <c r="BM94" s="311"/>
      <c r="BN94" s="311"/>
      <c r="BO94" s="311"/>
      <c r="BP94" s="311"/>
      <c r="BQ94" s="311"/>
      <c r="BR94" s="311"/>
      <c r="BS94" s="308"/>
      <c r="BT94" s="311"/>
      <c r="BU94" s="311"/>
      <c r="BV94" s="308" t="s">
        <v>3794</v>
      </c>
      <c r="BW94" s="308" t="s">
        <v>3794</v>
      </c>
      <c r="BX94" s="308" t="s">
        <v>3009</v>
      </c>
      <c r="BY94" s="311"/>
      <c r="BZ94" s="311"/>
      <c r="CA94" s="308" t="s">
        <v>3009</v>
      </c>
      <c r="CB94" s="312" t="str">
        <f t="shared" si="1"/>
        <v>04/04/2026</v>
      </c>
      <c r="CC94" s="313">
        <f t="shared" si="2"/>
        <v>2026</v>
      </c>
      <c r="CD94" s="314">
        <f t="shared" si="3"/>
        <v>4</v>
      </c>
      <c r="CE94" s="314">
        <f t="shared" si="4"/>
        <v>1</v>
      </c>
      <c r="CF94" s="314">
        <f t="shared" si="5"/>
        <v>1</v>
      </c>
      <c r="CG94" s="314">
        <f t="shared" si="6"/>
        <v>-5</v>
      </c>
      <c r="CH94" s="315">
        <f>VLOOKUP(CL94,'PRODUCT_COGS&amp;PRICE'!A:E,5,false)</f>
        <v>36</v>
      </c>
      <c r="CI94" s="306">
        <f t="shared" si="7"/>
        <v>-5.6897</v>
      </c>
      <c r="CJ94" s="316">
        <f t="shared" si="8"/>
        <v>0</v>
      </c>
      <c r="CK94" s="316">
        <f t="shared" si="9"/>
        <v>17</v>
      </c>
      <c r="CL94" s="314" t="str">
        <f>VLOOKUP(R94,PRODUCT_MAP!A:B,2,FALSE)</f>
        <v>Lea_Bag_Maxi_COCCO_BLACK</v>
      </c>
      <c r="CM94" s="314" t="str">
        <f>VLOOKUP(R94,PRODUCT_MAP!A:E,3,FALSE)</f>
        <v>Lea Bag Maxi</v>
      </c>
    </row>
    <row r="95" ht="22.5" customHeight="1">
      <c r="A95" s="308" t="s">
        <v>3795</v>
      </c>
      <c r="B95" s="308" t="s">
        <v>3796</v>
      </c>
      <c r="C95" s="308" t="s">
        <v>2942</v>
      </c>
      <c r="D95" s="308" t="s">
        <v>3797</v>
      </c>
      <c r="E95" s="308" t="s">
        <v>3013</v>
      </c>
      <c r="F95" s="308"/>
      <c r="G95" s="308" t="s">
        <v>2946</v>
      </c>
      <c r="H95" s="308" t="s">
        <v>2947</v>
      </c>
      <c r="I95" s="308">
        <v>108.0</v>
      </c>
      <c r="J95" s="308">
        <v>0.0</v>
      </c>
      <c r="K95" s="308">
        <v>19.48</v>
      </c>
      <c r="L95" s="308">
        <v>108.0</v>
      </c>
      <c r="M95" s="308" t="s">
        <v>3094</v>
      </c>
      <c r="N95" s="308">
        <v>12.0</v>
      </c>
      <c r="O95" s="308" t="s">
        <v>2948</v>
      </c>
      <c r="P95" s="308" t="s">
        <v>3798</v>
      </c>
      <c r="Q95" s="310">
        <v>1.0</v>
      </c>
      <c r="R95" s="308" t="s">
        <v>938</v>
      </c>
      <c r="S95" s="308">
        <v>120.0</v>
      </c>
      <c r="T95" s="311"/>
      <c r="U95" s="308" t="s">
        <v>233</v>
      </c>
      <c r="V95" s="308" t="b">
        <v>1</v>
      </c>
      <c r="W95" s="308" t="b">
        <v>1</v>
      </c>
      <c r="X95" s="308"/>
      <c r="Y95" s="308" t="s">
        <v>3799</v>
      </c>
      <c r="Z95" s="308" t="s">
        <v>3800</v>
      </c>
      <c r="AA95" s="308" t="s">
        <v>3801</v>
      </c>
      <c r="AB95" s="308">
        <v>4.0</v>
      </c>
      <c r="AC95" s="308"/>
      <c r="AD95" s="308" t="s">
        <v>3237</v>
      </c>
      <c r="AE95" s="308">
        <v>16123.0</v>
      </c>
      <c r="AF95" s="308" t="s">
        <v>3238</v>
      </c>
      <c r="AG95" s="308" t="s">
        <v>2955</v>
      </c>
      <c r="AH95" s="308">
        <v>3.393942019E9</v>
      </c>
      <c r="AI95" s="308" t="s">
        <v>3799</v>
      </c>
      <c r="AJ95" s="308" t="s">
        <v>3800</v>
      </c>
      <c r="AK95" s="308" t="s">
        <v>3801</v>
      </c>
      <c r="AL95" s="308">
        <v>4.0</v>
      </c>
      <c r="AM95" s="308"/>
      <c r="AN95" s="308" t="s">
        <v>3237</v>
      </c>
      <c r="AO95" s="308">
        <v>16123.0</v>
      </c>
      <c r="AP95" s="308" t="s">
        <v>3238</v>
      </c>
      <c r="AQ95" s="308" t="s">
        <v>2955</v>
      </c>
      <c r="AR95" s="308">
        <v>3.393942019E9</v>
      </c>
      <c r="AS95" s="311"/>
      <c r="AT95" s="311"/>
      <c r="AU95" s="311"/>
      <c r="AV95" s="308" t="s">
        <v>3009</v>
      </c>
      <c r="AW95" s="308">
        <v>4.7611581137223E13</v>
      </c>
      <c r="AX95" s="310">
        <v>0.0</v>
      </c>
      <c r="AY95" s="308" t="s">
        <v>2974</v>
      </c>
      <c r="AZ95" s="308">
        <v>0.0</v>
      </c>
      <c r="BA95" s="311"/>
      <c r="BB95" s="311"/>
      <c r="BC95" s="311"/>
      <c r="BD95" s="308">
        <v>7.528110555463E12</v>
      </c>
      <c r="BE95" s="311"/>
      <c r="BF95" s="311"/>
      <c r="BG95" s="308" t="s">
        <v>2958</v>
      </c>
      <c r="BH95" s="308">
        <v>0.0</v>
      </c>
      <c r="BI95" s="308" t="s">
        <v>2959</v>
      </c>
      <c r="BJ95" s="308">
        <v>19.48</v>
      </c>
      <c r="BK95" s="311"/>
      <c r="BL95" s="311"/>
      <c r="BM95" s="311"/>
      <c r="BN95" s="311"/>
      <c r="BO95" s="311"/>
      <c r="BP95" s="311"/>
      <c r="BQ95" s="311"/>
      <c r="BR95" s="311"/>
      <c r="BS95" s="308"/>
      <c r="BT95" s="311"/>
      <c r="BU95" s="311"/>
      <c r="BV95" s="308" t="s">
        <v>3237</v>
      </c>
      <c r="BW95" s="308" t="s">
        <v>3237</v>
      </c>
      <c r="BX95" s="308" t="s">
        <v>3009</v>
      </c>
      <c r="BY95" s="311"/>
      <c r="BZ95" s="311"/>
      <c r="CA95" s="308" t="s">
        <v>3009</v>
      </c>
      <c r="CB95" s="312" t="str">
        <f t="shared" si="1"/>
        <v>04/04/2026</v>
      </c>
      <c r="CC95" s="313">
        <f t="shared" si="2"/>
        <v>2026</v>
      </c>
      <c r="CD95" s="314">
        <f t="shared" si="3"/>
        <v>4</v>
      </c>
      <c r="CE95" s="314">
        <f t="shared" si="4"/>
        <v>1</v>
      </c>
      <c r="CF95" s="314">
        <f t="shared" si="5"/>
        <v>1</v>
      </c>
      <c r="CG95" s="314">
        <f t="shared" si="6"/>
        <v>-5</v>
      </c>
      <c r="CH95" s="315">
        <f>VLOOKUP(CL95,'PRODUCT_COGS&amp;PRICE'!A:E,5,false)</f>
        <v>20</v>
      </c>
      <c r="CI95" s="306">
        <f t="shared" si="7"/>
        <v>-4.1192</v>
      </c>
      <c r="CJ95" s="316">
        <f t="shared" si="8"/>
        <v>0</v>
      </c>
      <c r="CK95" s="316">
        <f t="shared" si="9"/>
        <v>12</v>
      </c>
      <c r="CL95" s="314" t="str">
        <f>VLOOKUP(R95,PRODUCT_MAP!A:B,2,FALSE)</f>
        <v>Lea_Bag_TOASTED_LEATHER</v>
      </c>
      <c r="CM95" s="314" t="str">
        <f>VLOOKUP(R95,PRODUCT_MAP!A:E,3,FALSE)</f>
        <v>Lea Bag</v>
      </c>
    </row>
    <row r="96" ht="22.5" customHeight="1">
      <c r="A96" s="308" t="s">
        <v>3802</v>
      </c>
      <c r="B96" s="308" t="s">
        <v>3803</v>
      </c>
      <c r="C96" s="308" t="s">
        <v>2942</v>
      </c>
      <c r="D96" s="308" t="s">
        <v>3804</v>
      </c>
      <c r="E96" s="308" t="s">
        <v>3013</v>
      </c>
      <c r="F96" s="308"/>
      <c r="G96" s="308" t="s">
        <v>2965</v>
      </c>
      <c r="H96" s="308" t="s">
        <v>2947</v>
      </c>
      <c r="I96" s="308">
        <v>238.5</v>
      </c>
      <c r="J96" s="308">
        <v>0.0</v>
      </c>
      <c r="K96" s="308">
        <v>43.01</v>
      </c>
      <c r="L96" s="308">
        <v>238.5</v>
      </c>
      <c r="M96" s="308" t="s">
        <v>3221</v>
      </c>
      <c r="N96" s="308">
        <v>26.5</v>
      </c>
      <c r="O96" s="308" t="s">
        <v>2979</v>
      </c>
      <c r="P96" s="308" t="s">
        <v>3805</v>
      </c>
      <c r="Q96" s="310">
        <v>1.0</v>
      </c>
      <c r="R96" s="308" t="s">
        <v>768</v>
      </c>
      <c r="S96" s="308">
        <v>175.0</v>
      </c>
      <c r="T96" s="311"/>
      <c r="U96" s="308" t="s">
        <v>210</v>
      </c>
      <c r="V96" s="308" t="b">
        <v>1</v>
      </c>
      <c r="W96" s="308" t="b">
        <v>1</v>
      </c>
      <c r="X96" s="308"/>
      <c r="Y96" s="308" t="s">
        <v>3806</v>
      </c>
      <c r="Z96" s="308" t="s">
        <v>3807</v>
      </c>
      <c r="AA96" s="308" t="s">
        <v>3807</v>
      </c>
      <c r="AB96" s="308"/>
      <c r="AC96" s="308"/>
      <c r="AD96" s="308" t="s">
        <v>3081</v>
      </c>
      <c r="AE96" s="308">
        <v>152.0</v>
      </c>
      <c r="AF96" s="308" t="s">
        <v>3082</v>
      </c>
      <c r="AG96" s="308" t="s">
        <v>2955</v>
      </c>
      <c r="AH96" s="308"/>
      <c r="AI96" s="308"/>
      <c r="AJ96" s="308"/>
      <c r="AK96" s="308"/>
      <c r="AL96" s="308"/>
      <c r="AM96" s="308"/>
      <c r="AN96" s="308"/>
      <c r="AO96" s="308"/>
      <c r="AP96" s="308"/>
      <c r="AQ96" s="308"/>
      <c r="AR96" s="308"/>
      <c r="AS96" s="311"/>
      <c r="AT96" s="311"/>
      <c r="AU96" s="311"/>
      <c r="AV96" s="308" t="s">
        <v>3009</v>
      </c>
      <c r="AW96" s="308">
        <v>4.7612402041159E13</v>
      </c>
      <c r="AX96" s="310">
        <v>0.0</v>
      </c>
      <c r="AY96" s="308" t="s">
        <v>2974</v>
      </c>
      <c r="AZ96" s="308">
        <v>0.0</v>
      </c>
      <c r="BA96" s="311"/>
      <c r="BB96" s="311"/>
      <c r="BC96" s="311"/>
      <c r="BD96" s="308">
        <v>7.528505934151E12</v>
      </c>
      <c r="BE96" s="311"/>
      <c r="BF96" s="311"/>
      <c r="BG96" s="308" t="s">
        <v>2958</v>
      </c>
      <c r="BH96" s="308">
        <v>0.0</v>
      </c>
      <c r="BI96" s="308" t="s">
        <v>2959</v>
      </c>
      <c r="BJ96" s="308">
        <v>28.4</v>
      </c>
      <c r="BK96" s="311"/>
      <c r="BL96" s="311"/>
      <c r="BM96" s="311"/>
      <c r="BN96" s="311"/>
      <c r="BO96" s="311"/>
      <c r="BP96" s="311"/>
      <c r="BQ96" s="311"/>
      <c r="BR96" s="311"/>
      <c r="BS96" s="308"/>
      <c r="BT96" s="311"/>
      <c r="BU96" s="311"/>
      <c r="BV96" s="308" t="s">
        <v>3081</v>
      </c>
      <c r="BW96" s="308"/>
      <c r="BX96" s="308" t="s">
        <v>3009</v>
      </c>
      <c r="BY96" s="311"/>
      <c r="BZ96" s="311"/>
      <c r="CA96" s="308" t="s">
        <v>3009</v>
      </c>
      <c r="CB96" s="312" t="str">
        <f t="shared" si="1"/>
        <v>04/04/2026</v>
      </c>
      <c r="CC96" s="313">
        <f t="shared" si="2"/>
        <v>2026</v>
      </c>
      <c r="CD96" s="314">
        <f t="shared" si="3"/>
        <v>4</v>
      </c>
      <c r="CE96" s="314">
        <f t="shared" si="4"/>
        <v>1</v>
      </c>
      <c r="CF96" s="314">
        <f t="shared" si="5"/>
        <v>1</v>
      </c>
      <c r="CG96" s="314">
        <f t="shared" si="6"/>
        <v>-5</v>
      </c>
      <c r="CH96" s="315">
        <f>VLOOKUP(CL96,'PRODUCT_COGS&amp;PRICE'!A:E,5,false)</f>
        <v>52.5</v>
      </c>
      <c r="CI96" s="306">
        <f t="shared" si="7"/>
        <v>-16.9973</v>
      </c>
      <c r="CJ96" s="316">
        <f t="shared" si="8"/>
        <v>0</v>
      </c>
      <c r="CK96" s="316">
        <f t="shared" si="9"/>
        <v>26.5</v>
      </c>
      <c r="CL96" s="314" t="str">
        <f>VLOOKUP(R96,PRODUCT_MAP!A:B,2,FALSE)</f>
        <v>Valentina_Bag_CHOCOLATE</v>
      </c>
      <c r="CM96" s="314" t="str">
        <f>VLOOKUP(R96,PRODUCT_MAP!A:E,3,FALSE)</f>
        <v>Valentina Bag</v>
      </c>
    </row>
    <row r="97" ht="22.5" customHeight="1">
      <c r="A97" s="308" t="s">
        <v>3802</v>
      </c>
      <c r="B97" s="308" t="s">
        <v>3803</v>
      </c>
      <c r="C97" s="308" t="s">
        <v>2942</v>
      </c>
      <c r="D97" s="308" t="s">
        <v>3804</v>
      </c>
      <c r="E97" s="308" t="s">
        <v>3013</v>
      </c>
      <c r="F97" s="308"/>
      <c r="G97" s="308" t="s">
        <v>2965</v>
      </c>
      <c r="H97" s="308" t="s">
        <v>2947</v>
      </c>
      <c r="I97" s="308">
        <v>238.5</v>
      </c>
      <c r="J97" s="308">
        <v>0.0</v>
      </c>
      <c r="K97" s="308">
        <v>43.01</v>
      </c>
      <c r="L97" s="308">
        <v>238.5</v>
      </c>
      <c r="M97" s="308" t="s">
        <v>3221</v>
      </c>
      <c r="N97" s="308">
        <v>26.5</v>
      </c>
      <c r="O97" s="308" t="s">
        <v>2979</v>
      </c>
      <c r="P97" s="308" t="s">
        <v>3805</v>
      </c>
      <c r="Q97" s="310">
        <v>1.0</v>
      </c>
      <c r="R97" s="308" t="s">
        <v>820</v>
      </c>
      <c r="S97" s="308">
        <v>90.0</v>
      </c>
      <c r="T97" s="311"/>
      <c r="U97" s="308" t="s">
        <v>3660</v>
      </c>
      <c r="V97" s="308" t="b">
        <v>1</v>
      </c>
      <c r="W97" s="308" t="b">
        <v>1</v>
      </c>
      <c r="X97" s="308"/>
      <c r="Y97" s="308" t="s">
        <v>3806</v>
      </c>
      <c r="Z97" s="308" t="s">
        <v>3807</v>
      </c>
      <c r="AA97" s="308" t="s">
        <v>3807</v>
      </c>
      <c r="AB97" s="308"/>
      <c r="AC97" s="308"/>
      <c r="AD97" s="308" t="s">
        <v>3081</v>
      </c>
      <c r="AE97" s="308">
        <v>152.0</v>
      </c>
      <c r="AF97" s="308" t="s">
        <v>3082</v>
      </c>
      <c r="AG97" s="308" t="s">
        <v>2955</v>
      </c>
      <c r="AH97" s="308"/>
      <c r="AI97" s="308"/>
      <c r="AJ97" s="308"/>
      <c r="AK97" s="308"/>
      <c r="AL97" s="308"/>
      <c r="AM97" s="308"/>
      <c r="AN97" s="308"/>
      <c r="AO97" s="308"/>
      <c r="AP97" s="308"/>
      <c r="AQ97" s="308"/>
      <c r="AR97" s="308"/>
      <c r="AS97" s="311"/>
      <c r="AT97" s="311"/>
      <c r="AU97" s="311"/>
      <c r="AV97" s="308" t="s">
        <v>3009</v>
      </c>
      <c r="AW97" s="308">
        <v>4.7612402041159E13</v>
      </c>
      <c r="AX97" s="310">
        <v>0.0</v>
      </c>
      <c r="AY97" s="308" t="s">
        <v>2974</v>
      </c>
      <c r="AZ97" s="308">
        <v>0.0</v>
      </c>
      <c r="BA97" s="311"/>
      <c r="BB97" s="311"/>
      <c r="BC97" s="311"/>
      <c r="BD97" s="308">
        <v>7.528505934151E12</v>
      </c>
      <c r="BE97" s="311"/>
      <c r="BF97" s="311"/>
      <c r="BG97" s="308" t="s">
        <v>2958</v>
      </c>
      <c r="BH97" s="308">
        <v>0.0</v>
      </c>
      <c r="BI97" s="308" t="s">
        <v>2959</v>
      </c>
      <c r="BJ97" s="308">
        <v>14.61</v>
      </c>
      <c r="BK97" s="311"/>
      <c r="BL97" s="311"/>
      <c r="BM97" s="311"/>
      <c r="BN97" s="311"/>
      <c r="BO97" s="311"/>
      <c r="BP97" s="311"/>
      <c r="BQ97" s="311"/>
      <c r="BR97" s="311"/>
      <c r="BS97" s="308"/>
      <c r="BT97" s="311"/>
      <c r="BU97" s="311"/>
      <c r="BV97" s="308" t="s">
        <v>3081</v>
      </c>
      <c r="BW97" s="308"/>
      <c r="BX97" s="308" t="s">
        <v>3009</v>
      </c>
      <c r="BY97" s="311"/>
      <c r="BZ97" s="311"/>
      <c r="CA97" s="308" t="s">
        <v>3009</v>
      </c>
      <c r="CB97" s="312" t="str">
        <f t="shared" si="1"/>
        <v>04/04/2026</v>
      </c>
      <c r="CC97" s="313">
        <f t="shared" si="2"/>
        <v>2026</v>
      </c>
      <c r="CD97" s="314">
        <f t="shared" si="3"/>
        <v>4</v>
      </c>
      <c r="CE97" s="314">
        <f t="shared" si="4"/>
        <v>0</v>
      </c>
      <c r="CF97" s="314">
        <f t="shared" si="5"/>
        <v>1</v>
      </c>
      <c r="CG97" s="314">
        <f t="shared" si="6"/>
        <v>-5</v>
      </c>
      <c r="CH97" s="315">
        <f>VLOOKUP(CL97,'PRODUCT_COGS&amp;PRICE'!A:E,5,false)</f>
        <v>16.5</v>
      </c>
      <c r="CI97" s="306">
        <f t="shared" si="7"/>
        <v>0</v>
      </c>
      <c r="CJ97" s="316">
        <f t="shared" si="8"/>
        <v>0</v>
      </c>
      <c r="CK97" s="316">
        <f t="shared" si="9"/>
        <v>26.5</v>
      </c>
      <c r="CL97" s="314" t="str">
        <f>VLOOKUP(R97,PRODUCT_MAP!A:B,2,FALSE)</f>
        <v>Annie_Bag_PAILLETTES_PINK</v>
      </c>
      <c r="CM97" s="314" t="str">
        <f>VLOOKUP(R97,PRODUCT_MAP!A:E,3,FALSE)</f>
        <v>Annie Bag paillettes</v>
      </c>
    </row>
    <row r="98" ht="22.5" customHeight="1">
      <c r="A98" s="308" t="s">
        <v>3808</v>
      </c>
      <c r="B98" s="308" t="s">
        <v>3809</v>
      </c>
      <c r="C98" s="308" t="s">
        <v>2942</v>
      </c>
      <c r="D98" s="308" t="s">
        <v>3810</v>
      </c>
      <c r="E98" s="308" t="s">
        <v>3013</v>
      </c>
      <c r="F98" s="308"/>
      <c r="G98" s="308" t="s">
        <v>2946</v>
      </c>
      <c r="H98" s="308" t="s">
        <v>2947</v>
      </c>
      <c r="I98" s="308">
        <v>90.0</v>
      </c>
      <c r="J98" s="308">
        <v>3.9</v>
      </c>
      <c r="K98" s="308">
        <v>16.93</v>
      </c>
      <c r="L98" s="308">
        <v>93.9</v>
      </c>
      <c r="M98" s="308"/>
      <c r="N98" s="308">
        <v>0.0</v>
      </c>
      <c r="O98" s="308" t="s">
        <v>2948</v>
      </c>
      <c r="P98" s="308" t="s">
        <v>3811</v>
      </c>
      <c r="Q98" s="310">
        <v>1.0</v>
      </c>
      <c r="R98" s="308" t="s">
        <v>3617</v>
      </c>
      <c r="S98" s="308">
        <v>90.0</v>
      </c>
      <c r="T98" s="311"/>
      <c r="U98" s="308" t="s">
        <v>3812</v>
      </c>
      <c r="V98" s="308" t="b">
        <v>1</v>
      </c>
      <c r="W98" s="308" t="b">
        <v>1</v>
      </c>
      <c r="X98" s="308"/>
      <c r="Y98" s="308" t="s">
        <v>3813</v>
      </c>
      <c r="Z98" s="308" t="s">
        <v>3814</v>
      </c>
      <c r="AA98" s="308" t="s">
        <v>3814</v>
      </c>
      <c r="AB98" s="308"/>
      <c r="AC98" s="308"/>
      <c r="AD98" s="308" t="s">
        <v>3815</v>
      </c>
      <c r="AE98" s="308">
        <v>32036.0</v>
      </c>
      <c r="AF98" s="308" t="s">
        <v>3816</v>
      </c>
      <c r="AG98" s="308" t="s">
        <v>2955</v>
      </c>
      <c r="AH98" s="308"/>
      <c r="AI98" s="308" t="s">
        <v>3813</v>
      </c>
      <c r="AJ98" s="308" t="s">
        <v>3817</v>
      </c>
      <c r="AK98" s="308" t="s">
        <v>3818</v>
      </c>
      <c r="AL98" s="308" t="s">
        <v>3819</v>
      </c>
      <c r="AM98" s="308"/>
      <c r="AN98" s="308" t="s">
        <v>3454</v>
      </c>
      <c r="AO98" s="308">
        <v>20054.0</v>
      </c>
      <c r="AP98" s="308" t="s">
        <v>2954</v>
      </c>
      <c r="AQ98" s="308" t="s">
        <v>2955</v>
      </c>
      <c r="AR98" s="308">
        <v>3.285578663E9</v>
      </c>
      <c r="AS98" s="311"/>
      <c r="AT98" s="311"/>
      <c r="AU98" s="311"/>
      <c r="AV98" s="308" t="s">
        <v>2956</v>
      </c>
      <c r="AW98" s="308">
        <v>4.7617873707335E13</v>
      </c>
      <c r="AX98" s="310">
        <v>0.0</v>
      </c>
      <c r="AY98" s="308" t="s">
        <v>2974</v>
      </c>
      <c r="AZ98" s="308">
        <v>0.0</v>
      </c>
      <c r="BA98" s="311"/>
      <c r="BB98" s="311"/>
      <c r="BC98" s="311"/>
      <c r="BD98" s="308">
        <v>7.535586443591E12</v>
      </c>
      <c r="BE98" s="311"/>
      <c r="BF98" s="311"/>
      <c r="BG98" s="308" t="s">
        <v>2958</v>
      </c>
      <c r="BH98" s="308">
        <v>0.0</v>
      </c>
      <c r="BI98" s="308" t="s">
        <v>2959</v>
      </c>
      <c r="BJ98" s="308">
        <v>16.23</v>
      </c>
      <c r="BK98" s="311"/>
      <c r="BL98" s="311"/>
      <c r="BM98" s="311"/>
      <c r="BN98" s="311"/>
      <c r="BO98" s="311"/>
      <c r="BP98" s="311"/>
      <c r="BQ98" s="311"/>
      <c r="BR98" s="311"/>
      <c r="BS98" s="308"/>
      <c r="BT98" s="311"/>
      <c r="BU98" s="311"/>
      <c r="BV98" s="308" t="s">
        <v>3820</v>
      </c>
      <c r="BW98" s="308" t="s">
        <v>23</v>
      </c>
      <c r="BX98" s="308" t="s">
        <v>2956</v>
      </c>
      <c r="BY98" s="311"/>
      <c r="BZ98" s="311"/>
      <c r="CA98" s="308" t="s">
        <v>2956</v>
      </c>
      <c r="CB98" s="312" t="str">
        <f t="shared" si="1"/>
        <v>05/04/2026</v>
      </c>
      <c r="CC98" s="313">
        <f t="shared" si="2"/>
        <v>2026</v>
      </c>
      <c r="CD98" s="314">
        <f t="shared" si="3"/>
        <v>4</v>
      </c>
      <c r="CE98" s="314">
        <f t="shared" si="4"/>
        <v>1</v>
      </c>
      <c r="CF98" s="314">
        <f t="shared" si="5"/>
        <v>1</v>
      </c>
      <c r="CG98" s="314">
        <f t="shared" si="6"/>
        <v>0</v>
      </c>
      <c r="CH98" s="315">
        <f>VLOOKUP(CL98,'PRODUCT_COGS&amp;PRICE'!A:E,5,false)</f>
        <v>16.5</v>
      </c>
      <c r="CI98" s="306">
        <f t="shared" si="7"/>
        <v>-2.0341</v>
      </c>
      <c r="CJ98" s="316">
        <f t="shared" si="8"/>
        <v>0</v>
      </c>
      <c r="CK98" s="316">
        <f t="shared" si="9"/>
        <v>0</v>
      </c>
      <c r="CL98" s="314" t="str">
        <f>VLOOKUP(R98,PRODUCT_MAP!A:B,2,FALSE)</f>
        <v>Annie_Bag_PAILLETTES_NUDE</v>
      </c>
      <c r="CM98" s="314" t="str">
        <f>VLOOKUP(R98,PRODUCT_MAP!A:E,3,FALSE)</f>
        <v>Annie Bag paillettes</v>
      </c>
    </row>
    <row r="99" ht="22.5" customHeight="1">
      <c r="A99" s="308" t="s">
        <v>3821</v>
      </c>
      <c r="B99" s="308" t="s">
        <v>3822</v>
      </c>
      <c r="C99" s="308" t="s">
        <v>2942</v>
      </c>
      <c r="D99" s="308" t="s">
        <v>3823</v>
      </c>
      <c r="E99" s="308" t="s">
        <v>3013</v>
      </c>
      <c r="F99" s="308"/>
      <c r="G99" s="308" t="s">
        <v>2965</v>
      </c>
      <c r="H99" s="308" t="s">
        <v>2947</v>
      </c>
      <c r="I99" s="308">
        <v>90.0</v>
      </c>
      <c r="J99" s="308">
        <v>3.9</v>
      </c>
      <c r="K99" s="308">
        <v>16.93</v>
      </c>
      <c r="L99" s="308">
        <v>93.9</v>
      </c>
      <c r="M99" s="308"/>
      <c r="N99" s="308">
        <v>0.0</v>
      </c>
      <c r="O99" s="308" t="s">
        <v>2948</v>
      </c>
      <c r="P99" s="308" t="s">
        <v>3824</v>
      </c>
      <c r="Q99" s="310">
        <v>1.0</v>
      </c>
      <c r="R99" s="308" t="s">
        <v>816</v>
      </c>
      <c r="S99" s="308">
        <v>90.0</v>
      </c>
      <c r="T99" s="311"/>
      <c r="U99" s="308" t="s">
        <v>3825</v>
      </c>
      <c r="V99" s="308" t="b">
        <v>1</v>
      </c>
      <c r="W99" s="308" t="b">
        <v>1</v>
      </c>
      <c r="X99" s="308"/>
      <c r="Y99" s="308" t="s">
        <v>3826</v>
      </c>
      <c r="Z99" s="308" t="s">
        <v>3827</v>
      </c>
      <c r="AA99" s="308" t="s">
        <v>3827</v>
      </c>
      <c r="AB99" s="308"/>
      <c r="AC99" s="308"/>
      <c r="AD99" s="308" t="s">
        <v>3828</v>
      </c>
      <c r="AE99" s="308">
        <v>91021.0</v>
      </c>
      <c r="AF99" s="308" t="s">
        <v>3829</v>
      </c>
      <c r="AG99" s="308" t="s">
        <v>2955</v>
      </c>
      <c r="AH99" s="318" t="s">
        <v>3830</v>
      </c>
      <c r="AI99" s="308" t="s">
        <v>3826</v>
      </c>
      <c r="AJ99" s="308" t="s">
        <v>3831</v>
      </c>
      <c r="AK99" s="308" t="s">
        <v>3831</v>
      </c>
      <c r="AL99" s="308"/>
      <c r="AM99" s="308"/>
      <c r="AN99" s="308" t="s">
        <v>3832</v>
      </c>
      <c r="AO99" s="308">
        <v>91021.0</v>
      </c>
      <c r="AP99" s="308" t="s">
        <v>3829</v>
      </c>
      <c r="AQ99" s="308" t="s">
        <v>2955</v>
      </c>
      <c r="AR99" s="318" t="s">
        <v>3830</v>
      </c>
      <c r="AS99" s="311"/>
      <c r="AT99" s="311"/>
      <c r="AU99" s="311"/>
      <c r="AV99" s="308" t="s">
        <v>2956</v>
      </c>
      <c r="AW99" s="308">
        <v>4.7619500179783E13</v>
      </c>
      <c r="AX99" s="310">
        <v>0.0</v>
      </c>
      <c r="AY99" s="308" t="s">
        <v>2974</v>
      </c>
      <c r="AZ99" s="308">
        <v>0.0</v>
      </c>
      <c r="BA99" s="311"/>
      <c r="BB99" s="311"/>
      <c r="BC99" s="311"/>
      <c r="BD99" s="308">
        <v>7.536286138695E12</v>
      </c>
      <c r="BE99" s="311"/>
      <c r="BF99" s="311"/>
      <c r="BG99" s="308" t="s">
        <v>2958</v>
      </c>
      <c r="BH99" s="308">
        <v>0.0</v>
      </c>
      <c r="BI99" s="308" t="s">
        <v>2959</v>
      </c>
      <c r="BJ99" s="308">
        <v>16.23</v>
      </c>
      <c r="BK99" s="311"/>
      <c r="BL99" s="311"/>
      <c r="BM99" s="311"/>
      <c r="BN99" s="311"/>
      <c r="BO99" s="311"/>
      <c r="BP99" s="311"/>
      <c r="BQ99" s="311"/>
      <c r="BR99" s="311"/>
      <c r="BS99" s="318" t="s">
        <v>3830</v>
      </c>
      <c r="BT99" s="311"/>
      <c r="BU99" s="311"/>
      <c r="BV99" s="308" t="s">
        <v>3833</v>
      </c>
      <c r="BW99" s="308" t="s">
        <v>3833</v>
      </c>
      <c r="BX99" s="308" t="s">
        <v>2956</v>
      </c>
      <c r="BY99" s="311"/>
      <c r="BZ99" s="311"/>
      <c r="CA99" s="308" t="s">
        <v>2956</v>
      </c>
      <c r="CB99" s="312" t="str">
        <f t="shared" si="1"/>
        <v>05/04/2026</v>
      </c>
      <c r="CC99" s="313">
        <f t="shared" si="2"/>
        <v>2026</v>
      </c>
      <c r="CD99" s="314">
        <f t="shared" si="3"/>
        <v>4</v>
      </c>
      <c r="CE99" s="314">
        <f t="shared" si="4"/>
        <v>1</v>
      </c>
      <c r="CF99" s="314">
        <f t="shared" si="5"/>
        <v>1</v>
      </c>
      <c r="CG99" s="314">
        <f t="shared" si="6"/>
        <v>0</v>
      </c>
      <c r="CH99" s="315">
        <f>VLOOKUP(CL99,'PRODUCT_COGS&amp;PRICE'!A:E,5,false)</f>
        <v>16.5</v>
      </c>
      <c r="CI99" s="306">
        <f t="shared" si="7"/>
        <v>-2.0341</v>
      </c>
      <c r="CJ99" s="316">
        <f t="shared" si="8"/>
        <v>0</v>
      </c>
      <c r="CK99" s="316">
        <f t="shared" si="9"/>
        <v>0</v>
      </c>
      <c r="CL99" s="314" t="str">
        <f>VLOOKUP(R99,PRODUCT_MAP!A:B,2,FALSE)</f>
        <v>Annie_Bag_PAILLETTES_LIGHT_GREEN</v>
      </c>
      <c r="CM99" s="314" t="str">
        <f>VLOOKUP(R99,PRODUCT_MAP!A:E,3,FALSE)</f>
        <v>Annie Bag paillettes</v>
      </c>
    </row>
    <row r="100" ht="22.5" customHeight="1">
      <c r="A100" s="308" t="s">
        <v>3834</v>
      </c>
      <c r="B100" s="308" t="s">
        <v>3835</v>
      </c>
      <c r="C100" s="308" t="s">
        <v>2942</v>
      </c>
      <c r="D100" s="308" t="s">
        <v>3836</v>
      </c>
      <c r="E100" s="308" t="s">
        <v>3013</v>
      </c>
      <c r="F100" s="308"/>
      <c r="G100" s="308" t="s">
        <v>2946</v>
      </c>
      <c r="H100" s="308" t="s">
        <v>2947</v>
      </c>
      <c r="I100" s="308">
        <v>170.0</v>
      </c>
      <c r="J100" s="308">
        <v>0.0</v>
      </c>
      <c r="K100" s="308">
        <v>30.66</v>
      </c>
      <c r="L100" s="308">
        <v>170.0</v>
      </c>
      <c r="M100" s="308"/>
      <c r="N100" s="308">
        <v>0.0</v>
      </c>
      <c r="O100" s="308" t="s">
        <v>2948</v>
      </c>
      <c r="P100" s="308" t="s">
        <v>3837</v>
      </c>
      <c r="Q100" s="310">
        <v>1.0</v>
      </c>
      <c r="R100" s="308" t="s">
        <v>549</v>
      </c>
      <c r="S100" s="308">
        <v>170.0</v>
      </c>
      <c r="T100" s="311"/>
      <c r="U100" s="308"/>
      <c r="V100" s="308" t="b">
        <v>1</v>
      </c>
      <c r="W100" s="308" t="b">
        <v>1</v>
      </c>
      <c r="X100" s="308"/>
      <c r="Y100" s="308" t="s">
        <v>3838</v>
      </c>
      <c r="Z100" s="308" t="s">
        <v>3839</v>
      </c>
      <c r="AA100" s="308" t="s">
        <v>3840</v>
      </c>
      <c r="AB100" s="308">
        <v>5.0</v>
      </c>
      <c r="AC100" s="308"/>
      <c r="AD100" s="308" t="s">
        <v>3841</v>
      </c>
      <c r="AE100" s="308">
        <v>31046.0</v>
      </c>
      <c r="AF100" s="308" t="s">
        <v>2995</v>
      </c>
      <c r="AG100" s="308" t="s">
        <v>2955</v>
      </c>
      <c r="AH100" s="308">
        <v>3.400548779E9</v>
      </c>
      <c r="AI100" s="308" t="s">
        <v>3838</v>
      </c>
      <c r="AJ100" s="308" t="s">
        <v>3839</v>
      </c>
      <c r="AK100" s="308" t="s">
        <v>3840</v>
      </c>
      <c r="AL100" s="308">
        <v>5.0</v>
      </c>
      <c r="AM100" s="308"/>
      <c r="AN100" s="308" t="s">
        <v>3841</v>
      </c>
      <c r="AO100" s="308">
        <v>31046.0</v>
      </c>
      <c r="AP100" s="308" t="s">
        <v>2995</v>
      </c>
      <c r="AQ100" s="308" t="s">
        <v>2955</v>
      </c>
      <c r="AR100" s="308">
        <v>3.400548779E9</v>
      </c>
      <c r="AS100" s="311"/>
      <c r="AT100" s="311"/>
      <c r="AU100" s="311"/>
      <c r="AV100" s="308" t="s">
        <v>2956</v>
      </c>
      <c r="AW100" s="308">
        <v>4.7626046734663E13</v>
      </c>
      <c r="AX100" s="310">
        <v>0.0</v>
      </c>
      <c r="AY100" s="308" t="s">
        <v>2974</v>
      </c>
      <c r="AZ100" s="308">
        <v>0.0</v>
      </c>
      <c r="BA100" s="311"/>
      <c r="BB100" s="311"/>
      <c r="BC100" s="311"/>
      <c r="BD100" s="308">
        <v>7.540505870663E12</v>
      </c>
      <c r="BE100" s="311"/>
      <c r="BF100" s="311"/>
      <c r="BG100" s="308" t="s">
        <v>2958</v>
      </c>
      <c r="BH100" s="308">
        <v>0.0</v>
      </c>
      <c r="BI100" s="308" t="s">
        <v>2959</v>
      </c>
      <c r="BJ100" s="308">
        <v>30.66</v>
      </c>
      <c r="BK100" s="311"/>
      <c r="BL100" s="311"/>
      <c r="BM100" s="311"/>
      <c r="BN100" s="311"/>
      <c r="BO100" s="311"/>
      <c r="BP100" s="311"/>
      <c r="BQ100" s="311"/>
      <c r="BR100" s="311"/>
      <c r="BS100" s="318" t="s">
        <v>3842</v>
      </c>
      <c r="BT100" s="311"/>
      <c r="BU100" s="311"/>
      <c r="BV100" s="308" t="s">
        <v>2994</v>
      </c>
      <c r="BW100" s="308" t="s">
        <v>2994</v>
      </c>
      <c r="BX100" s="308" t="s">
        <v>2956</v>
      </c>
      <c r="BY100" s="311"/>
      <c r="BZ100" s="311"/>
      <c r="CA100" s="308" t="s">
        <v>2956</v>
      </c>
      <c r="CB100" s="312" t="str">
        <f t="shared" si="1"/>
        <v>07/04/2026</v>
      </c>
      <c r="CC100" s="313">
        <f t="shared" si="2"/>
        <v>2026</v>
      </c>
      <c r="CD100" s="314">
        <f t="shared" si="3"/>
        <v>4</v>
      </c>
      <c r="CE100" s="314">
        <f t="shared" si="4"/>
        <v>1</v>
      </c>
      <c r="CF100" s="314">
        <f t="shared" si="5"/>
        <v>1</v>
      </c>
      <c r="CG100" s="314">
        <f t="shared" si="6"/>
        <v>-5</v>
      </c>
      <c r="CH100" s="315">
        <f>VLOOKUP(CL100,'PRODUCT_COGS&amp;PRICE'!A:E,5,false)</f>
        <v>36</v>
      </c>
      <c r="CI100" s="306">
        <f t="shared" si="7"/>
        <v>-3.48</v>
      </c>
      <c r="CJ100" s="316">
        <f t="shared" si="8"/>
        <v>0</v>
      </c>
      <c r="CK100" s="316">
        <f t="shared" si="9"/>
        <v>0</v>
      </c>
      <c r="CL100" s="314" t="str">
        <f>VLOOKUP(R100,PRODUCT_MAP!A:B,2,FALSE)</f>
        <v>Lea_Bag_Maxi_COCCO_BLACK</v>
      </c>
      <c r="CM100" s="314" t="str">
        <f>VLOOKUP(R100,PRODUCT_MAP!A:E,3,FALSE)</f>
        <v>Lea Bag Maxi</v>
      </c>
    </row>
    <row r="101" ht="22.5" customHeight="1">
      <c r="A101" s="308" t="s">
        <v>3843</v>
      </c>
      <c r="B101" s="308" t="s">
        <v>3844</v>
      </c>
      <c r="C101" s="308" t="s">
        <v>2942</v>
      </c>
      <c r="D101" s="308" t="s">
        <v>3845</v>
      </c>
      <c r="E101" s="308" t="s">
        <v>3013</v>
      </c>
      <c r="F101" s="308"/>
      <c r="G101" s="308" t="s">
        <v>2946</v>
      </c>
      <c r="H101" s="308" t="s">
        <v>2947</v>
      </c>
      <c r="I101" s="308">
        <v>170.0</v>
      </c>
      <c r="J101" s="308">
        <v>0.0</v>
      </c>
      <c r="K101" s="308">
        <v>30.66</v>
      </c>
      <c r="L101" s="308">
        <v>170.0</v>
      </c>
      <c r="M101" s="308"/>
      <c r="N101" s="308">
        <v>0.0</v>
      </c>
      <c r="O101" s="308" t="s">
        <v>2948</v>
      </c>
      <c r="P101" s="308" t="s">
        <v>3846</v>
      </c>
      <c r="Q101" s="310">
        <v>1.0</v>
      </c>
      <c r="R101" s="308" t="s">
        <v>549</v>
      </c>
      <c r="S101" s="308">
        <v>170.0</v>
      </c>
      <c r="T101" s="311"/>
      <c r="U101" s="308"/>
      <c r="V101" s="308" t="b">
        <v>1</v>
      </c>
      <c r="W101" s="308" t="b">
        <v>1</v>
      </c>
      <c r="X101" s="308"/>
      <c r="Y101" s="308" t="s">
        <v>3847</v>
      </c>
      <c r="Z101" s="308" t="s">
        <v>3848</v>
      </c>
      <c r="AA101" s="308" t="s">
        <v>3848</v>
      </c>
      <c r="AB101" s="308"/>
      <c r="AC101" s="308"/>
      <c r="AD101" s="308" t="s">
        <v>3849</v>
      </c>
      <c r="AE101" s="308">
        <v>64020.0</v>
      </c>
      <c r="AF101" s="308" t="s">
        <v>3850</v>
      </c>
      <c r="AG101" s="308" t="s">
        <v>2955</v>
      </c>
      <c r="AH101" s="308">
        <v>3.938968531E9</v>
      </c>
      <c r="AI101" s="308" t="s">
        <v>3847</v>
      </c>
      <c r="AJ101" s="308" t="s">
        <v>3848</v>
      </c>
      <c r="AK101" s="308" t="s">
        <v>3848</v>
      </c>
      <c r="AL101" s="308"/>
      <c r="AM101" s="308"/>
      <c r="AN101" s="308" t="s">
        <v>3849</v>
      </c>
      <c r="AO101" s="308">
        <v>64020.0</v>
      </c>
      <c r="AP101" s="308" t="s">
        <v>3850</v>
      </c>
      <c r="AQ101" s="308" t="s">
        <v>2955</v>
      </c>
      <c r="AR101" s="308">
        <v>3.938968531E9</v>
      </c>
      <c r="AS101" s="311"/>
      <c r="AT101" s="311"/>
      <c r="AU101" s="311"/>
      <c r="AV101" s="308" t="s">
        <v>2956</v>
      </c>
      <c r="AW101" s="308">
        <v>4.7626110927175E13</v>
      </c>
      <c r="AX101" s="310">
        <v>0.0</v>
      </c>
      <c r="AY101" s="308" t="s">
        <v>2974</v>
      </c>
      <c r="AZ101" s="308">
        <v>0.0</v>
      </c>
      <c r="BA101" s="311"/>
      <c r="BB101" s="311"/>
      <c r="BC101" s="311"/>
      <c r="BD101" s="308">
        <v>7.540535656775E12</v>
      </c>
      <c r="BE101" s="311"/>
      <c r="BF101" s="311"/>
      <c r="BG101" s="308" t="s">
        <v>2958</v>
      </c>
      <c r="BH101" s="308">
        <v>0.0</v>
      </c>
      <c r="BI101" s="308" t="s">
        <v>2959</v>
      </c>
      <c r="BJ101" s="308">
        <v>30.66</v>
      </c>
      <c r="BK101" s="311"/>
      <c r="BL101" s="311"/>
      <c r="BM101" s="311"/>
      <c r="BN101" s="311"/>
      <c r="BO101" s="311"/>
      <c r="BP101" s="311"/>
      <c r="BQ101" s="311"/>
      <c r="BR101" s="311"/>
      <c r="BS101" s="308"/>
      <c r="BT101" s="311"/>
      <c r="BU101" s="311"/>
      <c r="BV101" s="308" t="s">
        <v>3851</v>
      </c>
      <c r="BW101" s="308" t="s">
        <v>3851</v>
      </c>
      <c r="BX101" s="308" t="s">
        <v>2956</v>
      </c>
      <c r="BY101" s="311"/>
      <c r="BZ101" s="311"/>
      <c r="CA101" s="308" t="s">
        <v>2956</v>
      </c>
      <c r="CB101" s="312" t="str">
        <f t="shared" si="1"/>
        <v>07/04/2026</v>
      </c>
      <c r="CC101" s="313">
        <f t="shared" si="2"/>
        <v>2026</v>
      </c>
      <c r="CD101" s="314">
        <f t="shared" si="3"/>
        <v>4</v>
      </c>
      <c r="CE101" s="314">
        <f t="shared" si="4"/>
        <v>1</v>
      </c>
      <c r="CF101" s="314">
        <f t="shared" si="5"/>
        <v>1</v>
      </c>
      <c r="CG101" s="314">
        <f t="shared" si="6"/>
        <v>-5</v>
      </c>
      <c r="CH101" s="315">
        <f>VLOOKUP(CL101,'PRODUCT_COGS&amp;PRICE'!A:E,5,false)</f>
        <v>36</v>
      </c>
      <c r="CI101" s="306">
        <f t="shared" si="7"/>
        <v>-3.48</v>
      </c>
      <c r="CJ101" s="316">
        <f t="shared" si="8"/>
        <v>0</v>
      </c>
      <c r="CK101" s="316">
        <f t="shared" si="9"/>
        <v>0</v>
      </c>
      <c r="CL101" s="314" t="str">
        <f>VLOOKUP(R101,PRODUCT_MAP!A:B,2,FALSE)</f>
        <v>Lea_Bag_Maxi_COCCO_BLACK</v>
      </c>
      <c r="CM101" s="314" t="str">
        <f>VLOOKUP(R101,PRODUCT_MAP!A:E,3,FALSE)</f>
        <v>Lea Bag Maxi</v>
      </c>
    </row>
    <row r="102" ht="22.5" customHeight="1">
      <c r="A102" s="308" t="s">
        <v>3852</v>
      </c>
      <c r="B102" s="308" t="s">
        <v>3853</v>
      </c>
      <c r="C102" s="308" t="s">
        <v>2942</v>
      </c>
      <c r="D102" s="308" t="s">
        <v>3854</v>
      </c>
      <c r="E102" s="308" t="s">
        <v>3013</v>
      </c>
      <c r="F102" s="308"/>
      <c r="G102" s="308" t="s">
        <v>2946</v>
      </c>
      <c r="H102" s="308" t="s">
        <v>2947</v>
      </c>
      <c r="I102" s="308">
        <v>120.0</v>
      </c>
      <c r="J102" s="308">
        <v>0.0</v>
      </c>
      <c r="K102" s="308">
        <v>21.64</v>
      </c>
      <c r="L102" s="308">
        <v>120.0</v>
      </c>
      <c r="M102" s="308"/>
      <c r="N102" s="308">
        <v>0.0</v>
      </c>
      <c r="O102" s="308" t="s">
        <v>2948</v>
      </c>
      <c r="P102" s="308" t="s">
        <v>3855</v>
      </c>
      <c r="Q102" s="310">
        <v>1.0</v>
      </c>
      <c r="R102" s="308" t="s">
        <v>3266</v>
      </c>
      <c r="S102" s="308">
        <v>120.0</v>
      </c>
      <c r="T102" s="311"/>
      <c r="U102" s="308" t="s">
        <v>237</v>
      </c>
      <c r="V102" s="308" t="b">
        <v>1</v>
      </c>
      <c r="W102" s="308" t="b">
        <v>1</v>
      </c>
      <c r="X102" s="308"/>
      <c r="Y102" s="308" t="s">
        <v>3856</v>
      </c>
      <c r="Z102" s="308" t="s">
        <v>3857</v>
      </c>
      <c r="AA102" s="308" t="s">
        <v>3858</v>
      </c>
      <c r="AB102" s="308" t="s">
        <v>3859</v>
      </c>
      <c r="AC102" s="308"/>
      <c r="AD102" s="308" t="s">
        <v>23</v>
      </c>
      <c r="AE102" s="308">
        <v>20147.0</v>
      </c>
      <c r="AF102" s="308" t="s">
        <v>2954</v>
      </c>
      <c r="AG102" s="308" t="s">
        <v>2955</v>
      </c>
      <c r="AH102" s="318" t="s">
        <v>3860</v>
      </c>
      <c r="AI102" s="308" t="s">
        <v>3856</v>
      </c>
      <c r="AJ102" s="308" t="s">
        <v>3857</v>
      </c>
      <c r="AK102" s="308" t="s">
        <v>3858</v>
      </c>
      <c r="AL102" s="308" t="s">
        <v>3859</v>
      </c>
      <c r="AM102" s="308"/>
      <c r="AN102" s="308" t="s">
        <v>23</v>
      </c>
      <c r="AO102" s="308">
        <v>20147.0</v>
      </c>
      <c r="AP102" s="308" t="s">
        <v>2954</v>
      </c>
      <c r="AQ102" s="308" t="s">
        <v>2955</v>
      </c>
      <c r="AR102" s="318" t="s">
        <v>3860</v>
      </c>
      <c r="AS102" s="311"/>
      <c r="AT102" s="311"/>
      <c r="AU102" s="311"/>
      <c r="AV102" s="308" t="s">
        <v>2956</v>
      </c>
      <c r="AW102" s="308">
        <v>4.7631181545799E13</v>
      </c>
      <c r="AX102" s="310">
        <v>0.0</v>
      </c>
      <c r="AY102" s="308" t="s">
        <v>2974</v>
      </c>
      <c r="AZ102" s="308">
        <v>0.0</v>
      </c>
      <c r="BA102" s="311"/>
      <c r="BB102" s="311"/>
      <c r="BC102" s="311"/>
      <c r="BD102" s="308">
        <v>7.544079089991E12</v>
      </c>
      <c r="BE102" s="311"/>
      <c r="BF102" s="311"/>
      <c r="BG102" s="308" t="s">
        <v>2958</v>
      </c>
      <c r="BH102" s="308">
        <v>0.0</v>
      </c>
      <c r="BI102" s="308" t="s">
        <v>2959</v>
      </c>
      <c r="BJ102" s="308">
        <v>21.64</v>
      </c>
      <c r="BK102" s="311"/>
      <c r="BL102" s="311"/>
      <c r="BM102" s="311"/>
      <c r="BN102" s="311"/>
      <c r="BO102" s="311"/>
      <c r="BP102" s="311"/>
      <c r="BQ102" s="311"/>
      <c r="BR102" s="311"/>
      <c r="BS102" s="308"/>
      <c r="BT102" s="311"/>
      <c r="BU102" s="311"/>
      <c r="BV102" s="308" t="s">
        <v>23</v>
      </c>
      <c r="BW102" s="308" t="s">
        <v>23</v>
      </c>
      <c r="BX102" s="308" t="s">
        <v>2956</v>
      </c>
      <c r="BY102" s="311"/>
      <c r="BZ102" s="311"/>
      <c r="CA102" s="308" t="s">
        <v>2956</v>
      </c>
      <c r="CB102" s="312" t="str">
        <f t="shared" si="1"/>
        <v>08/04/2026</v>
      </c>
      <c r="CC102" s="313">
        <f t="shared" si="2"/>
        <v>2026</v>
      </c>
      <c r="CD102" s="314">
        <f t="shared" si="3"/>
        <v>4</v>
      </c>
      <c r="CE102" s="314">
        <f t="shared" si="4"/>
        <v>1</v>
      </c>
      <c r="CF102" s="314">
        <f t="shared" si="5"/>
        <v>1</v>
      </c>
      <c r="CG102" s="314">
        <f t="shared" si="6"/>
        <v>-5</v>
      </c>
      <c r="CH102" s="315">
        <f>VLOOKUP(CL102,'PRODUCT_COGS&amp;PRICE'!A:E,5,false)</f>
        <v>30.33</v>
      </c>
      <c r="CI102" s="306">
        <f t="shared" si="7"/>
        <v>-2.53</v>
      </c>
      <c r="CJ102" s="316">
        <f t="shared" si="8"/>
        <v>0</v>
      </c>
      <c r="CK102" s="316">
        <f t="shared" si="9"/>
        <v>0</v>
      </c>
      <c r="CL102" s="314" t="str">
        <f>VLOOKUP(R102,PRODUCT_MAP!A:B,2,FALSE)</f>
        <v>Lea_Bag_COCCO_CHOCOLATE</v>
      </c>
      <c r="CM102" s="314" t="str">
        <f>VLOOKUP(R102,PRODUCT_MAP!A:E,3,FALSE)</f>
        <v>Lea Bag</v>
      </c>
    </row>
    <row r="103" ht="22.5" customHeight="1">
      <c r="A103" s="308" t="s">
        <v>3861</v>
      </c>
      <c r="B103" s="308" t="s">
        <v>3862</v>
      </c>
      <c r="C103" s="308" t="s">
        <v>2942</v>
      </c>
      <c r="D103" s="308" t="s">
        <v>3863</v>
      </c>
      <c r="E103" s="308" t="s">
        <v>3013</v>
      </c>
      <c r="F103" s="308"/>
      <c r="G103" s="308" t="s">
        <v>2946</v>
      </c>
      <c r="H103" s="308" t="s">
        <v>2947</v>
      </c>
      <c r="I103" s="308">
        <v>72.0</v>
      </c>
      <c r="J103" s="308">
        <v>3.9</v>
      </c>
      <c r="K103" s="308">
        <v>13.68</v>
      </c>
      <c r="L103" s="308">
        <v>75.9</v>
      </c>
      <c r="M103" s="308"/>
      <c r="N103" s="308">
        <v>0.0</v>
      </c>
      <c r="O103" s="308" t="s">
        <v>3864</v>
      </c>
      <c r="P103" s="308" t="s">
        <v>3865</v>
      </c>
      <c r="Q103" s="310">
        <v>1.0</v>
      </c>
      <c r="R103" s="308" t="s">
        <v>3866</v>
      </c>
      <c r="S103" s="308">
        <v>72.0</v>
      </c>
      <c r="T103" s="311"/>
      <c r="U103" s="308"/>
      <c r="V103" s="308" t="b">
        <v>1</v>
      </c>
      <c r="W103" s="308" t="b">
        <v>1</v>
      </c>
      <c r="X103" s="308"/>
      <c r="Y103" s="308" t="s">
        <v>3867</v>
      </c>
      <c r="Z103" s="308" t="s">
        <v>3868</v>
      </c>
      <c r="AA103" s="308" t="s">
        <v>3868</v>
      </c>
      <c r="AB103" s="308"/>
      <c r="AC103" s="308"/>
      <c r="AD103" s="308" t="s">
        <v>3228</v>
      </c>
      <c r="AE103" s="308">
        <v>90149.0</v>
      </c>
      <c r="AF103" s="308" t="s">
        <v>3227</v>
      </c>
      <c r="AG103" s="308" t="s">
        <v>2955</v>
      </c>
      <c r="AH103" s="308"/>
      <c r="AI103" s="308" t="s">
        <v>3867</v>
      </c>
      <c r="AJ103" s="308" t="s">
        <v>3869</v>
      </c>
      <c r="AK103" s="308" t="s">
        <v>3870</v>
      </c>
      <c r="AL103" s="308" t="s">
        <v>3871</v>
      </c>
      <c r="AM103" s="308"/>
      <c r="AN103" s="308" t="s">
        <v>3228</v>
      </c>
      <c r="AO103" s="308">
        <v>90149.0</v>
      </c>
      <c r="AP103" s="308" t="s">
        <v>3227</v>
      </c>
      <c r="AQ103" s="308" t="s">
        <v>2955</v>
      </c>
      <c r="AR103" s="308">
        <v>3.288351803E9</v>
      </c>
      <c r="AS103" s="311"/>
      <c r="AT103" s="311"/>
      <c r="AU103" s="311"/>
      <c r="AV103" s="308" t="s">
        <v>2956</v>
      </c>
      <c r="AW103" s="308">
        <v>4.7636390674759E13</v>
      </c>
      <c r="AX103" s="310">
        <v>0.0</v>
      </c>
      <c r="AY103" s="308"/>
      <c r="AZ103" s="308">
        <v>0.0</v>
      </c>
      <c r="BA103" s="311"/>
      <c r="BB103" s="311"/>
      <c r="BC103" s="311"/>
      <c r="BD103" s="308">
        <v>7.551883968839E12</v>
      </c>
      <c r="BE103" s="311"/>
      <c r="BF103" s="311"/>
      <c r="BG103" s="308" t="s">
        <v>3640</v>
      </c>
      <c r="BH103" s="308">
        <v>0.0</v>
      </c>
      <c r="BI103" s="308" t="s">
        <v>2959</v>
      </c>
      <c r="BJ103" s="308">
        <v>12.98</v>
      </c>
      <c r="BK103" s="311"/>
      <c r="BL103" s="311"/>
      <c r="BM103" s="311"/>
      <c r="BN103" s="311"/>
      <c r="BO103" s="311"/>
      <c r="BP103" s="311"/>
      <c r="BQ103" s="311"/>
      <c r="BR103" s="311"/>
      <c r="BS103" s="308"/>
      <c r="BT103" s="311"/>
      <c r="BU103" s="311"/>
      <c r="BV103" s="308" t="s">
        <v>3228</v>
      </c>
      <c r="BW103" s="308" t="s">
        <v>3228</v>
      </c>
      <c r="BX103" s="308" t="s">
        <v>2956</v>
      </c>
      <c r="BY103" s="311"/>
      <c r="BZ103" s="311"/>
      <c r="CA103" s="308" t="s">
        <v>2956</v>
      </c>
      <c r="CB103" s="312" t="str">
        <f t="shared" si="1"/>
        <v>09/04/2026</v>
      </c>
      <c r="CC103" s="313">
        <f t="shared" si="2"/>
        <v>2026</v>
      </c>
      <c r="CD103" s="314">
        <f t="shared" si="3"/>
        <v>4</v>
      </c>
      <c r="CE103" s="314">
        <f t="shared" si="4"/>
        <v>1</v>
      </c>
      <c r="CF103" s="314">
        <f t="shared" si="5"/>
        <v>1</v>
      </c>
      <c r="CG103" s="314">
        <f t="shared" si="6"/>
        <v>0</v>
      </c>
      <c r="CH103" s="315">
        <f>VLOOKUP(CL103,'PRODUCT_COGS&amp;PRICE'!A:E,5,false)</f>
        <v>19</v>
      </c>
      <c r="CI103" s="306">
        <f t="shared" si="7"/>
        <v>-1.6921</v>
      </c>
      <c r="CJ103" s="316">
        <f t="shared" si="8"/>
        <v>0</v>
      </c>
      <c r="CK103" s="316">
        <f t="shared" si="9"/>
        <v>0</v>
      </c>
      <c r="CL103" s="314" t="str">
        <f>VLOOKUP(R103,PRODUCT_MAP!A:B,2,FALSE)</f>
        <v>Agata_Bag_FLORAL_BORDEAUX_EMBROIDERY</v>
      </c>
      <c r="CM103" s="314" t="str">
        <f>VLOOKUP(R103,PRODUCT_MAP!A:E,3,FALSE)</f>
        <v>Agata Bag</v>
      </c>
    </row>
    <row r="104" ht="22.5" customHeight="1">
      <c r="A104" s="308" t="s">
        <v>3872</v>
      </c>
      <c r="B104" s="308" t="s">
        <v>3873</v>
      </c>
      <c r="C104" s="308" t="s">
        <v>2942</v>
      </c>
      <c r="D104" s="308" t="s">
        <v>3874</v>
      </c>
      <c r="E104" s="308" t="s">
        <v>3013</v>
      </c>
      <c r="F104" s="308"/>
      <c r="G104" s="308" t="s">
        <v>2965</v>
      </c>
      <c r="H104" s="308" t="s">
        <v>2947</v>
      </c>
      <c r="I104" s="308">
        <v>80.0</v>
      </c>
      <c r="J104" s="308">
        <v>0.0</v>
      </c>
      <c r="K104" s="308">
        <v>14.43</v>
      </c>
      <c r="L104" s="308">
        <v>80.0</v>
      </c>
      <c r="M104" s="308"/>
      <c r="N104" s="308">
        <v>0.0</v>
      </c>
      <c r="O104" s="308" t="s">
        <v>2979</v>
      </c>
      <c r="P104" s="308" t="s">
        <v>3875</v>
      </c>
      <c r="Q104" s="310">
        <v>1.0</v>
      </c>
      <c r="R104" s="308" t="s">
        <v>3876</v>
      </c>
      <c r="S104" s="308">
        <v>80.0</v>
      </c>
      <c r="T104" s="311"/>
      <c r="U104" s="308" t="s">
        <v>273</v>
      </c>
      <c r="V104" s="308" t="b">
        <v>1</v>
      </c>
      <c r="W104" s="308" t="b">
        <v>1</v>
      </c>
      <c r="X104" s="308"/>
      <c r="Y104" s="308" t="s">
        <v>3877</v>
      </c>
      <c r="Z104" s="308" t="s">
        <v>3878</v>
      </c>
      <c r="AA104" s="308" t="s">
        <v>3878</v>
      </c>
      <c r="AB104" s="308"/>
      <c r="AC104" s="308"/>
      <c r="AD104" s="308" t="s">
        <v>3655</v>
      </c>
      <c r="AE104" s="308">
        <v>10144.0</v>
      </c>
      <c r="AF104" s="308" t="s">
        <v>3654</v>
      </c>
      <c r="AG104" s="308" t="s">
        <v>2955</v>
      </c>
      <c r="AH104" s="308"/>
      <c r="AI104" s="308"/>
      <c r="AJ104" s="308"/>
      <c r="AK104" s="308"/>
      <c r="AL104" s="308"/>
      <c r="AM104" s="308"/>
      <c r="AN104" s="308"/>
      <c r="AO104" s="308"/>
      <c r="AP104" s="308"/>
      <c r="AQ104" s="308"/>
      <c r="AR104" s="308"/>
      <c r="AS104" s="311"/>
      <c r="AT104" s="311"/>
      <c r="AU104" s="311"/>
      <c r="AV104" s="308" t="s">
        <v>2956</v>
      </c>
      <c r="AW104" s="308">
        <v>4.7637968355655E13</v>
      </c>
      <c r="AX104" s="310">
        <v>0.0</v>
      </c>
      <c r="AY104" s="308" t="s">
        <v>2974</v>
      </c>
      <c r="AZ104" s="308">
        <v>0.0</v>
      </c>
      <c r="BA104" s="311"/>
      <c r="BB104" s="311"/>
      <c r="BC104" s="311"/>
      <c r="BD104" s="308">
        <v>7.553796047175E12</v>
      </c>
      <c r="BE104" s="311"/>
      <c r="BF104" s="311"/>
      <c r="BG104" s="308" t="s">
        <v>2958</v>
      </c>
      <c r="BH104" s="308">
        <v>0.0</v>
      </c>
      <c r="BI104" s="308" t="s">
        <v>2959</v>
      </c>
      <c r="BJ104" s="308">
        <v>14.43</v>
      </c>
      <c r="BK104" s="311"/>
      <c r="BL104" s="311"/>
      <c r="BM104" s="311"/>
      <c r="BN104" s="311"/>
      <c r="BO104" s="311"/>
      <c r="BP104" s="311"/>
      <c r="BQ104" s="311"/>
      <c r="BR104" s="311"/>
      <c r="BS104" s="308"/>
      <c r="BT104" s="311"/>
      <c r="BU104" s="311"/>
      <c r="BV104" s="308" t="s">
        <v>3655</v>
      </c>
      <c r="BW104" s="308"/>
      <c r="BX104" s="308" t="s">
        <v>2956</v>
      </c>
      <c r="BY104" s="311"/>
      <c r="BZ104" s="311"/>
      <c r="CA104" s="308" t="s">
        <v>2956</v>
      </c>
      <c r="CB104" s="312" t="str">
        <f t="shared" si="1"/>
        <v>09/04/2026</v>
      </c>
      <c r="CC104" s="313">
        <f t="shared" si="2"/>
        <v>2026</v>
      </c>
      <c r="CD104" s="314">
        <f t="shared" si="3"/>
        <v>4</v>
      </c>
      <c r="CE104" s="314">
        <f t="shared" si="4"/>
        <v>1</v>
      </c>
      <c r="CF104" s="314">
        <f t="shared" si="5"/>
        <v>1</v>
      </c>
      <c r="CG104" s="314">
        <f t="shared" si="6"/>
        <v>-5</v>
      </c>
      <c r="CH104" s="315">
        <f>VLOOKUP(CL104,'PRODUCT_COGS&amp;PRICE'!A:E,5,false)</f>
        <v>19</v>
      </c>
      <c r="CI104" s="306">
        <f t="shared" si="7"/>
        <v>-1.77</v>
      </c>
      <c r="CJ104" s="316">
        <f t="shared" si="8"/>
        <v>0</v>
      </c>
      <c r="CK104" s="316">
        <f t="shared" si="9"/>
        <v>0</v>
      </c>
      <c r="CL104" s="314" t="str">
        <f>VLOOKUP(R104,PRODUCT_MAP!A:B,2,FALSE)</f>
        <v>Agata_Bag_FLORAL_PINK_EMBROIDERY</v>
      </c>
      <c r="CM104" s="314" t="str">
        <f>VLOOKUP(R104,PRODUCT_MAP!A:E,3,FALSE)</f>
        <v>Agata Bag</v>
      </c>
    </row>
    <row r="105" ht="22.5" customHeight="1">
      <c r="A105" s="308" t="s">
        <v>3879</v>
      </c>
      <c r="B105" s="308" t="s">
        <v>3880</v>
      </c>
      <c r="C105" s="308" t="s">
        <v>2942</v>
      </c>
      <c r="D105" s="308" t="s">
        <v>3881</v>
      </c>
      <c r="E105" s="308" t="s">
        <v>3013</v>
      </c>
      <c r="F105" s="308"/>
      <c r="G105" s="308" t="s">
        <v>2965</v>
      </c>
      <c r="H105" s="308" t="s">
        <v>2947</v>
      </c>
      <c r="I105" s="308">
        <v>75.0</v>
      </c>
      <c r="J105" s="308">
        <v>3.9</v>
      </c>
      <c r="K105" s="308">
        <v>14.22</v>
      </c>
      <c r="L105" s="308">
        <v>78.9</v>
      </c>
      <c r="M105" s="308"/>
      <c r="N105" s="308">
        <v>0.0</v>
      </c>
      <c r="O105" s="308" t="s">
        <v>2948</v>
      </c>
      <c r="P105" s="308" t="s">
        <v>3882</v>
      </c>
      <c r="Q105" s="310">
        <v>1.0</v>
      </c>
      <c r="R105" s="308" t="s">
        <v>3883</v>
      </c>
      <c r="S105" s="308">
        <v>75.0</v>
      </c>
      <c r="T105" s="311"/>
      <c r="U105" s="308" t="s">
        <v>281</v>
      </c>
      <c r="V105" s="308" t="b">
        <v>1</v>
      </c>
      <c r="W105" s="308" t="b">
        <v>1</v>
      </c>
      <c r="X105" s="308"/>
      <c r="Y105" s="308" t="s">
        <v>3884</v>
      </c>
      <c r="Z105" s="308" t="s">
        <v>3885</v>
      </c>
      <c r="AA105" s="308" t="s">
        <v>3885</v>
      </c>
      <c r="AB105" s="308"/>
      <c r="AC105" s="308"/>
      <c r="AD105" s="308" t="s">
        <v>23</v>
      </c>
      <c r="AE105" s="308">
        <v>20135.0</v>
      </c>
      <c r="AF105" s="308" t="s">
        <v>2954</v>
      </c>
      <c r="AG105" s="308" t="s">
        <v>2955</v>
      </c>
      <c r="AH105" s="308">
        <v>3.93392268983E11</v>
      </c>
      <c r="AI105" s="308" t="s">
        <v>3884</v>
      </c>
      <c r="AJ105" s="308" t="s">
        <v>3886</v>
      </c>
      <c r="AK105" s="308" t="s">
        <v>3886</v>
      </c>
      <c r="AL105" s="308"/>
      <c r="AM105" s="308"/>
      <c r="AN105" s="308" t="s">
        <v>3217</v>
      </c>
      <c r="AO105" s="308">
        <v>20135.0</v>
      </c>
      <c r="AP105" s="308" t="s">
        <v>2954</v>
      </c>
      <c r="AQ105" s="308" t="s">
        <v>2955</v>
      </c>
      <c r="AR105" s="308">
        <v>3.93392268983E11</v>
      </c>
      <c r="AS105" s="311"/>
      <c r="AT105" s="311"/>
      <c r="AU105" s="311"/>
      <c r="AV105" s="308" t="s">
        <v>2956</v>
      </c>
      <c r="AW105" s="308">
        <v>4.7639299162439E13</v>
      </c>
      <c r="AX105" s="310">
        <v>0.0</v>
      </c>
      <c r="AY105" s="308" t="s">
        <v>2974</v>
      </c>
      <c r="AZ105" s="308">
        <v>0.0</v>
      </c>
      <c r="BA105" s="311"/>
      <c r="BB105" s="311"/>
      <c r="BC105" s="311"/>
      <c r="BD105" s="308">
        <v>7.555538813255E12</v>
      </c>
      <c r="BE105" s="311"/>
      <c r="BF105" s="311"/>
      <c r="BG105" s="308" t="s">
        <v>2958</v>
      </c>
      <c r="BH105" s="308">
        <v>0.0</v>
      </c>
      <c r="BI105" s="308" t="s">
        <v>2959</v>
      </c>
      <c r="BJ105" s="308">
        <v>13.52</v>
      </c>
      <c r="BK105" s="311"/>
      <c r="BL105" s="311"/>
      <c r="BM105" s="311"/>
      <c r="BN105" s="311"/>
      <c r="BO105" s="311"/>
      <c r="BP105" s="311"/>
      <c r="BQ105" s="311"/>
      <c r="BR105" s="311"/>
      <c r="BS105" s="318" t="s">
        <v>3887</v>
      </c>
      <c r="BT105" s="311"/>
      <c r="BU105" s="311"/>
      <c r="BV105" s="308" t="s">
        <v>23</v>
      </c>
      <c r="BW105" s="308" t="s">
        <v>23</v>
      </c>
      <c r="BX105" s="308" t="s">
        <v>2956</v>
      </c>
      <c r="BY105" s="311"/>
      <c r="BZ105" s="311"/>
      <c r="CA105" s="308" t="s">
        <v>2956</v>
      </c>
      <c r="CB105" s="312" t="str">
        <f t="shared" si="1"/>
        <v>09/04/2026</v>
      </c>
      <c r="CC105" s="313">
        <f t="shared" si="2"/>
        <v>2026</v>
      </c>
      <c r="CD105" s="314">
        <f t="shared" si="3"/>
        <v>4</v>
      </c>
      <c r="CE105" s="314">
        <f t="shared" si="4"/>
        <v>1</v>
      </c>
      <c r="CF105" s="314">
        <f t="shared" si="5"/>
        <v>1</v>
      </c>
      <c r="CG105" s="314">
        <f t="shared" si="6"/>
        <v>0</v>
      </c>
      <c r="CH105" s="315">
        <f>VLOOKUP(CL105,'PRODUCT_COGS&amp;PRICE'!A:E,5,false)</f>
        <v>16.5</v>
      </c>
      <c r="CI105" s="306">
        <f t="shared" si="7"/>
        <v>-1.7491</v>
      </c>
      <c r="CJ105" s="316">
        <f t="shared" si="8"/>
        <v>0</v>
      </c>
      <c r="CK105" s="316">
        <f t="shared" si="9"/>
        <v>0</v>
      </c>
      <c r="CL105" s="314" t="str">
        <f>VLOOKUP(R105,PRODUCT_MAP!A:B,2,FALSE)</f>
        <v>Agata_Bag_TIE_DYE_PINK</v>
      </c>
      <c r="CM105" s="314" t="str">
        <f>VLOOKUP(R105,PRODUCT_MAP!A:E,3,FALSE)</f>
        <v>Agata Bag</v>
      </c>
    </row>
    <row r="106" ht="22.5" customHeight="1">
      <c r="A106" s="308" t="s">
        <v>3888</v>
      </c>
      <c r="B106" s="308" t="s">
        <v>3889</v>
      </c>
      <c r="C106" s="308" t="s">
        <v>2942</v>
      </c>
      <c r="D106" s="308" t="s">
        <v>3890</v>
      </c>
      <c r="E106" s="308" t="s">
        <v>3013</v>
      </c>
      <c r="F106" s="308"/>
      <c r="G106" s="308" t="s">
        <v>2946</v>
      </c>
      <c r="H106" s="308" t="s">
        <v>2947</v>
      </c>
      <c r="I106" s="308">
        <v>80.0</v>
      </c>
      <c r="J106" s="308">
        <v>3.9</v>
      </c>
      <c r="K106" s="308">
        <v>15.13</v>
      </c>
      <c r="L106" s="308">
        <v>83.9</v>
      </c>
      <c r="M106" s="308"/>
      <c r="N106" s="308">
        <v>0.0</v>
      </c>
      <c r="O106" s="308" t="s">
        <v>2948</v>
      </c>
      <c r="P106" s="308" t="s">
        <v>3891</v>
      </c>
      <c r="Q106" s="310">
        <v>1.0</v>
      </c>
      <c r="R106" s="308" t="s">
        <v>3876</v>
      </c>
      <c r="S106" s="308">
        <v>80.0</v>
      </c>
      <c r="T106" s="311"/>
      <c r="U106" s="308" t="s">
        <v>273</v>
      </c>
      <c r="V106" s="308" t="b">
        <v>1</v>
      </c>
      <c r="W106" s="308" t="b">
        <v>1</v>
      </c>
      <c r="X106" s="308"/>
      <c r="Y106" s="308" t="s">
        <v>3892</v>
      </c>
      <c r="Z106" s="308" t="s">
        <v>3893</v>
      </c>
      <c r="AA106" s="308" t="s">
        <v>3894</v>
      </c>
      <c r="AB106" s="308" t="s">
        <v>3895</v>
      </c>
      <c r="AC106" s="308" t="s">
        <v>3896</v>
      </c>
      <c r="AD106" s="308" t="s">
        <v>3655</v>
      </c>
      <c r="AE106" s="308">
        <v>10123.0</v>
      </c>
      <c r="AF106" s="308" t="s">
        <v>3654</v>
      </c>
      <c r="AG106" s="308" t="s">
        <v>2955</v>
      </c>
      <c r="AH106" s="308">
        <v>3.311742228E9</v>
      </c>
      <c r="AI106" s="308" t="s">
        <v>3892</v>
      </c>
      <c r="AJ106" s="308" t="s">
        <v>3893</v>
      </c>
      <c r="AK106" s="308" t="s">
        <v>3894</v>
      </c>
      <c r="AL106" s="308" t="s">
        <v>3895</v>
      </c>
      <c r="AM106" s="308" t="s">
        <v>3896</v>
      </c>
      <c r="AN106" s="308" t="s">
        <v>3655</v>
      </c>
      <c r="AO106" s="308">
        <v>10123.0</v>
      </c>
      <c r="AP106" s="308" t="s">
        <v>3654</v>
      </c>
      <c r="AQ106" s="308" t="s">
        <v>2955</v>
      </c>
      <c r="AR106" s="308">
        <v>3.311742228E9</v>
      </c>
      <c r="AS106" s="311"/>
      <c r="AT106" s="311"/>
      <c r="AU106" s="311"/>
      <c r="AV106" s="308" t="s">
        <v>3009</v>
      </c>
      <c r="AW106" s="308">
        <v>4.7639335764295E13</v>
      </c>
      <c r="AX106" s="310">
        <v>0.0</v>
      </c>
      <c r="AY106" s="308" t="s">
        <v>2974</v>
      </c>
      <c r="AZ106" s="308">
        <v>0.0</v>
      </c>
      <c r="BA106" s="311"/>
      <c r="BB106" s="311"/>
      <c r="BC106" s="311"/>
      <c r="BD106" s="308">
        <v>7.555618373959E12</v>
      </c>
      <c r="BE106" s="311"/>
      <c r="BF106" s="311"/>
      <c r="BG106" s="308" t="s">
        <v>2958</v>
      </c>
      <c r="BH106" s="308">
        <v>0.0</v>
      </c>
      <c r="BI106" s="308" t="s">
        <v>2959</v>
      </c>
      <c r="BJ106" s="308">
        <v>14.43</v>
      </c>
      <c r="BK106" s="311"/>
      <c r="BL106" s="311"/>
      <c r="BM106" s="311"/>
      <c r="BN106" s="311"/>
      <c r="BO106" s="311"/>
      <c r="BP106" s="311"/>
      <c r="BQ106" s="311"/>
      <c r="BR106" s="311"/>
      <c r="BS106" s="308"/>
      <c r="BT106" s="311"/>
      <c r="BU106" s="311"/>
      <c r="BV106" s="308" t="s">
        <v>3655</v>
      </c>
      <c r="BW106" s="308" t="s">
        <v>3655</v>
      </c>
      <c r="BX106" s="308" t="s">
        <v>3009</v>
      </c>
      <c r="BY106" s="311"/>
      <c r="BZ106" s="311"/>
      <c r="CA106" s="308" t="s">
        <v>3009</v>
      </c>
      <c r="CB106" s="312" t="str">
        <f t="shared" si="1"/>
        <v>09/04/2026</v>
      </c>
      <c r="CC106" s="313">
        <f t="shared" si="2"/>
        <v>2026</v>
      </c>
      <c r="CD106" s="314">
        <f t="shared" si="3"/>
        <v>4</v>
      </c>
      <c r="CE106" s="314">
        <f t="shared" si="4"/>
        <v>1</v>
      </c>
      <c r="CF106" s="314">
        <f t="shared" si="5"/>
        <v>1</v>
      </c>
      <c r="CG106" s="314">
        <f t="shared" si="6"/>
        <v>0</v>
      </c>
      <c r="CH106" s="315">
        <f>VLOOKUP(CL106,'PRODUCT_COGS&amp;PRICE'!A:E,5,false)</f>
        <v>19</v>
      </c>
      <c r="CI106" s="306">
        <f t="shared" si="7"/>
        <v>-3.27811</v>
      </c>
      <c r="CJ106" s="316">
        <f t="shared" si="8"/>
        <v>0</v>
      </c>
      <c r="CK106" s="316">
        <f t="shared" si="9"/>
        <v>0</v>
      </c>
      <c r="CL106" s="314" t="str">
        <f>VLOOKUP(R106,PRODUCT_MAP!A:B,2,FALSE)</f>
        <v>Agata_Bag_FLORAL_PINK_EMBROIDERY</v>
      </c>
      <c r="CM106" s="314" t="str">
        <f>VLOOKUP(R106,PRODUCT_MAP!A:E,3,FALSE)</f>
        <v>Agata Bag</v>
      </c>
    </row>
    <row r="107" ht="22.5" customHeight="1">
      <c r="A107" s="308" t="s">
        <v>3897</v>
      </c>
      <c r="B107" s="308" t="s">
        <v>3898</v>
      </c>
      <c r="C107" s="308" t="s">
        <v>2942</v>
      </c>
      <c r="D107" s="308" t="s">
        <v>3899</v>
      </c>
      <c r="E107" s="308" t="s">
        <v>3013</v>
      </c>
      <c r="F107" s="308"/>
      <c r="G107" s="308" t="s">
        <v>2946</v>
      </c>
      <c r="H107" s="308" t="s">
        <v>2947</v>
      </c>
      <c r="I107" s="308">
        <v>90.0</v>
      </c>
      <c r="J107" s="308">
        <v>3.9</v>
      </c>
      <c r="K107" s="308">
        <v>16.93</v>
      </c>
      <c r="L107" s="308">
        <v>93.9</v>
      </c>
      <c r="M107" s="308"/>
      <c r="N107" s="308">
        <v>0.0</v>
      </c>
      <c r="O107" s="308" t="s">
        <v>2948</v>
      </c>
      <c r="P107" s="308" t="s">
        <v>3899</v>
      </c>
      <c r="Q107" s="310">
        <v>1.0</v>
      </c>
      <c r="R107" s="308" t="s">
        <v>3900</v>
      </c>
      <c r="S107" s="308">
        <v>90.0</v>
      </c>
      <c r="T107" s="311"/>
      <c r="U107" s="308" t="s">
        <v>3901</v>
      </c>
      <c r="V107" s="308" t="b">
        <v>1</v>
      </c>
      <c r="W107" s="308" t="b">
        <v>1</v>
      </c>
      <c r="X107" s="308"/>
      <c r="Y107" s="308" t="s">
        <v>3902</v>
      </c>
      <c r="Z107" s="308" t="s">
        <v>3903</v>
      </c>
      <c r="AA107" s="308" t="s">
        <v>3903</v>
      </c>
      <c r="AB107" s="308"/>
      <c r="AC107" s="308"/>
      <c r="AD107" s="308" t="s">
        <v>23</v>
      </c>
      <c r="AE107" s="308">
        <v>20122.0</v>
      </c>
      <c r="AF107" s="308" t="s">
        <v>2954</v>
      </c>
      <c r="AG107" s="308" t="s">
        <v>2955</v>
      </c>
      <c r="AH107" s="308">
        <v>3.488754122E9</v>
      </c>
      <c r="AI107" s="308" t="s">
        <v>3902</v>
      </c>
      <c r="AJ107" s="308" t="s">
        <v>3903</v>
      </c>
      <c r="AK107" s="308" t="s">
        <v>3903</v>
      </c>
      <c r="AL107" s="308"/>
      <c r="AM107" s="308"/>
      <c r="AN107" s="308" t="s">
        <v>23</v>
      </c>
      <c r="AO107" s="308">
        <v>20122.0</v>
      </c>
      <c r="AP107" s="308" t="s">
        <v>2954</v>
      </c>
      <c r="AQ107" s="308" t="s">
        <v>2955</v>
      </c>
      <c r="AR107" s="308">
        <v>3.488754122E9</v>
      </c>
      <c r="AS107" s="311"/>
      <c r="AT107" s="311"/>
      <c r="AU107" s="311"/>
      <c r="AV107" s="308" t="s">
        <v>3009</v>
      </c>
      <c r="AW107" s="308">
        <v>4.7640788795719E13</v>
      </c>
      <c r="AX107" s="310">
        <v>0.0</v>
      </c>
      <c r="AY107" s="308" t="s">
        <v>2974</v>
      </c>
      <c r="AZ107" s="308">
        <v>0.0</v>
      </c>
      <c r="BA107" s="311"/>
      <c r="BB107" s="311"/>
      <c r="BC107" s="311"/>
      <c r="BD107" s="308">
        <v>7.558320980295E12</v>
      </c>
      <c r="BE107" s="311"/>
      <c r="BF107" s="311"/>
      <c r="BG107" s="308" t="s">
        <v>2958</v>
      </c>
      <c r="BH107" s="308">
        <v>0.0</v>
      </c>
      <c r="BI107" s="308" t="s">
        <v>2959</v>
      </c>
      <c r="BJ107" s="308">
        <v>16.23</v>
      </c>
      <c r="BK107" s="311"/>
      <c r="BL107" s="311"/>
      <c r="BM107" s="311"/>
      <c r="BN107" s="311"/>
      <c r="BO107" s="311"/>
      <c r="BP107" s="311"/>
      <c r="BQ107" s="311"/>
      <c r="BR107" s="311"/>
      <c r="BS107" s="308"/>
      <c r="BT107" s="311"/>
      <c r="BU107" s="311"/>
      <c r="BV107" s="308" t="s">
        <v>23</v>
      </c>
      <c r="BW107" s="308" t="s">
        <v>23</v>
      </c>
      <c r="BX107" s="308" t="s">
        <v>3009</v>
      </c>
      <c r="BY107" s="311"/>
      <c r="BZ107" s="311"/>
      <c r="CA107" s="308" t="s">
        <v>3009</v>
      </c>
      <c r="CB107" s="312" t="str">
        <f t="shared" si="1"/>
        <v>10/04/2026</v>
      </c>
      <c r="CC107" s="313">
        <f t="shared" si="2"/>
        <v>2026</v>
      </c>
      <c r="CD107" s="314">
        <f t="shared" si="3"/>
        <v>4</v>
      </c>
      <c r="CE107" s="314">
        <f t="shared" si="4"/>
        <v>1</v>
      </c>
      <c r="CF107" s="314">
        <f t="shared" si="5"/>
        <v>1</v>
      </c>
      <c r="CG107" s="314">
        <f t="shared" si="6"/>
        <v>0</v>
      </c>
      <c r="CH107" s="315">
        <f>VLOOKUP(CL107,'PRODUCT_COGS&amp;PRICE'!A:E,5,false)</f>
        <v>19</v>
      </c>
      <c r="CI107" s="306">
        <f t="shared" si="7"/>
        <v>-3.62711</v>
      </c>
      <c r="CJ107" s="316">
        <f t="shared" si="8"/>
        <v>0</v>
      </c>
      <c r="CK107" s="316">
        <f t="shared" si="9"/>
        <v>0</v>
      </c>
      <c r="CL107" s="314" t="str">
        <f>VLOOKUP(R107,PRODUCT_MAP!A:B,2,FALSE)</f>
        <v>Agata_Bag_FLORAL_PINK_EMBROIDERY</v>
      </c>
      <c r="CM107" s="314" t="str">
        <f>VLOOKUP(R107,PRODUCT_MAP!A:E,3,FALSE)</f>
        <v>Agata Bag</v>
      </c>
    </row>
    <row r="108" ht="22.5" customHeight="1">
      <c r="A108" s="308" t="s">
        <v>3904</v>
      </c>
      <c r="B108" s="308"/>
      <c r="C108" s="308" t="s">
        <v>2942</v>
      </c>
      <c r="D108" s="308" t="s">
        <v>3905</v>
      </c>
      <c r="E108" s="308" t="s">
        <v>3013</v>
      </c>
      <c r="F108" s="308"/>
      <c r="G108" s="308" t="s">
        <v>2965</v>
      </c>
      <c r="H108" s="308" t="s">
        <v>2947</v>
      </c>
      <c r="I108" s="308">
        <v>135.0</v>
      </c>
      <c r="J108" s="308">
        <v>0.0</v>
      </c>
      <c r="K108" s="308">
        <v>24.34</v>
      </c>
      <c r="L108" s="308">
        <v>135.0</v>
      </c>
      <c r="M108" s="308" t="s">
        <v>3221</v>
      </c>
      <c r="N108" s="308">
        <v>15.0</v>
      </c>
      <c r="O108" s="308" t="s">
        <v>2948</v>
      </c>
      <c r="P108" s="308" t="s">
        <v>3906</v>
      </c>
      <c r="Q108" s="310">
        <v>1.0</v>
      </c>
      <c r="R108" s="308" t="s">
        <v>539</v>
      </c>
      <c r="S108" s="308">
        <v>150.0</v>
      </c>
      <c r="T108" s="311"/>
      <c r="U108" s="308" t="s">
        <v>3223</v>
      </c>
      <c r="V108" s="308" t="b">
        <v>1</v>
      </c>
      <c r="W108" s="308" t="b">
        <v>1</v>
      </c>
      <c r="X108" s="308"/>
      <c r="Y108" s="308" t="s">
        <v>3907</v>
      </c>
      <c r="Z108" s="308" t="s">
        <v>3908</v>
      </c>
      <c r="AA108" s="308" t="s">
        <v>3909</v>
      </c>
      <c r="AB108" s="308" t="s">
        <v>3910</v>
      </c>
      <c r="AC108" s="308"/>
      <c r="AD108" s="308" t="s">
        <v>3237</v>
      </c>
      <c r="AE108" s="308">
        <v>16131.0</v>
      </c>
      <c r="AF108" s="308" t="s">
        <v>3238</v>
      </c>
      <c r="AG108" s="308" t="s">
        <v>2955</v>
      </c>
      <c r="AH108" s="308">
        <v>3.396560563E9</v>
      </c>
      <c r="AI108" s="308" t="s">
        <v>3907</v>
      </c>
      <c r="AJ108" s="308" t="s">
        <v>3908</v>
      </c>
      <c r="AK108" s="308" t="s">
        <v>3909</v>
      </c>
      <c r="AL108" s="308" t="s">
        <v>3910</v>
      </c>
      <c r="AM108" s="308"/>
      <c r="AN108" s="308" t="s">
        <v>3237</v>
      </c>
      <c r="AO108" s="308">
        <v>16131.0</v>
      </c>
      <c r="AP108" s="308" t="s">
        <v>3238</v>
      </c>
      <c r="AQ108" s="308" t="s">
        <v>2955</v>
      </c>
      <c r="AR108" s="308">
        <v>3.396560563E9</v>
      </c>
      <c r="AS108" s="311"/>
      <c r="AT108" s="311"/>
      <c r="AU108" s="311"/>
      <c r="AV108" s="308" t="s">
        <v>2956</v>
      </c>
      <c r="AW108" s="308">
        <v>4.7641042551111E13</v>
      </c>
      <c r="AX108" s="310">
        <v>0.0</v>
      </c>
      <c r="AY108" s="308" t="s">
        <v>2974</v>
      </c>
      <c r="AZ108" s="308">
        <v>0.0</v>
      </c>
      <c r="BA108" s="311"/>
      <c r="BB108" s="311"/>
      <c r="BC108" s="311"/>
      <c r="BD108" s="308">
        <v>7.558563529031E12</v>
      </c>
      <c r="BE108" s="311"/>
      <c r="BF108" s="311"/>
      <c r="BG108" s="308" t="s">
        <v>2958</v>
      </c>
      <c r="BH108" s="308">
        <v>0.0</v>
      </c>
      <c r="BI108" s="308" t="s">
        <v>2959</v>
      </c>
      <c r="BJ108" s="308">
        <v>24.34</v>
      </c>
      <c r="BK108" s="311"/>
      <c r="BL108" s="311"/>
      <c r="BM108" s="311"/>
      <c r="BN108" s="311"/>
      <c r="BO108" s="311"/>
      <c r="BP108" s="311"/>
      <c r="BQ108" s="311"/>
      <c r="BR108" s="311"/>
      <c r="BS108" s="318" t="s">
        <v>3911</v>
      </c>
      <c r="BT108" s="311"/>
      <c r="BU108" s="311"/>
      <c r="BV108" s="308" t="s">
        <v>3237</v>
      </c>
      <c r="BW108" s="308" t="s">
        <v>3237</v>
      </c>
      <c r="BX108" s="308" t="s">
        <v>2956</v>
      </c>
      <c r="BY108" s="311"/>
      <c r="BZ108" s="311"/>
      <c r="CA108" s="308" t="s">
        <v>2956</v>
      </c>
      <c r="CB108" s="312" t="str">
        <f t="shared" si="1"/>
        <v>10/04/2026</v>
      </c>
      <c r="CC108" s="313">
        <f t="shared" si="2"/>
        <v>2026</v>
      </c>
      <c r="CD108" s="314">
        <f t="shared" si="3"/>
        <v>4</v>
      </c>
      <c r="CE108" s="314">
        <f t="shared" si="4"/>
        <v>1</v>
      </c>
      <c r="CF108" s="314">
        <f t="shared" si="5"/>
        <v>1</v>
      </c>
      <c r="CG108" s="314">
        <f t="shared" si="6"/>
        <v>-5</v>
      </c>
      <c r="CH108" s="315">
        <f>VLOOKUP(CL108,'PRODUCT_COGS&amp;PRICE'!A:E,5,false)</f>
        <v>33</v>
      </c>
      <c r="CI108" s="306">
        <f t="shared" si="7"/>
        <v>-2.815</v>
      </c>
      <c r="CJ108" s="316">
        <f t="shared" si="8"/>
        <v>0</v>
      </c>
      <c r="CK108" s="316">
        <f t="shared" si="9"/>
        <v>15</v>
      </c>
      <c r="CL108" s="314" t="str">
        <f>VLOOKUP(R108,PRODUCT_MAP!A:B,2,FALSE)</f>
        <v>Lea_Bag_Zebra_Dark</v>
      </c>
      <c r="CM108" s="314" t="str">
        <f>VLOOKUP(R108,PRODUCT_MAP!A:E,3,FALSE)</f>
        <v>Lea Bag</v>
      </c>
    </row>
    <row r="109" ht="22.5" customHeight="1">
      <c r="A109" s="308" t="s">
        <v>3912</v>
      </c>
      <c r="B109" s="308" t="s">
        <v>3913</v>
      </c>
      <c r="C109" s="308" t="s">
        <v>2942</v>
      </c>
      <c r="D109" s="308" t="s">
        <v>3914</v>
      </c>
      <c r="E109" s="308" t="s">
        <v>3013</v>
      </c>
      <c r="F109" s="308"/>
      <c r="G109" s="308" t="s">
        <v>2965</v>
      </c>
      <c r="H109" s="308" t="s">
        <v>2947</v>
      </c>
      <c r="I109" s="308">
        <v>160.0</v>
      </c>
      <c r="J109" s="308">
        <v>0.0</v>
      </c>
      <c r="K109" s="308">
        <v>28.86</v>
      </c>
      <c r="L109" s="308">
        <v>160.0</v>
      </c>
      <c r="M109" s="308"/>
      <c r="N109" s="308">
        <v>0.0</v>
      </c>
      <c r="O109" s="308" t="s">
        <v>2948</v>
      </c>
      <c r="P109" s="308" t="s">
        <v>3915</v>
      </c>
      <c r="Q109" s="310">
        <v>1.0</v>
      </c>
      <c r="R109" s="308" t="s">
        <v>3876</v>
      </c>
      <c r="S109" s="308">
        <v>80.0</v>
      </c>
      <c r="T109" s="311"/>
      <c r="U109" s="308" t="s">
        <v>273</v>
      </c>
      <c r="V109" s="308" t="b">
        <v>1</v>
      </c>
      <c r="W109" s="308" t="b">
        <v>1</v>
      </c>
      <c r="X109" s="308"/>
      <c r="Y109" s="308" t="s">
        <v>3916</v>
      </c>
      <c r="Z109" s="308" t="s">
        <v>3917</v>
      </c>
      <c r="AA109" s="308" t="s">
        <v>3918</v>
      </c>
      <c r="AB109" s="308" t="s">
        <v>3919</v>
      </c>
      <c r="AC109" s="308"/>
      <c r="AD109" s="308" t="s">
        <v>23</v>
      </c>
      <c r="AE109" s="308">
        <v>20121.0</v>
      </c>
      <c r="AF109" s="308" t="s">
        <v>2954</v>
      </c>
      <c r="AG109" s="308" t="s">
        <v>2955</v>
      </c>
      <c r="AH109" s="308">
        <v>3.394318661E9</v>
      </c>
      <c r="AI109" s="308" t="s">
        <v>3916</v>
      </c>
      <c r="AJ109" s="308" t="s">
        <v>3917</v>
      </c>
      <c r="AK109" s="308" t="s">
        <v>3918</v>
      </c>
      <c r="AL109" s="308" t="s">
        <v>3919</v>
      </c>
      <c r="AM109" s="308"/>
      <c r="AN109" s="308" t="s">
        <v>23</v>
      </c>
      <c r="AO109" s="308">
        <v>20121.0</v>
      </c>
      <c r="AP109" s="308" t="s">
        <v>2954</v>
      </c>
      <c r="AQ109" s="308" t="s">
        <v>2955</v>
      </c>
      <c r="AR109" s="308">
        <v>3.394318661E9</v>
      </c>
      <c r="AS109" s="311"/>
      <c r="AT109" s="311"/>
      <c r="AU109" s="311"/>
      <c r="AV109" s="308" t="s">
        <v>2956</v>
      </c>
      <c r="AW109" s="308">
        <v>4.7643796865351E13</v>
      </c>
      <c r="AX109" s="310">
        <v>0.0</v>
      </c>
      <c r="AY109" s="308" t="s">
        <v>2974</v>
      </c>
      <c r="AZ109" s="308">
        <v>0.0</v>
      </c>
      <c r="BA109" s="311"/>
      <c r="BB109" s="311"/>
      <c r="BC109" s="311"/>
      <c r="BD109" s="308">
        <v>7.563570676039E12</v>
      </c>
      <c r="BE109" s="311"/>
      <c r="BF109" s="311"/>
      <c r="BG109" s="308" t="s">
        <v>2958</v>
      </c>
      <c r="BH109" s="308">
        <v>0.0</v>
      </c>
      <c r="BI109" s="308" t="s">
        <v>2959</v>
      </c>
      <c r="BJ109" s="308">
        <v>14.43</v>
      </c>
      <c r="BK109" s="311"/>
      <c r="BL109" s="311"/>
      <c r="BM109" s="311"/>
      <c r="BN109" s="311"/>
      <c r="BO109" s="311"/>
      <c r="BP109" s="311"/>
      <c r="BQ109" s="311"/>
      <c r="BR109" s="311"/>
      <c r="BS109" s="308"/>
      <c r="BT109" s="311"/>
      <c r="BU109" s="311"/>
      <c r="BV109" s="308" t="s">
        <v>23</v>
      </c>
      <c r="BW109" s="308" t="s">
        <v>23</v>
      </c>
      <c r="BX109" s="308" t="s">
        <v>2956</v>
      </c>
      <c r="BY109" s="311"/>
      <c r="BZ109" s="311"/>
      <c r="CA109" s="308" t="s">
        <v>2956</v>
      </c>
      <c r="CB109" s="312" t="str">
        <f t="shared" si="1"/>
        <v>10/04/2026</v>
      </c>
      <c r="CC109" s="313">
        <f t="shared" si="2"/>
        <v>2026</v>
      </c>
      <c r="CD109" s="314">
        <f t="shared" si="3"/>
        <v>4</v>
      </c>
      <c r="CE109" s="314">
        <f t="shared" si="4"/>
        <v>1</v>
      </c>
      <c r="CF109" s="314">
        <f t="shared" si="5"/>
        <v>1</v>
      </c>
      <c r="CG109" s="314">
        <f t="shared" si="6"/>
        <v>-5</v>
      </c>
      <c r="CH109" s="315">
        <f>VLOOKUP(CL109,'PRODUCT_COGS&amp;PRICE'!A:E,5,false)</f>
        <v>19</v>
      </c>
      <c r="CI109" s="306">
        <f t="shared" si="7"/>
        <v>-6.33</v>
      </c>
      <c r="CJ109" s="316">
        <f t="shared" si="8"/>
        <v>0</v>
      </c>
      <c r="CK109" s="316">
        <f t="shared" si="9"/>
        <v>0</v>
      </c>
      <c r="CL109" s="314" t="str">
        <f>VLOOKUP(R109,PRODUCT_MAP!A:B,2,FALSE)</f>
        <v>Agata_Bag_FLORAL_PINK_EMBROIDERY</v>
      </c>
      <c r="CM109" s="314" t="str">
        <f>VLOOKUP(R109,PRODUCT_MAP!A:E,3,FALSE)</f>
        <v>Agata Bag</v>
      </c>
    </row>
    <row r="110" ht="22.5" customHeight="1">
      <c r="A110" s="308" t="s">
        <v>3912</v>
      </c>
      <c r="B110" s="308" t="s">
        <v>3913</v>
      </c>
      <c r="C110" s="308" t="s">
        <v>2942</v>
      </c>
      <c r="D110" s="308" t="s">
        <v>3914</v>
      </c>
      <c r="E110" s="308" t="s">
        <v>3013</v>
      </c>
      <c r="F110" s="308"/>
      <c r="G110" s="308" t="s">
        <v>2965</v>
      </c>
      <c r="H110" s="308" t="s">
        <v>2947</v>
      </c>
      <c r="I110" s="308">
        <v>160.0</v>
      </c>
      <c r="J110" s="308">
        <v>0.0</v>
      </c>
      <c r="K110" s="308">
        <v>28.86</v>
      </c>
      <c r="L110" s="308">
        <v>160.0</v>
      </c>
      <c r="M110" s="308"/>
      <c r="N110" s="308">
        <v>0.0</v>
      </c>
      <c r="O110" s="308" t="s">
        <v>2948</v>
      </c>
      <c r="P110" s="308" t="s">
        <v>3915</v>
      </c>
      <c r="Q110" s="310">
        <v>1.0</v>
      </c>
      <c r="R110" s="308" t="s">
        <v>3920</v>
      </c>
      <c r="S110" s="308">
        <v>80.0</v>
      </c>
      <c r="T110" s="311"/>
      <c r="U110" s="308" t="s">
        <v>271</v>
      </c>
      <c r="V110" s="308" t="b">
        <v>1</v>
      </c>
      <c r="W110" s="308" t="b">
        <v>1</v>
      </c>
      <c r="X110" s="308"/>
      <c r="Y110" s="308" t="s">
        <v>3916</v>
      </c>
      <c r="Z110" s="308" t="s">
        <v>3917</v>
      </c>
      <c r="AA110" s="308" t="s">
        <v>3918</v>
      </c>
      <c r="AB110" s="308" t="s">
        <v>3919</v>
      </c>
      <c r="AC110" s="308"/>
      <c r="AD110" s="308" t="s">
        <v>23</v>
      </c>
      <c r="AE110" s="308">
        <v>20121.0</v>
      </c>
      <c r="AF110" s="308" t="s">
        <v>2954</v>
      </c>
      <c r="AG110" s="308" t="s">
        <v>2955</v>
      </c>
      <c r="AH110" s="308">
        <v>3.394318661E9</v>
      </c>
      <c r="AI110" s="308" t="s">
        <v>3916</v>
      </c>
      <c r="AJ110" s="308" t="s">
        <v>3917</v>
      </c>
      <c r="AK110" s="308" t="s">
        <v>3918</v>
      </c>
      <c r="AL110" s="308" t="s">
        <v>3919</v>
      </c>
      <c r="AM110" s="308"/>
      <c r="AN110" s="308" t="s">
        <v>23</v>
      </c>
      <c r="AO110" s="308">
        <v>20121.0</v>
      </c>
      <c r="AP110" s="308" t="s">
        <v>2954</v>
      </c>
      <c r="AQ110" s="308" t="s">
        <v>2955</v>
      </c>
      <c r="AR110" s="308">
        <v>3.394318661E9</v>
      </c>
      <c r="AS110" s="311"/>
      <c r="AT110" s="311"/>
      <c r="AU110" s="311"/>
      <c r="AV110" s="308" t="s">
        <v>2956</v>
      </c>
      <c r="AW110" s="308">
        <v>4.7643796865351E13</v>
      </c>
      <c r="AX110" s="310">
        <v>0.0</v>
      </c>
      <c r="AY110" s="308" t="s">
        <v>2974</v>
      </c>
      <c r="AZ110" s="308">
        <v>0.0</v>
      </c>
      <c r="BA110" s="311"/>
      <c r="BB110" s="311"/>
      <c r="BC110" s="311"/>
      <c r="BD110" s="308">
        <v>7.563570676039E12</v>
      </c>
      <c r="BE110" s="311"/>
      <c r="BF110" s="311"/>
      <c r="BG110" s="308" t="s">
        <v>2958</v>
      </c>
      <c r="BH110" s="308">
        <v>0.0</v>
      </c>
      <c r="BI110" s="308" t="s">
        <v>2959</v>
      </c>
      <c r="BJ110" s="308">
        <v>14.43</v>
      </c>
      <c r="BK110" s="311"/>
      <c r="BL110" s="311"/>
      <c r="BM110" s="311"/>
      <c r="BN110" s="311"/>
      <c r="BO110" s="311"/>
      <c r="BP110" s="311"/>
      <c r="BQ110" s="311"/>
      <c r="BR110" s="311"/>
      <c r="BS110" s="308"/>
      <c r="BT110" s="311"/>
      <c r="BU110" s="311"/>
      <c r="BV110" s="308" t="s">
        <v>23</v>
      </c>
      <c r="BW110" s="308" t="s">
        <v>23</v>
      </c>
      <c r="BX110" s="308" t="s">
        <v>2956</v>
      </c>
      <c r="BY110" s="311"/>
      <c r="BZ110" s="311"/>
      <c r="CA110" s="308" t="s">
        <v>2956</v>
      </c>
      <c r="CB110" s="312" t="str">
        <f t="shared" si="1"/>
        <v>10/04/2026</v>
      </c>
      <c r="CC110" s="313">
        <f t="shared" si="2"/>
        <v>2026</v>
      </c>
      <c r="CD110" s="314">
        <f t="shared" si="3"/>
        <v>4</v>
      </c>
      <c r="CE110" s="314">
        <f t="shared" si="4"/>
        <v>0</v>
      </c>
      <c r="CF110" s="314">
        <f t="shared" si="5"/>
        <v>1</v>
      </c>
      <c r="CG110" s="314">
        <f t="shared" si="6"/>
        <v>-5</v>
      </c>
      <c r="CH110" s="315">
        <f>VLOOKUP(CL110,'PRODUCT_COGS&amp;PRICE'!A:E,5,false)</f>
        <v>19</v>
      </c>
      <c r="CI110" s="306">
        <f t="shared" si="7"/>
        <v>0</v>
      </c>
      <c r="CJ110" s="316">
        <f t="shared" si="8"/>
        <v>0</v>
      </c>
      <c r="CK110" s="316">
        <f t="shared" si="9"/>
        <v>0</v>
      </c>
      <c r="CL110" s="314" t="str">
        <f>VLOOKUP(R110,PRODUCT_MAP!A:B,2,FALSE)</f>
        <v>Agata_Bag_FLORAL_GREEN_EMBROIDERY</v>
      </c>
      <c r="CM110" s="314" t="str">
        <f>VLOOKUP(R110,PRODUCT_MAP!A:E,3,FALSE)</f>
        <v>Agata Bag</v>
      </c>
    </row>
    <row r="111" ht="22.5" customHeight="1">
      <c r="A111" s="308" t="s">
        <v>3921</v>
      </c>
      <c r="B111" s="308" t="s">
        <v>3922</v>
      </c>
      <c r="C111" s="308" t="s">
        <v>2942</v>
      </c>
      <c r="D111" s="308" t="s">
        <v>3923</v>
      </c>
      <c r="E111" s="308" t="s">
        <v>3013</v>
      </c>
      <c r="F111" s="308"/>
      <c r="G111" s="308" t="s">
        <v>2946</v>
      </c>
      <c r="H111" s="308" t="s">
        <v>2947</v>
      </c>
      <c r="I111" s="308">
        <v>135.0</v>
      </c>
      <c r="J111" s="308">
        <v>0.0</v>
      </c>
      <c r="K111" s="308">
        <v>24.34</v>
      </c>
      <c r="L111" s="308">
        <v>135.0</v>
      </c>
      <c r="M111" s="308" t="s">
        <v>3094</v>
      </c>
      <c r="N111" s="308">
        <v>15.0</v>
      </c>
      <c r="O111" s="308" t="s">
        <v>2948</v>
      </c>
      <c r="P111" s="308" t="s">
        <v>3924</v>
      </c>
      <c r="Q111" s="310">
        <v>1.0</v>
      </c>
      <c r="R111" s="308" t="s">
        <v>3738</v>
      </c>
      <c r="S111" s="308">
        <v>150.0</v>
      </c>
      <c r="T111" s="311"/>
      <c r="U111" s="308" t="s">
        <v>3739</v>
      </c>
      <c r="V111" s="308" t="b">
        <v>1</v>
      </c>
      <c r="W111" s="308" t="b">
        <v>1</v>
      </c>
      <c r="X111" s="308"/>
      <c r="Y111" s="308" t="s">
        <v>3925</v>
      </c>
      <c r="Z111" s="308" t="s">
        <v>3926</v>
      </c>
      <c r="AA111" s="308" t="s">
        <v>3926</v>
      </c>
      <c r="AB111" s="308"/>
      <c r="AC111" s="308"/>
      <c r="AD111" s="308" t="s">
        <v>3927</v>
      </c>
      <c r="AE111" s="308">
        <v>47521.0</v>
      </c>
      <c r="AF111" s="308" t="s">
        <v>3928</v>
      </c>
      <c r="AG111" s="308" t="s">
        <v>2955</v>
      </c>
      <c r="AH111" s="308"/>
      <c r="AI111" s="308" t="s">
        <v>3925</v>
      </c>
      <c r="AJ111" s="308" t="s">
        <v>3926</v>
      </c>
      <c r="AK111" s="308" t="s">
        <v>3926</v>
      </c>
      <c r="AL111" s="308"/>
      <c r="AM111" s="308"/>
      <c r="AN111" s="308" t="s">
        <v>3927</v>
      </c>
      <c r="AO111" s="308">
        <v>47521.0</v>
      </c>
      <c r="AP111" s="308" t="s">
        <v>3928</v>
      </c>
      <c r="AQ111" s="308" t="s">
        <v>2955</v>
      </c>
      <c r="AR111" s="308">
        <v>3.703647214E9</v>
      </c>
      <c r="AS111" s="311"/>
      <c r="AT111" s="311"/>
      <c r="AU111" s="311"/>
      <c r="AV111" s="308" t="s">
        <v>2956</v>
      </c>
      <c r="AW111" s="308">
        <v>4.7643384774983E13</v>
      </c>
      <c r="AX111" s="310">
        <v>0.0</v>
      </c>
      <c r="AY111" s="308" t="s">
        <v>2974</v>
      </c>
      <c r="AZ111" s="308">
        <v>0.0</v>
      </c>
      <c r="BA111" s="311"/>
      <c r="BB111" s="311"/>
      <c r="BC111" s="311"/>
      <c r="BD111" s="308">
        <v>7.564371886407E12</v>
      </c>
      <c r="BE111" s="311"/>
      <c r="BF111" s="311"/>
      <c r="BG111" s="308" t="s">
        <v>2958</v>
      </c>
      <c r="BH111" s="308">
        <v>0.0</v>
      </c>
      <c r="BI111" s="308" t="s">
        <v>2959</v>
      </c>
      <c r="BJ111" s="308">
        <v>24.34</v>
      </c>
      <c r="BK111" s="311"/>
      <c r="BL111" s="311"/>
      <c r="BM111" s="311"/>
      <c r="BN111" s="311"/>
      <c r="BO111" s="311"/>
      <c r="BP111" s="311"/>
      <c r="BQ111" s="311"/>
      <c r="BR111" s="311"/>
      <c r="BS111" s="308"/>
      <c r="BT111" s="311"/>
      <c r="BU111" s="311"/>
      <c r="BV111" s="308" t="s">
        <v>3929</v>
      </c>
      <c r="BW111" s="308" t="s">
        <v>3929</v>
      </c>
      <c r="BX111" s="308" t="s">
        <v>2956</v>
      </c>
      <c r="BY111" s="311"/>
      <c r="BZ111" s="311"/>
      <c r="CA111" s="308" t="s">
        <v>2956</v>
      </c>
      <c r="CB111" s="312" t="str">
        <f t="shared" si="1"/>
        <v>10/04/2026</v>
      </c>
      <c r="CC111" s="313">
        <f t="shared" si="2"/>
        <v>2026</v>
      </c>
      <c r="CD111" s="314">
        <f t="shared" si="3"/>
        <v>4</v>
      </c>
      <c r="CE111" s="314">
        <f t="shared" si="4"/>
        <v>1</v>
      </c>
      <c r="CF111" s="314">
        <f t="shared" si="5"/>
        <v>1</v>
      </c>
      <c r="CG111" s="314">
        <f t="shared" si="6"/>
        <v>-5</v>
      </c>
      <c r="CH111" s="315">
        <f>VLOOKUP(CL111,'PRODUCT_COGS&amp;PRICE'!A:E,5,false)</f>
        <v>33</v>
      </c>
      <c r="CI111" s="306">
        <f t="shared" si="7"/>
        <v>-2.815</v>
      </c>
      <c r="CJ111" s="316">
        <f t="shared" si="8"/>
        <v>0</v>
      </c>
      <c r="CK111" s="316">
        <f t="shared" si="9"/>
        <v>15</v>
      </c>
      <c r="CL111" s="314" t="str">
        <f>VLOOKUP(R111,PRODUCT_MAP!A:B,2,FALSE)</f>
        <v>Lea_Bag_BLACK_WHITE_PONY</v>
      </c>
      <c r="CM111" s="314" t="str">
        <f>VLOOKUP(R111,PRODUCT_MAP!A:E,3,FALSE)</f>
        <v>Lea Bag</v>
      </c>
    </row>
    <row r="112" ht="22.5" customHeight="1">
      <c r="A112" s="308" t="s">
        <v>3930</v>
      </c>
      <c r="B112" s="308" t="s">
        <v>3931</v>
      </c>
      <c r="C112" s="308" t="s">
        <v>2942</v>
      </c>
      <c r="D112" s="308" t="s">
        <v>3932</v>
      </c>
      <c r="E112" s="308" t="s">
        <v>3013</v>
      </c>
      <c r="F112" s="308"/>
      <c r="G112" s="308" t="s">
        <v>2946</v>
      </c>
      <c r="H112" s="308" t="s">
        <v>2947</v>
      </c>
      <c r="I112" s="308">
        <v>81.0</v>
      </c>
      <c r="J112" s="308">
        <v>3.9</v>
      </c>
      <c r="K112" s="308">
        <v>15.31</v>
      </c>
      <c r="L112" s="308">
        <v>84.9</v>
      </c>
      <c r="M112" s="308" t="s">
        <v>3094</v>
      </c>
      <c r="N112" s="308">
        <v>9.0</v>
      </c>
      <c r="O112" s="308" t="s">
        <v>2948</v>
      </c>
      <c r="P112" s="308" t="s">
        <v>3933</v>
      </c>
      <c r="Q112" s="310">
        <v>1.0</v>
      </c>
      <c r="R112" s="308" t="s">
        <v>3934</v>
      </c>
      <c r="S112" s="308">
        <v>90.0</v>
      </c>
      <c r="T112" s="311"/>
      <c r="U112" s="308" t="s">
        <v>3935</v>
      </c>
      <c r="V112" s="308" t="b">
        <v>1</v>
      </c>
      <c r="W112" s="308" t="b">
        <v>1</v>
      </c>
      <c r="X112" s="308"/>
      <c r="Y112" s="308" t="s">
        <v>3936</v>
      </c>
      <c r="Z112" s="308" t="s">
        <v>3937</v>
      </c>
      <c r="AA112" s="308" t="s">
        <v>3937</v>
      </c>
      <c r="AB112" s="308"/>
      <c r="AC112" s="308"/>
      <c r="AD112" s="308" t="s">
        <v>23</v>
      </c>
      <c r="AE112" s="308">
        <v>20122.0</v>
      </c>
      <c r="AF112" s="308" t="s">
        <v>2954</v>
      </c>
      <c r="AG112" s="308" t="s">
        <v>2955</v>
      </c>
      <c r="AH112" s="308">
        <v>3.394658451E9</v>
      </c>
      <c r="AI112" s="308" t="s">
        <v>3936</v>
      </c>
      <c r="AJ112" s="308" t="s">
        <v>3937</v>
      </c>
      <c r="AK112" s="308" t="s">
        <v>3937</v>
      </c>
      <c r="AL112" s="308"/>
      <c r="AM112" s="308"/>
      <c r="AN112" s="308" t="s">
        <v>23</v>
      </c>
      <c r="AO112" s="308">
        <v>20122.0</v>
      </c>
      <c r="AP112" s="308" t="s">
        <v>2954</v>
      </c>
      <c r="AQ112" s="308" t="s">
        <v>2955</v>
      </c>
      <c r="AR112" s="308">
        <v>3.394658451E9</v>
      </c>
      <c r="AS112" s="311"/>
      <c r="AT112" s="311"/>
      <c r="AU112" s="311"/>
      <c r="AV112" s="308" t="s">
        <v>3009</v>
      </c>
      <c r="AW112" s="308">
        <v>4.7647805145415E13</v>
      </c>
      <c r="AX112" s="310">
        <v>0.0</v>
      </c>
      <c r="AY112" s="308" t="s">
        <v>2974</v>
      </c>
      <c r="AZ112" s="308">
        <v>0.0</v>
      </c>
      <c r="BA112" s="311"/>
      <c r="BB112" s="311"/>
      <c r="BC112" s="311"/>
      <c r="BD112" s="308">
        <v>7.569249698119E12</v>
      </c>
      <c r="BE112" s="311"/>
      <c r="BF112" s="311"/>
      <c r="BG112" s="308" t="s">
        <v>2958</v>
      </c>
      <c r="BH112" s="308">
        <v>0.0</v>
      </c>
      <c r="BI112" s="308" t="s">
        <v>2959</v>
      </c>
      <c r="BJ112" s="308">
        <v>14.61</v>
      </c>
      <c r="BK112" s="311"/>
      <c r="BL112" s="311"/>
      <c r="BM112" s="311"/>
      <c r="BN112" s="311"/>
      <c r="BO112" s="311"/>
      <c r="BP112" s="311"/>
      <c r="BQ112" s="311"/>
      <c r="BR112" s="311"/>
      <c r="BS112" s="308"/>
      <c r="BT112" s="311"/>
      <c r="BU112" s="311"/>
      <c r="BV112" s="308" t="s">
        <v>23</v>
      </c>
      <c r="BW112" s="308" t="s">
        <v>23</v>
      </c>
      <c r="BX112" s="308" t="s">
        <v>3009</v>
      </c>
      <c r="BY112" s="311"/>
      <c r="BZ112" s="311"/>
      <c r="CA112" s="308" t="s">
        <v>3009</v>
      </c>
      <c r="CB112" s="312" t="str">
        <f t="shared" si="1"/>
        <v>11/04/2026</v>
      </c>
      <c r="CC112" s="313">
        <f t="shared" si="2"/>
        <v>2026</v>
      </c>
      <c r="CD112" s="314">
        <f t="shared" si="3"/>
        <v>4</v>
      </c>
      <c r="CE112" s="314">
        <f t="shared" si="4"/>
        <v>1</v>
      </c>
      <c r="CF112" s="314">
        <f t="shared" si="5"/>
        <v>1</v>
      </c>
      <c r="CG112" s="314">
        <f t="shared" si="6"/>
        <v>0</v>
      </c>
      <c r="CH112" s="315">
        <f>VLOOKUP(CL112,'PRODUCT_COGS&amp;PRICE'!A:E,5,false)</f>
        <v>16.5</v>
      </c>
      <c r="CI112" s="306">
        <f t="shared" si="7"/>
        <v>-3.31301</v>
      </c>
      <c r="CJ112" s="316">
        <f t="shared" si="8"/>
        <v>0</v>
      </c>
      <c r="CK112" s="316">
        <f t="shared" si="9"/>
        <v>9</v>
      </c>
      <c r="CL112" s="314" t="str">
        <f>VLOOKUP(R112,PRODUCT_MAP!A:B,2,FALSE)</f>
        <v>Annie_Bag_PAILLETTES_GREY</v>
      </c>
      <c r="CM112" s="314" t="str">
        <f>VLOOKUP(R112,PRODUCT_MAP!A:E,3,FALSE)</f>
        <v>Annie Bag paillettes</v>
      </c>
    </row>
    <row r="113" ht="22.5" customHeight="1">
      <c r="A113" s="308" t="s">
        <v>3938</v>
      </c>
      <c r="B113" s="308" t="s">
        <v>3939</v>
      </c>
      <c r="C113" s="308" t="s">
        <v>2942</v>
      </c>
      <c r="D113" s="308" t="s">
        <v>3940</v>
      </c>
      <c r="E113" s="308" t="s">
        <v>3013</v>
      </c>
      <c r="F113" s="308"/>
      <c r="G113" s="308" t="s">
        <v>2946</v>
      </c>
      <c r="H113" s="308" t="s">
        <v>2947</v>
      </c>
      <c r="I113" s="308">
        <v>150.0</v>
      </c>
      <c r="J113" s="308">
        <v>0.0</v>
      </c>
      <c r="K113" s="308">
        <v>27.05</v>
      </c>
      <c r="L113" s="308">
        <v>150.0</v>
      </c>
      <c r="M113" s="308"/>
      <c r="N113" s="308">
        <v>0.0</v>
      </c>
      <c r="O113" s="308" t="s">
        <v>2948</v>
      </c>
      <c r="P113" s="308" t="s">
        <v>3941</v>
      </c>
      <c r="Q113" s="310">
        <v>1.0</v>
      </c>
      <c r="R113" s="308" t="s">
        <v>3738</v>
      </c>
      <c r="S113" s="308">
        <v>150.0</v>
      </c>
      <c r="T113" s="311"/>
      <c r="U113" s="308" t="s">
        <v>3739</v>
      </c>
      <c r="V113" s="308" t="b">
        <v>1</v>
      </c>
      <c r="W113" s="308" t="b">
        <v>1</v>
      </c>
      <c r="X113" s="308"/>
      <c r="Y113" s="308" t="s">
        <v>3942</v>
      </c>
      <c r="Z113" s="308" t="s">
        <v>3943</v>
      </c>
      <c r="AA113" s="308" t="s">
        <v>3943</v>
      </c>
      <c r="AB113" s="308"/>
      <c r="AC113" s="308"/>
      <c r="AD113" s="308" t="s">
        <v>3081</v>
      </c>
      <c r="AE113" s="308">
        <v>143.0</v>
      </c>
      <c r="AF113" s="308" t="s">
        <v>3082</v>
      </c>
      <c r="AG113" s="308" t="s">
        <v>2955</v>
      </c>
      <c r="AH113" s="308">
        <v>3.93386633544E11</v>
      </c>
      <c r="AI113" s="308" t="s">
        <v>3942</v>
      </c>
      <c r="AJ113" s="308" t="s">
        <v>3943</v>
      </c>
      <c r="AK113" s="308" t="s">
        <v>3943</v>
      </c>
      <c r="AL113" s="308"/>
      <c r="AM113" s="308"/>
      <c r="AN113" s="308" t="s">
        <v>3081</v>
      </c>
      <c r="AO113" s="308">
        <v>143.0</v>
      </c>
      <c r="AP113" s="308" t="s">
        <v>3082</v>
      </c>
      <c r="AQ113" s="308" t="s">
        <v>2955</v>
      </c>
      <c r="AR113" s="308">
        <v>3.93386633544E11</v>
      </c>
      <c r="AS113" s="311"/>
      <c r="AT113" s="311"/>
      <c r="AU113" s="311"/>
      <c r="AV113" s="308" t="s">
        <v>2956</v>
      </c>
      <c r="AW113" s="308">
        <v>4.7653538562375E13</v>
      </c>
      <c r="AX113" s="310">
        <v>0.0</v>
      </c>
      <c r="AY113" s="308" t="s">
        <v>2974</v>
      </c>
      <c r="AZ113" s="308">
        <v>0.0</v>
      </c>
      <c r="BA113" s="311"/>
      <c r="BB113" s="311"/>
      <c r="BC113" s="311"/>
      <c r="BD113" s="308">
        <v>7.577557270855E12</v>
      </c>
      <c r="BE113" s="311"/>
      <c r="BF113" s="311"/>
      <c r="BG113" s="308" t="s">
        <v>2958</v>
      </c>
      <c r="BH113" s="308">
        <v>0.0</v>
      </c>
      <c r="BI113" s="308" t="s">
        <v>2959</v>
      </c>
      <c r="BJ113" s="308">
        <v>27.05</v>
      </c>
      <c r="BK113" s="311"/>
      <c r="BL113" s="311"/>
      <c r="BM113" s="311"/>
      <c r="BN113" s="311"/>
      <c r="BO113" s="311"/>
      <c r="BP113" s="311"/>
      <c r="BQ113" s="311"/>
      <c r="BR113" s="311"/>
      <c r="BS113" s="308"/>
      <c r="BT113" s="311"/>
      <c r="BU113" s="311"/>
      <c r="BV113" s="308" t="s">
        <v>3081</v>
      </c>
      <c r="BW113" s="308" t="s">
        <v>3081</v>
      </c>
      <c r="BX113" s="308" t="s">
        <v>2956</v>
      </c>
      <c r="BY113" s="311"/>
      <c r="BZ113" s="311"/>
      <c r="CA113" s="308" t="s">
        <v>2956</v>
      </c>
      <c r="CB113" s="312" t="str">
        <f t="shared" si="1"/>
        <v>12/04/2026</v>
      </c>
      <c r="CC113" s="313">
        <f t="shared" si="2"/>
        <v>2026</v>
      </c>
      <c r="CD113" s="314">
        <f t="shared" si="3"/>
        <v>4</v>
      </c>
      <c r="CE113" s="314">
        <f t="shared" si="4"/>
        <v>1</v>
      </c>
      <c r="CF113" s="314">
        <f t="shared" si="5"/>
        <v>1</v>
      </c>
      <c r="CG113" s="314">
        <f t="shared" si="6"/>
        <v>-5</v>
      </c>
      <c r="CH113" s="315">
        <f>VLOOKUP(CL113,'PRODUCT_COGS&amp;PRICE'!A:E,5,false)</f>
        <v>33</v>
      </c>
      <c r="CI113" s="315">
        <f t="shared" si="7"/>
        <v>-3.1</v>
      </c>
      <c r="CJ113" s="316">
        <f t="shared" si="8"/>
        <v>0</v>
      </c>
      <c r="CK113" s="316">
        <f t="shared" si="9"/>
        <v>0</v>
      </c>
      <c r="CL113" s="314" t="str">
        <f>VLOOKUP(R113,PRODUCT_MAP!A:B,2,FALSE)</f>
        <v>Lea_Bag_BLACK_WHITE_PONY</v>
      </c>
      <c r="CM113" s="314" t="str">
        <f>VLOOKUP(R113,PRODUCT_MAP!A:E,3,FALSE)</f>
        <v>Lea Bag</v>
      </c>
    </row>
    <row r="114" ht="22.5" customHeight="1">
      <c r="A114" s="308" t="s">
        <v>3944</v>
      </c>
      <c r="B114" s="308" t="s">
        <v>3945</v>
      </c>
      <c r="C114" s="308" t="s">
        <v>2942</v>
      </c>
      <c r="D114" s="308" t="s">
        <v>3946</v>
      </c>
      <c r="E114" s="308" t="s">
        <v>3013</v>
      </c>
      <c r="F114" s="308"/>
      <c r="G114" s="308" t="s">
        <v>2946</v>
      </c>
      <c r="H114" s="308" t="s">
        <v>2947</v>
      </c>
      <c r="I114" s="308">
        <v>108.0</v>
      </c>
      <c r="J114" s="308">
        <v>0.0</v>
      </c>
      <c r="K114" s="308">
        <v>19.48</v>
      </c>
      <c r="L114" s="308">
        <v>108.0</v>
      </c>
      <c r="M114" s="308" t="s">
        <v>3094</v>
      </c>
      <c r="N114" s="308">
        <v>12.0</v>
      </c>
      <c r="O114" s="308" t="s">
        <v>2948</v>
      </c>
      <c r="P114" s="308" t="s">
        <v>3947</v>
      </c>
      <c r="Q114" s="310">
        <v>1.0</v>
      </c>
      <c r="R114" s="308" t="s">
        <v>509</v>
      </c>
      <c r="S114" s="308">
        <v>120.0</v>
      </c>
      <c r="T114" s="311"/>
      <c r="U114" s="308" t="s">
        <v>161</v>
      </c>
      <c r="V114" s="308" t="b">
        <v>1</v>
      </c>
      <c r="W114" s="308" t="b">
        <v>1</v>
      </c>
      <c r="X114" s="308"/>
      <c r="Y114" s="308" t="s">
        <v>3948</v>
      </c>
      <c r="Z114" s="308" t="s">
        <v>3949</v>
      </c>
      <c r="AA114" s="308" t="s">
        <v>3949</v>
      </c>
      <c r="AB114" s="308"/>
      <c r="AC114" s="308"/>
      <c r="AD114" s="308" t="s">
        <v>3950</v>
      </c>
      <c r="AE114" s="308">
        <v>33052.0</v>
      </c>
      <c r="AF114" s="308" t="s">
        <v>3951</v>
      </c>
      <c r="AG114" s="308" t="s">
        <v>2955</v>
      </c>
      <c r="AH114" s="308"/>
      <c r="AI114" s="308" t="s">
        <v>3952</v>
      </c>
      <c r="AJ114" s="308" t="s">
        <v>3953</v>
      </c>
      <c r="AK114" s="308" t="s">
        <v>3953</v>
      </c>
      <c r="AL114" s="308"/>
      <c r="AM114" s="308"/>
      <c r="AN114" s="308" t="s">
        <v>3954</v>
      </c>
      <c r="AO114" s="308">
        <v>33058.0</v>
      </c>
      <c r="AP114" s="308" t="s">
        <v>3951</v>
      </c>
      <c r="AQ114" s="308" t="s">
        <v>2955</v>
      </c>
      <c r="AR114" s="308">
        <v>3.294770922E9</v>
      </c>
      <c r="AS114" s="311"/>
      <c r="AT114" s="311"/>
      <c r="AU114" s="311"/>
      <c r="AV114" s="308" t="s">
        <v>2956</v>
      </c>
      <c r="AW114" s="308">
        <v>4.7655443988807E13</v>
      </c>
      <c r="AX114" s="310">
        <v>0.0</v>
      </c>
      <c r="AY114" s="308" t="s">
        <v>2974</v>
      </c>
      <c r="AZ114" s="308">
        <v>0.0</v>
      </c>
      <c r="BA114" s="311"/>
      <c r="BB114" s="311"/>
      <c r="BC114" s="311"/>
      <c r="BD114" s="308">
        <v>7.580008153415E12</v>
      </c>
      <c r="BE114" s="311"/>
      <c r="BF114" s="311"/>
      <c r="BG114" s="308" t="s">
        <v>2958</v>
      </c>
      <c r="BH114" s="308">
        <v>0.0</v>
      </c>
      <c r="BI114" s="308" t="s">
        <v>2959</v>
      </c>
      <c r="BJ114" s="308">
        <v>19.48</v>
      </c>
      <c r="BK114" s="311"/>
      <c r="BL114" s="311"/>
      <c r="BM114" s="311"/>
      <c r="BN114" s="311"/>
      <c r="BO114" s="311"/>
      <c r="BP114" s="311"/>
      <c r="BQ114" s="311"/>
      <c r="BR114" s="311"/>
      <c r="BS114" s="308"/>
      <c r="BT114" s="311"/>
      <c r="BU114" s="311"/>
      <c r="BV114" s="308" t="s">
        <v>3955</v>
      </c>
      <c r="BW114" s="308" t="s">
        <v>3955</v>
      </c>
      <c r="BX114" s="308" t="s">
        <v>2956</v>
      </c>
      <c r="BY114" s="311"/>
      <c r="BZ114" s="311"/>
      <c r="CA114" s="308" t="s">
        <v>2956</v>
      </c>
      <c r="CB114" s="312" t="str">
        <f t="shared" si="1"/>
        <v>12/04/2026</v>
      </c>
      <c r="CC114" s="313">
        <f t="shared" si="2"/>
        <v>2026</v>
      </c>
      <c r="CD114" s="314">
        <f t="shared" si="3"/>
        <v>4</v>
      </c>
      <c r="CE114" s="314">
        <f t="shared" si="4"/>
        <v>1</v>
      </c>
      <c r="CF114" s="314">
        <f t="shared" si="5"/>
        <v>1</v>
      </c>
      <c r="CG114" s="314">
        <f t="shared" si="6"/>
        <v>-5</v>
      </c>
      <c r="CH114" s="315">
        <f>VLOOKUP(CL114,'PRODUCT_COGS&amp;PRICE'!A:E,5,false)</f>
        <v>30.33</v>
      </c>
      <c r="CI114" s="315">
        <f t="shared" si="7"/>
        <v>-2.302</v>
      </c>
      <c r="CJ114" s="316">
        <f t="shared" si="8"/>
        <v>0</v>
      </c>
      <c r="CK114" s="316">
        <f t="shared" si="9"/>
        <v>12</v>
      </c>
      <c r="CL114" s="314" t="str">
        <f>VLOOKUP(R114,PRODUCT_MAP!A:B,2,FALSE)</f>
        <v>Lea_Bag_COCCO_BLACK</v>
      </c>
      <c r="CM114" s="314" t="str">
        <f>VLOOKUP(R114,PRODUCT_MAP!A:E,3,FALSE)</f>
        <v>Lea Bag</v>
      </c>
    </row>
    <row r="115" ht="22.5" customHeight="1">
      <c r="A115" s="308" t="s">
        <v>3956</v>
      </c>
      <c r="B115" s="308" t="s">
        <v>3957</v>
      </c>
      <c r="C115" s="308" t="s">
        <v>2942</v>
      </c>
      <c r="D115" s="308" t="s">
        <v>3958</v>
      </c>
      <c r="E115" s="308" t="s">
        <v>3013</v>
      </c>
      <c r="F115" s="308"/>
      <c r="G115" s="308" t="s">
        <v>2965</v>
      </c>
      <c r="H115" s="308" t="s">
        <v>2947</v>
      </c>
      <c r="I115" s="308">
        <v>120.0</v>
      </c>
      <c r="J115" s="308">
        <v>0.0</v>
      </c>
      <c r="K115" s="308">
        <v>21.64</v>
      </c>
      <c r="L115" s="308">
        <v>120.0</v>
      </c>
      <c r="M115" s="308"/>
      <c r="N115" s="308">
        <v>0.0</v>
      </c>
      <c r="O115" s="308" t="s">
        <v>2948</v>
      </c>
      <c r="P115" s="308" t="s">
        <v>3959</v>
      </c>
      <c r="Q115" s="310">
        <v>1.0</v>
      </c>
      <c r="R115" s="308" t="s">
        <v>579</v>
      </c>
      <c r="S115" s="308">
        <v>120.0</v>
      </c>
      <c r="T115" s="311"/>
      <c r="U115" s="308" t="s">
        <v>2002</v>
      </c>
      <c r="V115" s="308" t="b">
        <v>1</v>
      </c>
      <c r="W115" s="308" t="b">
        <v>1</v>
      </c>
      <c r="X115" s="308"/>
      <c r="Y115" s="308" t="s">
        <v>3960</v>
      </c>
      <c r="Z115" s="308" t="s">
        <v>3961</v>
      </c>
      <c r="AA115" s="308" t="s">
        <v>3961</v>
      </c>
      <c r="AB115" s="308"/>
      <c r="AC115" s="308"/>
      <c r="AD115" s="308" t="s">
        <v>23</v>
      </c>
      <c r="AE115" s="308">
        <v>20122.0</v>
      </c>
      <c r="AF115" s="308" t="s">
        <v>2954</v>
      </c>
      <c r="AG115" s="308" t="s">
        <v>2955</v>
      </c>
      <c r="AH115" s="318" t="s">
        <v>3962</v>
      </c>
      <c r="AI115" s="308" t="s">
        <v>3963</v>
      </c>
      <c r="AJ115" s="308" t="s">
        <v>3964</v>
      </c>
      <c r="AK115" s="308" t="s">
        <v>3964</v>
      </c>
      <c r="AL115" s="308"/>
      <c r="AM115" s="308"/>
      <c r="AN115" s="308" t="s">
        <v>23</v>
      </c>
      <c r="AO115" s="308">
        <v>20122.0</v>
      </c>
      <c r="AP115" s="308" t="s">
        <v>2954</v>
      </c>
      <c r="AQ115" s="308" t="s">
        <v>2955</v>
      </c>
      <c r="AR115" s="318" t="s">
        <v>3962</v>
      </c>
      <c r="AS115" s="311"/>
      <c r="AT115" s="311"/>
      <c r="AU115" s="311"/>
      <c r="AV115" s="308" t="s">
        <v>2956</v>
      </c>
      <c r="AW115" s="308">
        <v>4.7658144497991E13</v>
      </c>
      <c r="AX115" s="310">
        <v>0.0</v>
      </c>
      <c r="AY115" s="308" t="s">
        <v>2974</v>
      </c>
      <c r="AZ115" s="308">
        <v>0.0</v>
      </c>
      <c r="BA115" s="311"/>
      <c r="BB115" s="311"/>
      <c r="BC115" s="311"/>
      <c r="BD115" s="308">
        <v>7.584695681351E12</v>
      </c>
      <c r="BE115" s="311"/>
      <c r="BF115" s="311"/>
      <c r="BG115" s="308" t="s">
        <v>2958</v>
      </c>
      <c r="BH115" s="308">
        <v>0.0</v>
      </c>
      <c r="BI115" s="308" t="s">
        <v>2959</v>
      </c>
      <c r="BJ115" s="308">
        <v>21.64</v>
      </c>
      <c r="BK115" s="311"/>
      <c r="BL115" s="311"/>
      <c r="BM115" s="311"/>
      <c r="BN115" s="311"/>
      <c r="BO115" s="311"/>
      <c r="BP115" s="311"/>
      <c r="BQ115" s="311"/>
      <c r="BR115" s="311"/>
      <c r="BS115" s="318" t="s">
        <v>3962</v>
      </c>
      <c r="BT115" s="311"/>
      <c r="BU115" s="311"/>
      <c r="BV115" s="308" t="s">
        <v>23</v>
      </c>
      <c r="BW115" s="308" t="s">
        <v>23</v>
      </c>
      <c r="BX115" s="308" t="s">
        <v>2956</v>
      </c>
      <c r="BY115" s="311"/>
      <c r="BZ115" s="311"/>
      <c r="CA115" s="308" t="s">
        <v>2956</v>
      </c>
      <c r="CB115" s="312" t="str">
        <f t="shared" si="1"/>
        <v>13/04/2026</v>
      </c>
      <c r="CC115" s="313">
        <f t="shared" si="2"/>
        <v>2026</v>
      </c>
      <c r="CD115" s="314">
        <f t="shared" si="3"/>
        <v>4</v>
      </c>
      <c r="CE115" s="314">
        <f t="shared" si="4"/>
        <v>1</v>
      </c>
      <c r="CF115" s="314">
        <f t="shared" si="5"/>
        <v>1</v>
      </c>
      <c r="CG115" s="314">
        <f t="shared" si="6"/>
        <v>-5</v>
      </c>
      <c r="CH115" s="315">
        <f>VLOOKUP(CL115,'PRODUCT_COGS&amp;PRICE'!A:E,5,false)</f>
        <v>20</v>
      </c>
      <c r="CI115" s="315">
        <f t="shared" si="7"/>
        <v>-2.53</v>
      </c>
      <c r="CJ115" s="316">
        <f t="shared" si="8"/>
        <v>0</v>
      </c>
      <c r="CK115" s="316">
        <f t="shared" si="9"/>
        <v>0</v>
      </c>
      <c r="CL115" s="314" t="str">
        <f>VLOOKUP(R115,PRODUCT_MAP!A:B,2,FALSE)</f>
        <v>Lea_Bag_VERNICE_PURPLE_PATENT</v>
      </c>
      <c r="CM115" s="314" t="str">
        <f>VLOOKUP(R115,PRODUCT_MAP!A:E,3,FALSE)</f>
        <v>Lea Bag</v>
      </c>
    </row>
    <row r="116" ht="22.5" customHeight="1">
      <c r="A116" s="308" t="s">
        <v>3965</v>
      </c>
      <c r="B116" s="308" t="s">
        <v>3966</v>
      </c>
      <c r="C116" s="308" t="s">
        <v>2942</v>
      </c>
      <c r="D116" s="308" t="s">
        <v>3967</v>
      </c>
      <c r="E116" s="308" t="s">
        <v>3013</v>
      </c>
      <c r="F116" s="308"/>
      <c r="G116" s="308" t="s">
        <v>2965</v>
      </c>
      <c r="H116" s="308" t="s">
        <v>2947</v>
      </c>
      <c r="I116" s="308">
        <v>157.5</v>
      </c>
      <c r="J116" s="308">
        <v>0.0</v>
      </c>
      <c r="K116" s="308">
        <v>28.4</v>
      </c>
      <c r="L116" s="308">
        <v>157.5</v>
      </c>
      <c r="M116" s="308" t="s">
        <v>3221</v>
      </c>
      <c r="N116" s="308">
        <v>17.5</v>
      </c>
      <c r="O116" s="308" t="s">
        <v>2948</v>
      </c>
      <c r="P116" s="308" t="s">
        <v>3968</v>
      </c>
      <c r="Q116" s="310">
        <v>1.0</v>
      </c>
      <c r="R116" s="308" t="s">
        <v>773</v>
      </c>
      <c r="S116" s="308">
        <v>175.0</v>
      </c>
      <c r="T116" s="311"/>
      <c r="U116" s="308" t="s">
        <v>3969</v>
      </c>
      <c r="V116" s="308" t="b">
        <v>1</v>
      </c>
      <c r="W116" s="308" t="b">
        <v>1</v>
      </c>
      <c r="X116" s="308"/>
      <c r="Y116" s="308" t="s">
        <v>3970</v>
      </c>
      <c r="Z116" s="308" t="s">
        <v>3971</v>
      </c>
      <c r="AA116" s="308" t="s">
        <v>3971</v>
      </c>
      <c r="AB116" s="308"/>
      <c r="AC116" s="308"/>
      <c r="AD116" s="308" t="s">
        <v>3394</v>
      </c>
      <c r="AE116" s="308">
        <v>59100.0</v>
      </c>
      <c r="AF116" s="308" t="s">
        <v>3395</v>
      </c>
      <c r="AG116" s="308" t="s">
        <v>2955</v>
      </c>
      <c r="AH116" s="308">
        <v>3.348636146E9</v>
      </c>
      <c r="AI116" s="308" t="s">
        <v>3970</v>
      </c>
      <c r="AJ116" s="308" t="s">
        <v>3971</v>
      </c>
      <c r="AK116" s="308" t="s">
        <v>3971</v>
      </c>
      <c r="AL116" s="308"/>
      <c r="AM116" s="308"/>
      <c r="AN116" s="308" t="s">
        <v>3394</v>
      </c>
      <c r="AO116" s="308">
        <v>59100.0</v>
      </c>
      <c r="AP116" s="308" t="s">
        <v>3395</v>
      </c>
      <c r="AQ116" s="308" t="s">
        <v>2955</v>
      </c>
      <c r="AR116" s="308">
        <v>3.348636146E9</v>
      </c>
      <c r="AS116" s="311"/>
      <c r="AT116" s="311"/>
      <c r="AU116" s="311"/>
      <c r="AV116" s="308" t="s">
        <v>3009</v>
      </c>
      <c r="AW116" s="308">
        <v>4.7659811340615E13</v>
      </c>
      <c r="AX116" s="310">
        <v>0.0</v>
      </c>
      <c r="AY116" s="308" t="s">
        <v>2974</v>
      </c>
      <c r="AZ116" s="308">
        <v>0.0</v>
      </c>
      <c r="BA116" s="311"/>
      <c r="BB116" s="311"/>
      <c r="BC116" s="311"/>
      <c r="BD116" s="308">
        <v>7.587593945415E12</v>
      </c>
      <c r="BE116" s="311"/>
      <c r="BF116" s="311"/>
      <c r="BG116" s="308" t="s">
        <v>2958</v>
      </c>
      <c r="BH116" s="308">
        <v>0.0</v>
      </c>
      <c r="BI116" s="308" t="s">
        <v>2959</v>
      </c>
      <c r="BJ116" s="308">
        <v>28.4</v>
      </c>
      <c r="BK116" s="311"/>
      <c r="BL116" s="311"/>
      <c r="BM116" s="311"/>
      <c r="BN116" s="311"/>
      <c r="BO116" s="311"/>
      <c r="BP116" s="311"/>
      <c r="BQ116" s="311"/>
      <c r="BR116" s="311"/>
      <c r="BS116" s="308"/>
      <c r="BT116" s="311"/>
      <c r="BU116" s="311"/>
      <c r="BV116" s="308" t="s">
        <v>3394</v>
      </c>
      <c r="BW116" s="308" t="s">
        <v>3394</v>
      </c>
      <c r="BX116" s="308" t="s">
        <v>3009</v>
      </c>
      <c r="BY116" s="311"/>
      <c r="BZ116" s="311"/>
      <c r="CA116" s="308" t="s">
        <v>3009</v>
      </c>
      <c r="CB116" s="312" t="str">
        <f t="shared" si="1"/>
        <v>13/04/2026</v>
      </c>
      <c r="CC116" s="313">
        <f t="shared" si="2"/>
        <v>2026</v>
      </c>
      <c r="CD116" s="314">
        <f t="shared" si="3"/>
        <v>4</v>
      </c>
      <c r="CE116" s="314">
        <f t="shared" si="4"/>
        <v>1</v>
      </c>
      <c r="CF116" s="314">
        <f t="shared" si="5"/>
        <v>1</v>
      </c>
      <c r="CG116" s="314">
        <f t="shared" si="6"/>
        <v>-5</v>
      </c>
      <c r="CH116" s="315">
        <f>VLOOKUP(CL116,'PRODUCT_COGS&amp;PRICE'!A:E,5,false)</f>
        <v>45.4</v>
      </c>
      <c r="CI116" s="315">
        <f t="shared" si="7"/>
        <v>-5.84675</v>
      </c>
      <c r="CJ116" s="316">
        <f t="shared" si="8"/>
        <v>0</v>
      </c>
      <c r="CK116" s="316">
        <f t="shared" si="9"/>
        <v>17.5</v>
      </c>
      <c r="CL116" s="314" t="str">
        <f>VLOOKUP(R116,PRODUCT_MAP!A:B,2,FALSE)</f>
        <v>Valentina_Bag_COCCO_BLACK</v>
      </c>
      <c r="CM116" s="314" t="str">
        <f>VLOOKUP(R116,PRODUCT_MAP!A:E,3,FALSE)</f>
        <v>Valentina Bag</v>
      </c>
    </row>
    <row r="117" ht="22.5" customHeight="1">
      <c r="A117" s="308" t="s">
        <v>3972</v>
      </c>
      <c r="B117" s="308" t="s">
        <v>3973</v>
      </c>
      <c r="C117" s="308" t="s">
        <v>2942</v>
      </c>
      <c r="D117" s="308" t="s">
        <v>3974</v>
      </c>
      <c r="E117" s="308" t="s">
        <v>3013</v>
      </c>
      <c r="F117" s="308"/>
      <c r="G117" s="308" t="s">
        <v>2946</v>
      </c>
      <c r="H117" s="308" t="s">
        <v>2947</v>
      </c>
      <c r="I117" s="308">
        <v>108.0</v>
      </c>
      <c r="J117" s="308">
        <v>0.0</v>
      </c>
      <c r="K117" s="308">
        <v>19.48</v>
      </c>
      <c r="L117" s="308">
        <v>108.0</v>
      </c>
      <c r="M117" s="308" t="s">
        <v>3094</v>
      </c>
      <c r="N117" s="308">
        <v>12.0</v>
      </c>
      <c r="O117" s="308" t="s">
        <v>2948</v>
      </c>
      <c r="P117" s="308" t="s">
        <v>3975</v>
      </c>
      <c r="Q117" s="310">
        <v>1.0</v>
      </c>
      <c r="R117" s="308" t="s">
        <v>509</v>
      </c>
      <c r="S117" s="308">
        <v>120.0</v>
      </c>
      <c r="T117" s="311"/>
      <c r="U117" s="308" t="s">
        <v>161</v>
      </c>
      <c r="V117" s="308" t="b">
        <v>1</v>
      </c>
      <c r="W117" s="308" t="b">
        <v>1</v>
      </c>
      <c r="X117" s="308"/>
      <c r="Y117" s="308" t="s">
        <v>3976</v>
      </c>
      <c r="Z117" s="308" t="s">
        <v>3977</v>
      </c>
      <c r="AA117" s="308" t="s">
        <v>3977</v>
      </c>
      <c r="AB117" s="308"/>
      <c r="AC117" s="308"/>
      <c r="AD117" s="308" t="s">
        <v>23</v>
      </c>
      <c r="AE117" s="308">
        <v>20145.0</v>
      </c>
      <c r="AF117" s="308" t="s">
        <v>2954</v>
      </c>
      <c r="AG117" s="308" t="s">
        <v>2955</v>
      </c>
      <c r="AH117" s="308"/>
      <c r="AI117" s="308" t="s">
        <v>3976</v>
      </c>
      <c r="AJ117" s="308" t="s">
        <v>3978</v>
      </c>
      <c r="AK117" s="308" t="s">
        <v>3979</v>
      </c>
      <c r="AL117" s="308" t="s">
        <v>3980</v>
      </c>
      <c r="AM117" s="308"/>
      <c r="AN117" s="308" t="s">
        <v>23</v>
      </c>
      <c r="AO117" s="308">
        <v>20143.0</v>
      </c>
      <c r="AP117" s="308" t="s">
        <v>2954</v>
      </c>
      <c r="AQ117" s="308" t="s">
        <v>2955</v>
      </c>
      <c r="AR117" s="318" t="s">
        <v>3981</v>
      </c>
      <c r="AS117" s="311"/>
      <c r="AT117" s="311"/>
      <c r="AU117" s="311"/>
      <c r="AV117" s="308" t="s">
        <v>2956</v>
      </c>
      <c r="AW117" s="308">
        <v>4.7654398394695E13</v>
      </c>
      <c r="AX117" s="310">
        <v>0.0</v>
      </c>
      <c r="AY117" s="308" t="s">
        <v>2974</v>
      </c>
      <c r="AZ117" s="308">
        <v>0.0</v>
      </c>
      <c r="BA117" s="311"/>
      <c r="BB117" s="311"/>
      <c r="BC117" s="311"/>
      <c r="BD117" s="308">
        <v>7.587859726663E12</v>
      </c>
      <c r="BE117" s="311"/>
      <c r="BF117" s="311"/>
      <c r="BG117" s="308" t="s">
        <v>2958</v>
      </c>
      <c r="BH117" s="308">
        <v>0.0</v>
      </c>
      <c r="BI117" s="308" t="s">
        <v>2959</v>
      </c>
      <c r="BJ117" s="308">
        <v>19.48</v>
      </c>
      <c r="BK117" s="311"/>
      <c r="BL117" s="311"/>
      <c r="BM117" s="311"/>
      <c r="BN117" s="311"/>
      <c r="BO117" s="311"/>
      <c r="BP117" s="311"/>
      <c r="BQ117" s="311"/>
      <c r="BR117" s="311"/>
      <c r="BS117" s="308"/>
      <c r="BT117" s="311"/>
      <c r="BU117" s="311"/>
      <c r="BV117" s="308" t="s">
        <v>23</v>
      </c>
      <c r="BW117" s="308" t="s">
        <v>23</v>
      </c>
      <c r="BX117" s="308" t="s">
        <v>2956</v>
      </c>
      <c r="BY117" s="311"/>
      <c r="BZ117" s="311"/>
      <c r="CA117" s="308" t="s">
        <v>2956</v>
      </c>
      <c r="CB117" s="312" t="str">
        <f t="shared" si="1"/>
        <v>13/04/2026</v>
      </c>
      <c r="CC117" s="313">
        <f t="shared" si="2"/>
        <v>2026</v>
      </c>
      <c r="CD117" s="314">
        <f t="shared" si="3"/>
        <v>4</v>
      </c>
      <c r="CE117" s="314">
        <f t="shared" si="4"/>
        <v>1</v>
      </c>
      <c r="CF117" s="314">
        <f t="shared" si="5"/>
        <v>1</v>
      </c>
      <c r="CG117" s="314">
        <f t="shared" si="6"/>
        <v>-5</v>
      </c>
      <c r="CH117" s="315">
        <f>VLOOKUP(CL117,'PRODUCT_COGS&amp;PRICE'!A:E,5,false)</f>
        <v>30.33</v>
      </c>
      <c r="CI117" s="315">
        <f t="shared" si="7"/>
        <v>-2.302</v>
      </c>
      <c r="CJ117" s="316">
        <f t="shared" si="8"/>
        <v>0</v>
      </c>
      <c r="CK117" s="316">
        <f t="shared" si="9"/>
        <v>12</v>
      </c>
      <c r="CL117" s="314" t="str">
        <f>VLOOKUP(R117,PRODUCT_MAP!A:B,2,FALSE)</f>
        <v>Lea_Bag_COCCO_BLACK</v>
      </c>
      <c r="CM117" s="314" t="str">
        <f>VLOOKUP(R117,PRODUCT_MAP!A:E,3,FALSE)</f>
        <v>Lea Bag</v>
      </c>
    </row>
    <row r="118" ht="22.5" customHeight="1">
      <c r="A118" s="308" t="s">
        <v>3982</v>
      </c>
      <c r="B118" s="308" t="s">
        <v>3983</v>
      </c>
      <c r="C118" s="308" t="s">
        <v>2942</v>
      </c>
      <c r="D118" s="308" t="s">
        <v>3984</v>
      </c>
      <c r="E118" s="308" t="s">
        <v>3013</v>
      </c>
      <c r="F118" s="308"/>
      <c r="G118" s="308" t="s">
        <v>2965</v>
      </c>
      <c r="H118" s="308" t="s">
        <v>2947</v>
      </c>
      <c r="I118" s="308">
        <v>120.0</v>
      </c>
      <c r="J118" s="308">
        <v>0.0</v>
      </c>
      <c r="K118" s="308">
        <v>21.64</v>
      </c>
      <c r="L118" s="308">
        <v>120.0</v>
      </c>
      <c r="M118" s="308"/>
      <c r="N118" s="308">
        <v>0.0</v>
      </c>
      <c r="O118" s="308" t="s">
        <v>2948</v>
      </c>
      <c r="P118" s="308" t="s">
        <v>3985</v>
      </c>
      <c r="Q118" s="310">
        <v>1.0</v>
      </c>
      <c r="R118" s="308" t="s">
        <v>607</v>
      </c>
      <c r="S118" s="308">
        <v>120.0</v>
      </c>
      <c r="T118" s="311"/>
      <c r="U118" s="308" t="s">
        <v>207</v>
      </c>
      <c r="V118" s="308" t="b">
        <v>1</v>
      </c>
      <c r="W118" s="308" t="b">
        <v>1</v>
      </c>
      <c r="X118" s="308"/>
      <c r="Y118" s="308" t="s">
        <v>3986</v>
      </c>
      <c r="Z118" s="308" t="s">
        <v>3987</v>
      </c>
      <c r="AA118" s="308" t="s">
        <v>3987</v>
      </c>
      <c r="AB118" s="308"/>
      <c r="AC118" s="308"/>
      <c r="AD118" s="308" t="s">
        <v>3081</v>
      </c>
      <c r="AE118" s="308">
        <v>192.0</v>
      </c>
      <c r="AF118" s="308" t="s">
        <v>3082</v>
      </c>
      <c r="AG118" s="308" t="s">
        <v>2955</v>
      </c>
      <c r="AH118" s="308">
        <v>3.668625649E9</v>
      </c>
      <c r="AI118" s="308" t="s">
        <v>3986</v>
      </c>
      <c r="AJ118" s="308" t="s">
        <v>3987</v>
      </c>
      <c r="AK118" s="308" t="s">
        <v>3987</v>
      </c>
      <c r="AL118" s="308"/>
      <c r="AM118" s="308"/>
      <c r="AN118" s="308" t="s">
        <v>3081</v>
      </c>
      <c r="AO118" s="308">
        <v>192.0</v>
      </c>
      <c r="AP118" s="308" t="s">
        <v>3082</v>
      </c>
      <c r="AQ118" s="308" t="s">
        <v>2955</v>
      </c>
      <c r="AR118" s="308">
        <v>3.668625649E9</v>
      </c>
      <c r="AS118" s="311"/>
      <c r="AT118" s="311"/>
      <c r="AU118" s="311"/>
      <c r="AV118" s="308" t="s">
        <v>3009</v>
      </c>
      <c r="AW118" s="308">
        <v>4.7660349456711E13</v>
      </c>
      <c r="AX118" s="310">
        <v>0.0</v>
      </c>
      <c r="AY118" s="308" t="s">
        <v>2974</v>
      </c>
      <c r="AZ118" s="308">
        <v>0.0</v>
      </c>
      <c r="BA118" s="311"/>
      <c r="BB118" s="311"/>
      <c r="BC118" s="311"/>
      <c r="BD118" s="308">
        <v>7.588289315143E12</v>
      </c>
      <c r="BE118" s="311"/>
      <c r="BF118" s="311"/>
      <c r="BG118" s="308" t="s">
        <v>2958</v>
      </c>
      <c r="BH118" s="308">
        <v>0.0</v>
      </c>
      <c r="BI118" s="308" t="s">
        <v>2959</v>
      </c>
      <c r="BJ118" s="308">
        <v>21.64</v>
      </c>
      <c r="BK118" s="311"/>
      <c r="BL118" s="311"/>
      <c r="BM118" s="311"/>
      <c r="BN118" s="311"/>
      <c r="BO118" s="311"/>
      <c r="BP118" s="311"/>
      <c r="BQ118" s="311"/>
      <c r="BR118" s="311"/>
      <c r="BS118" s="318" t="s">
        <v>3988</v>
      </c>
      <c r="BT118" s="311"/>
      <c r="BU118" s="311"/>
      <c r="BV118" s="308" t="s">
        <v>3081</v>
      </c>
      <c r="BW118" s="308" t="s">
        <v>3081</v>
      </c>
      <c r="BX118" s="308" t="s">
        <v>3009</v>
      </c>
      <c r="BY118" s="311"/>
      <c r="BZ118" s="311"/>
      <c r="CA118" s="308" t="s">
        <v>3009</v>
      </c>
      <c r="CB118" s="312" t="str">
        <f t="shared" si="1"/>
        <v>13/04/2026</v>
      </c>
      <c r="CC118" s="313">
        <f t="shared" si="2"/>
        <v>2026</v>
      </c>
      <c r="CD118" s="314">
        <f t="shared" si="3"/>
        <v>4</v>
      </c>
      <c r="CE118" s="314">
        <f t="shared" si="4"/>
        <v>1</v>
      </c>
      <c r="CF118" s="314">
        <f t="shared" si="5"/>
        <v>1</v>
      </c>
      <c r="CG118" s="314">
        <f t="shared" si="6"/>
        <v>-5</v>
      </c>
      <c r="CH118" s="315">
        <f>VLOOKUP(CL118,'PRODUCT_COGS&amp;PRICE'!A:E,5,false)</f>
        <v>26</v>
      </c>
      <c r="CI118" s="315">
        <f t="shared" si="7"/>
        <v>-4.538</v>
      </c>
      <c r="CJ118" s="316">
        <f t="shared" si="8"/>
        <v>0</v>
      </c>
      <c r="CK118" s="316">
        <f t="shared" si="9"/>
        <v>0</v>
      </c>
      <c r="CL118" s="314" t="str">
        <f>VLOOKUP(R118,PRODUCT_MAP!A:B,2,FALSE)</f>
        <v>Maria_Bag_RED_PIERCING</v>
      </c>
      <c r="CM118" s="314" t="str">
        <f>VLOOKUP(R118,PRODUCT_MAP!A:E,3,FALSE)</f>
        <v>Maria Bag</v>
      </c>
    </row>
    <row r="119" ht="22.5" customHeight="1">
      <c r="A119" s="308" t="s">
        <v>3989</v>
      </c>
      <c r="B119" s="308" t="s">
        <v>3990</v>
      </c>
      <c r="C119" s="308" t="s">
        <v>2942</v>
      </c>
      <c r="D119" s="308" t="s">
        <v>3991</v>
      </c>
      <c r="E119" s="308" t="s">
        <v>3013</v>
      </c>
      <c r="F119" s="308"/>
      <c r="G119" s="308" t="s">
        <v>2946</v>
      </c>
      <c r="H119" s="308" t="s">
        <v>2947</v>
      </c>
      <c r="I119" s="308">
        <v>108.0</v>
      </c>
      <c r="J119" s="308">
        <v>0.0</v>
      </c>
      <c r="K119" s="308">
        <v>19.48</v>
      </c>
      <c r="L119" s="308">
        <v>108.0</v>
      </c>
      <c r="M119" s="308" t="s">
        <v>3221</v>
      </c>
      <c r="N119" s="308">
        <v>12.0</v>
      </c>
      <c r="O119" s="308" t="s">
        <v>2948</v>
      </c>
      <c r="P119" s="308" t="s">
        <v>3992</v>
      </c>
      <c r="Q119" s="310">
        <v>1.0</v>
      </c>
      <c r="R119" s="308" t="s">
        <v>607</v>
      </c>
      <c r="S119" s="308">
        <v>120.0</v>
      </c>
      <c r="T119" s="311"/>
      <c r="U119" s="308" t="s">
        <v>207</v>
      </c>
      <c r="V119" s="308" t="b">
        <v>1</v>
      </c>
      <c r="W119" s="308" t="b">
        <v>1</v>
      </c>
      <c r="X119" s="308"/>
      <c r="Y119" s="308" t="s">
        <v>3993</v>
      </c>
      <c r="Z119" s="308" t="s">
        <v>3994</v>
      </c>
      <c r="AA119" s="308" t="s">
        <v>3995</v>
      </c>
      <c r="AB119" s="308" t="s">
        <v>3996</v>
      </c>
      <c r="AC119" s="308"/>
      <c r="AD119" s="308" t="s">
        <v>23</v>
      </c>
      <c r="AE119" s="308">
        <v>20137.0</v>
      </c>
      <c r="AF119" s="308" t="s">
        <v>2954</v>
      </c>
      <c r="AG119" s="308" t="s">
        <v>2955</v>
      </c>
      <c r="AH119" s="308">
        <v>3.929460073E9</v>
      </c>
      <c r="AI119" s="308" t="s">
        <v>3993</v>
      </c>
      <c r="AJ119" s="308" t="s">
        <v>3994</v>
      </c>
      <c r="AK119" s="308" t="s">
        <v>3995</v>
      </c>
      <c r="AL119" s="308" t="s">
        <v>3996</v>
      </c>
      <c r="AM119" s="308"/>
      <c r="AN119" s="308" t="s">
        <v>23</v>
      </c>
      <c r="AO119" s="308">
        <v>20137.0</v>
      </c>
      <c r="AP119" s="308" t="s">
        <v>2954</v>
      </c>
      <c r="AQ119" s="308" t="s">
        <v>2955</v>
      </c>
      <c r="AR119" s="308">
        <v>3.929460073E9</v>
      </c>
      <c r="AS119" s="311"/>
      <c r="AT119" s="311"/>
      <c r="AU119" s="311"/>
      <c r="AV119" s="308" t="s">
        <v>2956</v>
      </c>
      <c r="AW119" s="308">
        <v>4.7663499673927E13</v>
      </c>
      <c r="AX119" s="310">
        <v>0.0</v>
      </c>
      <c r="AY119" s="308" t="s">
        <v>2974</v>
      </c>
      <c r="AZ119" s="308">
        <v>0.0</v>
      </c>
      <c r="BA119" s="311"/>
      <c r="BB119" s="311"/>
      <c r="BC119" s="311"/>
      <c r="BD119" s="308">
        <v>7.595290198343E12</v>
      </c>
      <c r="BE119" s="311"/>
      <c r="BF119" s="311"/>
      <c r="BG119" s="308" t="s">
        <v>2958</v>
      </c>
      <c r="BH119" s="308">
        <v>0.0</v>
      </c>
      <c r="BI119" s="308" t="s">
        <v>2959</v>
      </c>
      <c r="BJ119" s="308">
        <v>19.48</v>
      </c>
      <c r="BK119" s="311"/>
      <c r="BL119" s="311"/>
      <c r="BM119" s="311"/>
      <c r="BN119" s="311"/>
      <c r="BO119" s="311"/>
      <c r="BP119" s="311"/>
      <c r="BQ119" s="311"/>
      <c r="BR119" s="311"/>
      <c r="BS119" s="308"/>
      <c r="BT119" s="311"/>
      <c r="BU119" s="311"/>
      <c r="BV119" s="308" t="s">
        <v>23</v>
      </c>
      <c r="BW119" s="308" t="s">
        <v>23</v>
      </c>
      <c r="BX119" s="308" t="s">
        <v>2956</v>
      </c>
      <c r="BY119" s="311"/>
      <c r="BZ119" s="311"/>
      <c r="CA119" s="308" t="s">
        <v>2956</v>
      </c>
      <c r="CB119" s="312" t="str">
        <f t="shared" si="1"/>
        <v>14/04/2026</v>
      </c>
      <c r="CC119" s="313">
        <f t="shared" si="2"/>
        <v>2026</v>
      </c>
      <c r="CD119" s="314">
        <f t="shared" si="3"/>
        <v>4</v>
      </c>
      <c r="CE119" s="314">
        <f t="shared" si="4"/>
        <v>1</v>
      </c>
      <c r="CF119" s="314">
        <f t="shared" si="5"/>
        <v>1</v>
      </c>
      <c r="CG119" s="314">
        <f t="shared" si="6"/>
        <v>-5</v>
      </c>
      <c r="CH119" s="315">
        <f>VLOOKUP(CL119,'PRODUCT_COGS&amp;PRICE'!A:E,5,false)</f>
        <v>26</v>
      </c>
      <c r="CI119" s="315">
        <f t="shared" si="7"/>
        <v>-2.302</v>
      </c>
      <c r="CJ119" s="316">
        <f t="shared" si="8"/>
        <v>0</v>
      </c>
      <c r="CK119" s="316">
        <f t="shared" si="9"/>
        <v>12</v>
      </c>
      <c r="CL119" s="314" t="str">
        <f>VLOOKUP(R119,PRODUCT_MAP!A:B,2,FALSE)</f>
        <v>Maria_Bag_RED_PIERCING</v>
      </c>
      <c r="CM119" s="314" t="str">
        <f>VLOOKUP(R119,PRODUCT_MAP!A:E,3,FALSE)</f>
        <v>Maria Bag</v>
      </c>
    </row>
    <row r="120" ht="22.5" customHeight="1">
      <c r="A120" s="308" t="s">
        <v>3997</v>
      </c>
      <c r="B120" s="308" t="s">
        <v>3998</v>
      </c>
      <c r="C120" s="308" t="s">
        <v>2942</v>
      </c>
      <c r="D120" s="308" t="s">
        <v>3999</v>
      </c>
      <c r="E120" s="308" t="s">
        <v>3013</v>
      </c>
      <c r="F120" s="308"/>
      <c r="G120" s="308" t="s">
        <v>2965</v>
      </c>
      <c r="H120" s="308" t="s">
        <v>2947</v>
      </c>
      <c r="I120" s="308">
        <v>120.0</v>
      </c>
      <c r="J120" s="308">
        <v>0.0</v>
      </c>
      <c r="K120" s="308">
        <v>21.64</v>
      </c>
      <c r="L120" s="308">
        <v>120.0</v>
      </c>
      <c r="M120" s="308"/>
      <c r="N120" s="308">
        <v>0.0</v>
      </c>
      <c r="O120" s="308" t="s">
        <v>2948</v>
      </c>
      <c r="P120" s="308" t="s">
        <v>4000</v>
      </c>
      <c r="Q120" s="310">
        <v>1.0</v>
      </c>
      <c r="R120" s="308" t="s">
        <v>569</v>
      </c>
      <c r="S120" s="308">
        <v>120.0</v>
      </c>
      <c r="T120" s="311"/>
      <c r="U120" s="308" t="s">
        <v>3375</v>
      </c>
      <c r="V120" s="308" t="b">
        <v>1</v>
      </c>
      <c r="W120" s="308" t="b">
        <v>1</v>
      </c>
      <c r="X120" s="308"/>
      <c r="Y120" s="308" t="s">
        <v>4001</v>
      </c>
      <c r="Z120" s="308" t="s">
        <v>4002</v>
      </c>
      <c r="AA120" s="308" t="s">
        <v>4002</v>
      </c>
      <c r="AB120" s="308"/>
      <c r="AC120" s="308"/>
      <c r="AD120" s="308" t="s">
        <v>23</v>
      </c>
      <c r="AE120" s="308">
        <v>20146.0</v>
      </c>
      <c r="AF120" s="308" t="s">
        <v>2954</v>
      </c>
      <c r="AG120" s="308" t="s">
        <v>2955</v>
      </c>
      <c r="AH120" s="308">
        <v>3.207860864E9</v>
      </c>
      <c r="AI120" s="308" t="s">
        <v>4001</v>
      </c>
      <c r="AJ120" s="308" t="s">
        <v>4002</v>
      </c>
      <c r="AK120" s="308" t="s">
        <v>4002</v>
      </c>
      <c r="AL120" s="308"/>
      <c r="AM120" s="308"/>
      <c r="AN120" s="308" t="s">
        <v>23</v>
      </c>
      <c r="AO120" s="308">
        <v>20146.0</v>
      </c>
      <c r="AP120" s="308" t="s">
        <v>2954</v>
      </c>
      <c r="AQ120" s="308" t="s">
        <v>2955</v>
      </c>
      <c r="AR120" s="308">
        <v>3.207860864E9</v>
      </c>
      <c r="AS120" s="311"/>
      <c r="AT120" s="311"/>
      <c r="AU120" s="311"/>
      <c r="AV120" s="308" t="s">
        <v>2956</v>
      </c>
      <c r="AW120" s="308">
        <v>4.7667081969991E13</v>
      </c>
      <c r="AX120" s="310">
        <v>0.0</v>
      </c>
      <c r="AY120" s="308" t="s">
        <v>2974</v>
      </c>
      <c r="AZ120" s="308">
        <v>0.0</v>
      </c>
      <c r="BA120" s="311"/>
      <c r="BB120" s="311"/>
      <c r="BC120" s="311"/>
      <c r="BD120" s="308">
        <v>7.597265944903E12</v>
      </c>
      <c r="BE120" s="311"/>
      <c r="BF120" s="311"/>
      <c r="BG120" s="308" t="s">
        <v>2958</v>
      </c>
      <c r="BH120" s="308">
        <v>0.0</v>
      </c>
      <c r="BI120" s="308" t="s">
        <v>2959</v>
      </c>
      <c r="BJ120" s="308">
        <v>21.64</v>
      </c>
      <c r="BK120" s="311"/>
      <c r="BL120" s="311"/>
      <c r="BM120" s="311"/>
      <c r="BN120" s="311"/>
      <c r="BO120" s="311"/>
      <c r="BP120" s="311"/>
      <c r="BQ120" s="311"/>
      <c r="BR120" s="311"/>
      <c r="BS120" s="318" t="s">
        <v>4003</v>
      </c>
      <c r="BT120" s="311"/>
      <c r="BU120" s="311"/>
      <c r="BV120" s="308" t="s">
        <v>23</v>
      </c>
      <c r="BW120" s="308" t="s">
        <v>23</v>
      </c>
      <c r="BX120" s="308" t="s">
        <v>2956</v>
      </c>
      <c r="BY120" s="311"/>
      <c r="BZ120" s="311"/>
      <c r="CA120" s="308" t="s">
        <v>2956</v>
      </c>
      <c r="CB120" s="312" t="str">
        <f t="shared" si="1"/>
        <v>15/04/2026</v>
      </c>
      <c r="CC120" s="313">
        <f t="shared" si="2"/>
        <v>2026</v>
      </c>
      <c r="CD120" s="314">
        <f t="shared" si="3"/>
        <v>4</v>
      </c>
      <c r="CE120" s="314">
        <f t="shared" si="4"/>
        <v>1</v>
      </c>
      <c r="CF120" s="314">
        <f t="shared" si="5"/>
        <v>1</v>
      </c>
      <c r="CG120" s="314">
        <f t="shared" si="6"/>
        <v>-5</v>
      </c>
      <c r="CH120" s="315">
        <f>VLOOKUP(CL120,'PRODUCT_COGS&amp;PRICE'!A:E,5,false)</f>
        <v>20</v>
      </c>
      <c r="CI120" s="315">
        <f t="shared" si="7"/>
        <v>-2.53</v>
      </c>
      <c r="CJ120" s="316">
        <f t="shared" si="8"/>
        <v>0</v>
      </c>
      <c r="CK120" s="316">
        <f t="shared" si="9"/>
        <v>0</v>
      </c>
      <c r="CL120" s="314" t="str">
        <f>VLOOKUP(R120,PRODUCT_MAP!A:B,2,FALSE)</f>
        <v>Lea_Bag_RED_PATENT</v>
      </c>
      <c r="CM120" s="314" t="str">
        <f>VLOOKUP(R120,PRODUCT_MAP!A:E,3,FALSE)</f>
        <v>Lea Bag</v>
      </c>
    </row>
    <row r="121" ht="22.5" customHeight="1">
      <c r="A121" s="308" t="s">
        <v>4004</v>
      </c>
      <c r="B121" s="308" t="s">
        <v>4005</v>
      </c>
      <c r="C121" s="308" t="s">
        <v>2942</v>
      </c>
      <c r="D121" s="308" t="s">
        <v>4006</v>
      </c>
      <c r="E121" s="308" t="s">
        <v>3013</v>
      </c>
      <c r="F121" s="308"/>
      <c r="G121" s="308" t="s">
        <v>2965</v>
      </c>
      <c r="H121" s="308" t="s">
        <v>2947</v>
      </c>
      <c r="I121" s="308">
        <v>120.0</v>
      </c>
      <c r="J121" s="308">
        <v>0.0</v>
      </c>
      <c r="K121" s="308">
        <v>21.64</v>
      </c>
      <c r="L121" s="308">
        <v>120.0</v>
      </c>
      <c r="M121" s="308"/>
      <c r="N121" s="308">
        <v>0.0</v>
      </c>
      <c r="O121" s="308" t="s">
        <v>2948</v>
      </c>
      <c r="P121" s="308" t="s">
        <v>4007</v>
      </c>
      <c r="Q121" s="310">
        <v>1.0</v>
      </c>
      <c r="R121" s="308" t="s">
        <v>569</v>
      </c>
      <c r="S121" s="308">
        <v>120.0</v>
      </c>
      <c r="T121" s="311"/>
      <c r="U121" s="308" t="s">
        <v>3375</v>
      </c>
      <c r="V121" s="308" t="b">
        <v>1</v>
      </c>
      <c r="W121" s="308" t="b">
        <v>1</v>
      </c>
      <c r="X121" s="308"/>
      <c r="Y121" s="308" t="s">
        <v>4008</v>
      </c>
      <c r="Z121" s="308" t="s">
        <v>4009</v>
      </c>
      <c r="AA121" s="308" t="s">
        <v>4009</v>
      </c>
      <c r="AB121" s="308"/>
      <c r="AC121" s="308"/>
      <c r="AD121" s="308" t="s">
        <v>4010</v>
      </c>
      <c r="AE121" s="308">
        <v>24039.0</v>
      </c>
      <c r="AF121" s="308" t="s">
        <v>3528</v>
      </c>
      <c r="AG121" s="308" t="s">
        <v>2955</v>
      </c>
      <c r="AH121" s="308">
        <v>3.92469729E9</v>
      </c>
      <c r="AI121" s="308" t="s">
        <v>4008</v>
      </c>
      <c r="AJ121" s="308" t="s">
        <v>4009</v>
      </c>
      <c r="AK121" s="308" t="s">
        <v>4009</v>
      </c>
      <c r="AL121" s="308"/>
      <c r="AM121" s="308"/>
      <c r="AN121" s="308" t="s">
        <v>4010</v>
      </c>
      <c r="AO121" s="308">
        <v>24039.0</v>
      </c>
      <c r="AP121" s="308" t="s">
        <v>3528</v>
      </c>
      <c r="AQ121" s="308" t="s">
        <v>2955</v>
      </c>
      <c r="AR121" s="308">
        <v>3.92469729E9</v>
      </c>
      <c r="AS121" s="311"/>
      <c r="AT121" s="311"/>
      <c r="AU121" s="311"/>
      <c r="AV121" s="308" t="s">
        <v>2956</v>
      </c>
      <c r="AW121" s="308">
        <v>4.7667527090503E13</v>
      </c>
      <c r="AX121" s="310">
        <v>0.0</v>
      </c>
      <c r="AY121" s="308" t="s">
        <v>2974</v>
      </c>
      <c r="AZ121" s="308">
        <v>0.0</v>
      </c>
      <c r="BA121" s="311"/>
      <c r="BB121" s="311"/>
      <c r="BC121" s="311"/>
      <c r="BD121" s="308">
        <v>7.597452067143E12</v>
      </c>
      <c r="BE121" s="311"/>
      <c r="BF121" s="311"/>
      <c r="BG121" s="308" t="s">
        <v>2958</v>
      </c>
      <c r="BH121" s="308">
        <v>0.0</v>
      </c>
      <c r="BI121" s="308" t="s">
        <v>2959</v>
      </c>
      <c r="BJ121" s="308">
        <v>21.64</v>
      </c>
      <c r="BK121" s="311"/>
      <c r="BL121" s="311"/>
      <c r="BM121" s="311"/>
      <c r="BN121" s="311"/>
      <c r="BO121" s="311"/>
      <c r="BP121" s="311"/>
      <c r="BQ121" s="311"/>
      <c r="BR121" s="311"/>
      <c r="BS121" s="308"/>
      <c r="BT121" s="311"/>
      <c r="BU121" s="311"/>
      <c r="BV121" s="308" t="s">
        <v>3533</v>
      </c>
      <c r="BW121" s="308" t="s">
        <v>3533</v>
      </c>
      <c r="BX121" s="308" t="s">
        <v>2956</v>
      </c>
      <c r="BY121" s="311"/>
      <c r="BZ121" s="311"/>
      <c r="CA121" s="308" t="s">
        <v>2956</v>
      </c>
      <c r="CB121" s="312" t="str">
        <f t="shared" si="1"/>
        <v>15/04/2026</v>
      </c>
      <c r="CC121" s="313">
        <f t="shared" si="2"/>
        <v>2026</v>
      </c>
      <c r="CD121" s="314">
        <f t="shared" si="3"/>
        <v>4</v>
      </c>
      <c r="CE121" s="314">
        <f t="shared" si="4"/>
        <v>1</v>
      </c>
      <c r="CF121" s="314">
        <f t="shared" si="5"/>
        <v>1</v>
      </c>
      <c r="CG121" s="314">
        <f t="shared" si="6"/>
        <v>-5</v>
      </c>
      <c r="CH121" s="315">
        <f>VLOOKUP(CL121,'PRODUCT_COGS&amp;PRICE'!A:E,5,false)</f>
        <v>20</v>
      </c>
      <c r="CI121" s="315">
        <f t="shared" si="7"/>
        <v>-2.53</v>
      </c>
      <c r="CJ121" s="316">
        <f t="shared" si="8"/>
        <v>0</v>
      </c>
      <c r="CK121" s="316">
        <f t="shared" si="9"/>
        <v>0</v>
      </c>
      <c r="CL121" s="314" t="str">
        <f>VLOOKUP(R121,PRODUCT_MAP!A:B,2,FALSE)</f>
        <v>Lea_Bag_RED_PATENT</v>
      </c>
      <c r="CM121" s="314" t="str">
        <f>VLOOKUP(R121,PRODUCT_MAP!A:E,3,FALSE)</f>
        <v>Lea Bag</v>
      </c>
    </row>
    <row r="122" ht="22.5" customHeight="1">
      <c r="A122" s="308" t="s">
        <v>4011</v>
      </c>
      <c r="B122" s="308" t="s">
        <v>4012</v>
      </c>
      <c r="C122" s="308" t="s">
        <v>2942</v>
      </c>
      <c r="D122" s="308" t="s">
        <v>4013</v>
      </c>
      <c r="E122" s="308" t="s">
        <v>3013</v>
      </c>
      <c r="F122" s="308"/>
      <c r="G122" s="308" t="s">
        <v>2946</v>
      </c>
      <c r="H122" s="308" t="s">
        <v>2947</v>
      </c>
      <c r="I122" s="308">
        <v>72.0</v>
      </c>
      <c r="J122" s="308">
        <v>3.9</v>
      </c>
      <c r="K122" s="308">
        <v>13.68</v>
      </c>
      <c r="L122" s="308">
        <v>75.9</v>
      </c>
      <c r="M122" s="308" t="s">
        <v>3094</v>
      </c>
      <c r="N122" s="308">
        <v>8.0</v>
      </c>
      <c r="O122" s="308" t="s">
        <v>2948</v>
      </c>
      <c r="P122" s="308" t="s">
        <v>4014</v>
      </c>
      <c r="Q122" s="310">
        <v>1.0</v>
      </c>
      <c r="R122" s="308" t="s">
        <v>4015</v>
      </c>
      <c r="S122" s="308">
        <v>80.0</v>
      </c>
      <c r="T122" s="311"/>
      <c r="U122" s="308" t="s">
        <v>275</v>
      </c>
      <c r="V122" s="308" t="b">
        <v>1</v>
      </c>
      <c r="W122" s="308" t="b">
        <v>1</v>
      </c>
      <c r="X122" s="308"/>
      <c r="Y122" s="308" t="s">
        <v>4016</v>
      </c>
      <c r="Z122" s="308" t="s">
        <v>4017</v>
      </c>
      <c r="AA122" s="308" t="s">
        <v>4017</v>
      </c>
      <c r="AB122" s="308"/>
      <c r="AC122" s="308"/>
      <c r="AD122" s="308" t="s">
        <v>4018</v>
      </c>
      <c r="AE122" s="308">
        <v>22042.0</v>
      </c>
      <c r="AF122" s="308" t="s">
        <v>4019</v>
      </c>
      <c r="AG122" s="308" t="s">
        <v>2955</v>
      </c>
      <c r="AH122" s="308">
        <v>3.485918051E9</v>
      </c>
      <c r="AI122" s="308" t="s">
        <v>4016</v>
      </c>
      <c r="AJ122" s="308" t="s">
        <v>4017</v>
      </c>
      <c r="AK122" s="308" t="s">
        <v>4017</v>
      </c>
      <c r="AL122" s="308"/>
      <c r="AM122" s="308"/>
      <c r="AN122" s="308" t="s">
        <v>4018</v>
      </c>
      <c r="AO122" s="308">
        <v>22042.0</v>
      </c>
      <c r="AP122" s="308" t="s">
        <v>4019</v>
      </c>
      <c r="AQ122" s="308" t="s">
        <v>2955</v>
      </c>
      <c r="AR122" s="308">
        <v>3.485918051E9</v>
      </c>
      <c r="AS122" s="311"/>
      <c r="AT122" s="311"/>
      <c r="AU122" s="311"/>
      <c r="AV122" s="308" t="s">
        <v>3009</v>
      </c>
      <c r="AW122" s="308">
        <v>4.7668302086471E13</v>
      </c>
      <c r="AX122" s="310">
        <v>0.0</v>
      </c>
      <c r="AY122" s="308" t="s">
        <v>2974</v>
      </c>
      <c r="AZ122" s="308">
        <v>0.0</v>
      </c>
      <c r="BA122" s="311"/>
      <c r="BB122" s="311"/>
      <c r="BC122" s="311"/>
      <c r="BD122" s="308">
        <v>7.597814645063E12</v>
      </c>
      <c r="BE122" s="311"/>
      <c r="BF122" s="311"/>
      <c r="BG122" s="308" t="s">
        <v>2958</v>
      </c>
      <c r="BH122" s="308">
        <v>0.0</v>
      </c>
      <c r="BI122" s="308" t="s">
        <v>2959</v>
      </c>
      <c r="BJ122" s="308">
        <v>12.98</v>
      </c>
      <c r="BK122" s="311"/>
      <c r="BL122" s="311"/>
      <c r="BM122" s="311"/>
      <c r="BN122" s="311"/>
      <c r="BO122" s="311"/>
      <c r="BP122" s="311"/>
      <c r="BQ122" s="311"/>
      <c r="BR122" s="311"/>
      <c r="BS122" s="308"/>
      <c r="BT122" s="311"/>
      <c r="BU122" s="311"/>
      <c r="BV122" s="308" t="s">
        <v>47</v>
      </c>
      <c r="BW122" s="308" t="s">
        <v>47</v>
      </c>
      <c r="BX122" s="308" t="s">
        <v>3009</v>
      </c>
      <c r="BY122" s="311"/>
      <c r="BZ122" s="311"/>
      <c r="CA122" s="308" t="s">
        <v>3009</v>
      </c>
      <c r="CB122" s="312" t="str">
        <f t="shared" si="1"/>
        <v>15/04/2026</v>
      </c>
      <c r="CC122" s="313">
        <f t="shared" si="2"/>
        <v>2026</v>
      </c>
      <c r="CD122" s="314">
        <f t="shared" si="3"/>
        <v>4</v>
      </c>
      <c r="CE122" s="314">
        <f t="shared" si="4"/>
        <v>1</v>
      </c>
      <c r="CF122" s="314">
        <f t="shared" si="5"/>
        <v>1</v>
      </c>
      <c r="CG122" s="314">
        <f t="shared" si="6"/>
        <v>0</v>
      </c>
      <c r="CH122" s="315">
        <f>VLOOKUP(CL122,'PRODUCT_COGS&amp;PRICE'!A:E,5,false)</f>
        <v>19</v>
      </c>
      <c r="CI122" s="315">
        <f t="shared" si="7"/>
        <v>-2.99891</v>
      </c>
      <c r="CJ122" s="316">
        <f t="shared" si="8"/>
        <v>0</v>
      </c>
      <c r="CK122" s="316">
        <f t="shared" si="9"/>
        <v>8</v>
      </c>
      <c r="CL122" s="314" t="str">
        <f>VLOOKUP(R122,PRODUCT_MAP!A:B,2,FALSE)</f>
        <v>Agata_Bag_ROSE_PINK</v>
      </c>
      <c r="CM122" s="314" t="str">
        <f>VLOOKUP(R122,PRODUCT_MAP!A:E,3,FALSE)</f>
        <v>Agata Bag</v>
      </c>
    </row>
    <row r="123" ht="22.5" customHeight="1">
      <c r="A123" s="308" t="s">
        <v>4020</v>
      </c>
      <c r="B123" s="308" t="s">
        <v>4021</v>
      </c>
      <c r="C123" s="308" t="s">
        <v>2942</v>
      </c>
      <c r="D123" s="308" t="s">
        <v>4022</v>
      </c>
      <c r="E123" s="308" t="s">
        <v>3013</v>
      </c>
      <c r="F123" s="308"/>
      <c r="G123" s="308" t="s">
        <v>2946</v>
      </c>
      <c r="H123" s="308" t="s">
        <v>2947</v>
      </c>
      <c r="I123" s="308">
        <v>108.0</v>
      </c>
      <c r="J123" s="308">
        <v>0.0</v>
      </c>
      <c r="K123" s="308">
        <v>19.48</v>
      </c>
      <c r="L123" s="308">
        <v>108.0</v>
      </c>
      <c r="M123" s="308" t="s">
        <v>3094</v>
      </c>
      <c r="N123" s="308">
        <v>12.0</v>
      </c>
      <c r="O123" s="308" t="s">
        <v>2948</v>
      </c>
      <c r="P123" s="308" t="s">
        <v>4023</v>
      </c>
      <c r="Q123" s="310">
        <v>1.0</v>
      </c>
      <c r="R123" s="308" t="s">
        <v>3266</v>
      </c>
      <c r="S123" s="308">
        <v>120.0</v>
      </c>
      <c r="T123" s="311"/>
      <c r="U123" s="308" t="s">
        <v>237</v>
      </c>
      <c r="V123" s="308" t="b">
        <v>1</v>
      </c>
      <c r="W123" s="308" t="b">
        <v>1</v>
      </c>
      <c r="X123" s="308"/>
      <c r="Y123" s="308" t="s">
        <v>4024</v>
      </c>
      <c r="Z123" s="308" t="s">
        <v>4025</v>
      </c>
      <c r="AA123" s="308" t="s">
        <v>4025</v>
      </c>
      <c r="AB123" s="308"/>
      <c r="AC123" s="308"/>
      <c r="AD123" s="308" t="s">
        <v>4026</v>
      </c>
      <c r="AE123" s="308">
        <v>21037.0</v>
      </c>
      <c r="AF123" s="308" t="s">
        <v>3206</v>
      </c>
      <c r="AG123" s="308" t="s">
        <v>2955</v>
      </c>
      <c r="AH123" s="308">
        <v>4.1797030973E10</v>
      </c>
      <c r="AI123" s="308" t="s">
        <v>4024</v>
      </c>
      <c r="AJ123" s="308" t="s">
        <v>4025</v>
      </c>
      <c r="AK123" s="308" t="s">
        <v>4025</v>
      </c>
      <c r="AL123" s="308"/>
      <c r="AM123" s="308"/>
      <c r="AN123" s="308" t="s">
        <v>4026</v>
      </c>
      <c r="AO123" s="308">
        <v>21037.0</v>
      </c>
      <c r="AP123" s="308" t="s">
        <v>3206</v>
      </c>
      <c r="AQ123" s="308" t="s">
        <v>2955</v>
      </c>
      <c r="AR123" s="308">
        <v>4.1797030973E10</v>
      </c>
      <c r="AS123" s="311"/>
      <c r="AT123" s="311"/>
      <c r="AU123" s="311"/>
      <c r="AV123" s="308" t="s">
        <v>2956</v>
      </c>
      <c r="AW123" s="308">
        <v>4.7669515256135E13</v>
      </c>
      <c r="AX123" s="310">
        <v>0.0</v>
      </c>
      <c r="AY123" s="308" t="s">
        <v>2974</v>
      </c>
      <c r="AZ123" s="308">
        <v>0.0</v>
      </c>
      <c r="BA123" s="311"/>
      <c r="BB123" s="311"/>
      <c r="BC123" s="311"/>
      <c r="BD123" s="308">
        <v>7.598492713287E12</v>
      </c>
      <c r="BE123" s="311"/>
      <c r="BF123" s="311"/>
      <c r="BG123" s="308" t="s">
        <v>2958</v>
      </c>
      <c r="BH123" s="308">
        <v>0.0</v>
      </c>
      <c r="BI123" s="308" t="s">
        <v>2959</v>
      </c>
      <c r="BJ123" s="308">
        <v>19.48</v>
      </c>
      <c r="BK123" s="311"/>
      <c r="BL123" s="311"/>
      <c r="BM123" s="311"/>
      <c r="BN123" s="311"/>
      <c r="BO123" s="311"/>
      <c r="BP123" s="311"/>
      <c r="BQ123" s="311"/>
      <c r="BR123" s="311"/>
      <c r="BS123" s="308"/>
      <c r="BT123" s="311"/>
      <c r="BU123" s="311"/>
      <c r="BV123" s="308" t="s">
        <v>3208</v>
      </c>
      <c r="BW123" s="308" t="s">
        <v>3208</v>
      </c>
      <c r="BX123" s="308" t="s">
        <v>2956</v>
      </c>
      <c r="BY123" s="311"/>
      <c r="BZ123" s="311"/>
      <c r="CA123" s="308" t="s">
        <v>2956</v>
      </c>
      <c r="CB123" s="312" t="str">
        <f t="shared" si="1"/>
        <v>15/04/2026</v>
      </c>
      <c r="CC123" s="313">
        <f t="shared" si="2"/>
        <v>2026</v>
      </c>
      <c r="CD123" s="314">
        <f t="shared" si="3"/>
        <v>4</v>
      </c>
      <c r="CE123" s="314">
        <f t="shared" si="4"/>
        <v>1</v>
      </c>
      <c r="CF123" s="314">
        <f t="shared" si="5"/>
        <v>1</v>
      </c>
      <c r="CG123" s="314">
        <f t="shared" si="6"/>
        <v>-5</v>
      </c>
      <c r="CH123" s="315">
        <f>VLOOKUP(CL123,'PRODUCT_COGS&amp;PRICE'!A:E,5,false)</f>
        <v>30.33</v>
      </c>
      <c r="CI123" s="315">
        <f t="shared" si="7"/>
        <v>-2.302</v>
      </c>
      <c r="CJ123" s="316">
        <f t="shared" si="8"/>
        <v>0</v>
      </c>
      <c r="CK123" s="316">
        <f t="shared" si="9"/>
        <v>12</v>
      </c>
      <c r="CL123" s="314" t="str">
        <f>VLOOKUP(R123,PRODUCT_MAP!A:B,2,FALSE)</f>
        <v>Lea_Bag_COCCO_CHOCOLATE</v>
      </c>
      <c r="CM123" s="314" t="str">
        <f>VLOOKUP(R123,PRODUCT_MAP!A:E,3,FALSE)</f>
        <v>Lea Bag</v>
      </c>
    </row>
    <row r="124" ht="22.5" customHeight="1">
      <c r="A124" s="308" t="s">
        <v>4027</v>
      </c>
      <c r="B124" s="308" t="s">
        <v>4028</v>
      </c>
      <c r="C124" s="308" t="s">
        <v>2942</v>
      </c>
      <c r="D124" s="308" t="s">
        <v>4029</v>
      </c>
      <c r="E124" s="308" t="s">
        <v>3013</v>
      </c>
      <c r="F124" s="308"/>
      <c r="G124" s="308" t="s">
        <v>2946</v>
      </c>
      <c r="H124" s="308" t="s">
        <v>2947</v>
      </c>
      <c r="I124" s="308">
        <v>108.0</v>
      </c>
      <c r="J124" s="308">
        <v>0.0</v>
      </c>
      <c r="K124" s="308">
        <v>19.48</v>
      </c>
      <c r="L124" s="308">
        <v>108.0</v>
      </c>
      <c r="M124" s="308" t="s">
        <v>3094</v>
      </c>
      <c r="N124" s="308">
        <v>12.0</v>
      </c>
      <c r="O124" s="308" t="s">
        <v>2948</v>
      </c>
      <c r="P124" s="308" t="s">
        <v>4030</v>
      </c>
      <c r="Q124" s="310">
        <v>1.0</v>
      </c>
      <c r="R124" s="308" t="s">
        <v>607</v>
      </c>
      <c r="S124" s="308">
        <v>120.0</v>
      </c>
      <c r="T124" s="311"/>
      <c r="U124" s="308" t="s">
        <v>207</v>
      </c>
      <c r="V124" s="308" t="b">
        <v>1</v>
      </c>
      <c r="W124" s="308" t="b">
        <v>1</v>
      </c>
      <c r="X124" s="308"/>
      <c r="Y124" s="308" t="s">
        <v>4031</v>
      </c>
      <c r="Z124" s="308" t="s">
        <v>4032</v>
      </c>
      <c r="AA124" s="308" t="s">
        <v>4033</v>
      </c>
      <c r="AB124" s="308" t="s">
        <v>4034</v>
      </c>
      <c r="AC124" s="308"/>
      <c r="AD124" s="308" t="s">
        <v>23</v>
      </c>
      <c r="AE124" s="308">
        <v>20149.0</v>
      </c>
      <c r="AF124" s="308" t="s">
        <v>2954</v>
      </c>
      <c r="AG124" s="308" t="s">
        <v>2955</v>
      </c>
      <c r="AH124" s="308">
        <v>3.484311279E9</v>
      </c>
      <c r="AI124" s="308" t="s">
        <v>4031</v>
      </c>
      <c r="AJ124" s="308" t="s">
        <v>4032</v>
      </c>
      <c r="AK124" s="308" t="s">
        <v>4033</v>
      </c>
      <c r="AL124" s="308" t="s">
        <v>4034</v>
      </c>
      <c r="AM124" s="308"/>
      <c r="AN124" s="308" t="s">
        <v>23</v>
      </c>
      <c r="AO124" s="308">
        <v>20149.0</v>
      </c>
      <c r="AP124" s="308" t="s">
        <v>2954</v>
      </c>
      <c r="AQ124" s="308" t="s">
        <v>2955</v>
      </c>
      <c r="AR124" s="308">
        <v>3.484311279E9</v>
      </c>
      <c r="AS124" s="311"/>
      <c r="AT124" s="311"/>
      <c r="AU124" s="311"/>
      <c r="AV124" s="308" t="s">
        <v>3009</v>
      </c>
      <c r="AW124" s="308">
        <v>4.7670573400391E13</v>
      </c>
      <c r="AX124" s="310">
        <v>0.0</v>
      </c>
      <c r="AY124" s="308" t="s">
        <v>2974</v>
      </c>
      <c r="AZ124" s="308">
        <v>0.0</v>
      </c>
      <c r="BA124" s="311"/>
      <c r="BB124" s="311"/>
      <c r="BC124" s="311"/>
      <c r="BD124" s="308">
        <v>7.598888157511E12</v>
      </c>
      <c r="BE124" s="311"/>
      <c r="BF124" s="311"/>
      <c r="BG124" s="308" t="s">
        <v>2958</v>
      </c>
      <c r="BH124" s="308">
        <v>0.0</v>
      </c>
      <c r="BI124" s="308" t="s">
        <v>2959</v>
      </c>
      <c r="BJ124" s="308">
        <v>19.48</v>
      </c>
      <c r="BK124" s="311"/>
      <c r="BL124" s="311"/>
      <c r="BM124" s="311"/>
      <c r="BN124" s="311"/>
      <c r="BO124" s="311"/>
      <c r="BP124" s="311"/>
      <c r="BQ124" s="311"/>
      <c r="BR124" s="311"/>
      <c r="BS124" s="308"/>
      <c r="BT124" s="311"/>
      <c r="BU124" s="311"/>
      <c r="BV124" s="308" t="s">
        <v>23</v>
      </c>
      <c r="BW124" s="308" t="s">
        <v>23</v>
      </c>
      <c r="BX124" s="308" t="s">
        <v>3009</v>
      </c>
      <c r="BY124" s="311"/>
      <c r="BZ124" s="311"/>
      <c r="CA124" s="308" t="s">
        <v>3009</v>
      </c>
      <c r="CB124" s="312" t="str">
        <f t="shared" si="1"/>
        <v>15/04/2026</v>
      </c>
      <c r="CC124" s="313">
        <f t="shared" si="2"/>
        <v>2026</v>
      </c>
      <c r="CD124" s="314">
        <f t="shared" si="3"/>
        <v>4</v>
      </c>
      <c r="CE124" s="314">
        <f t="shared" si="4"/>
        <v>1</v>
      </c>
      <c r="CF124" s="314">
        <f t="shared" si="5"/>
        <v>1</v>
      </c>
      <c r="CG124" s="314">
        <f t="shared" si="6"/>
        <v>-5</v>
      </c>
      <c r="CH124" s="315">
        <f>VLOOKUP(CL124,'PRODUCT_COGS&amp;PRICE'!A:E,5,false)</f>
        <v>26</v>
      </c>
      <c r="CI124" s="315">
        <f t="shared" si="7"/>
        <v>-4.1192</v>
      </c>
      <c r="CJ124" s="316">
        <f t="shared" si="8"/>
        <v>0</v>
      </c>
      <c r="CK124" s="316">
        <f t="shared" si="9"/>
        <v>12</v>
      </c>
      <c r="CL124" s="314" t="str">
        <f>VLOOKUP(R124,PRODUCT_MAP!A:B,2,FALSE)</f>
        <v>Maria_Bag_RED_PIERCING</v>
      </c>
      <c r="CM124" s="314" t="str">
        <f>VLOOKUP(R124,PRODUCT_MAP!A:E,3,FALSE)</f>
        <v>Maria Bag</v>
      </c>
    </row>
    <row r="125" ht="22.5" customHeight="1">
      <c r="A125" s="308" t="s">
        <v>4035</v>
      </c>
      <c r="B125" s="308" t="s">
        <v>4036</v>
      </c>
      <c r="C125" s="308" t="s">
        <v>2942</v>
      </c>
      <c r="D125" s="308" t="s">
        <v>4037</v>
      </c>
      <c r="E125" s="308" t="s">
        <v>3013</v>
      </c>
      <c r="F125" s="308"/>
      <c r="G125" s="308" t="s">
        <v>2946</v>
      </c>
      <c r="H125" s="308" t="s">
        <v>2947</v>
      </c>
      <c r="I125" s="308">
        <v>144.0</v>
      </c>
      <c r="J125" s="308">
        <v>0.0</v>
      </c>
      <c r="K125" s="308">
        <v>25.96</v>
      </c>
      <c r="L125" s="308">
        <v>144.0</v>
      </c>
      <c r="M125" s="308" t="s">
        <v>3094</v>
      </c>
      <c r="N125" s="308">
        <v>16.0</v>
      </c>
      <c r="O125" s="308" t="s">
        <v>2948</v>
      </c>
      <c r="P125" s="308" t="s">
        <v>4038</v>
      </c>
      <c r="Q125" s="310">
        <v>1.0</v>
      </c>
      <c r="R125" s="308" t="s">
        <v>4039</v>
      </c>
      <c r="S125" s="308">
        <v>80.0</v>
      </c>
      <c r="T125" s="311"/>
      <c r="U125" s="308"/>
      <c r="V125" s="308" t="b">
        <v>1</v>
      </c>
      <c r="W125" s="308" t="b">
        <v>1</v>
      </c>
      <c r="X125" s="308"/>
      <c r="Y125" s="308" t="s">
        <v>4040</v>
      </c>
      <c r="Z125" s="308" t="s">
        <v>4041</v>
      </c>
      <c r="AA125" s="308" t="s">
        <v>4042</v>
      </c>
      <c r="AB125" s="308" t="s">
        <v>4043</v>
      </c>
      <c r="AC125" s="308"/>
      <c r="AD125" s="308" t="s">
        <v>4044</v>
      </c>
      <c r="AE125" s="308">
        <v>24060.0</v>
      </c>
      <c r="AF125" s="308" t="s">
        <v>3528</v>
      </c>
      <c r="AG125" s="308" t="s">
        <v>2955</v>
      </c>
      <c r="AH125" s="308">
        <v>3.792455799E9</v>
      </c>
      <c r="AI125" s="308" t="s">
        <v>4040</v>
      </c>
      <c r="AJ125" s="308" t="s">
        <v>4041</v>
      </c>
      <c r="AK125" s="308" t="s">
        <v>4042</v>
      </c>
      <c r="AL125" s="308" t="s">
        <v>4043</v>
      </c>
      <c r="AM125" s="308"/>
      <c r="AN125" s="308" t="s">
        <v>4044</v>
      </c>
      <c r="AO125" s="308">
        <v>24060.0</v>
      </c>
      <c r="AP125" s="308" t="s">
        <v>3528</v>
      </c>
      <c r="AQ125" s="308" t="s">
        <v>2955</v>
      </c>
      <c r="AR125" s="308">
        <v>3.792455799E9</v>
      </c>
      <c r="AS125" s="311"/>
      <c r="AT125" s="311"/>
      <c r="AU125" s="311"/>
      <c r="AV125" s="308" t="s">
        <v>3009</v>
      </c>
      <c r="AW125" s="308">
        <v>4.7670592274759E13</v>
      </c>
      <c r="AX125" s="310">
        <v>0.0</v>
      </c>
      <c r="AY125" s="308" t="s">
        <v>2974</v>
      </c>
      <c r="AZ125" s="308">
        <v>0.0</v>
      </c>
      <c r="BA125" s="311"/>
      <c r="BB125" s="311"/>
      <c r="BC125" s="311"/>
      <c r="BD125" s="308">
        <v>7.598899593543E12</v>
      </c>
      <c r="BE125" s="311"/>
      <c r="BF125" s="311"/>
      <c r="BG125" s="308" t="s">
        <v>2958</v>
      </c>
      <c r="BH125" s="308">
        <v>0.0</v>
      </c>
      <c r="BI125" s="308" t="s">
        <v>2959</v>
      </c>
      <c r="BJ125" s="308">
        <v>12.98</v>
      </c>
      <c r="BK125" s="311"/>
      <c r="BL125" s="311"/>
      <c r="BM125" s="311"/>
      <c r="BN125" s="311"/>
      <c r="BO125" s="311"/>
      <c r="BP125" s="311"/>
      <c r="BQ125" s="311"/>
      <c r="BR125" s="311"/>
      <c r="BS125" s="308"/>
      <c r="BT125" s="311"/>
      <c r="BU125" s="311"/>
      <c r="BV125" s="308" t="s">
        <v>3533</v>
      </c>
      <c r="BW125" s="308" t="s">
        <v>3533</v>
      </c>
      <c r="BX125" s="308" t="s">
        <v>3009</v>
      </c>
      <c r="BY125" s="311"/>
      <c r="BZ125" s="311"/>
      <c r="CA125" s="308" t="s">
        <v>3009</v>
      </c>
      <c r="CB125" s="312" t="str">
        <f t="shared" si="1"/>
        <v>15/04/2026</v>
      </c>
      <c r="CC125" s="313">
        <f t="shared" si="2"/>
        <v>2026</v>
      </c>
      <c r="CD125" s="314">
        <f t="shared" si="3"/>
        <v>4</v>
      </c>
      <c r="CE125" s="314">
        <f t="shared" si="4"/>
        <v>1</v>
      </c>
      <c r="CF125" s="314">
        <f t="shared" si="5"/>
        <v>1</v>
      </c>
      <c r="CG125" s="314">
        <f t="shared" si="6"/>
        <v>-5</v>
      </c>
      <c r="CH125" s="315">
        <f>VLOOKUP(CL125,'PRODUCT_COGS&amp;PRICE'!A:E,5,false)</f>
        <v>19</v>
      </c>
      <c r="CI125" s="315">
        <f t="shared" si="7"/>
        <v>-10.4012</v>
      </c>
      <c r="CJ125" s="316">
        <f t="shared" si="8"/>
        <v>0</v>
      </c>
      <c r="CK125" s="316">
        <f t="shared" si="9"/>
        <v>16</v>
      </c>
      <c r="CL125" s="314" t="str">
        <f>VLOOKUP(R125,PRODUCT_MAP!A:B,2,FALSE)</f>
        <v>Agata_Bag_FLORAL_DUSTY_PINK_EMBROIDERY</v>
      </c>
      <c r="CM125" s="314" t="str">
        <f>VLOOKUP(R125,PRODUCT_MAP!A:E,3,FALSE)</f>
        <v>Agata Bag</v>
      </c>
    </row>
    <row r="126" ht="22.5" customHeight="1">
      <c r="A126" s="308" t="s">
        <v>4035</v>
      </c>
      <c r="B126" s="308" t="s">
        <v>4036</v>
      </c>
      <c r="C126" s="308" t="s">
        <v>2942</v>
      </c>
      <c r="D126" s="308" t="s">
        <v>4037</v>
      </c>
      <c r="E126" s="308" t="s">
        <v>3013</v>
      </c>
      <c r="F126" s="308"/>
      <c r="G126" s="308" t="s">
        <v>2946</v>
      </c>
      <c r="H126" s="308" t="s">
        <v>2947</v>
      </c>
      <c r="I126" s="308">
        <v>144.0</v>
      </c>
      <c r="J126" s="308">
        <v>0.0</v>
      </c>
      <c r="K126" s="308">
        <v>25.96</v>
      </c>
      <c r="L126" s="308">
        <v>144.0</v>
      </c>
      <c r="M126" s="308" t="s">
        <v>3094</v>
      </c>
      <c r="N126" s="308">
        <v>16.0</v>
      </c>
      <c r="O126" s="308" t="s">
        <v>2948</v>
      </c>
      <c r="P126" s="308" t="s">
        <v>4038</v>
      </c>
      <c r="Q126" s="310">
        <v>1.0</v>
      </c>
      <c r="R126" s="308" t="s">
        <v>3876</v>
      </c>
      <c r="S126" s="308">
        <v>80.0</v>
      </c>
      <c r="T126" s="311"/>
      <c r="U126" s="308" t="s">
        <v>273</v>
      </c>
      <c r="V126" s="308" t="b">
        <v>1</v>
      </c>
      <c r="W126" s="308" t="b">
        <v>1</v>
      </c>
      <c r="X126" s="308"/>
      <c r="Y126" s="308" t="s">
        <v>4040</v>
      </c>
      <c r="Z126" s="308" t="s">
        <v>4041</v>
      </c>
      <c r="AA126" s="308" t="s">
        <v>4042</v>
      </c>
      <c r="AB126" s="308" t="s">
        <v>4043</v>
      </c>
      <c r="AC126" s="308"/>
      <c r="AD126" s="308" t="s">
        <v>4044</v>
      </c>
      <c r="AE126" s="308">
        <v>24060.0</v>
      </c>
      <c r="AF126" s="308" t="s">
        <v>3528</v>
      </c>
      <c r="AG126" s="308" t="s">
        <v>2955</v>
      </c>
      <c r="AH126" s="308">
        <v>3.792455799E9</v>
      </c>
      <c r="AI126" s="308" t="s">
        <v>4040</v>
      </c>
      <c r="AJ126" s="308" t="s">
        <v>4041</v>
      </c>
      <c r="AK126" s="308" t="s">
        <v>4042</v>
      </c>
      <c r="AL126" s="308" t="s">
        <v>4043</v>
      </c>
      <c r="AM126" s="308"/>
      <c r="AN126" s="308" t="s">
        <v>4044</v>
      </c>
      <c r="AO126" s="308">
        <v>24060.0</v>
      </c>
      <c r="AP126" s="308" t="s">
        <v>3528</v>
      </c>
      <c r="AQ126" s="308" t="s">
        <v>2955</v>
      </c>
      <c r="AR126" s="308">
        <v>3.792455799E9</v>
      </c>
      <c r="AS126" s="311"/>
      <c r="AT126" s="311"/>
      <c r="AU126" s="311"/>
      <c r="AV126" s="308" t="s">
        <v>3009</v>
      </c>
      <c r="AW126" s="308">
        <v>4.7670592274759E13</v>
      </c>
      <c r="AX126" s="310">
        <v>0.0</v>
      </c>
      <c r="AY126" s="308" t="s">
        <v>2974</v>
      </c>
      <c r="AZ126" s="308">
        <v>0.0</v>
      </c>
      <c r="BA126" s="311"/>
      <c r="BB126" s="311"/>
      <c r="BC126" s="311"/>
      <c r="BD126" s="308">
        <v>7.598899593543E12</v>
      </c>
      <c r="BE126" s="311"/>
      <c r="BF126" s="311"/>
      <c r="BG126" s="308" t="s">
        <v>2958</v>
      </c>
      <c r="BH126" s="308">
        <v>0.0</v>
      </c>
      <c r="BI126" s="308" t="s">
        <v>2959</v>
      </c>
      <c r="BJ126" s="308">
        <v>12.98</v>
      </c>
      <c r="BK126" s="311"/>
      <c r="BL126" s="311"/>
      <c r="BM126" s="311"/>
      <c r="BN126" s="311"/>
      <c r="BO126" s="311"/>
      <c r="BP126" s="311"/>
      <c r="BQ126" s="311"/>
      <c r="BR126" s="311"/>
      <c r="BS126" s="308"/>
      <c r="BT126" s="311"/>
      <c r="BU126" s="311"/>
      <c r="BV126" s="308" t="s">
        <v>3533</v>
      </c>
      <c r="BW126" s="308" t="s">
        <v>3533</v>
      </c>
      <c r="BX126" s="308" t="s">
        <v>3009</v>
      </c>
      <c r="BY126" s="311"/>
      <c r="BZ126" s="311"/>
      <c r="CA126" s="308" t="s">
        <v>3009</v>
      </c>
      <c r="CB126" s="312" t="str">
        <f t="shared" si="1"/>
        <v>15/04/2026</v>
      </c>
      <c r="CC126" s="313">
        <f t="shared" si="2"/>
        <v>2026</v>
      </c>
      <c r="CD126" s="314">
        <f t="shared" si="3"/>
        <v>4</v>
      </c>
      <c r="CE126" s="314">
        <f t="shared" si="4"/>
        <v>0</v>
      </c>
      <c r="CF126" s="314">
        <f t="shared" si="5"/>
        <v>1</v>
      </c>
      <c r="CG126" s="314">
        <f t="shared" si="6"/>
        <v>-5</v>
      </c>
      <c r="CH126" s="315">
        <f>VLOOKUP(CL126,'PRODUCT_COGS&amp;PRICE'!A:E,5,false)</f>
        <v>19</v>
      </c>
      <c r="CI126" s="315">
        <f t="shared" si="7"/>
        <v>0</v>
      </c>
      <c r="CJ126" s="316">
        <f t="shared" si="8"/>
        <v>0</v>
      </c>
      <c r="CK126" s="316">
        <f t="shared" si="9"/>
        <v>16</v>
      </c>
      <c r="CL126" s="314" t="str">
        <f>VLOOKUP(R126,PRODUCT_MAP!A:B,2,FALSE)</f>
        <v>Agata_Bag_FLORAL_PINK_EMBROIDERY</v>
      </c>
      <c r="CM126" s="314" t="str">
        <f>VLOOKUP(R126,PRODUCT_MAP!A:E,3,FALSE)</f>
        <v>Agata Bag</v>
      </c>
    </row>
    <row r="127" ht="22.5" customHeight="1">
      <c r="A127" s="308" t="s">
        <v>4045</v>
      </c>
      <c r="B127" s="308" t="s">
        <v>4046</v>
      </c>
      <c r="C127" s="308" t="s">
        <v>2942</v>
      </c>
      <c r="D127" s="308" t="s">
        <v>4047</v>
      </c>
      <c r="E127" s="308" t="s">
        <v>3013</v>
      </c>
      <c r="F127" s="308"/>
      <c r="G127" s="308" t="s">
        <v>2946</v>
      </c>
      <c r="H127" s="308" t="s">
        <v>2947</v>
      </c>
      <c r="I127" s="308">
        <v>81.0</v>
      </c>
      <c r="J127" s="308">
        <v>3.9</v>
      </c>
      <c r="K127" s="308">
        <v>15.31</v>
      </c>
      <c r="L127" s="308">
        <v>84.9</v>
      </c>
      <c r="M127" s="308" t="s">
        <v>3094</v>
      </c>
      <c r="N127" s="308">
        <v>9.0</v>
      </c>
      <c r="O127" s="308" t="s">
        <v>2948</v>
      </c>
      <c r="P127" s="308" t="s">
        <v>4048</v>
      </c>
      <c r="Q127" s="310">
        <v>1.0</v>
      </c>
      <c r="R127" s="308" t="s">
        <v>3900</v>
      </c>
      <c r="S127" s="308">
        <v>90.0</v>
      </c>
      <c r="T127" s="311"/>
      <c r="U127" s="308" t="s">
        <v>3901</v>
      </c>
      <c r="V127" s="308" t="b">
        <v>1</v>
      </c>
      <c r="W127" s="308" t="b">
        <v>1</v>
      </c>
      <c r="X127" s="308"/>
      <c r="Y127" s="308" t="s">
        <v>4049</v>
      </c>
      <c r="Z127" s="308" t="s">
        <v>4050</v>
      </c>
      <c r="AA127" s="308" t="s">
        <v>4051</v>
      </c>
      <c r="AB127" s="308" t="s">
        <v>4052</v>
      </c>
      <c r="AC127" s="308"/>
      <c r="AD127" s="308" t="s">
        <v>3269</v>
      </c>
      <c r="AE127" s="308">
        <v>20900.0</v>
      </c>
      <c r="AF127" s="308" t="s">
        <v>3270</v>
      </c>
      <c r="AG127" s="308" t="s">
        <v>2955</v>
      </c>
      <c r="AH127" s="308">
        <v>3.208854072E9</v>
      </c>
      <c r="AI127" s="308" t="s">
        <v>4049</v>
      </c>
      <c r="AJ127" s="308" t="s">
        <v>4050</v>
      </c>
      <c r="AK127" s="308" t="s">
        <v>4051</v>
      </c>
      <c r="AL127" s="308" t="s">
        <v>4052</v>
      </c>
      <c r="AM127" s="308"/>
      <c r="AN127" s="308" t="s">
        <v>3269</v>
      </c>
      <c r="AO127" s="308">
        <v>20900.0</v>
      </c>
      <c r="AP127" s="308" t="s">
        <v>3270</v>
      </c>
      <c r="AQ127" s="308" t="s">
        <v>2955</v>
      </c>
      <c r="AR127" s="308">
        <v>3.208854072E9</v>
      </c>
      <c r="AS127" s="311"/>
      <c r="AT127" s="311"/>
      <c r="AU127" s="311"/>
      <c r="AV127" s="308" t="s">
        <v>3009</v>
      </c>
      <c r="AW127" s="308">
        <v>4.7670996730183E13</v>
      </c>
      <c r="AX127" s="310">
        <v>0.0</v>
      </c>
      <c r="AY127" s="308" t="s">
        <v>2974</v>
      </c>
      <c r="AZ127" s="308">
        <v>0.0</v>
      </c>
      <c r="BA127" s="311"/>
      <c r="BB127" s="311"/>
      <c r="BC127" s="311"/>
      <c r="BD127" s="308">
        <v>7.599091417415E12</v>
      </c>
      <c r="BE127" s="311"/>
      <c r="BF127" s="311"/>
      <c r="BG127" s="308" t="s">
        <v>2958</v>
      </c>
      <c r="BH127" s="308">
        <v>0.0</v>
      </c>
      <c r="BI127" s="308" t="s">
        <v>2959</v>
      </c>
      <c r="BJ127" s="308">
        <v>14.61</v>
      </c>
      <c r="BK127" s="311"/>
      <c r="BL127" s="311"/>
      <c r="BM127" s="311"/>
      <c r="BN127" s="311"/>
      <c r="BO127" s="311"/>
      <c r="BP127" s="311"/>
      <c r="BQ127" s="311"/>
      <c r="BR127" s="311"/>
      <c r="BS127" s="308"/>
      <c r="BT127" s="311"/>
      <c r="BU127" s="311"/>
      <c r="BV127" s="308" t="s">
        <v>3271</v>
      </c>
      <c r="BW127" s="308" t="s">
        <v>3271</v>
      </c>
      <c r="BX127" s="308" t="s">
        <v>3009</v>
      </c>
      <c r="BY127" s="311"/>
      <c r="BZ127" s="311"/>
      <c r="CA127" s="308" t="s">
        <v>3009</v>
      </c>
      <c r="CB127" s="312" t="str">
        <f t="shared" si="1"/>
        <v>15/04/2026</v>
      </c>
      <c r="CC127" s="313">
        <f t="shared" si="2"/>
        <v>2026</v>
      </c>
      <c r="CD127" s="314">
        <f t="shared" si="3"/>
        <v>4</v>
      </c>
      <c r="CE127" s="314">
        <f t="shared" si="4"/>
        <v>1</v>
      </c>
      <c r="CF127" s="314">
        <f t="shared" si="5"/>
        <v>1</v>
      </c>
      <c r="CG127" s="314">
        <f t="shared" si="6"/>
        <v>0</v>
      </c>
      <c r="CH127" s="315">
        <f>VLOOKUP(CL127,'PRODUCT_COGS&amp;PRICE'!A:E,5,false)</f>
        <v>19</v>
      </c>
      <c r="CI127" s="315">
        <f t="shared" si="7"/>
        <v>-3.31301</v>
      </c>
      <c r="CJ127" s="316">
        <f t="shared" si="8"/>
        <v>0</v>
      </c>
      <c r="CK127" s="316">
        <f t="shared" si="9"/>
        <v>9</v>
      </c>
      <c r="CL127" s="314" t="str">
        <f>VLOOKUP(R127,PRODUCT_MAP!A:B,2,FALSE)</f>
        <v>Agata_Bag_FLORAL_PINK_EMBROIDERY</v>
      </c>
      <c r="CM127" s="314" t="str">
        <f>VLOOKUP(R127,PRODUCT_MAP!A:E,3,FALSE)</f>
        <v>Agata Bag</v>
      </c>
    </row>
    <row r="128" ht="22.5" customHeight="1">
      <c r="A128" s="308" t="s">
        <v>4053</v>
      </c>
      <c r="B128" s="308" t="s">
        <v>4054</v>
      </c>
      <c r="C128" s="308" t="s">
        <v>2942</v>
      </c>
      <c r="D128" s="308" t="s">
        <v>4055</v>
      </c>
      <c r="E128" s="308" t="s">
        <v>3013</v>
      </c>
      <c r="F128" s="308"/>
      <c r="G128" s="308" t="s">
        <v>2946</v>
      </c>
      <c r="H128" s="308" t="s">
        <v>2947</v>
      </c>
      <c r="I128" s="308">
        <v>135.0</v>
      </c>
      <c r="J128" s="308">
        <v>0.0</v>
      </c>
      <c r="K128" s="308">
        <v>24.34</v>
      </c>
      <c r="L128" s="308">
        <v>135.0</v>
      </c>
      <c r="M128" s="308" t="s">
        <v>3094</v>
      </c>
      <c r="N128" s="308">
        <v>15.0</v>
      </c>
      <c r="O128" s="308" t="s">
        <v>2948</v>
      </c>
      <c r="P128" s="308" t="s">
        <v>4056</v>
      </c>
      <c r="Q128" s="310">
        <v>1.0</v>
      </c>
      <c r="R128" s="308" t="s">
        <v>3738</v>
      </c>
      <c r="S128" s="308">
        <v>150.0</v>
      </c>
      <c r="T128" s="311"/>
      <c r="U128" s="308" t="s">
        <v>3739</v>
      </c>
      <c r="V128" s="308" t="b">
        <v>1</v>
      </c>
      <c r="W128" s="308" t="b">
        <v>1</v>
      </c>
      <c r="X128" s="308"/>
      <c r="Y128" s="308" t="s">
        <v>4057</v>
      </c>
      <c r="Z128" s="308" t="s">
        <v>4058</v>
      </c>
      <c r="AA128" s="308" t="s">
        <v>4058</v>
      </c>
      <c r="AB128" s="308"/>
      <c r="AC128" s="308"/>
      <c r="AD128" s="308" t="s">
        <v>4059</v>
      </c>
      <c r="AE128" s="308">
        <v>20841.0</v>
      </c>
      <c r="AF128" s="308" t="s">
        <v>3270</v>
      </c>
      <c r="AG128" s="308" t="s">
        <v>2955</v>
      </c>
      <c r="AH128" s="308">
        <v>3.347757126E9</v>
      </c>
      <c r="AI128" s="308" t="s">
        <v>4057</v>
      </c>
      <c r="AJ128" s="308" t="s">
        <v>4058</v>
      </c>
      <c r="AK128" s="308" t="s">
        <v>4058</v>
      </c>
      <c r="AL128" s="308"/>
      <c r="AM128" s="308"/>
      <c r="AN128" s="308" t="s">
        <v>4059</v>
      </c>
      <c r="AO128" s="308">
        <v>20841.0</v>
      </c>
      <c r="AP128" s="308" t="s">
        <v>3270</v>
      </c>
      <c r="AQ128" s="308" t="s">
        <v>2955</v>
      </c>
      <c r="AR128" s="308">
        <v>3.347757126E9</v>
      </c>
      <c r="AS128" s="311"/>
      <c r="AT128" s="311"/>
      <c r="AU128" s="311"/>
      <c r="AV128" s="308" t="s">
        <v>3009</v>
      </c>
      <c r="AW128" s="308">
        <v>4.7673961120071E13</v>
      </c>
      <c r="AX128" s="310">
        <v>0.0</v>
      </c>
      <c r="AY128" s="308" t="s">
        <v>2974</v>
      </c>
      <c r="AZ128" s="308">
        <v>0.0</v>
      </c>
      <c r="BA128" s="311"/>
      <c r="BB128" s="311"/>
      <c r="BC128" s="311"/>
      <c r="BD128" s="308">
        <v>7.600208216391E12</v>
      </c>
      <c r="BE128" s="311"/>
      <c r="BF128" s="311"/>
      <c r="BG128" s="308" t="s">
        <v>2958</v>
      </c>
      <c r="BH128" s="308">
        <v>0.0</v>
      </c>
      <c r="BI128" s="308" t="s">
        <v>2959</v>
      </c>
      <c r="BJ128" s="308">
        <v>24.34</v>
      </c>
      <c r="BK128" s="311"/>
      <c r="BL128" s="311"/>
      <c r="BM128" s="311"/>
      <c r="BN128" s="311"/>
      <c r="BO128" s="311"/>
      <c r="BP128" s="311"/>
      <c r="BQ128" s="311"/>
      <c r="BR128" s="311"/>
      <c r="BS128" s="308"/>
      <c r="BT128" s="311"/>
      <c r="BU128" s="311"/>
      <c r="BV128" s="308" t="s">
        <v>3271</v>
      </c>
      <c r="BW128" s="308" t="s">
        <v>3271</v>
      </c>
      <c r="BX128" s="308" t="s">
        <v>3009</v>
      </c>
      <c r="BY128" s="311"/>
      <c r="BZ128" s="311"/>
      <c r="CA128" s="308" t="s">
        <v>3009</v>
      </c>
      <c r="CB128" s="312" t="str">
        <f t="shared" si="1"/>
        <v>16/04/2026</v>
      </c>
      <c r="CC128" s="313">
        <f t="shared" si="2"/>
        <v>2026</v>
      </c>
      <c r="CD128" s="314">
        <f t="shared" si="3"/>
        <v>4</v>
      </c>
      <c r="CE128" s="314">
        <f t="shared" si="4"/>
        <v>1</v>
      </c>
      <c r="CF128" s="314">
        <f t="shared" si="5"/>
        <v>1</v>
      </c>
      <c r="CG128" s="314">
        <f t="shared" si="6"/>
        <v>-5</v>
      </c>
      <c r="CH128" s="315">
        <f>VLOOKUP(CL128,'PRODUCT_COGS&amp;PRICE'!A:E,5,false)</f>
        <v>33</v>
      </c>
      <c r="CI128" s="315">
        <f t="shared" si="7"/>
        <v>-5.0615</v>
      </c>
      <c r="CJ128" s="316">
        <f t="shared" si="8"/>
        <v>0</v>
      </c>
      <c r="CK128" s="316">
        <f t="shared" si="9"/>
        <v>15</v>
      </c>
      <c r="CL128" s="314" t="str">
        <f>VLOOKUP(R128,PRODUCT_MAP!A:B,2,FALSE)</f>
        <v>Lea_Bag_BLACK_WHITE_PONY</v>
      </c>
      <c r="CM128" s="314" t="str">
        <f>VLOOKUP(R128,PRODUCT_MAP!A:E,3,FALSE)</f>
        <v>Lea Bag</v>
      </c>
    </row>
    <row r="129" ht="22.5" customHeight="1">
      <c r="A129" s="308" t="s">
        <v>4060</v>
      </c>
      <c r="B129" s="308" t="s">
        <v>4061</v>
      </c>
      <c r="C129" s="308" t="s">
        <v>2942</v>
      </c>
      <c r="D129" s="308" t="s">
        <v>4062</v>
      </c>
      <c r="E129" s="308" t="s">
        <v>3013</v>
      </c>
      <c r="F129" s="308"/>
      <c r="G129" s="308" t="s">
        <v>2965</v>
      </c>
      <c r="H129" s="308" t="s">
        <v>2947</v>
      </c>
      <c r="I129" s="308">
        <v>240.0</v>
      </c>
      <c r="J129" s="308">
        <v>0.0</v>
      </c>
      <c r="K129" s="308">
        <v>43.28</v>
      </c>
      <c r="L129" s="308">
        <v>240.0</v>
      </c>
      <c r="M129" s="308"/>
      <c r="N129" s="308">
        <v>0.0</v>
      </c>
      <c r="O129" s="308" t="s">
        <v>2948</v>
      </c>
      <c r="P129" s="308" t="s">
        <v>4063</v>
      </c>
      <c r="Q129" s="310">
        <v>1.0</v>
      </c>
      <c r="R129" s="308" t="s">
        <v>579</v>
      </c>
      <c r="S129" s="308">
        <v>120.0</v>
      </c>
      <c r="T129" s="311"/>
      <c r="U129" s="308" t="s">
        <v>2002</v>
      </c>
      <c r="V129" s="308" t="b">
        <v>1</v>
      </c>
      <c r="W129" s="308" t="b">
        <v>1</v>
      </c>
      <c r="X129" s="308"/>
      <c r="Y129" s="308" t="s">
        <v>4064</v>
      </c>
      <c r="Z129" s="308" t="s">
        <v>4065</v>
      </c>
      <c r="AA129" s="308" t="s">
        <v>4065</v>
      </c>
      <c r="AB129" s="308"/>
      <c r="AC129" s="308"/>
      <c r="AD129" s="308" t="s">
        <v>3081</v>
      </c>
      <c r="AE129" s="308">
        <v>135.0</v>
      </c>
      <c r="AF129" s="308" t="s">
        <v>3082</v>
      </c>
      <c r="AG129" s="308" t="s">
        <v>2955</v>
      </c>
      <c r="AH129" s="308">
        <v>3.493244727E9</v>
      </c>
      <c r="AI129" s="308" t="s">
        <v>4064</v>
      </c>
      <c r="AJ129" s="308" t="s">
        <v>4065</v>
      </c>
      <c r="AK129" s="308" t="s">
        <v>4065</v>
      </c>
      <c r="AL129" s="308"/>
      <c r="AM129" s="308"/>
      <c r="AN129" s="308" t="s">
        <v>3081</v>
      </c>
      <c r="AO129" s="308">
        <v>135.0</v>
      </c>
      <c r="AP129" s="308" t="s">
        <v>3082</v>
      </c>
      <c r="AQ129" s="308" t="s">
        <v>2955</v>
      </c>
      <c r="AR129" s="308">
        <v>3.493244727E9</v>
      </c>
      <c r="AS129" s="311"/>
      <c r="AT129" s="311"/>
      <c r="AU129" s="311"/>
      <c r="AV129" s="308" t="s">
        <v>3009</v>
      </c>
      <c r="AW129" s="308">
        <v>4.7674206880071E13</v>
      </c>
      <c r="AX129" s="310">
        <v>0.0</v>
      </c>
      <c r="AY129" s="308" t="s">
        <v>2974</v>
      </c>
      <c r="AZ129" s="308">
        <v>0.0</v>
      </c>
      <c r="BA129" s="311"/>
      <c r="BB129" s="311"/>
      <c r="BC129" s="311"/>
      <c r="BD129" s="308">
        <v>7.600301113671E12</v>
      </c>
      <c r="BE129" s="311"/>
      <c r="BF129" s="311"/>
      <c r="BG129" s="308" t="s">
        <v>2958</v>
      </c>
      <c r="BH129" s="308">
        <v>0.0</v>
      </c>
      <c r="BI129" s="308" t="s">
        <v>2959</v>
      </c>
      <c r="BJ129" s="308">
        <v>21.64</v>
      </c>
      <c r="BK129" s="311"/>
      <c r="BL129" s="311"/>
      <c r="BM129" s="311"/>
      <c r="BN129" s="311"/>
      <c r="BO129" s="311"/>
      <c r="BP129" s="311"/>
      <c r="BQ129" s="311"/>
      <c r="BR129" s="311"/>
      <c r="BS129" s="308"/>
      <c r="BT129" s="311"/>
      <c r="BU129" s="311"/>
      <c r="BV129" s="308" t="s">
        <v>3081</v>
      </c>
      <c r="BW129" s="308" t="s">
        <v>3081</v>
      </c>
      <c r="BX129" s="308" t="s">
        <v>3009</v>
      </c>
      <c r="BY129" s="311"/>
      <c r="BZ129" s="311"/>
      <c r="CA129" s="308" t="s">
        <v>3009</v>
      </c>
      <c r="CB129" s="312" t="str">
        <f t="shared" si="1"/>
        <v>16/04/2026</v>
      </c>
      <c r="CC129" s="313">
        <f t="shared" si="2"/>
        <v>2026</v>
      </c>
      <c r="CD129" s="314">
        <f t="shared" si="3"/>
        <v>4</v>
      </c>
      <c r="CE129" s="314">
        <f t="shared" si="4"/>
        <v>1</v>
      </c>
      <c r="CF129" s="314">
        <f t="shared" si="5"/>
        <v>1</v>
      </c>
      <c r="CG129" s="314">
        <f t="shared" si="6"/>
        <v>-5</v>
      </c>
      <c r="CH129" s="315">
        <f>VLOOKUP(CL129,'PRODUCT_COGS&amp;PRICE'!A:E,5,false)</f>
        <v>20</v>
      </c>
      <c r="CI129" s="315">
        <f t="shared" si="7"/>
        <v>-17.102</v>
      </c>
      <c r="CJ129" s="316">
        <f t="shared" si="8"/>
        <v>0</v>
      </c>
      <c r="CK129" s="316">
        <f t="shared" si="9"/>
        <v>0</v>
      </c>
      <c r="CL129" s="314" t="str">
        <f>VLOOKUP(R129,PRODUCT_MAP!A:B,2,FALSE)</f>
        <v>Lea_Bag_VERNICE_PURPLE_PATENT</v>
      </c>
      <c r="CM129" s="314" t="str">
        <f>VLOOKUP(R129,PRODUCT_MAP!A:E,3,FALSE)</f>
        <v>Lea Bag</v>
      </c>
    </row>
    <row r="130" ht="22.5" customHeight="1">
      <c r="A130" s="308" t="s">
        <v>4060</v>
      </c>
      <c r="B130" s="308" t="s">
        <v>4061</v>
      </c>
      <c r="C130" s="308" t="s">
        <v>2942</v>
      </c>
      <c r="D130" s="308" t="s">
        <v>4062</v>
      </c>
      <c r="E130" s="308" t="s">
        <v>3013</v>
      </c>
      <c r="F130" s="308"/>
      <c r="G130" s="308" t="s">
        <v>2965</v>
      </c>
      <c r="H130" s="308" t="s">
        <v>2947</v>
      </c>
      <c r="I130" s="308">
        <v>240.0</v>
      </c>
      <c r="J130" s="308">
        <v>0.0</v>
      </c>
      <c r="K130" s="308">
        <v>43.28</v>
      </c>
      <c r="L130" s="308">
        <v>240.0</v>
      </c>
      <c r="M130" s="308"/>
      <c r="N130" s="308">
        <v>0.0</v>
      </c>
      <c r="O130" s="308" t="s">
        <v>2948</v>
      </c>
      <c r="P130" s="308" t="s">
        <v>4063</v>
      </c>
      <c r="Q130" s="310">
        <v>1.0</v>
      </c>
      <c r="R130" s="308" t="s">
        <v>569</v>
      </c>
      <c r="S130" s="308">
        <v>120.0</v>
      </c>
      <c r="T130" s="311"/>
      <c r="U130" s="308" t="s">
        <v>3375</v>
      </c>
      <c r="V130" s="308" t="b">
        <v>1</v>
      </c>
      <c r="W130" s="308" t="b">
        <v>1</v>
      </c>
      <c r="X130" s="308"/>
      <c r="Y130" s="308" t="s">
        <v>4064</v>
      </c>
      <c r="Z130" s="308" t="s">
        <v>4065</v>
      </c>
      <c r="AA130" s="308" t="s">
        <v>4065</v>
      </c>
      <c r="AB130" s="308"/>
      <c r="AC130" s="308"/>
      <c r="AD130" s="308" t="s">
        <v>3081</v>
      </c>
      <c r="AE130" s="308">
        <v>135.0</v>
      </c>
      <c r="AF130" s="308" t="s">
        <v>3082</v>
      </c>
      <c r="AG130" s="308" t="s">
        <v>2955</v>
      </c>
      <c r="AH130" s="308">
        <v>3.493244727E9</v>
      </c>
      <c r="AI130" s="308" t="s">
        <v>4064</v>
      </c>
      <c r="AJ130" s="308" t="s">
        <v>4065</v>
      </c>
      <c r="AK130" s="308" t="s">
        <v>4065</v>
      </c>
      <c r="AL130" s="308"/>
      <c r="AM130" s="308"/>
      <c r="AN130" s="308" t="s">
        <v>3081</v>
      </c>
      <c r="AO130" s="308">
        <v>135.0</v>
      </c>
      <c r="AP130" s="308" t="s">
        <v>3082</v>
      </c>
      <c r="AQ130" s="308" t="s">
        <v>2955</v>
      </c>
      <c r="AR130" s="308">
        <v>3.493244727E9</v>
      </c>
      <c r="AS130" s="311"/>
      <c r="AT130" s="311"/>
      <c r="AU130" s="311"/>
      <c r="AV130" s="308" t="s">
        <v>3009</v>
      </c>
      <c r="AW130" s="308">
        <v>4.7674206880071E13</v>
      </c>
      <c r="AX130" s="310">
        <v>0.0</v>
      </c>
      <c r="AY130" s="308" t="s">
        <v>2974</v>
      </c>
      <c r="AZ130" s="308">
        <v>0.0</v>
      </c>
      <c r="BA130" s="311"/>
      <c r="BB130" s="311"/>
      <c r="BC130" s="311"/>
      <c r="BD130" s="308">
        <v>7.600301113671E12</v>
      </c>
      <c r="BE130" s="311"/>
      <c r="BF130" s="311"/>
      <c r="BG130" s="308" t="s">
        <v>2958</v>
      </c>
      <c r="BH130" s="308">
        <v>0.0</v>
      </c>
      <c r="BI130" s="308" t="s">
        <v>2959</v>
      </c>
      <c r="BJ130" s="308">
        <v>21.64</v>
      </c>
      <c r="BK130" s="311"/>
      <c r="BL130" s="311"/>
      <c r="BM130" s="311"/>
      <c r="BN130" s="311"/>
      <c r="BO130" s="311"/>
      <c r="BP130" s="311"/>
      <c r="BQ130" s="311"/>
      <c r="BR130" s="311"/>
      <c r="BS130" s="308"/>
      <c r="BT130" s="311"/>
      <c r="BU130" s="311"/>
      <c r="BV130" s="308" t="s">
        <v>3081</v>
      </c>
      <c r="BW130" s="308" t="s">
        <v>3081</v>
      </c>
      <c r="BX130" s="308" t="s">
        <v>3009</v>
      </c>
      <c r="BY130" s="311"/>
      <c r="BZ130" s="311"/>
      <c r="CA130" s="308" t="s">
        <v>3009</v>
      </c>
      <c r="CB130" s="312" t="str">
        <f t="shared" si="1"/>
        <v>16/04/2026</v>
      </c>
      <c r="CC130" s="313">
        <f t="shared" si="2"/>
        <v>2026</v>
      </c>
      <c r="CD130" s="314">
        <f t="shared" si="3"/>
        <v>4</v>
      </c>
      <c r="CE130" s="314">
        <f t="shared" si="4"/>
        <v>0</v>
      </c>
      <c r="CF130" s="314">
        <f t="shared" si="5"/>
        <v>1</v>
      </c>
      <c r="CG130" s="314">
        <f t="shared" si="6"/>
        <v>-5</v>
      </c>
      <c r="CH130" s="315">
        <f>VLOOKUP(CL130,'PRODUCT_COGS&amp;PRICE'!A:E,5,false)</f>
        <v>20</v>
      </c>
      <c r="CI130" s="315">
        <f t="shared" si="7"/>
        <v>0</v>
      </c>
      <c r="CJ130" s="316">
        <f t="shared" si="8"/>
        <v>0</v>
      </c>
      <c r="CK130" s="316">
        <f t="shared" si="9"/>
        <v>0</v>
      </c>
      <c r="CL130" s="314" t="str">
        <f>VLOOKUP(R130,PRODUCT_MAP!A:B,2,FALSE)</f>
        <v>Lea_Bag_RED_PATENT</v>
      </c>
      <c r="CM130" s="314" t="str">
        <f>VLOOKUP(R130,PRODUCT_MAP!A:E,3,FALSE)</f>
        <v>Lea Bag</v>
      </c>
    </row>
    <row r="131" ht="22.5" customHeight="1">
      <c r="A131" s="308" t="s">
        <v>4066</v>
      </c>
      <c r="B131" s="308" t="s">
        <v>4067</v>
      </c>
      <c r="C131" s="308" t="s">
        <v>2942</v>
      </c>
      <c r="D131" s="308" t="s">
        <v>4068</v>
      </c>
      <c r="E131" s="308" t="s">
        <v>3013</v>
      </c>
      <c r="F131" s="308"/>
      <c r="G131" s="308" t="s">
        <v>2965</v>
      </c>
      <c r="H131" s="308" t="s">
        <v>2947</v>
      </c>
      <c r="I131" s="308">
        <v>80.0</v>
      </c>
      <c r="J131" s="308">
        <v>3.9</v>
      </c>
      <c r="K131" s="308">
        <v>15.13</v>
      </c>
      <c r="L131" s="308">
        <v>83.9</v>
      </c>
      <c r="M131" s="308"/>
      <c r="N131" s="308">
        <v>0.0</v>
      </c>
      <c r="O131" s="308" t="s">
        <v>2948</v>
      </c>
      <c r="P131" s="308" t="s">
        <v>4069</v>
      </c>
      <c r="Q131" s="310">
        <v>1.0</v>
      </c>
      <c r="R131" s="308" t="s">
        <v>4070</v>
      </c>
      <c r="S131" s="308">
        <v>80.0</v>
      </c>
      <c r="T131" s="311"/>
      <c r="U131" s="308" t="s">
        <v>4071</v>
      </c>
      <c r="V131" s="308" t="b">
        <v>1</v>
      </c>
      <c r="W131" s="308" t="b">
        <v>1</v>
      </c>
      <c r="X131" s="308"/>
      <c r="Y131" s="308" t="s">
        <v>4072</v>
      </c>
      <c r="Z131" s="308" t="s">
        <v>4073</v>
      </c>
      <c r="AA131" s="308" t="s">
        <v>4074</v>
      </c>
      <c r="AB131" s="308" t="s">
        <v>4075</v>
      </c>
      <c r="AC131" s="308"/>
      <c r="AD131" s="308" t="s">
        <v>4076</v>
      </c>
      <c r="AE131" s="308">
        <v>50068.0</v>
      </c>
      <c r="AF131" s="308" t="s">
        <v>3550</v>
      </c>
      <c r="AG131" s="308" t="s">
        <v>2955</v>
      </c>
      <c r="AH131" s="308">
        <v>3.3493346E9</v>
      </c>
      <c r="AI131" s="308" t="s">
        <v>4072</v>
      </c>
      <c r="AJ131" s="308" t="s">
        <v>4073</v>
      </c>
      <c r="AK131" s="308" t="s">
        <v>4074</v>
      </c>
      <c r="AL131" s="308" t="s">
        <v>4075</v>
      </c>
      <c r="AM131" s="308"/>
      <c r="AN131" s="308" t="s">
        <v>4076</v>
      </c>
      <c r="AO131" s="308">
        <v>50068.0</v>
      </c>
      <c r="AP131" s="308" t="s">
        <v>3550</v>
      </c>
      <c r="AQ131" s="308" t="s">
        <v>2955</v>
      </c>
      <c r="AR131" s="308">
        <v>3.3493346E9</v>
      </c>
      <c r="AS131" s="311"/>
      <c r="AT131" s="311"/>
      <c r="AU131" s="311"/>
      <c r="AV131" s="308" t="s">
        <v>2956</v>
      </c>
      <c r="AW131" s="308">
        <v>4.7675431715143E13</v>
      </c>
      <c r="AX131" s="310">
        <v>0.0</v>
      </c>
      <c r="AY131" s="308" t="s">
        <v>2974</v>
      </c>
      <c r="AZ131" s="308">
        <v>0.0</v>
      </c>
      <c r="BA131" s="311"/>
      <c r="BB131" s="311"/>
      <c r="BC131" s="311"/>
      <c r="BD131" s="308">
        <v>7.600827236679E12</v>
      </c>
      <c r="BE131" s="311"/>
      <c r="BF131" s="311"/>
      <c r="BG131" s="308" t="s">
        <v>2958</v>
      </c>
      <c r="BH131" s="308">
        <v>0.0</v>
      </c>
      <c r="BI131" s="308" t="s">
        <v>2959</v>
      </c>
      <c r="BJ131" s="308">
        <v>14.43</v>
      </c>
      <c r="BK131" s="311"/>
      <c r="BL131" s="311"/>
      <c r="BM131" s="311"/>
      <c r="BN131" s="311"/>
      <c r="BO131" s="311"/>
      <c r="BP131" s="311"/>
      <c r="BQ131" s="311"/>
      <c r="BR131" s="311"/>
      <c r="BS131" s="308"/>
      <c r="BT131" s="311"/>
      <c r="BU131" s="311"/>
      <c r="BV131" s="308" t="s">
        <v>3549</v>
      </c>
      <c r="BW131" s="308" t="s">
        <v>3549</v>
      </c>
      <c r="BX131" s="308" t="s">
        <v>2956</v>
      </c>
      <c r="BY131" s="311"/>
      <c r="BZ131" s="311"/>
      <c r="CA131" s="308" t="s">
        <v>2956</v>
      </c>
      <c r="CB131" s="312" t="str">
        <f t="shared" si="1"/>
        <v>16/04/2026</v>
      </c>
      <c r="CC131" s="313">
        <f t="shared" si="2"/>
        <v>2026</v>
      </c>
      <c r="CD131" s="314">
        <f t="shared" si="3"/>
        <v>4</v>
      </c>
      <c r="CE131" s="314">
        <f t="shared" si="4"/>
        <v>1</v>
      </c>
      <c r="CF131" s="314">
        <f t="shared" si="5"/>
        <v>1</v>
      </c>
      <c r="CG131" s="314">
        <f t="shared" si="6"/>
        <v>0</v>
      </c>
      <c r="CH131" s="315">
        <f>VLOOKUP(CL131,'PRODUCT_COGS&amp;PRICE'!A:E,5,false)</f>
        <v>19</v>
      </c>
      <c r="CI131" s="315">
        <f t="shared" si="7"/>
        <v>-1.8441</v>
      </c>
      <c r="CJ131" s="316">
        <f t="shared" si="8"/>
        <v>0</v>
      </c>
      <c r="CK131" s="316">
        <f t="shared" si="9"/>
        <v>0</v>
      </c>
      <c r="CL131" s="314" t="str">
        <f>VLOOKUP(R131,PRODUCT_MAP!A:B,2,FALSE)</f>
        <v>Agata_Bag_FLORAL_BORDEAUX_EMBROIDERY</v>
      </c>
      <c r="CM131" s="314" t="str">
        <f>VLOOKUP(R131,PRODUCT_MAP!A:E,3,FALSE)</f>
        <v>Agata Bag</v>
      </c>
    </row>
    <row r="132" ht="22.5" customHeight="1">
      <c r="A132" s="308" t="s">
        <v>4077</v>
      </c>
      <c r="B132" s="308" t="s">
        <v>4078</v>
      </c>
      <c r="C132" s="308" t="s">
        <v>2942</v>
      </c>
      <c r="D132" s="308" t="s">
        <v>4079</v>
      </c>
      <c r="E132" s="308" t="s">
        <v>3013</v>
      </c>
      <c r="F132" s="308"/>
      <c r="G132" s="308" t="s">
        <v>2946</v>
      </c>
      <c r="H132" s="308" t="s">
        <v>2947</v>
      </c>
      <c r="I132" s="308">
        <v>81.0</v>
      </c>
      <c r="J132" s="308">
        <v>3.9</v>
      </c>
      <c r="K132" s="308">
        <v>15.31</v>
      </c>
      <c r="L132" s="308">
        <v>84.9</v>
      </c>
      <c r="M132" s="308" t="s">
        <v>3094</v>
      </c>
      <c r="N132" s="308">
        <v>9.0</v>
      </c>
      <c r="O132" s="308" t="s">
        <v>2948</v>
      </c>
      <c r="P132" s="308" t="s">
        <v>4080</v>
      </c>
      <c r="Q132" s="310">
        <v>1.0</v>
      </c>
      <c r="R132" s="308" t="s">
        <v>3617</v>
      </c>
      <c r="S132" s="308">
        <v>90.0</v>
      </c>
      <c r="T132" s="311"/>
      <c r="U132" s="308" t="s">
        <v>3812</v>
      </c>
      <c r="V132" s="308" t="b">
        <v>1</v>
      </c>
      <c r="W132" s="308" t="b">
        <v>1</v>
      </c>
      <c r="X132" s="308"/>
      <c r="Y132" s="308" t="s">
        <v>4081</v>
      </c>
      <c r="Z132" s="308" t="s">
        <v>4082</v>
      </c>
      <c r="AA132" s="308" t="s">
        <v>4082</v>
      </c>
      <c r="AB132" s="308"/>
      <c r="AC132" s="308"/>
      <c r="AD132" s="308" t="s">
        <v>3081</v>
      </c>
      <c r="AE132" s="308">
        <v>147.0</v>
      </c>
      <c r="AF132" s="308" t="s">
        <v>3082</v>
      </c>
      <c r="AG132" s="308" t="s">
        <v>2955</v>
      </c>
      <c r="AH132" s="308"/>
      <c r="AI132" s="308" t="s">
        <v>4083</v>
      </c>
      <c r="AJ132" s="308" t="s">
        <v>4082</v>
      </c>
      <c r="AK132" s="308" t="s">
        <v>4082</v>
      </c>
      <c r="AL132" s="308"/>
      <c r="AM132" s="308"/>
      <c r="AN132" s="308" t="s">
        <v>3081</v>
      </c>
      <c r="AO132" s="308">
        <v>147.0</v>
      </c>
      <c r="AP132" s="308" t="s">
        <v>3082</v>
      </c>
      <c r="AQ132" s="308" t="s">
        <v>2955</v>
      </c>
      <c r="AR132" s="308">
        <v>3.91747656E9</v>
      </c>
      <c r="AS132" s="311"/>
      <c r="AT132" s="311"/>
      <c r="AU132" s="311"/>
      <c r="AV132" s="308" t="s">
        <v>2956</v>
      </c>
      <c r="AW132" s="308">
        <v>4.7675617739079E13</v>
      </c>
      <c r="AX132" s="310">
        <v>0.0</v>
      </c>
      <c r="AY132" s="308" t="s">
        <v>2974</v>
      </c>
      <c r="AZ132" s="308">
        <v>0.0</v>
      </c>
      <c r="BA132" s="311"/>
      <c r="BB132" s="311"/>
      <c r="BC132" s="311"/>
      <c r="BD132" s="308">
        <v>7.600906010951E12</v>
      </c>
      <c r="BE132" s="311"/>
      <c r="BF132" s="311"/>
      <c r="BG132" s="308" t="s">
        <v>2958</v>
      </c>
      <c r="BH132" s="308">
        <v>0.0</v>
      </c>
      <c r="BI132" s="308" t="s">
        <v>2959</v>
      </c>
      <c r="BJ132" s="308">
        <v>14.61</v>
      </c>
      <c r="BK132" s="311"/>
      <c r="BL132" s="311"/>
      <c r="BM132" s="311"/>
      <c r="BN132" s="311"/>
      <c r="BO132" s="311"/>
      <c r="BP132" s="311"/>
      <c r="BQ132" s="311"/>
      <c r="BR132" s="311"/>
      <c r="BS132" s="308"/>
      <c r="BT132" s="311"/>
      <c r="BU132" s="311"/>
      <c r="BV132" s="308" t="s">
        <v>3081</v>
      </c>
      <c r="BW132" s="308" t="s">
        <v>3081</v>
      </c>
      <c r="BX132" s="308" t="s">
        <v>2956</v>
      </c>
      <c r="BY132" s="311"/>
      <c r="BZ132" s="311"/>
      <c r="CA132" s="308" t="s">
        <v>2956</v>
      </c>
      <c r="CB132" s="312" t="str">
        <f t="shared" si="1"/>
        <v>16/04/2026</v>
      </c>
      <c r="CC132" s="313">
        <f t="shared" si="2"/>
        <v>2026</v>
      </c>
      <c r="CD132" s="314">
        <f t="shared" si="3"/>
        <v>4</v>
      </c>
      <c r="CE132" s="314">
        <f t="shared" si="4"/>
        <v>1</v>
      </c>
      <c r="CF132" s="314">
        <f t="shared" si="5"/>
        <v>1</v>
      </c>
      <c r="CG132" s="314">
        <f t="shared" si="6"/>
        <v>0</v>
      </c>
      <c r="CH132" s="315">
        <f>VLOOKUP(CL132,'PRODUCT_COGS&amp;PRICE'!A:E,5,false)</f>
        <v>16.5</v>
      </c>
      <c r="CI132" s="315">
        <f t="shared" si="7"/>
        <v>-1.8631</v>
      </c>
      <c r="CJ132" s="316">
        <f t="shared" si="8"/>
        <v>0</v>
      </c>
      <c r="CK132" s="316">
        <f t="shared" si="9"/>
        <v>9</v>
      </c>
      <c r="CL132" s="314" t="str">
        <f>VLOOKUP(R132,PRODUCT_MAP!A:B,2,FALSE)</f>
        <v>Annie_Bag_PAILLETTES_NUDE</v>
      </c>
      <c r="CM132" s="314" t="str">
        <f>VLOOKUP(R132,PRODUCT_MAP!A:E,3,FALSE)</f>
        <v>Annie Bag paillettes</v>
      </c>
    </row>
    <row r="133" ht="22.5" customHeight="1">
      <c r="A133" s="308" t="s">
        <v>4084</v>
      </c>
      <c r="B133" s="308" t="s">
        <v>4085</v>
      </c>
      <c r="C133" s="308" t="s">
        <v>2942</v>
      </c>
      <c r="D133" s="308" t="s">
        <v>4086</v>
      </c>
      <c r="E133" s="308" t="s">
        <v>2944</v>
      </c>
      <c r="F133" s="308" t="s">
        <v>4087</v>
      </c>
      <c r="G133" s="308" t="s">
        <v>2946</v>
      </c>
      <c r="H133" s="308" t="s">
        <v>2947</v>
      </c>
      <c r="I133" s="308">
        <v>108.0</v>
      </c>
      <c r="J133" s="308">
        <v>0.0</v>
      </c>
      <c r="K133" s="308">
        <v>19.48</v>
      </c>
      <c r="L133" s="308">
        <v>108.0</v>
      </c>
      <c r="M133" s="308" t="s">
        <v>3094</v>
      </c>
      <c r="N133" s="308">
        <v>12.0</v>
      </c>
      <c r="O133" s="308" t="s">
        <v>2948</v>
      </c>
      <c r="P133" s="308" t="s">
        <v>4088</v>
      </c>
      <c r="Q133" s="310">
        <v>1.0</v>
      </c>
      <c r="R133" s="308" t="s">
        <v>607</v>
      </c>
      <c r="S133" s="308">
        <v>120.0</v>
      </c>
      <c r="T133" s="311"/>
      <c r="U133" s="308" t="s">
        <v>207</v>
      </c>
      <c r="V133" s="308" t="b">
        <v>1</v>
      </c>
      <c r="W133" s="308" t="b">
        <v>1</v>
      </c>
      <c r="X133" s="308" t="s">
        <v>2944</v>
      </c>
      <c r="Y133" s="308" t="s">
        <v>4089</v>
      </c>
      <c r="Z133" s="308" t="s">
        <v>4090</v>
      </c>
      <c r="AA133" s="308" t="s">
        <v>4091</v>
      </c>
      <c r="AB133" s="308" t="s">
        <v>4092</v>
      </c>
      <c r="AC133" s="308" t="s">
        <v>4093</v>
      </c>
      <c r="AD133" s="308" t="s">
        <v>3655</v>
      </c>
      <c r="AE133" s="308">
        <v>10128.0</v>
      </c>
      <c r="AF133" s="308" t="s">
        <v>3654</v>
      </c>
      <c r="AG133" s="308" t="s">
        <v>2955</v>
      </c>
      <c r="AH133" s="308">
        <v>3.342496058E9</v>
      </c>
      <c r="AI133" s="308" t="s">
        <v>4089</v>
      </c>
      <c r="AJ133" s="308" t="s">
        <v>4090</v>
      </c>
      <c r="AK133" s="308" t="s">
        <v>4091</v>
      </c>
      <c r="AL133" s="308" t="s">
        <v>4092</v>
      </c>
      <c r="AM133" s="308" t="s">
        <v>4093</v>
      </c>
      <c r="AN133" s="308" t="s">
        <v>3655</v>
      </c>
      <c r="AO133" s="308">
        <v>10128.0</v>
      </c>
      <c r="AP133" s="308" t="s">
        <v>3654</v>
      </c>
      <c r="AQ133" s="308" t="s">
        <v>2955</v>
      </c>
      <c r="AR133" s="308">
        <v>3.342496058E9</v>
      </c>
      <c r="AS133" s="311"/>
      <c r="AT133" s="311"/>
      <c r="AU133" s="311"/>
      <c r="AV133" s="308" t="s">
        <v>2956</v>
      </c>
      <c r="AW133" s="308">
        <v>4.7678396727623E13</v>
      </c>
      <c r="AX133" s="310">
        <v>0.0</v>
      </c>
      <c r="AY133" s="308" t="s">
        <v>2974</v>
      </c>
      <c r="AZ133" s="308">
        <v>0.0</v>
      </c>
      <c r="BA133" s="311"/>
      <c r="BB133" s="311"/>
      <c r="BC133" s="311"/>
      <c r="BD133" s="308">
        <v>7.601789567303E12</v>
      </c>
      <c r="BE133" s="311"/>
      <c r="BF133" s="311"/>
      <c r="BG133" s="308" t="s">
        <v>2958</v>
      </c>
      <c r="BH133" s="308">
        <v>0.0</v>
      </c>
      <c r="BI133" s="308" t="s">
        <v>2959</v>
      </c>
      <c r="BJ133" s="308">
        <v>19.48</v>
      </c>
      <c r="BK133" s="311"/>
      <c r="BL133" s="311"/>
      <c r="BM133" s="311"/>
      <c r="BN133" s="311"/>
      <c r="BO133" s="311"/>
      <c r="BP133" s="311"/>
      <c r="BQ133" s="311"/>
      <c r="BR133" s="311"/>
      <c r="BS133" s="308"/>
      <c r="BT133" s="311"/>
      <c r="BU133" s="311"/>
      <c r="BV133" s="308" t="s">
        <v>3655</v>
      </c>
      <c r="BW133" s="308" t="s">
        <v>3655</v>
      </c>
      <c r="BX133" s="308" t="s">
        <v>2956</v>
      </c>
      <c r="BY133" s="311"/>
      <c r="BZ133" s="311"/>
      <c r="CA133" s="308" t="s">
        <v>2956</v>
      </c>
      <c r="CB133" s="312" t="str">
        <f t="shared" si="1"/>
        <v>17/04/2026</v>
      </c>
      <c r="CC133" s="313">
        <f t="shared" si="2"/>
        <v>2026</v>
      </c>
      <c r="CD133" s="314">
        <f t="shared" si="3"/>
        <v>4</v>
      </c>
      <c r="CE133" s="314">
        <f t="shared" si="4"/>
        <v>1</v>
      </c>
      <c r="CF133" s="314">
        <f t="shared" si="5"/>
        <v>1</v>
      </c>
      <c r="CG133" s="314">
        <f t="shared" si="6"/>
        <v>-5</v>
      </c>
      <c r="CH133" s="315">
        <f>VLOOKUP(CL133,'PRODUCT_COGS&amp;PRICE'!A:E,5,false)</f>
        <v>26</v>
      </c>
      <c r="CI133" s="315">
        <f t="shared" si="7"/>
        <v>-2.302</v>
      </c>
      <c r="CJ133" s="316">
        <f t="shared" si="8"/>
        <v>0</v>
      </c>
      <c r="CK133" s="316">
        <f t="shared" si="9"/>
        <v>12</v>
      </c>
      <c r="CL133" s="314" t="str">
        <f>VLOOKUP(R133,PRODUCT_MAP!A:B,2,FALSE)</f>
        <v>Maria_Bag_RED_PIERCING</v>
      </c>
      <c r="CM133" s="314" t="str">
        <f>VLOOKUP(R133,PRODUCT_MAP!A:E,3,FALSE)</f>
        <v>Maria Bag</v>
      </c>
    </row>
    <row r="134" ht="22.5" customHeight="1">
      <c r="A134" s="308" t="s">
        <v>4094</v>
      </c>
      <c r="B134" s="308" t="s">
        <v>4095</v>
      </c>
      <c r="C134" s="308" t="s">
        <v>2942</v>
      </c>
      <c r="D134" s="308" t="s">
        <v>4096</v>
      </c>
      <c r="E134" s="308" t="s">
        <v>2944</v>
      </c>
      <c r="F134" s="308" t="s">
        <v>4097</v>
      </c>
      <c r="G134" s="308" t="s">
        <v>2946</v>
      </c>
      <c r="H134" s="308" t="s">
        <v>2947</v>
      </c>
      <c r="I134" s="308">
        <v>108.0</v>
      </c>
      <c r="J134" s="308">
        <v>0.0</v>
      </c>
      <c r="K134" s="308">
        <v>19.48</v>
      </c>
      <c r="L134" s="308">
        <v>108.0</v>
      </c>
      <c r="M134" s="308" t="s">
        <v>3221</v>
      </c>
      <c r="N134" s="308">
        <v>12.0</v>
      </c>
      <c r="O134" s="308" t="s">
        <v>2948</v>
      </c>
      <c r="P134" s="308" t="s">
        <v>4098</v>
      </c>
      <c r="Q134" s="310">
        <v>1.0</v>
      </c>
      <c r="R134" s="308" t="s">
        <v>514</v>
      </c>
      <c r="S134" s="308">
        <v>120.0</v>
      </c>
      <c r="T134" s="311"/>
      <c r="U134" s="308" t="s">
        <v>202</v>
      </c>
      <c r="V134" s="308" t="b">
        <v>1</v>
      </c>
      <c r="W134" s="308" t="b">
        <v>1</v>
      </c>
      <c r="X134" s="308" t="s">
        <v>2944</v>
      </c>
      <c r="Y134" s="308" t="s">
        <v>4099</v>
      </c>
      <c r="Z134" s="308" t="s">
        <v>4100</v>
      </c>
      <c r="AA134" s="308" t="s">
        <v>4100</v>
      </c>
      <c r="AB134" s="308"/>
      <c r="AC134" s="308" t="s">
        <v>4101</v>
      </c>
      <c r="AD134" s="308" t="s">
        <v>4102</v>
      </c>
      <c r="AE134" s="308">
        <v>70121.0</v>
      </c>
      <c r="AF134" s="308" t="s">
        <v>4103</v>
      </c>
      <c r="AG134" s="308" t="s">
        <v>2955</v>
      </c>
      <c r="AH134" s="308">
        <v>3.27429203E9</v>
      </c>
      <c r="AI134" s="308" t="s">
        <v>4099</v>
      </c>
      <c r="AJ134" s="308" t="s">
        <v>4100</v>
      </c>
      <c r="AK134" s="308" t="s">
        <v>4100</v>
      </c>
      <c r="AL134" s="308"/>
      <c r="AM134" s="308" t="s">
        <v>4101</v>
      </c>
      <c r="AN134" s="308" t="s">
        <v>4102</v>
      </c>
      <c r="AO134" s="308">
        <v>70121.0</v>
      </c>
      <c r="AP134" s="308" t="s">
        <v>4103</v>
      </c>
      <c r="AQ134" s="308" t="s">
        <v>2955</v>
      </c>
      <c r="AR134" s="308">
        <v>3.27429203E9</v>
      </c>
      <c r="AS134" s="311"/>
      <c r="AT134" s="311"/>
      <c r="AU134" s="311"/>
      <c r="AV134" s="308" t="s">
        <v>3009</v>
      </c>
      <c r="AW134" s="308">
        <v>4.7678975508807E13</v>
      </c>
      <c r="AX134" s="310">
        <v>0.0</v>
      </c>
      <c r="AY134" s="308" t="s">
        <v>2974</v>
      </c>
      <c r="AZ134" s="308">
        <v>0.0</v>
      </c>
      <c r="BA134" s="311"/>
      <c r="BB134" s="311"/>
      <c r="BC134" s="311"/>
      <c r="BD134" s="308">
        <v>7.602040209735E12</v>
      </c>
      <c r="BE134" s="311"/>
      <c r="BF134" s="311"/>
      <c r="BG134" s="308" t="s">
        <v>2958</v>
      </c>
      <c r="BH134" s="308">
        <v>0.0</v>
      </c>
      <c r="BI134" s="308" t="s">
        <v>2959</v>
      </c>
      <c r="BJ134" s="308">
        <v>19.48</v>
      </c>
      <c r="BK134" s="311"/>
      <c r="BL134" s="311"/>
      <c r="BM134" s="311"/>
      <c r="BN134" s="311"/>
      <c r="BO134" s="311"/>
      <c r="BP134" s="311"/>
      <c r="BQ134" s="311"/>
      <c r="BR134" s="311"/>
      <c r="BS134" s="308"/>
      <c r="BT134" s="311"/>
      <c r="BU134" s="311"/>
      <c r="BV134" s="308" t="s">
        <v>4102</v>
      </c>
      <c r="BW134" s="308" t="s">
        <v>4102</v>
      </c>
      <c r="BX134" s="308" t="s">
        <v>3009</v>
      </c>
      <c r="BY134" s="311"/>
      <c r="BZ134" s="311"/>
      <c r="CA134" s="308" t="s">
        <v>3009</v>
      </c>
      <c r="CB134" s="312" t="str">
        <f t="shared" si="1"/>
        <v>17/04/2026</v>
      </c>
      <c r="CC134" s="313">
        <f t="shared" si="2"/>
        <v>2026</v>
      </c>
      <c r="CD134" s="314">
        <f t="shared" si="3"/>
        <v>4</v>
      </c>
      <c r="CE134" s="314">
        <f t="shared" si="4"/>
        <v>1</v>
      </c>
      <c r="CF134" s="314">
        <f t="shared" si="5"/>
        <v>1</v>
      </c>
      <c r="CG134" s="314">
        <f t="shared" si="6"/>
        <v>-5</v>
      </c>
      <c r="CH134" s="315">
        <f>VLOOKUP(CL134,'PRODUCT_COGS&amp;PRICE'!A:E,5,false)</f>
        <v>32.08</v>
      </c>
      <c r="CI134" s="315">
        <f t="shared" si="7"/>
        <v>-4.1192</v>
      </c>
      <c r="CJ134" s="316">
        <f t="shared" si="8"/>
        <v>0</v>
      </c>
      <c r="CK134" s="316">
        <f t="shared" si="9"/>
        <v>12</v>
      </c>
      <c r="CL134" s="314" t="str">
        <f>VLOOKUP(R134,PRODUCT_MAP!A:B,2,FALSE)</f>
        <v>Lea_Bag_BLACK</v>
      </c>
      <c r="CM134" s="314" t="str">
        <f>VLOOKUP(R134,PRODUCT_MAP!A:E,3,FALSE)</f>
        <v>Lea Bag</v>
      </c>
    </row>
    <row r="135" ht="22.5" customHeight="1">
      <c r="A135" s="308" t="s">
        <v>4104</v>
      </c>
      <c r="B135" s="308" t="s">
        <v>4105</v>
      </c>
      <c r="C135" s="308" t="s">
        <v>2942</v>
      </c>
      <c r="D135" s="308" t="s">
        <v>4106</v>
      </c>
      <c r="E135" s="308" t="s">
        <v>2944</v>
      </c>
      <c r="F135" s="308" t="s">
        <v>4107</v>
      </c>
      <c r="G135" s="308" t="s">
        <v>2965</v>
      </c>
      <c r="H135" s="308" t="s">
        <v>2947</v>
      </c>
      <c r="I135" s="308">
        <v>50.0</v>
      </c>
      <c r="J135" s="308">
        <v>3.9</v>
      </c>
      <c r="K135" s="308">
        <v>9.72</v>
      </c>
      <c r="L135" s="308">
        <v>53.9</v>
      </c>
      <c r="M135" s="308"/>
      <c r="N135" s="308">
        <v>0.0</v>
      </c>
      <c r="O135" s="308" t="s">
        <v>2948</v>
      </c>
      <c r="P135" s="308" t="s">
        <v>4108</v>
      </c>
      <c r="Q135" s="310">
        <v>1.0</v>
      </c>
      <c r="R135" s="308" t="s">
        <v>4109</v>
      </c>
      <c r="S135" s="308">
        <v>50.0</v>
      </c>
      <c r="T135" s="311"/>
      <c r="U135" s="308" t="s">
        <v>2034</v>
      </c>
      <c r="V135" s="308" t="b">
        <v>1</v>
      </c>
      <c r="W135" s="308" t="b">
        <v>1</v>
      </c>
      <c r="X135" s="308" t="s">
        <v>2944</v>
      </c>
      <c r="Y135" s="308" t="s">
        <v>4110</v>
      </c>
      <c r="Z135" s="308" t="s">
        <v>4111</v>
      </c>
      <c r="AA135" s="308" t="s">
        <v>4111</v>
      </c>
      <c r="AB135" s="308"/>
      <c r="AC135" s="308"/>
      <c r="AD135" s="308" t="s">
        <v>23</v>
      </c>
      <c r="AE135" s="308">
        <v>20144.0</v>
      </c>
      <c r="AF135" s="308" t="s">
        <v>2954</v>
      </c>
      <c r="AG135" s="308" t="s">
        <v>2955</v>
      </c>
      <c r="AH135" s="308">
        <v>3.317890837E9</v>
      </c>
      <c r="AI135" s="308" t="s">
        <v>4110</v>
      </c>
      <c r="AJ135" s="308" t="s">
        <v>4111</v>
      </c>
      <c r="AK135" s="308" t="s">
        <v>4111</v>
      </c>
      <c r="AL135" s="308"/>
      <c r="AM135" s="308"/>
      <c r="AN135" s="308" t="s">
        <v>23</v>
      </c>
      <c r="AO135" s="308">
        <v>20144.0</v>
      </c>
      <c r="AP135" s="308" t="s">
        <v>2954</v>
      </c>
      <c r="AQ135" s="308" t="s">
        <v>2955</v>
      </c>
      <c r="AR135" s="308">
        <v>3.317890837E9</v>
      </c>
      <c r="AS135" s="311"/>
      <c r="AT135" s="311"/>
      <c r="AU135" s="311"/>
      <c r="AV135" s="308" t="s">
        <v>2956</v>
      </c>
      <c r="AW135" s="308">
        <v>4.7679019155783E13</v>
      </c>
      <c r="AX135" s="310">
        <v>0.0</v>
      </c>
      <c r="AY135" s="308" t="s">
        <v>2974</v>
      </c>
      <c r="AZ135" s="308">
        <v>0.0</v>
      </c>
      <c r="BA135" s="311"/>
      <c r="BB135" s="311"/>
      <c r="BC135" s="311"/>
      <c r="BD135" s="308">
        <v>7.602044895559E12</v>
      </c>
      <c r="BE135" s="311"/>
      <c r="BF135" s="311"/>
      <c r="BG135" s="308" t="s">
        <v>2958</v>
      </c>
      <c r="BH135" s="308">
        <v>0.0</v>
      </c>
      <c r="BI135" s="308" t="s">
        <v>2959</v>
      </c>
      <c r="BJ135" s="308">
        <v>9.02</v>
      </c>
      <c r="BK135" s="311"/>
      <c r="BL135" s="311"/>
      <c r="BM135" s="311"/>
      <c r="BN135" s="311"/>
      <c r="BO135" s="311"/>
      <c r="BP135" s="311"/>
      <c r="BQ135" s="311"/>
      <c r="BR135" s="311"/>
      <c r="BS135" s="308"/>
      <c r="BT135" s="311"/>
      <c r="BU135" s="311"/>
      <c r="BV135" s="308" t="s">
        <v>23</v>
      </c>
      <c r="BW135" s="308" t="s">
        <v>23</v>
      </c>
      <c r="BX135" s="308" t="s">
        <v>2956</v>
      </c>
      <c r="BY135" s="311"/>
      <c r="BZ135" s="311"/>
      <c r="CA135" s="308" t="s">
        <v>2956</v>
      </c>
      <c r="CB135" s="312" t="str">
        <f t="shared" si="1"/>
        <v>17/04/2026</v>
      </c>
      <c r="CC135" s="313">
        <f t="shared" si="2"/>
        <v>2026</v>
      </c>
      <c r="CD135" s="314">
        <f t="shared" si="3"/>
        <v>4</v>
      </c>
      <c r="CE135" s="314">
        <f t="shared" si="4"/>
        <v>1</v>
      </c>
      <c r="CF135" s="314">
        <f t="shared" si="5"/>
        <v>1</v>
      </c>
      <c r="CG135" s="314">
        <f t="shared" si="6"/>
        <v>0</v>
      </c>
      <c r="CH135" s="315">
        <f>VLOOKUP(CL135,'PRODUCT_COGS&amp;PRICE'!A:E,5,false)</f>
        <v>4</v>
      </c>
      <c r="CI135" s="315">
        <f t="shared" si="7"/>
        <v>-1.2741</v>
      </c>
      <c r="CJ135" s="316">
        <f t="shared" si="8"/>
        <v>0</v>
      </c>
      <c r="CK135" s="316">
        <f t="shared" si="9"/>
        <v>0</v>
      </c>
      <c r="CL135" s="314" t="str">
        <f>VLOOKUP(R135,PRODUCT_MAP!A:B,2,FALSE)</f>
        <v>Nina_Bag_PISTACCHIO</v>
      </c>
      <c r="CM135" s="314" t="str">
        <f>VLOOKUP(R135,PRODUCT_MAP!A:E,3,FALSE)</f>
        <v>Nina Bag</v>
      </c>
    </row>
    <row r="136" ht="22.5" customHeight="1">
      <c r="A136" s="308" t="s">
        <v>4112</v>
      </c>
      <c r="B136" s="308" t="s">
        <v>4113</v>
      </c>
      <c r="C136" s="308" t="s">
        <v>2942</v>
      </c>
      <c r="D136" s="308" t="s">
        <v>4114</v>
      </c>
      <c r="E136" s="308" t="s">
        <v>2944</v>
      </c>
      <c r="F136" s="308" t="s">
        <v>4115</v>
      </c>
      <c r="G136" s="308" t="s">
        <v>2946</v>
      </c>
      <c r="H136" s="308" t="s">
        <v>2947</v>
      </c>
      <c r="I136" s="308">
        <v>72.0</v>
      </c>
      <c r="J136" s="308">
        <v>3.9</v>
      </c>
      <c r="K136" s="308">
        <v>13.68</v>
      </c>
      <c r="L136" s="308">
        <v>75.9</v>
      </c>
      <c r="M136" s="308" t="s">
        <v>3221</v>
      </c>
      <c r="N136" s="308">
        <v>8.0</v>
      </c>
      <c r="O136" s="308" t="s">
        <v>2948</v>
      </c>
      <c r="P136" s="308" t="s">
        <v>4116</v>
      </c>
      <c r="Q136" s="310">
        <v>1.0</v>
      </c>
      <c r="R136" s="308" t="s">
        <v>4039</v>
      </c>
      <c r="S136" s="308">
        <v>80.0</v>
      </c>
      <c r="T136" s="311"/>
      <c r="U136" s="308"/>
      <c r="V136" s="308" t="b">
        <v>1</v>
      </c>
      <c r="W136" s="308" t="b">
        <v>1</v>
      </c>
      <c r="X136" s="308" t="s">
        <v>2944</v>
      </c>
      <c r="Y136" s="308" t="s">
        <v>4117</v>
      </c>
      <c r="Z136" s="308" t="s">
        <v>4118</v>
      </c>
      <c r="AA136" s="308" t="s">
        <v>4118</v>
      </c>
      <c r="AB136" s="308"/>
      <c r="AC136" s="308"/>
      <c r="AD136" s="308" t="s">
        <v>4119</v>
      </c>
      <c r="AE136" s="308">
        <v>21020.0</v>
      </c>
      <c r="AF136" s="308" t="s">
        <v>3206</v>
      </c>
      <c r="AG136" s="308" t="s">
        <v>2955</v>
      </c>
      <c r="AH136" s="308">
        <v>3.284510428E9</v>
      </c>
      <c r="AI136" s="308" t="s">
        <v>4117</v>
      </c>
      <c r="AJ136" s="308" t="s">
        <v>4118</v>
      </c>
      <c r="AK136" s="308" t="s">
        <v>4118</v>
      </c>
      <c r="AL136" s="308"/>
      <c r="AM136" s="308"/>
      <c r="AN136" s="308" t="s">
        <v>4119</v>
      </c>
      <c r="AO136" s="308">
        <v>21020.0</v>
      </c>
      <c r="AP136" s="308" t="s">
        <v>3206</v>
      </c>
      <c r="AQ136" s="308" t="s">
        <v>2955</v>
      </c>
      <c r="AR136" s="308">
        <v>3.284510428E9</v>
      </c>
      <c r="AS136" s="311"/>
      <c r="AT136" s="311"/>
      <c r="AU136" s="311"/>
      <c r="AV136" s="308" t="s">
        <v>2956</v>
      </c>
      <c r="AW136" s="308">
        <v>4.7679026200903E13</v>
      </c>
      <c r="AX136" s="310">
        <v>0.0</v>
      </c>
      <c r="AY136" s="308" t="s">
        <v>2974</v>
      </c>
      <c r="AZ136" s="308">
        <v>0.0</v>
      </c>
      <c r="BA136" s="311"/>
      <c r="BB136" s="311"/>
      <c r="BC136" s="311"/>
      <c r="BD136" s="308">
        <v>7.602052628807E12</v>
      </c>
      <c r="BE136" s="311"/>
      <c r="BF136" s="311"/>
      <c r="BG136" s="308" t="s">
        <v>2958</v>
      </c>
      <c r="BH136" s="308">
        <v>0.0</v>
      </c>
      <c r="BI136" s="308" t="s">
        <v>2959</v>
      </c>
      <c r="BJ136" s="308">
        <v>12.98</v>
      </c>
      <c r="BK136" s="311"/>
      <c r="BL136" s="311"/>
      <c r="BM136" s="311"/>
      <c r="BN136" s="311"/>
      <c r="BO136" s="311"/>
      <c r="BP136" s="311"/>
      <c r="BQ136" s="311"/>
      <c r="BR136" s="311"/>
      <c r="BS136" s="308"/>
      <c r="BT136" s="311"/>
      <c r="BU136" s="311"/>
      <c r="BV136" s="308" t="s">
        <v>3208</v>
      </c>
      <c r="BW136" s="308" t="s">
        <v>3208</v>
      </c>
      <c r="BX136" s="308" t="s">
        <v>2956</v>
      </c>
      <c r="BY136" s="311"/>
      <c r="BZ136" s="311"/>
      <c r="CA136" s="308" t="s">
        <v>2956</v>
      </c>
      <c r="CB136" s="312" t="str">
        <f t="shared" si="1"/>
        <v>17/04/2026</v>
      </c>
      <c r="CC136" s="313">
        <f t="shared" si="2"/>
        <v>2026</v>
      </c>
      <c r="CD136" s="314">
        <f t="shared" si="3"/>
        <v>4</v>
      </c>
      <c r="CE136" s="314">
        <f t="shared" si="4"/>
        <v>1</v>
      </c>
      <c r="CF136" s="314">
        <f t="shared" si="5"/>
        <v>1</v>
      </c>
      <c r="CG136" s="314">
        <f t="shared" si="6"/>
        <v>0</v>
      </c>
      <c r="CH136" s="315">
        <f>VLOOKUP(CL136,'PRODUCT_COGS&amp;PRICE'!A:E,5,false)</f>
        <v>19</v>
      </c>
      <c r="CI136" s="315">
        <f t="shared" si="7"/>
        <v>-1.6921</v>
      </c>
      <c r="CJ136" s="316">
        <f t="shared" si="8"/>
        <v>0</v>
      </c>
      <c r="CK136" s="316">
        <f t="shared" si="9"/>
        <v>8</v>
      </c>
      <c r="CL136" s="314" t="str">
        <f>VLOOKUP(R136,PRODUCT_MAP!A:B,2,FALSE)</f>
        <v>Agata_Bag_FLORAL_DUSTY_PINK_EMBROIDERY</v>
      </c>
      <c r="CM136" s="314" t="str">
        <f>VLOOKUP(R136,PRODUCT_MAP!A:E,3,FALSE)</f>
        <v>Agata Bag</v>
      </c>
    </row>
    <row r="137" ht="22.5" customHeight="1">
      <c r="A137" s="308" t="s">
        <v>4120</v>
      </c>
      <c r="B137" s="308" t="s">
        <v>4121</v>
      </c>
      <c r="C137" s="308" t="s">
        <v>2942</v>
      </c>
      <c r="D137" s="308" t="s">
        <v>4122</v>
      </c>
      <c r="E137" s="308" t="s">
        <v>3013</v>
      </c>
      <c r="F137" s="308"/>
      <c r="G137" s="308" t="s">
        <v>2946</v>
      </c>
      <c r="H137" s="308" t="s">
        <v>2947</v>
      </c>
      <c r="I137" s="308">
        <v>72.0</v>
      </c>
      <c r="J137" s="308">
        <v>3.9</v>
      </c>
      <c r="K137" s="308">
        <v>13.68</v>
      </c>
      <c r="L137" s="308">
        <v>75.9</v>
      </c>
      <c r="M137" s="308" t="s">
        <v>3094</v>
      </c>
      <c r="N137" s="308">
        <v>8.0</v>
      </c>
      <c r="O137" s="308" t="s">
        <v>2948</v>
      </c>
      <c r="P137" s="308" t="s">
        <v>4123</v>
      </c>
      <c r="Q137" s="310">
        <v>1.0</v>
      </c>
      <c r="R137" s="308" t="s">
        <v>4039</v>
      </c>
      <c r="S137" s="308">
        <v>80.0</v>
      </c>
      <c r="T137" s="311"/>
      <c r="U137" s="308"/>
      <c r="V137" s="308" t="b">
        <v>1</v>
      </c>
      <c r="W137" s="308" t="b">
        <v>1</v>
      </c>
      <c r="X137" s="308"/>
      <c r="Y137" s="308" t="s">
        <v>4124</v>
      </c>
      <c r="Z137" s="308" t="s">
        <v>4125</v>
      </c>
      <c r="AA137" s="308" t="s">
        <v>4126</v>
      </c>
      <c r="AB137" s="308" t="s">
        <v>4127</v>
      </c>
      <c r="AC137" s="308"/>
      <c r="AD137" s="308" t="s">
        <v>23</v>
      </c>
      <c r="AE137" s="308">
        <v>20139.0</v>
      </c>
      <c r="AF137" s="308" t="s">
        <v>2954</v>
      </c>
      <c r="AG137" s="308" t="s">
        <v>2955</v>
      </c>
      <c r="AH137" s="308">
        <v>3.31504985E9</v>
      </c>
      <c r="AI137" s="308" t="s">
        <v>4124</v>
      </c>
      <c r="AJ137" s="308" t="s">
        <v>4125</v>
      </c>
      <c r="AK137" s="308" t="s">
        <v>4126</v>
      </c>
      <c r="AL137" s="308" t="s">
        <v>4127</v>
      </c>
      <c r="AM137" s="308"/>
      <c r="AN137" s="308" t="s">
        <v>23</v>
      </c>
      <c r="AO137" s="308">
        <v>20139.0</v>
      </c>
      <c r="AP137" s="308" t="s">
        <v>2954</v>
      </c>
      <c r="AQ137" s="308" t="s">
        <v>2955</v>
      </c>
      <c r="AR137" s="308">
        <v>3.31504985E9</v>
      </c>
      <c r="AS137" s="311"/>
      <c r="AT137" s="311"/>
      <c r="AU137" s="311"/>
      <c r="AV137" s="308" t="s">
        <v>2956</v>
      </c>
      <c r="AW137" s="308">
        <v>4.7679774097735E13</v>
      </c>
      <c r="AX137" s="310">
        <v>0.0</v>
      </c>
      <c r="AY137" s="308" t="s">
        <v>2974</v>
      </c>
      <c r="AZ137" s="308">
        <v>0.0</v>
      </c>
      <c r="BA137" s="311"/>
      <c r="BB137" s="311"/>
      <c r="BC137" s="311"/>
      <c r="BD137" s="308">
        <v>7.602383716679E12</v>
      </c>
      <c r="BE137" s="311"/>
      <c r="BF137" s="311"/>
      <c r="BG137" s="308" t="s">
        <v>2958</v>
      </c>
      <c r="BH137" s="308">
        <v>0.0</v>
      </c>
      <c r="BI137" s="308" t="s">
        <v>2959</v>
      </c>
      <c r="BJ137" s="308">
        <v>12.98</v>
      </c>
      <c r="BK137" s="311"/>
      <c r="BL137" s="311"/>
      <c r="BM137" s="311"/>
      <c r="BN137" s="311"/>
      <c r="BO137" s="311"/>
      <c r="BP137" s="311"/>
      <c r="BQ137" s="311"/>
      <c r="BR137" s="311"/>
      <c r="BS137" s="308"/>
      <c r="BT137" s="311"/>
      <c r="BU137" s="311"/>
      <c r="BV137" s="308" t="s">
        <v>23</v>
      </c>
      <c r="BW137" s="308" t="s">
        <v>23</v>
      </c>
      <c r="BX137" s="308" t="s">
        <v>2956</v>
      </c>
      <c r="BY137" s="311"/>
      <c r="BZ137" s="311"/>
      <c r="CA137" s="308" t="s">
        <v>2956</v>
      </c>
      <c r="CB137" s="312" t="str">
        <f t="shared" si="1"/>
        <v>17/04/2026</v>
      </c>
      <c r="CC137" s="313">
        <f t="shared" si="2"/>
        <v>2026</v>
      </c>
      <c r="CD137" s="314">
        <f t="shared" si="3"/>
        <v>4</v>
      </c>
      <c r="CE137" s="314">
        <f t="shared" si="4"/>
        <v>1</v>
      </c>
      <c r="CF137" s="314">
        <f t="shared" si="5"/>
        <v>1</v>
      </c>
      <c r="CG137" s="314">
        <f t="shared" si="6"/>
        <v>0</v>
      </c>
      <c r="CH137" s="315">
        <f>VLOOKUP(CL137,'PRODUCT_COGS&amp;PRICE'!A:E,5,false)</f>
        <v>19</v>
      </c>
      <c r="CI137" s="315">
        <f t="shared" si="7"/>
        <v>-1.6921</v>
      </c>
      <c r="CJ137" s="316">
        <f t="shared" si="8"/>
        <v>0</v>
      </c>
      <c r="CK137" s="316">
        <f t="shared" si="9"/>
        <v>8</v>
      </c>
      <c r="CL137" s="314" t="str">
        <f>VLOOKUP(R137,PRODUCT_MAP!A:B,2,FALSE)</f>
        <v>Agata_Bag_FLORAL_DUSTY_PINK_EMBROIDERY</v>
      </c>
      <c r="CM137" s="314" t="str">
        <f>VLOOKUP(R137,PRODUCT_MAP!A:E,3,FALSE)</f>
        <v>Agata Bag</v>
      </c>
    </row>
    <row r="138" ht="22.5" customHeight="1">
      <c r="A138" s="308" t="s">
        <v>4128</v>
      </c>
      <c r="B138" s="308" t="s">
        <v>4129</v>
      </c>
      <c r="C138" s="308" t="s">
        <v>2942</v>
      </c>
      <c r="D138" s="308" t="s">
        <v>4130</v>
      </c>
      <c r="E138" s="308" t="s">
        <v>3013</v>
      </c>
      <c r="F138" s="308"/>
      <c r="G138" s="308" t="s">
        <v>2946</v>
      </c>
      <c r="H138" s="308" t="s">
        <v>2947</v>
      </c>
      <c r="I138" s="308">
        <v>135.0</v>
      </c>
      <c r="J138" s="308">
        <v>0.0</v>
      </c>
      <c r="K138" s="308">
        <v>24.34</v>
      </c>
      <c r="L138" s="308">
        <v>135.0</v>
      </c>
      <c r="M138" s="308" t="s">
        <v>3094</v>
      </c>
      <c r="N138" s="308">
        <v>15.0</v>
      </c>
      <c r="O138" s="308" t="s">
        <v>2948</v>
      </c>
      <c r="P138" s="308" t="s">
        <v>4131</v>
      </c>
      <c r="Q138" s="310">
        <v>1.0</v>
      </c>
      <c r="R138" s="308" t="s">
        <v>3738</v>
      </c>
      <c r="S138" s="308">
        <v>150.0</v>
      </c>
      <c r="T138" s="311"/>
      <c r="U138" s="308" t="s">
        <v>3739</v>
      </c>
      <c r="V138" s="308" t="b">
        <v>1</v>
      </c>
      <c r="W138" s="308" t="b">
        <v>1</v>
      </c>
      <c r="X138" s="308"/>
      <c r="Y138" s="308" t="s">
        <v>4132</v>
      </c>
      <c r="Z138" s="308" t="s">
        <v>4133</v>
      </c>
      <c r="AA138" s="308" t="s">
        <v>4133</v>
      </c>
      <c r="AB138" s="308"/>
      <c r="AC138" s="308"/>
      <c r="AD138" s="308" t="s">
        <v>23</v>
      </c>
      <c r="AE138" s="308">
        <v>20154.0</v>
      </c>
      <c r="AF138" s="308" t="s">
        <v>2954</v>
      </c>
      <c r="AG138" s="308" t="s">
        <v>2955</v>
      </c>
      <c r="AH138" s="308"/>
      <c r="AI138" s="308" t="s">
        <v>4132</v>
      </c>
      <c r="AJ138" s="308" t="s">
        <v>4134</v>
      </c>
      <c r="AK138" s="308" t="s">
        <v>4134</v>
      </c>
      <c r="AL138" s="308"/>
      <c r="AM138" s="308"/>
      <c r="AN138" s="308" t="s">
        <v>23</v>
      </c>
      <c r="AO138" s="308">
        <v>20154.0</v>
      </c>
      <c r="AP138" s="308" t="s">
        <v>2954</v>
      </c>
      <c r="AQ138" s="308" t="s">
        <v>2955</v>
      </c>
      <c r="AR138" s="308">
        <v>3.406872078E9</v>
      </c>
      <c r="AS138" s="311"/>
      <c r="AT138" s="311"/>
      <c r="AU138" s="311"/>
      <c r="AV138" s="308" t="s">
        <v>2956</v>
      </c>
      <c r="AW138" s="308">
        <v>4.7680708051271E13</v>
      </c>
      <c r="AX138" s="310">
        <v>0.0</v>
      </c>
      <c r="AY138" s="308" t="s">
        <v>2974</v>
      </c>
      <c r="AZ138" s="308">
        <v>0.0</v>
      </c>
      <c r="BA138" s="311"/>
      <c r="BB138" s="311"/>
      <c r="BC138" s="311"/>
      <c r="BD138" s="308">
        <v>7.602776539463E12</v>
      </c>
      <c r="BE138" s="311"/>
      <c r="BF138" s="311"/>
      <c r="BG138" s="308" t="s">
        <v>2958</v>
      </c>
      <c r="BH138" s="308">
        <v>0.0</v>
      </c>
      <c r="BI138" s="308" t="s">
        <v>2959</v>
      </c>
      <c r="BJ138" s="308">
        <v>24.34</v>
      </c>
      <c r="BK138" s="311"/>
      <c r="BL138" s="311"/>
      <c r="BM138" s="311"/>
      <c r="BN138" s="311"/>
      <c r="BO138" s="311"/>
      <c r="BP138" s="311"/>
      <c r="BQ138" s="311"/>
      <c r="BR138" s="311"/>
      <c r="BS138" s="308"/>
      <c r="BT138" s="311"/>
      <c r="BU138" s="311"/>
      <c r="BV138" s="308" t="s">
        <v>23</v>
      </c>
      <c r="BW138" s="308" t="s">
        <v>23</v>
      </c>
      <c r="BX138" s="308" t="s">
        <v>2956</v>
      </c>
      <c r="BY138" s="311"/>
      <c r="BZ138" s="311"/>
      <c r="CA138" s="308" t="s">
        <v>2956</v>
      </c>
      <c r="CB138" s="312" t="str">
        <f t="shared" si="1"/>
        <v>17/04/2026</v>
      </c>
      <c r="CC138" s="313">
        <f t="shared" si="2"/>
        <v>2026</v>
      </c>
      <c r="CD138" s="314">
        <f t="shared" si="3"/>
        <v>4</v>
      </c>
      <c r="CE138" s="314">
        <f t="shared" si="4"/>
        <v>1</v>
      </c>
      <c r="CF138" s="314">
        <f t="shared" si="5"/>
        <v>1</v>
      </c>
      <c r="CG138" s="314">
        <f t="shared" si="6"/>
        <v>-5</v>
      </c>
      <c r="CH138" s="315">
        <f>VLOOKUP(CL138,'PRODUCT_COGS&amp;PRICE'!A:E,5,false)</f>
        <v>33</v>
      </c>
      <c r="CI138" s="315">
        <f t="shared" si="7"/>
        <v>-2.815</v>
      </c>
      <c r="CJ138" s="316">
        <f t="shared" si="8"/>
        <v>0</v>
      </c>
      <c r="CK138" s="316">
        <f t="shared" si="9"/>
        <v>15</v>
      </c>
      <c r="CL138" s="314" t="str">
        <f>VLOOKUP(R138,PRODUCT_MAP!A:B,2,FALSE)</f>
        <v>Lea_Bag_BLACK_WHITE_PONY</v>
      </c>
      <c r="CM138" s="314" t="str">
        <f>VLOOKUP(R138,PRODUCT_MAP!A:E,3,FALSE)</f>
        <v>Lea Bag</v>
      </c>
    </row>
    <row r="139" ht="22.5" customHeight="1">
      <c r="A139" s="308" t="s">
        <v>4135</v>
      </c>
      <c r="B139" s="308" t="s">
        <v>4136</v>
      </c>
      <c r="C139" s="308" t="s">
        <v>2942</v>
      </c>
      <c r="D139" s="308" t="s">
        <v>4137</v>
      </c>
      <c r="E139" s="308" t="s">
        <v>3013</v>
      </c>
      <c r="F139" s="308"/>
      <c r="G139" s="308" t="s">
        <v>2965</v>
      </c>
      <c r="H139" s="308" t="s">
        <v>2947</v>
      </c>
      <c r="I139" s="308">
        <v>120.0</v>
      </c>
      <c r="J139" s="308">
        <v>0.0</v>
      </c>
      <c r="K139" s="308">
        <v>21.64</v>
      </c>
      <c r="L139" s="308">
        <v>120.0</v>
      </c>
      <c r="M139" s="308"/>
      <c r="N139" s="308">
        <v>0.0</v>
      </c>
      <c r="O139" s="308" t="s">
        <v>2948</v>
      </c>
      <c r="P139" s="308" t="s">
        <v>4138</v>
      </c>
      <c r="Q139" s="310">
        <v>1.0</v>
      </c>
      <c r="R139" s="308" t="s">
        <v>569</v>
      </c>
      <c r="S139" s="308">
        <v>120.0</v>
      </c>
      <c r="T139" s="311"/>
      <c r="U139" s="308" t="s">
        <v>3375</v>
      </c>
      <c r="V139" s="308" t="b">
        <v>1</v>
      </c>
      <c r="W139" s="308" t="b">
        <v>1</v>
      </c>
      <c r="X139" s="308"/>
      <c r="Y139" s="308" t="s">
        <v>4139</v>
      </c>
      <c r="Z139" s="308" t="s">
        <v>4140</v>
      </c>
      <c r="AA139" s="308" t="s">
        <v>4140</v>
      </c>
      <c r="AB139" s="308"/>
      <c r="AC139" s="308"/>
      <c r="AD139" s="308" t="s">
        <v>3068</v>
      </c>
      <c r="AE139" s="308">
        <v>40128.0</v>
      </c>
      <c r="AF139" s="308" t="s">
        <v>3069</v>
      </c>
      <c r="AG139" s="308" t="s">
        <v>2955</v>
      </c>
      <c r="AH139" s="308"/>
      <c r="AI139" s="308" t="s">
        <v>4141</v>
      </c>
      <c r="AJ139" s="308" t="s">
        <v>4142</v>
      </c>
      <c r="AK139" s="308" t="s">
        <v>4142</v>
      </c>
      <c r="AL139" s="308"/>
      <c r="AM139" s="308"/>
      <c r="AN139" s="308" t="s">
        <v>3068</v>
      </c>
      <c r="AO139" s="308">
        <v>40129.0</v>
      </c>
      <c r="AP139" s="308" t="s">
        <v>3069</v>
      </c>
      <c r="AQ139" s="308" t="s">
        <v>2955</v>
      </c>
      <c r="AR139" s="308">
        <v>3.457983319E9</v>
      </c>
      <c r="AS139" s="311"/>
      <c r="AT139" s="311"/>
      <c r="AU139" s="311"/>
      <c r="AV139" s="308" t="s">
        <v>3009</v>
      </c>
      <c r="AW139" s="308">
        <v>4.7684091609415E13</v>
      </c>
      <c r="AX139" s="310">
        <v>0.0</v>
      </c>
      <c r="AY139" s="308" t="s">
        <v>2974</v>
      </c>
      <c r="AZ139" s="308">
        <v>0.0</v>
      </c>
      <c r="BA139" s="311"/>
      <c r="BB139" s="311"/>
      <c r="BC139" s="311"/>
      <c r="BD139" s="308">
        <v>7.603905691975E12</v>
      </c>
      <c r="BE139" s="311"/>
      <c r="BF139" s="311"/>
      <c r="BG139" s="308" t="s">
        <v>2958</v>
      </c>
      <c r="BH139" s="308">
        <v>0.0</v>
      </c>
      <c r="BI139" s="308" t="s">
        <v>2959</v>
      </c>
      <c r="BJ139" s="308">
        <v>21.64</v>
      </c>
      <c r="BK139" s="311"/>
      <c r="BL139" s="311"/>
      <c r="BM139" s="311"/>
      <c r="BN139" s="311"/>
      <c r="BO139" s="311"/>
      <c r="BP139" s="311"/>
      <c r="BQ139" s="311"/>
      <c r="BR139" s="311"/>
      <c r="BS139" s="308"/>
      <c r="BT139" s="311"/>
      <c r="BU139" s="311"/>
      <c r="BV139" s="308" t="s">
        <v>3068</v>
      </c>
      <c r="BW139" s="308" t="s">
        <v>3068</v>
      </c>
      <c r="BX139" s="308" t="s">
        <v>3009</v>
      </c>
      <c r="BY139" s="311"/>
      <c r="BZ139" s="311"/>
      <c r="CA139" s="308" t="s">
        <v>3009</v>
      </c>
      <c r="CB139" s="312" t="str">
        <f t="shared" si="1"/>
        <v>18/04/2026</v>
      </c>
      <c r="CC139" s="313">
        <f t="shared" si="2"/>
        <v>2026</v>
      </c>
      <c r="CD139" s="314">
        <f t="shared" si="3"/>
        <v>4</v>
      </c>
      <c r="CE139" s="314">
        <f t="shared" si="4"/>
        <v>1</v>
      </c>
      <c r="CF139" s="314">
        <f t="shared" si="5"/>
        <v>1</v>
      </c>
      <c r="CG139" s="314">
        <f t="shared" si="6"/>
        <v>-5</v>
      </c>
      <c r="CH139" s="315">
        <f>VLOOKUP(CL139,'PRODUCT_COGS&amp;PRICE'!A:E,5,false)</f>
        <v>20</v>
      </c>
      <c r="CI139" s="315">
        <f t="shared" si="7"/>
        <v>-4.538</v>
      </c>
      <c r="CJ139" s="316">
        <f t="shared" si="8"/>
        <v>0</v>
      </c>
      <c r="CK139" s="316">
        <f t="shared" si="9"/>
        <v>0</v>
      </c>
      <c r="CL139" s="314" t="str">
        <f>VLOOKUP(R139,PRODUCT_MAP!A:B,2,FALSE)</f>
        <v>Lea_Bag_RED_PATENT</v>
      </c>
      <c r="CM139" s="314" t="str">
        <f>VLOOKUP(R139,PRODUCT_MAP!A:E,3,FALSE)</f>
        <v>Lea Bag</v>
      </c>
    </row>
    <row r="140" ht="22.5" customHeight="1">
      <c r="A140" s="308" t="s">
        <v>4143</v>
      </c>
      <c r="B140" s="308" t="s">
        <v>4144</v>
      </c>
      <c r="C140" s="308" t="s">
        <v>2942</v>
      </c>
      <c r="D140" s="308" t="s">
        <v>4145</v>
      </c>
      <c r="E140" s="308" t="s">
        <v>3013</v>
      </c>
      <c r="F140" s="308"/>
      <c r="G140" s="308" t="s">
        <v>2946</v>
      </c>
      <c r="H140" s="308" t="s">
        <v>2947</v>
      </c>
      <c r="I140" s="308">
        <v>175.0</v>
      </c>
      <c r="J140" s="308">
        <v>0.0</v>
      </c>
      <c r="K140" s="308">
        <v>31.56</v>
      </c>
      <c r="L140" s="308">
        <v>175.0</v>
      </c>
      <c r="M140" s="308"/>
      <c r="N140" s="308">
        <v>0.0</v>
      </c>
      <c r="O140" s="308" t="s">
        <v>2979</v>
      </c>
      <c r="P140" s="308" t="s">
        <v>4146</v>
      </c>
      <c r="Q140" s="310">
        <v>1.0</v>
      </c>
      <c r="R140" s="308" t="s">
        <v>783</v>
      </c>
      <c r="S140" s="308">
        <v>175.0</v>
      </c>
      <c r="T140" s="311"/>
      <c r="U140" s="308" t="s">
        <v>249</v>
      </c>
      <c r="V140" s="308" t="b">
        <v>1</v>
      </c>
      <c r="W140" s="308" t="b">
        <v>1</v>
      </c>
      <c r="X140" s="308"/>
      <c r="Y140" s="308" t="s">
        <v>4147</v>
      </c>
      <c r="Z140" s="308" t="s">
        <v>4148</v>
      </c>
      <c r="AA140" s="308" t="s">
        <v>4148</v>
      </c>
      <c r="AB140" s="308"/>
      <c r="AC140" s="308"/>
      <c r="AD140" s="308" t="s">
        <v>3655</v>
      </c>
      <c r="AE140" s="308">
        <v>10133.0</v>
      </c>
      <c r="AF140" s="308" t="s">
        <v>3654</v>
      </c>
      <c r="AG140" s="308" t="s">
        <v>2955</v>
      </c>
      <c r="AH140" s="308"/>
      <c r="AI140" s="308"/>
      <c r="AJ140" s="308"/>
      <c r="AK140" s="308"/>
      <c r="AL140" s="308"/>
      <c r="AM140" s="308"/>
      <c r="AN140" s="308"/>
      <c r="AO140" s="308"/>
      <c r="AP140" s="308"/>
      <c r="AQ140" s="308"/>
      <c r="AR140" s="308"/>
      <c r="AS140" s="311"/>
      <c r="AT140" s="311"/>
      <c r="AU140" s="311"/>
      <c r="AV140" s="308" t="s">
        <v>2956</v>
      </c>
      <c r="AW140" s="308">
        <v>4.7686866895175E13</v>
      </c>
      <c r="AX140" s="310">
        <v>0.0</v>
      </c>
      <c r="AY140" s="308" t="s">
        <v>2974</v>
      </c>
      <c r="AZ140" s="308">
        <v>0.0</v>
      </c>
      <c r="BA140" s="311"/>
      <c r="BB140" s="311"/>
      <c r="BC140" s="311"/>
      <c r="BD140" s="308">
        <v>7.605168734535E12</v>
      </c>
      <c r="BE140" s="311"/>
      <c r="BF140" s="311"/>
      <c r="BG140" s="308" t="s">
        <v>2958</v>
      </c>
      <c r="BH140" s="308">
        <v>0.0</v>
      </c>
      <c r="BI140" s="308" t="s">
        <v>2959</v>
      </c>
      <c r="BJ140" s="308">
        <v>31.56</v>
      </c>
      <c r="BK140" s="311"/>
      <c r="BL140" s="311"/>
      <c r="BM140" s="311"/>
      <c r="BN140" s="311"/>
      <c r="BO140" s="311"/>
      <c r="BP140" s="311"/>
      <c r="BQ140" s="311"/>
      <c r="BR140" s="311"/>
      <c r="BS140" s="308"/>
      <c r="BT140" s="311"/>
      <c r="BU140" s="311"/>
      <c r="BV140" s="308" t="s">
        <v>3655</v>
      </c>
      <c r="BW140" s="308"/>
      <c r="BX140" s="308" t="s">
        <v>2956</v>
      </c>
      <c r="BY140" s="311"/>
      <c r="BZ140" s="311"/>
      <c r="CA140" s="308" t="s">
        <v>2956</v>
      </c>
      <c r="CB140" s="312" t="str">
        <f t="shared" si="1"/>
        <v>18/04/2026</v>
      </c>
      <c r="CC140" s="313">
        <f t="shared" si="2"/>
        <v>2026</v>
      </c>
      <c r="CD140" s="314">
        <f t="shared" si="3"/>
        <v>4</v>
      </c>
      <c r="CE140" s="314">
        <f t="shared" si="4"/>
        <v>1</v>
      </c>
      <c r="CF140" s="314">
        <f t="shared" si="5"/>
        <v>1</v>
      </c>
      <c r="CG140" s="314">
        <f t="shared" si="6"/>
        <v>-5</v>
      </c>
      <c r="CH140" s="315">
        <f>VLOOKUP(CL140,'PRODUCT_COGS&amp;PRICE'!A:E,5,false)</f>
        <v>52.5</v>
      </c>
      <c r="CI140" s="315">
        <f t="shared" si="7"/>
        <v>-3.575</v>
      </c>
      <c r="CJ140" s="316">
        <f t="shared" si="8"/>
        <v>0</v>
      </c>
      <c r="CK140" s="316">
        <f t="shared" si="9"/>
        <v>0</v>
      </c>
      <c r="CL140" s="314" t="str">
        <f>VLOOKUP(R140,PRODUCT_MAP!A:B,2,FALSE)</f>
        <v>Valentina_Bag_RED</v>
      </c>
      <c r="CM140" s="314" t="str">
        <f>VLOOKUP(R140,PRODUCT_MAP!A:E,3,FALSE)</f>
        <v>Valentina Bag</v>
      </c>
    </row>
    <row r="141" ht="22.5" customHeight="1">
      <c r="A141" s="308" t="s">
        <v>4149</v>
      </c>
      <c r="B141" s="308" t="s">
        <v>4150</v>
      </c>
      <c r="C141" s="308" t="s">
        <v>2942</v>
      </c>
      <c r="D141" s="308" t="s">
        <v>4151</v>
      </c>
      <c r="E141" s="308" t="s">
        <v>3013</v>
      </c>
      <c r="F141" s="308"/>
      <c r="G141" s="308" t="s">
        <v>2946</v>
      </c>
      <c r="H141" s="308" t="s">
        <v>2947</v>
      </c>
      <c r="I141" s="308">
        <v>120.0</v>
      </c>
      <c r="J141" s="308">
        <v>0.0</v>
      </c>
      <c r="K141" s="308">
        <v>21.64</v>
      </c>
      <c r="L141" s="308">
        <v>120.0</v>
      </c>
      <c r="M141" s="308"/>
      <c r="N141" s="308">
        <v>0.0</v>
      </c>
      <c r="O141" s="308" t="s">
        <v>2948</v>
      </c>
      <c r="P141" s="308" t="s">
        <v>4152</v>
      </c>
      <c r="Q141" s="310">
        <v>1.0</v>
      </c>
      <c r="R141" s="308" t="s">
        <v>509</v>
      </c>
      <c r="S141" s="308">
        <v>120.0</v>
      </c>
      <c r="T141" s="311"/>
      <c r="U141" s="308" t="s">
        <v>161</v>
      </c>
      <c r="V141" s="308" t="b">
        <v>1</v>
      </c>
      <c r="W141" s="308" t="b">
        <v>1</v>
      </c>
      <c r="X141" s="308"/>
      <c r="Y141" s="308" t="s">
        <v>4153</v>
      </c>
      <c r="Z141" s="308" t="s">
        <v>4154</v>
      </c>
      <c r="AA141" s="308" t="s">
        <v>4155</v>
      </c>
      <c r="AB141" s="308" t="s">
        <v>4156</v>
      </c>
      <c r="AC141" s="308"/>
      <c r="AD141" s="308" t="s">
        <v>3549</v>
      </c>
      <c r="AE141" s="308">
        <v>50142.0</v>
      </c>
      <c r="AF141" s="308" t="s">
        <v>3550</v>
      </c>
      <c r="AG141" s="308" t="s">
        <v>2955</v>
      </c>
      <c r="AH141" s="308">
        <v>3.348017634E9</v>
      </c>
      <c r="AI141" s="308" t="s">
        <v>4153</v>
      </c>
      <c r="AJ141" s="308" t="s">
        <v>4154</v>
      </c>
      <c r="AK141" s="308" t="s">
        <v>4155</v>
      </c>
      <c r="AL141" s="308" t="s">
        <v>4156</v>
      </c>
      <c r="AM141" s="308"/>
      <c r="AN141" s="308" t="s">
        <v>3549</v>
      </c>
      <c r="AO141" s="308">
        <v>50142.0</v>
      </c>
      <c r="AP141" s="308" t="s">
        <v>3550</v>
      </c>
      <c r="AQ141" s="308" t="s">
        <v>2955</v>
      </c>
      <c r="AR141" s="308">
        <v>3.348017634E9</v>
      </c>
      <c r="AS141" s="311"/>
      <c r="AT141" s="311"/>
      <c r="AU141" s="311"/>
      <c r="AV141" s="308" t="s">
        <v>2956</v>
      </c>
      <c r="AW141" s="308">
        <v>4.7689380495687E13</v>
      </c>
      <c r="AX141" s="310">
        <v>0.0</v>
      </c>
      <c r="AY141" s="308" t="s">
        <v>2974</v>
      </c>
      <c r="AZ141" s="308">
        <v>0.0</v>
      </c>
      <c r="BA141" s="311"/>
      <c r="BB141" s="311"/>
      <c r="BC141" s="311"/>
      <c r="BD141" s="308">
        <v>7.605990916423E12</v>
      </c>
      <c r="BE141" s="311"/>
      <c r="BF141" s="311"/>
      <c r="BG141" s="308" t="s">
        <v>2958</v>
      </c>
      <c r="BH141" s="308">
        <v>0.0</v>
      </c>
      <c r="BI141" s="308" t="s">
        <v>2959</v>
      </c>
      <c r="BJ141" s="308">
        <v>21.64</v>
      </c>
      <c r="BK141" s="311"/>
      <c r="BL141" s="311"/>
      <c r="BM141" s="311"/>
      <c r="BN141" s="311"/>
      <c r="BO141" s="311"/>
      <c r="BP141" s="311"/>
      <c r="BQ141" s="311"/>
      <c r="BR141" s="311"/>
      <c r="BS141" s="308"/>
      <c r="BT141" s="311"/>
      <c r="BU141" s="311"/>
      <c r="BV141" s="308" t="s">
        <v>3549</v>
      </c>
      <c r="BW141" s="308" t="s">
        <v>3549</v>
      </c>
      <c r="BX141" s="308" t="s">
        <v>2956</v>
      </c>
      <c r="BY141" s="311"/>
      <c r="BZ141" s="311"/>
      <c r="CA141" s="308" t="s">
        <v>2956</v>
      </c>
      <c r="CB141" s="312" t="str">
        <f t="shared" si="1"/>
        <v>19/04/2026</v>
      </c>
      <c r="CC141" s="313">
        <f t="shared" si="2"/>
        <v>2026</v>
      </c>
      <c r="CD141" s="314">
        <f t="shared" si="3"/>
        <v>4</v>
      </c>
      <c r="CE141" s="314">
        <f t="shared" si="4"/>
        <v>1</v>
      </c>
      <c r="CF141" s="314">
        <f t="shared" si="5"/>
        <v>1</v>
      </c>
      <c r="CG141" s="314">
        <f t="shared" si="6"/>
        <v>-5</v>
      </c>
      <c r="CH141" s="315">
        <f>VLOOKUP(CL141,'PRODUCT_COGS&amp;PRICE'!A:E,5,false)</f>
        <v>30.33</v>
      </c>
      <c r="CI141" s="315">
        <f t="shared" si="7"/>
        <v>-2.53</v>
      </c>
      <c r="CJ141" s="316">
        <f t="shared" si="8"/>
        <v>0</v>
      </c>
      <c r="CK141" s="316">
        <f t="shared" si="9"/>
        <v>0</v>
      </c>
      <c r="CL141" s="314" t="str">
        <f>VLOOKUP(R141,PRODUCT_MAP!A:B,2,FALSE)</f>
        <v>Lea_Bag_COCCO_BLACK</v>
      </c>
      <c r="CM141" s="314" t="str">
        <f>VLOOKUP(R141,PRODUCT_MAP!A:E,3,FALSE)</f>
        <v>Lea Bag</v>
      </c>
    </row>
    <row r="142" ht="22.5" customHeight="1">
      <c r="A142" s="308" t="s">
        <v>4157</v>
      </c>
      <c r="B142" s="308" t="s">
        <v>4158</v>
      </c>
      <c r="C142" s="308" t="s">
        <v>2942</v>
      </c>
      <c r="D142" s="308" t="s">
        <v>4159</v>
      </c>
      <c r="E142" s="308" t="s">
        <v>3013</v>
      </c>
      <c r="F142" s="308"/>
      <c r="G142" s="308" t="s">
        <v>2946</v>
      </c>
      <c r="H142" s="308" t="s">
        <v>2947</v>
      </c>
      <c r="I142" s="308">
        <v>135.0</v>
      </c>
      <c r="J142" s="308">
        <v>0.0</v>
      </c>
      <c r="K142" s="308">
        <v>24.34</v>
      </c>
      <c r="L142" s="308">
        <v>135.0</v>
      </c>
      <c r="M142" s="308" t="s">
        <v>3094</v>
      </c>
      <c r="N142" s="308">
        <v>15.0</v>
      </c>
      <c r="O142" s="308" t="s">
        <v>2948</v>
      </c>
      <c r="P142" s="308" t="s">
        <v>4160</v>
      </c>
      <c r="Q142" s="310">
        <v>1.0</v>
      </c>
      <c r="R142" s="308" t="s">
        <v>3214</v>
      </c>
      <c r="S142" s="308">
        <v>150.0</v>
      </c>
      <c r="T142" s="311"/>
      <c r="U142" s="308" t="s">
        <v>229</v>
      </c>
      <c r="V142" s="308" t="b">
        <v>1</v>
      </c>
      <c r="W142" s="308" t="b">
        <v>1</v>
      </c>
      <c r="X142" s="308"/>
      <c r="Y142" s="308" t="s">
        <v>4161</v>
      </c>
      <c r="Z142" s="308" t="s">
        <v>4162</v>
      </c>
      <c r="AA142" s="308" t="s">
        <v>4162</v>
      </c>
      <c r="AB142" s="308"/>
      <c r="AC142" s="308"/>
      <c r="AD142" s="308" t="s">
        <v>4163</v>
      </c>
      <c r="AE142" s="308">
        <v>54100.0</v>
      </c>
      <c r="AF142" s="308" t="s">
        <v>4164</v>
      </c>
      <c r="AG142" s="308" t="s">
        <v>2955</v>
      </c>
      <c r="AH142" s="308">
        <v>3.294605637E9</v>
      </c>
      <c r="AI142" s="308" t="s">
        <v>4161</v>
      </c>
      <c r="AJ142" s="308" t="s">
        <v>4162</v>
      </c>
      <c r="AK142" s="308" t="s">
        <v>4162</v>
      </c>
      <c r="AL142" s="308"/>
      <c r="AM142" s="308"/>
      <c r="AN142" s="308" t="s">
        <v>4163</v>
      </c>
      <c r="AO142" s="308">
        <v>54100.0</v>
      </c>
      <c r="AP142" s="308" t="s">
        <v>4164</v>
      </c>
      <c r="AQ142" s="308" t="s">
        <v>2955</v>
      </c>
      <c r="AR142" s="308">
        <v>3.294605637E9</v>
      </c>
      <c r="AS142" s="311"/>
      <c r="AT142" s="311"/>
      <c r="AU142" s="311"/>
      <c r="AV142" s="308" t="s">
        <v>2956</v>
      </c>
      <c r="AW142" s="308">
        <v>4.7690632331591E13</v>
      </c>
      <c r="AX142" s="310">
        <v>0.0</v>
      </c>
      <c r="AY142" s="308" t="s">
        <v>2974</v>
      </c>
      <c r="AZ142" s="308">
        <v>0.0</v>
      </c>
      <c r="BA142" s="311"/>
      <c r="BB142" s="311"/>
      <c r="BC142" s="311"/>
      <c r="BD142" s="308">
        <v>7.606584115527E12</v>
      </c>
      <c r="BE142" s="311"/>
      <c r="BF142" s="311"/>
      <c r="BG142" s="308" t="s">
        <v>2958</v>
      </c>
      <c r="BH142" s="308">
        <v>0.0</v>
      </c>
      <c r="BI142" s="308" t="s">
        <v>2959</v>
      </c>
      <c r="BJ142" s="308">
        <v>24.34</v>
      </c>
      <c r="BK142" s="311"/>
      <c r="BL142" s="311"/>
      <c r="BM142" s="311"/>
      <c r="BN142" s="311"/>
      <c r="BO142" s="311"/>
      <c r="BP142" s="311"/>
      <c r="BQ142" s="311"/>
      <c r="BR142" s="311"/>
      <c r="BS142" s="308"/>
      <c r="BT142" s="311"/>
      <c r="BU142" s="311"/>
      <c r="BV142" s="308" t="s">
        <v>4165</v>
      </c>
      <c r="BW142" s="308" t="s">
        <v>4165</v>
      </c>
      <c r="BX142" s="308" t="s">
        <v>2956</v>
      </c>
      <c r="BY142" s="311"/>
      <c r="BZ142" s="311"/>
      <c r="CA142" s="308" t="s">
        <v>2956</v>
      </c>
      <c r="CB142" s="312" t="str">
        <f t="shared" si="1"/>
        <v>19/04/2026</v>
      </c>
      <c r="CC142" s="313">
        <f t="shared" si="2"/>
        <v>2026</v>
      </c>
      <c r="CD142" s="314">
        <f t="shared" si="3"/>
        <v>4</v>
      </c>
      <c r="CE142" s="314">
        <f t="shared" si="4"/>
        <v>1</v>
      </c>
      <c r="CF142" s="314">
        <f t="shared" si="5"/>
        <v>1</v>
      </c>
      <c r="CG142" s="314">
        <f t="shared" si="6"/>
        <v>-5</v>
      </c>
      <c r="CH142" s="315">
        <f>VLOOKUP(CL142,'PRODUCT_COGS&amp;PRICE'!A:E,5,false)</f>
        <v>33</v>
      </c>
      <c r="CI142" s="315">
        <f t="shared" si="7"/>
        <v>-2.815</v>
      </c>
      <c r="CJ142" s="316">
        <f t="shared" si="8"/>
        <v>0</v>
      </c>
      <c r="CK142" s="316">
        <f t="shared" si="9"/>
        <v>15</v>
      </c>
      <c r="CL142" s="314" t="str">
        <f>VLOOKUP(R142,PRODUCT_MAP!A:B,2,FALSE)</f>
        <v>Lea_Bag_ZEBRA</v>
      </c>
      <c r="CM142" s="314" t="str">
        <f>VLOOKUP(R142,PRODUCT_MAP!A:E,3,FALSE)</f>
        <v>Lea Bag</v>
      </c>
    </row>
    <row r="143" ht="22.5" customHeight="1">
      <c r="A143" s="308" t="s">
        <v>4166</v>
      </c>
      <c r="B143" s="308" t="s">
        <v>4167</v>
      </c>
      <c r="C143" s="308" t="s">
        <v>2942</v>
      </c>
      <c r="D143" s="308" t="s">
        <v>4168</v>
      </c>
      <c r="E143" s="308" t="s">
        <v>3013</v>
      </c>
      <c r="F143" s="308"/>
      <c r="G143" s="308" t="s">
        <v>2965</v>
      </c>
      <c r="H143" s="308" t="s">
        <v>2947</v>
      </c>
      <c r="I143" s="308">
        <v>80.0</v>
      </c>
      <c r="J143" s="308">
        <v>3.9</v>
      </c>
      <c r="K143" s="308">
        <v>15.13</v>
      </c>
      <c r="L143" s="308">
        <v>83.9</v>
      </c>
      <c r="M143" s="308"/>
      <c r="N143" s="308">
        <v>0.0</v>
      </c>
      <c r="O143" s="308" t="s">
        <v>2948</v>
      </c>
      <c r="P143" s="308" t="s">
        <v>4169</v>
      </c>
      <c r="Q143" s="310">
        <v>1.0</v>
      </c>
      <c r="R143" s="308" t="s">
        <v>4039</v>
      </c>
      <c r="S143" s="308">
        <v>80.0</v>
      </c>
      <c r="T143" s="311"/>
      <c r="U143" s="308"/>
      <c r="V143" s="308" t="b">
        <v>1</v>
      </c>
      <c r="W143" s="308" t="b">
        <v>1</v>
      </c>
      <c r="X143" s="308"/>
      <c r="Y143" s="308" t="s">
        <v>4170</v>
      </c>
      <c r="Z143" s="308" t="s">
        <v>4171</v>
      </c>
      <c r="AA143" s="308" t="s">
        <v>4172</v>
      </c>
      <c r="AB143" s="308" t="s">
        <v>4173</v>
      </c>
      <c r="AC143" s="308"/>
      <c r="AD143" s="308" t="s">
        <v>3237</v>
      </c>
      <c r="AE143" s="308">
        <v>16128.0</v>
      </c>
      <c r="AF143" s="308" t="s">
        <v>3238</v>
      </c>
      <c r="AG143" s="308" t="s">
        <v>2955</v>
      </c>
      <c r="AH143" s="318" t="s">
        <v>4174</v>
      </c>
      <c r="AI143" s="308" t="s">
        <v>4170</v>
      </c>
      <c r="AJ143" s="308" t="s">
        <v>4175</v>
      </c>
      <c r="AK143" s="308" t="s">
        <v>4176</v>
      </c>
      <c r="AL143" s="308" t="s">
        <v>4177</v>
      </c>
      <c r="AM143" s="308"/>
      <c r="AN143" s="308" t="s">
        <v>23</v>
      </c>
      <c r="AO143" s="308">
        <v>20154.0</v>
      </c>
      <c r="AP143" s="308" t="s">
        <v>2954</v>
      </c>
      <c r="AQ143" s="308" t="s">
        <v>2955</v>
      </c>
      <c r="AR143" s="318" t="s">
        <v>4174</v>
      </c>
      <c r="AS143" s="311"/>
      <c r="AT143" s="311"/>
      <c r="AU143" s="311"/>
      <c r="AV143" s="308" t="s">
        <v>2956</v>
      </c>
      <c r="AW143" s="308">
        <v>4.7697667129671E13</v>
      </c>
      <c r="AX143" s="310">
        <v>0.0</v>
      </c>
      <c r="AY143" s="308" t="s">
        <v>2974</v>
      </c>
      <c r="AZ143" s="308">
        <v>0.0</v>
      </c>
      <c r="BA143" s="311"/>
      <c r="BB143" s="311"/>
      <c r="BC143" s="311"/>
      <c r="BD143" s="308">
        <v>7.611188969799E12</v>
      </c>
      <c r="BE143" s="311"/>
      <c r="BF143" s="311"/>
      <c r="BG143" s="308" t="s">
        <v>2958</v>
      </c>
      <c r="BH143" s="308">
        <v>0.0</v>
      </c>
      <c r="BI143" s="308" t="s">
        <v>2959</v>
      </c>
      <c r="BJ143" s="308">
        <v>14.43</v>
      </c>
      <c r="BK143" s="311"/>
      <c r="BL143" s="311"/>
      <c r="BM143" s="311"/>
      <c r="BN143" s="311"/>
      <c r="BO143" s="311"/>
      <c r="BP143" s="311"/>
      <c r="BQ143" s="311"/>
      <c r="BR143" s="311"/>
      <c r="BS143" s="318" t="s">
        <v>4174</v>
      </c>
      <c r="BT143" s="311"/>
      <c r="BU143" s="311"/>
      <c r="BV143" s="308" t="s">
        <v>3237</v>
      </c>
      <c r="BW143" s="308" t="s">
        <v>23</v>
      </c>
      <c r="BX143" s="308" t="s">
        <v>2956</v>
      </c>
      <c r="BY143" s="311"/>
      <c r="BZ143" s="311"/>
      <c r="CA143" s="308" t="s">
        <v>2956</v>
      </c>
      <c r="CB143" s="312" t="str">
        <f t="shared" si="1"/>
        <v>20/04/2026</v>
      </c>
      <c r="CC143" s="313">
        <f t="shared" si="2"/>
        <v>2026</v>
      </c>
      <c r="CD143" s="314">
        <f t="shared" si="3"/>
        <v>4</v>
      </c>
      <c r="CE143" s="314">
        <f t="shared" si="4"/>
        <v>1</v>
      </c>
      <c r="CF143" s="314">
        <f t="shared" si="5"/>
        <v>1</v>
      </c>
      <c r="CG143" s="314">
        <f t="shared" si="6"/>
        <v>0</v>
      </c>
      <c r="CH143" s="315">
        <f>VLOOKUP(CL143,'PRODUCT_COGS&amp;PRICE'!A:E,5,false)</f>
        <v>19</v>
      </c>
      <c r="CI143" s="315">
        <f t="shared" si="7"/>
        <v>-1.8441</v>
      </c>
      <c r="CJ143" s="316">
        <f t="shared" si="8"/>
        <v>0</v>
      </c>
      <c r="CK143" s="316">
        <f t="shared" si="9"/>
        <v>0</v>
      </c>
      <c r="CL143" s="314" t="str">
        <f>VLOOKUP(R143,PRODUCT_MAP!A:B,2,FALSE)</f>
        <v>Agata_Bag_FLORAL_DUSTY_PINK_EMBROIDERY</v>
      </c>
      <c r="CM143" s="314" t="str">
        <f>VLOOKUP(R143,PRODUCT_MAP!A:E,3,FALSE)</f>
        <v>Agata Bag</v>
      </c>
    </row>
    <row r="144" ht="22.5" customHeight="1">
      <c r="A144" s="308" t="s">
        <v>4178</v>
      </c>
      <c r="B144" s="308" t="s">
        <v>4179</v>
      </c>
      <c r="C144" s="308" t="s">
        <v>2942</v>
      </c>
      <c r="D144" s="308" t="s">
        <v>4180</v>
      </c>
      <c r="E144" s="308" t="s">
        <v>3013</v>
      </c>
      <c r="F144" s="308"/>
      <c r="G144" s="308" t="s">
        <v>2965</v>
      </c>
      <c r="H144" s="308" t="s">
        <v>2947</v>
      </c>
      <c r="I144" s="308">
        <v>100.0</v>
      </c>
      <c r="J144" s="308">
        <v>0.0</v>
      </c>
      <c r="K144" s="308">
        <v>18.03</v>
      </c>
      <c r="L144" s="308">
        <v>100.0</v>
      </c>
      <c r="M144" s="308"/>
      <c r="N144" s="308">
        <v>0.0</v>
      </c>
      <c r="O144" s="308" t="s">
        <v>2979</v>
      </c>
      <c r="P144" s="308" t="s">
        <v>4181</v>
      </c>
      <c r="Q144" s="310">
        <v>1.0</v>
      </c>
      <c r="R144" s="308" t="s">
        <v>4182</v>
      </c>
      <c r="S144" s="308">
        <v>100.0</v>
      </c>
      <c r="T144" s="311"/>
      <c r="U144" s="308" t="s">
        <v>4183</v>
      </c>
      <c r="V144" s="308" t="b">
        <v>1</v>
      </c>
      <c r="W144" s="308" t="b">
        <v>1</v>
      </c>
      <c r="X144" s="308"/>
      <c r="Y144" s="308" t="s">
        <v>4184</v>
      </c>
      <c r="Z144" s="308" t="s">
        <v>4185</v>
      </c>
      <c r="AA144" s="308" t="s">
        <v>4185</v>
      </c>
      <c r="AB144" s="308"/>
      <c r="AC144" s="308"/>
      <c r="AD144" s="308" t="s">
        <v>23</v>
      </c>
      <c r="AE144" s="308">
        <v>20127.0</v>
      </c>
      <c r="AF144" s="308" t="s">
        <v>2954</v>
      </c>
      <c r="AG144" s="308" t="s">
        <v>2955</v>
      </c>
      <c r="AH144" s="308">
        <v>3.409863652E9</v>
      </c>
      <c r="AI144" s="308"/>
      <c r="AJ144" s="308"/>
      <c r="AK144" s="308"/>
      <c r="AL144" s="308"/>
      <c r="AM144" s="308"/>
      <c r="AN144" s="308"/>
      <c r="AO144" s="308"/>
      <c r="AP144" s="308"/>
      <c r="AQ144" s="308"/>
      <c r="AR144" s="308"/>
      <c r="AS144" s="311"/>
      <c r="AT144" s="311"/>
      <c r="AU144" s="311"/>
      <c r="AV144" s="308" t="s">
        <v>3009</v>
      </c>
      <c r="AW144" s="308">
        <v>4.7700401357127E13</v>
      </c>
      <c r="AX144" s="310">
        <v>0.0</v>
      </c>
      <c r="AY144" s="308" t="s">
        <v>2974</v>
      </c>
      <c r="AZ144" s="308">
        <v>0.0</v>
      </c>
      <c r="BA144" s="311"/>
      <c r="BB144" s="311"/>
      <c r="BC144" s="311"/>
      <c r="BD144" s="308">
        <v>7.612361900359E12</v>
      </c>
      <c r="BE144" s="311"/>
      <c r="BF144" s="311"/>
      <c r="BG144" s="308" t="s">
        <v>2958</v>
      </c>
      <c r="BH144" s="308">
        <v>0.0</v>
      </c>
      <c r="BI144" s="308" t="s">
        <v>2959</v>
      </c>
      <c r="BJ144" s="308">
        <v>18.03</v>
      </c>
      <c r="BK144" s="311"/>
      <c r="BL144" s="311"/>
      <c r="BM144" s="311"/>
      <c r="BN144" s="311"/>
      <c r="BO144" s="311"/>
      <c r="BP144" s="311"/>
      <c r="BQ144" s="311"/>
      <c r="BR144" s="311"/>
      <c r="BS144" s="308"/>
      <c r="BT144" s="311"/>
      <c r="BU144" s="311"/>
      <c r="BV144" s="308" t="s">
        <v>23</v>
      </c>
      <c r="BW144" s="308"/>
      <c r="BX144" s="308" t="s">
        <v>3009</v>
      </c>
      <c r="BY144" s="311"/>
      <c r="BZ144" s="311"/>
      <c r="CA144" s="308" t="s">
        <v>3009</v>
      </c>
      <c r="CB144" s="312" t="str">
        <f t="shared" si="1"/>
        <v>21/04/2026</v>
      </c>
      <c r="CC144" s="313">
        <f t="shared" si="2"/>
        <v>2026</v>
      </c>
      <c r="CD144" s="314">
        <f t="shared" si="3"/>
        <v>4</v>
      </c>
      <c r="CE144" s="314">
        <f t="shared" si="4"/>
        <v>1</v>
      </c>
      <c r="CF144" s="314">
        <f t="shared" si="5"/>
        <v>1</v>
      </c>
      <c r="CG144" s="314">
        <f t="shared" si="6"/>
        <v>-5</v>
      </c>
      <c r="CH144" s="315">
        <f>VLOOKUP(CL144,'PRODUCT_COGS&amp;PRICE'!A:E,5,false)</f>
        <v>16.5</v>
      </c>
      <c r="CI144" s="315">
        <f t="shared" si="7"/>
        <v>-3.84</v>
      </c>
      <c r="CJ144" s="316">
        <f t="shared" si="8"/>
        <v>0</v>
      </c>
      <c r="CK144" s="316">
        <f t="shared" si="9"/>
        <v>0</v>
      </c>
      <c r="CL144" s="314" t="str">
        <f>VLOOKUP(R144,PRODUCT_MAP!A:B,2,FALSE)</f>
        <v>Annie_Bag_PAILLETTES_GREY</v>
      </c>
      <c r="CM144" s="314" t="str">
        <f>VLOOKUP(R144,PRODUCT_MAP!A:E,3,FALSE)</f>
        <v>Annie Bag paillettes</v>
      </c>
    </row>
    <row r="145" ht="22.5" customHeight="1">
      <c r="A145" s="308" t="s">
        <v>4186</v>
      </c>
      <c r="B145" s="308" t="s">
        <v>4187</v>
      </c>
      <c r="C145" s="308" t="s">
        <v>2942</v>
      </c>
      <c r="D145" s="308" t="s">
        <v>4188</v>
      </c>
      <c r="E145" s="308" t="s">
        <v>3013</v>
      </c>
      <c r="F145" s="308"/>
      <c r="G145" s="308" t="s">
        <v>2946</v>
      </c>
      <c r="H145" s="308" t="s">
        <v>2947</v>
      </c>
      <c r="I145" s="308">
        <v>135.0</v>
      </c>
      <c r="J145" s="308">
        <v>0.0</v>
      </c>
      <c r="K145" s="308">
        <v>24.34</v>
      </c>
      <c r="L145" s="308">
        <v>135.0</v>
      </c>
      <c r="M145" s="308" t="s">
        <v>3094</v>
      </c>
      <c r="N145" s="308">
        <v>15.0</v>
      </c>
      <c r="O145" s="308" t="s">
        <v>2948</v>
      </c>
      <c r="P145" s="308" t="s">
        <v>4189</v>
      </c>
      <c r="Q145" s="310">
        <v>1.0</v>
      </c>
      <c r="R145" s="308" t="s">
        <v>3214</v>
      </c>
      <c r="S145" s="308">
        <v>150.0</v>
      </c>
      <c r="T145" s="311"/>
      <c r="U145" s="308" t="s">
        <v>229</v>
      </c>
      <c r="V145" s="308" t="b">
        <v>1</v>
      </c>
      <c r="W145" s="308" t="b">
        <v>1</v>
      </c>
      <c r="X145" s="308"/>
      <c r="Y145" s="308" t="s">
        <v>4190</v>
      </c>
      <c r="Z145" s="308" t="s">
        <v>4191</v>
      </c>
      <c r="AA145" s="308" t="s">
        <v>4191</v>
      </c>
      <c r="AB145" s="308"/>
      <c r="AC145" s="308"/>
      <c r="AD145" s="308" t="s">
        <v>4192</v>
      </c>
      <c r="AE145" s="308">
        <v>4018.0</v>
      </c>
      <c r="AF145" s="308" t="s">
        <v>3331</v>
      </c>
      <c r="AG145" s="308" t="s">
        <v>2955</v>
      </c>
      <c r="AH145" s="308">
        <v>3.392964152E9</v>
      </c>
      <c r="AI145" s="308" t="s">
        <v>4190</v>
      </c>
      <c r="AJ145" s="308" t="s">
        <v>4191</v>
      </c>
      <c r="AK145" s="308" t="s">
        <v>4191</v>
      </c>
      <c r="AL145" s="308"/>
      <c r="AM145" s="308"/>
      <c r="AN145" s="308" t="s">
        <v>4192</v>
      </c>
      <c r="AO145" s="308">
        <v>4018.0</v>
      </c>
      <c r="AP145" s="308" t="s">
        <v>3331</v>
      </c>
      <c r="AQ145" s="308" t="s">
        <v>2955</v>
      </c>
      <c r="AR145" s="308">
        <v>3.392964152E9</v>
      </c>
      <c r="AS145" s="311"/>
      <c r="AT145" s="311"/>
      <c r="AU145" s="311"/>
      <c r="AV145" s="308" t="s">
        <v>3009</v>
      </c>
      <c r="AW145" s="308">
        <v>4.7703344382279E13</v>
      </c>
      <c r="AX145" s="310">
        <v>0.0</v>
      </c>
      <c r="AY145" s="308" t="s">
        <v>2974</v>
      </c>
      <c r="AZ145" s="308">
        <v>0.0</v>
      </c>
      <c r="BA145" s="311"/>
      <c r="BB145" s="311"/>
      <c r="BC145" s="311"/>
      <c r="BD145" s="308">
        <v>7.613632414023E12</v>
      </c>
      <c r="BE145" s="311"/>
      <c r="BF145" s="311"/>
      <c r="BG145" s="308" t="s">
        <v>2958</v>
      </c>
      <c r="BH145" s="308">
        <v>0.0</v>
      </c>
      <c r="BI145" s="308" t="s">
        <v>2959</v>
      </c>
      <c r="BJ145" s="308">
        <v>24.34</v>
      </c>
      <c r="BK145" s="311"/>
      <c r="BL145" s="311"/>
      <c r="BM145" s="311"/>
      <c r="BN145" s="311"/>
      <c r="BO145" s="311"/>
      <c r="BP145" s="311"/>
      <c r="BQ145" s="311"/>
      <c r="BR145" s="311"/>
      <c r="BS145" s="308"/>
      <c r="BT145" s="311"/>
      <c r="BU145" s="311"/>
      <c r="BV145" s="308" t="s">
        <v>3335</v>
      </c>
      <c r="BW145" s="308" t="s">
        <v>3335</v>
      </c>
      <c r="BX145" s="308" t="s">
        <v>3009</v>
      </c>
      <c r="BY145" s="311"/>
      <c r="BZ145" s="311"/>
      <c r="CA145" s="308" t="s">
        <v>3009</v>
      </c>
      <c r="CB145" s="312" t="str">
        <f t="shared" si="1"/>
        <v>21/04/2026</v>
      </c>
      <c r="CC145" s="313">
        <f t="shared" si="2"/>
        <v>2026</v>
      </c>
      <c r="CD145" s="314">
        <f t="shared" si="3"/>
        <v>4</v>
      </c>
      <c r="CE145" s="314">
        <f t="shared" si="4"/>
        <v>1</v>
      </c>
      <c r="CF145" s="314">
        <f t="shared" si="5"/>
        <v>1</v>
      </c>
      <c r="CG145" s="314">
        <f t="shared" si="6"/>
        <v>-5</v>
      </c>
      <c r="CH145" s="315">
        <f>VLOOKUP(CL145,'PRODUCT_COGS&amp;PRICE'!A:E,5,false)</f>
        <v>33</v>
      </c>
      <c r="CI145" s="315">
        <f t="shared" si="7"/>
        <v>-5.0615</v>
      </c>
      <c r="CJ145" s="316">
        <f t="shared" si="8"/>
        <v>0</v>
      </c>
      <c r="CK145" s="316">
        <f t="shared" si="9"/>
        <v>15</v>
      </c>
      <c r="CL145" s="314" t="str">
        <f>VLOOKUP(R145,PRODUCT_MAP!A:B,2,FALSE)</f>
        <v>Lea_Bag_ZEBRA</v>
      </c>
      <c r="CM145" s="314" t="str">
        <f>VLOOKUP(R145,PRODUCT_MAP!A:E,3,FALSE)</f>
        <v>Lea Bag</v>
      </c>
    </row>
    <row r="146" ht="22.5" customHeight="1">
      <c r="A146" s="308" t="s">
        <v>4193</v>
      </c>
      <c r="B146" s="308" t="s">
        <v>4194</v>
      </c>
      <c r="C146" s="308" t="s">
        <v>2942</v>
      </c>
      <c r="D146" s="308" t="s">
        <v>4195</v>
      </c>
      <c r="E146" s="308" t="s">
        <v>3013</v>
      </c>
      <c r="F146" s="308"/>
      <c r="G146" s="308" t="s">
        <v>2965</v>
      </c>
      <c r="H146" s="308" t="s">
        <v>2947</v>
      </c>
      <c r="I146" s="308">
        <v>100.0</v>
      </c>
      <c r="J146" s="308">
        <v>0.0</v>
      </c>
      <c r="K146" s="308">
        <v>18.03</v>
      </c>
      <c r="L146" s="308">
        <v>100.0</v>
      </c>
      <c r="M146" s="308"/>
      <c r="N146" s="308">
        <v>0.0</v>
      </c>
      <c r="O146" s="308" t="s">
        <v>2948</v>
      </c>
      <c r="P146" s="308" t="s">
        <v>4196</v>
      </c>
      <c r="Q146" s="310">
        <v>1.0</v>
      </c>
      <c r="R146" s="308" t="s">
        <v>4197</v>
      </c>
      <c r="S146" s="308">
        <v>100.0</v>
      </c>
      <c r="T146" s="311"/>
      <c r="U146" s="308" t="s">
        <v>4198</v>
      </c>
      <c r="V146" s="308" t="b">
        <v>1</v>
      </c>
      <c r="W146" s="308" t="b">
        <v>1</v>
      </c>
      <c r="X146" s="308"/>
      <c r="Y146" s="308" t="s">
        <v>4199</v>
      </c>
      <c r="Z146" s="308" t="s">
        <v>4200</v>
      </c>
      <c r="AA146" s="308" t="s">
        <v>4200</v>
      </c>
      <c r="AB146" s="308"/>
      <c r="AC146" s="308"/>
      <c r="AD146" s="308" t="s">
        <v>3217</v>
      </c>
      <c r="AE146" s="308">
        <v>20145.0</v>
      </c>
      <c r="AF146" s="308" t="s">
        <v>2954</v>
      </c>
      <c r="AG146" s="308" t="s">
        <v>2955</v>
      </c>
      <c r="AH146" s="308">
        <v>3.451404552E9</v>
      </c>
      <c r="AI146" s="308" t="s">
        <v>4199</v>
      </c>
      <c r="AJ146" s="308" t="s">
        <v>4200</v>
      </c>
      <c r="AK146" s="308" t="s">
        <v>4200</v>
      </c>
      <c r="AL146" s="308"/>
      <c r="AM146" s="308"/>
      <c r="AN146" s="308" t="s">
        <v>3217</v>
      </c>
      <c r="AO146" s="308">
        <v>20145.0</v>
      </c>
      <c r="AP146" s="308" t="s">
        <v>2954</v>
      </c>
      <c r="AQ146" s="308" t="s">
        <v>2955</v>
      </c>
      <c r="AR146" s="308">
        <v>3.451404552E9</v>
      </c>
      <c r="AS146" s="311"/>
      <c r="AT146" s="311"/>
      <c r="AU146" s="311"/>
      <c r="AV146" s="308" t="s">
        <v>2956</v>
      </c>
      <c r="AW146" s="308">
        <v>4.7705562546503E13</v>
      </c>
      <c r="AX146" s="310">
        <v>0.0</v>
      </c>
      <c r="AY146" s="308" t="s">
        <v>2974</v>
      </c>
      <c r="AZ146" s="308">
        <v>0.0</v>
      </c>
      <c r="BA146" s="311"/>
      <c r="BB146" s="311"/>
      <c r="BC146" s="311"/>
      <c r="BD146" s="308">
        <v>7.616150503751E12</v>
      </c>
      <c r="BE146" s="311"/>
      <c r="BF146" s="311"/>
      <c r="BG146" s="308" t="s">
        <v>2958</v>
      </c>
      <c r="BH146" s="308">
        <v>0.0</v>
      </c>
      <c r="BI146" s="308" t="s">
        <v>2959</v>
      </c>
      <c r="BJ146" s="308">
        <v>18.03</v>
      </c>
      <c r="BK146" s="311"/>
      <c r="BL146" s="311"/>
      <c r="BM146" s="311"/>
      <c r="BN146" s="311"/>
      <c r="BO146" s="311"/>
      <c r="BP146" s="311"/>
      <c r="BQ146" s="311"/>
      <c r="BR146" s="311"/>
      <c r="BS146" s="308"/>
      <c r="BT146" s="311"/>
      <c r="BU146" s="311"/>
      <c r="BV146" s="308" t="s">
        <v>23</v>
      </c>
      <c r="BW146" s="308" t="s">
        <v>23</v>
      </c>
      <c r="BX146" s="308" t="s">
        <v>2956</v>
      </c>
      <c r="BY146" s="311"/>
      <c r="BZ146" s="311"/>
      <c r="CA146" s="308" t="s">
        <v>2956</v>
      </c>
      <c r="CB146" s="312" t="str">
        <f t="shared" si="1"/>
        <v>22/04/2026</v>
      </c>
      <c r="CC146" s="313">
        <f t="shared" si="2"/>
        <v>2026</v>
      </c>
      <c r="CD146" s="314">
        <f t="shared" si="3"/>
        <v>4</v>
      </c>
      <c r="CE146" s="314">
        <f t="shared" si="4"/>
        <v>1</v>
      </c>
      <c r="CF146" s="314">
        <f t="shared" si="5"/>
        <v>1</v>
      </c>
      <c r="CG146" s="314">
        <f t="shared" si="6"/>
        <v>-5</v>
      </c>
      <c r="CH146" s="315">
        <f>VLOOKUP(CL146,'PRODUCT_COGS&amp;PRICE'!A:E,5,false)</f>
        <v>16.5</v>
      </c>
      <c r="CI146" s="315">
        <f t="shared" si="7"/>
        <v>-2.15</v>
      </c>
      <c r="CJ146" s="316">
        <f t="shared" si="8"/>
        <v>0</v>
      </c>
      <c r="CK146" s="316">
        <f t="shared" si="9"/>
        <v>0</v>
      </c>
      <c r="CL146" s="314" t="str">
        <f>VLOOKUP(R146,PRODUCT_MAP!A:B,2,FALSE)</f>
        <v>Annie_Bag_PAILLETTES_LIGHT_GREEN</v>
      </c>
      <c r="CM146" s="314" t="str">
        <f>VLOOKUP(R146,PRODUCT_MAP!A:E,3,FALSE)</f>
        <v>Annie Bag paillettes</v>
      </c>
    </row>
    <row r="147" ht="22.5" customHeight="1">
      <c r="A147" s="308" t="s">
        <v>4201</v>
      </c>
      <c r="B147" s="308" t="s">
        <v>4202</v>
      </c>
      <c r="C147" s="308" t="s">
        <v>2942</v>
      </c>
      <c r="D147" s="308" t="s">
        <v>4203</v>
      </c>
      <c r="E147" s="308" t="s">
        <v>3013</v>
      </c>
      <c r="F147" s="308"/>
      <c r="G147" s="308" t="s">
        <v>2965</v>
      </c>
      <c r="H147" s="308" t="s">
        <v>2947</v>
      </c>
      <c r="I147" s="308">
        <v>120.0</v>
      </c>
      <c r="J147" s="308">
        <v>0.0</v>
      </c>
      <c r="K147" s="308">
        <v>21.64</v>
      </c>
      <c r="L147" s="308">
        <v>120.0</v>
      </c>
      <c r="M147" s="308"/>
      <c r="N147" s="308">
        <v>0.0</v>
      </c>
      <c r="O147" s="308" t="s">
        <v>2948</v>
      </c>
      <c r="P147" s="308" t="s">
        <v>4204</v>
      </c>
      <c r="Q147" s="310">
        <v>1.0</v>
      </c>
      <c r="R147" s="308" t="s">
        <v>3266</v>
      </c>
      <c r="S147" s="308">
        <v>120.0</v>
      </c>
      <c r="T147" s="311"/>
      <c r="U147" s="308" t="s">
        <v>237</v>
      </c>
      <c r="V147" s="308" t="b">
        <v>1</v>
      </c>
      <c r="W147" s="308" t="b">
        <v>1</v>
      </c>
      <c r="X147" s="308"/>
      <c r="Y147" s="308" t="s">
        <v>4205</v>
      </c>
      <c r="Z147" s="308" t="s">
        <v>4206</v>
      </c>
      <c r="AA147" s="308" t="s">
        <v>4206</v>
      </c>
      <c r="AB147" s="308"/>
      <c r="AC147" s="308"/>
      <c r="AD147" s="308" t="s">
        <v>23</v>
      </c>
      <c r="AE147" s="308">
        <v>20122.0</v>
      </c>
      <c r="AF147" s="308" t="s">
        <v>2954</v>
      </c>
      <c r="AG147" s="308" t="s">
        <v>2955</v>
      </c>
      <c r="AH147" s="308"/>
      <c r="AI147" s="308" t="s">
        <v>4205</v>
      </c>
      <c r="AJ147" s="308" t="s">
        <v>4206</v>
      </c>
      <c r="AK147" s="308" t="s">
        <v>4206</v>
      </c>
      <c r="AL147" s="308"/>
      <c r="AM147" s="308"/>
      <c r="AN147" s="308" t="s">
        <v>23</v>
      </c>
      <c r="AO147" s="308">
        <v>20122.0</v>
      </c>
      <c r="AP147" s="308" t="s">
        <v>2954</v>
      </c>
      <c r="AQ147" s="308" t="s">
        <v>2955</v>
      </c>
      <c r="AR147" s="308">
        <v>3.382491652E9</v>
      </c>
      <c r="AS147" s="311"/>
      <c r="AT147" s="311"/>
      <c r="AU147" s="311"/>
      <c r="AV147" s="308" t="s">
        <v>2956</v>
      </c>
      <c r="AW147" s="308">
        <v>4.7706137166151E13</v>
      </c>
      <c r="AX147" s="310">
        <v>0.0</v>
      </c>
      <c r="AY147" s="308" t="s">
        <v>2974</v>
      </c>
      <c r="AZ147" s="308">
        <v>0.0</v>
      </c>
      <c r="BA147" s="311"/>
      <c r="BB147" s="311"/>
      <c r="BC147" s="311"/>
      <c r="BD147" s="308">
        <v>7.616831881543E12</v>
      </c>
      <c r="BE147" s="311"/>
      <c r="BF147" s="311"/>
      <c r="BG147" s="308" t="s">
        <v>2958</v>
      </c>
      <c r="BH147" s="308">
        <v>0.0</v>
      </c>
      <c r="BI147" s="308" t="s">
        <v>2959</v>
      </c>
      <c r="BJ147" s="308">
        <v>21.64</v>
      </c>
      <c r="BK147" s="311"/>
      <c r="BL147" s="311"/>
      <c r="BM147" s="311"/>
      <c r="BN147" s="311"/>
      <c r="BO147" s="311"/>
      <c r="BP147" s="311"/>
      <c r="BQ147" s="311"/>
      <c r="BR147" s="311"/>
      <c r="BS147" s="308"/>
      <c r="BT147" s="311"/>
      <c r="BU147" s="311"/>
      <c r="BV147" s="308" t="s">
        <v>23</v>
      </c>
      <c r="BW147" s="308" t="s">
        <v>23</v>
      </c>
      <c r="BX147" s="308" t="s">
        <v>2956</v>
      </c>
      <c r="BY147" s="311"/>
      <c r="BZ147" s="311"/>
      <c r="CA147" s="308" t="s">
        <v>2956</v>
      </c>
      <c r="CB147" s="312" t="str">
        <f t="shared" si="1"/>
        <v>22/04/2026</v>
      </c>
      <c r="CC147" s="313">
        <f t="shared" si="2"/>
        <v>2026</v>
      </c>
      <c r="CD147" s="314">
        <f t="shared" si="3"/>
        <v>4</v>
      </c>
      <c r="CE147" s="314">
        <f t="shared" si="4"/>
        <v>1</v>
      </c>
      <c r="CF147" s="314">
        <f t="shared" si="5"/>
        <v>1</v>
      </c>
      <c r="CG147" s="314">
        <f t="shared" si="6"/>
        <v>-5</v>
      </c>
      <c r="CH147" s="315">
        <f>VLOOKUP(CL147,'PRODUCT_COGS&amp;PRICE'!A:E,5,false)</f>
        <v>30.33</v>
      </c>
      <c r="CI147" s="315">
        <f t="shared" si="7"/>
        <v>-2.53</v>
      </c>
      <c r="CJ147" s="316">
        <f t="shared" si="8"/>
        <v>0</v>
      </c>
      <c r="CK147" s="316">
        <f t="shared" si="9"/>
        <v>0</v>
      </c>
      <c r="CL147" s="314" t="str">
        <f>VLOOKUP(R147,PRODUCT_MAP!A:B,2,FALSE)</f>
        <v>Lea_Bag_COCCO_CHOCOLATE</v>
      </c>
      <c r="CM147" s="314" t="str">
        <f>VLOOKUP(R147,PRODUCT_MAP!A:E,3,FALSE)</f>
        <v>Lea Bag</v>
      </c>
    </row>
    <row r="148" ht="22.5" customHeight="1">
      <c r="A148" s="308" t="s">
        <v>4207</v>
      </c>
      <c r="B148" s="308" t="s">
        <v>4208</v>
      </c>
      <c r="C148" s="308" t="s">
        <v>2942</v>
      </c>
      <c r="D148" s="308" t="s">
        <v>4209</v>
      </c>
      <c r="E148" s="308" t="s">
        <v>3013</v>
      </c>
      <c r="F148" s="308"/>
      <c r="G148" s="308" t="s">
        <v>2946</v>
      </c>
      <c r="H148" s="308" t="s">
        <v>2947</v>
      </c>
      <c r="I148" s="308">
        <v>81.0</v>
      </c>
      <c r="J148" s="308">
        <v>0.0</v>
      </c>
      <c r="K148" s="308">
        <v>14.61</v>
      </c>
      <c r="L148" s="308">
        <v>81.0</v>
      </c>
      <c r="M148" s="308" t="s">
        <v>3094</v>
      </c>
      <c r="N148" s="308">
        <v>9.0</v>
      </c>
      <c r="O148" s="308" t="s">
        <v>2979</v>
      </c>
      <c r="P148" s="308" t="s">
        <v>4210</v>
      </c>
      <c r="Q148" s="310">
        <v>1.0</v>
      </c>
      <c r="R148" s="308" t="s">
        <v>4211</v>
      </c>
      <c r="S148" s="308">
        <v>90.0</v>
      </c>
      <c r="T148" s="311"/>
      <c r="U148" s="308" t="s">
        <v>4212</v>
      </c>
      <c r="V148" s="308" t="b">
        <v>1</v>
      </c>
      <c r="W148" s="308" t="b">
        <v>1</v>
      </c>
      <c r="X148" s="308"/>
      <c r="Y148" s="308" t="s">
        <v>4213</v>
      </c>
      <c r="Z148" s="308" t="s">
        <v>4214</v>
      </c>
      <c r="AA148" s="308" t="s">
        <v>4214</v>
      </c>
      <c r="AB148" s="308"/>
      <c r="AC148" s="308"/>
      <c r="AD148" s="308" t="s">
        <v>4215</v>
      </c>
      <c r="AE148" s="308">
        <v>52035.0</v>
      </c>
      <c r="AF148" s="308" t="s">
        <v>3110</v>
      </c>
      <c r="AG148" s="308" t="s">
        <v>2955</v>
      </c>
      <c r="AH148" s="308"/>
      <c r="AI148" s="308"/>
      <c r="AJ148" s="308"/>
      <c r="AK148" s="308"/>
      <c r="AL148" s="308"/>
      <c r="AM148" s="308"/>
      <c r="AN148" s="308"/>
      <c r="AO148" s="308"/>
      <c r="AP148" s="308"/>
      <c r="AQ148" s="308"/>
      <c r="AR148" s="308"/>
      <c r="AS148" s="311"/>
      <c r="AT148" s="311"/>
      <c r="AU148" s="311"/>
      <c r="AV148" s="308" t="s">
        <v>3009</v>
      </c>
      <c r="AW148" s="308">
        <v>4.7708712534343E13</v>
      </c>
      <c r="AX148" s="310">
        <v>0.0</v>
      </c>
      <c r="AY148" s="308" t="s">
        <v>2974</v>
      </c>
      <c r="AZ148" s="308">
        <v>0.0</v>
      </c>
      <c r="BA148" s="311"/>
      <c r="BB148" s="311"/>
      <c r="BC148" s="311"/>
      <c r="BD148" s="308">
        <v>7.617992982855E12</v>
      </c>
      <c r="BE148" s="311"/>
      <c r="BF148" s="311"/>
      <c r="BG148" s="308" t="s">
        <v>2958</v>
      </c>
      <c r="BH148" s="308">
        <v>0.0</v>
      </c>
      <c r="BI148" s="308" t="s">
        <v>2959</v>
      </c>
      <c r="BJ148" s="308">
        <v>14.61</v>
      </c>
      <c r="BK148" s="311"/>
      <c r="BL148" s="311"/>
      <c r="BM148" s="311"/>
      <c r="BN148" s="311"/>
      <c r="BO148" s="311"/>
      <c r="BP148" s="311"/>
      <c r="BQ148" s="311"/>
      <c r="BR148" s="311"/>
      <c r="BS148" s="308"/>
      <c r="BT148" s="311"/>
      <c r="BU148" s="311"/>
      <c r="BV148" s="308" t="s">
        <v>3109</v>
      </c>
      <c r="BW148" s="308"/>
      <c r="BX148" s="308" t="s">
        <v>3009</v>
      </c>
      <c r="BY148" s="311"/>
      <c r="BZ148" s="311"/>
      <c r="CA148" s="308" t="s">
        <v>3009</v>
      </c>
      <c r="CB148" s="312" t="str">
        <f t="shared" si="1"/>
        <v>22/04/2026</v>
      </c>
      <c r="CC148" s="313">
        <f t="shared" si="2"/>
        <v>2026</v>
      </c>
      <c r="CD148" s="314">
        <f t="shared" si="3"/>
        <v>4</v>
      </c>
      <c r="CE148" s="314">
        <f t="shared" si="4"/>
        <v>1</v>
      </c>
      <c r="CF148" s="314">
        <f t="shared" si="5"/>
        <v>1</v>
      </c>
      <c r="CG148" s="314">
        <f t="shared" si="6"/>
        <v>-5</v>
      </c>
      <c r="CH148" s="315">
        <f>VLOOKUP(CL148,'PRODUCT_COGS&amp;PRICE'!A:E,5,false)</f>
        <v>16.5</v>
      </c>
      <c r="CI148" s="315">
        <f t="shared" si="7"/>
        <v>-3.1769</v>
      </c>
      <c r="CJ148" s="316">
        <f t="shared" si="8"/>
        <v>0</v>
      </c>
      <c r="CK148" s="316">
        <f t="shared" si="9"/>
        <v>9</v>
      </c>
      <c r="CL148" s="314" t="str">
        <f>VLOOKUP(R148,PRODUCT_MAP!A:B,2,FALSE)</f>
        <v>Annie_Bag_PAILLETTES_PINK</v>
      </c>
      <c r="CM148" s="314" t="str">
        <f>VLOOKUP(R148,PRODUCT_MAP!A:E,3,FALSE)</f>
        <v>Annie Bag paillettes</v>
      </c>
    </row>
    <row r="149" ht="22.5" customHeight="1">
      <c r="A149" s="308" t="s">
        <v>4216</v>
      </c>
      <c r="B149" s="308" t="s">
        <v>4217</v>
      </c>
      <c r="C149" s="308" t="s">
        <v>2942</v>
      </c>
      <c r="D149" s="308" t="s">
        <v>4218</v>
      </c>
      <c r="E149" s="308" t="s">
        <v>3013</v>
      </c>
      <c r="F149" s="308"/>
      <c r="G149" s="308" t="s">
        <v>2965</v>
      </c>
      <c r="H149" s="308" t="s">
        <v>2947</v>
      </c>
      <c r="I149" s="308">
        <v>170.0</v>
      </c>
      <c r="J149" s="308">
        <v>0.0</v>
      </c>
      <c r="K149" s="308">
        <v>30.66</v>
      </c>
      <c r="L149" s="308">
        <v>170.0</v>
      </c>
      <c r="M149" s="308"/>
      <c r="N149" s="308">
        <v>0.0</v>
      </c>
      <c r="O149" s="308" t="s">
        <v>2948</v>
      </c>
      <c r="P149" s="308" t="s">
        <v>4219</v>
      </c>
      <c r="Q149" s="310">
        <v>1.0</v>
      </c>
      <c r="R149" s="308" t="s">
        <v>4220</v>
      </c>
      <c r="S149" s="308">
        <v>90.0</v>
      </c>
      <c r="T149" s="311"/>
      <c r="U149" s="308" t="s">
        <v>4221</v>
      </c>
      <c r="V149" s="308" t="b">
        <v>1</v>
      </c>
      <c r="W149" s="308" t="b">
        <v>1</v>
      </c>
      <c r="X149" s="308"/>
      <c r="Y149" s="308" t="s">
        <v>4222</v>
      </c>
      <c r="Z149" s="308" t="s">
        <v>4223</v>
      </c>
      <c r="AA149" s="308" t="s">
        <v>4223</v>
      </c>
      <c r="AB149" s="308"/>
      <c r="AC149" s="308"/>
      <c r="AD149" s="308" t="s">
        <v>23</v>
      </c>
      <c r="AE149" s="308">
        <v>20143.0</v>
      </c>
      <c r="AF149" s="308" t="s">
        <v>2954</v>
      </c>
      <c r="AG149" s="308" t="s">
        <v>2955</v>
      </c>
      <c r="AH149" s="308">
        <v>3.337777309E9</v>
      </c>
      <c r="AI149" s="308" t="s">
        <v>4222</v>
      </c>
      <c r="AJ149" s="308" t="s">
        <v>4223</v>
      </c>
      <c r="AK149" s="308" t="s">
        <v>4223</v>
      </c>
      <c r="AL149" s="308"/>
      <c r="AM149" s="308"/>
      <c r="AN149" s="308" t="s">
        <v>23</v>
      </c>
      <c r="AO149" s="308">
        <v>20143.0</v>
      </c>
      <c r="AP149" s="308" t="s">
        <v>2954</v>
      </c>
      <c r="AQ149" s="308" t="s">
        <v>2955</v>
      </c>
      <c r="AR149" s="308">
        <v>3.337777309E9</v>
      </c>
      <c r="AS149" s="311"/>
      <c r="AT149" s="311"/>
      <c r="AU149" s="311"/>
      <c r="AV149" s="308" t="s">
        <v>3009</v>
      </c>
      <c r="AW149" s="308">
        <v>4.7724226183495E13</v>
      </c>
      <c r="AX149" s="310">
        <v>0.0</v>
      </c>
      <c r="AY149" s="308" t="s">
        <v>2974</v>
      </c>
      <c r="AZ149" s="308">
        <v>0.0</v>
      </c>
      <c r="BA149" s="311"/>
      <c r="BB149" s="311"/>
      <c r="BC149" s="311"/>
      <c r="BD149" s="308">
        <v>7.625119236423E12</v>
      </c>
      <c r="BE149" s="311"/>
      <c r="BF149" s="311"/>
      <c r="BG149" s="308" t="s">
        <v>2958</v>
      </c>
      <c r="BH149" s="308">
        <v>0.0</v>
      </c>
      <c r="BI149" s="308" t="s">
        <v>2959</v>
      </c>
      <c r="BJ149" s="308">
        <v>16.23</v>
      </c>
      <c r="BK149" s="311"/>
      <c r="BL149" s="311"/>
      <c r="BM149" s="311"/>
      <c r="BN149" s="311"/>
      <c r="BO149" s="311"/>
      <c r="BP149" s="311"/>
      <c r="BQ149" s="311"/>
      <c r="BR149" s="311"/>
      <c r="BS149" s="308"/>
      <c r="BT149" s="311"/>
      <c r="BU149" s="311"/>
      <c r="BV149" s="308" t="s">
        <v>23</v>
      </c>
      <c r="BW149" s="308" t="s">
        <v>23</v>
      </c>
      <c r="BX149" s="308" t="s">
        <v>3009</v>
      </c>
      <c r="BY149" s="311"/>
      <c r="BZ149" s="311"/>
      <c r="CA149" s="308" t="s">
        <v>3009</v>
      </c>
      <c r="CB149" s="312" t="str">
        <f t="shared" si="1"/>
        <v>25/04/2026</v>
      </c>
      <c r="CC149" s="313">
        <f t="shared" si="2"/>
        <v>2026</v>
      </c>
      <c r="CD149" s="314">
        <f t="shared" si="3"/>
        <v>4</v>
      </c>
      <c r="CE149" s="314">
        <f t="shared" si="4"/>
        <v>1</v>
      </c>
      <c r="CF149" s="314">
        <f t="shared" si="5"/>
        <v>1</v>
      </c>
      <c r="CG149" s="314">
        <f t="shared" si="6"/>
        <v>-5</v>
      </c>
      <c r="CH149" s="315">
        <f>VLOOKUP(CL149,'PRODUCT_COGS&amp;PRICE'!A:E,5,false)</f>
        <v>16.5</v>
      </c>
      <c r="CI149" s="315">
        <f t="shared" si="7"/>
        <v>-12.216</v>
      </c>
      <c r="CJ149" s="316">
        <f t="shared" si="8"/>
        <v>0</v>
      </c>
      <c r="CK149" s="316">
        <f t="shared" si="9"/>
        <v>0</v>
      </c>
      <c r="CL149" s="314" t="str">
        <f>VLOOKUP(R149,PRODUCT_MAP!A:B,2,FALSE)</f>
        <v>Annie_Bag_PAILLETTES_NUDE</v>
      </c>
      <c r="CM149" s="314" t="str">
        <f>VLOOKUP(R149,PRODUCT_MAP!A:E,3,FALSE)</f>
        <v>Agata Bag</v>
      </c>
    </row>
    <row r="150" ht="22.5" customHeight="1">
      <c r="A150" s="308" t="s">
        <v>4216</v>
      </c>
      <c r="B150" s="308" t="s">
        <v>4217</v>
      </c>
      <c r="C150" s="308" t="s">
        <v>2942</v>
      </c>
      <c r="D150" s="308" t="s">
        <v>4218</v>
      </c>
      <c r="E150" s="308" t="s">
        <v>3013</v>
      </c>
      <c r="F150" s="308"/>
      <c r="G150" s="308" t="s">
        <v>2965</v>
      </c>
      <c r="H150" s="308" t="s">
        <v>2947</v>
      </c>
      <c r="I150" s="308">
        <v>170.0</v>
      </c>
      <c r="J150" s="308">
        <v>0.0</v>
      </c>
      <c r="K150" s="308">
        <v>30.66</v>
      </c>
      <c r="L150" s="308">
        <v>170.0</v>
      </c>
      <c r="M150" s="308"/>
      <c r="N150" s="308">
        <v>0.0</v>
      </c>
      <c r="O150" s="308" t="s">
        <v>2948</v>
      </c>
      <c r="P150" s="308" t="s">
        <v>4219</v>
      </c>
      <c r="Q150" s="310">
        <v>1.0</v>
      </c>
      <c r="R150" s="308" t="s">
        <v>4015</v>
      </c>
      <c r="S150" s="308">
        <v>80.0</v>
      </c>
      <c r="T150" s="311"/>
      <c r="U150" s="308" t="s">
        <v>275</v>
      </c>
      <c r="V150" s="308" t="b">
        <v>1</v>
      </c>
      <c r="W150" s="308" t="b">
        <v>1</v>
      </c>
      <c r="X150" s="308"/>
      <c r="Y150" s="308" t="s">
        <v>4222</v>
      </c>
      <c r="Z150" s="308" t="s">
        <v>4223</v>
      </c>
      <c r="AA150" s="308" t="s">
        <v>4223</v>
      </c>
      <c r="AB150" s="308"/>
      <c r="AC150" s="308"/>
      <c r="AD150" s="308" t="s">
        <v>23</v>
      </c>
      <c r="AE150" s="308">
        <v>20143.0</v>
      </c>
      <c r="AF150" s="308" t="s">
        <v>2954</v>
      </c>
      <c r="AG150" s="308" t="s">
        <v>2955</v>
      </c>
      <c r="AH150" s="308">
        <v>3.337777309E9</v>
      </c>
      <c r="AI150" s="308" t="s">
        <v>4222</v>
      </c>
      <c r="AJ150" s="308" t="s">
        <v>4223</v>
      </c>
      <c r="AK150" s="308" t="s">
        <v>4223</v>
      </c>
      <c r="AL150" s="308"/>
      <c r="AM150" s="308"/>
      <c r="AN150" s="308" t="s">
        <v>23</v>
      </c>
      <c r="AO150" s="308">
        <v>20143.0</v>
      </c>
      <c r="AP150" s="308" t="s">
        <v>2954</v>
      </c>
      <c r="AQ150" s="308" t="s">
        <v>2955</v>
      </c>
      <c r="AR150" s="308">
        <v>3.337777309E9</v>
      </c>
      <c r="AS150" s="311"/>
      <c r="AT150" s="311"/>
      <c r="AU150" s="311"/>
      <c r="AV150" s="308" t="s">
        <v>3009</v>
      </c>
      <c r="AW150" s="308">
        <v>4.7724226183495E13</v>
      </c>
      <c r="AX150" s="310">
        <v>0.0</v>
      </c>
      <c r="AY150" s="308" t="s">
        <v>2974</v>
      </c>
      <c r="AZ150" s="308">
        <v>0.0</v>
      </c>
      <c r="BA150" s="311"/>
      <c r="BB150" s="311"/>
      <c r="BC150" s="311"/>
      <c r="BD150" s="308">
        <v>7.625119236423E12</v>
      </c>
      <c r="BE150" s="311"/>
      <c r="BF150" s="311"/>
      <c r="BG150" s="308" t="s">
        <v>2958</v>
      </c>
      <c r="BH150" s="308">
        <v>0.0</v>
      </c>
      <c r="BI150" s="308" t="s">
        <v>2959</v>
      </c>
      <c r="BJ150" s="308">
        <v>14.43</v>
      </c>
      <c r="BK150" s="311"/>
      <c r="BL150" s="311"/>
      <c r="BM150" s="311"/>
      <c r="BN150" s="311"/>
      <c r="BO150" s="311"/>
      <c r="BP150" s="311"/>
      <c r="BQ150" s="311"/>
      <c r="BR150" s="311"/>
      <c r="BS150" s="308"/>
      <c r="BT150" s="311"/>
      <c r="BU150" s="311"/>
      <c r="BV150" s="308" t="s">
        <v>23</v>
      </c>
      <c r="BW150" s="308" t="s">
        <v>23</v>
      </c>
      <c r="BX150" s="308" t="s">
        <v>3009</v>
      </c>
      <c r="BY150" s="311"/>
      <c r="BZ150" s="311"/>
      <c r="CA150" s="308" t="s">
        <v>3009</v>
      </c>
      <c r="CB150" s="312" t="str">
        <f t="shared" si="1"/>
        <v>25/04/2026</v>
      </c>
      <c r="CC150" s="313">
        <f t="shared" si="2"/>
        <v>2026</v>
      </c>
      <c r="CD150" s="314">
        <f t="shared" si="3"/>
        <v>4</v>
      </c>
      <c r="CE150" s="314">
        <f t="shared" si="4"/>
        <v>0</v>
      </c>
      <c r="CF150" s="314">
        <f t="shared" si="5"/>
        <v>1</v>
      </c>
      <c r="CG150" s="314">
        <f t="shared" si="6"/>
        <v>-5</v>
      </c>
      <c r="CH150" s="315">
        <f>VLOOKUP(CL150,'PRODUCT_COGS&amp;PRICE'!A:E,5,false)</f>
        <v>19</v>
      </c>
      <c r="CI150" s="315">
        <f t="shared" si="7"/>
        <v>0</v>
      </c>
      <c r="CJ150" s="316">
        <f t="shared" si="8"/>
        <v>0</v>
      </c>
      <c r="CK150" s="316">
        <f t="shared" si="9"/>
        <v>0</v>
      </c>
      <c r="CL150" s="314" t="str">
        <f>VLOOKUP(R150,PRODUCT_MAP!A:B,2,FALSE)</f>
        <v>Agata_Bag_ROSE_PINK</v>
      </c>
      <c r="CM150" s="314" t="str">
        <f>VLOOKUP(R150,PRODUCT_MAP!A:E,3,FALSE)</f>
        <v>Agata Bag</v>
      </c>
    </row>
    <row r="151" ht="22.5" customHeight="1">
      <c r="A151" s="308" t="s">
        <v>4224</v>
      </c>
      <c r="B151" s="308" t="s">
        <v>4225</v>
      </c>
      <c r="C151" s="308" t="s">
        <v>2942</v>
      </c>
      <c r="D151" s="308" t="s">
        <v>4226</v>
      </c>
      <c r="E151" s="308" t="s">
        <v>3013</v>
      </c>
      <c r="F151" s="308"/>
      <c r="G151" s="308" t="s">
        <v>2946</v>
      </c>
      <c r="H151" s="308" t="s">
        <v>2947</v>
      </c>
      <c r="I151" s="308">
        <v>170.0</v>
      </c>
      <c r="J151" s="308">
        <v>0.0</v>
      </c>
      <c r="K151" s="308">
        <v>30.66</v>
      </c>
      <c r="L151" s="308">
        <v>170.0</v>
      </c>
      <c r="M151" s="308"/>
      <c r="N151" s="308">
        <v>0.0</v>
      </c>
      <c r="O151" s="308" t="s">
        <v>2948</v>
      </c>
      <c r="P151" s="308" t="s">
        <v>4227</v>
      </c>
      <c r="Q151" s="310">
        <v>1.0</v>
      </c>
      <c r="R151" s="308" t="s">
        <v>559</v>
      </c>
      <c r="S151" s="308">
        <v>170.0</v>
      </c>
      <c r="T151" s="311"/>
      <c r="U151" s="308"/>
      <c r="V151" s="308" t="b">
        <v>1</v>
      </c>
      <c r="W151" s="308" t="b">
        <v>1</v>
      </c>
      <c r="X151" s="308"/>
      <c r="Y151" s="308" t="s">
        <v>4228</v>
      </c>
      <c r="Z151" s="308" t="s">
        <v>4229</v>
      </c>
      <c r="AA151" s="308" t="s">
        <v>4229</v>
      </c>
      <c r="AB151" s="308"/>
      <c r="AC151" s="308"/>
      <c r="AD151" s="308" t="s">
        <v>4230</v>
      </c>
      <c r="AE151" s="308">
        <v>47924.0</v>
      </c>
      <c r="AF151" s="308" t="s">
        <v>4231</v>
      </c>
      <c r="AG151" s="308" t="s">
        <v>2955</v>
      </c>
      <c r="AH151" s="308"/>
      <c r="AI151" s="308" t="s">
        <v>4228</v>
      </c>
      <c r="AJ151" s="308" t="s">
        <v>4232</v>
      </c>
      <c r="AK151" s="308" t="s">
        <v>4232</v>
      </c>
      <c r="AL151" s="308"/>
      <c r="AM151" s="308"/>
      <c r="AN151" s="308" t="s">
        <v>4230</v>
      </c>
      <c r="AO151" s="308">
        <v>47924.0</v>
      </c>
      <c r="AP151" s="308" t="s">
        <v>4231</v>
      </c>
      <c r="AQ151" s="308" t="s">
        <v>2955</v>
      </c>
      <c r="AR151" s="308">
        <v>3.280269203E9</v>
      </c>
      <c r="AS151" s="311"/>
      <c r="AT151" s="311"/>
      <c r="AU151" s="311"/>
      <c r="AV151" s="308" t="s">
        <v>2956</v>
      </c>
      <c r="AW151" s="308">
        <v>4.7729391173959E13</v>
      </c>
      <c r="AX151" s="310">
        <v>0.0</v>
      </c>
      <c r="AY151" s="308" t="s">
        <v>2974</v>
      </c>
      <c r="AZ151" s="308">
        <v>0.0</v>
      </c>
      <c r="BA151" s="311"/>
      <c r="BB151" s="311"/>
      <c r="BC151" s="311"/>
      <c r="BD151" s="308">
        <v>7.627310956871E12</v>
      </c>
      <c r="BE151" s="311"/>
      <c r="BF151" s="311"/>
      <c r="BG151" s="308" t="s">
        <v>2958</v>
      </c>
      <c r="BH151" s="308">
        <v>0.0</v>
      </c>
      <c r="BI151" s="308" t="s">
        <v>2959</v>
      </c>
      <c r="BJ151" s="308">
        <v>30.66</v>
      </c>
      <c r="BK151" s="311"/>
      <c r="BL151" s="311"/>
      <c r="BM151" s="311"/>
      <c r="BN151" s="311"/>
      <c r="BO151" s="311"/>
      <c r="BP151" s="311"/>
      <c r="BQ151" s="311"/>
      <c r="BR151" s="311"/>
      <c r="BS151" s="308"/>
      <c r="BT151" s="311"/>
      <c r="BU151" s="311"/>
      <c r="BV151" s="308" t="s">
        <v>4230</v>
      </c>
      <c r="BW151" s="308" t="s">
        <v>4230</v>
      </c>
      <c r="BX151" s="308" t="s">
        <v>2956</v>
      </c>
      <c r="BY151" s="311"/>
      <c r="BZ151" s="311"/>
      <c r="CA151" s="308" t="s">
        <v>2956</v>
      </c>
      <c r="CB151" s="312" t="str">
        <f t="shared" si="1"/>
        <v>26/04/2026</v>
      </c>
      <c r="CC151" s="313">
        <f t="shared" si="2"/>
        <v>2026</v>
      </c>
      <c r="CD151" s="314">
        <f t="shared" si="3"/>
        <v>4</v>
      </c>
      <c r="CE151" s="314">
        <f t="shared" si="4"/>
        <v>1</v>
      </c>
      <c r="CF151" s="314">
        <f t="shared" si="5"/>
        <v>1</v>
      </c>
      <c r="CG151" s="314">
        <f t="shared" si="6"/>
        <v>-5</v>
      </c>
      <c r="CH151" s="315">
        <f>VLOOKUP(CL151,'PRODUCT_COGS&amp;PRICE'!A:E,5,false)</f>
        <v>25</v>
      </c>
      <c r="CI151" s="315">
        <f t="shared" si="7"/>
        <v>-3.48</v>
      </c>
      <c r="CJ151" s="316">
        <f t="shared" si="8"/>
        <v>0</v>
      </c>
      <c r="CK151" s="316">
        <f t="shared" si="9"/>
        <v>0</v>
      </c>
      <c r="CL151" s="314" t="str">
        <f>VLOOKUP(R151,PRODUCT_MAP!A:B,2,FALSE)</f>
        <v>Lea_Bag_Maxi_SUEDE_CHOCOLATE</v>
      </c>
      <c r="CM151" s="314" t="str">
        <f>VLOOKUP(R151,PRODUCT_MAP!A:E,3,FALSE)</f>
        <v>Lea Bag Maxi</v>
      </c>
    </row>
    <row r="152" ht="22.5" customHeight="1">
      <c r="A152" s="308" t="s">
        <v>4233</v>
      </c>
      <c r="B152" s="308" t="s">
        <v>4234</v>
      </c>
      <c r="C152" s="308" t="s">
        <v>2942</v>
      </c>
      <c r="D152" s="308" t="s">
        <v>4235</v>
      </c>
      <c r="E152" s="308" t="s">
        <v>3013</v>
      </c>
      <c r="F152" s="308"/>
      <c r="G152" s="308" t="s">
        <v>2946</v>
      </c>
      <c r="H152" s="308" t="s">
        <v>2947</v>
      </c>
      <c r="I152" s="308">
        <v>170.0</v>
      </c>
      <c r="J152" s="308">
        <v>0.0</v>
      </c>
      <c r="K152" s="308">
        <v>30.66</v>
      </c>
      <c r="L152" s="308">
        <v>170.0</v>
      </c>
      <c r="M152" s="308"/>
      <c r="N152" s="308">
        <v>0.0</v>
      </c>
      <c r="O152" s="308" t="s">
        <v>2948</v>
      </c>
      <c r="P152" s="308" t="s">
        <v>4236</v>
      </c>
      <c r="Q152" s="310">
        <v>1.0</v>
      </c>
      <c r="R152" s="308" t="s">
        <v>549</v>
      </c>
      <c r="S152" s="308">
        <v>170.0</v>
      </c>
      <c r="T152" s="311"/>
      <c r="U152" s="308"/>
      <c r="V152" s="308" t="b">
        <v>1</v>
      </c>
      <c r="W152" s="308" t="b">
        <v>1</v>
      </c>
      <c r="X152" s="308"/>
      <c r="Y152" s="308" t="s">
        <v>4237</v>
      </c>
      <c r="Z152" s="308" t="s">
        <v>4238</v>
      </c>
      <c r="AA152" s="308" t="s">
        <v>4238</v>
      </c>
      <c r="AB152" s="308"/>
      <c r="AC152" s="308"/>
      <c r="AD152" s="308" t="s">
        <v>4239</v>
      </c>
      <c r="AE152" s="308">
        <v>22063.0</v>
      </c>
      <c r="AF152" s="308" t="s">
        <v>4019</v>
      </c>
      <c r="AG152" s="308" t="s">
        <v>2955</v>
      </c>
      <c r="AH152" s="308"/>
      <c r="AI152" s="308" t="s">
        <v>4240</v>
      </c>
      <c r="AJ152" s="308" t="s">
        <v>4241</v>
      </c>
      <c r="AK152" s="308" t="s">
        <v>4241</v>
      </c>
      <c r="AL152" s="308"/>
      <c r="AM152" s="308"/>
      <c r="AN152" s="308" t="s">
        <v>4239</v>
      </c>
      <c r="AO152" s="308">
        <v>22063.0</v>
      </c>
      <c r="AP152" s="308" t="s">
        <v>4019</v>
      </c>
      <c r="AQ152" s="308" t="s">
        <v>2955</v>
      </c>
      <c r="AR152" s="308">
        <v>3.457142478E9</v>
      </c>
      <c r="AS152" s="311"/>
      <c r="AT152" s="311"/>
      <c r="AU152" s="311"/>
      <c r="AV152" s="308" t="s">
        <v>3009</v>
      </c>
      <c r="AW152" s="308">
        <v>4.7732165083463E13</v>
      </c>
      <c r="AX152" s="310">
        <v>0.0</v>
      </c>
      <c r="AY152" s="308" t="s">
        <v>2974</v>
      </c>
      <c r="AZ152" s="308">
        <v>0.0</v>
      </c>
      <c r="BA152" s="311"/>
      <c r="BB152" s="311"/>
      <c r="BC152" s="311"/>
      <c r="BD152" s="308">
        <v>7.631009317191E12</v>
      </c>
      <c r="BE152" s="311"/>
      <c r="BF152" s="311"/>
      <c r="BG152" s="308" t="s">
        <v>2958</v>
      </c>
      <c r="BH152" s="308">
        <v>0.0</v>
      </c>
      <c r="BI152" s="308" t="s">
        <v>2959</v>
      </c>
      <c r="BJ152" s="308">
        <v>30.66</v>
      </c>
      <c r="BK152" s="311"/>
      <c r="BL152" s="311"/>
      <c r="BM152" s="311"/>
      <c r="BN152" s="311"/>
      <c r="BO152" s="311"/>
      <c r="BP152" s="311"/>
      <c r="BQ152" s="311"/>
      <c r="BR152" s="311"/>
      <c r="BS152" s="308"/>
      <c r="BT152" s="311"/>
      <c r="BU152" s="311"/>
      <c r="BV152" s="308" t="s">
        <v>47</v>
      </c>
      <c r="BW152" s="308" t="s">
        <v>47</v>
      </c>
      <c r="BX152" s="308" t="s">
        <v>3009</v>
      </c>
      <c r="BY152" s="311"/>
      <c r="BZ152" s="311"/>
      <c r="CA152" s="308" t="s">
        <v>3009</v>
      </c>
      <c r="CB152" s="312" t="str">
        <f t="shared" si="1"/>
        <v>27/04/2026</v>
      </c>
      <c r="CC152" s="313">
        <f t="shared" si="2"/>
        <v>2026</v>
      </c>
      <c r="CD152" s="314">
        <f t="shared" si="3"/>
        <v>4</v>
      </c>
      <c r="CE152" s="314">
        <f t="shared" si="4"/>
        <v>1</v>
      </c>
      <c r="CF152" s="314">
        <f t="shared" si="5"/>
        <v>1</v>
      </c>
      <c r="CG152" s="314">
        <f t="shared" si="6"/>
        <v>-5</v>
      </c>
      <c r="CH152" s="315">
        <f>VLOOKUP(CL152,'PRODUCT_COGS&amp;PRICE'!A:E,5,false)</f>
        <v>36</v>
      </c>
      <c r="CI152" s="315">
        <f t="shared" si="7"/>
        <v>-6.283</v>
      </c>
      <c r="CJ152" s="316">
        <f t="shared" si="8"/>
        <v>0</v>
      </c>
      <c r="CK152" s="316">
        <f t="shared" si="9"/>
        <v>0</v>
      </c>
      <c r="CL152" s="314" t="str">
        <f>VLOOKUP(R152,PRODUCT_MAP!A:B,2,FALSE)</f>
        <v>Lea_Bag_Maxi_COCCO_BLACK</v>
      </c>
      <c r="CM152" s="314" t="str">
        <f>VLOOKUP(R152,PRODUCT_MAP!A:E,3,FALSE)</f>
        <v>Lea Bag Maxi</v>
      </c>
    </row>
    <row r="153" ht="22.5" customHeight="1">
      <c r="A153" s="308" t="s">
        <v>4242</v>
      </c>
      <c r="B153" s="308" t="s">
        <v>4243</v>
      </c>
      <c r="C153" s="308" t="s">
        <v>2942</v>
      </c>
      <c r="D153" s="308" t="s">
        <v>4244</v>
      </c>
      <c r="E153" s="308" t="s">
        <v>3013</v>
      </c>
      <c r="F153" s="308"/>
      <c r="G153" s="308" t="s">
        <v>2946</v>
      </c>
      <c r="H153" s="308" t="s">
        <v>2947</v>
      </c>
      <c r="I153" s="308">
        <v>90.0</v>
      </c>
      <c r="J153" s="308">
        <v>3.9</v>
      </c>
      <c r="K153" s="308">
        <v>16.93</v>
      </c>
      <c r="L153" s="308">
        <v>93.9</v>
      </c>
      <c r="M153" s="308"/>
      <c r="N153" s="308">
        <v>0.0</v>
      </c>
      <c r="O153" s="308" t="s">
        <v>2948</v>
      </c>
      <c r="P153" s="308" t="s">
        <v>4245</v>
      </c>
      <c r="Q153" s="310">
        <v>1.0</v>
      </c>
      <c r="R153" s="308" t="s">
        <v>4220</v>
      </c>
      <c r="S153" s="308">
        <v>90.0</v>
      </c>
      <c r="T153" s="311"/>
      <c r="U153" s="308" t="s">
        <v>4221</v>
      </c>
      <c r="V153" s="308" t="b">
        <v>1</v>
      </c>
      <c r="W153" s="308" t="b">
        <v>1</v>
      </c>
      <c r="X153" s="308"/>
      <c r="Y153" s="308" t="s">
        <v>4246</v>
      </c>
      <c r="Z153" s="308" t="s">
        <v>4247</v>
      </c>
      <c r="AA153" s="308" t="s">
        <v>4247</v>
      </c>
      <c r="AB153" s="308"/>
      <c r="AC153" s="308"/>
      <c r="AD153" s="308" t="s">
        <v>23</v>
      </c>
      <c r="AE153" s="308">
        <v>20122.0</v>
      </c>
      <c r="AF153" s="308" t="s">
        <v>2954</v>
      </c>
      <c r="AG153" s="308" t="s">
        <v>2955</v>
      </c>
      <c r="AH153" s="308">
        <v>3.458514045E9</v>
      </c>
      <c r="AI153" s="308" t="s">
        <v>4246</v>
      </c>
      <c r="AJ153" s="308" t="s">
        <v>4247</v>
      </c>
      <c r="AK153" s="308" t="s">
        <v>4247</v>
      </c>
      <c r="AL153" s="308"/>
      <c r="AM153" s="308"/>
      <c r="AN153" s="308" t="s">
        <v>23</v>
      </c>
      <c r="AO153" s="308">
        <v>20122.0</v>
      </c>
      <c r="AP153" s="308" t="s">
        <v>2954</v>
      </c>
      <c r="AQ153" s="308" t="s">
        <v>2955</v>
      </c>
      <c r="AR153" s="308">
        <v>3.458514045E9</v>
      </c>
      <c r="AS153" s="311"/>
      <c r="AT153" s="311"/>
      <c r="AU153" s="311"/>
      <c r="AV153" s="308" t="s">
        <v>2956</v>
      </c>
      <c r="AW153" s="308">
        <v>4.7733955625287E13</v>
      </c>
      <c r="AX153" s="310">
        <v>0.0</v>
      </c>
      <c r="AY153" s="308" t="s">
        <v>2974</v>
      </c>
      <c r="AZ153" s="308">
        <v>0.0</v>
      </c>
      <c r="BA153" s="311"/>
      <c r="BB153" s="311"/>
      <c r="BC153" s="311"/>
      <c r="BD153" s="308">
        <v>7.631891824967E12</v>
      </c>
      <c r="BE153" s="311"/>
      <c r="BF153" s="311"/>
      <c r="BG153" s="308" t="s">
        <v>2958</v>
      </c>
      <c r="BH153" s="308">
        <v>0.0</v>
      </c>
      <c r="BI153" s="308" t="s">
        <v>2959</v>
      </c>
      <c r="BJ153" s="308">
        <v>16.23</v>
      </c>
      <c r="BK153" s="311"/>
      <c r="BL153" s="311"/>
      <c r="BM153" s="311"/>
      <c r="BN153" s="311"/>
      <c r="BO153" s="311"/>
      <c r="BP153" s="311"/>
      <c r="BQ153" s="311"/>
      <c r="BR153" s="311"/>
      <c r="BS153" s="308"/>
      <c r="BT153" s="311"/>
      <c r="BU153" s="311"/>
      <c r="BV153" s="308" t="s">
        <v>23</v>
      </c>
      <c r="BW153" s="308" t="s">
        <v>23</v>
      </c>
      <c r="BX153" s="308" t="s">
        <v>2956</v>
      </c>
      <c r="BY153" s="311"/>
      <c r="BZ153" s="311"/>
      <c r="CA153" s="308" t="s">
        <v>2956</v>
      </c>
      <c r="CB153" s="312" t="str">
        <f t="shared" si="1"/>
        <v>27/04/2026</v>
      </c>
      <c r="CC153" s="313">
        <f t="shared" si="2"/>
        <v>2026</v>
      </c>
      <c r="CD153" s="314">
        <f t="shared" si="3"/>
        <v>4</v>
      </c>
      <c r="CE153" s="314">
        <f t="shared" si="4"/>
        <v>1</v>
      </c>
      <c r="CF153" s="314">
        <f t="shared" si="5"/>
        <v>1</v>
      </c>
      <c r="CG153" s="314">
        <f t="shared" si="6"/>
        <v>0</v>
      </c>
      <c r="CH153" s="315">
        <f>VLOOKUP(CL153,'PRODUCT_COGS&amp;PRICE'!A:E,5,false)</f>
        <v>16.5</v>
      </c>
      <c r="CI153" s="315">
        <f t="shared" si="7"/>
        <v>-2.0341</v>
      </c>
      <c r="CJ153" s="316">
        <f t="shared" si="8"/>
        <v>0</v>
      </c>
      <c r="CK153" s="316">
        <f t="shared" si="9"/>
        <v>0</v>
      </c>
      <c r="CL153" s="314" t="str">
        <f>VLOOKUP(R153,PRODUCT_MAP!A:B,2,FALSE)</f>
        <v>Annie_Bag_PAILLETTES_NUDE</v>
      </c>
      <c r="CM153" s="314" t="str">
        <f>VLOOKUP(R153,PRODUCT_MAP!A:E,3,FALSE)</f>
        <v>Agata Bag</v>
      </c>
    </row>
    <row r="154" ht="22.5" customHeight="1">
      <c r="A154" s="308" t="s">
        <v>4248</v>
      </c>
      <c r="B154" s="308" t="s">
        <v>4249</v>
      </c>
      <c r="C154" s="308" t="s">
        <v>2942</v>
      </c>
      <c r="D154" s="308" t="s">
        <v>4250</v>
      </c>
      <c r="E154" s="308" t="s">
        <v>3013</v>
      </c>
      <c r="F154" s="308"/>
      <c r="G154" s="308" t="s">
        <v>2965</v>
      </c>
      <c r="H154" s="308" t="s">
        <v>2947</v>
      </c>
      <c r="I154" s="308">
        <v>120.0</v>
      </c>
      <c r="J154" s="308">
        <v>0.0</v>
      </c>
      <c r="K154" s="308">
        <v>21.64</v>
      </c>
      <c r="L154" s="308">
        <v>120.0</v>
      </c>
      <c r="M154" s="308"/>
      <c r="N154" s="308">
        <v>0.0</v>
      </c>
      <c r="O154" s="308" t="s">
        <v>2948</v>
      </c>
      <c r="P154" s="308" t="s">
        <v>4251</v>
      </c>
      <c r="Q154" s="310">
        <v>1.0</v>
      </c>
      <c r="R154" s="308" t="s">
        <v>4252</v>
      </c>
      <c r="S154" s="308">
        <v>120.0</v>
      </c>
      <c r="T154" s="311"/>
      <c r="U154" s="308"/>
      <c r="V154" s="308" t="b">
        <v>1</v>
      </c>
      <c r="W154" s="308" t="b">
        <v>1</v>
      </c>
      <c r="X154" s="308"/>
      <c r="Y154" s="308" t="s">
        <v>4253</v>
      </c>
      <c r="Z154" s="308" t="s">
        <v>4254</v>
      </c>
      <c r="AA154" s="308" t="s">
        <v>4254</v>
      </c>
      <c r="AB154" s="308"/>
      <c r="AC154" s="308"/>
      <c r="AD154" s="308" t="s">
        <v>4255</v>
      </c>
      <c r="AE154" s="308">
        <v>47025.0</v>
      </c>
      <c r="AF154" s="308" t="s">
        <v>3928</v>
      </c>
      <c r="AG154" s="308" t="s">
        <v>2955</v>
      </c>
      <c r="AH154" s="308">
        <v>3.338894582E9</v>
      </c>
      <c r="AI154" s="308" t="s">
        <v>4253</v>
      </c>
      <c r="AJ154" s="308" t="s">
        <v>4254</v>
      </c>
      <c r="AK154" s="308" t="s">
        <v>4254</v>
      </c>
      <c r="AL154" s="308"/>
      <c r="AM154" s="308"/>
      <c r="AN154" s="308" t="s">
        <v>4255</v>
      </c>
      <c r="AO154" s="308">
        <v>47025.0</v>
      </c>
      <c r="AP154" s="308" t="s">
        <v>3928</v>
      </c>
      <c r="AQ154" s="308" t="s">
        <v>2955</v>
      </c>
      <c r="AR154" s="308">
        <v>3.338894582E9</v>
      </c>
      <c r="AS154" s="311"/>
      <c r="AT154" s="311"/>
      <c r="AU154" s="311"/>
      <c r="AV154" s="308" t="s">
        <v>3009</v>
      </c>
      <c r="AW154" s="308">
        <v>4.7738754761031E13</v>
      </c>
      <c r="AX154" s="310">
        <v>0.0</v>
      </c>
      <c r="AY154" s="308"/>
      <c r="AZ154" s="308">
        <v>0.0</v>
      </c>
      <c r="BA154" s="311"/>
      <c r="BB154" s="311"/>
      <c r="BC154" s="311"/>
      <c r="BD154" s="308">
        <v>7.633826054471E12</v>
      </c>
      <c r="BE154" s="311"/>
      <c r="BF154" s="311"/>
      <c r="BG154" s="308" t="s">
        <v>3640</v>
      </c>
      <c r="BH154" s="308">
        <v>0.0</v>
      </c>
      <c r="BI154" s="308" t="s">
        <v>2959</v>
      </c>
      <c r="BJ154" s="308">
        <v>21.64</v>
      </c>
      <c r="BK154" s="311"/>
      <c r="BL154" s="311"/>
      <c r="BM154" s="311"/>
      <c r="BN154" s="311"/>
      <c r="BO154" s="311"/>
      <c r="BP154" s="311"/>
      <c r="BQ154" s="311"/>
      <c r="BR154" s="311"/>
      <c r="BS154" s="308"/>
      <c r="BT154" s="311"/>
      <c r="BU154" s="311"/>
      <c r="BV154" s="308" t="s">
        <v>3929</v>
      </c>
      <c r="BW154" s="308" t="s">
        <v>3929</v>
      </c>
      <c r="BX154" s="308" t="s">
        <v>3009</v>
      </c>
      <c r="BY154" s="311"/>
      <c r="BZ154" s="311"/>
      <c r="CA154" s="308" t="s">
        <v>3009</v>
      </c>
      <c r="CB154" s="312" t="str">
        <f t="shared" si="1"/>
        <v>28/04/2026</v>
      </c>
      <c r="CC154" s="313">
        <f t="shared" si="2"/>
        <v>2026</v>
      </c>
      <c r="CD154" s="314">
        <f t="shared" si="3"/>
        <v>4</v>
      </c>
      <c r="CE154" s="314">
        <f t="shared" si="4"/>
        <v>1</v>
      </c>
      <c r="CF154" s="314">
        <f t="shared" si="5"/>
        <v>1</v>
      </c>
      <c r="CG154" s="314">
        <f t="shared" si="6"/>
        <v>-5</v>
      </c>
      <c r="CH154" s="315">
        <f>VLOOKUP(CL154,'PRODUCT_COGS&amp;PRICE'!A:E,5,false)</f>
        <v>26</v>
      </c>
      <c r="CI154" s="315">
        <f t="shared" si="7"/>
        <v>-4.538</v>
      </c>
      <c r="CJ154" s="316">
        <f t="shared" si="8"/>
        <v>0</v>
      </c>
      <c r="CK154" s="316">
        <f t="shared" si="9"/>
        <v>0</v>
      </c>
      <c r="CL154" s="314" t="str">
        <f>VLOOKUP(R154,PRODUCT_MAP!A:B,2,FALSE)</f>
        <v>Maria_Bag_BURRO_PIERCING</v>
      </c>
      <c r="CM154" s="314" t="str">
        <f>VLOOKUP(R154,PRODUCT_MAP!A:E,3,FALSE)</f>
        <v>Maria bag</v>
      </c>
    </row>
    <row r="155" ht="22.5" customHeight="1">
      <c r="A155" s="308" t="s">
        <v>4256</v>
      </c>
      <c r="B155" s="308" t="s">
        <v>4257</v>
      </c>
      <c r="C155" s="308" t="s">
        <v>2942</v>
      </c>
      <c r="D155" s="308" t="s">
        <v>4258</v>
      </c>
      <c r="E155" s="308" t="s">
        <v>3013</v>
      </c>
      <c r="F155" s="308"/>
      <c r="G155" s="308" t="s">
        <v>2946</v>
      </c>
      <c r="H155" s="308" t="s">
        <v>2947</v>
      </c>
      <c r="I155" s="308">
        <v>135.0</v>
      </c>
      <c r="J155" s="308">
        <v>0.0</v>
      </c>
      <c r="K155" s="308">
        <v>24.34</v>
      </c>
      <c r="L155" s="308">
        <v>135.0</v>
      </c>
      <c r="M155" s="308" t="s">
        <v>3221</v>
      </c>
      <c r="N155" s="308">
        <v>15.0</v>
      </c>
      <c r="O155" s="308" t="s">
        <v>2948</v>
      </c>
      <c r="P155" s="308" t="s">
        <v>4259</v>
      </c>
      <c r="Q155" s="310">
        <v>1.0</v>
      </c>
      <c r="R155" s="308" t="s">
        <v>539</v>
      </c>
      <c r="S155" s="308">
        <v>150.0</v>
      </c>
      <c r="T155" s="311"/>
      <c r="U155" s="308" t="s">
        <v>3223</v>
      </c>
      <c r="V155" s="308" t="b">
        <v>1</v>
      </c>
      <c r="W155" s="308" t="b">
        <v>1</v>
      </c>
      <c r="X155" s="308"/>
      <c r="Y155" s="308" t="s">
        <v>4260</v>
      </c>
      <c r="Z155" s="308" t="s">
        <v>4261</v>
      </c>
      <c r="AA155" s="308" t="s">
        <v>4261</v>
      </c>
      <c r="AB155" s="308"/>
      <c r="AC155" s="308"/>
      <c r="AD155" s="308" t="s">
        <v>3784</v>
      </c>
      <c r="AE155" s="308">
        <v>20123.0</v>
      </c>
      <c r="AF155" s="308" t="s">
        <v>2954</v>
      </c>
      <c r="AG155" s="308" t="s">
        <v>2955</v>
      </c>
      <c r="AH155" s="308">
        <v>3.405297558E9</v>
      </c>
      <c r="AI155" s="308" t="s">
        <v>4260</v>
      </c>
      <c r="AJ155" s="308" t="s">
        <v>4261</v>
      </c>
      <c r="AK155" s="308" t="s">
        <v>4261</v>
      </c>
      <c r="AL155" s="308"/>
      <c r="AM155" s="308"/>
      <c r="AN155" s="308" t="s">
        <v>3784</v>
      </c>
      <c r="AO155" s="308">
        <v>20123.0</v>
      </c>
      <c r="AP155" s="308" t="s">
        <v>2954</v>
      </c>
      <c r="AQ155" s="308" t="s">
        <v>2955</v>
      </c>
      <c r="AR155" s="308">
        <v>3.405297558E9</v>
      </c>
      <c r="AS155" s="311"/>
      <c r="AT155" s="311"/>
      <c r="AU155" s="311"/>
      <c r="AV155" s="308" t="s">
        <v>2956</v>
      </c>
      <c r="AW155" s="308">
        <v>4.7738781139271E13</v>
      </c>
      <c r="AX155" s="310">
        <v>0.0</v>
      </c>
      <c r="AY155" s="308" t="s">
        <v>2974</v>
      </c>
      <c r="AZ155" s="308">
        <v>0.0</v>
      </c>
      <c r="BA155" s="311"/>
      <c r="BB155" s="311"/>
      <c r="BC155" s="311"/>
      <c r="BD155" s="308">
        <v>7.634317279559E12</v>
      </c>
      <c r="BE155" s="311"/>
      <c r="BF155" s="311"/>
      <c r="BG155" s="308" t="s">
        <v>2958</v>
      </c>
      <c r="BH155" s="308">
        <v>0.0</v>
      </c>
      <c r="BI155" s="308" t="s">
        <v>2959</v>
      </c>
      <c r="BJ155" s="308">
        <v>24.34</v>
      </c>
      <c r="BK155" s="311"/>
      <c r="BL155" s="311"/>
      <c r="BM155" s="311"/>
      <c r="BN155" s="311"/>
      <c r="BO155" s="311"/>
      <c r="BP155" s="311"/>
      <c r="BQ155" s="311"/>
      <c r="BR155" s="311"/>
      <c r="BS155" s="308"/>
      <c r="BT155" s="311"/>
      <c r="BU155" s="311"/>
      <c r="BV155" s="308" t="s">
        <v>23</v>
      </c>
      <c r="BW155" s="308" t="s">
        <v>23</v>
      </c>
      <c r="BX155" s="308" t="s">
        <v>2956</v>
      </c>
      <c r="BY155" s="311"/>
      <c r="BZ155" s="311"/>
      <c r="CA155" s="308" t="s">
        <v>2956</v>
      </c>
      <c r="CB155" s="312" t="str">
        <f t="shared" si="1"/>
        <v>28/04/2026</v>
      </c>
      <c r="CC155" s="313">
        <f t="shared" si="2"/>
        <v>2026</v>
      </c>
      <c r="CD155" s="314">
        <f t="shared" si="3"/>
        <v>4</v>
      </c>
      <c r="CE155" s="314">
        <f t="shared" si="4"/>
        <v>1</v>
      </c>
      <c r="CF155" s="314">
        <f t="shared" si="5"/>
        <v>1</v>
      </c>
      <c r="CG155" s="314">
        <f t="shared" si="6"/>
        <v>-5</v>
      </c>
      <c r="CH155" s="315">
        <f>VLOOKUP(CL155,'PRODUCT_COGS&amp;PRICE'!A:E,5,false)</f>
        <v>33</v>
      </c>
      <c r="CI155" s="315">
        <f t="shared" si="7"/>
        <v>-2.815</v>
      </c>
      <c r="CJ155" s="316">
        <f t="shared" si="8"/>
        <v>0</v>
      </c>
      <c r="CK155" s="316">
        <f t="shared" si="9"/>
        <v>15</v>
      </c>
      <c r="CL155" s="314" t="str">
        <f>VLOOKUP(R155,PRODUCT_MAP!A:B,2,FALSE)</f>
        <v>Lea_Bag_Zebra_Dark</v>
      </c>
      <c r="CM155" s="314" t="str">
        <f>VLOOKUP(R155,PRODUCT_MAP!A:E,3,FALSE)</f>
        <v>Lea Bag</v>
      </c>
    </row>
    <row r="156" ht="22.5" customHeight="1">
      <c r="A156" s="308" t="s">
        <v>4262</v>
      </c>
      <c r="B156" s="308" t="s">
        <v>4263</v>
      </c>
      <c r="C156" s="308" t="s">
        <v>2942</v>
      </c>
      <c r="D156" s="308" t="s">
        <v>4264</v>
      </c>
      <c r="E156" s="308" t="s">
        <v>3013</v>
      </c>
      <c r="F156" s="308"/>
      <c r="G156" s="308" t="s">
        <v>2946</v>
      </c>
      <c r="H156" s="308" t="s">
        <v>2947</v>
      </c>
      <c r="I156" s="308">
        <v>90.0</v>
      </c>
      <c r="J156" s="308">
        <v>0.0</v>
      </c>
      <c r="K156" s="308">
        <v>16.23</v>
      </c>
      <c r="L156" s="308">
        <v>90.0</v>
      </c>
      <c r="M156" s="308" t="s">
        <v>3094</v>
      </c>
      <c r="N156" s="308">
        <v>10.0</v>
      </c>
      <c r="O156" s="308" t="s">
        <v>2979</v>
      </c>
      <c r="P156" s="308" t="s">
        <v>4265</v>
      </c>
      <c r="Q156" s="310">
        <v>1.0</v>
      </c>
      <c r="R156" s="308" t="s">
        <v>4266</v>
      </c>
      <c r="S156" s="308">
        <v>100.0</v>
      </c>
      <c r="T156" s="311"/>
      <c r="U156" s="308" t="s">
        <v>4267</v>
      </c>
      <c r="V156" s="308" t="b">
        <v>1</v>
      </c>
      <c r="W156" s="308" t="b">
        <v>1</v>
      </c>
      <c r="X156" s="308"/>
      <c r="Y156" s="308" t="s">
        <v>4268</v>
      </c>
      <c r="Z156" s="308" t="s">
        <v>4269</v>
      </c>
      <c r="AA156" s="308" t="s">
        <v>4269</v>
      </c>
      <c r="AB156" s="308"/>
      <c r="AC156" s="308"/>
      <c r="AD156" s="308" t="s">
        <v>23</v>
      </c>
      <c r="AE156" s="308">
        <v>20123.0</v>
      </c>
      <c r="AF156" s="308" t="s">
        <v>2954</v>
      </c>
      <c r="AG156" s="308" t="s">
        <v>2955</v>
      </c>
      <c r="AH156" s="308">
        <v>3.441880725E9</v>
      </c>
      <c r="AI156" s="308"/>
      <c r="AJ156" s="308"/>
      <c r="AK156" s="308"/>
      <c r="AL156" s="308"/>
      <c r="AM156" s="308"/>
      <c r="AN156" s="308"/>
      <c r="AO156" s="308"/>
      <c r="AP156" s="308"/>
      <c r="AQ156" s="308"/>
      <c r="AR156" s="308"/>
      <c r="AS156" s="311"/>
      <c r="AT156" s="311"/>
      <c r="AU156" s="311"/>
      <c r="AV156" s="308" t="s">
        <v>2956</v>
      </c>
      <c r="AW156" s="308">
        <v>4.7740285157703E13</v>
      </c>
      <c r="AX156" s="310">
        <v>0.0</v>
      </c>
      <c r="AY156" s="308" t="s">
        <v>2974</v>
      </c>
      <c r="AZ156" s="308">
        <v>0.0</v>
      </c>
      <c r="BA156" s="311"/>
      <c r="BB156" s="311"/>
      <c r="BC156" s="311"/>
      <c r="BD156" s="308">
        <v>7.634540462407E12</v>
      </c>
      <c r="BE156" s="311"/>
      <c r="BF156" s="311"/>
      <c r="BG156" s="308" t="s">
        <v>2958</v>
      </c>
      <c r="BH156" s="308">
        <v>0.0</v>
      </c>
      <c r="BI156" s="308" t="s">
        <v>2959</v>
      </c>
      <c r="BJ156" s="308">
        <v>16.23</v>
      </c>
      <c r="BK156" s="311"/>
      <c r="BL156" s="311"/>
      <c r="BM156" s="311"/>
      <c r="BN156" s="311"/>
      <c r="BO156" s="311"/>
      <c r="BP156" s="311"/>
      <c r="BQ156" s="311"/>
      <c r="BR156" s="311"/>
      <c r="BS156" s="308"/>
      <c r="BT156" s="311"/>
      <c r="BU156" s="311"/>
      <c r="BV156" s="308" t="s">
        <v>23</v>
      </c>
      <c r="BW156" s="308"/>
      <c r="BX156" s="308" t="s">
        <v>2956</v>
      </c>
      <c r="BY156" s="311"/>
      <c r="BZ156" s="311"/>
      <c r="CA156" s="308" t="s">
        <v>2956</v>
      </c>
      <c r="CB156" s="312" t="str">
        <f t="shared" si="1"/>
        <v>28/04/2026</v>
      </c>
      <c r="CC156" s="313">
        <f t="shared" si="2"/>
        <v>2026</v>
      </c>
      <c r="CD156" s="314">
        <f t="shared" si="3"/>
        <v>4</v>
      </c>
      <c r="CE156" s="314">
        <f t="shared" si="4"/>
        <v>1</v>
      </c>
      <c r="CF156" s="314">
        <f t="shared" si="5"/>
        <v>1</v>
      </c>
      <c r="CG156" s="314">
        <f t="shared" si="6"/>
        <v>-5</v>
      </c>
      <c r="CH156" s="315">
        <f>VLOOKUP(CL156,'PRODUCT_COGS&amp;PRICE'!A:E,5,false)</f>
        <v>16.5</v>
      </c>
      <c r="CI156" s="315">
        <f t="shared" si="7"/>
        <v>-1.96</v>
      </c>
      <c r="CJ156" s="316">
        <f t="shared" si="8"/>
        <v>0</v>
      </c>
      <c r="CK156" s="316">
        <f t="shared" si="9"/>
        <v>10</v>
      </c>
      <c r="CL156" s="314" t="str">
        <f>VLOOKUP(R156,PRODUCT_MAP!A:B,2,FALSE)</f>
        <v>Annie_Bag_PAILLETTES_NUDE</v>
      </c>
      <c r="CM156" s="314" t="str">
        <f>VLOOKUP(R156,PRODUCT_MAP!A:E,3,FALSE)</f>
        <v>Annie Bag paillettes</v>
      </c>
    </row>
    <row r="157" ht="22.5" customHeight="1">
      <c r="A157" s="308" t="s">
        <v>4270</v>
      </c>
      <c r="B157" s="308" t="s">
        <v>4271</v>
      </c>
      <c r="C157" s="308" t="s">
        <v>2942</v>
      </c>
      <c r="D157" s="308" t="s">
        <v>4272</v>
      </c>
      <c r="E157" s="308" t="s">
        <v>3013</v>
      </c>
      <c r="F157" s="308"/>
      <c r="G157" s="308" t="s">
        <v>2946</v>
      </c>
      <c r="H157" s="308" t="s">
        <v>2947</v>
      </c>
      <c r="I157" s="308">
        <v>153.0</v>
      </c>
      <c r="J157" s="308">
        <v>0.0</v>
      </c>
      <c r="K157" s="308">
        <v>27.59</v>
      </c>
      <c r="L157" s="308">
        <v>153.0</v>
      </c>
      <c r="M157" s="308" t="s">
        <v>3094</v>
      </c>
      <c r="N157" s="308">
        <v>17.0</v>
      </c>
      <c r="O157" s="308" t="s">
        <v>2948</v>
      </c>
      <c r="P157" s="308" t="s">
        <v>4273</v>
      </c>
      <c r="Q157" s="310">
        <v>1.0</v>
      </c>
      <c r="R157" s="308" t="s">
        <v>559</v>
      </c>
      <c r="S157" s="308">
        <v>170.0</v>
      </c>
      <c r="T157" s="311"/>
      <c r="U157" s="308"/>
      <c r="V157" s="308" t="b">
        <v>1</v>
      </c>
      <c r="W157" s="308" t="b">
        <v>1</v>
      </c>
      <c r="X157" s="308"/>
      <c r="Y157" s="308" t="s">
        <v>4274</v>
      </c>
      <c r="Z157" s="308" t="s">
        <v>4275</v>
      </c>
      <c r="AA157" s="308" t="s">
        <v>4275</v>
      </c>
      <c r="AB157" s="308"/>
      <c r="AC157" s="308"/>
      <c r="AD157" s="308" t="s">
        <v>3068</v>
      </c>
      <c r="AE157" s="308">
        <v>40125.0</v>
      </c>
      <c r="AF157" s="308" t="s">
        <v>3069</v>
      </c>
      <c r="AG157" s="308" t="s">
        <v>2955</v>
      </c>
      <c r="AH157" s="308">
        <v>3.334151604E9</v>
      </c>
      <c r="AI157" s="308" t="s">
        <v>4274</v>
      </c>
      <c r="AJ157" s="308" t="s">
        <v>4275</v>
      </c>
      <c r="AK157" s="308" t="s">
        <v>4275</v>
      </c>
      <c r="AL157" s="308"/>
      <c r="AM157" s="308"/>
      <c r="AN157" s="308" t="s">
        <v>3068</v>
      </c>
      <c r="AO157" s="308">
        <v>40125.0</v>
      </c>
      <c r="AP157" s="308" t="s">
        <v>3069</v>
      </c>
      <c r="AQ157" s="308" t="s">
        <v>2955</v>
      </c>
      <c r="AR157" s="308">
        <v>3.334151604E9</v>
      </c>
      <c r="AS157" s="311"/>
      <c r="AT157" s="311"/>
      <c r="AU157" s="311"/>
      <c r="AV157" s="308" t="s">
        <v>3009</v>
      </c>
      <c r="AW157" s="308">
        <v>4.7745306722631E13</v>
      </c>
      <c r="AX157" s="310">
        <v>0.0</v>
      </c>
      <c r="AY157" s="308" t="s">
        <v>2974</v>
      </c>
      <c r="AZ157" s="308">
        <v>0.0</v>
      </c>
      <c r="BA157" s="311"/>
      <c r="BB157" s="311"/>
      <c r="BC157" s="311"/>
      <c r="BD157" s="308">
        <v>7.636420919623E12</v>
      </c>
      <c r="BE157" s="311"/>
      <c r="BF157" s="311"/>
      <c r="BG157" s="308" t="s">
        <v>2958</v>
      </c>
      <c r="BH157" s="308">
        <v>0.0</v>
      </c>
      <c r="BI157" s="308" t="s">
        <v>2959</v>
      </c>
      <c r="BJ157" s="308">
        <v>27.59</v>
      </c>
      <c r="BK157" s="311"/>
      <c r="BL157" s="311"/>
      <c r="BM157" s="311"/>
      <c r="BN157" s="311"/>
      <c r="BO157" s="311"/>
      <c r="BP157" s="311"/>
      <c r="BQ157" s="311"/>
      <c r="BR157" s="311"/>
      <c r="BS157" s="308"/>
      <c r="BT157" s="311"/>
      <c r="BU157" s="311"/>
      <c r="BV157" s="308" t="s">
        <v>3068</v>
      </c>
      <c r="BW157" s="308" t="s">
        <v>3068</v>
      </c>
      <c r="BX157" s="308" t="s">
        <v>3009</v>
      </c>
      <c r="BY157" s="311"/>
      <c r="BZ157" s="311"/>
      <c r="CA157" s="308" t="s">
        <v>3009</v>
      </c>
      <c r="CB157" s="312" t="str">
        <f t="shared" si="1"/>
        <v>29/04/2026</v>
      </c>
      <c r="CC157" s="313">
        <f t="shared" si="2"/>
        <v>2026</v>
      </c>
      <c r="CD157" s="314">
        <f t="shared" si="3"/>
        <v>4</v>
      </c>
      <c r="CE157" s="314">
        <f t="shared" si="4"/>
        <v>1</v>
      </c>
      <c r="CF157" s="314">
        <f t="shared" si="5"/>
        <v>1</v>
      </c>
      <c r="CG157" s="314">
        <f t="shared" si="6"/>
        <v>-5</v>
      </c>
      <c r="CH157" s="315">
        <f>VLOOKUP(CL157,'PRODUCT_COGS&amp;PRICE'!A:E,5,false)</f>
        <v>25</v>
      </c>
      <c r="CI157" s="315">
        <f t="shared" si="7"/>
        <v>-5.6897</v>
      </c>
      <c r="CJ157" s="316">
        <f t="shared" si="8"/>
        <v>0</v>
      </c>
      <c r="CK157" s="316">
        <f t="shared" si="9"/>
        <v>17</v>
      </c>
      <c r="CL157" s="314" t="str">
        <f>VLOOKUP(R157,PRODUCT_MAP!A:B,2,FALSE)</f>
        <v>Lea_Bag_Maxi_SUEDE_CHOCOLATE</v>
      </c>
      <c r="CM157" s="314" t="str">
        <f>VLOOKUP(R157,PRODUCT_MAP!A:E,3,FALSE)</f>
        <v>Lea Bag Maxi</v>
      </c>
    </row>
    <row r="158" ht="22.5" customHeight="1">
      <c r="A158" s="308" t="s">
        <v>4276</v>
      </c>
      <c r="B158" s="308" t="s">
        <v>4277</v>
      </c>
      <c r="C158" s="308" t="s">
        <v>2942</v>
      </c>
      <c r="D158" s="308" t="s">
        <v>4278</v>
      </c>
      <c r="E158" s="308" t="s">
        <v>3013</v>
      </c>
      <c r="F158" s="308"/>
      <c r="G158" s="308" t="s">
        <v>2965</v>
      </c>
      <c r="H158" s="308" t="s">
        <v>2947</v>
      </c>
      <c r="I158" s="308">
        <v>120.0</v>
      </c>
      <c r="J158" s="308">
        <v>0.0</v>
      </c>
      <c r="K158" s="308">
        <v>21.64</v>
      </c>
      <c r="L158" s="308">
        <v>120.0</v>
      </c>
      <c r="M158" s="308"/>
      <c r="N158" s="308">
        <v>0.0</v>
      </c>
      <c r="O158" s="308" t="s">
        <v>2948</v>
      </c>
      <c r="P158" s="308" t="s">
        <v>4279</v>
      </c>
      <c r="Q158" s="310">
        <v>1.0</v>
      </c>
      <c r="R158" s="308" t="s">
        <v>3266</v>
      </c>
      <c r="S158" s="308">
        <v>120.0</v>
      </c>
      <c r="T158" s="311"/>
      <c r="U158" s="308" t="s">
        <v>237</v>
      </c>
      <c r="V158" s="308" t="b">
        <v>1</v>
      </c>
      <c r="W158" s="308" t="b">
        <v>1</v>
      </c>
      <c r="X158" s="308"/>
      <c r="Y158" s="308" t="s">
        <v>4280</v>
      </c>
      <c r="Z158" s="308" t="s">
        <v>4281</v>
      </c>
      <c r="AA158" s="308" t="s">
        <v>4281</v>
      </c>
      <c r="AB158" s="308"/>
      <c r="AC158" s="308"/>
      <c r="AD158" s="308" t="s">
        <v>23</v>
      </c>
      <c r="AE158" s="308">
        <v>20133.0</v>
      </c>
      <c r="AF158" s="308" t="s">
        <v>2954</v>
      </c>
      <c r="AG158" s="308" t="s">
        <v>2955</v>
      </c>
      <c r="AH158" s="318" t="s">
        <v>4282</v>
      </c>
      <c r="AI158" s="308" t="s">
        <v>4280</v>
      </c>
      <c r="AJ158" s="308" t="s">
        <v>4283</v>
      </c>
      <c r="AK158" s="308" t="s">
        <v>4281</v>
      </c>
      <c r="AL158" s="308" t="s">
        <v>4284</v>
      </c>
      <c r="AM158" s="308"/>
      <c r="AN158" s="308" t="s">
        <v>23</v>
      </c>
      <c r="AO158" s="308">
        <v>20133.0</v>
      </c>
      <c r="AP158" s="308" t="s">
        <v>2954</v>
      </c>
      <c r="AQ158" s="308" t="s">
        <v>2955</v>
      </c>
      <c r="AR158" s="318" t="s">
        <v>4282</v>
      </c>
      <c r="AS158" s="311"/>
      <c r="AT158" s="311"/>
      <c r="AU158" s="311"/>
      <c r="AV158" s="308" t="s">
        <v>2956</v>
      </c>
      <c r="AW158" s="308">
        <v>4.7748327932231E13</v>
      </c>
      <c r="AX158" s="310">
        <v>0.0</v>
      </c>
      <c r="AY158" s="308" t="s">
        <v>2974</v>
      </c>
      <c r="AZ158" s="308">
        <v>0.0</v>
      </c>
      <c r="BA158" s="311"/>
      <c r="BB158" s="311"/>
      <c r="BC158" s="311"/>
      <c r="BD158" s="308">
        <v>7.637881979207E12</v>
      </c>
      <c r="BE158" s="311"/>
      <c r="BF158" s="311"/>
      <c r="BG158" s="308" t="s">
        <v>2958</v>
      </c>
      <c r="BH158" s="308">
        <v>0.0</v>
      </c>
      <c r="BI158" s="308" t="s">
        <v>2959</v>
      </c>
      <c r="BJ158" s="308">
        <v>21.64</v>
      </c>
      <c r="BK158" s="311"/>
      <c r="BL158" s="311"/>
      <c r="BM158" s="311"/>
      <c r="BN158" s="311"/>
      <c r="BO158" s="311"/>
      <c r="BP158" s="311"/>
      <c r="BQ158" s="311"/>
      <c r="BR158" s="311"/>
      <c r="BS158" s="318" t="s">
        <v>4282</v>
      </c>
      <c r="BT158" s="311"/>
      <c r="BU158" s="311"/>
      <c r="BV158" s="308" t="s">
        <v>23</v>
      </c>
      <c r="BW158" s="308" t="s">
        <v>23</v>
      </c>
      <c r="BX158" s="308" t="s">
        <v>2956</v>
      </c>
      <c r="BY158" s="311"/>
      <c r="BZ158" s="311"/>
      <c r="CA158" s="308" t="s">
        <v>2956</v>
      </c>
      <c r="CB158" s="312" t="str">
        <f t="shared" si="1"/>
        <v>29/04/2026</v>
      </c>
      <c r="CC158" s="313">
        <f t="shared" si="2"/>
        <v>2026</v>
      </c>
      <c r="CD158" s="314">
        <f t="shared" si="3"/>
        <v>4</v>
      </c>
      <c r="CE158" s="314">
        <f t="shared" si="4"/>
        <v>1</v>
      </c>
      <c r="CF158" s="314">
        <f t="shared" si="5"/>
        <v>1</v>
      </c>
      <c r="CG158" s="314">
        <f t="shared" si="6"/>
        <v>-5</v>
      </c>
      <c r="CH158" s="315">
        <f>VLOOKUP(CL158,'PRODUCT_COGS&amp;PRICE'!A:E,5,false)</f>
        <v>30.33</v>
      </c>
      <c r="CI158" s="315">
        <f t="shared" si="7"/>
        <v>-2.53</v>
      </c>
      <c r="CJ158" s="316">
        <f t="shared" si="8"/>
        <v>0</v>
      </c>
      <c r="CK158" s="316">
        <f t="shared" si="9"/>
        <v>0</v>
      </c>
      <c r="CL158" s="314" t="str">
        <f>VLOOKUP(R158,PRODUCT_MAP!A:B,2,FALSE)</f>
        <v>Lea_Bag_COCCO_CHOCOLATE</v>
      </c>
      <c r="CM158" s="314" t="str">
        <f>VLOOKUP(R158,PRODUCT_MAP!A:E,3,FALSE)</f>
        <v>Lea Bag</v>
      </c>
    </row>
    <row r="159" ht="22.5" customHeight="1">
      <c r="A159" s="308" t="s">
        <v>4285</v>
      </c>
      <c r="B159" s="308" t="s">
        <v>4286</v>
      </c>
      <c r="C159" s="308" t="s">
        <v>2942</v>
      </c>
      <c r="D159" s="308" t="s">
        <v>4287</v>
      </c>
      <c r="E159" s="308" t="s">
        <v>3013</v>
      </c>
      <c r="F159" s="308"/>
      <c r="G159" s="308" t="s">
        <v>2965</v>
      </c>
      <c r="H159" s="308" t="s">
        <v>2947</v>
      </c>
      <c r="I159" s="308">
        <v>170.0</v>
      </c>
      <c r="J159" s="308">
        <v>0.0</v>
      </c>
      <c r="K159" s="308">
        <v>30.66</v>
      </c>
      <c r="L159" s="308">
        <v>170.0</v>
      </c>
      <c r="M159" s="308"/>
      <c r="N159" s="308">
        <v>0.0</v>
      </c>
      <c r="O159" s="308" t="s">
        <v>2948</v>
      </c>
      <c r="P159" s="308" t="s">
        <v>4288</v>
      </c>
      <c r="Q159" s="310">
        <v>1.0</v>
      </c>
      <c r="R159" s="308" t="s">
        <v>549</v>
      </c>
      <c r="S159" s="308">
        <v>170.0</v>
      </c>
      <c r="T159" s="311"/>
      <c r="U159" s="308"/>
      <c r="V159" s="308" t="b">
        <v>1</v>
      </c>
      <c r="W159" s="308" t="b">
        <v>1</v>
      </c>
      <c r="X159" s="308"/>
      <c r="Y159" s="308" t="s">
        <v>4289</v>
      </c>
      <c r="Z159" s="308" t="s">
        <v>4290</v>
      </c>
      <c r="AA159" s="308" t="s">
        <v>4290</v>
      </c>
      <c r="AB159" s="308"/>
      <c r="AC159" s="308"/>
      <c r="AD159" s="308" t="s">
        <v>4291</v>
      </c>
      <c r="AE159" s="308">
        <v>31020.0</v>
      </c>
      <c r="AF159" s="308" t="s">
        <v>2995</v>
      </c>
      <c r="AG159" s="308" t="s">
        <v>2955</v>
      </c>
      <c r="AH159" s="308"/>
      <c r="AI159" s="308" t="s">
        <v>4292</v>
      </c>
      <c r="AJ159" s="308" t="s">
        <v>4293</v>
      </c>
      <c r="AK159" s="308" t="s">
        <v>4293</v>
      </c>
      <c r="AL159" s="308"/>
      <c r="AM159" s="308"/>
      <c r="AN159" s="308" t="s">
        <v>4294</v>
      </c>
      <c r="AO159" s="308">
        <v>31030.0</v>
      </c>
      <c r="AP159" s="308" t="s">
        <v>2995</v>
      </c>
      <c r="AQ159" s="308" t="s">
        <v>2955</v>
      </c>
      <c r="AR159" s="308">
        <v>3.497660519E9</v>
      </c>
      <c r="AS159" s="311"/>
      <c r="AT159" s="311"/>
      <c r="AU159" s="311"/>
      <c r="AV159" s="308" t="s">
        <v>2956</v>
      </c>
      <c r="AW159" s="308">
        <v>4.7748774363463E13</v>
      </c>
      <c r="AX159" s="310">
        <v>0.0</v>
      </c>
      <c r="AY159" s="308" t="s">
        <v>2974</v>
      </c>
      <c r="AZ159" s="308">
        <v>0.0</v>
      </c>
      <c r="BA159" s="311"/>
      <c r="BB159" s="311"/>
      <c r="BC159" s="311"/>
      <c r="BD159" s="308">
        <v>7.638042870087E12</v>
      </c>
      <c r="BE159" s="311"/>
      <c r="BF159" s="311"/>
      <c r="BG159" s="308" t="s">
        <v>2958</v>
      </c>
      <c r="BH159" s="308">
        <v>0.0</v>
      </c>
      <c r="BI159" s="308" t="s">
        <v>2959</v>
      </c>
      <c r="BJ159" s="308">
        <v>30.66</v>
      </c>
      <c r="BK159" s="311"/>
      <c r="BL159" s="311"/>
      <c r="BM159" s="311"/>
      <c r="BN159" s="311"/>
      <c r="BO159" s="311"/>
      <c r="BP159" s="311"/>
      <c r="BQ159" s="311"/>
      <c r="BR159" s="311"/>
      <c r="BS159" s="308"/>
      <c r="BT159" s="311"/>
      <c r="BU159" s="311"/>
      <c r="BV159" s="308" t="s">
        <v>2994</v>
      </c>
      <c r="BW159" s="308" t="s">
        <v>2994</v>
      </c>
      <c r="BX159" s="308" t="s">
        <v>2956</v>
      </c>
      <c r="BY159" s="311"/>
      <c r="BZ159" s="311"/>
      <c r="CA159" s="308" t="s">
        <v>2956</v>
      </c>
      <c r="CB159" s="312" t="str">
        <f t="shared" si="1"/>
        <v>29/04/2026</v>
      </c>
      <c r="CC159" s="313">
        <f t="shared" si="2"/>
        <v>2026</v>
      </c>
      <c r="CD159" s="314">
        <f t="shared" si="3"/>
        <v>4</v>
      </c>
      <c r="CE159" s="314">
        <f t="shared" si="4"/>
        <v>1</v>
      </c>
      <c r="CF159" s="314">
        <f t="shared" si="5"/>
        <v>1</v>
      </c>
      <c r="CG159" s="314">
        <f t="shared" si="6"/>
        <v>-5</v>
      </c>
      <c r="CH159" s="315">
        <f>VLOOKUP(CL159,'PRODUCT_COGS&amp;PRICE'!A:E,5,false)</f>
        <v>36</v>
      </c>
      <c r="CI159" s="315">
        <f t="shared" si="7"/>
        <v>-3.48</v>
      </c>
      <c r="CJ159" s="316">
        <f t="shared" si="8"/>
        <v>0</v>
      </c>
      <c r="CK159" s="316">
        <f t="shared" si="9"/>
        <v>0</v>
      </c>
      <c r="CL159" s="314" t="str">
        <f>VLOOKUP(R159,PRODUCT_MAP!A:B,2,FALSE)</f>
        <v>Lea_Bag_Maxi_COCCO_BLACK</v>
      </c>
      <c r="CM159" s="314" t="str">
        <f>VLOOKUP(R159,PRODUCT_MAP!A:E,3,FALSE)</f>
        <v>Lea Bag Maxi</v>
      </c>
    </row>
    <row r="160" ht="22.5" customHeight="1">
      <c r="A160" s="308" t="s">
        <v>4295</v>
      </c>
      <c r="B160" s="308" t="s">
        <v>4296</v>
      </c>
      <c r="C160" s="308" t="s">
        <v>2942</v>
      </c>
      <c r="D160" s="308" t="s">
        <v>4297</v>
      </c>
      <c r="E160" s="308" t="s">
        <v>3013</v>
      </c>
      <c r="F160" s="308"/>
      <c r="G160" s="308" t="s">
        <v>2965</v>
      </c>
      <c r="H160" s="308" t="s">
        <v>2947</v>
      </c>
      <c r="I160" s="308">
        <v>120.0</v>
      </c>
      <c r="J160" s="308">
        <v>0.0</v>
      </c>
      <c r="K160" s="308">
        <v>21.64</v>
      </c>
      <c r="L160" s="308">
        <v>120.0</v>
      </c>
      <c r="M160" s="308"/>
      <c r="N160" s="308">
        <v>0.0</v>
      </c>
      <c r="O160" s="308" t="s">
        <v>2948</v>
      </c>
      <c r="P160" s="308" t="s">
        <v>4298</v>
      </c>
      <c r="Q160" s="310">
        <v>1.0</v>
      </c>
      <c r="R160" s="308" t="s">
        <v>569</v>
      </c>
      <c r="S160" s="308">
        <v>120.0</v>
      </c>
      <c r="T160" s="311"/>
      <c r="U160" s="308" t="s">
        <v>3375</v>
      </c>
      <c r="V160" s="308" t="b">
        <v>1</v>
      </c>
      <c r="W160" s="308" t="b">
        <v>1</v>
      </c>
      <c r="X160" s="308"/>
      <c r="Y160" s="308" t="s">
        <v>4299</v>
      </c>
      <c r="Z160" s="308" t="s">
        <v>4300</v>
      </c>
      <c r="AA160" s="308" t="s">
        <v>4300</v>
      </c>
      <c r="AB160" s="308"/>
      <c r="AC160" s="308"/>
      <c r="AD160" s="308" t="s">
        <v>23</v>
      </c>
      <c r="AE160" s="308">
        <v>20132.0</v>
      </c>
      <c r="AF160" s="308" t="s">
        <v>2954</v>
      </c>
      <c r="AG160" s="308" t="s">
        <v>2955</v>
      </c>
      <c r="AH160" s="308"/>
      <c r="AI160" s="308" t="s">
        <v>4299</v>
      </c>
      <c r="AJ160" s="308" t="s">
        <v>4301</v>
      </c>
      <c r="AK160" s="308" t="s">
        <v>4302</v>
      </c>
      <c r="AL160" s="308" t="s">
        <v>4303</v>
      </c>
      <c r="AM160" s="308"/>
      <c r="AN160" s="308" t="s">
        <v>23</v>
      </c>
      <c r="AO160" s="308">
        <v>20132.0</v>
      </c>
      <c r="AP160" s="308" t="s">
        <v>2954</v>
      </c>
      <c r="AQ160" s="308" t="s">
        <v>2955</v>
      </c>
      <c r="AR160" s="308">
        <v>3.458979104E9</v>
      </c>
      <c r="AS160" s="311"/>
      <c r="AT160" s="311"/>
      <c r="AU160" s="311"/>
      <c r="AV160" s="308" t="s">
        <v>3009</v>
      </c>
      <c r="AW160" s="308">
        <v>4.7750558941511E13</v>
      </c>
      <c r="AX160" s="310">
        <v>0.0</v>
      </c>
      <c r="AY160" s="308" t="s">
        <v>2974</v>
      </c>
      <c r="AZ160" s="308">
        <v>0.0</v>
      </c>
      <c r="BA160" s="311"/>
      <c r="BB160" s="311"/>
      <c r="BC160" s="311"/>
      <c r="BD160" s="308">
        <v>7.638541959495E12</v>
      </c>
      <c r="BE160" s="311"/>
      <c r="BF160" s="311"/>
      <c r="BG160" s="308" t="s">
        <v>2958</v>
      </c>
      <c r="BH160" s="308">
        <v>0.0</v>
      </c>
      <c r="BI160" s="308" t="s">
        <v>2959</v>
      </c>
      <c r="BJ160" s="308">
        <v>21.64</v>
      </c>
      <c r="BK160" s="311"/>
      <c r="BL160" s="311"/>
      <c r="BM160" s="311"/>
      <c r="BN160" s="311"/>
      <c r="BO160" s="311"/>
      <c r="BP160" s="311"/>
      <c r="BQ160" s="311"/>
      <c r="BR160" s="311"/>
      <c r="BS160" s="308"/>
      <c r="BT160" s="311"/>
      <c r="BU160" s="311"/>
      <c r="BV160" s="308" t="s">
        <v>23</v>
      </c>
      <c r="BW160" s="308" t="s">
        <v>23</v>
      </c>
      <c r="BX160" s="308" t="s">
        <v>3009</v>
      </c>
      <c r="BY160" s="311"/>
      <c r="BZ160" s="311"/>
      <c r="CA160" s="308" t="s">
        <v>3009</v>
      </c>
      <c r="CB160" s="312" t="str">
        <f t="shared" si="1"/>
        <v>30/04/2026</v>
      </c>
      <c r="CC160" s="313">
        <f t="shared" si="2"/>
        <v>2026</v>
      </c>
      <c r="CD160" s="314">
        <f t="shared" si="3"/>
        <v>4</v>
      </c>
      <c r="CE160" s="314">
        <f t="shared" si="4"/>
        <v>1</v>
      </c>
      <c r="CF160" s="314">
        <f t="shared" si="5"/>
        <v>1</v>
      </c>
      <c r="CG160" s="314">
        <f t="shared" si="6"/>
        <v>-5</v>
      </c>
      <c r="CH160" s="315">
        <f>VLOOKUP(CL160,'PRODUCT_COGS&amp;PRICE'!A:E,5,false)</f>
        <v>20</v>
      </c>
      <c r="CI160" s="315">
        <f t="shared" si="7"/>
        <v>-4.538</v>
      </c>
      <c r="CJ160" s="316">
        <f t="shared" si="8"/>
        <v>0</v>
      </c>
      <c r="CK160" s="316">
        <f t="shared" si="9"/>
        <v>0</v>
      </c>
      <c r="CL160" s="314" t="str">
        <f>VLOOKUP(R160,PRODUCT_MAP!A:B,2,FALSE)</f>
        <v>Lea_Bag_RED_PATENT</v>
      </c>
      <c r="CM160" s="314" t="str">
        <f>VLOOKUP(R160,PRODUCT_MAP!A:E,3,FALSE)</f>
        <v>Lea Bag</v>
      </c>
    </row>
    <row r="161" ht="22.5" customHeight="1">
      <c r="A161" s="308" t="s">
        <v>4304</v>
      </c>
      <c r="B161" s="308" t="s">
        <v>4305</v>
      </c>
      <c r="C161" s="308" t="s">
        <v>2942</v>
      </c>
      <c r="D161" s="308" t="s">
        <v>4306</v>
      </c>
      <c r="E161" s="308" t="s">
        <v>3013</v>
      </c>
      <c r="F161" s="308"/>
      <c r="G161" s="308" t="s">
        <v>2946</v>
      </c>
      <c r="H161" s="308" t="s">
        <v>2947</v>
      </c>
      <c r="I161" s="308">
        <v>153.0</v>
      </c>
      <c r="J161" s="308">
        <v>0.0</v>
      </c>
      <c r="K161" s="308">
        <v>27.59</v>
      </c>
      <c r="L161" s="308">
        <v>153.0</v>
      </c>
      <c r="M161" s="308" t="s">
        <v>3094</v>
      </c>
      <c r="N161" s="308">
        <v>17.0</v>
      </c>
      <c r="O161" s="308" t="s">
        <v>2948</v>
      </c>
      <c r="P161" s="308" t="s">
        <v>4307</v>
      </c>
      <c r="Q161" s="310">
        <v>1.0</v>
      </c>
      <c r="R161" s="308" t="s">
        <v>549</v>
      </c>
      <c r="S161" s="308">
        <v>170.0</v>
      </c>
      <c r="T161" s="311"/>
      <c r="U161" s="308"/>
      <c r="V161" s="308" t="b">
        <v>1</v>
      </c>
      <c r="W161" s="308" t="b">
        <v>1</v>
      </c>
      <c r="X161" s="308"/>
      <c r="Y161" s="308" t="s">
        <v>4308</v>
      </c>
      <c r="Z161" s="308" t="s">
        <v>4309</v>
      </c>
      <c r="AA161" s="308" t="s">
        <v>4309</v>
      </c>
      <c r="AB161" s="308"/>
      <c r="AC161" s="308"/>
      <c r="AD161" s="308" t="s">
        <v>4310</v>
      </c>
      <c r="AE161" s="308">
        <v>31020.0</v>
      </c>
      <c r="AF161" s="308" t="s">
        <v>2995</v>
      </c>
      <c r="AG161" s="308" t="s">
        <v>2955</v>
      </c>
      <c r="AH161" s="308">
        <v>3.404860265E9</v>
      </c>
      <c r="AI161" s="308" t="s">
        <v>4308</v>
      </c>
      <c r="AJ161" s="308" t="s">
        <v>4309</v>
      </c>
      <c r="AK161" s="308" t="s">
        <v>4309</v>
      </c>
      <c r="AL161" s="308"/>
      <c r="AM161" s="308"/>
      <c r="AN161" s="308" t="s">
        <v>4310</v>
      </c>
      <c r="AO161" s="308">
        <v>31020.0</v>
      </c>
      <c r="AP161" s="308" t="s">
        <v>2995</v>
      </c>
      <c r="AQ161" s="308" t="s">
        <v>2955</v>
      </c>
      <c r="AR161" s="308">
        <v>3.404860265E9</v>
      </c>
      <c r="AS161" s="311"/>
      <c r="AT161" s="311"/>
      <c r="AU161" s="311"/>
      <c r="AV161" s="308" t="s">
        <v>3009</v>
      </c>
      <c r="AW161" s="308">
        <v>4.7751415333191E13</v>
      </c>
      <c r="AX161" s="310">
        <v>0.0</v>
      </c>
      <c r="AY161" s="308" t="s">
        <v>2974</v>
      </c>
      <c r="AZ161" s="308">
        <v>0.0</v>
      </c>
      <c r="BA161" s="311"/>
      <c r="BB161" s="311"/>
      <c r="BC161" s="311"/>
      <c r="BD161" s="308">
        <v>7.638911254855E12</v>
      </c>
      <c r="BE161" s="311"/>
      <c r="BF161" s="311"/>
      <c r="BG161" s="308" t="s">
        <v>2958</v>
      </c>
      <c r="BH161" s="308">
        <v>0.0</v>
      </c>
      <c r="BI161" s="308" t="s">
        <v>2959</v>
      </c>
      <c r="BJ161" s="308">
        <v>27.59</v>
      </c>
      <c r="BK161" s="311"/>
      <c r="BL161" s="311"/>
      <c r="BM161" s="311"/>
      <c r="BN161" s="311"/>
      <c r="BO161" s="311"/>
      <c r="BP161" s="311"/>
      <c r="BQ161" s="311"/>
      <c r="BR161" s="311"/>
      <c r="BS161" s="308"/>
      <c r="BT161" s="311"/>
      <c r="BU161" s="311"/>
      <c r="BV161" s="308" t="s">
        <v>2994</v>
      </c>
      <c r="BW161" s="308" t="s">
        <v>2994</v>
      </c>
      <c r="BX161" s="308" t="s">
        <v>3009</v>
      </c>
      <c r="BY161" s="311"/>
      <c r="BZ161" s="311"/>
      <c r="CA161" s="308" t="s">
        <v>3009</v>
      </c>
      <c r="CB161" s="312" t="str">
        <f t="shared" si="1"/>
        <v>30/04/2026</v>
      </c>
      <c r="CC161" s="313">
        <f t="shared" si="2"/>
        <v>2026</v>
      </c>
      <c r="CD161" s="314">
        <f t="shared" si="3"/>
        <v>4</v>
      </c>
      <c r="CE161" s="314">
        <f t="shared" si="4"/>
        <v>1</v>
      </c>
      <c r="CF161" s="314">
        <f t="shared" si="5"/>
        <v>1</v>
      </c>
      <c r="CG161" s="314">
        <f t="shared" si="6"/>
        <v>-5</v>
      </c>
      <c r="CH161" s="315">
        <f>VLOOKUP(CL161,'PRODUCT_COGS&amp;PRICE'!A:E,5,false)</f>
        <v>36</v>
      </c>
      <c r="CI161" s="315">
        <f t="shared" si="7"/>
        <v>-5.6897</v>
      </c>
      <c r="CJ161" s="316">
        <f t="shared" si="8"/>
        <v>0</v>
      </c>
      <c r="CK161" s="316">
        <f t="shared" si="9"/>
        <v>17</v>
      </c>
      <c r="CL161" s="314" t="str">
        <f>VLOOKUP(R161,PRODUCT_MAP!A:B,2,FALSE)</f>
        <v>Lea_Bag_Maxi_COCCO_BLACK</v>
      </c>
      <c r="CM161" s="314" t="str">
        <f>VLOOKUP(R161,PRODUCT_MAP!A:E,3,FALSE)</f>
        <v>Lea Bag Maxi</v>
      </c>
    </row>
    <row r="162" ht="22.5" customHeight="1">
      <c r="A162" s="308" t="s">
        <v>4311</v>
      </c>
      <c r="B162" s="308" t="s">
        <v>4312</v>
      </c>
      <c r="C162" s="308" t="s">
        <v>2942</v>
      </c>
      <c r="D162" s="308" t="s">
        <v>4313</v>
      </c>
      <c r="E162" s="308" t="s">
        <v>3013</v>
      </c>
      <c r="F162" s="308"/>
      <c r="G162" s="308" t="s">
        <v>2965</v>
      </c>
      <c r="H162" s="308" t="s">
        <v>2947</v>
      </c>
      <c r="I162" s="308">
        <v>50.0</v>
      </c>
      <c r="J162" s="308">
        <v>3.9</v>
      </c>
      <c r="K162" s="308">
        <v>9.72</v>
      </c>
      <c r="L162" s="308">
        <v>53.9</v>
      </c>
      <c r="M162" s="308"/>
      <c r="N162" s="308">
        <v>0.0</v>
      </c>
      <c r="O162" s="308" t="s">
        <v>2948</v>
      </c>
      <c r="P162" s="308" t="s">
        <v>4314</v>
      </c>
      <c r="Q162" s="310">
        <v>1.0</v>
      </c>
      <c r="R162" s="308" t="s">
        <v>722</v>
      </c>
      <c r="S162" s="308">
        <v>50.0</v>
      </c>
      <c r="T162" s="311"/>
      <c r="U162" s="308" t="s">
        <v>4315</v>
      </c>
      <c r="V162" s="308" t="b">
        <v>1</v>
      </c>
      <c r="W162" s="308" t="b">
        <v>1</v>
      </c>
      <c r="X162" s="308"/>
      <c r="Y162" s="308" t="s">
        <v>4316</v>
      </c>
      <c r="Z162" s="308" t="s">
        <v>4317</v>
      </c>
      <c r="AA162" s="308" t="s">
        <v>4317</v>
      </c>
      <c r="AB162" s="308"/>
      <c r="AC162" s="308"/>
      <c r="AD162" s="308" t="s">
        <v>4318</v>
      </c>
      <c r="AE162" s="308">
        <v>57126.0</v>
      </c>
      <c r="AF162" s="308" t="s">
        <v>4319</v>
      </c>
      <c r="AG162" s="308" t="s">
        <v>2955</v>
      </c>
      <c r="AH162" s="318" t="s">
        <v>4320</v>
      </c>
      <c r="AI162" s="308" t="s">
        <v>4316</v>
      </c>
      <c r="AJ162" s="308" t="s">
        <v>4317</v>
      </c>
      <c r="AK162" s="308" t="s">
        <v>4317</v>
      </c>
      <c r="AL162" s="308"/>
      <c r="AM162" s="308"/>
      <c r="AN162" s="308" t="s">
        <v>4318</v>
      </c>
      <c r="AO162" s="308">
        <v>57126.0</v>
      </c>
      <c r="AP162" s="308" t="s">
        <v>4319</v>
      </c>
      <c r="AQ162" s="308" t="s">
        <v>2955</v>
      </c>
      <c r="AR162" s="318" t="s">
        <v>4320</v>
      </c>
      <c r="AS162" s="311"/>
      <c r="AT162" s="311"/>
      <c r="AU162" s="311"/>
      <c r="AV162" s="308" t="s">
        <v>3009</v>
      </c>
      <c r="AW162" s="308">
        <v>4.7745821737287E13</v>
      </c>
      <c r="AX162" s="310">
        <v>0.0</v>
      </c>
      <c r="AY162" s="308" t="s">
        <v>2974</v>
      </c>
      <c r="AZ162" s="308">
        <v>0.0</v>
      </c>
      <c r="BA162" s="311"/>
      <c r="BB162" s="311"/>
      <c r="BC162" s="311"/>
      <c r="BD162" s="308">
        <v>7.639634346311E12</v>
      </c>
      <c r="BE162" s="311"/>
      <c r="BF162" s="311"/>
      <c r="BG162" s="308" t="s">
        <v>2958</v>
      </c>
      <c r="BH162" s="308">
        <v>0.0</v>
      </c>
      <c r="BI162" s="308" t="s">
        <v>2959</v>
      </c>
      <c r="BJ162" s="308">
        <v>9.02</v>
      </c>
      <c r="BK162" s="311"/>
      <c r="BL162" s="311"/>
      <c r="BM162" s="311"/>
      <c r="BN162" s="311"/>
      <c r="BO162" s="311"/>
      <c r="BP162" s="311"/>
      <c r="BQ162" s="311"/>
      <c r="BR162" s="311"/>
      <c r="BS162" s="308"/>
      <c r="BT162" s="311"/>
      <c r="BU162" s="311"/>
      <c r="BV162" s="308" t="s">
        <v>4318</v>
      </c>
      <c r="BW162" s="308" t="s">
        <v>4318</v>
      </c>
      <c r="BX162" s="308" t="s">
        <v>3009</v>
      </c>
      <c r="BY162" s="311"/>
      <c r="BZ162" s="311"/>
      <c r="CA162" s="308" t="s">
        <v>3009</v>
      </c>
      <c r="CB162" s="312" t="str">
        <f t="shared" si="1"/>
        <v>30/04/2026</v>
      </c>
      <c r="CC162" s="313">
        <f t="shared" si="2"/>
        <v>2026</v>
      </c>
      <c r="CD162" s="314">
        <f t="shared" si="3"/>
        <v>4</v>
      </c>
      <c r="CE162" s="314">
        <f t="shared" si="4"/>
        <v>1</v>
      </c>
      <c r="CF162" s="314">
        <f t="shared" si="5"/>
        <v>1</v>
      </c>
      <c r="CG162" s="314">
        <f t="shared" si="6"/>
        <v>0</v>
      </c>
      <c r="CH162" s="315">
        <f>VLOOKUP(CL162,'PRODUCT_COGS&amp;PRICE'!A:E,5,false)</f>
        <v>4</v>
      </c>
      <c r="CI162" s="315">
        <f t="shared" si="7"/>
        <v>-2.23111</v>
      </c>
      <c r="CJ162" s="316">
        <f t="shared" si="8"/>
        <v>0</v>
      </c>
      <c r="CK162" s="316">
        <f t="shared" si="9"/>
        <v>0</v>
      </c>
      <c r="CL162" s="314" t="str">
        <f>VLOOKUP(R162,PRODUCT_MAP!A:B,2,FALSE)</f>
        <v>Nina_Bag_Stripes_Strawberry</v>
      </c>
      <c r="CM162" s="314" t="str">
        <f>VLOOKUP(R162,PRODUCT_MAP!A:E,3,FALSE)</f>
        <v>Nina Bag</v>
      </c>
    </row>
    <row r="163" ht="22.5" customHeight="1">
      <c r="A163" s="308" t="s">
        <v>4321</v>
      </c>
      <c r="B163" s="308" t="s">
        <v>4322</v>
      </c>
      <c r="C163" s="308" t="s">
        <v>2942</v>
      </c>
      <c r="D163" s="308" t="s">
        <v>4323</v>
      </c>
      <c r="E163" s="308" t="s">
        <v>3013</v>
      </c>
      <c r="F163" s="308"/>
      <c r="G163" s="308" t="s">
        <v>2946</v>
      </c>
      <c r="H163" s="308" t="s">
        <v>2947</v>
      </c>
      <c r="I163" s="308">
        <v>108.0</v>
      </c>
      <c r="J163" s="308">
        <v>0.0</v>
      </c>
      <c r="K163" s="308">
        <v>19.48</v>
      </c>
      <c r="L163" s="308">
        <v>108.0</v>
      </c>
      <c r="M163" s="308" t="s">
        <v>3094</v>
      </c>
      <c r="N163" s="308">
        <v>12.0</v>
      </c>
      <c r="O163" s="308" t="s">
        <v>2948</v>
      </c>
      <c r="P163" s="308" t="s">
        <v>4324</v>
      </c>
      <c r="Q163" s="310">
        <v>1.0</v>
      </c>
      <c r="R163" s="308" t="s">
        <v>509</v>
      </c>
      <c r="S163" s="308">
        <v>120.0</v>
      </c>
      <c r="T163" s="311"/>
      <c r="U163" s="308" t="s">
        <v>161</v>
      </c>
      <c r="V163" s="308" t="b">
        <v>1</v>
      </c>
      <c r="W163" s="308" t="b">
        <v>1</v>
      </c>
      <c r="X163" s="308"/>
      <c r="Y163" s="308" t="s">
        <v>4325</v>
      </c>
      <c r="Z163" s="308" t="s">
        <v>4326</v>
      </c>
      <c r="AA163" s="308" t="s">
        <v>4326</v>
      </c>
      <c r="AB163" s="308"/>
      <c r="AC163" s="308"/>
      <c r="AD163" s="308" t="s">
        <v>3049</v>
      </c>
      <c r="AE163" s="308">
        <v>41126.0</v>
      </c>
      <c r="AF163" s="308" t="s">
        <v>3047</v>
      </c>
      <c r="AG163" s="308" t="s">
        <v>2955</v>
      </c>
      <c r="AH163" s="308">
        <v>3.494636506E9</v>
      </c>
      <c r="AI163" s="308" t="s">
        <v>4325</v>
      </c>
      <c r="AJ163" s="308" t="s">
        <v>4326</v>
      </c>
      <c r="AK163" s="308" t="s">
        <v>4326</v>
      </c>
      <c r="AL163" s="308"/>
      <c r="AM163" s="308"/>
      <c r="AN163" s="308" t="s">
        <v>3049</v>
      </c>
      <c r="AO163" s="308">
        <v>41126.0</v>
      </c>
      <c r="AP163" s="308" t="s">
        <v>3047</v>
      </c>
      <c r="AQ163" s="308" t="s">
        <v>2955</v>
      </c>
      <c r="AR163" s="308">
        <v>3.494636506E9</v>
      </c>
      <c r="AS163" s="311"/>
      <c r="AT163" s="311"/>
      <c r="AU163" s="311"/>
      <c r="AV163" s="308" t="s">
        <v>2956</v>
      </c>
      <c r="AW163" s="308">
        <v>4.7753908420935E13</v>
      </c>
      <c r="AX163" s="310">
        <v>0.0</v>
      </c>
      <c r="AY163" s="308" t="s">
        <v>2974</v>
      </c>
      <c r="AZ163" s="308">
        <v>0.0</v>
      </c>
      <c r="BA163" s="311"/>
      <c r="BB163" s="311"/>
      <c r="BC163" s="311"/>
      <c r="BD163" s="308">
        <v>7.640194777415E12</v>
      </c>
      <c r="BE163" s="311"/>
      <c r="BF163" s="311"/>
      <c r="BG163" s="308" t="s">
        <v>2958</v>
      </c>
      <c r="BH163" s="308">
        <v>0.0</v>
      </c>
      <c r="BI163" s="308" t="s">
        <v>2959</v>
      </c>
      <c r="BJ163" s="308">
        <v>19.48</v>
      </c>
      <c r="BK163" s="311"/>
      <c r="BL163" s="311"/>
      <c r="BM163" s="311"/>
      <c r="BN163" s="311"/>
      <c r="BO163" s="311"/>
      <c r="BP163" s="311"/>
      <c r="BQ163" s="311"/>
      <c r="BR163" s="311"/>
      <c r="BS163" s="308"/>
      <c r="BT163" s="311"/>
      <c r="BU163" s="311"/>
      <c r="BV163" s="308" t="s">
        <v>3049</v>
      </c>
      <c r="BW163" s="308" t="s">
        <v>3049</v>
      </c>
      <c r="BX163" s="308" t="s">
        <v>2956</v>
      </c>
      <c r="BY163" s="311"/>
      <c r="BZ163" s="311"/>
      <c r="CA163" s="308" t="s">
        <v>2956</v>
      </c>
      <c r="CB163" s="312" t="str">
        <f t="shared" si="1"/>
        <v>30/04/2026</v>
      </c>
      <c r="CC163" s="313">
        <f t="shared" si="2"/>
        <v>2026</v>
      </c>
      <c r="CD163" s="314">
        <f t="shared" si="3"/>
        <v>4</v>
      </c>
      <c r="CE163" s="314">
        <f t="shared" si="4"/>
        <v>1</v>
      </c>
      <c r="CF163" s="314">
        <f t="shared" si="5"/>
        <v>1</v>
      </c>
      <c r="CG163" s="314">
        <f t="shared" si="6"/>
        <v>-5</v>
      </c>
      <c r="CH163" s="315">
        <f>VLOOKUP(CL163,'PRODUCT_COGS&amp;PRICE'!A:E,5,false)</f>
        <v>30.33</v>
      </c>
      <c r="CI163" s="315">
        <f t="shared" si="7"/>
        <v>-2.302</v>
      </c>
      <c r="CJ163" s="316">
        <f t="shared" si="8"/>
        <v>0</v>
      </c>
      <c r="CK163" s="316">
        <f t="shared" si="9"/>
        <v>12</v>
      </c>
      <c r="CL163" s="314" t="str">
        <f>VLOOKUP(R163,PRODUCT_MAP!A:B,2,FALSE)</f>
        <v>Lea_Bag_COCCO_BLACK</v>
      </c>
      <c r="CM163" s="314" t="str">
        <f>VLOOKUP(R163,PRODUCT_MAP!A:E,3,FALSE)</f>
        <v>Lea Bag</v>
      </c>
    </row>
    <row r="164" ht="22.5" customHeight="1">
      <c r="A164" s="308" t="s">
        <v>4327</v>
      </c>
      <c r="B164" s="308" t="s">
        <v>4328</v>
      </c>
      <c r="C164" s="308" t="s">
        <v>4329</v>
      </c>
      <c r="D164" s="308" t="s">
        <v>4330</v>
      </c>
      <c r="E164" s="308" t="s">
        <v>3013</v>
      </c>
      <c r="F164" s="308"/>
      <c r="G164" s="308" t="s">
        <v>2946</v>
      </c>
      <c r="H164" s="308" t="s">
        <v>2947</v>
      </c>
      <c r="I164" s="308">
        <v>135.0</v>
      </c>
      <c r="J164" s="308">
        <v>0.0</v>
      </c>
      <c r="K164" s="308">
        <v>24.34</v>
      </c>
      <c r="L164" s="308">
        <v>135.0</v>
      </c>
      <c r="M164" s="308" t="s">
        <v>3094</v>
      </c>
      <c r="N164" s="308">
        <v>15.0</v>
      </c>
      <c r="O164" s="308" t="s">
        <v>2948</v>
      </c>
      <c r="P164" s="308" t="s">
        <v>4331</v>
      </c>
      <c r="Q164" s="310">
        <v>1.0</v>
      </c>
      <c r="R164" s="308" t="s">
        <v>3214</v>
      </c>
      <c r="S164" s="308">
        <v>150.0</v>
      </c>
      <c r="T164" s="311"/>
      <c r="U164" s="308" t="s">
        <v>229</v>
      </c>
      <c r="V164" s="308" t="b">
        <v>1</v>
      </c>
      <c r="W164" s="308" t="b">
        <v>1</v>
      </c>
      <c r="X164" s="308"/>
      <c r="Y164" s="308" t="s">
        <v>4332</v>
      </c>
      <c r="Z164" s="308" t="s">
        <v>4333</v>
      </c>
      <c r="AA164" s="308" t="s">
        <v>4333</v>
      </c>
      <c r="AB164" s="308"/>
      <c r="AC164" s="308"/>
      <c r="AD164" s="308" t="s">
        <v>3549</v>
      </c>
      <c r="AE164" s="308">
        <v>50141.0</v>
      </c>
      <c r="AF164" s="308" t="s">
        <v>3550</v>
      </c>
      <c r="AG164" s="308" t="s">
        <v>2955</v>
      </c>
      <c r="AH164" s="308">
        <v>3.336387756E9</v>
      </c>
      <c r="AI164" s="308" t="s">
        <v>4332</v>
      </c>
      <c r="AJ164" s="308" t="s">
        <v>4333</v>
      </c>
      <c r="AK164" s="308" t="s">
        <v>4333</v>
      </c>
      <c r="AL164" s="308"/>
      <c r="AM164" s="308"/>
      <c r="AN164" s="308" t="s">
        <v>3549</v>
      </c>
      <c r="AO164" s="308">
        <v>50141.0</v>
      </c>
      <c r="AP164" s="308" t="s">
        <v>3550</v>
      </c>
      <c r="AQ164" s="308" t="s">
        <v>2955</v>
      </c>
      <c r="AR164" s="308">
        <v>3.336387756E9</v>
      </c>
      <c r="AS164" s="311"/>
      <c r="AT164" s="311"/>
      <c r="AU164" s="311"/>
      <c r="AV164" s="308" t="s">
        <v>2956</v>
      </c>
      <c r="AW164" s="308">
        <v>4.7755872305479E13</v>
      </c>
      <c r="AX164" s="310">
        <v>135.0</v>
      </c>
      <c r="AY164" s="308" t="s">
        <v>2974</v>
      </c>
      <c r="AZ164" s="308">
        <v>0.0</v>
      </c>
      <c r="BA164" s="311"/>
      <c r="BB164" s="311"/>
      <c r="BC164" s="311"/>
      <c r="BD164" s="308">
        <v>7.640805769543E12</v>
      </c>
      <c r="BE164" s="311"/>
      <c r="BF164" s="311"/>
      <c r="BG164" s="308" t="s">
        <v>2958</v>
      </c>
      <c r="BH164" s="308">
        <v>0.0</v>
      </c>
      <c r="BI164" s="308" t="s">
        <v>2959</v>
      </c>
      <c r="BJ164" s="308">
        <v>24.34</v>
      </c>
      <c r="BK164" s="311"/>
      <c r="BL164" s="311"/>
      <c r="BM164" s="311"/>
      <c r="BN164" s="311"/>
      <c r="BO164" s="311"/>
      <c r="BP164" s="311"/>
      <c r="BQ164" s="311"/>
      <c r="BR164" s="311"/>
      <c r="BS164" s="308"/>
      <c r="BT164" s="311"/>
      <c r="BU164" s="311"/>
      <c r="BV164" s="308" t="s">
        <v>3549</v>
      </c>
      <c r="BW164" s="308" t="s">
        <v>3549</v>
      </c>
      <c r="BX164" s="308" t="s">
        <v>2956</v>
      </c>
      <c r="BY164" s="311"/>
      <c r="BZ164" s="311"/>
      <c r="CA164" s="308" t="s">
        <v>2956</v>
      </c>
      <c r="CB164" s="312" t="str">
        <f t="shared" si="1"/>
        <v>01/05/2026</v>
      </c>
      <c r="CC164" s="313">
        <f t="shared" si="2"/>
        <v>2026</v>
      </c>
      <c r="CD164" s="314">
        <f t="shared" si="3"/>
        <v>5</v>
      </c>
      <c r="CE164" s="314">
        <f t="shared" si="4"/>
        <v>0</v>
      </c>
      <c r="CF164" s="314">
        <f t="shared" si="5"/>
        <v>0</v>
      </c>
      <c r="CG164" s="314">
        <f t="shared" si="6"/>
        <v>0</v>
      </c>
      <c r="CH164" s="315">
        <f>VLOOKUP(CL164,'PRODUCT_COGS&amp;PRICE'!A:E,5,false)</f>
        <v>33</v>
      </c>
      <c r="CI164" s="315">
        <f t="shared" si="7"/>
        <v>-2.815</v>
      </c>
      <c r="CJ164" s="316">
        <f t="shared" si="8"/>
        <v>0</v>
      </c>
      <c r="CK164" s="316">
        <f t="shared" si="9"/>
        <v>15</v>
      </c>
      <c r="CL164" s="314" t="str">
        <f>VLOOKUP(R164,PRODUCT_MAP!A:B,2,FALSE)</f>
        <v>Lea_Bag_ZEBRA</v>
      </c>
      <c r="CM164" s="314" t="str">
        <f>VLOOKUP(R164,PRODUCT_MAP!A:E,3,FALSE)</f>
        <v>Lea Bag</v>
      </c>
    </row>
    <row r="165" ht="22.5" customHeight="1">
      <c r="A165" s="308" t="s">
        <v>4334</v>
      </c>
      <c r="B165" s="308" t="s">
        <v>4335</v>
      </c>
      <c r="C165" s="308" t="s">
        <v>2942</v>
      </c>
      <c r="D165" s="308" t="s">
        <v>4336</v>
      </c>
      <c r="E165" s="308" t="s">
        <v>3013</v>
      </c>
      <c r="F165" s="308"/>
      <c r="G165" s="308" t="s">
        <v>2965</v>
      </c>
      <c r="H165" s="308" t="s">
        <v>2947</v>
      </c>
      <c r="I165" s="308">
        <v>90.0</v>
      </c>
      <c r="J165" s="308">
        <v>3.9</v>
      </c>
      <c r="K165" s="308">
        <v>16.93</v>
      </c>
      <c r="L165" s="308">
        <v>93.9</v>
      </c>
      <c r="M165" s="308"/>
      <c r="N165" s="308">
        <v>0.0</v>
      </c>
      <c r="O165" s="308" t="s">
        <v>2948</v>
      </c>
      <c r="P165" s="308" t="s">
        <v>4337</v>
      </c>
      <c r="Q165" s="310">
        <v>1.0</v>
      </c>
      <c r="R165" s="308" t="s">
        <v>4338</v>
      </c>
      <c r="S165" s="308">
        <v>90.0</v>
      </c>
      <c r="T165" s="311"/>
      <c r="U165" s="308" t="s">
        <v>4339</v>
      </c>
      <c r="V165" s="308" t="b">
        <v>1</v>
      </c>
      <c r="W165" s="308" t="b">
        <v>1</v>
      </c>
      <c r="X165" s="308"/>
      <c r="Y165" s="308" t="s">
        <v>4340</v>
      </c>
      <c r="Z165" s="308" t="s">
        <v>4341</v>
      </c>
      <c r="AA165" s="308" t="s">
        <v>4341</v>
      </c>
      <c r="AB165" s="308"/>
      <c r="AC165" s="308"/>
      <c r="AD165" s="308" t="s">
        <v>23</v>
      </c>
      <c r="AE165" s="308">
        <v>20135.0</v>
      </c>
      <c r="AF165" s="308" t="s">
        <v>2954</v>
      </c>
      <c r="AG165" s="308" t="s">
        <v>2955</v>
      </c>
      <c r="AH165" s="308"/>
      <c r="AI165" s="308" t="s">
        <v>4342</v>
      </c>
      <c r="AJ165" s="308" t="s">
        <v>4343</v>
      </c>
      <c r="AK165" s="308" t="s">
        <v>4344</v>
      </c>
      <c r="AL165" s="308" t="s">
        <v>4345</v>
      </c>
      <c r="AM165" s="308"/>
      <c r="AN165" s="308" t="s">
        <v>3081</v>
      </c>
      <c r="AO165" s="308">
        <v>168.0</v>
      </c>
      <c r="AP165" s="308" t="s">
        <v>3082</v>
      </c>
      <c r="AQ165" s="308" t="s">
        <v>2955</v>
      </c>
      <c r="AR165" s="318" t="s">
        <v>4346</v>
      </c>
      <c r="AS165" s="311"/>
      <c r="AT165" s="311"/>
      <c r="AU165" s="311"/>
      <c r="AV165" s="308" t="s">
        <v>2956</v>
      </c>
      <c r="AW165" s="308">
        <v>4.7751529529671E13</v>
      </c>
      <c r="AX165" s="310">
        <v>0.0</v>
      </c>
      <c r="AY165" s="308" t="s">
        <v>2974</v>
      </c>
      <c r="AZ165" s="308">
        <v>0.0</v>
      </c>
      <c r="BA165" s="311"/>
      <c r="BB165" s="311"/>
      <c r="BC165" s="311"/>
      <c r="BD165" s="308">
        <v>7.641758105927E12</v>
      </c>
      <c r="BE165" s="311"/>
      <c r="BF165" s="311"/>
      <c r="BG165" s="308" t="s">
        <v>2958</v>
      </c>
      <c r="BH165" s="308">
        <v>0.0</v>
      </c>
      <c r="BI165" s="308" t="s">
        <v>2959</v>
      </c>
      <c r="BJ165" s="308">
        <v>16.23</v>
      </c>
      <c r="BK165" s="311"/>
      <c r="BL165" s="311"/>
      <c r="BM165" s="311"/>
      <c r="BN165" s="311"/>
      <c r="BO165" s="311"/>
      <c r="BP165" s="311"/>
      <c r="BQ165" s="311"/>
      <c r="BR165" s="311"/>
      <c r="BS165" s="308"/>
      <c r="BT165" s="311"/>
      <c r="BU165" s="311"/>
      <c r="BV165" s="308" t="s">
        <v>23</v>
      </c>
      <c r="BW165" s="308" t="s">
        <v>3081</v>
      </c>
      <c r="BX165" s="308" t="s">
        <v>2956</v>
      </c>
      <c r="BY165" s="311"/>
      <c r="BZ165" s="311"/>
      <c r="CA165" s="308" t="s">
        <v>2956</v>
      </c>
      <c r="CB165" s="312" t="str">
        <f t="shared" si="1"/>
        <v>01/05/2026</v>
      </c>
      <c r="CC165" s="313">
        <f t="shared" si="2"/>
        <v>2026</v>
      </c>
      <c r="CD165" s="314">
        <f t="shared" si="3"/>
        <v>5</v>
      </c>
      <c r="CE165" s="314">
        <f t="shared" si="4"/>
        <v>1</v>
      </c>
      <c r="CF165" s="314">
        <f t="shared" si="5"/>
        <v>1</v>
      </c>
      <c r="CG165" s="314">
        <f t="shared" si="6"/>
        <v>0</v>
      </c>
      <c r="CH165" s="315">
        <f>VLOOKUP(CL165,'PRODUCT_COGS&amp;PRICE'!A:E,5,false)</f>
        <v>19</v>
      </c>
      <c r="CI165" s="315">
        <f t="shared" si="7"/>
        <v>-2.0341</v>
      </c>
      <c r="CJ165" s="316">
        <f t="shared" si="8"/>
        <v>0</v>
      </c>
      <c r="CK165" s="316">
        <f t="shared" si="9"/>
        <v>0</v>
      </c>
      <c r="CL165" s="314" t="str">
        <f>VLOOKUP(R165,PRODUCT_MAP!A:B,2,FALSE)</f>
        <v>Agata_Bag_FLORAL_BORDEAUX_EMBROIDERY</v>
      </c>
      <c r="CM165" s="314" t="str">
        <f>VLOOKUP(R165,PRODUCT_MAP!A:E,3,FALSE)</f>
        <v>Agata Bag</v>
      </c>
    </row>
    <row r="166" ht="22.5" customHeight="1">
      <c r="A166" s="308" t="s">
        <v>4347</v>
      </c>
      <c r="B166" s="308" t="s">
        <v>4348</v>
      </c>
      <c r="C166" s="308" t="s">
        <v>2942</v>
      </c>
      <c r="D166" s="308" t="s">
        <v>4349</v>
      </c>
      <c r="E166" s="308" t="s">
        <v>3013</v>
      </c>
      <c r="F166" s="308"/>
      <c r="G166" s="308" t="s">
        <v>2946</v>
      </c>
      <c r="H166" s="308" t="s">
        <v>2947</v>
      </c>
      <c r="I166" s="308">
        <v>153.0</v>
      </c>
      <c r="J166" s="308">
        <v>0.0</v>
      </c>
      <c r="K166" s="308">
        <v>27.59</v>
      </c>
      <c r="L166" s="308">
        <v>153.0</v>
      </c>
      <c r="M166" s="308" t="s">
        <v>3094</v>
      </c>
      <c r="N166" s="308">
        <v>17.0</v>
      </c>
      <c r="O166" s="308" t="s">
        <v>2979</v>
      </c>
      <c r="P166" s="308" t="s">
        <v>4350</v>
      </c>
      <c r="Q166" s="310">
        <v>1.0</v>
      </c>
      <c r="R166" s="308" t="s">
        <v>559</v>
      </c>
      <c r="S166" s="308">
        <v>170.0</v>
      </c>
      <c r="T166" s="311"/>
      <c r="U166" s="308"/>
      <c r="V166" s="308" t="b">
        <v>1</v>
      </c>
      <c r="W166" s="308" t="b">
        <v>1</v>
      </c>
      <c r="X166" s="308"/>
      <c r="Y166" s="308" t="s">
        <v>4351</v>
      </c>
      <c r="Z166" s="308" t="s">
        <v>4352</v>
      </c>
      <c r="AA166" s="308" t="s">
        <v>4352</v>
      </c>
      <c r="AB166" s="308"/>
      <c r="AC166" s="308"/>
      <c r="AD166" s="308" t="s">
        <v>23</v>
      </c>
      <c r="AE166" s="308">
        <v>20141.0</v>
      </c>
      <c r="AF166" s="308" t="s">
        <v>2954</v>
      </c>
      <c r="AG166" s="308" t="s">
        <v>2955</v>
      </c>
      <c r="AH166" s="308">
        <v>3.335861377E9</v>
      </c>
      <c r="AI166" s="308"/>
      <c r="AJ166" s="308"/>
      <c r="AK166" s="308"/>
      <c r="AL166" s="308"/>
      <c r="AM166" s="308"/>
      <c r="AN166" s="308"/>
      <c r="AO166" s="308"/>
      <c r="AP166" s="308"/>
      <c r="AQ166" s="308"/>
      <c r="AR166" s="308"/>
      <c r="AS166" s="311"/>
      <c r="AT166" s="311"/>
      <c r="AU166" s="311"/>
      <c r="AV166" s="308" t="s">
        <v>3009</v>
      </c>
      <c r="AW166" s="308">
        <v>4.7758322401607E13</v>
      </c>
      <c r="AX166" s="310">
        <v>0.0</v>
      </c>
      <c r="AY166" s="308" t="s">
        <v>2974</v>
      </c>
      <c r="AZ166" s="308">
        <v>0.0</v>
      </c>
      <c r="BA166" s="311"/>
      <c r="BB166" s="311"/>
      <c r="BC166" s="311"/>
      <c r="BD166" s="308">
        <v>7.641926271303E12</v>
      </c>
      <c r="BE166" s="311"/>
      <c r="BF166" s="311"/>
      <c r="BG166" s="308" t="s">
        <v>2958</v>
      </c>
      <c r="BH166" s="308">
        <v>0.0</v>
      </c>
      <c r="BI166" s="308" t="s">
        <v>2959</v>
      </c>
      <c r="BJ166" s="308">
        <v>27.59</v>
      </c>
      <c r="BK166" s="311"/>
      <c r="BL166" s="311"/>
      <c r="BM166" s="311"/>
      <c r="BN166" s="311"/>
      <c r="BO166" s="311"/>
      <c r="BP166" s="311"/>
      <c r="BQ166" s="311"/>
      <c r="BR166" s="311"/>
      <c r="BS166" s="308"/>
      <c r="BT166" s="311"/>
      <c r="BU166" s="311"/>
      <c r="BV166" s="308" t="s">
        <v>23</v>
      </c>
      <c r="BW166" s="308"/>
      <c r="BX166" s="308" t="s">
        <v>3009</v>
      </c>
      <c r="BY166" s="311"/>
      <c r="BZ166" s="311"/>
      <c r="CA166" s="308" t="s">
        <v>3009</v>
      </c>
      <c r="CB166" s="312" t="str">
        <f t="shared" si="1"/>
        <v>01/05/2026</v>
      </c>
      <c r="CC166" s="313">
        <f t="shared" si="2"/>
        <v>2026</v>
      </c>
      <c r="CD166" s="314">
        <f t="shared" si="3"/>
        <v>5</v>
      </c>
      <c r="CE166" s="314">
        <f t="shared" si="4"/>
        <v>1</v>
      </c>
      <c r="CF166" s="314">
        <f t="shared" si="5"/>
        <v>1</v>
      </c>
      <c r="CG166" s="314">
        <f t="shared" si="6"/>
        <v>-5</v>
      </c>
      <c r="CH166" s="315">
        <f>VLOOKUP(CL166,'PRODUCT_COGS&amp;PRICE'!A:E,5,false)</f>
        <v>25</v>
      </c>
      <c r="CI166" s="315">
        <f t="shared" si="7"/>
        <v>-5.6897</v>
      </c>
      <c r="CJ166" s="316">
        <f t="shared" si="8"/>
        <v>0</v>
      </c>
      <c r="CK166" s="316">
        <f t="shared" si="9"/>
        <v>17</v>
      </c>
      <c r="CL166" s="314" t="str">
        <f>VLOOKUP(R166,PRODUCT_MAP!A:B,2,FALSE)</f>
        <v>Lea_Bag_Maxi_SUEDE_CHOCOLATE</v>
      </c>
      <c r="CM166" s="314" t="str">
        <f>VLOOKUP(R166,PRODUCT_MAP!A:E,3,FALSE)</f>
        <v>Lea Bag Maxi</v>
      </c>
    </row>
    <row r="167" ht="22.5" customHeight="1">
      <c r="A167" s="308" t="s">
        <v>4353</v>
      </c>
      <c r="B167" s="308" t="s">
        <v>4354</v>
      </c>
      <c r="C167" s="308" t="s">
        <v>2942</v>
      </c>
      <c r="D167" s="308" t="s">
        <v>4355</v>
      </c>
      <c r="E167" s="308" t="s">
        <v>3013</v>
      </c>
      <c r="F167" s="308"/>
      <c r="G167" s="308" t="s">
        <v>2946</v>
      </c>
      <c r="H167" s="308" t="s">
        <v>2947</v>
      </c>
      <c r="I167" s="308">
        <v>108.0</v>
      </c>
      <c r="J167" s="308">
        <v>0.0</v>
      </c>
      <c r="K167" s="308">
        <v>19.48</v>
      </c>
      <c r="L167" s="308">
        <v>108.0</v>
      </c>
      <c r="M167" s="308" t="s">
        <v>3094</v>
      </c>
      <c r="N167" s="308">
        <v>12.0</v>
      </c>
      <c r="O167" s="308" t="s">
        <v>2948</v>
      </c>
      <c r="P167" s="308" t="s">
        <v>4356</v>
      </c>
      <c r="Q167" s="310">
        <v>1.0</v>
      </c>
      <c r="R167" s="308" t="s">
        <v>509</v>
      </c>
      <c r="S167" s="308">
        <v>120.0</v>
      </c>
      <c r="T167" s="311"/>
      <c r="U167" s="308" t="s">
        <v>161</v>
      </c>
      <c r="V167" s="308" t="b">
        <v>1</v>
      </c>
      <c r="W167" s="308" t="b">
        <v>1</v>
      </c>
      <c r="X167" s="308"/>
      <c r="Y167" s="308" t="s">
        <v>4357</v>
      </c>
      <c r="Z167" s="308" t="s">
        <v>4358</v>
      </c>
      <c r="AA167" s="308" t="s">
        <v>4358</v>
      </c>
      <c r="AB167" s="308"/>
      <c r="AC167" s="308"/>
      <c r="AD167" s="308" t="s">
        <v>4359</v>
      </c>
      <c r="AE167" s="308">
        <v>31045.0</v>
      </c>
      <c r="AF167" s="308" t="s">
        <v>2995</v>
      </c>
      <c r="AG167" s="308" t="s">
        <v>2955</v>
      </c>
      <c r="AH167" s="308"/>
      <c r="AI167" s="308" t="s">
        <v>4360</v>
      </c>
      <c r="AJ167" s="308" t="s">
        <v>4361</v>
      </c>
      <c r="AK167" s="308" t="s">
        <v>4361</v>
      </c>
      <c r="AL167" s="308"/>
      <c r="AM167" s="308"/>
      <c r="AN167" s="308" t="s">
        <v>4362</v>
      </c>
      <c r="AO167" s="308">
        <v>31020.0</v>
      </c>
      <c r="AP167" s="308" t="s">
        <v>2995</v>
      </c>
      <c r="AQ167" s="308" t="s">
        <v>2955</v>
      </c>
      <c r="AR167" s="308">
        <v>3.484355486E9</v>
      </c>
      <c r="AS167" s="311"/>
      <c r="AT167" s="311"/>
      <c r="AU167" s="311"/>
      <c r="AV167" s="308" t="s">
        <v>2956</v>
      </c>
      <c r="AW167" s="308">
        <v>4.7762064965959E13</v>
      </c>
      <c r="AX167" s="310">
        <v>0.0</v>
      </c>
      <c r="AY167" s="308" t="s">
        <v>2974</v>
      </c>
      <c r="AZ167" s="308">
        <v>0.0</v>
      </c>
      <c r="BA167" s="311"/>
      <c r="BB167" s="311"/>
      <c r="BC167" s="311"/>
      <c r="BD167" s="308">
        <v>7.643776844103E12</v>
      </c>
      <c r="BE167" s="311"/>
      <c r="BF167" s="311"/>
      <c r="BG167" s="308" t="s">
        <v>2958</v>
      </c>
      <c r="BH167" s="308">
        <v>0.0</v>
      </c>
      <c r="BI167" s="308" t="s">
        <v>2959</v>
      </c>
      <c r="BJ167" s="308">
        <v>19.48</v>
      </c>
      <c r="BK167" s="311"/>
      <c r="BL167" s="311"/>
      <c r="BM167" s="311"/>
      <c r="BN167" s="311"/>
      <c r="BO167" s="311"/>
      <c r="BP167" s="311"/>
      <c r="BQ167" s="311"/>
      <c r="BR167" s="311"/>
      <c r="BS167" s="308"/>
      <c r="BT167" s="311"/>
      <c r="BU167" s="311"/>
      <c r="BV167" s="308" t="s">
        <v>2994</v>
      </c>
      <c r="BW167" s="308" t="s">
        <v>2994</v>
      </c>
      <c r="BX167" s="308" t="s">
        <v>2956</v>
      </c>
      <c r="BY167" s="311"/>
      <c r="BZ167" s="311"/>
      <c r="CA167" s="308" t="s">
        <v>2956</v>
      </c>
      <c r="CB167" s="312" t="str">
        <f t="shared" si="1"/>
        <v>02/05/2026</v>
      </c>
      <c r="CC167" s="313">
        <f t="shared" si="2"/>
        <v>2026</v>
      </c>
      <c r="CD167" s="314">
        <f t="shared" si="3"/>
        <v>5</v>
      </c>
      <c r="CE167" s="314">
        <f t="shared" si="4"/>
        <v>1</v>
      </c>
      <c r="CF167" s="314">
        <f t="shared" si="5"/>
        <v>1</v>
      </c>
      <c r="CG167" s="314">
        <f t="shared" si="6"/>
        <v>-5</v>
      </c>
      <c r="CH167" s="315">
        <f>VLOOKUP(CL167,'PRODUCT_COGS&amp;PRICE'!A:E,5,false)</f>
        <v>30.33</v>
      </c>
      <c r="CI167" s="315">
        <f t="shared" si="7"/>
        <v>-2.302</v>
      </c>
      <c r="CJ167" s="316">
        <f t="shared" si="8"/>
        <v>0</v>
      </c>
      <c r="CK167" s="316">
        <f t="shared" si="9"/>
        <v>12</v>
      </c>
      <c r="CL167" s="314" t="str">
        <f>VLOOKUP(R167,PRODUCT_MAP!A:B,2,FALSE)</f>
        <v>Lea_Bag_COCCO_BLACK</v>
      </c>
      <c r="CM167" s="314" t="str">
        <f>VLOOKUP(R167,PRODUCT_MAP!A:E,3,FALSE)</f>
        <v>Lea Bag</v>
      </c>
    </row>
    <row r="168" ht="22.5" customHeight="1">
      <c r="A168" s="308" t="s">
        <v>4363</v>
      </c>
      <c r="B168" s="308" t="s">
        <v>4364</v>
      </c>
      <c r="C168" s="308" t="s">
        <v>2942</v>
      </c>
      <c r="D168" s="308" t="s">
        <v>4365</v>
      </c>
      <c r="E168" s="308" t="s">
        <v>3013</v>
      </c>
      <c r="F168" s="308"/>
      <c r="G168" s="308" t="s">
        <v>2946</v>
      </c>
      <c r="H168" s="308" t="s">
        <v>2947</v>
      </c>
      <c r="I168" s="308">
        <v>72.0</v>
      </c>
      <c r="J168" s="308">
        <v>3.9</v>
      </c>
      <c r="K168" s="308">
        <v>13.68</v>
      </c>
      <c r="L168" s="308">
        <v>75.9</v>
      </c>
      <c r="M168" s="308" t="s">
        <v>3094</v>
      </c>
      <c r="N168" s="308">
        <v>8.0</v>
      </c>
      <c r="O168" s="308" t="s">
        <v>2948</v>
      </c>
      <c r="P168" s="308" t="s">
        <v>4366</v>
      </c>
      <c r="Q168" s="310">
        <v>1.0</v>
      </c>
      <c r="R168" s="308" t="s">
        <v>4367</v>
      </c>
      <c r="S168" s="308">
        <v>80.0</v>
      </c>
      <c r="T168" s="311"/>
      <c r="U168" s="308" t="s">
        <v>1278</v>
      </c>
      <c r="V168" s="308" t="b">
        <v>1</v>
      </c>
      <c r="W168" s="308" t="b">
        <v>1</v>
      </c>
      <c r="X168" s="308"/>
      <c r="Y168" s="308" t="s">
        <v>4368</v>
      </c>
      <c r="Z168" s="308" t="s">
        <v>4369</v>
      </c>
      <c r="AA168" s="308" t="s">
        <v>4369</v>
      </c>
      <c r="AB168" s="308"/>
      <c r="AC168" s="308"/>
      <c r="AD168" s="308" t="s">
        <v>4370</v>
      </c>
      <c r="AE168" s="308">
        <v>62039.0</v>
      </c>
      <c r="AF168" s="308" t="s">
        <v>3369</v>
      </c>
      <c r="AG168" s="308" t="s">
        <v>2955</v>
      </c>
      <c r="AH168" s="308">
        <v>3.47931591E9</v>
      </c>
      <c r="AI168" s="308" t="s">
        <v>4368</v>
      </c>
      <c r="AJ168" s="308" t="s">
        <v>4369</v>
      </c>
      <c r="AK168" s="308" t="s">
        <v>4369</v>
      </c>
      <c r="AL168" s="308"/>
      <c r="AM168" s="308"/>
      <c r="AN168" s="308" t="s">
        <v>4370</v>
      </c>
      <c r="AO168" s="308">
        <v>62039.0</v>
      </c>
      <c r="AP168" s="308" t="s">
        <v>3369</v>
      </c>
      <c r="AQ168" s="308" t="s">
        <v>2955</v>
      </c>
      <c r="AR168" s="308">
        <v>3.47931591E9</v>
      </c>
      <c r="AS168" s="311"/>
      <c r="AT168" s="311"/>
      <c r="AU168" s="311"/>
      <c r="AV168" s="308" t="s">
        <v>2956</v>
      </c>
      <c r="AW168" s="308">
        <v>4.7762238406983E13</v>
      </c>
      <c r="AX168" s="310">
        <v>0.0</v>
      </c>
      <c r="AY168" s="308" t="s">
        <v>2974</v>
      </c>
      <c r="AZ168" s="308">
        <v>0.0</v>
      </c>
      <c r="BA168" s="311"/>
      <c r="BB168" s="311"/>
      <c r="BC168" s="311"/>
      <c r="BD168" s="308">
        <v>7.644186378567E12</v>
      </c>
      <c r="BE168" s="311"/>
      <c r="BF168" s="311"/>
      <c r="BG168" s="308" t="s">
        <v>2958</v>
      </c>
      <c r="BH168" s="308">
        <v>0.0</v>
      </c>
      <c r="BI168" s="308" t="s">
        <v>2959</v>
      </c>
      <c r="BJ168" s="308">
        <v>12.98</v>
      </c>
      <c r="BK168" s="311"/>
      <c r="BL168" s="311"/>
      <c r="BM168" s="311"/>
      <c r="BN168" s="311"/>
      <c r="BO168" s="311"/>
      <c r="BP168" s="311"/>
      <c r="BQ168" s="311"/>
      <c r="BR168" s="311"/>
      <c r="BS168" s="308"/>
      <c r="BT168" s="311"/>
      <c r="BU168" s="311"/>
      <c r="BV168" s="308" t="s">
        <v>3370</v>
      </c>
      <c r="BW168" s="308" t="s">
        <v>3370</v>
      </c>
      <c r="BX168" s="308" t="s">
        <v>2956</v>
      </c>
      <c r="BY168" s="311"/>
      <c r="BZ168" s="311"/>
      <c r="CA168" s="308" t="s">
        <v>2956</v>
      </c>
      <c r="CB168" s="312" t="str">
        <f t="shared" si="1"/>
        <v>02/05/2026</v>
      </c>
      <c r="CC168" s="313">
        <f t="shared" si="2"/>
        <v>2026</v>
      </c>
      <c r="CD168" s="314">
        <f t="shared" si="3"/>
        <v>5</v>
      </c>
      <c r="CE168" s="314">
        <f t="shared" si="4"/>
        <v>1</v>
      </c>
      <c r="CF168" s="314">
        <f t="shared" si="5"/>
        <v>1</v>
      </c>
      <c r="CG168" s="314">
        <f t="shared" si="6"/>
        <v>0</v>
      </c>
      <c r="CH168" s="315">
        <f>VLOOKUP(CL168,'PRODUCT_COGS&amp;PRICE'!A:E,5,false)</f>
        <v>19</v>
      </c>
      <c r="CI168" s="315">
        <f t="shared" si="7"/>
        <v>-1.6921</v>
      </c>
      <c r="CJ168" s="316">
        <f t="shared" si="8"/>
        <v>0</v>
      </c>
      <c r="CK168" s="316">
        <f t="shared" si="9"/>
        <v>8</v>
      </c>
      <c r="CL168" s="314" t="str">
        <f>VLOOKUP(R168,PRODUCT_MAP!A:B,2,FALSE)</f>
        <v>Agata_Bag_ROSE_BLUE</v>
      </c>
      <c r="CM168" s="314" t="str">
        <f>VLOOKUP(R168,PRODUCT_MAP!A:E,3,FALSE)</f>
        <v>Agata Bag</v>
      </c>
    </row>
    <row r="169" ht="22.5" customHeight="1">
      <c r="A169" s="308" t="s">
        <v>4371</v>
      </c>
      <c r="B169" s="308"/>
      <c r="C169" s="308" t="s">
        <v>2942</v>
      </c>
      <c r="D169" s="308" t="s">
        <v>4372</v>
      </c>
      <c r="E169" s="308" t="s">
        <v>3013</v>
      </c>
      <c r="F169" s="308"/>
      <c r="G169" s="308" t="s">
        <v>2965</v>
      </c>
      <c r="H169" s="308" t="s">
        <v>2947</v>
      </c>
      <c r="I169" s="308">
        <v>80.0</v>
      </c>
      <c r="J169" s="308">
        <v>3.9</v>
      </c>
      <c r="K169" s="308">
        <v>15.13</v>
      </c>
      <c r="L169" s="308">
        <v>83.9</v>
      </c>
      <c r="M169" s="308"/>
      <c r="N169" s="308">
        <v>0.0</v>
      </c>
      <c r="O169" s="308" t="s">
        <v>2948</v>
      </c>
      <c r="P169" s="308" t="s">
        <v>4373</v>
      </c>
      <c r="Q169" s="310">
        <v>1.0</v>
      </c>
      <c r="R169" s="308" t="s">
        <v>4039</v>
      </c>
      <c r="S169" s="308">
        <v>80.0</v>
      </c>
      <c r="T169" s="311"/>
      <c r="U169" s="308"/>
      <c r="V169" s="308" t="b">
        <v>1</v>
      </c>
      <c r="W169" s="308" t="b">
        <v>1</v>
      </c>
      <c r="X169" s="308"/>
      <c r="Y169" s="308" t="s">
        <v>4374</v>
      </c>
      <c r="Z169" s="308" t="s">
        <v>4375</v>
      </c>
      <c r="AA169" s="308" t="s">
        <v>4375</v>
      </c>
      <c r="AB169" s="308"/>
      <c r="AC169" s="308"/>
      <c r="AD169" s="308" t="s">
        <v>4376</v>
      </c>
      <c r="AE169" s="308">
        <v>60018.0</v>
      </c>
      <c r="AF169" s="308" t="s">
        <v>4377</v>
      </c>
      <c r="AG169" s="308" t="s">
        <v>2955</v>
      </c>
      <c r="AH169" s="308"/>
      <c r="AI169" s="308" t="s">
        <v>4374</v>
      </c>
      <c r="AJ169" s="308" t="s">
        <v>4378</v>
      </c>
      <c r="AK169" s="308" t="s">
        <v>4379</v>
      </c>
      <c r="AL169" s="308" t="s">
        <v>4380</v>
      </c>
      <c r="AM169" s="308"/>
      <c r="AN169" s="308" t="s">
        <v>4230</v>
      </c>
      <c r="AO169" s="308">
        <v>47921.0</v>
      </c>
      <c r="AP169" s="308" t="s">
        <v>4231</v>
      </c>
      <c r="AQ169" s="308" t="s">
        <v>2955</v>
      </c>
      <c r="AR169" s="308">
        <v>3.478491805E9</v>
      </c>
      <c r="AS169" s="311"/>
      <c r="AT169" s="311"/>
      <c r="AU169" s="311"/>
      <c r="AV169" s="308" t="s">
        <v>2956</v>
      </c>
      <c r="AW169" s="308">
        <v>4.7766252585287E13</v>
      </c>
      <c r="AX169" s="310">
        <v>0.0</v>
      </c>
      <c r="AY169" s="308" t="s">
        <v>2974</v>
      </c>
      <c r="AZ169" s="308">
        <v>0.0</v>
      </c>
      <c r="BA169" s="311"/>
      <c r="BB169" s="311"/>
      <c r="BC169" s="311"/>
      <c r="BD169" s="308">
        <v>7.645788635463E12</v>
      </c>
      <c r="BE169" s="311"/>
      <c r="BF169" s="311"/>
      <c r="BG169" s="308" t="s">
        <v>2958</v>
      </c>
      <c r="BH169" s="308">
        <v>0.0</v>
      </c>
      <c r="BI169" s="308" t="s">
        <v>2959</v>
      </c>
      <c r="BJ169" s="308">
        <v>14.43</v>
      </c>
      <c r="BK169" s="311"/>
      <c r="BL169" s="311"/>
      <c r="BM169" s="311"/>
      <c r="BN169" s="311"/>
      <c r="BO169" s="311"/>
      <c r="BP169" s="311"/>
      <c r="BQ169" s="311"/>
      <c r="BR169" s="311"/>
      <c r="BS169" s="318" t="s">
        <v>4381</v>
      </c>
      <c r="BT169" s="311"/>
      <c r="BU169" s="311"/>
      <c r="BV169" s="308" t="s">
        <v>4382</v>
      </c>
      <c r="BW169" s="308" t="s">
        <v>4230</v>
      </c>
      <c r="BX169" s="308" t="s">
        <v>2956</v>
      </c>
      <c r="BY169" s="311"/>
      <c r="BZ169" s="311"/>
      <c r="CA169" s="308" t="s">
        <v>2956</v>
      </c>
      <c r="CB169" s="312" t="str">
        <f t="shared" si="1"/>
        <v>03/05/2026</v>
      </c>
      <c r="CC169" s="313">
        <f t="shared" si="2"/>
        <v>2026</v>
      </c>
      <c r="CD169" s="314">
        <f t="shared" si="3"/>
        <v>5</v>
      </c>
      <c r="CE169" s="314">
        <f t="shared" si="4"/>
        <v>1</v>
      </c>
      <c r="CF169" s="314">
        <f t="shared" si="5"/>
        <v>1</v>
      </c>
      <c r="CG169" s="314">
        <f t="shared" si="6"/>
        <v>0</v>
      </c>
      <c r="CH169" s="315">
        <f>VLOOKUP(CL169,'PRODUCT_COGS&amp;PRICE'!A:E,5,false)</f>
        <v>19</v>
      </c>
      <c r="CI169" s="315">
        <f t="shared" si="7"/>
        <v>-1.8441</v>
      </c>
      <c r="CJ169" s="316">
        <f t="shared" si="8"/>
        <v>0</v>
      </c>
      <c r="CK169" s="316">
        <f t="shared" si="9"/>
        <v>0</v>
      </c>
      <c r="CL169" s="314" t="str">
        <f>VLOOKUP(R169,PRODUCT_MAP!A:B,2,FALSE)</f>
        <v>Agata_Bag_FLORAL_DUSTY_PINK_EMBROIDERY</v>
      </c>
      <c r="CM169" s="314" t="str">
        <f>VLOOKUP(R169,PRODUCT_MAP!A:E,3,FALSE)</f>
        <v>Agata Bag</v>
      </c>
    </row>
    <row r="170" ht="22.5" customHeight="1">
      <c r="A170" s="308" t="s">
        <v>4383</v>
      </c>
      <c r="B170" s="308" t="s">
        <v>4384</v>
      </c>
      <c r="C170" s="308" t="s">
        <v>2942</v>
      </c>
      <c r="D170" s="308" t="s">
        <v>4385</v>
      </c>
      <c r="E170" s="308" t="s">
        <v>3013</v>
      </c>
      <c r="F170" s="308"/>
      <c r="G170" s="308" t="s">
        <v>2946</v>
      </c>
      <c r="H170" s="308" t="s">
        <v>2947</v>
      </c>
      <c r="I170" s="308">
        <v>72.0</v>
      </c>
      <c r="J170" s="308">
        <v>3.9</v>
      </c>
      <c r="K170" s="308">
        <v>13.68</v>
      </c>
      <c r="L170" s="308">
        <v>75.9</v>
      </c>
      <c r="M170" s="308" t="s">
        <v>3094</v>
      </c>
      <c r="N170" s="308">
        <v>8.0</v>
      </c>
      <c r="O170" s="308" t="s">
        <v>2948</v>
      </c>
      <c r="P170" s="308" t="s">
        <v>4386</v>
      </c>
      <c r="Q170" s="310">
        <v>1.0</v>
      </c>
      <c r="R170" s="308" t="s">
        <v>4015</v>
      </c>
      <c r="S170" s="308">
        <v>80.0</v>
      </c>
      <c r="T170" s="311"/>
      <c r="U170" s="308" t="s">
        <v>275</v>
      </c>
      <c r="V170" s="308" t="b">
        <v>1</v>
      </c>
      <c r="W170" s="308" t="b">
        <v>1</v>
      </c>
      <c r="X170" s="308"/>
      <c r="Y170" s="308" t="s">
        <v>4387</v>
      </c>
      <c r="Z170" s="308" t="s">
        <v>4388</v>
      </c>
      <c r="AA170" s="308" t="s">
        <v>4388</v>
      </c>
      <c r="AB170" s="308"/>
      <c r="AC170" s="308"/>
      <c r="AD170" s="308" t="s">
        <v>23</v>
      </c>
      <c r="AE170" s="308">
        <v>20121.0</v>
      </c>
      <c r="AF170" s="308" t="s">
        <v>2954</v>
      </c>
      <c r="AG170" s="308" t="s">
        <v>2955</v>
      </c>
      <c r="AH170" s="308"/>
      <c r="AI170" s="308" t="s">
        <v>4389</v>
      </c>
      <c r="AJ170" s="308" t="s">
        <v>4390</v>
      </c>
      <c r="AK170" s="308" t="s">
        <v>4391</v>
      </c>
      <c r="AL170" s="308">
        <v>25.0</v>
      </c>
      <c r="AM170" s="308"/>
      <c r="AN170" s="308" t="s">
        <v>23</v>
      </c>
      <c r="AO170" s="308">
        <v>20121.0</v>
      </c>
      <c r="AP170" s="308" t="s">
        <v>2954</v>
      </c>
      <c r="AQ170" s="308" t="s">
        <v>2955</v>
      </c>
      <c r="AR170" s="308">
        <v>3.341426644E9</v>
      </c>
      <c r="AS170" s="311"/>
      <c r="AT170" s="311"/>
      <c r="AU170" s="311"/>
      <c r="AV170" s="308" t="s">
        <v>2956</v>
      </c>
      <c r="AW170" s="308">
        <v>4.7761107550535E13</v>
      </c>
      <c r="AX170" s="310">
        <v>0.0</v>
      </c>
      <c r="AY170" s="308" t="s">
        <v>2974</v>
      </c>
      <c r="AZ170" s="308">
        <v>0.0</v>
      </c>
      <c r="BA170" s="311"/>
      <c r="BB170" s="311"/>
      <c r="BC170" s="311"/>
      <c r="BD170" s="308">
        <v>7.646282678599E12</v>
      </c>
      <c r="BE170" s="311"/>
      <c r="BF170" s="311"/>
      <c r="BG170" s="308" t="s">
        <v>2958</v>
      </c>
      <c r="BH170" s="308">
        <v>0.0</v>
      </c>
      <c r="BI170" s="308" t="s">
        <v>2959</v>
      </c>
      <c r="BJ170" s="308">
        <v>12.98</v>
      </c>
      <c r="BK170" s="311"/>
      <c r="BL170" s="311"/>
      <c r="BM170" s="311"/>
      <c r="BN170" s="311"/>
      <c r="BO170" s="311"/>
      <c r="BP170" s="311"/>
      <c r="BQ170" s="311"/>
      <c r="BR170" s="311"/>
      <c r="BS170" s="308"/>
      <c r="BT170" s="311"/>
      <c r="BU170" s="311"/>
      <c r="BV170" s="308" t="s">
        <v>23</v>
      </c>
      <c r="BW170" s="308" t="s">
        <v>23</v>
      </c>
      <c r="BX170" s="308" t="s">
        <v>2956</v>
      </c>
      <c r="BY170" s="311"/>
      <c r="BZ170" s="311"/>
      <c r="CA170" s="308" t="s">
        <v>2956</v>
      </c>
      <c r="CB170" s="312" t="str">
        <f t="shared" si="1"/>
        <v>03/05/2026</v>
      </c>
      <c r="CC170" s="313">
        <f t="shared" si="2"/>
        <v>2026</v>
      </c>
      <c r="CD170" s="314">
        <f t="shared" si="3"/>
        <v>5</v>
      </c>
      <c r="CE170" s="314">
        <f t="shared" si="4"/>
        <v>1</v>
      </c>
      <c r="CF170" s="314">
        <f t="shared" si="5"/>
        <v>1</v>
      </c>
      <c r="CG170" s="314">
        <f t="shared" si="6"/>
        <v>0</v>
      </c>
      <c r="CH170" s="315">
        <f>VLOOKUP(CL170,'PRODUCT_COGS&amp;PRICE'!A:E,5,false)</f>
        <v>19</v>
      </c>
      <c r="CI170" s="315">
        <f t="shared" si="7"/>
        <v>-1.6921</v>
      </c>
      <c r="CJ170" s="316">
        <f t="shared" si="8"/>
        <v>0</v>
      </c>
      <c r="CK170" s="316">
        <f t="shared" si="9"/>
        <v>8</v>
      </c>
      <c r="CL170" s="314" t="str">
        <f>VLOOKUP(R170,PRODUCT_MAP!A:B,2,FALSE)</f>
        <v>Agata_Bag_ROSE_PINK</v>
      </c>
      <c r="CM170" s="314" t="str">
        <f>VLOOKUP(R170,PRODUCT_MAP!A:E,3,FALSE)</f>
        <v>Agata Bag</v>
      </c>
    </row>
    <row r="171" ht="22.5" customHeight="1">
      <c r="A171" s="308" t="s">
        <v>4392</v>
      </c>
      <c r="B171" s="308" t="s">
        <v>4393</v>
      </c>
      <c r="C171" s="308" t="s">
        <v>2942</v>
      </c>
      <c r="D171" s="308" t="s">
        <v>4394</v>
      </c>
      <c r="E171" s="308" t="s">
        <v>3013</v>
      </c>
      <c r="F171" s="308"/>
      <c r="G171" s="308" t="s">
        <v>2965</v>
      </c>
      <c r="H171" s="308" t="s">
        <v>2947</v>
      </c>
      <c r="I171" s="308">
        <v>175.0</v>
      </c>
      <c r="J171" s="308">
        <v>0.0</v>
      </c>
      <c r="K171" s="308">
        <v>31.56</v>
      </c>
      <c r="L171" s="308">
        <v>175.0</v>
      </c>
      <c r="M171" s="308"/>
      <c r="N171" s="308">
        <v>0.0</v>
      </c>
      <c r="O171" s="308" t="s">
        <v>2948</v>
      </c>
      <c r="P171" s="308" t="s">
        <v>4395</v>
      </c>
      <c r="Q171" s="310">
        <v>1.0</v>
      </c>
      <c r="R171" s="308" t="s">
        <v>768</v>
      </c>
      <c r="S171" s="308">
        <v>175.0</v>
      </c>
      <c r="T171" s="311"/>
      <c r="U171" s="308" t="s">
        <v>210</v>
      </c>
      <c r="V171" s="308" t="b">
        <v>1</v>
      </c>
      <c r="W171" s="308" t="b">
        <v>1</v>
      </c>
      <c r="X171" s="308"/>
      <c r="Y171" s="308" t="s">
        <v>4396</v>
      </c>
      <c r="Z171" s="308" t="s">
        <v>4397</v>
      </c>
      <c r="AA171" s="308" t="s">
        <v>4397</v>
      </c>
      <c r="AB171" s="308"/>
      <c r="AC171" s="308"/>
      <c r="AD171" s="308" t="s">
        <v>23</v>
      </c>
      <c r="AE171" s="308">
        <v>20123.0</v>
      </c>
      <c r="AF171" s="308" t="s">
        <v>2954</v>
      </c>
      <c r="AG171" s="308" t="s">
        <v>2955</v>
      </c>
      <c r="AH171" s="308">
        <v>3.661383619E9</v>
      </c>
      <c r="AI171" s="308" t="s">
        <v>4396</v>
      </c>
      <c r="AJ171" s="308" t="s">
        <v>4397</v>
      </c>
      <c r="AK171" s="308" t="s">
        <v>4397</v>
      </c>
      <c r="AL171" s="308"/>
      <c r="AM171" s="308"/>
      <c r="AN171" s="308" t="s">
        <v>23</v>
      </c>
      <c r="AO171" s="308">
        <v>20123.0</v>
      </c>
      <c r="AP171" s="308" t="s">
        <v>2954</v>
      </c>
      <c r="AQ171" s="308" t="s">
        <v>2955</v>
      </c>
      <c r="AR171" s="308">
        <v>3.661383619E9</v>
      </c>
      <c r="AS171" s="311"/>
      <c r="AT171" s="311"/>
      <c r="AU171" s="311"/>
      <c r="AV171" s="308" t="s">
        <v>2956</v>
      </c>
      <c r="AW171" s="308">
        <v>4.7769953272135E13</v>
      </c>
      <c r="AX171" s="310">
        <v>0.0</v>
      </c>
      <c r="AY171" s="308" t="s">
        <v>2974</v>
      </c>
      <c r="AZ171" s="308">
        <v>0.0</v>
      </c>
      <c r="BA171" s="311"/>
      <c r="BB171" s="311"/>
      <c r="BC171" s="311"/>
      <c r="BD171" s="308">
        <v>7.647589138759E12</v>
      </c>
      <c r="BE171" s="311"/>
      <c r="BF171" s="311"/>
      <c r="BG171" s="308" t="s">
        <v>2958</v>
      </c>
      <c r="BH171" s="308">
        <v>0.0</v>
      </c>
      <c r="BI171" s="308" t="s">
        <v>2959</v>
      </c>
      <c r="BJ171" s="308">
        <v>31.56</v>
      </c>
      <c r="BK171" s="311"/>
      <c r="BL171" s="311"/>
      <c r="BM171" s="311"/>
      <c r="BN171" s="311"/>
      <c r="BO171" s="311"/>
      <c r="BP171" s="311"/>
      <c r="BQ171" s="311"/>
      <c r="BR171" s="311"/>
      <c r="BS171" s="308"/>
      <c r="BT171" s="311"/>
      <c r="BU171" s="311"/>
      <c r="BV171" s="308" t="s">
        <v>23</v>
      </c>
      <c r="BW171" s="308" t="s">
        <v>23</v>
      </c>
      <c r="BX171" s="308" t="s">
        <v>2956</v>
      </c>
      <c r="BY171" s="311"/>
      <c r="BZ171" s="311"/>
      <c r="CA171" s="308" t="s">
        <v>2956</v>
      </c>
      <c r="CB171" s="312" t="str">
        <f t="shared" si="1"/>
        <v>03/05/2026</v>
      </c>
      <c r="CC171" s="313">
        <f t="shared" si="2"/>
        <v>2026</v>
      </c>
      <c r="CD171" s="314">
        <f t="shared" si="3"/>
        <v>5</v>
      </c>
      <c r="CE171" s="314">
        <f t="shared" si="4"/>
        <v>1</v>
      </c>
      <c r="CF171" s="314">
        <f t="shared" si="5"/>
        <v>1</v>
      </c>
      <c r="CG171" s="314">
        <f t="shared" si="6"/>
        <v>-5</v>
      </c>
      <c r="CH171" s="315">
        <f>VLOOKUP(CL171,'PRODUCT_COGS&amp;PRICE'!A:E,5,false)</f>
        <v>52.5</v>
      </c>
      <c r="CI171" s="315">
        <f t="shared" si="7"/>
        <v>-3.575</v>
      </c>
      <c r="CJ171" s="316">
        <f t="shared" si="8"/>
        <v>0</v>
      </c>
      <c r="CK171" s="316">
        <f t="shared" si="9"/>
        <v>0</v>
      </c>
      <c r="CL171" s="314" t="str">
        <f>VLOOKUP(R171,PRODUCT_MAP!A:B,2,FALSE)</f>
        <v>Valentina_Bag_CHOCOLATE</v>
      </c>
      <c r="CM171" s="314" t="str">
        <f>VLOOKUP(R171,PRODUCT_MAP!A:E,3,FALSE)</f>
        <v>Valentina Bag</v>
      </c>
    </row>
    <row r="172" ht="22.5" customHeight="1">
      <c r="A172" s="308" t="s">
        <v>4398</v>
      </c>
      <c r="B172" s="308" t="s">
        <v>4399</v>
      </c>
      <c r="C172" s="308" t="s">
        <v>2942</v>
      </c>
      <c r="D172" s="308" t="s">
        <v>4400</v>
      </c>
      <c r="E172" s="308" t="s">
        <v>2944</v>
      </c>
      <c r="F172" s="308" t="s">
        <v>4401</v>
      </c>
      <c r="G172" s="308" t="s">
        <v>2946</v>
      </c>
      <c r="H172" s="308" t="s">
        <v>2947</v>
      </c>
      <c r="I172" s="308">
        <v>72.0</v>
      </c>
      <c r="J172" s="308">
        <v>0.0</v>
      </c>
      <c r="K172" s="308">
        <v>12.98</v>
      </c>
      <c r="L172" s="308">
        <v>72.0</v>
      </c>
      <c r="M172" s="308"/>
      <c r="N172" s="308">
        <v>0.0</v>
      </c>
      <c r="O172" s="308" t="s">
        <v>2979</v>
      </c>
      <c r="P172" s="308" t="s">
        <v>4402</v>
      </c>
      <c r="Q172" s="310">
        <v>1.0</v>
      </c>
      <c r="R172" s="308" t="s">
        <v>794</v>
      </c>
      <c r="S172" s="308">
        <v>72.0</v>
      </c>
      <c r="T172" s="311"/>
      <c r="U172" s="308"/>
      <c r="V172" s="308" t="b">
        <v>1</v>
      </c>
      <c r="W172" s="308" t="b">
        <v>1</v>
      </c>
      <c r="X172" s="308" t="s">
        <v>2944</v>
      </c>
      <c r="Y172" s="308" t="s">
        <v>4403</v>
      </c>
      <c r="Z172" s="308" t="s">
        <v>4404</v>
      </c>
      <c r="AA172" s="308" t="s">
        <v>4404</v>
      </c>
      <c r="AB172" s="308"/>
      <c r="AC172" s="308"/>
      <c r="AD172" s="308" t="s">
        <v>23</v>
      </c>
      <c r="AE172" s="308">
        <v>20129.0</v>
      </c>
      <c r="AF172" s="308" t="s">
        <v>2954</v>
      </c>
      <c r="AG172" s="308" t="s">
        <v>2955</v>
      </c>
      <c r="AH172" s="308">
        <v>3.485303694E9</v>
      </c>
      <c r="AI172" s="308"/>
      <c r="AJ172" s="308"/>
      <c r="AK172" s="308"/>
      <c r="AL172" s="308"/>
      <c r="AM172" s="308"/>
      <c r="AN172" s="308"/>
      <c r="AO172" s="308"/>
      <c r="AP172" s="308"/>
      <c r="AQ172" s="308"/>
      <c r="AR172" s="308"/>
      <c r="AS172" s="311"/>
      <c r="AT172" s="311"/>
      <c r="AU172" s="311"/>
      <c r="AV172" s="308" t="s">
        <v>3009</v>
      </c>
      <c r="AW172" s="308">
        <v>4.7772039872839E13</v>
      </c>
      <c r="AX172" s="310">
        <v>0.0</v>
      </c>
      <c r="AY172" s="308"/>
      <c r="AZ172" s="308">
        <v>0.0</v>
      </c>
      <c r="BA172" s="311"/>
      <c r="BB172" s="311"/>
      <c r="BC172" s="311"/>
      <c r="BD172" s="308">
        <v>7.648416006471E12</v>
      </c>
      <c r="BE172" s="311"/>
      <c r="BF172" s="311"/>
      <c r="BG172" s="308" t="s">
        <v>3640</v>
      </c>
      <c r="BH172" s="308">
        <v>0.0</v>
      </c>
      <c r="BI172" s="308" t="s">
        <v>2959</v>
      </c>
      <c r="BJ172" s="308">
        <v>12.98</v>
      </c>
      <c r="BK172" s="311"/>
      <c r="BL172" s="311"/>
      <c r="BM172" s="311"/>
      <c r="BN172" s="311"/>
      <c r="BO172" s="311"/>
      <c r="BP172" s="311"/>
      <c r="BQ172" s="311"/>
      <c r="BR172" s="311"/>
      <c r="BS172" s="308"/>
      <c r="BT172" s="311"/>
      <c r="BU172" s="311"/>
      <c r="BV172" s="308" t="s">
        <v>23</v>
      </c>
      <c r="BW172" s="308"/>
      <c r="BX172" s="308" t="s">
        <v>3009</v>
      </c>
      <c r="BY172" s="311"/>
      <c r="BZ172" s="311"/>
      <c r="CA172" s="308" t="s">
        <v>3009</v>
      </c>
      <c r="CB172" s="312" t="str">
        <f t="shared" si="1"/>
        <v>04/05/2026</v>
      </c>
      <c r="CC172" s="313">
        <f t="shared" si="2"/>
        <v>2026</v>
      </c>
      <c r="CD172" s="314">
        <f t="shared" si="3"/>
        <v>5</v>
      </c>
      <c r="CE172" s="314">
        <f t="shared" si="4"/>
        <v>1</v>
      </c>
      <c r="CF172" s="314">
        <f t="shared" si="5"/>
        <v>1</v>
      </c>
      <c r="CG172" s="314">
        <f t="shared" si="6"/>
        <v>-5</v>
      </c>
      <c r="CH172" s="315">
        <f>VLOOKUP(CL172,'PRODUCT_COGS&amp;PRICE'!A:E,5,false)</f>
        <v>19</v>
      </c>
      <c r="CI172" s="315">
        <f t="shared" si="7"/>
        <v>-2.8628</v>
      </c>
      <c r="CJ172" s="316">
        <f t="shared" si="8"/>
        <v>0</v>
      </c>
      <c r="CK172" s="316">
        <f t="shared" si="9"/>
        <v>0</v>
      </c>
      <c r="CL172" s="314" t="str">
        <f>VLOOKUP(R172,PRODUCT_MAP!A:B,2,FALSE)</f>
        <v>Agata_Bag_FLORAL_DUSTY_PINK_EMBROIDERY</v>
      </c>
      <c r="CM172" s="314" t="str">
        <f>VLOOKUP(R172,PRODUCT_MAP!A:E,3,FALSE)</f>
        <v>Agata Bag</v>
      </c>
    </row>
    <row r="173" ht="22.5" customHeight="1">
      <c r="A173" s="308" t="s">
        <v>4405</v>
      </c>
      <c r="B173" s="308" t="s">
        <v>4406</v>
      </c>
      <c r="C173" s="308" t="s">
        <v>2942</v>
      </c>
      <c r="D173" s="308" t="s">
        <v>4407</v>
      </c>
      <c r="E173" s="308" t="s">
        <v>3013</v>
      </c>
      <c r="F173" s="308"/>
      <c r="G173" s="308" t="s">
        <v>2965</v>
      </c>
      <c r="H173" s="308" t="s">
        <v>2947</v>
      </c>
      <c r="I173" s="308">
        <v>120.0</v>
      </c>
      <c r="J173" s="308">
        <v>0.0</v>
      </c>
      <c r="K173" s="308">
        <v>21.64</v>
      </c>
      <c r="L173" s="308">
        <v>120.0</v>
      </c>
      <c r="M173" s="308"/>
      <c r="N173" s="308">
        <v>0.0</v>
      </c>
      <c r="O173" s="308" t="s">
        <v>2948</v>
      </c>
      <c r="P173" s="308" t="s">
        <v>4407</v>
      </c>
      <c r="Q173" s="310">
        <v>1.0</v>
      </c>
      <c r="R173" s="308" t="s">
        <v>514</v>
      </c>
      <c r="S173" s="308">
        <v>120.0</v>
      </c>
      <c r="T173" s="311"/>
      <c r="U173" s="308" t="s">
        <v>202</v>
      </c>
      <c r="V173" s="308" t="b">
        <v>1</v>
      </c>
      <c r="W173" s="308" t="b">
        <v>1</v>
      </c>
      <c r="X173" s="308"/>
      <c r="Y173" s="308" t="s">
        <v>4408</v>
      </c>
      <c r="Z173" s="308" t="s">
        <v>4409</v>
      </c>
      <c r="AA173" s="308" t="s">
        <v>4409</v>
      </c>
      <c r="AB173" s="308"/>
      <c r="AC173" s="308"/>
      <c r="AD173" s="308" t="s">
        <v>4410</v>
      </c>
      <c r="AE173" s="308">
        <v>20149.0</v>
      </c>
      <c r="AF173" s="308" t="s">
        <v>2954</v>
      </c>
      <c r="AG173" s="308" t="s">
        <v>2955</v>
      </c>
      <c r="AH173" s="308">
        <v>3.92449351E9</v>
      </c>
      <c r="AI173" s="308" t="s">
        <v>4408</v>
      </c>
      <c r="AJ173" s="308" t="s">
        <v>4409</v>
      </c>
      <c r="AK173" s="308" t="s">
        <v>4409</v>
      </c>
      <c r="AL173" s="308"/>
      <c r="AM173" s="308"/>
      <c r="AN173" s="308" t="s">
        <v>4410</v>
      </c>
      <c r="AO173" s="308">
        <v>20149.0</v>
      </c>
      <c r="AP173" s="308" t="s">
        <v>2954</v>
      </c>
      <c r="AQ173" s="308" t="s">
        <v>2955</v>
      </c>
      <c r="AR173" s="308">
        <v>3.92449351E9</v>
      </c>
      <c r="AS173" s="311"/>
      <c r="AT173" s="311"/>
      <c r="AU173" s="311"/>
      <c r="AV173" s="308" t="s">
        <v>3009</v>
      </c>
      <c r="AW173" s="308">
        <v>4.7772425748807E13</v>
      </c>
      <c r="AX173" s="310">
        <v>0.0</v>
      </c>
      <c r="AY173" s="308" t="s">
        <v>2974</v>
      </c>
      <c r="AZ173" s="308">
        <v>0.0</v>
      </c>
      <c r="BA173" s="311"/>
      <c r="BB173" s="311"/>
      <c r="BC173" s="311"/>
      <c r="BD173" s="308">
        <v>7.648604258631E12</v>
      </c>
      <c r="BE173" s="311"/>
      <c r="BF173" s="311"/>
      <c r="BG173" s="308" t="s">
        <v>2958</v>
      </c>
      <c r="BH173" s="308">
        <v>0.0</v>
      </c>
      <c r="BI173" s="308" t="s">
        <v>2959</v>
      </c>
      <c r="BJ173" s="308">
        <v>21.64</v>
      </c>
      <c r="BK173" s="311"/>
      <c r="BL173" s="311"/>
      <c r="BM173" s="311"/>
      <c r="BN173" s="311"/>
      <c r="BO173" s="311"/>
      <c r="BP173" s="311"/>
      <c r="BQ173" s="311"/>
      <c r="BR173" s="311"/>
      <c r="BS173" s="308"/>
      <c r="BT173" s="311"/>
      <c r="BU173" s="311"/>
      <c r="BV173" s="308" t="s">
        <v>23</v>
      </c>
      <c r="BW173" s="308" t="s">
        <v>23</v>
      </c>
      <c r="BX173" s="308" t="s">
        <v>3009</v>
      </c>
      <c r="BY173" s="311"/>
      <c r="BZ173" s="311"/>
      <c r="CA173" s="308" t="s">
        <v>3009</v>
      </c>
      <c r="CB173" s="312" t="str">
        <f t="shared" si="1"/>
        <v>04/05/2026</v>
      </c>
      <c r="CC173" s="313">
        <f t="shared" si="2"/>
        <v>2026</v>
      </c>
      <c r="CD173" s="314">
        <f t="shared" si="3"/>
        <v>5</v>
      </c>
      <c r="CE173" s="314">
        <f t="shared" si="4"/>
        <v>1</v>
      </c>
      <c r="CF173" s="314">
        <f t="shared" si="5"/>
        <v>1</v>
      </c>
      <c r="CG173" s="314">
        <f t="shared" si="6"/>
        <v>-5</v>
      </c>
      <c r="CH173" s="315">
        <f>VLOOKUP(CL173,'PRODUCT_COGS&amp;PRICE'!A:E,5,false)</f>
        <v>32.08</v>
      </c>
      <c r="CI173" s="315">
        <f t="shared" si="7"/>
        <v>-4.538</v>
      </c>
      <c r="CJ173" s="316">
        <f t="shared" si="8"/>
        <v>0</v>
      </c>
      <c r="CK173" s="316">
        <f t="shared" si="9"/>
        <v>0</v>
      </c>
      <c r="CL173" s="314" t="str">
        <f>VLOOKUP(R173,PRODUCT_MAP!A:B,2,FALSE)</f>
        <v>Lea_Bag_BLACK</v>
      </c>
      <c r="CM173" s="314" t="str">
        <f>VLOOKUP(R173,PRODUCT_MAP!A:E,3,FALSE)</f>
        <v>Lea Bag</v>
      </c>
    </row>
    <row r="174" ht="22.5" customHeight="1">
      <c r="A174" s="308" t="s">
        <v>4411</v>
      </c>
      <c r="B174" s="308" t="s">
        <v>4412</v>
      </c>
      <c r="C174" s="308" t="s">
        <v>2942</v>
      </c>
      <c r="D174" s="308" t="s">
        <v>4413</v>
      </c>
      <c r="E174" s="308" t="s">
        <v>3013</v>
      </c>
      <c r="F174" s="308"/>
      <c r="G174" s="308" t="s">
        <v>2965</v>
      </c>
      <c r="H174" s="308" t="s">
        <v>2947</v>
      </c>
      <c r="I174" s="308">
        <v>81.0</v>
      </c>
      <c r="J174" s="308">
        <v>3.9</v>
      </c>
      <c r="K174" s="308">
        <v>15.31</v>
      </c>
      <c r="L174" s="308">
        <v>84.9</v>
      </c>
      <c r="M174" s="308" t="s">
        <v>3221</v>
      </c>
      <c r="N174" s="308">
        <v>9.0</v>
      </c>
      <c r="O174" s="308" t="s">
        <v>2948</v>
      </c>
      <c r="P174" s="308" t="s">
        <v>4414</v>
      </c>
      <c r="Q174" s="310">
        <v>1.0</v>
      </c>
      <c r="R174" s="308" t="s">
        <v>4220</v>
      </c>
      <c r="S174" s="308">
        <v>90.0</v>
      </c>
      <c r="T174" s="311"/>
      <c r="U174" s="308" t="s">
        <v>4221</v>
      </c>
      <c r="V174" s="308" t="b">
        <v>1</v>
      </c>
      <c r="W174" s="308" t="b">
        <v>1</v>
      </c>
      <c r="X174" s="308"/>
      <c r="Y174" s="308" t="s">
        <v>4415</v>
      </c>
      <c r="Z174" s="308" t="s">
        <v>4416</v>
      </c>
      <c r="AA174" s="308" t="s">
        <v>4416</v>
      </c>
      <c r="AB174" s="308"/>
      <c r="AC174" s="308"/>
      <c r="AD174" s="308" t="s">
        <v>4230</v>
      </c>
      <c r="AE174" s="308">
        <v>47921.0</v>
      </c>
      <c r="AF174" s="308" t="s">
        <v>4231</v>
      </c>
      <c r="AG174" s="308" t="s">
        <v>2955</v>
      </c>
      <c r="AH174" s="308">
        <v>3.392412481E9</v>
      </c>
      <c r="AI174" s="308" t="s">
        <v>4415</v>
      </c>
      <c r="AJ174" s="308" t="s">
        <v>4416</v>
      </c>
      <c r="AK174" s="308" t="s">
        <v>4416</v>
      </c>
      <c r="AL174" s="308"/>
      <c r="AM174" s="308"/>
      <c r="AN174" s="308" t="s">
        <v>4230</v>
      </c>
      <c r="AO174" s="308">
        <v>47921.0</v>
      </c>
      <c r="AP174" s="308" t="s">
        <v>4231</v>
      </c>
      <c r="AQ174" s="308" t="s">
        <v>2955</v>
      </c>
      <c r="AR174" s="308">
        <v>3.392412481E9</v>
      </c>
      <c r="AS174" s="311"/>
      <c r="AT174" s="311"/>
      <c r="AU174" s="311"/>
      <c r="AV174" s="308" t="s">
        <v>2956</v>
      </c>
      <c r="AW174" s="308">
        <v>4.7778328805703E13</v>
      </c>
      <c r="AX174" s="310">
        <v>0.0</v>
      </c>
      <c r="AY174" s="308" t="s">
        <v>2974</v>
      </c>
      <c r="AZ174" s="308">
        <v>0.0</v>
      </c>
      <c r="BA174" s="311"/>
      <c r="BB174" s="311"/>
      <c r="BC174" s="311"/>
      <c r="BD174" s="308">
        <v>7.651393110343E12</v>
      </c>
      <c r="BE174" s="311"/>
      <c r="BF174" s="311"/>
      <c r="BG174" s="308" t="s">
        <v>2958</v>
      </c>
      <c r="BH174" s="308">
        <v>0.0</v>
      </c>
      <c r="BI174" s="308" t="s">
        <v>2959</v>
      </c>
      <c r="BJ174" s="308">
        <v>14.61</v>
      </c>
      <c r="BK174" s="311"/>
      <c r="BL174" s="311"/>
      <c r="BM174" s="311"/>
      <c r="BN174" s="311"/>
      <c r="BO174" s="311"/>
      <c r="BP174" s="311"/>
      <c r="BQ174" s="311"/>
      <c r="BR174" s="311"/>
      <c r="BS174" s="308"/>
      <c r="BT174" s="311"/>
      <c r="BU174" s="311"/>
      <c r="BV174" s="308" t="s">
        <v>4230</v>
      </c>
      <c r="BW174" s="308" t="s">
        <v>4230</v>
      </c>
      <c r="BX174" s="308" t="s">
        <v>2956</v>
      </c>
      <c r="BY174" s="311"/>
      <c r="BZ174" s="311"/>
      <c r="CA174" s="308" t="s">
        <v>2956</v>
      </c>
      <c r="CB174" s="312" t="str">
        <f t="shared" si="1"/>
        <v>05/05/2026</v>
      </c>
      <c r="CC174" s="313">
        <f t="shared" si="2"/>
        <v>2026</v>
      </c>
      <c r="CD174" s="314">
        <f t="shared" si="3"/>
        <v>5</v>
      </c>
      <c r="CE174" s="314">
        <f t="shared" si="4"/>
        <v>1</v>
      </c>
      <c r="CF174" s="314">
        <f t="shared" si="5"/>
        <v>1</v>
      </c>
      <c r="CG174" s="314">
        <f t="shared" si="6"/>
        <v>0</v>
      </c>
      <c r="CH174" s="315">
        <f>VLOOKUP(CL174,'PRODUCT_COGS&amp;PRICE'!A:E,5,false)</f>
        <v>16.5</v>
      </c>
      <c r="CI174" s="315">
        <f t="shared" si="7"/>
        <v>-1.8631</v>
      </c>
      <c r="CJ174" s="316">
        <f t="shared" si="8"/>
        <v>0</v>
      </c>
      <c r="CK174" s="316">
        <f t="shared" si="9"/>
        <v>9</v>
      </c>
      <c r="CL174" s="314" t="str">
        <f>VLOOKUP(R174,PRODUCT_MAP!A:B,2,FALSE)</f>
        <v>Annie_Bag_PAILLETTES_NUDE</v>
      </c>
      <c r="CM174" s="314" t="str">
        <f>VLOOKUP(R174,PRODUCT_MAP!A:E,3,FALSE)</f>
        <v>Agata Bag</v>
      </c>
    </row>
    <row r="175" ht="22.5" customHeight="1">
      <c r="A175" s="308" t="s">
        <v>4417</v>
      </c>
      <c r="B175" s="308" t="s">
        <v>4418</v>
      </c>
      <c r="C175" s="308" t="s">
        <v>2942</v>
      </c>
      <c r="D175" s="308" t="s">
        <v>4419</v>
      </c>
      <c r="E175" s="308" t="s">
        <v>3013</v>
      </c>
      <c r="F175" s="308"/>
      <c r="G175" s="308" t="s">
        <v>2946</v>
      </c>
      <c r="H175" s="308" t="s">
        <v>2947</v>
      </c>
      <c r="I175" s="308">
        <v>108.0</v>
      </c>
      <c r="J175" s="308">
        <v>0.0</v>
      </c>
      <c r="K175" s="308">
        <v>19.48</v>
      </c>
      <c r="L175" s="308">
        <v>108.0</v>
      </c>
      <c r="M175" s="308" t="s">
        <v>3094</v>
      </c>
      <c r="N175" s="308">
        <v>12.0</v>
      </c>
      <c r="O175" s="308" t="s">
        <v>2948</v>
      </c>
      <c r="P175" s="308" t="s">
        <v>4419</v>
      </c>
      <c r="Q175" s="310">
        <v>1.0</v>
      </c>
      <c r="R175" s="308" t="s">
        <v>579</v>
      </c>
      <c r="S175" s="308">
        <v>120.0</v>
      </c>
      <c r="T175" s="311"/>
      <c r="U175" s="308" t="s">
        <v>2002</v>
      </c>
      <c r="V175" s="308" t="b">
        <v>1</v>
      </c>
      <c r="W175" s="308" t="b">
        <v>1</v>
      </c>
      <c r="X175" s="308"/>
      <c r="Y175" s="308" t="s">
        <v>4420</v>
      </c>
      <c r="Z175" s="308" t="s">
        <v>4421</v>
      </c>
      <c r="AA175" s="308" t="s">
        <v>4422</v>
      </c>
      <c r="AB175" s="308" t="s">
        <v>4423</v>
      </c>
      <c r="AC175" s="308" t="s">
        <v>4424</v>
      </c>
      <c r="AD175" s="308" t="s">
        <v>23</v>
      </c>
      <c r="AE175" s="308">
        <v>20123.0</v>
      </c>
      <c r="AF175" s="308" t="s">
        <v>2954</v>
      </c>
      <c r="AG175" s="308" t="s">
        <v>2955</v>
      </c>
      <c r="AH175" s="308">
        <v>3.66285505E9</v>
      </c>
      <c r="AI175" s="308" t="s">
        <v>4420</v>
      </c>
      <c r="AJ175" s="308" t="s">
        <v>4421</v>
      </c>
      <c r="AK175" s="308" t="s">
        <v>4422</v>
      </c>
      <c r="AL175" s="308" t="s">
        <v>4423</v>
      </c>
      <c r="AM175" s="308" t="s">
        <v>4424</v>
      </c>
      <c r="AN175" s="308" t="s">
        <v>23</v>
      </c>
      <c r="AO175" s="308">
        <v>20123.0</v>
      </c>
      <c r="AP175" s="308" t="s">
        <v>2954</v>
      </c>
      <c r="AQ175" s="308" t="s">
        <v>2955</v>
      </c>
      <c r="AR175" s="308">
        <v>3.66285505E9</v>
      </c>
      <c r="AS175" s="311"/>
      <c r="AT175" s="311"/>
      <c r="AU175" s="311"/>
      <c r="AV175" s="308" t="s">
        <v>3009</v>
      </c>
      <c r="AW175" s="308">
        <v>4.7779327082823E13</v>
      </c>
      <c r="AX175" s="310">
        <v>0.0</v>
      </c>
      <c r="AY175" s="308" t="s">
        <v>2974</v>
      </c>
      <c r="AZ175" s="308">
        <v>0.0</v>
      </c>
      <c r="BA175" s="311"/>
      <c r="BB175" s="311"/>
      <c r="BC175" s="311"/>
      <c r="BD175" s="308">
        <v>7.651893576007E12</v>
      </c>
      <c r="BE175" s="311"/>
      <c r="BF175" s="311"/>
      <c r="BG175" s="308" t="s">
        <v>2958</v>
      </c>
      <c r="BH175" s="308">
        <v>0.0</v>
      </c>
      <c r="BI175" s="308" t="s">
        <v>2959</v>
      </c>
      <c r="BJ175" s="308">
        <v>19.48</v>
      </c>
      <c r="BK175" s="311"/>
      <c r="BL175" s="311"/>
      <c r="BM175" s="311"/>
      <c r="BN175" s="311"/>
      <c r="BO175" s="311"/>
      <c r="BP175" s="311"/>
      <c r="BQ175" s="311"/>
      <c r="BR175" s="311"/>
      <c r="BS175" s="308"/>
      <c r="BT175" s="311"/>
      <c r="BU175" s="311"/>
      <c r="BV175" s="308" t="s">
        <v>23</v>
      </c>
      <c r="BW175" s="308" t="s">
        <v>23</v>
      </c>
      <c r="BX175" s="308" t="s">
        <v>3009</v>
      </c>
      <c r="BY175" s="311"/>
      <c r="BZ175" s="311"/>
      <c r="CA175" s="308" t="s">
        <v>3009</v>
      </c>
      <c r="CB175" s="312" t="str">
        <f t="shared" si="1"/>
        <v>05/05/2026</v>
      </c>
      <c r="CC175" s="313">
        <f t="shared" si="2"/>
        <v>2026</v>
      </c>
      <c r="CD175" s="314">
        <f t="shared" si="3"/>
        <v>5</v>
      </c>
      <c r="CE175" s="314">
        <f t="shared" si="4"/>
        <v>1</v>
      </c>
      <c r="CF175" s="314">
        <f t="shared" si="5"/>
        <v>1</v>
      </c>
      <c r="CG175" s="314">
        <f t="shared" si="6"/>
        <v>-5</v>
      </c>
      <c r="CH175" s="315">
        <f>VLOOKUP(CL175,'PRODUCT_COGS&amp;PRICE'!A:E,5,false)</f>
        <v>20</v>
      </c>
      <c r="CI175" s="315">
        <f t="shared" si="7"/>
        <v>-4.1192</v>
      </c>
      <c r="CJ175" s="316">
        <f t="shared" si="8"/>
        <v>0</v>
      </c>
      <c r="CK175" s="316">
        <f t="shared" si="9"/>
        <v>12</v>
      </c>
      <c r="CL175" s="314" t="str">
        <f>VLOOKUP(R175,PRODUCT_MAP!A:B,2,FALSE)</f>
        <v>Lea_Bag_VERNICE_PURPLE_PATENT</v>
      </c>
      <c r="CM175" s="314" t="str">
        <f>VLOOKUP(R175,PRODUCT_MAP!A:E,3,FALSE)</f>
        <v>Lea Bag</v>
      </c>
    </row>
    <row r="176" ht="22.5" customHeight="1">
      <c r="A176" s="308" t="s">
        <v>4425</v>
      </c>
      <c r="B176" s="308" t="s">
        <v>4426</v>
      </c>
      <c r="C176" s="308" t="s">
        <v>2962</v>
      </c>
      <c r="D176" s="308" t="s">
        <v>4427</v>
      </c>
      <c r="E176" s="308" t="s">
        <v>3013</v>
      </c>
      <c r="F176" s="308"/>
      <c r="G176" s="308" t="s">
        <v>2946</v>
      </c>
      <c r="H176" s="308" t="s">
        <v>2947</v>
      </c>
      <c r="I176" s="308">
        <v>81.0</v>
      </c>
      <c r="J176" s="308">
        <v>3.9</v>
      </c>
      <c r="K176" s="308">
        <v>15.31</v>
      </c>
      <c r="L176" s="308">
        <v>84.9</v>
      </c>
      <c r="M176" s="308" t="s">
        <v>3094</v>
      </c>
      <c r="N176" s="308">
        <v>9.0</v>
      </c>
      <c r="O176" s="308" t="s">
        <v>2948</v>
      </c>
      <c r="P176" s="308" t="s">
        <v>4428</v>
      </c>
      <c r="Q176" s="310">
        <v>1.0</v>
      </c>
      <c r="R176" s="308" t="s">
        <v>4429</v>
      </c>
      <c r="S176" s="308">
        <v>90.0</v>
      </c>
      <c r="T176" s="311"/>
      <c r="U176" s="308" t="s">
        <v>4430</v>
      </c>
      <c r="V176" s="308" t="b">
        <v>1</v>
      </c>
      <c r="W176" s="308" t="b">
        <v>1</v>
      </c>
      <c r="X176" s="308"/>
      <c r="Y176" s="308" t="s">
        <v>4431</v>
      </c>
      <c r="Z176" s="308" t="s">
        <v>4432</v>
      </c>
      <c r="AA176" s="308" t="s">
        <v>4432</v>
      </c>
      <c r="AB176" s="308"/>
      <c r="AC176" s="308"/>
      <c r="AD176" s="308" t="s">
        <v>4433</v>
      </c>
      <c r="AE176" s="308">
        <v>7026.0</v>
      </c>
      <c r="AF176" s="308" t="s">
        <v>4434</v>
      </c>
      <c r="AG176" s="308" t="s">
        <v>2955</v>
      </c>
      <c r="AH176" s="308"/>
      <c r="AI176" s="308" t="s">
        <v>4431</v>
      </c>
      <c r="AJ176" s="308" t="s">
        <v>4435</v>
      </c>
      <c r="AK176" s="308" t="s">
        <v>4436</v>
      </c>
      <c r="AL176" s="308" t="s">
        <v>4437</v>
      </c>
      <c r="AM176" s="308"/>
      <c r="AN176" s="308" t="s">
        <v>23</v>
      </c>
      <c r="AO176" s="308">
        <v>20121.0</v>
      </c>
      <c r="AP176" s="308" t="s">
        <v>2954</v>
      </c>
      <c r="AQ176" s="308" t="s">
        <v>2955</v>
      </c>
      <c r="AR176" s="308">
        <v>3.932638484E9</v>
      </c>
      <c r="AS176" s="311"/>
      <c r="AT176" s="311"/>
      <c r="AU176" s="311"/>
      <c r="AV176" s="308" t="s">
        <v>2956</v>
      </c>
      <c r="AW176" s="308">
        <v>4.7779838787911E13</v>
      </c>
      <c r="AX176" s="310">
        <v>81.0</v>
      </c>
      <c r="AY176" s="308" t="s">
        <v>2974</v>
      </c>
      <c r="AZ176" s="308">
        <v>0.0</v>
      </c>
      <c r="BA176" s="311"/>
      <c r="BB176" s="311"/>
      <c r="BC176" s="311"/>
      <c r="BD176" s="308">
        <v>7.652146741575E12</v>
      </c>
      <c r="BE176" s="311"/>
      <c r="BF176" s="311"/>
      <c r="BG176" s="308" t="s">
        <v>2958</v>
      </c>
      <c r="BH176" s="308">
        <v>0.0</v>
      </c>
      <c r="BI176" s="308" t="s">
        <v>2959</v>
      </c>
      <c r="BJ176" s="308">
        <v>14.61</v>
      </c>
      <c r="BK176" s="311"/>
      <c r="BL176" s="311"/>
      <c r="BM176" s="311"/>
      <c r="BN176" s="311"/>
      <c r="BO176" s="311"/>
      <c r="BP176" s="311"/>
      <c r="BQ176" s="311"/>
      <c r="BR176" s="311"/>
      <c r="BS176" s="308"/>
      <c r="BT176" s="311"/>
      <c r="BU176" s="311"/>
      <c r="BV176" s="308" t="s">
        <v>4438</v>
      </c>
      <c r="BW176" s="308" t="s">
        <v>23</v>
      </c>
      <c r="BX176" s="308" t="s">
        <v>2956</v>
      </c>
      <c r="BY176" s="311"/>
      <c r="BZ176" s="311"/>
      <c r="CA176" s="308" t="s">
        <v>2956</v>
      </c>
      <c r="CB176" s="312" t="str">
        <f t="shared" si="1"/>
        <v>05/05/2026</v>
      </c>
      <c r="CC176" s="313">
        <f t="shared" si="2"/>
        <v>2026</v>
      </c>
      <c r="CD176" s="314">
        <f t="shared" si="3"/>
        <v>5</v>
      </c>
      <c r="CE176" s="314">
        <f t="shared" si="4"/>
        <v>1</v>
      </c>
      <c r="CF176" s="314">
        <f t="shared" si="5"/>
        <v>1</v>
      </c>
      <c r="CG176" s="314">
        <f t="shared" si="6"/>
        <v>0</v>
      </c>
      <c r="CH176" s="315">
        <f>VLOOKUP(CL176,'PRODUCT_COGS&amp;PRICE'!A:E,5,false)</f>
        <v>16.5</v>
      </c>
      <c r="CI176" s="315">
        <f t="shared" si="7"/>
        <v>-1.8631</v>
      </c>
      <c r="CJ176" s="316">
        <f t="shared" si="8"/>
        <v>0</v>
      </c>
      <c r="CK176" s="316">
        <f t="shared" si="9"/>
        <v>9</v>
      </c>
      <c r="CL176" s="314" t="str">
        <f>VLOOKUP(R176,PRODUCT_MAP!A:B,2,FALSE)</f>
        <v>Annie_Bag_PAILLETTES_LIGHT_GREEN</v>
      </c>
      <c r="CM176" s="314" t="str">
        <f>VLOOKUP(R176,PRODUCT_MAP!A:E,3,FALSE)</f>
        <v>Annie Bag paillettes</v>
      </c>
    </row>
    <row r="177" ht="22.5" customHeight="1">
      <c r="A177" s="308" t="s">
        <v>4439</v>
      </c>
      <c r="B177" s="308" t="s">
        <v>4440</v>
      </c>
      <c r="C177" s="308" t="s">
        <v>2942</v>
      </c>
      <c r="D177" s="308" t="s">
        <v>4441</v>
      </c>
      <c r="E177" s="308" t="s">
        <v>3013</v>
      </c>
      <c r="F177" s="308"/>
      <c r="G177" s="308" t="s">
        <v>2946</v>
      </c>
      <c r="H177" s="308" t="s">
        <v>2947</v>
      </c>
      <c r="I177" s="308">
        <v>90.0</v>
      </c>
      <c r="J177" s="308">
        <v>3.9</v>
      </c>
      <c r="K177" s="308">
        <v>16.93</v>
      </c>
      <c r="L177" s="308">
        <v>93.9</v>
      </c>
      <c r="M177" s="308" t="s">
        <v>3094</v>
      </c>
      <c r="N177" s="308">
        <v>10.0</v>
      </c>
      <c r="O177" s="308" t="s">
        <v>2948</v>
      </c>
      <c r="P177" s="308" t="s">
        <v>4442</v>
      </c>
      <c r="Q177" s="310">
        <v>1.0</v>
      </c>
      <c r="R177" s="308" t="s">
        <v>4182</v>
      </c>
      <c r="S177" s="308">
        <v>100.0</v>
      </c>
      <c r="T177" s="311"/>
      <c r="U177" s="308" t="s">
        <v>4183</v>
      </c>
      <c r="V177" s="308" t="b">
        <v>1</v>
      </c>
      <c r="W177" s="308" t="b">
        <v>1</v>
      </c>
      <c r="X177" s="308"/>
      <c r="Y177" s="308" t="s">
        <v>4443</v>
      </c>
      <c r="Z177" s="308" t="s">
        <v>4444</v>
      </c>
      <c r="AA177" s="308" t="s">
        <v>4444</v>
      </c>
      <c r="AB177" s="308"/>
      <c r="AC177" s="308"/>
      <c r="AD177" s="308" t="s">
        <v>3578</v>
      </c>
      <c r="AE177" s="308">
        <v>30174.0</v>
      </c>
      <c r="AF177" s="308" t="s">
        <v>3576</v>
      </c>
      <c r="AG177" s="308" t="s">
        <v>2955</v>
      </c>
      <c r="AH177" s="308">
        <v>3.463370629E9</v>
      </c>
      <c r="AI177" s="308" t="s">
        <v>4443</v>
      </c>
      <c r="AJ177" s="308" t="s">
        <v>4444</v>
      </c>
      <c r="AK177" s="308" t="s">
        <v>4444</v>
      </c>
      <c r="AL177" s="308"/>
      <c r="AM177" s="308"/>
      <c r="AN177" s="308" t="s">
        <v>3578</v>
      </c>
      <c r="AO177" s="308">
        <v>30174.0</v>
      </c>
      <c r="AP177" s="308" t="s">
        <v>3576</v>
      </c>
      <c r="AQ177" s="308" t="s">
        <v>2955</v>
      </c>
      <c r="AR177" s="308">
        <v>3.463370629E9</v>
      </c>
      <c r="AS177" s="311"/>
      <c r="AT177" s="311"/>
      <c r="AU177" s="311"/>
      <c r="AV177" s="308" t="s">
        <v>3009</v>
      </c>
      <c r="AW177" s="308">
        <v>4.7781055562055E13</v>
      </c>
      <c r="AX177" s="310">
        <v>0.0</v>
      </c>
      <c r="AY177" s="308" t="s">
        <v>2974</v>
      </c>
      <c r="AZ177" s="308">
        <v>0.0</v>
      </c>
      <c r="BA177" s="311"/>
      <c r="BB177" s="311"/>
      <c r="BC177" s="311"/>
      <c r="BD177" s="308">
        <v>7.653337203015E12</v>
      </c>
      <c r="BE177" s="311"/>
      <c r="BF177" s="311"/>
      <c r="BG177" s="308" t="s">
        <v>2958</v>
      </c>
      <c r="BH177" s="308">
        <v>0.0</v>
      </c>
      <c r="BI177" s="308" t="s">
        <v>2959</v>
      </c>
      <c r="BJ177" s="308">
        <v>16.23</v>
      </c>
      <c r="BK177" s="311"/>
      <c r="BL177" s="311"/>
      <c r="BM177" s="311"/>
      <c r="BN177" s="311"/>
      <c r="BO177" s="311"/>
      <c r="BP177" s="311"/>
      <c r="BQ177" s="311"/>
      <c r="BR177" s="311"/>
      <c r="BS177" s="308"/>
      <c r="BT177" s="311"/>
      <c r="BU177" s="311"/>
      <c r="BV177" s="308" t="s">
        <v>3578</v>
      </c>
      <c r="BW177" s="308" t="s">
        <v>3578</v>
      </c>
      <c r="BX177" s="308" t="s">
        <v>3009</v>
      </c>
      <c r="BY177" s="311"/>
      <c r="BZ177" s="311"/>
      <c r="CA177" s="308" t="s">
        <v>3009</v>
      </c>
      <c r="CB177" s="312" t="str">
        <f t="shared" si="1"/>
        <v>06/05/2026</v>
      </c>
      <c r="CC177" s="313">
        <f t="shared" si="2"/>
        <v>2026</v>
      </c>
      <c r="CD177" s="314">
        <f t="shared" si="3"/>
        <v>5</v>
      </c>
      <c r="CE177" s="314">
        <f t="shared" si="4"/>
        <v>1</v>
      </c>
      <c r="CF177" s="314">
        <f t="shared" si="5"/>
        <v>1</v>
      </c>
      <c r="CG177" s="314">
        <f t="shared" si="6"/>
        <v>0</v>
      </c>
      <c r="CH177" s="315">
        <f>VLOOKUP(CL177,'PRODUCT_COGS&amp;PRICE'!A:E,5,false)</f>
        <v>16.5</v>
      </c>
      <c r="CI177" s="315">
        <f t="shared" si="7"/>
        <v>-3.62711</v>
      </c>
      <c r="CJ177" s="316">
        <f t="shared" si="8"/>
        <v>0</v>
      </c>
      <c r="CK177" s="316">
        <f t="shared" si="9"/>
        <v>10</v>
      </c>
      <c r="CL177" s="314" t="str">
        <f>VLOOKUP(R177,PRODUCT_MAP!A:B,2,FALSE)</f>
        <v>Annie_Bag_PAILLETTES_GREY</v>
      </c>
      <c r="CM177" s="314" t="str">
        <f>VLOOKUP(R177,PRODUCT_MAP!A:E,3,FALSE)</f>
        <v>Annie Bag paillettes</v>
      </c>
    </row>
    <row r="178" ht="22.5" customHeight="1">
      <c r="A178" s="308" t="s">
        <v>4445</v>
      </c>
      <c r="B178" s="308" t="s">
        <v>4446</v>
      </c>
      <c r="C178" s="308" t="s">
        <v>2942</v>
      </c>
      <c r="D178" s="308" t="s">
        <v>4447</v>
      </c>
      <c r="E178" s="308" t="s">
        <v>3013</v>
      </c>
      <c r="F178" s="308"/>
      <c r="G178" s="308" t="s">
        <v>2946</v>
      </c>
      <c r="H178" s="308" t="s">
        <v>2947</v>
      </c>
      <c r="I178" s="308">
        <v>72.0</v>
      </c>
      <c r="J178" s="308">
        <v>3.9</v>
      </c>
      <c r="K178" s="308">
        <v>13.68</v>
      </c>
      <c r="L178" s="308">
        <v>75.9</v>
      </c>
      <c r="M178" s="308" t="s">
        <v>3094</v>
      </c>
      <c r="N178" s="308">
        <v>8.0</v>
      </c>
      <c r="O178" s="308" t="s">
        <v>2948</v>
      </c>
      <c r="P178" s="308" t="s">
        <v>4448</v>
      </c>
      <c r="Q178" s="310">
        <v>1.0</v>
      </c>
      <c r="R178" s="308" t="s">
        <v>4367</v>
      </c>
      <c r="S178" s="308">
        <v>80.0</v>
      </c>
      <c r="T178" s="311"/>
      <c r="U178" s="308" t="s">
        <v>1278</v>
      </c>
      <c r="V178" s="308" t="b">
        <v>1</v>
      </c>
      <c r="W178" s="308" t="b">
        <v>1</v>
      </c>
      <c r="X178" s="308"/>
      <c r="Y178" s="308" t="s">
        <v>4449</v>
      </c>
      <c r="Z178" s="308" t="s">
        <v>4450</v>
      </c>
      <c r="AA178" s="308" t="s">
        <v>4450</v>
      </c>
      <c r="AB178" s="308"/>
      <c r="AC178" s="308"/>
      <c r="AD178" s="308" t="s">
        <v>3394</v>
      </c>
      <c r="AE178" s="308">
        <v>59100.0</v>
      </c>
      <c r="AF178" s="308" t="s">
        <v>3395</v>
      </c>
      <c r="AG178" s="308" t="s">
        <v>2955</v>
      </c>
      <c r="AH178" s="308">
        <v>3.394250021E9</v>
      </c>
      <c r="AI178" s="308" t="s">
        <v>4449</v>
      </c>
      <c r="AJ178" s="308" t="s">
        <v>4450</v>
      </c>
      <c r="AK178" s="308" t="s">
        <v>4450</v>
      </c>
      <c r="AL178" s="308"/>
      <c r="AM178" s="308"/>
      <c r="AN178" s="308" t="s">
        <v>3394</v>
      </c>
      <c r="AO178" s="308">
        <v>59100.0</v>
      </c>
      <c r="AP178" s="308" t="s">
        <v>3395</v>
      </c>
      <c r="AQ178" s="308" t="s">
        <v>2955</v>
      </c>
      <c r="AR178" s="308">
        <v>3.394250021E9</v>
      </c>
      <c r="AS178" s="311"/>
      <c r="AT178" s="311"/>
      <c r="AU178" s="311"/>
      <c r="AV178" s="308" t="s">
        <v>3009</v>
      </c>
      <c r="AW178" s="308">
        <v>4.7780941660487E13</v>
      </c>
      <c r="AX178" s="310">
        <v>0.0</v>
      </c>
      <c r="AY178" s="308" t="s">
        <v>2974</v>
      </c>
      <c r="AZ178" s="308">
        <v>0.0</v>
      </c>
      <c r="BA178" s="311"/>
      <c r="BB178" s="311"/>
      <c r="BC178" s="311"/>
      <c r="BD178" s="308">
        <v>7.653413814599E12</v>
      </c>
      <c r="BE178" s="311"/>
      <c r="BF178" s="311"/>
      <c r="BG178" s="308" t="s">
        <v>2958</v>
      </c>
      <c r="BH178" s="308">
        <v>0.0</v>
      </c>
      <c r="BI178" s="308" t="s">
        <v>2959</v>
      </c>
      <c r="BJ178" s="308">
        <v>12.98</v>
      </c>
      <c r="BK178" s="311"/>
      <c r="BL178" s="311"/>
      <c r="BM178" s="311"/>
      <c r="BN178" s="311"/>
      <c r="BO178" s="311"/>
      <c r="BP178" s="311"/>
      <c r="BQ178" s="311"/>
      <c r="BR178" s="311"/>
      <c r="BS178" s="308"/>
      <c r="BT178" s="311"/>
      <c r="BU178" s="311"/>
      <c r="BV178" s="308" t="s">
        <v>3394</v>
      </c>
      <c r="BW178" s="308" t="s">
        <v>3394</v>
      </c>
      <c r="BX178" s="308" t="s">
        <v>3009</v>
      </c>
      <c r="BY178" s="311"/>
      <c r="BZ178" s="311"/>
      <c r="CA178" s="308" t="s">
        <v>3009</v>
      </c>
      <c r="CB178" s="312" t="str">
        <f t="shared" si="1"/>
        <v>06/05/2026</v>
      </c>
      <c r="CC178" s="313">
        <f t="shared" si="2"/>
        <v>2026</v>
      </c>
      <c r="CD178" s="314">
        <f t="shared" si="3"/>
        <v>5</v>
      </c>
      <c r="CE178" s="314">
        <f t="shared" si="4"/>
        <v>1</v>
      </c>
      <c r="CF178" s="314">
        <f t="shared" si="5"/>
        <v>1</v>
      </c>
      <c r="CG178" s="314">
        <f t="shared" si="6"/>
        <v>0</v>
      </c>
      <c r="CH178" s="315">
        <f>VLOOKUP(CL178,'PRODUCT_COGS&amp;PRICE'!A:E,5,false)</f>
        <v>19</v>
      </c>
      <c r="CI178" s="315">
        <f t="shared" si="7"/>
        <v>-2.99891</v>
      </c>
      <c r="CJ178" s="316">
        <f t="shared" si="8"/>
        <v>0</v>
      </c>
      <c r="CK178" s="316">
        <f t="shared" si="9"/>
        <v>8</v>
      </c>
      <c r="CL178" s="314" t="str">
        <f>VLOOKUP(R178,PRODUCT_MAP!A:B,2,FALSE)</f>
        <v>Agata_Bag_ROSE_BLUE</v>
      </c>
      <c r="CM178" s="314" t="str">
        <f>VLOOKUP(R178,PRODUCT_MAP!A:E,3,FALSE)</f>
        <v>Agata Bag</v>
      </c>
    </row>
    <row r="179" ht="22.5" customHeight="1">
      <c r="A179" s="308" t="s">
        <v>4451</v>
      </c>
      <c r="B179" s="308" t="s">
        <v>4452</v>
      </c>
      <c r="C179" s="308" t="s">
        <v>2942</v>
      </c>
      <c r="D179" s="308" t="s">
        <v>4453</v>
      </c>
      <c r="E179" s="308" t="s">
        <v>3013</v>
      </c>
      <c r="F179" s="308"/>
      <c r="G179" s="308" t="s">
        <v>2946</v>
      </c>
      <c r="H179" s="308" t="s">
        <v>2947</v>
      </c>
      <c r="I179" s="308">
        <v>135.0</v>
      </c>
      <c r="J179" s="308">
        <v>0.0</v>
      </c>
      <c r="K179" s="308">
        <v>24.34</v>
      </c>
      <c r="L179" s="308">
        <v>135.0</v>
      </c>
      <c r="M179" s="308" t="s">
        <v>3094</v>
      </c>
      <c r="N179" s="308">
        <v>15.0</v>
      </c>
      <c r="O179" s="308" t="s">
        <v>2948</v>
      </c>
      <c r="P179" s="308" t="s">
        <v>4454</v>
      </c>
      <c r="Q179" s="310">
        <v>1.0</v>
      </c>
      <c r="R179" s="308" t="s">
        <v>3214</v>
      </c>
      <c r="S179" s="308">
        <v>150.0</v>
      </c>
      <c r="T179" s="311"/>
      <c r="U179" s="308" t="s">
        <v>229</v>
      </c>
      <c r="V179" s="308" t="b">
        <v>1</v>
      </c>
      <c r="W179" s="308" t="b">
        <v>1</v>
      </c>
      <c r="X179" s="308"/>
      <c r="Y179" s="308" t="s">
        <v>4455</v>
      </c>
      <c r="Z179" s="308" t="s">
        <v>4456</v>
      </c>
      <c r="AA179" s="308" t="s">
        <v>4456</v>
      </c>
      <c r="AB179" s="308"/>
      <c r="AC179" s="308"/>
      <c r="AD179" s="308" t="s">
        <v>4457</v>
      </c>
      <c r="AE179" s="308">
        <v>70010.0</v>
      </c>
      <c r="AF179" s="308" t="s">
        <v>4103</v>
      </c>
      <c r="AG179" s="308" t="s">
        <v>2955</v>
      </c>
      <c r="AH179" s="308">
        <v>3.206561604E9</v>
      </c>
      <c r="AI179" s="308" t="s">
        <v>4455</v>
      </c>
      <c r="AJ179" s="308" t="s">
        <v>4456</v>
      </c>
      <c r="AK179" s="308" t="s">
        <v>4456</v>
      </c>
      <c r="AL179" s="308"/>
      <c r="AM179" s="308"/>
      <c r="AN179" s="308" t="s">
        <v>4457</v>
      </c>
      <c r="AO179" s="308">
        <v>70010.0</v>
      </c>
      <c r="AP179" s="308" t="s">
        <v>4103</v>
      </c>
      <c r="AQ179" s="308" t="s">
        <v>2955</v>
      </c>
      <c r="AR179" s="308">
        <v>3.206561604E9</v>
      </c>
      <c r="AS179" s="311"/>
      <c r="AT179" s="311"/>
      <c r="AU179" s="311"/>
      <c r="AV179" s="308" t="s">
        <v>2956</v>
      </c>
      <c r="AW179" s="308">
        <v>4.7784392065351E13</v>
      </c>
      <c r="AX179" s="310">
        <v>0.0</v>
      </c>
      <c r="AY179" s="308" t="s">
        <v>2974</v>
      </c>
      <c r="AZ179" s="308">
        <v>0.0</v>
      </c>
      <c r="BA179" s="311"/>
      <c r="BB179" s="311"/>
      <c r="BC179" s="311"/>
      <c r="BD179" s="308">
        <v>7.654073368903E12</v>
      </c>
      <c r="BE179" s="311"/>
      <c r="BF179" s="311"/>
      <c r="BG179" s="308" t="s">
        <v>2958</v>
      </c>
      <c r="BH179" s="308">
        <v>0.0</v>
      </c>
      <c r="BI179" s="308" t="s">
        <v>2959</v>
      </c>
      <c r="BJ179" s="308">
        <v>24.34</v>
      </c>
      <c r="BK179" s="311"/>
      <c r="BL179" s="311"/>
      <c r="BM179" s="311"/>
      <c r="BN179" s="311"/>
      <c r="BO179" s="311"/>
      <c r="BP179" s="311"/>
      <c r="BQ179" s="311"/>
      <c r="BR179" s="311"/>
      <c r="BS179" s="308"/>
      <c r="BT179" s="311"/>
      <c r="BU179" s="311"/>
      <c r="BV179" s="308" t="s">
        <v>4102</v>
      </c>
      <c r="BW179" s="308" t="s">
        <v>4102</v>
      </c>
      <c r="BX179" s="308" t="s">
        <v>2956</v>
      </c>
      <c r="BY179" s="311"/>
      <c r="BZ179" s="311"/>
      <c r="CA179" s="308" t="s">
        <v>2956</v>
      </c>
      <c r="CB179" s="312" t="str">
        <f t="shared" si="1"/>
        <v>06/05/2026</v>
      </c>
      <c r="CC179" s="313">
        <f t="shared" si="2"/>
        <v>2026</v>
      </c>
      <c r="CD179" s="314">
        <f t="shared" si="3"/>
        <v>5</v>
      </c>
      <c r="CE179" s="314">
        <f t="shared" si="4"/>
        <v>1</v>
      </c>
      <c r="CF179" s="314">
        <f t="shared" si="5"/>
        <v>1</v>
      </c>
      <c r="CG179" s="314">
        <f t="shared" si="6"/>
        <v>-5</v>
      </c>
      <c r="CH179" s="315">
        <f>VLOOKUP(CL179,'PRODUCT_COGS&amp;PRICE'!A:E,5,false)</f>
        <v>33</v>
      </c>
      <c r="CI179" s="315">
        <f t="shared" si="7"/>
        <v>-2.815</v>
      </c>
      <c r="CJ179" s="316">
        <f t="shared" si="8"/>
        <v>0</v>
      </c>
      <c r="CK179" s="316">
        <f t="shared" si="9"/>
        <v>15</v>
      </c>
      <c r="CL179" s="314" t="str">
        <f>VLOOKUP(R179,PRODUCT_MAP!A:B,2,FALSE)</f>
        <v>Lea_Bag_ZEBRA</v>
      </c>
      <c r="CM179" s="314" t="str">
        <f>VLOOKUP(R179,PRODUCT_MAP!A:E,3,FALSE)</f>
        <v>Lea Bag</v>
      </c>
    </row>
    <row r="180" ht="22.5" customHeight="1">
      <c r="A180" s="308" t="s">
        <v>4458</v>
      </c>
      <c r="B180" s="308" t="s">
        <v>4459</v>
      </c>
      <c r="C180" s="308" t="s">
        <v>2942</v>
      </c>
      <c r="D180" s="308" t="s">
        <v>4460</v>
      </c>
      <c r="E180" s="308" t="s">
        <v>3013</v>
      </c>
      <c r="F180" s="308"/>
      <c r="G180" s="308" t="s">
        <v>2946</v>
      </c>
      <c r="H180" s="308" t="s">
        <v>2947</v>
      </c>
      <c r="I180" s="308">
        <v>108.0</v>
      </c>
      <c r="J180" s="308">
        <v>0.0</v>
      </c>
      <c r="K180" s="308">
        <v>19.48</v>
      </c>
      <c r="L180" s="308">
        <v>108.0</v>
      </c>
      <c r="M180" s="308" t="s">
        <v>3094</v>
      </c>
      <c r="N180" s="308">
        <v>12.0</v>
      </c>
      <c r="O180" s="308" t="s">
        <v>2948</v>
      </c>
      <c r="P180" s="308" t="s">
        <v>4461</v>
      </c>
      <c r="Q180" s="310">
        <v>1.0</v>
      </c>
      <c r="R180" s="308" t="s">
        <v>607</v>
      </c>
      <c r="S180" s="308">
        <v>120.0</v>
      </c>
      <c r="T180" s="311"/>
      <c r="U180" s="308" t="s">
        <v>207</v>
      </c>
      <c r="V180" s="308" t="b">
        <v>1</v>
      </c>
      <c r="W180" s="308" t="b">
        <v>1</v>
      </c>
      <c r="X180" s="308"/>
      <c r="Y180" s="308" t="s">
        <v>4462</v>
      </c>
      <c r="Z180" s="308" t="s">
        <v>4463</v>
      </c>
      <c r="AA180" s="308" t="s">
        <v>4463</v>
      </c>
      <c r="AB180" s="308"/>
      <c r="AC180" s="308"/>
      <c r="AD180" s="308" t="s">
        <v>3081</v>
      </c>
      <c r="AE180" s="308">
        <v>179.0</v>
      </c>
      <c r="AF180" s="308" t="s">
        <v>3082</v>
      </c>
      <c r="AG180" s="308" t="s">
        <v>2955</v>
      </c>
      <c r="AH180" s="308">
        <v>3.454163942E9</v>
      </c>
      <c r="AI180" s="308" t="s">
        <v>4462</v>
      </c>
      <c r="AJ180" s="308" t="s">
        <v>4463</v>
      </c>
      <c r="AK180" s="308" t="s">
        <v>4463</v>
      </c>
      <c r="AL180" s="308"/>
      <c r="AM180" s="308"/>
      <c r="AN180" s="308" t="s">
        <v>3081</v>
      </c>
      <c r="AO180" s="308">
        <v>179.0</v>
      </c>
      <c r="AP180" s="308" t="s">
        <v>3082</v>
      </c>
      <c r="AQ180" s="308" t="s">
        <v>2955</v>
      </c>
      <c r="AR180" s="308">
        <v>3.454163942E9</v>
      </c>
      <c r="AS180" s="311"/>
      <c r="AT180" s="311"/>
      <c r="AU180" s="311"/>
      <c r="AV180" s="308" t="s">
        <v>2956</v>
      </c>
      <c r="AW180" s="308">
        <v>4.7784893055303E13</v>
      </c>
      <c r="AX180" s="310">
        <v>0.0</v>
      </c>
      <c r="AY180" s="308" t="s">
        <v>2974</v>
      </c>
      <c r="AZ180" s="308">
        <v>0.0</v>
      </c>
      <c r="BA180" s="311"/>
      <c r="BB180" s="311"/>
      <c r="BC180" s="311"/>
      <c r="BD180" s="308">
        <v>7.654305235271E12</v>
      </c>
      <c r="BE180" s="311"/>
      <c r="BF180" s="311"/>
      <c r="BG180" s="308" t="s">
        <v>2958</v>
      </c>
      <c r="BH180" s="308">
        <v>0.0</v>
      </c>
      <c r="BI180" s="308" t="s">
        <v>2959</v>
      </c>
      <c r="BJ180" s="308">
        <v>19.48</v>
      </c>
      <c r="BK180" s="311"/>
      <c r="BL180" s="311"/>
      <c r="BM180" s="311"/>
      <c r="BN180" s="311"/>
      <c r="BO180" s="311"/>
      <c r="BP180" s="311"/>
      <c r="BQ180" s="311"/>
      <c r="BR180" s="311"/>
      <c r="BS180" s="308"/>
      <c r="BT180" s="311"/>
      <c r="BU180" s="311"/>
      <c r="BV180" s="308" t="s">
        <v>3081</v>
      </c>
      <c r="BW180" s="308" t="s">
        <v>3081</v>
      </c>
      <c r="BX180" s="308" t="s">
        <v>2956</v>
      </c>
      <c r="BY180" s="311"/>
      <c r="BZ180" s="311"/>
      <c r="CA180" s="308" t="s">
        <v>2956</v>
      </c>
      <c r="CB180" s="312" t="str">
        <f t="shared" si="1"/>
        <v>06/05/2026</v>
      </c>
      <c r="CC180" s="313">
        <f t="shared" si="2"/>
        <v>2026</v>
      </c>
      <c r="CD180" s="314">
        <f t="shared" si="3"/>
        <v>5</v>
      </c>
      <c r="CE180" s="314">
        <f t="shared" si="4"/>
        <v>1</v>
      </c>
      <c r="CF180" s="314">
        <f t="shared" si="5"/>
        <v>1</v>
      </c>
      <c r="CG180" s="314">
        <f t="shared" si="6"/>
        <v>-5</v>
      </c>
      <c r="CH180" s="315">
        <f>VLOOKUP(CL180,'PRODUCT_COGS&amp;PRICE'!A:E,5,false)</f>
        <v>26</v>
      </c>
      <c r="CI180" s="315">
        <f t="shared" si="7"/>
        <v>-2.302</v>
      </c>
      <c r="CJ180" s="316">
        <f t="shared" si="8"/>
        <v>0</v>
      </c>
      <c r="CK180" s="316">
        <f t="shared" si="9"/>
        <v>12</v>
      </c>
      <c r="CL180" s="314" t="str">
        <f>VLOOKUP(R180,PRODUCT_MAP!A:B,2,FALSE)</f>
        <v>Maria_Bag_RED_PIERCING</v>
      </c>
      <c r="CM180" s="314" t="str">
        <f>VLOOKUP(R180,PRODUCT_MAP!A:E,3,FALSE)</f>
        <v>Maria Bag</v>
      </c>
    </row>
    <row r="181" ht="22.5" customHeight="1">
      <c r="A181" s="308" t="s">
        <v>4464</v>
      </c>
      <c r="B181" s="308" t="s">
        <v>4465</v>
      </c>
      <c r="C181" s="308" t="s">
        <v>2942</v>
      </c>
      <c r="D181" s="308" t="s">
        <v>4466</v>
      </c>
      <c r="E181" s="308" t="s">
        <v>3013</v>
      </c>
      <c r="F181" s="308"/>
      <c r="G181" s="308" t="s">
        <v>2965</v>
      </c>
      <c r="H181" s="308" t="s">
        <v>2947</v>
      </c>
      <c r="I181" s="308">
        <v>150.0</v>
      </c>
      <c r="J181" s="308">
        <v>0.0</v>
      </c>
      <c r="K181" s="308">
        <v>27.05</v>
      </c>
      <c r="L181" s="308">
        <v>150.0</v>
      </c>
      <c r="M181" s="308"/>
      <c r="N181" s="308">
        <v>0.0</v>
      </c>
      <c r="O181" s="308" t="s">
        <v>2948</v>
      </c>
      <c r="P181" s="308" t="s">
        <v>4467</v>
      </c>
      <c r="Q181" s="310">
        <v>1.0</v>
      </c>
      <c r="R181" s="308" t="s">
        <v>3106</v>
      </c>
      <c r="S181" s="308">
        <v>150.0</v>
      </c>
      <c r="T181" s="311"/>
      <c r="U181" s="308" t="s">
        <v>3249</v>
      </c>
      <c r="V181" s="308" t="b">
        <v>1</v>
      </c>
      <c r="W181" s="308" t="b">
        <v>1</v>
      </c>
      <c r="X181" s="308"/>
      <c r="Y181" s="308" t="s">
        <v>4468</v>
      </c>
      <c r="Z181" s="308" t="s">
        <v>4469</v>
      </c>
      <c r="AA181" s="308" t="s">
        <v>4469</v>
      </c>
      <c r="AB181" s="308"/>
      <c r="AC181" s="308"/>
      <c r="AD181" s="308" t="s">
        <v>23</v>
      </c>
      <c r="AE181" s="308">
        <v>20149.0</v>
      </c>
      <c r="AF181" s="308" t="s">
        <v>2954</v>
      </c>
      <c r="AG181" s="308" t="s">
        <v>2955</v>
      </c>
      <c r="AH181" s="308">
        <v>3.939257777E9</v>
      </c>
      <c r="AI181" s="308" t="s">
        <v>4468</v>
      </c>
      <c r="AJ181" s="308" t="s">
        <v>4469</v>
      </c>
      <c r="AK181" s="308" t="s">
        <v>4469</v>
      </c>
      <c r="AL181" s="308"/>
      <c r="AM181" s="308"/>
      <c r="AN181" s="308" t="s">
        <v>23</v>
      </c>
      <c r="AO181" s="308">
        <v>20149.0</v>
      </c>
      <c r="AP181" s="308" t="s">
        <v>2954</v>
      </c>
      <c r="AQ181" s="308" t="s">
        <v>2955</v>
      </c>
      <c r="AR181" s="308">
        <v>3.939257777E9</v>
      </c>
      <c r="AS181" s="311"/>
      <c r="AT181" s="311"/>
      <c r="AU181" s="311"/>
      <c r="AV181" s="308" t="s">
        <v>3009</v>
      </c>
      <c r="AW181" s="308">
        <v>4.7784925561159E13</v>
      </c>
      <c r="AX181" s="310">
        <v>0.0</v>
      </c>
      <c r="AY181" s="308" t="s">
        <v>2974</v>
      </c>
      <c r="AZ181" s="308">
        <v>0.0</v>
      </c>
      <c r="BA181" s="311"/>
      <c r="BB181" s="311"/>
      <c r="BC181" s="311"/>
      <c r="BD181" s="308">
        <v>7.654378045767E12</v>
      </c>
      <c r="BE181" s="311"/>
      <c r="BF181" s="311"/>
      <c r="BG181" s="308" t="s">
        <v>2958</v>
      </c>
      <c r="BH181" s="308">
        <v>0.0</v>
      </c>
      <c r="BI181" s="308" t="s">
        <v>2959</v>
      </c>
      <c r="BJ181" s="308">
        <v>27.05</v>
      </c>
      <c r="BK181" s="311"/>
      <c r="BL181" s="311"/>
      <c r="BM181" s="311"/>
      <c r="BN181" s="311"/>
      <c r="BO181" s="311"/>
      <c r="BP181" s="311"/>
      <c r="BQ181" s="311"/>
      <c r="BR181" s="311"/>
      <c r="BS181" s="308"/>
      <c r="BT181" s="311"/>
      <c r="BU181" s="311"/>
      <c r="BV181" s="308" t="s">
        <v>23</v>
      </c>
      <c r="BW181" s="308" t="s">
        <v>23</v>
      </c>
      <c r="BX181" s="308" t="s">
        <v>3009</v>
      </c>
      <c r="BY181" s="311"/>
      <c r="BZ181" s="311"/>
      <c r="CA181" s="308" t="s">
        <v>3009</v>
      </c>
      <c r="CB181" s="312" t="str">
        <f t="shared" si="1"/>
        <v>06/05/2026</v>
      </c>
      <c r="CC181" s="313">
        <f t="shared" si="2"/>
        <v>2026</v>
      </c>
      <c r="CD181" s="314">
        <f t="shared" si="3"/>
        <v>5</v>
      </c>
      <c r="CE181" s="314">
        <f t="shared" si="4"/>
        <v>1</v>
      </c>
      <c r="CF181" s="314">
        <f t="shared" si="5"/>
        <v>1</v>
      </c>
      <c r="CG181" s="314">
        <f t="shared" si="6"/>
        <v>-5</v>
      </c>
      <c r="CH181" s="315">
        <f>VLOOKUP(CL181,'PRODUCT_COGS&amp;PRICE'!A:E,5,false)</f>
        <v>30.33</v>
      </c>
      <c r="CI181" s="315">
        <f t="shared" si="7"/>
        <v>-5.585</v>
      </c>
      <c r="CJ181" s="316">
        <f t="shared" si="8"/>
        <v>0</v>
      </c>
      <c r="CK181" s="316">
        <f t="shared" si="9"/>
        <v>0</v>
      </c>
      <c r="CL181" s="314" t="str">
        <f>VLOOKUP(R181,PRODUCT_MAP!A:B,2,FALSE)</f>
        <v>Lea_Bag_LEOPARDO_SAVANA</v>
      </c>
      <c r="CM181" s="314" t="str">
        <f>VLOOKUP(R181,PRODUCT_MAP!A:E,3,FALSE)</f>
        <v>Lea Bag</v>
      </c>
    </row>
    <row r="182" ht="22.5" customHeight="1">
      <c r="A182" s="308" t="s">
        <v>4470</v>
      </c>
      <c r="B182" s="308"/>
      <c r="C182" s="308" t="s">
        <v>2942</v>
      </c>
      <c r="D182" s="308" t="s">
        <v>4471</v>
      </c>
      <c r="E182" s="308" t="s">
        <v>3013</v>
      </c>
      <c r="F182" s="308"/>
      <c r="G182" s="308" t="s">
        <v>2965</v>
      </c>
      <c r="H182" s="308" t="s">
        <v>2947</v>
      </c>
      <c r="I182" s="308">
        <v>108.0</v>
      </c>
      <c r="J182" s="308">
        <v>0.0</v>
      </c>
      <c r="K182" s="308">
        <v>19.48</v>
      </c>
      <c r="L182" s="308">
        <v>108.0</v>
      </c>
      <c r="M182" s="308" t="s">
        <v>3221</v>
      </c>
      <c r="N182" s="308">
        <v>12.0</v>
      </c>
      <c r="O182" s="308" t="s">
        <v>2979</v>
      </c>
      <c r="P182" s="308" t="s">
        <v>4472</v>
      </c>
      <c r="Q182" s="310">
        <v>1.0</v>
      </c>
      <c r="R182" s="308" t="s">
        <v>938</v>
      </c>
      <c r="S182" s="308">
        <v>120.0</v>
      </c>
      <c r="T182" s="311"/>
      <c r="U182" s="308" t="s">
        <v>233</v>
      </c>
      <c r="V182" s="308" t="b">
        <v>1</v>
      </c>
      <c r="W182" s="308" t="b">
        <v>1</v>
      </c>
      <c r="X182" s="308"/>
      <c r="Y182" s="308" t="s">
        <v>4473</v>
      </c>
      <c r="Z182" s="308" t="s">
        <v>4474</v>
      </c>
      <c r="AA182" s="308" t="s">
        <v>4474</v>
      </c>
      <c r="AB182" s="308"/>
      <c r="AC182" s="308"/>
      <c r="AD182" s="308" t="s">
        <v>3217</v>
      </c>
      <c r="AE182" s="308">
        <v>20122.0</v>
      </c>
      <c r="AF182" s="308" t="s">
        <v>2954</v>
      </c>
      <c r="AG182" s="308" t="s">
        <v>2955</v>
      </c>
      <c r="AH182" s="308"/>
      <c r="AI182" s="308"/>
      <c r="AJ182" s="308"/>
      <c r="AK182" s="308"/>
      <c r="AL182" s="308"/>
      <c r="AM182" s="308"/>
      <c r="AN182" s="308"/>
      <c r="AO182" s="308"/>
      <c r="AP182" s="308"/>
      <c r="AQ182" s="308"/>
      <c r="AR182" s="308"/>
      <c r="AS182" s="311"/>
      <c r="AT182" s="311"/>
      <c r="AU182" s="311"/>
      <c r="AV182" s="308" t="s">
        <v>2956</v>
      </c>
      <c r="AW182" s="308">
        <v>4.7788031377735E13</v>
      </c>
      <c r="AX182" s="310">
        <v>0.0</v>
      </c>
      <c r="AY182" s="308" t="s">
        <v>2974</v>
      </c>
      <c r="AZ182" s="308">
        <v>0.0</v>
      </c>
      <c r="BA182" s="311"/>
      <c r="BB182" s="311"/>
      <c r="BC182" s="311"/>
      <c r="BD182" s="308">
        <v>7.655708393799E12</v>
      </c>
      <c r="BE182" s="311"/>
      <c r="BF182" s="311"/>
      <c r="BG182" s="308" t="s">
        <v>2958</v>
      </c>
      <c r="BH182" s="308">
        <v>0.0</v>
      </c>
      <c r="BI182" s="308" t="s">
        <v>2959</v>
      </c>
      <c r="BJ182" s="308">
        <v>19.48</v>
      </c>
      <c r="BK182" s="311"/>
      <c r="BL182" s="311"/>
      <c r="BM182" s="311"/>
      <c r="BN182" s="311"/>
      <c r="BO182" s="311"/>
      <c r="BP182" s="311"/>
      <c r="BQ182" s="311"/>
      <c r="BR182" s="311"/>
      <c r="BS182" s="318" t="s">
        <v>4475</v>
      </c>
      <c r="BT182" s="311"/>
      <c r="BU182" s="311"/>
      <c r="BV182" s="308" t="s">
        <v>23</v>
      </c>
      <c r="BW182" s="308"/>
      <c r="BX182" s="308" t="s">
        <v>2956</v>
      </c>
      <c r="BY182" s="311"/>
      <c r="BZ182" s="311"/>
      <c r="CA182" s="308" t="s">
        <v>2956</v>
      </c>
      <c r="CB182" s="312" t="str">
        <f t="shared" si="1"/>
        <v>07/05/2026</v>
      </c>
      <c r="CC182" s="313">
        <f t="shared" si="2"/>
        <v>2026</v>
      </c>
      <c r="CD182" s="314">
        <f t="shared" si="3"/>
        <v>5</v>
      </c>
      <c r="CE182" s="314">
        <f t="shared" si="4"/>
        <v>1</v>
      </c>
      <c r="CF182" s="314">
        <f t="shared" si="5"/>
        <v>1</v>
      </c>
      <c r="CG182" s="314">
        <f t="shared" si="6"/>
        <v>-5</v>
      </c>
      <c r="CH182" s="315">
        <f>VLOOKUP(CL182,'PRODUCT_COGS&amp;PRICE'!A:E,5,false)</f>
        <v>20</v>
      </c>
      <c r="CI182" s="315">
        <f t="shared" si="7"/>
        <v>-2.302</v>
      </c>
      <c r="CJ182" s="316">
        <f t="shared" si="8"/>
        <v>0</v>
      </c>
      <c r="CK182" s="316">
        <f t="shared" si="9"/>
        <v>12</v>
      </c>
      <c r="CL182" s="314" t="str">
        <f>VLOOKUP(R182,PRODUCT_MAP!A:B,2,FALSE)</f>
        <v>Lea_Bag_TOASTED_LEATHER</v>
      </c>
      <c r="CM182" s="314" t="str">
        <f>VLOOKUP(R182,PRODUCT_MAP!A:E,3,FALSE)</f>
        <v>Lea Bag</v>
      </c>
    </row>
    <row r="183" ht="22.5" customHeight="1">
      <c r="A183" s="308" t="s">
        <v>4476</v>
      </c>
      <c r="B183" s="308" t="s">
        <v>4477</v>
      </c>
      <c r="C183" s="308" t="s">
        <v>2942</v>
      </c>
      <c r="D183" s="308" t="s">
        <v>4478</v>
      </c>
      <c r="E183" s="308" t="s">
        <v>2944</v>
      </c>
      <c r="F183" s="308" t="s">
        <v>4479</v>
      </c>
      <c r="G183" s="308" t="s">
        <v>2946</v>
      </c>
      <c r="H183" s="308" t="s">
        <v>2947</v>
      </c>
      <c r="I183" s="308">
        <v>90.0</v>
      </c>
      <c r="J183" s="308">
        <v>6.0</v>
      </c>
      <c r="K183" s="308">
        <v>17.31</v>
      </c>
      <c r="L183" s="308">
        <v>96.0</v>
      </c>
      <c r="M183" s="308" t="s">
        <v>3221</v>
      </c>
      <c r="N183" s="308">
        <v>10.0</v>
      </c>
      <c r="O183" s="308" t="s">
        <v>4480</v>
      </c>
      <c r="P183" s="308" t="s">
        <v>4481</v>
      </c>
      <c r="Q183" s="310">
        <v>1.0</v>
      </c>
      <c r="R183" s="308" t="s">
        <v>4182</v>
      </c>
      <c r="S183" s="308">
        <v>100.0</v>
      </c>
      <c r="T183" s="311"/>
      <c r="U183" s="308" t="s">
        <v>4183</v>
      </c>
      <c r="V183" s="308" t="b">
        <v>1</v>
      </c>
      <c r="W183" s="308" t="b">
        <v>1</v>
      </c>
      <c r="X183" s="308" t="s">
        <v>2944</v>
      </c>
      <c r="Y183" s="308" t="s">
        <v>4482</v>
      </c>
      <c r="Z183" s="308" t="s">
        <v>4483</v>
      </c>
      <c r="AA183" s="308" t="s">
        <v>4483</v>
      </c>
      <c r="AB183" s="308"/>
      <c r="AC183" s="308"/>
      <c r="AD183" s="308" t="s">
        <v>3081</v>
      </c>
      <c r="AE183" s="308">
        <v>191.0</v>
      </c>
      <c r="AF183" s="308" t="s">
        <v>3082</v>
      </c>
      <c r="AG183" s="308" t="s">
        <v>2955</v>
      </c>
      <c r="AH183" s="308">
        <v>3.4040645E9</v>
      </c>
      <c r="AI183" s="308" t="s">
        <v>4482</v>
      </c>
      <c r="AJ183" s="308" t="s">
        <v>4483</v>
      </c>
      <c r="AK183" s="308" t="s">
        <v>4483</v>
      </c>
      <c r="AL183" s="308"/>
      <c r="AM183" s="308"/>
      <c r="AN183" s="308" t="s">
        <v>3081</v>
      </c>
      <c r="AO183" s="308">
        <v>191.0</v>
      </c>
      <c r="AP183" s="308" t="s">
        <v>3082</v>
      </c>
      <c r="AQ183" s="308" t="s">
        <v>2955</v>
      </c>
      <c r="AR183" s="308">
        <v>3.4040645E9</v>
      </c>
      <c r="AS183" s="311"/>
      <c r="AT183" s="311"/>
      <c r="AU183" s="311"/>
      <c r="AV183" s="308" t="s">
        <v>2956</v>
      </c>
      <c r="AW183" s="308">
        <v>4.7788471189831E13</v>
      </c>
      <c r="AX183" s="310">
        <v>0.0</v>
      </c>
      <c r="AY183" s="308" t="s">
        <v>2974</v>
      </c>
      <c r="AZ183" s="308">
        <v>0.0</v>
      </c>
      <c r="BA183" s="311"/>
      <c r="BB183" s="311"/>
      <c r="BC183" s="311"/>
      <c r="BD183" s="308">
        <v>7.655842840903E12</v>
      </c>
      <c r="BE183" s="311"/>
      <c r="BF183" s="311"/>
      <c r="BG183" s="308" t="s">
        <v>3640</v>
      </c>
      <c r="BH183" s="308">
        <v>0.0</v>
      </c>
      <c r="BI183" s="308" t="s">
        <v>2959</v>
      </c>
      <c r="BJ183" s="308">
        <v>16.23</v>
      </c>
      <c r="BK183" s="311"/>
      <c r="BL183" s="311"/>
      <c r="BM183" s="311"/>
      <c r="BN183" s="311"/>
      <c r="BO183" s="311"/>
      <c r="BP183" s="311"/>
      <c r="BQ183" s="311"/>
      <c r="BR183" s="311"/>
      <c r="BS183" s="308"/>
      <c r="BT183" s="311"/>
      <c r="BU183" s="311"/>
      <c r="BV183" s="308" t="s">
        <v>3081</v>
      </c>
      <c r="BW183" s="308" t="s">
        <v>3081</v>
      </c>
      <c r="BX183" s="308" t="s">
        <v>2956</v>
      </c>
      <c r="BY183" s="311"/>
      <c r="BZ183" s="311"/>
      <c r="CA183" s="308" t="s">
        <v>2956</v>
      </c>
      <c r="CB183" s="312" t="str">
        <f t="shared" si="1"/>
        <v>07/05/2026</v>
      </c>
      <c r="CC183" s="313">
        <f t="shared" si="2"/>
        <v>2026</v>
      </c>
      <c r="CD183" s="314">
        <f t="shared" si="3"/>
        <v>5</v>
      </c>
      <c r="CE183" s="314">
        <f t="shared" si="4"/>
        <v>1</v>
      </c>
      <c r="CF183" s="314">
        <f t="shared" si="5"/>
        <v>1</v>
      </c>
      <c r="CG183" s="314">
        <f t="shared" si="6"/>
        <v>0</v>
      </c>
      <c r="CH183" s="315">
        <f>VLOOKUP(CL183,'PRODUCT_COGS&amp;PRICE'!A:E,5,false)</f>
        <v>16.5</v>
      </c>
      <c r="CI183" s="315">
        <f t="shared" si="7"/>
        <v>-2.074</v>
      </c>
      <c r="CJ183" s="316">
        <f t="shared" si="8"/>
        <v>0</v>
      </c>
      <c r="CK183" s="316">
        <f t="shared" si="9"/>
        <v>10</v>
      </c>
      <c r="CL183" s="314" t="str">
        <f>VLOOKUP(R183,PRODUCT_MAP!A:B,2,FALSE)</f>
        <v>Annie_Bag_PAILLETTES_GREY</v>
      </c>
      <c r="CM183" s="314" t="str">
        <f>VLOOKUP(R183,PRODUCT_MAP!A:E,3,FALSE)</f>
        <v>Annie Bag paillettes</v>
      </c>
    </row>
    <row r="184" ht="22.5" customHeight="1">
      <c r="A184" s="308" t="s">
        <v>4484</v>
      </c>
      <c r="B184" s="308" t="s">
        <v>4485</v>
      </c>
      <c r="C184" s="308" t="s">
        <v>2942</v>
      </c>
      <c r="D184" s="308" t="s">
        <v>4486</v>
      </c>
      <c r="E184" s="308" t="s">
        <v>3013</v>
      </c>
      <c r="F184" s="308"/>
      <c r="G184" s="308" t="s">
        <v>2965</v>
      </c>
      <c r="H184" s="308" t="s">
        <v>2947</v>
      </c>
      <c r="I184" s="308">
        <v>150.0</v>
      </c>
      <c r="J184" s="308">
        <v>15.0</v>
      </c>
      <c r="K184" s="308">
        <v>29.75</v>
      </c>
      <c r="L184" s="308">
        <v>165.0</v>
      </c>
      <c r="M184" s="308"/>
      <c r="N184" s="308">
        <v>0.0</v>
      </c>
      <c r="O184" s="308" t="s">
        <v>3298</v>
      </c>
      <c r="P184" s="308" t="s">
        <v>4487</v>
      </c>
      <c r="Q184" s="310">
        <v>1.0</v>
      </c>
      <c r="R184" s="308" t="s">
        <v>3214</v>
      </c>
      <c r="S184" s="308">
        <v>150.0</v>
      </c>
      <c r="T184" s="311"/>
      <c r="U184" s="308" t="s">
        <v>229</v>
      </c>
      <c r="V184" s="308" t="b">
        <v>1</v>
      </c>
      <c r="W184" s="308" t="b">
        <v>1</v>
      </c>
      <c r="X184" s="308"/>
      <c r="Y184" s="308" t="s">
        <v>4488</v>
      </c>
      <c r="Z184" s="308" t="s">
        <v>4489</v>
      </c>
      <c r="AA184" s="308" t="s">
        <v>4489</v>
      </c>
      <c r="AB184" s="308"/>
      <c r="AC184" s="308"/>
      <c r="AD184" s="308" t="s">
        <v>4490</v>
      </c>
      <c r="AE184" s="308" t="s">
        <v>4491</v>
      </c>
      <c r="AF184" s="308"/>
      <c r="AG184" s="308" t="s">
        <v>4492</v>
      </c>
      <c r="AH184" s="318" t="s">
        <v>4493</v>
      </c>
      <c r="AI184" s="308" t="s">
        <v>4488</v>
      </c>
      <c r="AJ184" s="308" t="s">
        <v>4489</v>
      </c>
      <c r="AK184" s="308" t="s">
        <v>4489</v>
      </c>
      <c r="AL184" s="308"/>
      <c r="AM184" s="308"/>
      <c r="AN184" s="308" t="s">
        <v>4490</v>
      </c>
      <c r="AO184" s="308" t="s">
        <v>4491</v>
      </c>
      <c r="AP184" s="308"/>
      <c r="AQ184" s="308" t="s">
        <v>4492</v>
      </c>
      <c r="AR184" s="318" t="s">
        <v>4493</v>
      </c>
      <c r="AS184" s="311"/>
      <c r="AT184" s="311"/>
      <c r="AU184" s="311"/>
      <c r="AV184" s="308" t="s">
        <v>2956</v>
      </c>
      <c r="AW184" s="308">
        <v>4.7789237928263E13</v>
      </c>
      <c r="AX184" s="310">
        <v>0.0</v>
      </c>
      <c r="AY184" s="308" t="s">
        <v>2974</v>
      </c>
      <c r="AZ184" s="308">
        <v>0.0</v>
      </c>
      <c r="BA184" s="311"/>
      <c r="BB184" s="311"/>
      <c r="BC184" s="311"/>
      <c r="BD184" s="308">
        <v>7.656152006983E12</v>
      </c>
      <c r="BE184" s="311"/>
      <c r="BF184" s="311"/>
      <c r="BG184" s="308" t="s">
        <v>2958</v>
      </c>
      <c r="BH184" s="308">
        <v>0.0</v>
      </c>
      <c r="BI184" s="308" t="s">
        <v>2959</v>
      </c>
      <c r="BJ184" s="308">
        <v>27.05</v>
      </c>
      <c r="BK184" s="311"/>
      <c r="BL184" s="311"/>
      <c r="BM184" s="311"/>
      <c r="BN184" s="311"/>
      <c r="BO184" s="311"/>
      <c r="BP184" s="311"/>
      <c r="BQ184" s="311"/>
      <c r="BR184" s="311"/>
      <c r="BS184" s="308"/>
      <c r="BT184" s="311"/>
      <c r="BU184" s="311"/>
      <c r="BV184" s="308"/>
      <c r="BW184" s="308"/>
      <c r="BX184" s="308" t="s">
        <v>2956</v>
      </c>
      <c r="BY184" s="311"/>
      <c r="BZ184" s="311"/>
      <c r="CA184" s="308" t="s">
        <v>2956</v>
      </c>
      <c r="CB184" s="312" t="str">
        <f t="shared" si="1"/>
        <v>07/05/2026</v>
      </c>
      <c r="CC184" s="313">
        <f t="shared" si="2"/>
        <v>2026</v>
      </c>
      <c r="CD184" s="314">
        <f t="shared" si="3"/>
        <v>5</v>
      </c>
      <c r="CE184" s="314">
        <f t="shared" si="4"/>
        <v>1</v>
      </c>
      <c r="CF184" s="314">
        <f t="shared" si="5"/>
        <v>1</v>
      </c>
      <c r="CG184" s="314">
        <f t="shared" si="6"/>
        <v>0</v>
      </c>
      <c r="CH184" s="315">
        <f>VLOOKUP(CL184,'PRODUCT_COGS&amp;PRICE'!A:E,5,false)</f>
        <v>33</v>
      </c>
      <c r="CI184" s="315">
        <f t="shared" si="7"/>
        <v>-3.385</v>
      </c>
      <c r="CJ184" s="316">
        <f t="shared" si="8"/>
        <v>0</v>
      </c>
      <c r="CK184" s="316">
        <f t="shared" si="9"/>
        <v>0</v>
      </c>
      <c r="CL184" s="314" t="str">
        <f>VLOOKUP(R184,PRODUCT_MAP!A:B,2,FALSE)</f>
        <v>Lea_Bag_ZEBRA</v>
      </c>
      <c r="CM184" s="314" t="str">
        <f>VLOOKUP(R184,PRODUCT_MAP!A:E,3,FALSE)</f>
        <v>Lea Bag</v>
      </c>
    </row>
    <row r="185" ht="22.5" customHeight="1">
      <c r="A185" s="308" t="s">
        <v>4494</v>
      </c>
      <c r="B185" s="308" t="s">
        <v>4495</v>
      </c>
      <c r="C185" s="308" t="s">
        <v>2942</v>
      </c>
      <c r="D185" s="308" t="s">
        <v>4496</v>
      </c>
      <c r="E185" s="308" t="s">
        <v>3013</v>
      </c>
      <c r="F185" s="308"/>
      <c r="G185" s="308" t="s">
        <v>2946</v>
      </c>
      <c r="H185" s="308" t="s">
        <v>2947</v>
      </c>
      <c r="I185" s="308">
        <v>90.0</v>
      </c>
      <c r="J185" s="308">
        <v>3.9</v>
      </c>
      <c r="K185" s="308">
        <v>16.93</v>
      </c>
      <c r="L185" s="308">
        <v>93.9</v>
      </c>
      <c r="M185" s="308" t="s">
        <v>3094</v>
      </c>
      <c r="N185" s="308">
        <v>10.0</v>
      </c>
      <c r="O185" s="308" t="s">
        <v>2948</v>
      </c>
      <c r="P185" s="308" t="s">
        <v>4497</v>
      </c>
      <c r="Q185" s="310">
        <v>1.0</v>
      </c>
      <c r="R185" s="308" t="s">
        <v>4266</v>
      </c>
      <c r="S185" s="308">
        <v>100.0</v>
      </c>
      <c r="T185" s="311"/>
      <c r="U185" s="308" t="s">
        <v>4267</v>
      </c>
      <c r="V185" s="308" t="b">
        <v>1</v>
      </c>
      <c r="W185" s="308" t="b">
        <v>1</v>
      </c>
      <c r="X185" s="308"/>
      <c r="Y185" s="308" t="s">
        <v>4498</v>
      </c>
      <c r="Z185" s="308" t="s">
        <v>4499</v>
      </c>
      <c r="AA185" s="308" t="s">
        <v>4499</v>
      </c>
      <c r="AB185" s="308"/>
      <c r="AC185" s="308"/>
      <c r="AD185" s="308" t="s">
        <v>3081</v>
      </c>
      <c r="AE185" s="308">
        <v>135.0</v>
      </c>
      <c r="AF185" s="308" t="s">
        <v>3082</v>
      </c>
      <c r="AG185" s="308" t="s">
        <v>2955</v>
      </c>
      <c r="AH185" s="308">
        <v>3.663351133E9</v>
      </c>
      <c r="AI185" s="308" t="s">
        <v>4498</v>
      </c>
      <c r="AJ185" s="308" t="s">
        <v>4499</v>
      </c>
      <c r="AK185" s="308" t="s">
        <v>4499</v>
      </c>
      <c r="AL185" s="308"/>
      <c r="AM185" s="308"/>
      <c r="AN185" s="308" t="s">
        <v>3081</v>
      </c>
      <c r="AO185" s="308">
        <v>135.0</v>
      </c>
      <c r="AP185" s="308" t="s">
        <v>3082</v>
      </c>
      <c r="AQ185" s="308" t="s">
        <v>2955</v>
      </c>
      <c r="AR185" s="308">
        <v>3.663351133E9</v>
      </c>
      <c r="AS185" s="311"/>
      <c r="AT185" s="311"/>
      <c r="AU185" s="311"/>
      <c r="AV185" s="308" t="s">
        <v>2956</v>
      </c>
      <c r="AW185" s="308">
        <v>4.7789331218759E13</v>
      </c>
      <c r="AX185" s="310">
        <v>0.0</v>
      </c>
      <c r="AY185" s="308" t="s">
        <v>2974</v>
      </c>
      <c r="AZ185" s="308">
        <v>0.0</v>
      </c>
      <c r="BA185" s="311"/>
      <c r="BB185" s="311"/>
      <c r="BC185" s="311"/>
      <c r="BD185" s="308">
        <v>7.656203911495E12</v>
      </c>
      <c r="BE185" s="311"/>
      <c r="BF185" s="311"/>
      <c r="BG185" s="308" t="s">
        <v>2958</v>
      </c>
      <c r="BH185" s="308">
        <v>0.0</v>
      </c>
      <c r="BI185" s="308" t="s">
        <v>2959</v>
      </c>
      <c r="BJ185" s="308">
        <v>16.23</v>
      </c>
      <c r="BK185" s="311"/>
      <c r="BL185" s="311"/>
      <c r="BM185" s="311"/>
      <c r="BN185" s="311"/>
      <c r="BO185" s="311"/>
      <c r="BP185" s="311"/>
      <c r="BQ185" s="311"/>
      <c r="BR185" s="311"/>
      <c r="BS185" s="308"/>
      <c r="BT185" s="311"/>
      <c r="BU185" s="311"/>
      <c r="BV185" s="308" t="s">
        <v>3081</v>
      </c>
      <c r="BW185" s="308" t="s">
        <v>3081</v>
      </c>
      <c r="BX185" s="308" t="s">
        <v>2956</v>
      </c>
      <c r="BY185" s="311"/>
      <c r="BZ185" s="311"/>
      <c r="CA185" s="308" t="s">
        <v>2956</v>
      </c>
      <c r="CB185" s="312" t="str">
        <f t="shared" si="1"/>
        <v>07/05/2026</v>
      </c>
      <c r="CC185" s="313">
        <f t="shared" si="2"/>
        <v>2026</v>
      </c>
      <c r="CD185" s="314">
        <f t="shared" si="3"/>
        <v>5</v>
      </c>
      <c r="CE185" s="314">
        <f t="shared" si="4"/>
        <v>1</v>
      </c>
      <c r="CF185" s="314">
        <f t="shared" si="5"/>
        <v>1</v>
      </c>
      <c r="CG185" s="314">
        <f t="shared" si="6"/>
        <v>0</v>
      </c>
      <c r="CH185" s="315">
        <f>VLOOKUP(CL185,'PRODUCT_COGS&amp;PRICE'!A:E,5,false)</f>
        <v>16.5</v>
      </c>
      <c r="CI185" s="315">
        <f t="shared" si="7"/>
        <v>-2.0341</v>
      </c>
      <c r="CJ185" s="316">
        <f t="shared" si="8"/>
        <v>0</v>
      </c>
      <c r="CK185" s="316">
        <f t="shared" si="9"/>
        <v>10</v>
      </c>
      <c r="CL185" s="314" t="str">
        <f>VLOOKUP(R185,PRODUCT_MAP!A:B,2,FALSE)</f>
        <v>Annie_Bag_PAILLETTES_NUDE</v>
      </c>
      <c r="CM185" s="314" t="str">
        <f>VLOOKUP(R185,PRODUCT_MAP!A:E,3,FALSE)</f>
        <v>Annie Bag paillettes</v>
      </c>
    </row>
    <row r="186" ht="22.5" customHeight="1">
      <c r="A186" s="308" t="s">
        <v>4500</v>
      </c>
      <c r="B186" s="308" t="s">
        <v>4501</v>
      </c>
      <c r="C186" s="308" t="s">
        <v>2942</v>
      </c>
      <c r="D186" s="308" t="s">
        <v>4502</v>
      </c>
      <c r="E186" s="308" t="s">
        <v>3013</v>
      </c>
      <c r="F186" s="308"/>
      <c r="G186" s="308" t="s">
        <v>2946</v>
      </c>
      <c r="H186" s="308" t="s">
        <v>2947</v>
      </c>
      <c r="I186" s="308">
        <v>170.0</v>
      </c>
      <c r="J186" s="308">
        <v>0.0</v>
      </c>
      <c r="K186" s="308">
        <v>30.66</v>
      </c>
      <c r="L186" s="308">
        <v>170.0</v>
      </c>
      <c r="M186" s="308"/>
      <c r="N186" s="308">
        <v>0.0</v>
      </c>
      <c r="O186" s="308" t="s">
        <v>2979</v>
      </c>
      <c r="P186" s="308" t="s">
        <v>4503</v>
      </c>
      <c r="Q186" s="310">
        <v>1.0</v>
      </c>
      <c r="R186" s="308" t="s">
        <v>549</v>
      </c>
      <c r="S186" s="308">
        <v>170.0</v>
      </c>
      <c r="T186" s="311"/>
      <c r="U186" s="308"/>
      <c r="V186" s="308" t="b">
        <v>1</v>
      </c>
      <c r="W186" s="308" t="b">
        <v>1</v>
      </c>
      <c r="X186" s="308"/>
      <c r="Y186" s="308" t="s">
        <v>4504</v>
      </c>
      <c r="Z186" s="308" t="s">
        <v>4505</v>
      </c>
      <c r="AA186" s="308" t="s">
        <v>4505</v>
      </c>
      <c r="AB186" s="308"/>
      <c r="AC186" s="308"/>
      <c r="AD186" s="308" t="s">
        <v>4506</v>
      </c>
      <c r="AE186" s="308">
        <v>20026.0</v>
      </c>
      <c r="AF186" s="308" t="s">
        <v>2954</v>
      </c>
      <c r="AG186" s="308" t="s">
        <v>2955</v>
      </c>
      <c r="AH186" s="308"/>
      <c r="AI186" s="308"/>
      <c r="AJ186" s="308"/>
      <c r="AK186" s="308"/>
      <c r="AL186" s="308"/>
      <c r="AM186" s="308"/>
      <c r="AN186" s="308"/>
      <c r="AO186" s="308"/>
      <c r="AP186" s="308"/>
      <c r="AQ186" s="308"/>
      <c r="AR186" s="308"/>
      <c r="AS186" s="311"/>
      <c r="AT186" s="311"/>
      <c r="AU186" s="311"/>
      <c r="AV186" s="308" t="s">
        <v>2956</v>
      </c>
      <c r="AW186" s="308">
        <v>4.7796048888135E13</v>
      </c>
      <c r="AX186" s="310">
        <v>0.0</v>
      </c>
      <c r="AY186" s="308" t="s">
        <v>2974</v>
      </c>
      <c r="AZ186" s="308">
        <v>0.0</v>
      </c>
      <c r="BA186" s="311"/>
      <c r="BB186" s="311"/>
      <c r="BC186" s="311"/>
      <c r="BD186" s="308">
        <v>7.659168104775E12</v>
      </c>
      <c r="BE186" s="311"/>
      <c r="BF186" s="311"/>
      <c r="BG186" s="308" t="s">
        <v>2958</v>
      </c>
      <c r="BH186" s="308">
        <v>0.0</v>
      </c>
      <c r="BI186" s="308" t="s">
        <v>2959</v>
      </c>
      <c r="BJ186" s="308">
        <v>30.66</v>
      </c>
      <c r="BK186" s="311"/>
      <c r="BL186" s="311"/>
      <c r="BM186" s="311"/>
      <c r="BN186" s="311"/>
      <c r="BO186" s="311"/>
      <c r="BP186" s="311"/>
      <c r="BQ186" s="311"/>
      <c r="BR186" s="311"/>
      <c r="BS186" s="308"/>
      <c r="BT186" s="311"/>
      <c r="BU186" s="311"/>
      <c r="BV186" s="308" t="s">
        <v>23</v>
      </c>
      <c r="BW186" s="308"/>
      <c r="BX186" s="308" t="s">
        <v>2956</v>
      </c>
      <c r="BY186" s="311"/>
      <c r="BZ186" s="311"/>
      <c r="CA186" s="308" t="s">
        <v>2956</v>
      </c>
      <c r="CB186" s="312" t="str">
        <f t="shared" si="1"/>
        <v>08/05/2026</v>
      </c>
      <c r="CC186" s="313">
        <f t="shared" si="2"/>
        <v>2026</v>
      </c>
      <c r="CD186" s="314">
        <f t="shared" si="3"/>
        <v>5</v>
      </c>
      <c r="CE186" s="314">
        <f t="shared" si="4"/>
        <v>1</v>
      </c>
      <c r="CF186" s="314">
        <f t="shared" si="5"/>
        <v>1</v>
      </c>
      <c r="CG186" s="314">
        <f t="shared" si="6"/>
        <v>-5</v>
      </c>
      <c r="CH186" s="315">
        <f>VLOOKUP(CL186,'PRODUCT_COGS&amp;PRICE'!A:E,5,false)</f>
        <v>36</v>
      </c>
      <c r="CI186" s="315">
        <f t="shared" si="7"/>
        <v>-3.48</v>
      </c>
      <c r="CJ186" s="316">
        <f t="shared" si="8"/>
        <v>0</v>
      </c>
      <c r="CK186" s="316">
        <f t="shared" si="9"/>
        <v>0</v>
      </c>
      <c r="CL186" s="314" t="str">
        <f>VLOOKUP(R186,PRODUCT_MAP!A:B,2,FALSE)</f>
        <v>Lea_Bag_Maxi_COCCO_BLACK</v>
      </c>
      <c r="CM186" s="314" t="str">
        <f>VLOOKUP(R186,PRODUCT_MAP!A:E,3,FALSE)</f>
        <v>Lea Bag Maxi</v>
      </c>
    </row>
    <row r="187" ht="22.5" customHeight="1">
      <c r="A187" s="308" t="s">
        <v>4507</v>
      </c>
      <c r="B187" s="308" t="s">
        <v>4508</v>
      </c>
      <c r="C187" s="308" t="s">
        <v>2942</v>
      </c>
      <c r="D187" s="308" t="s">
        <v>4509</v>
      </c>
      <c r="E187" s="308" t="s">
        <v>3013</v>
      </c>
      <c r="F187" s="308"/>
      <c r="G187" s="308" t="s">
        <v>2946</v>
      </c>
      <c r="H187" s="308" t="s">
        <v>2947</v>
      </c>
      <c r="I187" s="308">
        <v>153.0</v>
      </c>
      <c r="J187" s="308">
        <v>0.0</v>
      </c>
      <c r="K187" s="308">
        <v>27.59</v>
      </c>
      <c r="L187" s="308">
        <v>153.0</v>
      </c>
      <c r="M187" s="308" t="s">
        <v>3094</v>
      </c>
      <c r="N187" s="308">
        <v>17.0</v>
      </c>
      <c r="O187" s="308" t="s">
        <v>2948</v>
      </c>
      <c r="P187" s="308" t="s">
        <v>4510</v>
      </c>
      <c r="Q187" s="310">
        <v>1.0</v>
      </c>
      <c r="R187" s="308" t="s">
        <v>559</v>
      </c>
      <c r="S187" s="308">
        <v>170.0</v>
      </c>
      <c r="T187" s="311"/>
      <c r="U187" s="308"/>
      <c r="V187" s="308" t="b">
        <v>1</v>
      </c>
      <c r="W187" s="308" t="b">
        <v>1</v>
      </c>
      <c r="X187" s="308"/>
      <c r="Y187" s="308" t="s">
        <v>4511</v>
      </c>
      <c r="Z187" s="308" t="s">
        <v>4512</v>
      </c>
      <c r="AA187" s="308" t="s">
        <v>4513</v>
      </c>
      <c r="AB187" s="308" t="s">
        <v>4514</v>
      </c>
      <c r="AC187" s="308" t="s">
        <v>4515</v>
      </c>
      <c r="AD187" s="308" t="s">
        <v>3068</v>
      </c>
      <c r="AE187" s="308">
        <v>40138.0</v>
      </c>
      <c r="AF187" s="308" t="s">
        <v>3069</v>
      </c>
      <c r="AG187" s="308" t="s">
        <v>2955</v>
      </c>
      <c r="AH187" s="308">
        <v>3.484051939E9</v>
      </c>
      <c r="AI187" s="308" t="s">
        <v>4511</v>
      </c>
      <c r="AJ187" s="308" t="s">
        <v>4512</v>
      </c>
      <c r="AK187" s="308" t="s">
        <v>4513</v>
      </c>
      <c r="AL187" s="308" t="s">
        <v>4514</v>
      </c>
      <c r="AM187" s="308" t="s">
        <v>4515</v>
      </c>
      <c r="AN187" s="308" t="s">
        <v>3068</v>
      </c>
      <c r="AO187" s="308">
        <v>40138.0</v>
      </c>
      <c r="AP187" s="308" t="s">
        <v>3069</v>
      </c>
      <c r="AQ187" s="308" t="s">
        <v>2955</v>
      </c>
      <c r="AR187" s="308">
        <v>3.484051939E9</v>
      </c>
      <c r="AS187" s="311"/>
      <c r="AT187" s="311"/>
      <c r="AU187" s="311"/>
      <c r="AV187" s="308" t="s">
        <v>3009</v>
      </c>
      <c r="AW187" s="308">
        <v>4.7796289569095E13</v>
      </c>
      <c r="AX187" s="310">
        <v>0.0</v>
      </c>
      <c r="AY187" s="308" t="s">
        <v>2974</v>
      </c>
      <c r="AZ187" s="308">
        <v>0.0</v>
      </c>
      <c r="BA187" s="311"/>
      <c r="BB187" s="311"/>
      <c r="BC187" s="311"/>
      <c r="BD187" s="308">
        <v>7.659248484679E12</v>
      </c>
      <c r="BE187" s="311"/>
      <c r="BF187" s="311"/>
      <c r="BG187" s="308" t="s">
        <v>2958</v>
      </c>
      <c r="BH187" s="308">
        <v>0.0</v>
      </c>
      <c r="BI187" s="308" t="s">
        <v>2959</v>
      </c>
      <c r="BJ187" s="308">
        <v>27.59</v>
      </c>
      <c r="BK187" s="311"/>
      <c r="BL187" s="311"/>
      <c r="BM187" s="311"/>
      <c r="BN187" s="311"/>
      <c r="BO187" s="311"/>
      <c r="BP187" s="311"/>
      <c r="BQ187" s="311"/>
      <c r="BR187" s="311"/>
      <c r="BS187" s="308"/>
      <c r="BT187" s="311"/>
      <c r="BU187" s="311"/>
      <c r="BV187" s="308" t="s">
        <v>3068</v>
      </c>
      <c r="BW187" s="308" t="s">
        <v>3068</v>
      </c>
      <c r="BX187" s="308" t="s">
        <v>3009</v>
      </c>
      <c r="BY187" s="311"/>
      <c r="BZ187" s="311"/>
      <c r="CA187" s="308" t="s">
        <v>3009</v>
      </c>
      <c r="CB187" s="312" t="str">
        <f t="shared" si="1"/>
        <v>08/05/2026</v>
      </c>
      <c r="CC187" s="313">
        <f t="shared" si="2"/>
        <v>2026</v>
      </c>
      <c r="CD187" s="314">
        <f t="shared" si="3"/>
        <v>5</v>
      </c>
      <c r="CE187" s="314">
        <f t="shared" si="4"/>
        <v>1</v>
      </c>
      <c r="CF187" s="314">
        <f t="shared" si="5"/>
        <v>1</v>
      </c>
      <c r="CG187" s="314">
        <f t="shared" si="6"/>
        <v>-5</v>
      </c>
      <c r="CH187" s="315">
        <f>VLOOKUP(CL187,'PRODUCT_COGS&amp;PRICE'!A:E,5,false)</f>
        <v>25</v>
      </c>
      <c r="CI187" s="315">
        <f t="shared" si="7"/>
        <v>-5.6897</v>
      </c>
      <c r="CJ187" s="316">
        <f t="shared" si="8"/>
        <v>0</v>
      </c>
      <c r="CK187" s="316">
        <f t="shared" si="9"/>
        <v>17</v>
      </c>
      <c r="CL187" s="314" t="str">
        <f>VLOOKUP(R187,PRODUCT_MAP!A:B,2,FALSE)</f>
        <v>Lea_Bag_Maxi_SUEDE_CHOCOLATE</v>
      </c>
      <c r="CM187" s="314" t="str">
        <f>VLOOKUP(R187,PRODUCT_MAP!A:E,3,FALSE)</f>
        <v>Lea Bag Maxi</v>
      </c>
    </row>
    <row r="188" ht="22.5" customHeight="1">
      <c r="A188" s="308" t="s">
        <v>4516</v>
      </c>
      <c r="B188" s="308" t="s">
        <v>4517</v>
      </c>
      <c r="C188" s="308" t="s">
        <v>2942</v>
      </c>
      <c r="D188" s="308" t="s">
        <v>4518</v>
      </c>
      <c r="E188" s="308" t="s">
        <v>3013</v>
      </c>
      <c r="F188" s="308"/>
      <c r="G188" s="308" t="s">
        <v>2965</v>
      </c>
      <c r="H188" s="308" t="s">
        <v>2947</v>
      </c>
      <c r="I188" s="308">
        <v>75.0</v>
      </c>
      <c r="J188" s="308">
        <v>3.9</v>
      </c>
      <c r="K188" s="308">
        <v>14.22</v>
      </c>
      <c r="L188" s="308">
        <v>78.9</v>
      </c>
      <c r="M188" s="308"/>
      <c r="N188" s="308">
        <v>0.0</v>
      </c>
      <c r="O188" s="308" t="s">
        <v>2948</v>
      </c>
      <c r="P188" s="308" t="s">
        <v>4519</v>
      </c>
      <c r="Q188" s="310">
        <v>1.0</v>
      </c>
      <c r="R188" s="308" t="s">
        <v>4520</v>
      </c>
      <c r="S188" s="308">
        <v>75.0</v>
      </c>
      <c r="T188" s="311"/>
      <c r="U188" s="308" t="s">
        <v>279</v>
      </c>
      <c r="V188" s="308" t="b">
        <v>1</v>
      </c>
      <c r="W188" s="308" t="b">
        <v>1</v>
      </c>
      <c r="X188" s="308"/>
      <c r="Y188" s="308" t="s">
        <v>4521</v>
      </c>
      <c r="Z188" s="308" t="s">
        <v>4522</v>
      </c>
      <c r="AA188" s="308" t="s">
        <v>4522</v>
      </c>
      <c r="AB188" s="308"/>
      <c r="AC188" s="308"/>
      <c r="AD188" s="308" t="s">
        <v>4523</v>
      </c>
      <c r="AE188" s="308">
        <v>31015.0</v>
      </c>
      <c r="AF188" s="308" t="s">
        <v>2995</v>
      </c>
      <c r="AG188" s="308" t="s">
        <v>2955</v>
      </c>
      <c r="AH188" s="308">
        <v>3.462153279E9</v>
      </c>
      <c r="AI188" s="308" t="s">
        <v>4521</v>
      </c>
      <c r="AJ188" s="308" t="s">
        <v>4522</v>
      </c>
      <c r="AK188" s="308" t="s">
        <v>4522</v>
      </c>
      <c r="AL188" s="308"/>
      <c r="AM188" s="308"/>
      <c r="AN188" s="308" t="s">
        <v>4523</v>
      </c>
      <c r="AO188" s="308">
        <v>31015.0</v>
      </c>
      <c r="AP188" s="308" t="s">
        <v>2995</v>
      </c>
      <c r="AQ188" s="308" t="s">
        <v>2955</v>
      </c>
      <c r="AR188" s="308">
        <v>3.462153279E9</v>
      </c>
      <c r="AS188" s="311"/>
      <c r="AT188" s="311"/>
      <c r="AU188" s="311"/>
      <c r="AV188" s="308" t="s">
        <v>2956</v>
      </c>
      <c r="AW188" s="308">
        <v>4.7800176050503E13</v>
      </c>
      <c r="AX188" s="310">
        <v>0.0</v>
      </c>
      <c r="AY188" s="308" t="s">
        <v>2974</v>
      </c>
      <c r="AZ188" s="308">
        <v>0.0</v>
      </c>
      <c r="BA188" s="311"/>
      <c r="BB188" s="311"/>
      <c r="BC188" s="311"/>
      <c r="BD188" s="308">
        <v>7.660822135111E12</v>
      </c>
      <c r="BE188" s="311"/>
      <c r="BF188" s="311"/>
      <c r="BG188" s="308" t="s">
        <v>2958</v>
      </c>
      <c r="BH188" s="308">
        <v>0.0</v>
      </c>
      <c r="BI188" s="308" t="s">
        <v>2959</v>
      </c>
      <c r="BJ188" s="308">
        <v>13.52</v>
      </c>
      <c r="BK188" s="311"/>
      <c r="BL188" s="311"/>
      <c r="BM188" s="311"/>
      <c r="BN188" s="311"/>
      <c r="BO188" s="311"/>
      <c r="BP188" s="311"/>
      <c r="BQ188" s="311"/>
      <c r="BR188" s="311"/>
      <c r="BS188" s="308"/>
      <c r="BT188" s="311"/>
      <c r="BU188" s="311"/>
      <c r="BV188" s="308" t="s">
        <v>2994</v>
      </c>
      <c r="BW188" s="308" t="s">
        <v>2994</v>
      </c>
      <c r="BX188" s="308" t="s">
        <v>2956</v>
      </c>
      <c r="BY188" s="311"/>
      <c r="BZ188" s="311"/>
      <c r="CA188" s="308" t="s">
        <v>2956</v>
      </c>
      <c r="CB188" s="312" t="str">
        <f t="shared" si="1"/>
        <v>09/05/2026</v>
      </c>
      <c r="CC188" s="313">
        <f t="shared" si="2"/>
        <v>2026</v>
      </c>
      <c r="CD188" s="314">
        <f t="shared" si="3"/>
        <v>5</v>
      </c>
      <c r="CE188" s="314">
        <f t="shared" si="4"/>
        <v>1</v>
      </c>
      <c r="CF188" s="314">
        <f t="shared" si="5"/>
        <v>1</v>
      </c>
      <c r="CG188" s="314">
        <f t="shared" si="6"/>
        <v>0</v>
      </c>
      <c r="CH188" s="315">
        <f>VLOOKUP(CL188,'PRODUCT_COGS&amp;PRICE'!A:E,5,false)</f>
        <v>16.5</v>
      </c>
      <c r="CI188" s="315">
        <f t="shared" si="7"/>
        <v>-1.7491</v>
      </c>
      <c r="CJ188" s="316">
        <f t="shared" si="8"/>
        <v>0</v>
      </c>
      <c r="CK188" s="316">
        <f t="shared" si="9"/>
        <v>0</v>
      </c>
      <c r="CL188" s="314" t="str">
        <f>VLOOKUP(R188,PRODUCT_MAP!A:B,2,FALSE)</f>
        <v>Agata_Bag_TIE_DYE_ORANGE</v>
      </c>
      <c r="CM188" s="314" t="str">
        <f>VLOOKUP(R188,PRODUCT_MAP!A:E,3,FALSE)</f>
        <v>Agata Bag</v>
      </c>
    </row>
    <row r="189" ht="22.5" customHeight="1">
      <c r="A189" s="308" t="s">
        <v>4524</v>
      </c>
      <c r="B189" s="308" t="s">
        <v>4525</v>
      </c>
      <c r="C189" s="308" t="s">
        <v>2942</v>
      </c>
      <c r="D189" s="308" t="s">
        <v>4526</v>
      </c>
      <c r="E189" s="308" t="s">
        <v>2944</v>
      </c>
      <c r="F189" s="308" t="s">
        <v>4527</v>
      </c>
      <c r="G189" s="308" t="s">
        <v>2965</v>
      </c>
      <c r="H189" s="308" t="s">
        <v>2947</v>
      </c>
      <c r="I189" s="308">
        <v>108.0</v>
      </c>
      <c r="J189" s="308">
        <v>0.0</v>
      </c>
      <c r="K189" s="308">
        <v>19.48</v>
      </c>
      <c r="L189" s="308">
        <v>108.0</v>
      </c>
      <c r="M189" s="308" t="s">
        <v>3221</v>
      </c>
      <c r="N189" s="308">
        <v>12.0</v>
      </c>
      <c r="O189" s="308" t="s">
        <v>2979</v>
      </c>
      <c r="P189" s="308" t="s">
        <v>4528</v>
      </c>
      <c r="Q189" s="310">
        <v>1.0</v>
      </c>
      <c r="R189" s="308" t="s">
        <v>607</v>
      </c>
      <c r="S189" s="308">
        <v>120.0</v>
      </c>
      <c r="T189" s="311"/>
      <c r="U189" s="308" t="s">
        <v>207</v>
      </c>
      <c r="V189" s="308" t="b">
        <v>1</v>
      </c>
      <c r="W189" s="308" t="b">
        <v>1</v>
      </c>
      <c r="X189" s="308" t="s">
        <v>2944</v>
      </c>
      <c r="Y189" s="308" t="s">
        <v>4529</v>
      </c>
      <c r="Z189" s="308" t="s">
        <v>4530</v>
      </c>
      <c r="AA189" s="308" t="s">
        <v>4530</v>
      </c>
      <c r="AB189" s="308"/>
      <c r="AC189" s="308"/>
      <c r="AD189" s="308" t="s">
        <v>23</v>
      </c>
      <c r="AE189" s="308">
        <v>20123.0</v>
      </c>
      <c r="AF189" s="308" t="s">
        <v>2954</v>
      </c>
      <c r="AG189" s="308" t="s">
        <v>2955</v>
      </c>
      <c r="AH189" s="308"/>
      <c r="AI189" s="308"/>
      <c r="AJ189" s="308"/>
      <c r="AK189" s="308"/>
      <c r="AL189" s="308"/>
      <c r="AM189" s="308"/>
      <c r="AN189" s="308"/>
      <c r="AO189" s="308"/>
      <c r="AP189" s="308"/>
      <c r="AQ189" s="308"/>
      <c r="AR189" s="308"/>
      <c r="AS189" s="311"/>
      <c r="AT189" s="311"/>
      <c r="AU189" s="311"/>
      <c r="AV189" s="308" t="s">
        <v>3009</v>
      </c>
      <c r="AW189" s="308">
        <v>4.7803766767943E13</v>
      </c>
      <c r="AX189" s="310">
        <v>0.0</v>
      </c>
      <c r="AY189" s="308" t="s">
        <v>2974</v>
      </c>
      <c r="AZ189" s="308">
        <v>0.0</v>
      </c>
      <c r="BA189" s="311"/>
      <c r="BB189" s="311"/>
      <c r="BC189" s="311"/>
      <c r="BD189" s="308">
        <v>7.662343389511E12</v>
      </c>
      <c r="BE189" s="311"/>
      <c r="BF189" s="311"/>
      <c r="BG189" s="308" t="s">
        <v>2958</v>
      </c>
      <c r="BH189" s="308">
        <v>0.0</v>
      </c>
      <c r="BI189" s="308" t="s">
        <v>2959</v>
      </c>
      <c r="BJ189" s="308">
        <v>19.48</v>
      </c>
      <c r="BK189" s="311"/>
      <c r="BL189" s="311"/>
      <c r="BM189" s="311"/>
      <c r="BN189" s="311"/>
      <c r="BO189" s="311"/>
      <c r="BP189" s="311"/>
      <c r="BQ189" s="311"/>
      <c r="BR189" s="311"/>
      <c r="BS189" s="318" t="s">
        <v>4531</v>
      </c>
      <c r="BT189" s="311"/>
      <c r="BU189" s="311"/>
      <c r="BV189" s="308" t="s">
        <v>23</v>
      </c>
      <c r="BW189" s="308"/>
      <c r="BX189" s="308" t="s">
        <v>3009</v>
      </c>
      <c r="BY189" s="311"/>
      <c r="BZ189" s="311"/>
      <c r="CA189" s="308" t="s">
        <v>3009</v>
      </c>
      <c r="CB189" s="312" t="str">
        <f t="shared" si="1"/>
        <v>10/05/2026</v>
      </c>
      <c r="CC189" s="313">
        <f t="shared" si="2"/>
        <v>2026</v>
      </c>
      <c r="CD189" s="314">
        <f t="shared" si="3"/>
        <v>5</v>
      </c>
      <c r="CE189" s="314">
        <f t="shared" si="4"/>
        <v>1</v>
      </c>
      <c r="CF189" s="314">
        <f t="shared" si="5"/>
        <v>1</v>
      </c>
      <c r="CG189" s="314">
        <f t="shared" si="6"/>
        <v>-5</v>
      </c>
      <c r="CH189" s="315">
        <f>VLOOKUP(CL189,'PRODUCT_COGS&amp;PRICE'!A:E,5,false)</f>
        <v>26</v>
      </c>
      <c r="CI189" s="315">
        <f t="shared" si="7"/>
        <v>-4.1192</v>
      </c>
      <c r="CJ189" s="316">
        <f t="shared" si="8"/>
        <v>0</v>
      </c>
      <c r="CK189" s="316">
        <f t="shared" si="9"/>
        <v>12</v>
      </c>
      <c r="CL189" s="314" t="str">
        <f>VLOOKUP(R189,PRODUCT_MAP!A:B,2,FALSE)</f>
        <v>Maria_Bag_RED_PIERCING</v>
      </c>
      <c r="CM189" s="314" t="str">
        <f>VLOOKUP(R189,PRODUCT_MAP!A:E,3,FALSE)</f>
        <v>Maria Bag</v>
      </c>
    </row>
    <row r="190" ht="22.5" customHeight="1">
      <c r="A190" s="308" t="s">
        <v>4532</v>
      </c>
      <c r="B190" s="308" t="s">
        <v>4533</v>
      </c>
      <c r="C190" s="308" t="s">
        <v>2942</v>
      </c>
      <c r="D190" s="308" t="s">
        <v>4534</v>
      </c>
      <c r="E190" s="308" t="s">
        <v>3013</v>
      </c>
      <c r="F190" s="308"/>
      <c r="G190" s="308" t="s">
        <v>2946</v>
      </c>
      <c r="H190" s="308" t="s">
        <v>2947</v>
      </c>
      <c r="I190" s="308">
        <v>81.0</v>
      </c>
      <c r="J190" s="308">
        <v>3.9</v>
      </c>
      <c r="K190" s="308">
        <v>15.31</v>
      </c>
      <c r="L190" s="308">
        <v>84.9</v>
      </c>
      <c r="M190" s="308" t="s">
        <v>3094</v>
      </c>
      <c r="N190" s="308">
        <v>9.0</v>
      </c>
      <c r="O190" s="308" t="s">
        <v>2948</v>
      </c>
      <c r="P190" s="308" t="s">
        <v>4535</v>
      </c>
      <c r="Q190" s="310">
        <v>1.0</v>
      </c>
      <c r="R190" s="308" t="s">
        <v>4536</v>
      </c>
      <c r="S190" s="308">
        <v>90.0</v>
      </c>
      <c r="T190" s="311"/>
      <c r="U190" s="308" t="s">
        <v>4537</v>
      </c>
      <c r="V190" s="308" t="b">
        <v>1</v>
      </c>
      <c r="W190" s="308" t="b">
        <v>1</v>
      </c>
      <c r="X190" s="308"/>
      <c r="Y190" s="308" t="s">
        <v>4538</v>
      </c>
      <c r="Z190" s="308" t="s">
        <v>4539</v>
      </c>
      <c r="AA190" s="308" t="s">
        <v>4539</v>
      </c>
      <c r="AB190" s="308"/>
      <c r="AC190" s="308"/>
      <c r="AD190" s="308" t="s">
        <v>4540</v>
      </c>
      <c r="AE190" s="308">
        <v>40033.0</v>
      </c>
      <c r="AF190" s="308" t="s">
        <v>3069</v>
      </c>
      <c r="AG190" s="308" t="s">
        <v>2955</v>
      </c>
      <c r="AH190" s="308"/>
      <c r="AI190" s="308" t="s">
        <v>4541</v>
      </c>
      <c r="AJ190" s="308" t="s">
        <v>4542</v>
      </c>
      <c r="AK190" s="308" t="s">
        <v>4542</v>
      </c>
      <c r="AL190" s="308"/>
      <c r="AM190" s="308" t="s">
        <v>4543</v>
      </c>
      <c r="AN190" s="308" t="s">
        <v>4544</v>
      </c>
      <c r="AO190" s="308">
        <v>40024.0</v>
      </c>
      <c r="AP190" s="308" t="s">
        <v>3069</v>
      </c>
      <c r="AQ190" s="308" t="s">
        <v>2955</v>
      </c>
      <c r="AR190" s="308">
        <v>3.341961326E9</v>
      </c>
      <c r="AS190" s="311"/>
      <c r="AT190" s="311"/>
      <c r="AU190" s="311"/>
      <c r="AV190" s="308" t="s">
        <v>2956</v>
      </c>
      <c r="AW190" s="308">
        <v>4.7805472375111E13</v>
      </c>
      <c r="AX190" s="310">
        <v>0.0</v>
      </c>
      <c r="AY190" s="308" t="s">
        <v>2974</v>
      </c>
      <c r="AZ190" s="308">
        <v>0.0</v>
      </c>
      <c r="BA190" s="311"/>
      <c r="BB190" s="311"/>
      <c r="BC190" s="311"/>
      <c r="BD190" s="308">
        <v>7.667052052807E12</v>
      </c>
      <c r="BE190" s="311"/>
      <c r="BF190" s="311"/>
      <c r="BG190" s="308" t="s">
        <v>2958</v>
      </c>
      <c r="BH190" s="308">
        <v>0.0</v>
      </c>
      <c r="BI190" s="308" t="s">
        <v>2959</v>
      </c>
      <c r="BJ190" s="308">
        <v>14.61</v>
      </c>
      <c r="BK190" s="311"/>
      <c r="BL190" s="311"/>
      <c r="BM190" s="311"/>
      <c r="BN190" s="311"/>
      <c r="BO190" s="311"/>
      <c r="BP190" s="311"/>
      <c r="BQ190" s="311"/>
      <c r="BR190" s="311"/>
      <c r="BS190" s="308"/>
      <c r="BT190" s="311"/>
      <c r="BU190" s="311"/>
      <c r="BV190" s="308" t="s">
        <v>3068</v>
      </c>
      <c r="BW190" s="308" t="s">
        <v>3068</v>
      </c>
      <c r="BX190" s="308" t="s">
        <v>2956</v>
      </c>
      <c r="BY190" s="311"/>
      <c r="BZ190" s="311"/>
      <c r="CA190" s="308" t="s">
        <v>2956</v>
      </c>
      <c r="CB190" s="312" t="str">
        <f t="shared" si="1"/>
        <v>10/05/2026</v>
      </c>
      <c r="CC190" s="313">
        <f t="shared" si="2"/>
        <v>2026</v>
      </c>
      <c r="CD190" s="314">
        <f t="shared" si="3"/>
        <v>5</v>
      </c>
      <c r="CE190" s="314">
        <f t="shared" si="4"/>
        <v>1</v>
      </c>
      <c r="CF190" s="314">
        <f t="shared" si="5"/>
        <v>1</v>
      </c>
      <c r="CG190" s="314">
        <f t="shared" si="6"/>
        <v>0</v>
      </c>
      <c r="CH190" s="315">
        <f>VLOOKUP(CL190,'PRODUCT_COGS&amp;PRICE'!A:E,5,false)</f>
        <v>16.5</v>
      </c>
      <c r="CI190" s="315">
        <f t="shared" si="7"/>
        <v>-1.8631</v>
      </c>
      <c r="CJ190" s="316">
        <f t="shared" si="8"/>
        <v>0</v>
      </c>
      <c r="CK190" s="316">
        <f t="shared" si="9"/>
        <v>9</v>
      </c>
      <c r="CL190" s="314" t="str">
        <f>VLOOKUP(R190,PRODUCT_MAP!A:B,2,FALSE)</f>
        <v>Annie_Bag_PAILLETTES_GREY</v>
      </c>
      <c r="CM190" s="314" t="str">
        <f>VLOOKUP(R190,PRODUCT_MAP!A:E,3,FALSE)</f>
        <v>Annie Bag paillettes</v>
      </c>
    </row>
    <row r="191" ht="22.5" customHeight="1">
      <c r="A191" s="308" t="s">
        <v>4545</v>
      </c>
      <c r="B191" s="308" t="s">
        <v>4546</v>
      </c>
      <c r="C191" s="308" t="s">
        <v>2942</v>
      </c>
      <c r="D191" s="308" t="s">
        <v>4547</v>
      </c>
      <c r="E191" s="308" t="s">
        <v>3013</v>
      </c>
      <c r="F191" s="308"/>
      <c r="G191" s="308" t="s">
        <v>2965</v>
      </c>
      <c r="H191" s="308" t="s">
        <v>2947</v>
      </c>
      <c r="I191" s="308">
        <v>150.0</v>
      </c>
      <c r="J191" s="308">
        <v>0.0</v>
      </c>
      <c r="K191" s="308">
        <v>27.05</v>
      </c>
      <c r="L191" s="308">
        <v>150.0</v>
      </c>
      <c r="M191" s="308"/>
      <c r="N191" s="308">
        <v>0.0</v>
      </c>
      <c r="O191" s="308" t="s">
        <v>2948</v>
      </c>
      <c r="P191" s="308" t="s">
        <v>4548</v>
      </c>
      <c r="Q191" s="310">
        <v>1.0</v>
      </c>
      <c r="R191" s="308" t="s">
        <v>539</v>
      </c>
      <c r="S191" s="308">
        <v>150.0</v>
      </c>
      <c r="T191" s="311"/>
      <c r="U191" s="308" t="s">
        <v>3223</v>
      </c>
      <c r="V191" s="308" t="b">
        <v>1</v>
      </c>
      <c r="W191" s="308" t="b">
        <v>1</v>
      </c>
      <c r="X191" s="308"/>
      <c r="Y191" s="308" t="s">
        <v>4549</v>
      </c>
      <c r="Z191" s="308" t="s">
        <v>4550</v>
      </c>
      <c r="AA191" s="308" t="s">
        <v>4551</v>
      </c>
      <c r="AB191" s="308" t="s">
        <v>4552</v>
      </c>
      <c r="AC191" s="308"/>
      <c r="AD191" s="308" t="s">
        <v>4553</v>
      </c>
      <c r="AE191" s="308">
        <v>43121.0</v>
      </c>
      <c r="AF191" s="308" t="s">
        <v>4554</v>
      </c>
      <c r="AG191" s="308" t="s">
        <v>2955</v>
      </c>
      <c r="AH191" s="308">
        <v>3.396593391E9</v>
      </c>
      <c r="AI191" s="308" t="s">
        <v>4549</v>
      </c>
      <c r="AJ191" s="308" t="s">
        <v>4550</v>
      </c>
      <c r="AK191" s="308" t="s">
        <v>4551</v>
      </c>
      <c r="AL191" s="308" t="s">
        <v>4552</v>
      </c>
      <c r="AM191" s="308"/>
      <c r="AN191" s="308" t="s">
        <v>4553</v>
      </c>
      <c r="AO191" s="308">
        <v>43121.0</v>
      </c>
      <c r="AP191" s="308" t="s">
        <v>4554</v>
      </c>
      <c r="AQ191" s="308" t="s">
        <v>2955</v>
      </c>
      <c r="AR191" s="308">
        <v>3.396593391E9</v>
      </c>
      <c r="AS191" s="311"/>
      <c r="AT191" s="311"/>
      <c r="AU191" s="311"/>
      <c r="AV191" s="308" t="s">
        <v>2956</v>
      </c>
      <c r="AW191" s="308">
        <v>4.7805992075591E13</v>
      </c>
      <c r="AX191" s="310">
        <v>0.0</v>
      </c>
      <c r="AY191" s="308" t="s">
        <v>2974</v>
      </c>
      <c r="AZ191" s="308">
        <v>0.0</v>
      </c>
      <c r="BA191" s="311"/>
      <c r="BB191" s="311"/>
      <c r="BC191" s="311"/>
      <c r="BD191" s="308">
        <v>7.667293913415E12</v>
      </c>
      <c r="BE191" s="311"/>
      <c r="BF191" s="311"/>
      <c r="BG191" s="308" t="s">
        <v>2958</v>
      </c>
      <c r="BH191" s="308">
        <v>0.0</v>
      </c>
      <c r="BI191" s="308" t="s">
        <v>2959</v>
      </c>
      <c r="BJ191" s="308">
        <v>27.05</v>
      </c>
      <c r="BK191" s="311"/>
      <c r="BL191" s="311"/>
      <c r="BM191" s="311"/>
      <c r="BN191" s="311"/>
      <c r="BO191" s="311"/>
      <c r="BP191" s="311"/>
      <c r="BQ191" s="311"/>
      <c r="BR191" s="311"/>
      <c r="BS191" s="308"/>
      <c r="BT191" s="311"/>
      <c r="BU191" s="311"/>
      <c r="BV191" s="308" t="s">
        <v>4553</v>
      </c>
      <c r="BW191" s="308" t="s">
        <v>4553</v>
      </c>
      <c r="BX191" s="308" t="s">
        <v>2956</v>
      </c>
      <c r="BY191" s="311"/>
      <c r="BZ191" s="311"/>
      <c r="CA191" s="308" t="s">
        <v>2956</v>
      </c>
      <c r="CB191" s="312" t="str">
        <f t="shared" si="1"/>
        <v>10/05/2026</v>
      </c>
      <c r="CC191" s="313">
        <f t="shared" si="2"/>
        <v>2026</v>
      </c>
      <c r="CD191" s="314">
        <f t="shared" si="3"/>
        <v>5</v>
      </c>
      <c r="CE191" s="314">
        <f t="shared" si="4"/>
        <v>1</v>
      </c>
      <c r="CF191" s="314">
        <f t="shared" si="5"/>
        <v>1</v>
      </c>
      <c r="CG191" s="314">
        <f t="shared" si="6"/>
        <v>-5</v>
      </c>
      <c r="CH191" s="315">
        <f>VLOOKUP(CL191,'PRODUCT_COGS&amp;PRICE'!A:E,5,false)</f>
        <v>33</v>
      </c>
      <c r="CI191" s="315">
        <f t="shared" si="7"/>
        <v>-3.1</v>
      </c>
      <c r="CJ191" s="316">
        <f t="shared" si="8"/>
        <v>0</v>
      </c>
      <c r="CK191" s="316">
        <f t="shared" si="9"/>
        <v>0</v>
      </c>
      <c r="CL191" s="314" t="str">
        <f>VLOOKUP(R191,PRODUCT_MAP!A:B,2,FALSE)</f>
        <v>Lea_Bag_Zebra_Dark</v>
      </c>
      <c r="CM191" s="314" t="str">
        <f>VLOOKUP(R191,PRODUCT_MAP!A:E,3,FALSE)</f>
        <v>Lea Bag</v>
      </c>
    </row>
    <row r="192" ht="22.5" customHeight="1">
      <c r="A192" s="308" t="s">
        <v>4555</v>
      </c>
      <c r="B192" s="308" t="s">
        <v>4556</v>
      </c>
      <c r="C192" s="308" t="s">
        <v>2942</v>
      </c>
      <c r="D192" s="308" t="s">
        <v>4557</v>
      </c>
      <c r="E192" s="308" t="s">
        <v>3013</v>
      </c>
      <c r="F192" s="308"/>
      <c r="G192" s="308" t="s">
        <v>2946</v>
      </c>
      <c r="H192" s="308" t="s">
        <v>2947</v>
      </c>
      <c r="I192" s="308">
        <v>153.0</v>
      </c>
      <c r="J192" s="308">
        <v>0.0</v>
      </c>
      <c r="K192" s="308">
        <v>27.59</v>
      </c>
      <c r="L192" s="308">
        <v>153.0</v>
      </c>
      <c r="M192" s="308" t="s">
        <v>3094</v>
      </c>
      <c r="N192" s="308">
        <v>17.0</v>
      </c>
      <c r="O192" s="308" t="s">
        <v>2948</v>
      </c>
      <c r="P192" s="308" t="s">
        <v>4558</v>
      </c>
      <c r="Q192" s="310">
        <v>1.0</v>
      </c>
      <c r="R192" s="308" t="s">
        <v>549</v>
      </c>
      <c r="S192" s="308">
        <v>170.0</v>
      </c>
      <c r="T192" s="311"/>
      <c r="U192" s="308"/>
      <c r="V192" s="308" t="b">
        <v>1</v>
      </c>
      <c r="W192" s="308" t="b">
        <v>1</v>
      </c>
      <c r="X192" s="308"/>
      <c r="Y192" s="308" t="s">
        <v>4559</v>
      </c>
      <c r="Z192" s="308" t="s">
        <v>4560</v>
      </c>
      <c r="AA192" s="308" t="s">
        <v>4560</v>
      </c>
      <c r="AB192" s="308"/>
      <c r="AC192" s="308"/>
      <c r="AD192" s="308" t="s">
        <v>4561</v>
      </c>
      <c r="AE192" s="308">
        <v>20010.0</v>
      </c>
      <c r="AF192" s="308" t="s">
        <v>2954</v>
      </c>
      <c r="AG192" s="308" t="s">
        <v>2955</v>
      </c>
      <c r="AH192" s="308">
        <v>3.392059485E9</v>
      </c>
      <c r="AI192" s="308" t="s">
        <v>4559</v>
      </c>
      <c r="AJ192" s="308" t="s">
        <v>4560</v>
      </c>
      <c r="AK192" s="308" t="s">
        <v>4560</v>
      </c>
      <c r="AL192" s="308"/>
      <c r="AM192" s="308"/>
      <c r="AN192" s="308" t="s">
        <v>4561</v>
      </c>
      <c r="AO192" s="308">
        <v>20010.0</v>
      </c>
      <c r="AP192" s="308" t="s">
        <v>2954</v>
      </c>
      <c r="AQ192" s="308" t="s">
        <v>2955</v>
      </c>
      <c r="AR192" s="308">
        <v>3.392059485E9</v>
      </c>
      <c r="AS192" s="311"/>
      <c r="AT192" s="311"/>
      <c r="AU192" s="311"/>
      <c r="AV192" s="308" t="s">
        <v>3009</v>
      </c>
      <c r="AW192" s="308">
        <v>4.7806179475783E13</v>
      </c>
      <c r="AX192" s="310">
        <v>0.0</v>
      </c>
      <c r="AY192" s="308" t="s">
        <v>2974</v>
      </c>
      <c r="AZ192" s="308">
        <v>0.0</v>
      </c>
      <c r="BA192" s="311"/>
      <c r="BB192" s="311"/>
      <c r="BC192" s="311"/>
      <c r="BD192" s="308">
        <v>7.667380879687E12</v>
      </c>
      <c r="BE192" s="311"/>
      <c r="BF192" s="311"/>
      <c r="BG192" s="308" t="s">
        <v>2958</v>
      </c>
      <c r="BH192" s="308">
        <v>0.0</v>
      </c>
      <c r="BI192" s="308" t="s">
        <v>2959</v>
      </c>
      <c r="BJ192" s="308">
        <v>27.59</v>
      </c>
      <c r="BK192" s="311"/>
      <c r="BL192" s="311"/>
      <c r="BM192" s="311"/>
      <c r="BN192" s="311"/>
      <c r="BO192" s="311"/>
      <c r="BP192" s="311"/>
      <c r="BQ192" s="311"/>
      <c r="BR192" s="311"/>
      <c r="BS192" s="308"/>
      <c r="BT192" s="311"/>
      <c r="BU192" s="311"/>
      <c r="BV192" s="308" t="s">
        <v>23</v>
      </c>
      <c r="BW192" s="308" t="s">
        <v>23</v>
      </c>
      <c r="BX192" s="308" t="s">
        <v>3009</v>
      </c>
      <c r="BY192" s="311"/>
      <c r="BZ192" s="311"/>
      <c r="CA192" s="308" t="s">
        <v>3009</v>
      </c>
      <c r="CB192" s="312" t="str">
        <f t="shared" si="1"/>
        <v>10/05/2026</v>
      </c>
      <c r="CC192" s="313">
        <f t="shared" si="2"/>
        <v>2026</v>
      </c>
      <c r="CD192" s="314">
        <f t="shared" si="3"/>
        <v>5</v>
      </c>
      <c r="CE192" s="314">
        <f t="shared" si="4"/>
        <v>1</v>
      </c>
      <c r="CF192" s="314">
        <f t="shared" si="5"/>
        <v>1</v>
      </c>
      <c r="CG192" s="314">
        <f t="shared" si="6"/>
        <v>-5</v>
      </c>
      <c r="CH192" s="315">
        <f>VLOOKUP(CL192,'PRODUCT_COGS&amp;PRICE'!A:E,5,false)</f>
        <v>36</v>
      </c>
      <c r="CI192" s="315">
        <f t="shared" si="7"/>
        <v>-5.6897</v>
      </c>
      <c r="CJ192" s="316">
        <f t="shared" si="8"/>
        <v>0</v>
      </c>
      <c r="CK192" s="316">
        <f t="shared" si="9"/>
        <v>17</v>
      </c>
      <c r="CL192" s="314" t="str">
        <f>VLOOKUP(R192,PRODUCT_MAP!A:B,2,FALSE)</f>
        <v>Lea_Bag_Maxi_COCCO_BLACK</v>
      </c>
      <c r="CM192" s="314" t="str">
        <f>VLOOKUP(R192,PRODUCT_MAP!A:E,3,FALSE)</f>
        <v>Lea Bag Maxi</v>
      </c>
    </row>
    <row r="193" ht="22.5" customHeight="1">
      <c r="A193" s="308" t="s">
        <v>4562</v>
      </c>
      <c r="B193" s="308" t="s">
        <v>4563</v>
      </c>
      <c r="C193" s="308" t="s">
        <v>2942</v>
      </c>
      <c r="D193" s="308" t="s">
        <v>4564</v>
      </c>
      <c r="E193" s="308" t="s">
        <v>3013</v>
      </c>
      <c r="F193" s="308"/>
      <c r="G193" s="308" t="s">
        <v>2965</v>
      </c>
      <c r="H193" s="308" t="s">
        <v>2947</v>
      </c>
      <c r="I193" s="308">
        <v>90.0</v>
      </c>
      <c r="J193" s="308">
        <v>3.9</v>
      </c>
      <c r="K193" s="308">
        <v>16.93</v>
      </c>
      <c r="L193" s="308">
        <v>93.9</v>
      </c>
      <c r="M193" s="308"/>
      <c r="N193" s="308">
        <v>0.0</v>
      </c>
      <c r="O193" s="308" t="s">
        <v>2948</v>
      </c>
      <c r="P193" s="308" t="s">
        <v>4565</v>
      </c>
      <c r="Q193" s="310">
        <v>1.0</v>
      </c>
      <c r="R193" s="308" t="s">
        <v>4429</v>
      </c>
      <c r="S193" s="308">
        <v>90.0</v>
      </c>
      <c r="T193" s="311"/>
      <c r="U193" s="308" t="s">
        <v>4430</v>
      </c>
      <c r="V193" s="308" t="b">
        <v>1</v>
      </c>
      <c r="W193" s="308" t="b">
        <v>1</v>
      </c>
      <c r="X193" s="308"/>
      <c r="Y193" s="308" t="s">
        <v>4566</v>
      </c>
      <c r="Z193" s="308" t="s">
        <v>4567</v>
      </c>
      <c r="AA193" s="308" t="s">
        <v>4567</v>
      </c>
      <c r="AB193" s="308"/>
      <c r="AC193" s="308"/>
      <c r="AD193" s="308" t="s">
        <v>4568</v>
      </c>
      <c r="AE193" s="308">
        <v>47039.0</v>
      </c>
      <c r="AF193" s="308" t="s">
        <v>3928</v>
      </c>
      <c r="AG193" s="308" t="s">
        <v>2955</v>
      </c>
      <c r="AH193" s="308"/>
      <c r="AI193" s="308" t="s">
        <v>4566</v>
      </c>
      <c r="AJ193" s="308" t="s">
        <v>4569</v>
      </c>
      <c r="AK193" s="308" t="s">
        <v>4569</v>
      </c>
      <c r="AL193" s="308"/>
      <c r="AM193" s="308"/>
      <c r="AN193" s="308" t="s">
        <v>4570</v>
      </c>
      <c r="AO193" s="308">
        <v>47042.0</v>
      </c>
      <c r="AP193" s="308" t="s">
        <v>3928</v>
      </c>
      <c r="AQ193" s="308" t="s">
        <v>2955</v>
      </c>
      <c r="AR193" s="308">
        <v>3.357118696E9</v>
      </c>
      <c r="AS193" s="311"/>
      <c r="AT193" s="311"/>
      <c r="AU193" s="311"/>
      <c r="AV193" s="308" t="s">
        <v>2956</v>
      </c>
      <c r="AW193" s="308">
        <v>4.7806364418375E13</v>
      </c>
      <c r="AX193" s="310">
        <v>0.0</v>
      </c>
      <c r="AY193" s="308" t="s">
        <v>2974</v>
      </c>
      <c r="AZ193" s="308">
        <v>0.0</v>
      </c>
      <c r="BA193" s="311"/>
      <c r="BB193" s="311"/>
      <c r="BC193" s="311"/>
      <c r="BD193" s="308">
        <v>7.667476267335E12</v>
      </c>
      <c r="BE193" s="311"/>
      <c r="BF193" s="311"/>
      <c r="BG193" s="308" t="s">
        <v>2958</v>
      </c>
      <c r="BH193" s="308">
        <v>0.0</v>
      </c>
      <c r="BI193" s="308" t="s">
        <v>2959</v>
      </c>
      <c r="BJ193" s="308">
        <v>16.23</v>
      </c>
      <c r="BK193" s="311"/>
      <c r="BL193" s="311"/>
      <c r="BM193" s="311"/>
      <c r="BN193" s="311"/>
      <c r="BO193" s="311"/>
      <c r="BP193" s="311"/>
      <c r="BQ193" s="311"/>
      <c r="BR193" s="311"/>
      <c r="BS193" s="308"/>
      <c r="BT193" s="311"/>
      <c r="BU193" s="311"/>
      <c r="BV193" s="308" t="s">
        <v>3929</v>
      </c>
      <c r="BW193" s="308" t="s">
        <v>3929</v>
      </c>
      <c r="BX193" s="308" t="s">
        <v>2956</v>
      </c>
      <c r="BY193" s="311"/>
      <c r="BZ193" s="311"/>
      <c r="CA193" s="308" t="s">
        <v>2956</v>
      </c>
      <c r="CB193" s="312" t="str">
        <f t="shared" si="1"/>
        <v>10/05/2026</v>
      </c>
      <c r="CC193" s="313">
        <f t="shared" si="2"/>
        <v>2026</v>
      </c>
      <c r="CD193" s="314">
        <f t="shared" si="3"/>
        <v>5</v>
      </c>
      <c r="CE193" s="314">
        <f t="shared" si="4"/>
        <v>1</v>
      </c>
      <c r="CF193" s="314">
        <f t="shared" si="5"/>
        <v>1</v>
      </c>
      <c r="CG193" s="314">
        <f t="shared" si="6"/>
        <v>0</v>
      </c>
      <c r="CH193" s="315">
        <f>VLOOKUP(CL193,'PRODUCT_COGS&amp;PRICE'!A:E,5,false)</f>
        <v>16.5</v>
      </c>
      <c r="CI193" s="315">
        <f t="shared" si="7"/>
        <v>-2.0341</v>
      </c>
      <c r="CJ193" s="316">
        <f t="shared" si="8"/>
        <v>0</v>
      </c>
      <c r="CK193" s="316">
        <f t="shared" si="9"/>
        <v>0</v>
      </c>
      <c r="CL193" s="314" t="str">
        <f>VLOOKUP(R193,PRODUCT_MAP!A:B,2,FALSE)</f>
        <v>Annie_Bag_PAILLETTES_LIGHT_GREEN</v>
      </c>
      <c r="CM193" s="314" t="str">
        <f>VLOOKUP(R193,PRODUCT_MAP!A:E,3,FALSE)</f>
        <v>Annie Bag paillettes</v>
      </c>
    </row>
    <row r="194" ht="22.5" customHeight="1">
      <c r="A194" s="308" t="s">
        <v>4571</v>
      </c>
      <c r="B194" s="308" t="s">
        <v>4572</v>
      </c>
      <c r="C194" s="308" t="s">
        <v>2942</v>
      </c>
      <c r="D194" s="308" t="s">
        <v>4573</v>
      </c>
      <c r="E194" s="308" t="s">
        <v>3013</v>
      </c>
      <c r="F194" s="308"/>
      <c r="G194" s="308" t="s">
        <v>2946</v>
      </c>
      <c r="H194" s="308" t="s">
        <v>2947</v>
      </c>
      <c r="I194" s="308">
        <v>157.5</v>
      </c>
      <c r="J194" s="308">
        <v>0.0</v>
      </c>
      <c r="K194" s="308">
        <v>28.4</v>
      </c>
      <c r="L194" s="308">
        <v>157.5</v>
      </c>
      <c r="M194" s="308" t="s">
        <v>3094</v>
      </c>
      <c r="N194" s="308">
        <v>17.5</v>
      </c>
      <c r="O194" s="308" t="s">
        <v>2948</v>
      </c>
      <c r="P194" s="308" t="s">
        <v>4574</v>
      </c>
      <c r="Q194" s="310">
        <v>1.0</v>
      </c>
      <c r="R194" s="308" t="s">
        <v>783</v>
      </c>
      <c r="S194" s="308">
        <v>175.0</v>
      </c>
      <c r="T194" s="311"/>
      <c r="U194" s="308" t="s">
        <v>249</v>
      </c>
      <c r="V194" s="308" t="b">
        <v>1</v>
      </c>
      <c r="W194" s="308" t="b">
        <v>1</v>
      </c>
      <c r="X194" s="308"/>
      <c r="Y194" s="308" t="s">
        <v>4575</v>
      </c>
      <c r="Z194" s="308" t="s">
        <v>4576</v>
      </c>
      <c r="AA194" s="308" t="s">
        <v>4577</v>
      </c>
      <c r="AB194" s="308" t="s">
        <v>4578</v>
      </c>
      <c r="AC194" s="308"/>
      <c r="AD194" s="308" t="s">
        <v>4579</v>
      </c>
      <c r="AE194" s="308">
        <v>20090.0</v>
      </c>
      <c r="AF194" s="308" t="s">
        <v>2954</v>
      </c>
      <c r="AG194" s="308" t="s">
        <v>2955</v>
      </c>
      <c r="AH194" s="308"/>
      <c r="AI194" s="308" t="s">
        <v>4580</v>
      </c>
      <c r="AJ194" s="308" t="s">
        <v>4581</v>
      </c>
      <c r="AK194" s="308" t="s">
        <v>4582</v>
      </c>
      <c r="AL194" s="308" t="s">
        <v>4583</v>
      </c>
      <c r="AM194" s="308"/>
      <c r="AN194" s="308" t="s">
        <v>23</v>
      </c>
      <c r="AO194" s="308">
        <v>20139.0</v>
      </c>
      <c r="AP194" s="308" t="s">
        <v>2954</v>
      </c>
      <c r="AQ194" s="308" t="s">
        <v>2955</v>
      </c>
      <c r="AR194" s="308">
        <v>3.333267279E9</v>
      </c>
      <c r="AS194" s="311"/>
      <c r="AT194" s="311"/>
      <c r="AU194" s="311"/>
      <c r="AV194" s="308" t="s">
        <v>2956</v>
      </c>
      <c r="AW194" s="308">
        <v>4.7810688418119E13</v>
      </c>
      <c r="AX194" s="310">
        <v>0.0</v>
      </c>
      <c r="AY194" s="308" t="s">
        <v>2974</v>
      </c>
      <c r="AZ194" s="308">
        <v>0.0</v>
      </c>
      <c r="BA194" s="311"/>
      <c r="BB194" s="311"/>
      <c r="BC194" s="311"/>
      <c r="BD194" s="308">
        <v>7.669437432135E12</v>
      </c>
      <c r="BE194" s="311"/>
      <c r="BF194" s="311"/>
      <c r="BG194" s="308" t="s">
        <v>2958</v>
      </c>
      <c r="BH194" s="308">
        <v>0.0</v>
      </c>
      <c r="BI194" s="308" t="s">
        <v>2959</v>
      </c>
      <c r="BJ194" s="308">
        <v>28.4</v>
      </c>
      <c r="BK194" s="311"/>
      <c r="BL194" s="311"/>
      <c r="BM194" s="311"/>
      <c r="BN194" s="311"/>
      <c r="BO194" s="311"/>
      <c r="BP194" s="311"/>
      <c r="BQ194" s="311"/>
      <c r="BR194" s="311"/>
      <c r="BS194" s="308"/>
      <c r="BT194" s="311"/>
      <c r="BU194" s="311"/>
      <c r="BV194" s="308" t="s">
        <v>23</v>
      </c>
      <c r="BW194" s="308" t="s">
        <v>23</v>
      </c>
      <c r="BX194" s="308" t="s">
        <v>2956</v>
      </c>
      <c r="BY194" s="311"/>
      <c r="BZ194" s="311"/>
      <c r="CA194" s="308" t="s">
        <v>2956</v>
      </c>
      <c r="CB194" s="312" t="str">
        <f t="shared" si="1"/>
        <v>11/05/2026</v>
      </c>
      <c r="CC194" s="313">
        <f t="shared" si="2"/>
        <v>2026</v>
      </c>
      <c r="CD194" s="314">
        <f t="shared" si="3"/>
        <v>5</v>
      </c>
      <c r="CE194" s="314">
        <f t="shared" si="4"/>
        <v>1</v>
      </c>
      <c r="CF194" s="314">
        <f t="shared" si="5"/>
        <v>1</v>
      </c>
      <c r="CG194" s="314">
        <f t="shared" si="6"/>
        <v>-5</v>
      </c>
      <c r="CH194" s="315">
        <f>VLOOKUP(CL194,'PRODUCT_COGS&amp;PRICE'!A:E,5,false)</f>
        <v>52.5</v>
      </c>
      <c r="CI194" s="315">
        <f t="shared" si="7"/>
        <v>-3.2425</v>
      </c>
      <c r="CJ194" s="316">
        <f t="shared" si="8"/>
        <v>0</v>
      </c>
      <c r="CK194" s="316">
        <f t="shared" si="9"/>
        <v>17.5</v>
      </c>
      <c r="CL194" s="314" t="str">
        <f>VLOOKUP(R194,PRODUCT_MAP!A:B,2,FALSE)</f>
        <v>Valentina_Bag_RED</v>
      </c>
      <c r="CM194" s="314" t="str">
        <f>VLOOKUP(R194,PRODUCT_MAP!A:E,3,FALSE)</f>
        <v>Valentina Bag</v>
      </c>
    </row>
    <row r="195" ht="22.5" customHeight="1">
      <c r="A195" s="308" t="s">
        <v>4584</v>
      </c>
      <c r="B195" s="308" t="s">
        <v>4585</v>
      </c>
      <c r="C195" s="308" t="s">
        <v>2942</v>
      </c>
      <c r="D195" s="308" t="s">
        <v>4586</v>
      </c>
      <c r="E195" s="308" t="s">
        <v>3013</v>
      </c>
      <c r="F195" s="308"/>
      <c r="G195" s="308" t="s">
        <v>2965</v>
      </c>
      <c r="H195" s="308" t="s">
        <v>2947</v>
      </c>
      <c r="I195" s="308">
        <v>120.0</v>
      </c>
      <c r="J195" s="308">
        <v>0.0</v>
      </c>
      <c r="K195" s="308">
        <v>21.64</v>
      </c>
      <c r="L195" s="308">
        <v>120.0</v>
      </c>
      <c r="M195" s="308"/>
      <c r="N195" s="308">
        <v>0.0</v>
      </c>
      <c r="O195" s="308" t="s">
        <v>2948</v>
      </c>
      <c r="P195" s="308" t="s">
        <v>4587</v>
      </c>
      <c r="Q195" s="310">
        <v>1.0</v>
      </c>
      <c r="R195" s="308" t="s">
        <v>607</v>
      </c>
      <c r="S195" s="308">
        <v>120.0</v>
      </c>
      <c r="T195" s="311"/>
      <c r="U195" s="308" t="s">
        <v>207</v>
      </c>
      <c r="V195" s="308" t="b">
        <v>1</v>
      </c>
      <c r="W195" s="308" t="b">
        <v>1</v>
      </c>
      <c r="X195" s="308"/>
      <c r="Y195" s="308" t="s">
        <v>4588</v>
      </c>
      <c r="Z195" s="308" t="s">
        <v>4589</v>
      </c>
      <c r="AA195" s="308" t="s">
        <v>4589</v>
      </c>
      <c r="AB195" s="308"/>
      <c r="AC195" s="308"/>
      <c r="AD195" s="308" t="s">
        <v>4590</v>
      </c>
      <c r="AE195" s="308">
        <v>60022.0</v>
      </c>
      <c r="AF195" s="308" t="s">
        <v>4377</v>
      </c>
      <c r="AG195" s="308" t="s">
        <v>2955</v>
      </c>
      <c r="AH195" s="308">
        <v>3.93662874929E11</v>
      </c>
      <c r="AI195" s="308" t="s">
        <v>4591</v>
      </c>
      <c r="AJ195" s="308" t="s">
        <v>4592</v>
      </c>
      <c r="AK195" s="308" t="s">
        <v>4592</v>
      </c>
      <c r="AL195" s="308"/>
      <c r="AM195" s="308"/>
      <c r="AN195" s="308" t="s">
        <v>4590</v>
      </c>
      <c r="AO195" s="308">
        <v>60022.0</v>
      </c>
      <c r="AP195" s="308" t="s">
        <v>4377</v>
      </c>
      <c r="AQ195" s="308" t="s">
        <v>2955</v>
      </c>
      <c r="AR195" s="308">
        <v>3.93662874929E11</v>
      </c>
      <c r="AS195" s="311"/>
      <c r="AT195" s="311"/>
      <c r="AU195" s="311"/>
      <c r="AV195" s="308" t="s">
        <v>2956</v>
      </c>
      <c r="AW195" s="308">
        <v>4.7811186164039E13</v>
      </c>
      <c r="AX195" s="310">
        <v>0.0</v>
      </c>
      <c r="AY195" s="308" t="s">
        <v>2974</v>
      </c>
      <c r="AZ195" s="308">
        <v>0.0</v>
      </c>
      <c r="BA195" s="311"/>
      <c r="BB195" s="311"/>
      <c r="BC195" s="311"/>
      <c r="BD195" s="308">
        <v>7.669713502535E12</v>
      </c>
      <c r="BE195" s="311"/>
      <c r="BF195" s="311"/>
      <c r="BG195" s="308" t="s">
        <v>2958</v>
      </c>
      <c r="BH195" s="308">
        <v>0.0</v>
      </c>
      <c r="BI195" s="308" t="s">
        <v>2959</v>
      </c>
      <c r="BJ195" s="308">
        <v>21.64</v>
      </c>
      <c r="BK195" s="311"/>
      <c r="BL195" s="311"/>
      <c r="BM195" s="311"/>
      <c r="BN195" s="311"/>
      <c r="BO195" s="311"/>
      <c r="BP195" s="311"/>
      <c r="BQ195" s="311"/>
      <c r="BR195" s="311"/>
      <c r="BS195" s="318" t="s">
        <v>4593</v>
      </c>
      <c r="BT195" s="311"/>
      <c r="BU195" s="311"/>
      <c r="BV195" s="308" t="s">
        <v>4382</v>
      </c>
      <c r="BW195" s="308" t="s">
        <v>4382</v>
      </c>
      <c r="BX195" s="308" t="s">
        <v>2956</v>
      </c>
      <c r="BY195" s="311"/>
      <c r="BZ195" s="311"/>
      <c r="CA195" s="308" t="s">
        <v>2956</v>
      </c>
      <c r="CB195" s="312" t="str">
        <f t="shared" si="1"/>
        <v>11/05/2026</v>
      </c>
      <c r="CC195" s="313">
        <f t="shared" si="2"/>
        <v>2026</v>
      </c>
      <c r="CD195" s="314">
        <f t="shared" si="3"/>
        <v>5</v>
      </c>
      <c r="CE195" s="314">
        <f t="shared" si="4"/>
        <v>1</v>
      </c>
      <c r="CF195" s="314">
        <f t="shared" si="5"/>
        <v>1</v>
      </c>
      <c r="CG195" s="314">
        <f t="shared" si="6"/>
        <v>-5</v>
      </c>
      <c r="CH195" s="315">
        <f>VLOOKUP(CL195,'PRODUCT_COGS&amp;PRICE'!A:E,5,false)</f>
        <v>26</v>
      </c>
      <c r="CI195" s="315">
        <f t="shared" si="7"/>
        <v>-2.53</v>
      </c>
      <c r="CJ195" s="316">
        <f t="shared" si="8"/>
        <v>0</v>
      </c>
      <c r="CK195" s="316">
        <f t="shared" si="9"/>
        <v>0</v>
      </c>
      <c r="CL195" s="314" t="str">
        <f>VLOOKUP(R195,PRODUCT_MAP!A:B,2,FALSE)</f>
        <v>Maria_Bag_RED_PIERCING</v>
      </c>
      <c r="CM195" s="314" t="str">
        <f>VLOOKUP(R195,PRODUCT_MAP!A:E,3,FALSE)</f>
        <v>Maria Bag</v>
      </c>
    </row>
    <row r="196" ht="22.5" customHeight="1">
      <c r="A196" s="308" t="s">
        <v>4594</v>
      </c>
      <c r="B196" s="308" t="s">
        <v>4595</v>
      </c>
      <c r="C196" s="308" t="s">
        <v>2942</v>
      </c>
      <c r="D196" s="308" t="s">
        <v>4596</v>
      </c>
      <c r="E196" s="308" t="s">
        <v>3013</v>
      </c>
      <c r="F196" s="308"/>
      <c r="G196" s="308" t="s">
        <v>2946</v>
      </c>
      <c r="H196" s="308" t="s">
        <v>2947</v>
      </c>
      <c r="I196" s="308">
        <v>243.0</v>
      </c>
      <c r="J196" s="308">
        <v>0.0</v>
      </c>
      <c r="K196" s="308">
        <v>43.82</v>
      </c>
      <c r="L196" s="308">
        <v>243.0</v>
      </c>
      <c r="M196" s="308" t="s">
        <v>3094</v>
      </c>
      <c r="N196" s="308">
        <v>27.0</v>
      </c>
      <c r="O196" s="308" t="s">
        <v>2948</v>
      </c>
      <c r="P196" s="308" t="s">
        <v>4597</v>
      </c>
      <c r="Q196" s="310">
        <v>1.0</v>
      </c>
      <c r="R196" s="308" t="s">
        <v>564</v>
      </c>
      <c r="S196" s="308">
        <v>170.0</v>
      </c>
      <c r="T196" s="311"/>
      <c r="U196" s="308"/>
      <c r="V196" s="308" t="b">
        <v>1</v>
      </c>
      <c r="W196" s="308" t="b">
        <v>1</v>
      </c>
      <c r="X196" s="308"/>
      <c r="Y196" s="308" t="s">
        <v>4598</v>
      </c>
      <c r="Z196" s="308" t="s">
        <v>4599</v>
      </c>
      <c r="AA196" s="308" t="s">
        <v>4600</v>
      </c>
      <c r="AB196" s="308" t="s">
        <v>4601</v>
      </c>
      <c r="AC196" s="308"/>
      <c r="AD196" s="308" t="s">
        <v>23</v>
      </c>
      <c r="AE196" s="308">
        <v>20123.0</v>
      </c>
      <c r="AF196" s="308" t="s">
        <v>2954</v>
      </c>
      <c r="AG196" s="308" t="s">
        <v>2955</v>
      </c>
      <c r="AH196" s="308">
        <v>3.331614002E9</v>
      </c>
      <c r="AI196" s="308" t="s">
        <v>4598</v>
      </c>
      <c r="AJ196" s="308" t="s">
        <v>4599</v>
      </c>
      <c r="AK196" s="308" t="s">
        <v>4600</v>
      </c>
      <c r="AL196" s="308" t="s">
        <v>4601</v>
      </c>
      <c r="AM196" s="308"/>
      <c r="AN196" s="308" t="s">
        <v>23</v>
      </c>
      <c r="AO196" s="308">
        <v>20123.0</v>
      </c>
      <c r="AP196" s="308" t="s">
        <v>2954</v>
      </c>
      <c r="AQ196" s="308" t="s">
        <v>2955</v>
      </c>
      <c r="AR196" s="308">
        <v>3.331614002E9</v>
      </c>
      <c r="AS196" s="311"/>
      <c r="AT196" s="311"/>
      <c r="AU196" s="311"/>
      <c r="AV196" s="308" t="s">
        <v>3009</v>
      </c>
      <c r="AW196" s="308">
        <v>4.7814044647751E13</v>
      </c>
      <c r="AX196" s="310">
        <v>0.0</v>
      </c>
      <c r="AY196" s="308" t="s">
        <v>2974</v>
      </c>
      <c r="AZ196" s="308">
        <v>0.0</v>
      </c>
      <c r="BA196" s="311"/>
      <c r="BB196" s="311"/>
      <c r="BC196" s="311"/>
      <c r="BD196" s="308">
        <v>7.671054139719E12</v>
      </c>
      <c r="BE196" s="311"/>
      <c r="BF196" s="311"/>
      <c r="BG196" s="308" t="s">
        <v>2958</v>
      </c>
      <c r="BH196" s="308">
        <v>0.0</v>
      </c>
      <c r="BI196" s="308" t="s">
        <v>2959</v>
      </c>
      <c r="BJ196" s="308">
        <v>27.59</v>
      </c>
      <c r="BK196" s="311"/>
      <c r="BL196" s="311"/>
      <c r="BM196" s="311"/>
      <c r="BN196" s="311"/>
      <c r="BO196" s="311"/>
      <c r="BP196" s="311"/>
      <c r="BQ196" s="311"/>
      <c r="BR196" s="311"/>
      <c r="BS196" s="308"/>
      <c r="BT196" s="311"/>
      <c r="BU196" s="311"/>
      <c r="BV196" s="308" t="s">
        <v>23</v>
      </c>
      <c r="BW196" s="308" t="s">
        <v>23</v>
      </c>
      <c r="BX196" s="308" t="s">
        <v>3009</v>
      </c>
      <c r="BY196" s="311"/>
      <c r="BZ196" s="311"/>
      <c r="CA196" s="308" t="s">
        <v>3009</v>
      </c>
      <c r="CB196" s="312" t="str">
        <f t="shared" si="1"/>
        <v>12/05/2026</v>
      </c>
      <c r="CC196" s="313">
        <f t="shared" si="2"/>
        <v>2026</v>
      </c>
      <c r="CD196" s="314">
        <f t="shared" si="3"/>
        <v>5</v>
      </c>
      <c r="CE196" s="314">
        <f t="shared" si="4"/>
        <v>1</v>
      </c>
      <c r="CF196" s="314">
        <f t="shared" si="5"/>
        <v>1</v>
      </c>
      <c r="CG196" s="314">
        <f t="shared" si="6"/>
        <v>-5</v>
      </c>
      <c r="CH196" s="315">
        <f>VLOOKUP(CL196,'PRODUCT_COGS&amp;PRICE'!A:E,5,false)</f>
        <v>30</v>
      </c>
      <c r="CI196" s="315">
        <f t="shared" si="7"/>
        <v>-17.3114</v>
      </c>
      <c r="CJ196" s="316">
        <f t="shared" si="8"/>
        <v>0</v>
      </c>
      <c r="CK196" s="316">
        <f t="shared" si="9"/>
        <v>27</v>
      </c>
      <c r="CL196" s="314" t="str">
        <f>VLOOKUP(R196,PRODUCT_MAP!A:B,2,FALSE)</f>
        <v>Lea_Bag_Maxi_SUEDE_CHOCOLATE_CHARM</v>
      </c>
      <c r="CM196" s="314" t="str">
        <f>VLOOKUP(R196,PRODUCT_MAP!A:E,3,FALSE)</f>
        <v>Lea Bag Maxi</v>
      </c>
    </row>
    <row r="197" ht="22.5" customHeight="1">
      <c r="A197" s="308" t="s">
        <v>4594</v>
      </c>
      <c r="B197" s="308" t="s">
        <v>4595</v>
      </c>
      <c r="C197" s="308" t="s">
        <v>2942</v>
      </c>
      <c r="D197" s="308" t="s">
        <v>4596</v>
      </c>
      <c r="E197" s="308" t="s">
        <v>3013</v>
      </c>
      <c r="F197" s="308"/>
      <c r="G197" s="308" t="s">
        <v>2946</v>
      </c>
      <c r="H197" s="308" t="s">
        <v>2947</v>
      </c>
      <c r="I197" s="308">
        <v>243.0</v>
      </c>
      <c r="J197" s="308">
        <v>0.0</v>
      </c>
      <c r="K197" s="308">
        <v>43.82</v>
      </c>
      <c r="L197" s="308">
        <v>243.0</v>
      </c>
      <c r="M197" s="308" t="s">
        <v>3094</v>
      </c>
      <c r="N197" s="308">
        <v>27.0</v>
      </c>
      <c r="O197" s="308" t="s">
        <v>2948</v>
      </c>
      <c r="P197" s="308" t="s">
        <v>4597</v>
      </c>
      <c r="Q197" s="310">
        <v>1.0</v>
      </c>
      <c r="R197" s="308" t="s">
        <v>4266</v>
      </c>
      <c r="S197" s="308">
        <v>100.0</v>
      </c>
      <c r="T197" s="311"/>
      <c r="U197" s="308" t="s">
        <v>4267</v>
      </c>
      <c r="V197" s="308" t="b">
        <v>1</v>
      </c>
      <c r="W197" s="308" t="b">
        <v>1</v>
      </c>
      <c r="X197" s="308"/>
      <c r="Y197" s="308" t="s">
        <v>4598</v>
      </c>
      <c r="Z197" s="308" t="s">
        <v>4599</v>
      </c>
      <c r="AA197" s="308" t="s">
        <v>4600</v>
      </c>
      <c r="AB197" s="308" t="s">
        <v>4601</v>
      </c>
      <c r="AC197" s="308"/>
      <c r="AD197" s="308" t="s">
        <v>23</v>
      </c>
      <c r="AE197" s="308">
        <v>20123.0</v>
      </c>
      <c r="AF197" s="308" t="s">
        <v>2954</v>
      </c>
      <c r="AG197" s="308" t="s">
        <v>2955</v>
      </c>
      <c r="AH197" s="308">
        <v>3.331614002E9</v>
      </c>
      <c r="AI197" s="308" t="s">
        <v>4598</v>
      </c>
      <c r="AJ197" s="308" t="s">
        <v>4599</v>
      </c>
      <c r="AK197" s="308" t="s">
        <v>4600</v>
      </c>
      <c r="AL197" s="308" t="s">
        <v>4601</v>
      </c>
      <c r="AM197" s="308"/>
      <c r="AN197" s="308" t="s">
        <v>23</v>
      </c>
      <c r="AO197" s="308">
        <v>20123.0</v>
      </c>
      <c r="AP197" s="308" t="s">
        <v>2954</v>
      </c>
      <c r="AQ197" s="308" t="s">
        <v>2955</v>
      </c>
      <c r="AR197" s="308">
        <v>3.331614002E9</v>
      </c>
      <c r="AS197" s="311"/>
      <c r="AT197" s="311"/>
      <c r="AU197" s="311"/>
      <c r="AV197" s="308" t="s">
        <v>3009</v>
      </c>
      <c r="AW197" s="308">
        <v>4.7814044647751E13</v>
      </c>
      <c r="AX197" s="310">
        <v>0.0</v>
      </c>
      <c r="AY197" s="308" t="s">
        <v>2974</v>
      </c>
      <c r="AZ197" s="308">
        <v>0.0</v>
      </c>
      <c r="BA197" s="311"/>
      <c r="BB197" s="311"/>
      <c r="BC197" s="311"/>
      <c r="BD197" s="308">
        <v>7.671054139719E12</v>
      </c>
      <c r="BE197" s="311"/>
      <c r="BF197" s="311"/>
      <c r="BG197" s="308" t="s">
        <v>2958</v>
      </c>
      <c r="BH197" s="308">
        <v>0.0</v>
      </c>
      <c r="BI197" s="308" t="s">
        <v>2959</v>
      </c>
      <c r="BJ197" s="308">
        <v>16.23</v>
      </c>
      <c r="BK197" s="311"/>
      <c r="BL197" s="311"/>
      <c r="BM197" s="311"/>
      <c r="BN197" s="311"/>
      <c r="BO197" s="311"/>
      <c r="BP197" s="311"/>
      <c r="BQ197" s="311"/>
      <c r="BR197" s="311"/>
      <c r="BS197" s="308"/>
      <c r="BT197" s="311"/>
      <c r="BU197" s="311"/>
      <c r="BV197" s="308" t="s">
        <v>23</v>
      </c>
      <c r="BW197" s="308" t="s">
        <v>23</v>
      </c>
      <c r="BX197" s="308" t="s">
        <v>3009</v>
      </c>
      <c r="BY197" s="311"/>
      <c r="BZ197" s="311"/>
      <c r="CA197" s="308" t="s">
        <v>3009</v>
      </c>
      <c r="CB197" s="312" t="str">
        <f t="shared" si="1"/>
        <v>12/05/2026</v>
      </c>
      <c r="CC197" s="313">
        <f t="shared" si="2"/>
        <v>2026</v>
      </c>
      <c r="CD197" s="314">
        <f t="shared" si="3"/>
        <v>5</v>
      </c>
      <c r="CE197" s="314">
        <f t="shared" si="4"/>
        <v>0</v>
      </c>
      <c r="CF197" s="314">
        <f t="shared" si="5"/>
        <v>1</v>
      </c>
      <c r="CG197" s="314">
        <f t="shared" si="6"/>
        <v>-5</v>
      </c>
      <c r="CH197" s="315">
        <f>VLOOKUP(CL197,'PRODUCT_COGS&amp;PRICE'!A:E,5,false)</f>
        <v>16.5</v>
      </c>
      <c r="CI197" s="315">
        <f t="shared" si="7"/>
        <v>0</v>
      </c>
      <c r="CJ197" s="316">
        <f t="shared" si="8"/>
        <v>0</v>
      </c>
      <c r="CK197" s="316">
        <f t="shared" si="9"/>
        <v>27</v>
      </c>
      <c r="CL197" s="314" t="str">
        <f>VLOOKUP(R197,PRODUCT_MAP!A:B,2,FALSE)</f>
        <v>Annie_Bag_PAILLETTES_NUDE</v>
      </c>
      <c r="CM197" s="314" t="str">
        <f>VLOOKUP(R197,PRODUCT_MAP!A:E,3,FALSE)</f>
        <v>Annie Bag paillettes</v>
      </c>
    </row>
    <row r="198" ht="22.5" customHeight="1">
      <c r="A198" s="308" t="s">
        <v>4602</v>
      </c>
      <c r="B198" s="308" t="s">
        <v>4603</v>
      </c>
      <c r="C198" s="308" t="s">
        <v>2942</v>
      </c>
      <c r="D198" s="308" t="s">
        <v>4604</v>
      </c>
      <c r="E198" s="308" t="s">
        <v>3013</v>
      </c>
      <c r="F198" s="308"/>
      <c r="G198" s="308" t="s">
        <v>2946</v>
      </c>
      <c r="H198" s="308" t="s">
        <v>2947</v>
      </c>
      <c r="I198" s="308">
        <v>135.0</v>
      </c>
      <c r="J198" s="308">
        <v>0.0</v>
      </c>
      <c r="K198" s="308">
        <v>24.34</v>
      </c>
      <c r="L198" s="308">
        <v>135.0</v>
      </c>
      <c r="M198" s="308" t="s">
        <v>3094</v>
      </c>
      <c r="N198" s="308">
        <v>15.0</v>
      </c>
      <c r="O198" s="308" t="s">
        <v>2948</v>
      </c>
      <c r="P198" s="308" t="s">
        <v>4604</v>
      </c>
      <c r="Q198" s="310">
        <v>1.0</v>
      </c>
      <c r="R198" s="308" t="s">
        <v>3214</v>
      </c>
      <c r="S198" s="308">
        <v>150.0</v>
      </c>
      <c r="T198" s="311"/>
      <c r="U198" s="308" t="s">
        <v>229</v>
      </c>
      <c r="V198" s="308" t="b">
        <v>1</v>
      </c>
      <c r="W198" s="308" t="b">
        <v>1</v>
      </c>
      <c r="X198" s="308"/>
      <c r="Y198" s="308" t="s">
        <v>4605</v>
      </c>
      <c r="Z198" s="308" t="s">
        <v>4606</v>
      </c>
      <c r="AA198" s="308" t="s">
        <v>4606</v>
      </c>
      <c r="AB198" s="308"/>
      <c r="AC198" s="308"/>
      <c r="AD198" s="308" t="s">
        <v>4607</v>
      </c>
      <c r="AE198" s="308">
        <v>20833.0</v>
      </c>
      <c r="AF198" s="308" t="s">
        <v>3270</v>
      </c>
      <c r="AG198" s="308" t="s">
        <v>2955</v>
      </c>
      <c r="AH198" s="308">
        <v>3.2814457E9</v>
      </c>
      <c r="AI198" s="308" t="s">
        <v>4605</v>
      </c>
      <c r="AJ198" s="308" t="s">
        <v>4606</v>
      </c>
      <c r="AK198" s="308" t="s">
        <v>4606</v>
      </c>
      <c r="AL198" s="308"/>
      <c r="AM198" s="308"/>
      <c r="AN198" s="308" t="s">
        <v>4607</v>
      </c>
      <c r="AO198" s="308">
        <v>20833.0</v>
      </c>
      <c r="AP198" s="308" t="s">
        <v>3270</v>
      </c>
      <c r="AQ198" s="308" t="s">
        <v>2955</v>
      </c>
      <c r="AR198" s="308">
        <v>3.2814457E9</v>
      </c>
      <c r="AS198" s="311"/>
      <c r="AT198" s="311"/>
      <c r="AU198" s="311"/>
      <c r="AV198" s="308" t="s">
        <v>3009</v>
      </c>
      <c r="AW198" s="308">
        <v>4.7814328484167E13</v>
      </c>
      <c r="AX198" s="310">
        <v>0.0</v>
      </c>
      <c r="AY198" s="308" t="s">
        <v>2974</v>
      </c>
      <c r="AZ198" s="308">
        <v>0.0</v>
      </c>
      <c r="BA198" s="311"/>
      <c r="BB198" s="311"/>
      <c r="BC198" s="311"/>
      <c r="BD198" s="308">
        <v>7.671185473863E12</v>
      </c>
      <c r="BE198" s="311"/>
      <c r="BF198" s="311"/>
      <c r="BG198" s="308" t="s">
        <v>2958</v>
      </c>
      <c r="BH198" s="308">
        <v>0.0</v>
      </c>
      <c r="BI198" s="308" t="s">
        <v>2959</v>
      </c>
      <c r="BJ198" s="308">
        <v>24.34</v>
      </c>
      <c r="BK198" s="311"/>
      <c r="BL198" s="311"/>
      <c r="BM198" s="311"/>
      <c r="BN198" s="311"/>
      <c r="BO198" s="311"/>
      <c r="BP198" s="311"/>
      <c r="BQ198" s="311"/>
      <c r="BR198" s="311"/>
      <c r="BS198" s="308"/>
      <c r="BT198" s="311"/>
      <c r="BU198" s="311"/>
      <c r="BV198" s="308" t="s">
        <v>3271</v>
      </c>
      <c r="BW198" s="308" t="s">
        <v>3271</v>
      </c>
      <c r="BX198" s="308" t="s">
        <v>3009</v>
      </c>
      <c r="BY198" s="311"/>
      <c r="BZ198" s="311"/>
      <c r="CA198" s="308" t="s">
        <v>3009</v>
      </c>
      <c r="CB198" s="312" t="str">
        <f t="shared" si="1"/>
        <v>12/05/2026</v>
      </c>
      <c r="CC198" s="313">
        <f t="shared" si="2"/>
        <v>2026</v>
      </c>
      <c r="CD198" s="314">
        <f t="shared" si="3"/>
        <v>5</v>
      </c>
      <c r="CE198" s="314">
        <f t="shared" si="4"/>
        <v>1</v>
      </c>
      <c r="CF198" s="314">
        <f t="shared" si="5"/>
        <v>1</v>
      </c>
      <c r="CG198" s="314">
        <f t="shared" si="6"/>
        <v>-5</v>
      </c>
      <c r="CH198" s="315">
        <f>VLOOKUP(CL198,'PRODUCT_COGS&amp;PRICE'!A:E,5,false)</f>
        <v>33</v>
      </c>
      <c r="CI198" s="315">
        <f t="shared" si="7"/>
        <v>-5.0615</v>
      </c>
      <c r="CJ198" s="316">
        <f t="shared" si="8"/>
        <v>0</v>
      </c>
      <c r="CK198" s="316">
        <f t="shared" si="9"/>
        <v>15</v>
      </c>
      <c r="CL198" s="314" t="str">
        <f>VLOOKUP(R198,PRODUCT_MAP!A:B,2,FALSE)</f>
        <v>Lea_Bag_ZEBRA</v>
      </c>
      <c r="CM198" s="314" t="str">
        <f>VLOOKUP(R198,PRODUCT_MAP!A:E,3,FALSE)</f>
        <v>Lea Bag</v>
      </c>
    </row>
    <row r="199" ht="22.5" customHeight="1">
      <c r="A199" s="308" t="s">
        <v>4608</v>
      </c>
      <c r="B199" s="308" t="s">
        <v>4609</v>
      </c>
      <c r="C199" s="308" t="s">
        <v>2942</v>
      </c>
      <c r="D199" s="308" t="s">
        <v>4610</v>
      </c>
      <c r="E199" s="308" t="s">
        <v>3013</v>
      </c>
      <c r="F199" s="308"/>
      <c r="G199" s="308" t="s">
        <v>2965</v>
      </c>
      <c r="H199" s="308" t="s">
        <v>2947</v>
      </c>
      <c r="I199" s="308">
        <v>170.0</v>
      </c>
      <c r="J199" s="308">
        <v>0.0</v>
      </c>
      <c r="K199" s="308">
        <v>30.66</v>
      </c>
      <c r="L199" s="308">
        <v>170.0</v>
      </c>
      <c r="M199" s="308"/>
      <c r="N199" s="308">
        <v>0.0</v>
      </c>
      <c r="O199" s="308" t="s">
        <v>2948</v>
      </c>
      <c r="P199" s="308" t="s">
        <v>4610</v>
      </c>
      <c r="Q199" s="310">
        <v>1.0</v>
      </c>
      <c r="R199" s="308" t="s">
        <v>549</v>
      </c>
      <c r="S199" s="308">
        <v>170.0</v>
      </c>
      <c r="T199" s="311"/>
      <c r="U199" s="308"/>
      <c r="V199" s="308" t="b">
        <v>1</v>
      </c>
      <c r="W199" s="308" t="b">
        <v>1</v>
      </c>
      <c r="X199" s="308"/>
      <c r="Y199" s="308" t="s">
        <v>4611</v>
      </c>
      <c r="Z199" s="308" t="s">
        <v>4612</v>
      </c>
      <c r="AA199" s="308" t="s">
        <v>4612</v>
      </c>
      <c r="AB199" s="308"/>
      <c r="AC199" s="308"/>
      <c r="AD199" s="308" t="s">
        <v>4613</v>
      </c>
      <c r="AE199" s="308">
        <v>14049.0</v>
      </c>
      <c r="AF199" s="308" t="s">
        <v>3303</v>
      </c>
      <c r="AG199" s="308" t="s">
        <v>2955</v>
      </c>
      <c r="AH199" s="308">
        <v>3.801977241E9</v>
      </c>
      <c r="AI199" s="308" t="s">
        <v>4611</v>
      </c>
      <c r="AJ199" s="308" t="s">
        <v>4612</v>
      </c>
      <c r="AK199" s="308" t="s">
        <v>4612</v>
      </c>
      <c r="AL199" s="308"/>
      <c r="AM199" s="308"/>
      <c r="AN199" s="308" t="s">
        <v>4613</v>
      </c>
      <c r="AO199" s="308">
        <v>14049.0</v>
      </c>
      <c r="AP199" s="308" t="s">
        <v>3303</v>
      </c>
      <c r="AQ199" s="308" t="s">
        <v>2955</v>
      </c>
      <c r="AR199" s="308">
        <v>3.801977241E9</v>
      </c>
      <c r="AS199" s="311"/>
      <c r="AT199" s="311"/>
      <c r="AU199" s="311"/>
      <c r="AV199" s="308" t="s">
        <v>3009</v>
      </c>
      <c r="AW199" s="308">
        <v>4.7814371770695E13</v>
      </c>
      <c r="AX199" s="310">
        <v>0.0</v>
      </c>
      <c r="AY199" s="308" t="s">
        <v>2974</v>
      </c>
      <c r="AZ199" s="308">
        <v>0.0</v>
      </c>
      <c r="BA199" s="311"/>
      <c r="BB199" s="311"/>
      <c r="BC199" s="311"/>
      <c r="BD199" s="308">
        <v>7.671205724487E12</v>
      </c>
      <c r="BE199" s="311"/>
      <c r="BF199" s="311"/>
      <c r="BG199" s="308" t="s">
        <v>2958</v>
      </c>
      <c r="BH199" s="308">
        <v>0.0</v>
      </c>
      <c r="BI199" s="308" t="s">
        <v>2959</v>
      </c>
      <c r="BJ199" s="308">
        <v>30.66</v>
      </c>
      <c r="BK199" s="311"/>
      <c r="BL199" s="311"/>
      <c r="BM199" s="311"/>
      <c r="BN199" s="311"/>
      <c r="BO199" s="311"/>
      <c r="BP199" s="311"/>
      <c r="BQ199" s="311"/>
      <c r="BR199" s="311"/>
      <c r="BS199" s="308"/>
      <c r="BT199" s="311"/>
      <c r="BU199" s="311"/>
      <c r="BV199" s="308" t="s">
        <v>4614</v>
      </c>
      <c r="BW199" s="308" t="s">
        <v>4614</v>
      </c>
      <c r="BX199" s="308" t="s">
        <v>3009</v>
      </c>
      <c r="BY199" s="311"/>
      <c r="BZ199" s="311"/>
      <c r="CA199" s="308" t="s">
        <v>3009</v>
      </c>
      <c r="CB199" s="312" t="str">
        <f t="shared" si="1"/>
        <v>12/05/2026</v>
      </c>
      <c r="CC199" s="313">
        <f t="shared" si="2"/>
        <v>2026</v>
      </c>
      <c r="CD199" s="314">
        <f t="shared" si="3"/>
        <v>5</v>
      </c>
      <c r="CE199" s="314">
        <f t="shared" si="4"/>
        <v>1</v>
      </c>
      <c r="CF199" s="314">
        <f t="shared" si="5"/>
        <v>1</v>
      </c>
      <c r="CG199" s="314">
        <f t="shared" si="6"/>
        <v>-5</v>
      </c>
      <c r="CH199" s="315">
        <f>VLOOKUP(CL199,'PRODUCT_COGS&amp;PRICE'!A:E,5,false)</f>
        <v>36</v>
      </c>
      <c r="CI199" s="315">
        <f t="shared" si="7"/>
        <v>-6.283</v>
      </c>
      <c r="CJ199" s="316">
        <f t="shared" si="8"/>
        <v>0</v>
      </c>
      <c r="CK199" s="316">
        <f t="shared" si="9"/>
        <v>0</v>
      </c>
      <c r="CL199" s="314" t="str">
        <f>VLOOKUP(R199,PRODUCT_MAP!A:B,2,FALSE)</f>
        <v>Lea_Bag_Maxi_COCCO_BLACK</v>
      </c>
      <c r="CM199" s="314" t="str">
        <f>VLOOKUP(R199,PRODUCT_MAP!A:E,3,FALSE)</f>
        <v>Lea Bag Maxi</v>
      </c>
    </row>
    <row r="200" ht="22.5" customHeight="1">
      <c r="A200" s="308" t="s">
        <v>4615</v>
      </c>
      <c r="B200" s="308" t="s">
        <v>4616</v>
      </c>
      <c r="C200" s="308" t="s">
        <v>2942</v>
      </c>
      <c r="D200" s="308" t="s">
        <v>4617</v>
      </c>
      <c r="E200" s="308" t="s">
        <v>3013</v>
      </c>
      <c r="F200" s="308"/>
      <c r="G200" s="308" t="s">
        <v>2946</v>
      </c>
      <c r="H200" s="308" t="s">
        <v>2947</v>
      </c>
      <c r="I200" s="308">
        <v>72.0</v>
      </c>
      <c r="J200" s="308">
        <v>15.0</v>
      </c>
      <c r="K200" s="308">
        <v>15.68</v>
      </c>
      <c r="L200" s="308">
        <v>87.0</v>
      </c>
      <c r="M200" s="308" t="s">
        <v>3094</v>
      </c>
      <c r="N200" s="308">
        <v>8.0</v>
      </c>
      <c r="O200" s="308" t="s">
        <v>3298</v>
      </c>
      <c r="P200" s="308" t="s">
        <v>4618</v>
      </c>
      <c r="Q200" s="310">
        <v>1.0</v>
      </c>
      <c r="R200" s="308" t="s">
        <v>3920</v>
      </c>
      <c r="S200" s="308">
        <v>80.0</v>
      </c>
      <c r="T200" s="311"/>
      <c r="U200" s="308" t="s">
        <v>271</v>
      </c>
      <c r="V200" s="308" t="b">
        <v>1</v>
      </c>
      <c r="W200" s="308" t="b">
        <v>1</v>
      </c>
      <c r="X200" s="308"/>
      <c r="Y200" s="308" t="s">
        <v>4619</v>
      </c>
      <c r="Z200" s="308" t="s">
        <v>4620</v>
      </c>
      <c r="AA200" s="308" t="s">
        <v>4620</v>
      </c>
      <c r="AB200" s="308"/>
      <c r="AC200" s="308"/>
      <c r="AD200" s="308" t="s">
        <v>4621</v>
      </c>
      <c r="AE200" s="308">
        <v>8036.0</v>
      </c>
      <c r="AF200" s="308" t="s">
        <v>4622</v>
      </c>
      <c r="AG200" s="308" t="s">
        <v>4623</v>
      </c>
      <c r="AH200" s="308">
        <v>6.37081671E8</v>
      </c>
      <c r="AI200" s="308" t="s">
        <v>4619</v>
      </c>
      <c r="AJ200" s="308" t="s">
        <v>4620</v>
      </c>
      <c r="AK200" s="308" t="s">
        <v>4620</v>
      </c>
      <c r="AL200" s="308"/>
      <c r="AM200" s="308"/>
      <c r="AN200" s="308" t="s">
        <v>4621</v>
      </c>
      <c r="AO200" s="308">
        <v>8036.0</v>
      </c>
      <c r="AP200" s="308" t="s">
        <v>4622</v>
      </c>
      <c r="AQ200" s="308" t="s">
        <v>4623</v>
      </c>
      <c r="AR200" s="308">
        <v>6.37081671E8</v>
      </c>
      <c r="AS200" s="311"/>
      <c r="AT200" s="311"/>
      <c r="AU200" s="311"/>
      <c r="AV200" s="308" t="s">
        <v>3009</v>
      </c>
      <c r="AW200" s="308">
        <v>4.7815242842439E13</v>
      </c>
      <c r="AX200" s="310">
        <v>0.0</v>
      </c>
      <c r="AY200" s="308" t="s">
        <v>2974</v>
      </c>
      <c r="AZ200" s="308">
        <v>0.0</v>
      </c>
      <c r="BA200" s="311"/>
      <c r="BB200" s="311"/>
      <c r="BC200" s="311"/>
      <c r="BD200" s="308">
        <v>7.671677256007E12</v>
      </c>
      <c r="BE200" s="311"/>
      <c r="BF200" s="311"/>
      <c r="BG200" s="308" t="s">
        <v>2958</v>
      </c>
      <c r="BH200" s="308">
        <v>0.0</v>
      </c>
      <c r="BI200" s="308" t="s">
        <v>2959</v>
      </c>
      <c r="BJ200" s="308">
        <v>12.98</v>
      </c>
      <c r="BK200" s="311"/>
      <c r="BL200" s="311"/>
      <c r="BM200" s="311"/>
      <c r="BN200" s="311"/>
      <c r="BO200" s="311"/>
      <c r="BP200" s="311"/>
      <c r="BQ200" s="311"/>
      <c r="BR200" s="311"/>
      <c r="BS200" s="308"/>
      <c r="BT200" s="311"/>
      <c r="BU200" s="311"/>
      <c r="BV200" s="308" t="s">
        <v>4621</v>
      </c>
      <c r="BW200" s="308" t="s">
        <v>4621</v>
      </c>
      <c r="BX200" s="308" t="s">
        <v>3009</v>
      </c>
      <c r="BY200" s="311"/>
      <c r="BZ200" s="311"/>
      <c r="CA200" s="308" t="s">
        <v>3009</v>
      </c>
      <c r="CB200" s="312" t="str">
        <f t="shared" si="1"/>
        <v>12/05/2026</v>
      </c>
      <c r="CC200" s="313">
        <f t="shared" si="2"/>
        <v>2026</v>
      </c>
      <c r="CD200" s="314">
        <f t="shared" si="3"/>
        <v>5</v>
      </c>
      <c r="CE200" s="314">
        <f t="shared" si="4"/>
        <v>1</v>
      </c>
      <c r="CF200" s="314">
        <f t="shared" si="5"/>
        <v>1</v>
      </c>
      <c r="CG200" s="314">
        <f t="shared" si="6"/>
        <v>0</v>
      </c>
      <c r="CH200" s="315">
        <f>VLOOKUP(CL200,'PRODUCT_COGS&amp;PRICE'!A:E,5,false)</f>
        <v>19</v>
      </c>
      <c r="CI200" s="315">
        <f t="shared" si="7"/>
        <v>-3.3863</v>
      </c>
      <c r="CJ200" s="316">
        <f t="shared" si="8"/>
        <v>0</v>
      </c>
      <c r="CK200" s="316">
        <f t="shared" si="9"/>
        <v>8</v>
      </c>
      <c r="CL200" s="314" t="str">
        <f>VLOOKUP(R200,PRODUCT_MAP!A:B,2,FALSE)</f>
        <v>Agata_Bag_FLORAL_GREEN_EMBROIDERY</v>
      </c>
      <c r="CM200" s="314" t="str">
        <f>VLOOKUP(R200,PRODUCT_MAP!A:E,3,FALSE)</f>
        <v>Agata Bag</v>
      </c>
    </row>
    <row r="201" ht="22.5" customHeight="1">
      <c r="A201" s="308" t="s">
        <v>4624</v>
      </c>
      <c r="B201" s="308" t="s">
        <v>4625</v>
      </c>
      <c r="C201" s="308" t="s">
        <v>2942</v>
      </c>
      <c r="D201" s="308" t="s">
        <v>4626</v>
      </c>
      <c r="E201" s="308" t="s">
        <v>3013</v>
      </c>
      <c r="F201" s="308"/>
      <c r="G201" s="308" t="s">
        <v>2946</v>
      </c>
      <c r="H201" s="308" t="s">
        <v>2947</v>
      </c>
      <c r="I201" s="308">
        <v>81.0</v>
      </c>
      <c r="J201" s="308">
        <v>3.9</v>
      </c>
      <c r="K201" s="308">
        <v>15.31</v>
      </c>
      <c r="L201" s="308">
        <v>84.9</v>
      </c>
      <c r="M201" s="308" t="s">
        <v>3094</v>
      </c>
      <c r="N201" s="308">
        <v>9.0</v>
      </c>
      <c r="O201" s="308" t="s">
        <v>2948</v>
      </c>
      <c r="P201" s="308" t="s">
        <v>4627</v>
      </c>
      <c r="Q201" s="310">
        <v>1.0</v>
      </c>
      <c r="R201" s="308" t="s">
        <v>4628</v>
      </c>
      <c r="S201" s="308">
        <v>90.0</v>
      </c>
      <c r="T201" s="311"/>
      <c r="U201" s="308" t="s">
        <v>271</v>
      </c>
      <c r="V201" s="308" t="b">
        <v>1</v>
      </c>
      <c r="W201" s="308" t="b">
        <v>1</v>
      </c>
      <c r="X201" s="308"/>
      <c r="Y201" s="308" t="s">
        <v>4629</v>
      </c>
      <c r="Z201" s="308" t="s">
        <v>4630</v>
      </c>
      <c r="AA201" s="308" t="s">
        <v>4631</v>
      </c>
      <c r="AB201" s="308" t="s">
        <v>4632</v>
      </c>
      <c r="AC201" s="308"/>
      <c r="AD201" s="308" t="s">
        <v>3485</v>
      </c>
      <c r="AE201" s="308">
        <v>73100.0</v>
      </c>
      <c r="AF201" s="308" t="s">
        <v>3486</v>
      </c>
      <c r="AG201" s="308" t="s">
        <v>2955</v>
      </c>
      <c r="AH201" s="308">
        <v>3.343081235E9</v>
      </c>
      <c r="AI201" s="308" t="s">
        <v>4629</v>
      </c>
      <c r="AJ201" s="308" t="s">
        <v>4630</v>
      </c>
      <c r="AK201" s="308" t="s">
        <v>4631</v>
      </c>
      <c r="AL201" s="308" t="s">
        <v>4632</v>
      </c>
      <c r="AM201" s="308"/>
      <c r="AN201" s="308" t="s">
        <v>3485</v>
      </c>
      <c r="AO201" s="308">
        <v>73100.0</v>
      </c>
      <c r="AP201" s="308" t="s">
        <v>3486</v>
      </c>
      <c r="AQ201" s="308" t="s">
        <v>2955</v>
      </c>
      <c r="AR201" s="308">
        <v>3.343081235E9</v>
      </c>
      <c r="AS201" s="311"/>
      <c r="AT201" s="311"/>
      <c r="AU201" s="311"/>
      <c r="AV201" s="308" t="s">
        <v>2956</v>
      </c>
      <c r="AW201" s="308">
        <v>4.7817479192903E13</v>
      </c>
      <c r="AX201" s="310">
        <v>0.0</v>
      </c>
      <c r="AY201" s="308" t="s">
        <v>2974</v>
      </c>
      <c r="AZ201" s="308">
        <v>0.0</v>
      </c>
      <c r="BA201" s="311"/>
      <c r="BB201" s="311"/>
      <c r="BC201" s="311"/>
      <c r="BD201" s="308">
        <v>7.673387876679E12</v>
      </c>
      <c r="BE201" s="311"/>
      <c r="BF201" s="311"/>
      <c r="BG201" s="308" t="s">
        <v>2958</v>
      </c>
      <c r="BH201" s="308">
        <v>0.0</v>
      </c>
      <c r="BI201" s="308" t="s">
        <v>2959</v>
      </c>
      <c r="BJ201" s="308">
        <v>14.61</v>
      </c>
      <c r="BK201" s="311"/>
      <c r="BL201" s="311"/>
      <c r="BM201" s="311"/>
      <c r="BN201" s="311"/>
      <c r="BO201" s="311"/>
      <c r="BP201" s="311"/>
      <c r="BQ201" s="311"/>
      <c r="BR201" s="311"/>
      <c r="BS201" s="308"/>
      <c r="BT201" s="311"/>
      <c r="BU201" s="311"/>
      <c r="BV201" s="308" t="s">
        <v>3485</v>
      </c>
      <c r="BW201" s="308" t="s">
        <v>3485</v>
      </c>
      <c r="BX201" s="308" t="s">
        <v>2956</v>
      </c>
      <c r="BY201" s="311"/>
      <c r="BZ201" s="311"/>
      <c r="CA201" s="308" t="s">
        <v>2956</v>
      </c>
      <c r="CB201" s="312" t="str">
        <f t="shared" si="1"/>
        <v>12/05/2026</v>
      </c>
      <c r="CC201" s="313">
        <f t="shared" si="2"/>
        <v>2026</v>
      </c>
      <c r="CD201" s="314">
        <f t="shared" si="3"/>
        <v>5</v>
      </c>
      <c r="CE201" s="314">
        <f t="shared" si="4"/>
        <v>1</v>
      </c>
      <c r="CF201" s="314">
        <f t="shared" si="5"/>
        <v>1</v>
      </c>
      <c r="CG201" s="314">
        <f t="shared" si="6"/>
        <v>0</v>
      </c>
      <c r="CH201" s="315">
        <f>VLOOKUP(CL201,'PRODUCT_COGS&amp;PRICE'!A:E,5,false)</f>
        <v>19</v>
      </c>
      <c r="CI201" s="315">
        <f t="shared" si="7"/>
        <v>-1.8631</v>
      </c>
      <c r="CJ201" s="316">
        <f t="shared" si="8"/>
        <v>0</v>
      </c>
      <c r="CK201" s="316">
        <f t="shared" si="9"/>
        <v>9</v>
      </c>
      <c r="CL201" s="314" t="str">
        <f>VLOOKUP(R201,PRODUCT_MAP!A:B,2,FALSE)</f>
        <v>Agata_Bag_FLORAL_GREEN_EMBROIDERY</v>
      </c>
      <c r="CM201" s="314" t="str">
        <f>VLOOKUP(R201,PRODUCT_MAP!A:E,3,FALSE)</f>
        <v>Agata Bag</v>
      </c>
    </row>
    <row r="202" ht="22.5" customHeight="1">
      <c r="A202" s="308" t="s">
        <v>4633</v>
      </c>
      <c r="B202" s="308" t="s">
        <v>4634</v>
      </c>
      <c r="C202" s="308" t="s">
        <v>2942</v>
      </c>
      <c r="D202" s="308" t="s">
        <v>4635</v>
      </c>
      <c r="E202" s="308" t="s">
        <v>3013</v>
      </c>
      <c r="F202" s="308"/>
      <c r="G202" s="308" t="s">
        <v>2946</v>
      </c>
      <c r="H202" s="308" t="s">
        <v>2947</v>
      </c>
      <c r="I202" s="308">
        <v>170.0</v>
      </c>
      <c r="J202" s="308">
        <v>0.0</v>
      </c>
      <c r="K202" s="308">
        <v>30.66</v>
      </c>
      <c r="L202" s="308">
        <v>170.0</v>
      </c>
      <c r="M202" s="308"/>
      <c r="N202" s="308">
        <v>0.0</v>
      </c>
      <c r="O202" s="308" t="s">
        <v>2948</v>
      </c>
      <c r="P202" s="308" t="s">
        <v>4636</v>
      </c>
      <c r="Q202" s="310">
        <v>1.0</v>
      </c>
      <c r="R202" s="308" t="s">
        <v>549</v>
      </c>
      <c r="S202" s="308">
        <v>170.0</v>
      </c>
      <c r="T202" s="311"/>
      <c r="U202" s="308"/>
      <c r="V202" s="308" t="b">
        <v>1</v>
      </c>
      <c r="W202" s="308" t="b">
        <v>1</v>
      </c>
      <c r="X202" s="308"/>
      <c r="Y202" s="308" t="s">
        <v>4637</v>
      </c>
      <c r="Z202" s="308" t="s">
        <v>4638</v>
      </c>
      <c r="AA202" s="308" t="s">
        <v>4639</v>
      </c>
      <c r="AB202" s="308" t="s">
        <v>4640</v>
      </c>
      <c r="AC202" s="308"/>
      <c r="AD202" s="308" t="s">
        <v>23</v>
      </c>
      <c r="AE202" s="308">
        <v>20146.0</v>
      </c>
      <c r="AF202" s="308" t="s">
        <v>2954</v>
      </c>
      <c r="AG202" s="308" t="s">
        <v>2955</v>
      </c>
      <c r="AH202" s="308">
        <v>3.887787687E9</v>
      </c>
      <c r="AI202" s="308" t="s">
        <v>4637</v>
      </c>
      <c r="AJ202" s="308" t="s">
        <v>4638</v>
      </c>
      <c r="AK202" s="308" t="s">
        <v>4639</v>
      </c>
      <c r="AL202" s="308" t="s">
        <v>4640</v>
      </c>
      <c r="AM202" s="308"/>
      <c r="AN202" s="308" t="s">
        <v>23</v>
      </c>
      <c r="AO202" s="308">
        <v>20146.0</v>
      </c>
      <c r="AP202" s="308" t="s">
        <v>2954</v>
      </c>
      <c r="AQ202" s="308" t="s">
        <v>2955</v>
      </c>
      <c r="AR202" s="308">
        <v>3.887787687E9</v>
      </c>
      <c r="AS202" s="311"/>
      <c r="AT202" s="311"/>
      <c r="AU202" s="311"/>
      <c r="AV202" s="308" t="s">
        <v>2956</v>
      </c>
      <c r="AW202" s="308">
        <v>4.7820395315527E13</v>
      </c>
      <c r="AX202" s="310">
        <v>0.0</v>
      </c>
      <c r="AY202" s="308" t="s">
        <v>2974</v>
      </c>
      <c r="AZ202" s="308">
        <v>0.0</v>
      </c>
      <c r="BA202" s="311"/>
      <c r="BB202" s="311"/>
      <c r="BC202" s="311"/>
      <c r="BD202" s="308">
        <v>7.674674905415E12</v>
      </c>
      <c r="BE202" s="311"/>
      <c r="BF202" s="311"/>
      <c r="BG202" s="308" t="s">
        <v>2958</v>
      </c>
      <c r="BH202" s="308">
        <v>0.0</v>
      </c>
      <c r="BI202" s="308" t="s">
        <v>2959</v>
      </c>
      <c r="BJ202" s="308">
        <v>30.66</v>
      </c>
      <c r="BK202" s="311"/>
      <c r="BL202" s="311"/>
      <c r="BM202" s="311"/>
      <c r="BN202" s="311"/>
      <c r="BO202" s="311"/>
      <c r="BP202" s="311"/>
      <c r="BQ202" s="311"/>
      <c r="BR202" s="311"/>
      <c r="BS202" s="308"/>
      <c r="BT202" s="311"/>
      <c r="BU202" s="311"/>
      <c r="BV202" s="308" t="s">
        <v>23</v>
      </c>
      <c r="BW202" s="308" t="s">
        <v>23</v>
      </c>
      <c r="BX202" s="308" t="s">
        <v>2956</v>
      </c>
      <c r="BY202" s="311"/>
      <c r="BZ202" s="311"/>
      <c r="CA202" s="308" t="s">
        <v>2956</v>
      </c>
      <c r="CB202" s="312" t="str">
        <f t="shared" si="1"/>
        <v>13/05/2026</v>
      </c>
      <c r="CC202" s="313">
        <f t="shared" si="2"/>
        <v>2026</v>
      </c>
      <c r="CD202" s="314">
        <f t="shared" si="3"/>
        <v>5</v>
      </c>
      <c r="CE202" s="314">
        <f t="shared" si="4"/>
        <v>1</v>
      </c>
      <c r="CF202" s="314">
        <f t="shared" si="5"/>
        <v>1</v>
      </c>
      <c r="CG202" s="314">
        <f t="shared" si="6"/>
        <v>-5</v>
      </c>
      <c r="CH202" s="315">
        <f>VLOOKUP(CL202,'PRODUCT_COGS&amp;PRICE'!A:E,5,false)</f>
        <v>36</v>
      </c>
      <c r="CI202" s="315">
        <f t="shared" si="7"/>
        <v>-3.48</v>
      </c>
      <c r="CJ202" s="316">
        <f t="shared" si="8"/>
        <v>0</v>
      </c>
      <c r="CK202" s="316">
        <f t="shared" si="9"/>
        <v>0</v>
      </c>
      <c r="CL202" s="314" t="str">
        <f>VLOOKUP(R202,PRODUCT_MAP!A:B,2,FALSE)</f>
        <v>Lea_Bag_Maxi_COCCO_BLACK</v>
      </c>
      <c r="CM202" s="314" t="str">
        <f>VLOOKUP(R202,PRODUCT_MAP!A:E,3,FALSE)</f>
        <v>Lea Bag Maxi</v>
      </c>
    </row>
    <row r="203" ht="22.5" customHeight="1">
      <c r="A203" s="308" t="s">
        <v>4641</v>
      </c>
      <c r="B203" s="308" t="s">
        <v>4642</v>
      </c>
      <c r="C203" s="308" t="s">
        <v>2942</v>
      </c>
      <c r="D203" s="308" t="s">
        <v>4643</v>
      </c>
      <c r="E203" s="308" t="s">
        <v>3013</v>
      </c>
      <c r="F203" s="308"/>
      <c r="G203" s="308" t="s">
        <v>2946</v>
      </c>
      <c r="H203" s="308" t="s">
        <v>2947</v>
      </c>
      <c r="I203" s="308">
        <v>189.0</v>
      </c>
      <c r="J203" s="308">
        <v>0.0</v>
      </c>
      <c r="K203" s="308">
        <v>34.09</v>
      </c>
      <c r="L203" s="308">
        <v>189.0</v>
      </c>
      <c r="M203" s="308" t="s">
        <v>3094</v>
      </c>
      <c r="N203" s="308">
        <v>21.0</v>
      </c>
      <c r="O203" s="308" t="s">
        <v>2948</v>
      </c>
      <c r="P203" s="308" t="s">
        <v>4644</v>
      </c>
      <c r="Q203" s="310">
        <v>1.0</v>
      </c>
      <c r="R203" s="308" t="s">
        <v>4536</v>
      </c>
      <c r="S203" s="308">
        <v>90.0</v>
      </c>
      <c r="T203" s="311"/>
      <c r="U203" s="308" t="s">
        <v>4537</v>
      </c>
      <c r="V203" s="308" t="b">
        <v>1</v>
      </c>
      <c r="W203" s="308" t="b">
        <v>1</v>
      </c>
      <c r="X203" s="308"/>
      <c r="Y203" s="308" t="s">
        <v>4645</v>
      </c>
      <c r="Z203" s="308" t="s">
        <v>4646</v>
      </c>
      <c r="AA203" s="308" t="s">
        <v>4646</v>
      </c>
      <c r="AB203" s="308"/>
      <c r="AC203" s="308"/>
      <c r="AD203" s="308" t="s">
        <v>3151</v>
      </c>
      <c r="AE203" s="308">
        <v>28100.0</v>
      </c>
      <c r="AF203" s="308" t="s">
        <v>1628</v>
      </c>
      <c r="AG203" s="308" t="s">
        <v>2955</v>
      </c>
      <c r="AH203" s="308">
        <v>3.483475595E9</v>
      </c>
      <c r="AI203" s="308" t="s">
        <v>4645</v>
      </c>
      <c r="AJ203" s="308" t="s">
        <v>4646</v>
      </c>
      <c r="AK203" s="308" t="s">
        <v>4646</v>
      </c>
      <c r="AL203" s="308"/>
      <c r="AM203" s="308"/>
      <c r="AN203" s="308" t="s">
        <v>3151</v>
      </c>
      <c r="AO203" s="308">
        <v>28100.0</v>
      </c>
      <c r="AP203" s="308" t="s">
        <v>1628</v>
      </c>
      <c r="AQ203" s="308" t="s">
        <v>2955</v>
      </c>
      <c r="AR203" s="308">
        <v>3.483475595E9</v>
      </c>
      <c r="AS203" s="311"/>
      <c r="AT203" s="311"/>
      <c r="AU203" s="311"/>
      <c r="AV203" s="308" t="s">
        <v>2956</v>
      </c>
      <c r="AW203" s="308">
        <v>4.7823850963271E13</v>
      </c>
      <c r="AX203" s="310">
        <v>0.0</v>
      </c>
      <c r="AY203" s="308" t="s">
        <v>2974</v>
      </c>
      <c r="AZ203" s="308">
        <v>0.0</v>
      </c>
      <c r="BA203" s="311"/>
      <c r="BB203" s="311"/>
      <c r="BC203" s="311"/>
      <c r="BD203" s="308">
        <v>7.676806136135E12</v>
      </c>
      <c r="BE203" s="311"/>
      <c r="BF203" s="311"/>
      <c r="BG203" s="308" t="s">
        <v>2958</v>
      </c>
      <c r="BH203" s="308">
        <v>0.0</v>
      </c>
      <c r="BI203" s="308" t="s">
        <v>2959</v>
      </c>
      <c r="BJ203" s="308">
        <v>14.61</v>
      </c>
      <c r="BK203" s="311"/>
      <c r="BL203" s="311"/>
      <c r="BM203" s="311"/>
      <c r="BN203" s="311"/>
      <c r="BO203" s="311"/>
      <c r="BP203" s="311"/>
      <c r="BQ203" s="311"/>
      <c r="BR203" s="311"/>
      <c r="BS203" s="308"/>
      <c r="BT203" s="311"/>
      <c r="BU203" s="311"/>
      <c r="BV203" s="308" t="s">
        <v>3151</v>
      </c>
      <c r="BW203" s="308" t="s">
        <v>3151</v>
      </c>
      <c r="BX203" s="308" t="s">
        <v>2956</v>
      </c>
      <c r="BY203" s="311"/>
      <c r="BZ203" s="311"/>
      <c r="CA203" s="308" t="s">
        <v>2956</v>
      </c>
      <c r="CB203" s="312" t="str">
        <f t="shared" si="1"/>
        <v>14/05/2026</v>
      </c>
      <c r="CC203" s="313">
        <f t="shared" si="2"/>
        <v>2026</v>
      </c>
      <c r="CD203" s="314">
        <f t="shared" si="3"/>
        <v>5</v>
      </c>
      <c r="CE203" s="314">
        <f t="shared" si="4"/>
        <v>1</v>
      </c>
      <c r="CF203" s="314">
        <f t="shared" si="5"/>
        <v>1</v>
      </c>
      <c r="CG203" s="314">
        <f t="shared" si="6"/>
        <v>-5</v>
      </c>
      <c r="CH203" s="315">
        <f>VLOOKUP(CL203,'PRODUCT_COGS&amp;PRICE'!A:E,5,false)</f>
        <v>16.5</v>
      </c>
      <c r="CI203" s="315">
        <f t="shared" si="7"/>
        <v>-7.432</v>
      </c>
      <c r="CJ203" s="316">
        <f t="shared" si="8"/>
        <v>0</v>
      </c>
      <c r="CK203" s="316">
        <f t="shared" si="9"/>
        <v>21</v>
      </c>
      <c r="CL203" s="314" t="str">
        <f>VLOOKUP(R203,PRODUCT_MAP!A:B,2,FALSE)</f>
        <v>Annie_Bag_PAILLETTES_GREY</v>
      </c>
      <c r="CM203" s="314" t="str">
        <f>VLOOKUP(R203,PRODUCT_MAP!A:E,3,FALSE)</f>
        <v>Annie Bag paillettes</v>
      </c>
    </row>
    <row r="204" ht="22.5" customHeight="1">
      <c r="A204" s="308" t="s">
        <v>4641</v>
      </c>
      <c r="B204" s="308" t="s">
        <v>4642</v>
      </c>
      <c r="C204" s="308" t="s">
        <v>2942</v>
      </c>
      <c r="D204" s="308" t="s">
        <v>4643</v>
      </c>
      <c r="E204" s="308" t="s">
        <v>3013</v>
      </c>
      <c r="F204" s="308"/>
      <c r="G204" s="308" t="s">
        <v>2946</v>
      </c>
      <c r="H204" s="308" t="s">
        <v>2947</v>
      </c>
      <c r="I204" s="308">
        <v>189.0</v>
      </c>
      <c r="J204" s="308">
        <v>0.0</v>
      </c>
      <c r="K204" s="308">
        <v>34.09</v>
      </c>
      <c r="L204" s="308">
        <v>189.0</v>
      </c>
      <c r="M204" s="308" t="s">
        <v>3094</v>
      </c>
      <c r="N204" s="308">
        <v>21.0</v>
      </c>
      <c r="O204" s="308" t="s">
        <v>2948</v>
      </c>
      <c r="P204" s="308" t="s">
        <v>4644</v>
      </c>
      <c r="Q204" s="310">
        <v>1.0</v>
      </c>
      <c r="R204" s="308" t="s">
        <v>509</v>
      </c>
      <c r="S204" s="308">
        <v>120.0</v>
      </c>
      <c r="T204" s="311"/>
      <c r="U204" s="308" t="s">
        <v>161</v>
      </c>
      <c r="V204" s="308" t="b">
        <v>1</v>
      </c>
      <c r="W204" s="308" t="b">
        <v>1</v>
      </c>
      <c r="X204" s="308"/>
      <c r="Y204" s="308" t="s">
        <v>4645</v>
      </c>
      <c r="Z204" s="308" t="s">
        <v>4646</v>
      </c>
      <c r="AA204" s="308" t="s">
        <v>4646</v>
      </c>
      <c r="AB204" s="308"/>
      <c r="AC204" s="308"/>
      <c r="AD204" s="308" t="s">
        <v>3151</v>
      </c>
      <c r="AE204" s="308">
        <v>28100.0</v>
      </c>
      <c r="AF204" s="308" t="s">
        <v>1628</v>
      </c>
      <c r="AG204" s="308" t="s">
        <v>2955</v>
      </c>
      <c r="AH204" s="308">
        <v>3.483475595E9</v>
      </c>
      <c r="AI204" s="308" t="s">
        <v>4645</v>
      </c>
      <c r="AJ204" s="308" t="s">
        <v>4646</v>
      </c>
      <c r="AK204" s="308" t="s">
        <v>4646</v>
      </c>
      <c r="AL204" s="308"/>
      <c r="AM204" s="308"/>
      <c r="AN204" s="308" t="s">
        <v>3151</v>
      </c>
      <c r="AO204" s="308">
        <v>28100.0</v>
      </c>
      <c r="AP204" s="308" t="s">
        <v>1628</v>
      </c>
      <c r="AQ204" s="308" t="s">
        <v>2955</v>
      </c>
      <c r="AR204" s="308">
        <v>3.483475595E9</v>
      </c>
      <c r="AS204" s="311"/>
      <c r="AT204" s="311"/>
      <c r="AU204" s="311"/>
      <c r="AV204" s="308" t="s">
        <v>2956</v>
      </c>
      <c r="AW204" s="308">
        <v>4.7823850963271E13</v>
      </c>
      <c r="AX204" s="310">
        <v>0.0</v>
      </c>
      <c r="AY204" s="308" t="s">
        <v>2974</v>
      </c>
      <c r="AZ204" s="308">
        <v>0.0</v>
      </c>
      <c r="BA204" s="311"/>
      <c r="BB204" s="311"/>
      <c r="BC204" s="311"/>
      <c r="BD204" s="308">
        <v>7.676806136135E12</v>
      </c>
      <c r="BE204" s="311"/>
      <c r="BF204" s="311"/>
      <c r="BG204" s="308" t="s">
        <v>2958</v>
      </c>
      <c r="BH204" s="308">
        <v>0.0</v>
      </c>
      <c r="BI204" s="308" t="s">
        <v>2959</v>
      </c>
      <c r="BJ204" s="308">
        <v>19.48</v>
      </c>
      <c r="BK204" s="311"/>
      <c r="BL204" s="311"/>
      <c r="BM204" s="311"/>
      <c r="BN204" s="311"/>
      <c r="BO204" s="311"/>
      <c r="BP204" s="311"/>
      <c r="BQ204" s="311"/>
      <c r="BR204" s="311"/>
      <c r="BS204" s="308"/>
      <c r="BT204" s="311"/>
      <c r="BU204" s="311"/>
      <c r="BV204" s="308" t="s">
        <v>3151</v>
      </c>
      <c r="BW204" s="308" t="s">
        <v>3151</v>
      </c>
      <c r="BX204" s="308" t="s">
        <v>2956</v>
      </c>
      <c r="BY204" s="311"/>
      <c r="BZ204" s="311"/>
      <c r="CA204" s="308" t="s">
        <v>2956</v>
      </c>
      <c r="CB204" s="312" t="str">
        <f t="shared" si="1"/>
        <v>14/05/2026</v>
      </c>
      <c r="CC204" s="313">
        <f t="shared" si="2"/>
        <v>2026</v>
      </c>
      <c r="CD204" s="314">
        <f t="shared" si="3"/>
        <v>5</v>
      </c>
      <c r="CE204" s="314">
        <f t="shared" si="4"/>
        <v>0</v>
      </c>
      <c r="CF204" s="314">
        <f t="shared" si="5"/>
        <v>1</v>
      </c>
      <c r="CG204" s="314">
        <f t="shared" si="6"/>
        <v>-5</v>
      </c>
      <c r="CH204" s="315">
        <f>VLOOKUP(CL204,'PRODUCT_COGS&amp;PRICE'!A:E,5,false)</f>
        <v>30.33</v>
      </c>
      <c r="CI204" s="315">
        <f t="shared" si="7"/>
        <v>0</v>
      </c>
      <c r="CJ204" s="316">
        <f t="shared" si="8"/>
        <v>0</v>
      </c>
      <c r="CK204" s="316">
        <f t="shared" si="9"/>
        <v>21</v>
      </c>
      <c r="CL204" s="314" t="str">
        <f>VLOOKUP(R204,PRODUCT_MAP!A:B,2,FALSE)</f>
        <v>Lea_Bag_COCCO_BLACK</v>
      </c>
      <c r="CM204" s="314" t="str">
        <f>VLOOKUP(R204,PRODUCT_MAP!A:E,3,FALSE)</f>
        <v>Lea Bag</v>
      </c>
    </row>
    <row r="205" ht="22.5" customHeight="1">
      <c r="A205" s="308" t="s">
        <v>4647</v>
      </c>
      <c r="B205" s="308" t="s">
        <v>4648</v>
      </c>
      <c r="C205" s="308" t="s">
        <v>2942</v>
      </c>
      <c r="D205" s="308" t="s">
        <v>4649</v>
      </c>
      <c r="E205" s="308" t="s">
        <v>3013</v>
      </c>
      <c r="F205" s="308"/>
      <c r="G205" s="308" t="s">
        <v>2946</v>
      </c>
      <c r="H205" s="308" t="s">
        <v>2947</v>
      </c>
      <c r="I205" s="308">
        <v>135.0</v>
      </c>
      <c r="J205" s="308">
        <v>0.0</v>
      </c>
      <c r="K205" s="308">
        <v>24.34</v>
      </c>
      <c r="L205" s="308">
        <v>135.0</v>
      </c>
      <c r="M205" s="308" t="s">
        <v>3094</v>
      </c>
      <c r="N205" s="308">
        <v>15.0</v>
      </c>
      <c r="O205" s="308" t="s">
        <v>2948</v>
      </c>
      <c r="P205" s="308" t="s">
        <v>4650</v>
      </c>
      <c r="Q205" s="310">
        <v>1.0</v>
      </c>
      <c r="R205" s="308" t="s">
        <v>3214</v>
      </c>
      <c r="S205" s="308">
        <v>150.0</v>
      </c>
      <c r="T205" s="311"/>
      <c r="U205" s="308" t="s">
        <v>229</v>
      </c>
      <c r="V205" s="308" t="b">
        <v>1</v>
      </c>
      <c r="W205" s="308" t="b">
        <v>1</v>
      </c>
      <c r="X205" s="308"/>
      <c r="Y205" s="308" t="s">
        <v>4651</v>
      </c>
      <c r="Z205" s="308" t="s">
        <v>4652</v>
      </c>
      <c r="AA205" s="308" t="s">
        <v>4652</v>
      </c>
      <c r="AB205" s="308"/>
      <c r="AC205" s="308"/>
      <c r="AD205" s="308" t="s">
        <v>4653</v>
      </c>
      <c r="AE205" s="308">
        <v>10070.0</v>
      </c>
      <c r="AF205" s="308" t="s">
        <v>3654</v>
      </c>
      <c r="AG205" s="308" t="s">
        <v>2955</v>
      </c>
      <c r="AH205" s="318" t="s">
        <v>4654</v>
      </c>
      <c r="AI205" s="308" t="s">
        <v>4651</v>
      </c>
      <c r="AJ205" s="308" t="s">
        <v>4655</v>
      </c>
      <c r="AK205" s="308" t="s">
        <v>4655</v>
      </c>
      <c r="AL205" s="308"/>
      <c r="AM205" s="308"/>
      <c r="AN205" s="308" t="s">
        <v>4653</v>
      </c>
      <c r="AO205" s="308">
        <v>10070.0</v>
      </c>
      <c r="AP205" s="308" t="s">
        <v>3654</v>
      </c>
      <c r="AQ205" s="308" t="s">
        <v>2955</v>
      </c>
      <c r="AR205" s="318" t="s">
        <v>4654</v>
      </c>
      <c r="AS205" s="311"/>
      <c r="AT205" s="311"/>
      <c r="AU205" s="311"/>
      <c r="AV205" s="308" t="s">
        <v>2956</v>
      </c>
      <c r="AW205" s="308">
        <v>4.7824676815175E13</v>
      </c>
      <c r="AX205" s="310">
        <v>0.0</v>
      </c>
      <c r="AY205" s="308" t="s">
        <v>2974</v>
      </c>
      <c r="AZ205" s="308">
        <v>0.0</v>
      </c>
      <c r="BA205" s="311"/>
      <c r="BB205" s="311"/>
      <c r="BC205" s="311"/>
      <c r="BD205" s="308">
        <v>7.677212164423E12</v>
      </c>
      <c r="BE205" s="311"/>
      <c r="BF205" s="311"/>
      <c r="BG205" s="308" t="s">
        <v>2958</v>
      </c>
      <c r="BH205" s="308">
        <v>0.0</v>
      </c>
      <c r="BI205" s="308" t="s">
        <v>2959</v>
      </c>
      <c r="BJ205" s="308">
        <v>24.34</v>
      </c>
      <c r="BK205" s="311"/>
      <c r="BL205" s="311"/>
      <c r="BM205" s="311"/>
      <c r="BN205" s="311"/>
      <c r="BO205" s="311"/>
      <c r="BP205" s="311"/>
      <c r="BQ205" s="311"/>
      <c r="BR205" s="311"/>
      <c r="BS205" s="308"/>
      <c r="BT205" s="311"/>
      <c r="BU205" s="311"/>
      <c r="BV205" s="308" t="s">
        <v>3655</v>
      </c>
      <c r="BW205" s="308" t="s">
        <v>3655</v>
      </c>
      <c r="BX205" s="308" t="s">
        <v>2956</v>
      </c>
      <c r="BY205" s="311"/>
      <c r="BZ205" s="311"/>
      <c r="CA205" s="308" t="s">
        <v>2956</v>
      </c>
      <c r="CB205" s="312" t="str">
        <f t="shared" si="1"/>
        <v>14/05/2026</v>
      </c>
      <c r="CC205" s="313">
        <f t="shared" si="2"/>
        <v>2026</v>
      </c>
      <c r="CD205" s="314">
        <f t="shared" si="3"/>
        <v>5</v>
      </c>
      <c r="CE205" s="314">
        <f t="shared" si="4"/>
        <v>1</v>
      </c>
      <c r="CF205" s="314">
        <f t="shared" si="5"/>
        <v>1</v>
      </c>
      <c r="CG205" s="314">
        <f t="shared" si="6"/>
        <v>-5</v>
      </c>
      <c r="CH205" s="315">
        <f>VLOOKUP(CL205,'PRODUCT_COGS&amp;PRICE'!A:E,5,false)</f>
        <v>33</v>
      </c>
      <c r="CI205" s="315">
        <f t="shared" si="7"/>
        <v>-2.815</v>
      </c>
      <c r="CJ205" s="316">
        <f t="shared" si="8"/>
        <v>0</v>
      </c>
      <c r="CK205" s="316">
        <f t="shared" si="9"/>
        <v>15</v>
      </c>
      <c r="CL205" s="314" t="str">
        <f>VLOOKUP(R205,PRODUCT_MAP!A:B,2,FALSE)</f>
        <v>Lea_Bag_ZEBRA</v>
      </c>
      <c r="CM205" s="314" t="str">
        <f>VLOOKUP(R205,PRODUCT_MAP!A:E,3,FALSE)</f>
        <v>Lea Bag</v>
      </c>
    </row>
    <row r="206" ht="22.5" customHeight="1">
      <c r="A206" s="308" t="s">
        <v>4656</v>
      </c>
      <c r="B206" s="308" t="s">
        <v>4657</v>
      </c>
      <c r="C206" s="308" t="s">
        <v>2942</v>
      </c>
      <c r="D206" s="308" t="s">
        <v>4658</v>
      </c>
      <c r="E206" s="308" t="s">
        <v>3013</v>
      </c>
      <c r="F206" s="308"/>
      <c r="G206" s="308" t="s">
        <v>2946</v>
      </c>
      <c r="H206" s="308" t="s">
        <v>2947</v>
      </c>
      <c r="I206" s="308">
        <v>135.0</v>
      </c>
      <c r="J206" s="308">
        <v>0.0</v>
      </c>
      <c r="K206" s="308">
        <v>24.34</v>
      </c>
      <c r="L206" s="308">
        <v>135.0</v>
      </c>
      <c r="M206" s="308" t="s">
        <v>3094</v>
      </c>
      <c r="N206" s="308">
        <v>15.0</v>
      </c>
      <c r="O206" s="308" t="s">
        <v>2948</v>
      </c>
      <c r="P206" s="308" t="s">
        <v>4659</v>
      </c>
      <c r="Q206" s="310">
        <v>1.0</v>
      </c>
      <c r="R206" s="308" t="s">
        <v>3106</v>
      </c>
      <c r="S206" s="308">
        <v>150.0</v>
      </c>
      <c r="T206" s="311"/>
      <c r="U206" s="308" t="s">
        <v>3249</v>
      </c>
      <c r="V206" s="308" t="b">
        <v>1</v>
      </c>
      <c r="W206" s="308" t="b">
        <v>1</v>
      </c>
      <c r="X206" s="308"/>
      <c r="Y206" s="308" t="s">
        <v>4660</v>
      </c>
      <c r="Z206" s="308" t="s">
        <v>4661</v>
      </c>
      <c r="AA206" s="308" t="s">
        <v>4662</v>
      </c>
      <c r="AB206" s="308" t="s">
        <v>4663</v>
      </c>
      <c r="AC206" s="308"/>
      <c r="AD206" s="308" t="s">
        <v>4664</v>
      </c>
      <c r="AE206" s="308">
        <v>89123.0</v>
      </c>
      <c r="AF206" s="308" t="s">
        <v>4665</v>
      </c>
      <c r="AG206" s="308" t="s">
        <v>2955</v>
      </c>
      <c r="AH206" s="308">
        <v>3.466249642E9</v>
      </c>
      <c r="AI206" s="308" t="s">
        <v>4660</v>
      </c>
      <c r="AJ206" s="308" t="s">
        <v>4661</v>
      </c>
      <c r="AK206" s="308" t="s">
        <v>4662</v>
      </c>
      <c r="AL206" s="308" t="s">
        <v>4663</v>
      </c>
      <c r="AM206" s="308"/>
      <c r="AN206" s="308" t="s">
        <v>4664</v>
      </c>
      <c r="AO206" s="308">
        <v>89123.0</v>
      </c>
      <c r="AP206" s="308" t="s">
        <v>4665</v>
      </c>
      <c r="AQ206" s="308" t="s">
        <v>2955</v>
      </c>
      <c r="AR206" s="308">
        <v>3.466249642E9</v>
      </c>
      <c r="AS206" s="311"/>
      <c r="AT206" s="311"/>
      <c r="AU206" s="311"/>
      <c r="AV206" s="308" t="s">
        <v>3009</v>
      </c>
      <c r="AW206" s="308">
        <v>4.7826494325063E13</v>
      </c>
      <c r="AX206" s="310">
        <v>0.0</v>
      </c>
      <c r="AY206" s="308" t="s">
        <v>2974</v>
      </c>
      <c r="AZ206" s="308">
        <v>0.0</v>
      </c>
      <c r="BA206" s="311"/>
      <c r="BB206" s="311"/>
      <c r="BC206" s="311"/>
      <c r="BD206" s="308">
        <v>7.678158340423E12</v>
      </c>
      <c r="BE206" s="311"/>
      <c r="BF206" s="311"/>
      <c r="BG206" s="308" t="s">
        <v>2958</v>
      </c>
      <c r="BH206" s="308">
        <v>0.0</v>
      </c>
      <c r="BI206" s="308" t="s">
        <v>2959</v>
      </c>
      <c r="BJ206" s="308">
        <v>24.34</v>
      </c>
      <c r="BK206" s="311"/>
      <c r="BL206" s="311"/>
      <c r="BM206" s="311"/>
      <c r="BN206" s="311"/>
      <c r="BO206" s="311"/>
      <c r="BP206" s="311"/>
      <c r="BQ206" s="311"/>
      <c r="BR206" s="311"/>
      <c r="BS206" s="308"/>
      <c r="BT206" s="311"/>
      <c r="BU206" s="311"/>
      <c r="BV206" s="308" t="s">
        <v>4664</v>
      </c>
      <c r="BW206" s="308" t="s">
        <v>4664</v>
      </c>
      <c r="BX206" s="308" t="s">
        <v>3009</v>
      </c>
      <c r="BY206" s="311"/>
      <c r="BZ206" s="311"/>
      <c r="CA206" s="308" t="s">
        <v>3009</v>
      </c>
      <c r="CB206" s="312" t="str">
        <f t="shared" si="1"/>
        <v>14/05/2026</v>
      </c>
      <c r="CC206" s="313">
        <f t="shared" si="2"/>
        <v>2026</v>
      </c>
      <c r="CD206" s="314">
        <f t="shared" si="3"/>
        <v>5</v>
      </c>
      <c r="CE206" s="314">
        <f t="shared" si="4"/>
        <v>1</v>
      </c>
      <c r="CF206" s="314">
        <f t="shared" si="5"/>
        <v>1</v>
      </c>
      <c r="CG206" s="314">
        <f t="shared" si="6"/>
        <v>-5</v>
      </c>
      <c r="CH206" s="315">
        <f>VLOOKUP(CL206,'PRODUCT_COGS&amp;PRICE'!A:E,5,false)</f>
        <v>30.33</v>
      </c>
      <c r="CI206" s="315">
        <f t="shared" si="7"/>
        <v>-5.0615</v>
      </c>
      <c r="CJ206" s="316">
        <f t="shared" si="8"/>
        <v>0</v>
      </c>
      <c r="CK206" s="316">
        <f t="shared" si="9"/>
        <v>15</v>
      </c>
      <c r="CL206" s="314" t="str">
        <f>VLOOKUP(R206,PRODUCT_MAP!A:B,2,FALSE)</f>
        <v>Lea_Bag_LEOPARDO_SAVANA</v>
      </c>
      <c r="CM206" s="314" t="str">
        <f>VLOOKUP(R206,PRODUCT_MAP!A:E,3,FALSE)</f>
        <v>Lea Bag</v>
      </c>
    </row>
    <row r="207" ht="22.5" customHeight="1">
      <c r="A207" s="308" t="s">
        <v>4666</v>
      </c>
      <c r="B207" s="308" t="s">
        <v>4667</v>
      </c>
      <c r="C207" s="308" t="s">
        <v>2942</v>
      </c>
      <c r="D207" s="308" t="s">
        <v>4668</v>
      </c>
      <c r="E207" s="308" t="s">
        <v>2944</v>
      </c>
      <c r="F207" s="308" t="s">
        <v>4669</v>
      </c>
      <c r="G207" s="308" t="s">
        <v>2946</v>
      </c>
      <c r="H207" s="308" t="s">
        <v>2947</v>
      </c>
      <c r="I207" s="308">
        <v>80.0</v>
      </c>
      <c r="J207" s="308">
        <v>3.9</v>
      </c>
      <c r="K207" s="308">
        <v>15.13</v>
      </c>
      <c r="L207" s="308">
        <v>83.9</v>
      </c>
      <c r="M207" s="308"/>
      <c r="N207" s="308">
        <v>0.0</v>
      </c>
      <c r="O207" s="308" t="s">
        <v>2948</v>
      </c>
      <c r="P207" s="308" t="s">
        <v>4670</v>
      </c>
      <c r="Q207" s="310">
        <v>1.0</v>
      </c>
      <c r="R207" s="308" t="s">
        <v>3876</v>
      </c>
      <c r="S207" s="308">
        <v>80.0</v>
      </c>
      <c r="T207" s="311"/>
      <c r="U207" s="308" t="s">
        <v>273</v>
      </c>
      <c r="V207" s="308" t="b">
        <v>1</v>
      </c>
      <c r="W207" s="308" t="b">
        <v>1</v>
      </c>
      <c r="X207" s="308" t="s">
        <v>2944</v>
      </c>
      <c r="Y207" s="308" t="s">
        <v>4671</v>
      </c>
      <c r="Z207" s="308" t="s">
        <v>4672</v>
      </c>
      <c r="AA207" s="308" t="s">
        <v>4672</v>
      </c>
      <c r="AB207" s="308"/>
      <c r="AC207" s="308"/>
      <c r="AD207" s="308" t="s">
        <v>4673</v>
      </c>
      <c r="AE207" s="308">
        <v>65124.0</v>
      </c>
      <c r="AF207" s="308" t="s">
        <v>4674</v>
      </c>
      <c r="AG207" s="308" t="s">
        <v>2955</v>
      </c>
      <c r="AH207" s="308">
        <v>3.385766623E9</v>
      </c>
      <c r="AI207" s="308" t="s">
        <v>4671</v>
      </c>
      <c r="AJ207" s="308" t="s">
        <v>4672</v>
      </c>
      <c r="AK207" s="308" t="s">
        <v>4672</v>
      </c>
      <c r="AL207" s="308"/>
      <c r="AM207" s="308"/>
      <c r="AN207" s="308" t="s">
        <v>4673</v>
      </c>
      <c r="AO207" s="308">
        <v>65124.0</v>
      </c>
      <c r="AP207" s="308" t="s">
        <v>4674</v>
      </c>
      <c r="AQ207" s="308" t="s">
        <v>2955</v>
      </c>
      <c r="AR207" s="308">
        <v>3.385766623E9</v>
      </c>
      <c r="AS207" s="311"/>
      <c r="AT207" s="311"/>
      <c r="AU207" s="311"/>
      <c r="AV207" s="308" t="s">
        <v>3009</v>
      </c>
      <c r="AW207" s="308">
        <v>4.7828216906055E13</v>
      </c>
      <c r="AX207" s="310">
        <v>0.0</v>
      </c>
      <c r="AY207" s="308" t="s">
        <v>2974</v>
      </c>
      <c r="AZ207" s="308">
        <v>0.0</v>
      </c>
      <c r="BA207" s="311"/>
      <c r="BB207" s="311"/>
      <c r="BC207" s="311"/>
      <c r="BD207" s="308">
        <v>7.679466373447E12</v>
      </c>
      <c r="BE207" s="311"/>
      <c r="BF207" s="311"/>
      <c r="BG207" s="308" t="s">
        <v>2958</v>
      </c>
      <c r="BH207" s="308">
        <v>0.0</v>
      </c>
      <c r="BI207" s="308" t="s">
        <v>2959</v>
      </c>
      <c r="BJ207" s="308">
        <v>14.43</v>
      </c>
      <c r="BK207" s="311"/>
      <c r="BL207" s="311"/>
      <c r="BM207" s="311"/>
      <c r="BN207" s="311"/>
      <c r="BO207" s="311"/>
      <c r="BP207" s="311"/>
      <c r="BQ207" s="311"/>
      <c r="BR207" s="311"/>
      <c r="BS207" s="308"/>
      <c r="BT207" s="311"/>
      <c r="BU207" s="311"/>
      <c r="BV207" s="308" t="s">
        <v>4673</v>
      </c>
      <c r="BW207" s="308" t="s">
        <v>4673</v>
      </c>
      <c r="BX207" s="308" t="s">
        <v>3009</v>
      </c>
      <c r="BY207" s="311"/>
      <c r="BZ207" s="311"/>
      <c r="CA207" s="308" t="s">
        <v>3009</v>
      </c>
      <c r="CB207" s="312" t="str">
        <f t="shared" si="1"/>
        <v>15/05/2026</v>
      </c>
      <c r="CC207" s="313">
        <f t="shared" si="2"/>
        <v>2026</v>
      </c>
      <c r="CD207" s="314">
        <f t="shared" si="3"/>
        <v>5</v>
      </c>
      <c r="CE207" s="314">
        <f t="shared" si="4"/>
        <v>1</v>
      </c>
      <c r="CF207" s="314">
        <f t="shared" si="5"/>
        <v>1</v>
      </c>
      <c r="CG207" s="314">
        <f t="shared" si="6"/>
        <v>0</v>
      </c>
      <c r="CH207" s="315">
        <f>VLOOKUP(CL207,'PRODUCT_COGS&amp;PRICE'!A:E,5,false)</f>
        <v>19</v>
      </c>
      <c r="CI207" s="315">
        <f t="shared" si="7"/>
        <v>-3.27811</v>
      </c>
      <c r="CJ207" s="316">
        <f t="shared" si="8"/>
        <v>0</v>
      </c>
      <c r="CK207" s="316">
        <f t="shared" si="9"/>
        <v>0</v>
      </c>
      <c r="CL207" s="314" t="str">
        <f>VLOOKUP(R207,PRODUCT_MAP!A:B,2,FALSE)</f>
        <v>Agata_Bag_FLORAL_PINK_EMBROIDERY</v>
      </c>
      <c r="CM207" s="314" t="str">
        <f>VLOOKUP(R207,PRODUCT_MAP!A:E,3,FALSE)</f>
        <v>Agata Bag</v>
      </c>
    </row>
    <row r="208" ht="22.5" customHeight="1">
      <c r="A208" s="308" t="s">
        <v>4675</v>
      </c>
      <c r="B208" s="308" t="s">
        <v>4676</v>
      </c>
      <c r="C208" s="308" t="s">
        <v>2942</v>
      </c>
      <c r="D208" s="308" t="s">
        <v>4677</v>
      </c>
      <c r="E208" s="308" t="s">
        <v>2944</v>
      </c>
      <c r="F208" s="308" t="s">
        <v>4678</v>
      </c>
      <c r="G208" s="308" t="s">
        <v>2965</v>
      </c>
      <c r="H208" s="308" t="s">
        <v>2947</v>
      </c>
      <c r="I208" s="308">
        <v>120.0</v>
      </c>
      <c r="J208" s="308">
        <v>0.0</v>
      </c>
      <c r="K208" s="308">
        <v>21.64</v>
      </c>
      <c r="L208" s="308">
        <v>120.0</v>
      </c>
      <c r="M208" s="308"/>
      <c r="N208" s="308">
        <v>0.0</v>
      </c>
      <c r="O208" s="308" t="s">
        <v>2948</v>
      </c>
      <c r="P208" s="308" t="s">
        <v>4679</v>
      </c>
      <c r="Q208" s="310">
        <v>1.0</v>
      </c>
      <c r="R208" s="308" t="s">
        <v>509</v>
      </c>
      <c r="S208" s="308">
        <v>120.0</v>
      </c>
      <c r="T208" s="311"/>
      <c r="U208" s="308" t="s">
        <v>161</v>
      </c>
      <c r="V208" s="308" t="b">
        <v>1</v>
      </c>
      <c r="W208" s="308" t="b">
        <v>1</v>
      </c>
      <c r="X208" s="308" t="s">
        <v>2944</v>
      </c>
      <c r="Y208" s="308" t="s">
        <v>4680</v>
      </c>
      <c r="Z208" s="308" t="s">
        <v>4681</v>
      </c>
      <c r="AA208" s="308" t="s">
        <v>4681</v>
      </c>
      <c r="AB208" s="308"/>
      <c r="AC208" s="308"/>
      <c r="AD208" s="308" t="s">
        <v>3081</v>
      </c>
      <c r="AE208" s="308">
        <v>167.0</v>
      </c>
      <c r="AF208" s="308" t="s">
        <v>3082</v>
      </c>
      <c r="AG208" s="308" t="s">
        <v>2955</v>
      </c>
      <c r="AH208" s="308">
        <v>3.896474448E9</v>
      </c>
      <c r="AI208" s="308" t="s">
        <v>4680</v>
      </c>
      <c r="AJ208" s="308" t="s">
        <v>4681</v>
      </c>
      <c r="AK208" s="308" t="s">
        <v>4681</v>
      </c>
      <c r="AL208" s="308"/>
      <c r="AM208" s="308"/>
      <c r="AN208" s="308" t="s">
        <v>3081</v>
      </c>
      <c r="AO208" s="308">
        <v>167.0</v>
      </c>
      <c r="AP208" s="308" t="s">
        <v>3082</v>
      </c>
      <c r="AQ208" s="308" t="s">
        <v>2955</v>
      </c>
      <c r="AR208" s="308">
        <v>3.896474448E9</v>
      </c>
      <c r="AS208" s="311"/>
      <c r="AT208" s="311"/>
      <c r="AU208" s="311"/>
      <c r="AV208" s="308" t="s">
        <v>3009</v>
      </c>
      <c r="AW208" s="308">
        <v>4.7828267270471E13</v>
      </c>
      <c r="AX208" s="310">
        <v>0.0</v>
      </c>
      <c r="AY208" s="308" t="s">
        <v>2974</v>
      </c>
      <c r="AZ208" s="308">
        <v>0.0</v>
      </c>
      <c r="BA208" s="311"/>
      <c r="BB208" s="311"/>
      <c r="BC208" s="311"/>
      <c r="BD208" s="308">
        <v>7.679536333127E12</v>
      </c>
      <c r="BE208" s="311"/>
      <c r="BF208" s="311"/>
      <c r="BG208" s="308" t="s">
        <v>2958</v>
      </c>
      <c r="BH208" s="308">
        <v>0.0</v>
      </c>
      <c r="BI208" s="308" t="s">
        <v>2959</v>
      </c>
      <c r="BJ208" s="308">
        <v>21.64</v>
      </c>
      <c r="BK208" s="311"/>
      <c r="BL208" s="311"/>
      <c r="BM208" s="311"/>
      <c r="BN208" s="311"/>
      <c r="BO208" s="311"/>
      <c r="BP208" s="311"/>
      <c r="BQ208" s="311"/>
      <c r="BR208" s="311"/>
      <c r="BS208" s="308"/>
      <c r="BT208" s="311"/>
      <c r="BU208" s="311"/>
      <c r="BV208" s="308" t="s">
        <v>3081</v>
      </c>
      <c r="BW208" s="308" t="s">
        <v>3081</v>
      </c>
      <c r="BX208" s="308" t="s">
        <v>3009</v>
      </c>
      <c r="BY208" s="311"/>
      <c r="BZ208" s="311"/>
      <c r="CA208" s="308" t="s">
        <v>3009</v>
      </c>
      <c r="CB208" s="312" t="str">
        <f t="shared" si="1"/>
        <v>15/05/2026</v>
      </c>
      <c r="CC208" s="313">
        <f t="shared" si="2"/>
        <v>2026</v>
      </c>
      <c r="CD208" s="314">
        <f t="shared" si="3"/>
        <v>5</v>
      </c>
      <c r="CE208" s="314">
        <f t="shared" si="4"/>
        <v>1</v>
      </c>
      <c r="CF208" s="314">
        <f t="shared" si="5"/>
        <v>1</v>
      </c>
      <c r="CG208" s="314">
        <f t="shared" si="6"/>
        <v>-5</v>
      </c>
      <c r="CH208" s="315">
        <f>VLOOKUP(CL208,'PRODUCT_COGS&amp;PRICE'!A:E,5,false)</f>
        <v>30.33</v>
      </c>
      <c r="CI208" s="315">
        <f t="shared" si="7"/>
        <v>-4.538</v>
      </c>
      <c r="CJ208" s="316">
        <f t="shared" si="8"/>
        <v>0</v>
      </c>
      <c r="CK208" s="316">
        <f t="shared" si="9"/>
        <v>0</v>
      </c>
      <c r="CL208" s="314" t="str">
        <f>VLOOKUP(R208,PRODUCT_MAP!A:B,2,FALSE)</f>
        <v>Lea_Bag_COCCO_BLACK</v>
      </c>
      <c r="CM208" s="314" t="str">
        <f>VLOOKUP(R208,PRODUCT_MAP!A:E,3,FALSE)</f>
        <v>Lea Bag</v>
      </c>
    </row>
    <row r="209" ht="22.5" customHeight="1">
      <c r="A209" s="308" t="s">
        <v>4682</v>
      </c>
      <c r="B209" s="308" t="s">
        <v>4683</v>
      </c>
      <c r="C209" s="308" t="s">
        <v>2942</v>
      </c>
      <c r="D209" s="308" t="s">
        <v>4684</v>
      </c>
      <c r="E209" s="308" t="s">
        <v>2944</v>
      </c>
      <c r="F209" s="308" t="s">
        <v>4685</v>
      </c>
      <c r="G209" s="308" t="s">
        <v>2965</v>
      </c>
      <c r="H209" s="308" t="s">
        <v>2947</v>
      </c>
      <c r="I209" s="308">
        <v>175.0</v>
      </c>
      <c r="J209" s="308">
        <v>0.0</v>
      </c>
      <c r="K209" s="308">
        <v>31.56</v>
      </c>
      <c r="L209" s="308">
        <v>175.0</v>
      </c>
      <c r="M209" s="308"/>
      <c r="N209" s="308">
        <v>0.0</v>
      </c>
      <c r="O209" s="308" t="s">
        <v>2948</v>
      </c>
      <c r="P209" s="308" t="s">
        <v>4686</v>
      </c>
      <c r="Q209" s="310">
        <v>1.0</v>
      </c>
      <c r="R209" s="308" t="s">
        <v>773</v>
      </c>
      <c r="S209" s="308">
        <v>175.0</v>
      </c>
      <c r="T209" s="311"/>
      <c r="U209" s="308" t="s">
        <v>3969</v>
      </c>
      <c r="V209" s="308" t="b">
        <v>1</v>
      </c>
      <c r="W209" s="308" t="b">
        <v>1</v>
      </c>
      <c r="X209" s="308" t="s">
        <v>2944</v>
      </c>
      <c r="Y209" s="308" t="s">
        <v>4687</v>
      </c>
      <c r="Z209" s="308" t="s">
        <v>4688</v>
      </c>
      <c r="AA209" s="308" t="s">
        <v>4689</v>
      </c>
      <c r="AB209" s="308" t="s">
        <v>4690</v>
      </c>
      <c r="AC209" s="308"/>
      <c r="AD209" s="308" t="s">
        <v>4691</v>
      </c>
      <c r="AE209" s="308">
        <v>27100.0</v>
      </c>
      <c r="AF209" s="308" t="s">
        <v>3477</v>
      </c>
      <c r="AG209" s="308" t="s">
        <v>2955</v>
      </c>
      <c r="AH209" s="308">
        <v>3.382794461E9</v>
      </c>
      <c r="AI209" s="308" t="s">
        <v>4687</v>
      </c>
      <c r="AJ209" s="308" t="s">
        <v>4688</v>
      </c>
      <c r="AK209" s="308" t="s">
        <v>4689</v>
      </c>
      <c r="AL209" s="308" t="s">
        <v>4690</v>
      </c>
      <c r="AM209" s="308"/>
      <c r="AN209" s="308" t="s">
        <v>4691</v>
      </c>
      <c r="AO209" s="308">
        <v>27100.0</v>
      </c>
      <c r="AP209" s="308" t="s">
        <v>3477</v>
      </c>
      <c r="AQ209" s="308" t="s">
        <v>2955</v>
      </c>
      <c r="AR209" s="308">
        <v>3.382794461E9</v>
      </c>
      <c r="AS209" s="311"/>
      <c r="AT209" s="311"/>
      <c r="AU209" s="311"/>
      <c r="AV209" s="308" t="s">
        <v>3009</v>
      </c>
      <c r="AW209" s="308">
        <v>4.7829401305415E13</v>
      </c>
      <c r="AX209" s="310">
        <v>0.0</v>
      </c>
      <c r="AY209" s="308" t="s">
        <v>2974</v>
      </c>
      <c r="AZ209" s="308">
        <v>0.0</v>
      </c>
      <c r="BA209" s="311"/>
      <c r="BB209" s="311"/>
      <c r="BC209" s="311"/>
      <c r="BD209" s="308">
        <v>7.680198607175E12</v>
      </c>
      <c r="BE209" s="311"/>
      <c r="BF209" s="311"/>
      <c r="BG209" s="308" t="s">
        <v>2958</v>
      </c>
      <c r="BH209" s="308">
        <v>0.0</v>
      </c>
      <c r="BI209" s="308" t="s">
        <v>2959</v>
      </c>
      <c r="BJ209" s="308">
        <v>31.56</v>
      </c>
      <c r="BK209" s="311"/>
      <c r="BL209" s="311"/>
      <c r="BM209" s="311"/>
      <c r="BN209" s="311"/>
      <c r="BO209" s="311"/>
      <c r="BP209" s="311"/>
      <c r="BQ209" s="311"/>
      <c r="BR209" s="311"/>
      <c r="BS209" s="308"/>
      <c r="BT209" s="311"/>
      <c r="BU209" s="311"/>
      <c r="BV209" s="308" t="s">
        <v>3476</v>
      </c>
      <c r="BW209" s="308" t="s">
        <v>3476</v>
      </c>
      <c r="BX209" s="308" t="s">
        <v>3009</v>
      </c>
      <c r="BY209" s="311"/>
      <c r="BZ209" s="311"/>
      <c r="CA209" s="308" t="s">
        <v>3009</v>
      </c>
      <c r="CB209" s="312" t="str">
        <f t="shared" si="1"/>
        <v>15/05/2026</v>
      </c>
      <c r="CC209" s="313">
        <f t="shared" si="2"/>
        <v>2026</v>
      </c>
      <c r="CD209" s="314">
        <f t="shared" si="3"/>
        <v>5</v>
      </c>
      <c r="CE209" s="314">
        <f t="shared" si="4"/>
        <v>1</v>
      </c>
      <c r="CF209" s="314">
        <f t="shared" si="5"/>
        <v>1</v>
      </c>
      <c r="CG209" s="314">
        <f t="shared" si="6"/>
        <v>-5</v>
      </c>
      <c r="CH209" s="315">
        <f>VLOOKUP(CL209,'PRODUCT_COGS&amp;PRICE'!A:E,5,false)</f>
        <v>45.4</v>
      </c>
      <c r="CI209" s="315">
        <f t="shared" si="7"/>
        <v>-6.4575</v>
      </c>
      <c r="CJ209" s="316">
        <f t="shared" si="8"/>
        <v>0</v>
      </c>
      <c r="CK209" s="316">
        <f t="shared" si="9"/>
        <v>0</v>
      </c>
      <c r="CL209" s="314" t="str">
        <f>VLOOKUP(R209,PRODUCT_MAP!A:B,2,FALSE)</f>
        <v>Valentina_Bag_COCCO_BLACK</v>
      </c>
      <c r="CM209" s="314" t="str">
        <f>VLOOKUP(R209,PRODUCT_MAP!A:E,3,FALSE)</f>
        <v>Valentina Bag</v>
      </c>
    </row>
    <row r="210" ht="22.5" customHeight="1">
      <c r="A210" s="308" t="s">
        <v>4692</v>
      </c>
      <c r="B210" s="308" t="s">
        <v>4693</v>
      </c>
      <c r="C210" s="308" t="s">
        <v>2942</v>
      </c>
      <c r="D210" s="308" t="s">
        <v>4694</v>
      </c>
      <c r="E210" s="308" t="s">
        <v>2944</v>
      </c>
      <c r="F210" s="308" t="s">
        <v>4695</v>
      </c>
      <c r="G210" s="308" t="s">
        <v>2965</v>
      </c>
      <c r="H210" s="308" t="s">
        <v>2947</v>
      </c>
      <c r="I210" s="308">
        <v>81.0</v>
      </c>
      <c r="J210" s="308">
        <v>3.9</v>
      </c>
      <c r="K210" s="308">
        <v>15.31</v>
      </c>
      <c r="L210" s="308">
        <v>84.9</v>
      </c>
      <c r="M210" s="308" t="s">
        <v>3221</v>
      </c>
      <c r="N210" s="308">
        <v>9.0</v>
      </c>
      <c r="O210" s="308" t="s">
        <v>2948</v>
      </c>
      <c r="P210" s="308" t="s">
        <v>4696</v>
      </c>
      <c r="Q210" s="310">
        <v>1.0</v>
      </c>
      <c r="R210" s="308" t="s">
        <v>4697</v>
      </c>
      <c r="S210" s="308">
        <v>90.0</v>
      </c>
      <c r="T210" s="311"/>
      <c r="U210" s="308" t="s">
        <v>2055</v>
      </c>
      <c r="V210" s="308" t="b">
        <v>1</v>
      </c>
      <c r="W210" s="308" t="b">
        <v>1</v>
      </c>
      <c r="X210" s="308" t="s">
        <v>2944</v>
      </c>
      <c r="Y210" s="308" t="s">
        <v>4698</v>
      </c>
      <c r="Z210" s="308" t="s">
        <v>4699</v>
      </c>
      <c r="AA210" s="308" t="s">
        <v>4699</v>
      </c>
      <c r="AB210" s="308"/>
      <c r="AC210" s="308"/>
      <c r="AD210" s="308" t="s">
        <v>4700</v>
      </c>
      <c r="AE210" s="308">
        <v>13019.0</v>
      </c>
      <c r="AF210" s="308" t="s">
        <v>4701</v>
      </c>
      <c r="AG210" s="308" t="s">
        <v>2955</v>
      </c>
      <c r="AH210" s="308"/>
      <c r="AI210" s="308" t="s">
        <v>4698</v>
      </c>
      <c r="AJ210" s="308" t="s">
        <v>4702</v>
      </c>
      <c r="AK210" s="308" t="s">
        <v>4702</v>
      </c>
      <c r="AL210" s="308"/>
      <c r="AM210" s="308"/>
      <c r="AN210" s="308" t="s">
        <v>4700</v>
      </c>
      <c r="AO210" s="308">
        <v>13019.0</v>
      </c>
      <c r="AP210" s="308" t="s">
        <v>4701</v>
      </c>
      <c r="AQ210" s="308" t="s">
        <v>2955</v>
      </c>
      <c r="AR210" s="308">
        <v>3.290071836E9</v>
      </c>
      <c r="AS210" s="311"/>
      <c r="AT210" s="311"/>
      <c r="AU210" s="311"/>
      <c r="AV210" s="308" t="s">
        <v>2956</v>
      </c>
      <c r="AW210" s="308">
        <v>4.7829496299847E13</v>
      </c>
      <c r="AX210" s="310">
        <v>0.0</v>
      </c>
      <c r="AY210" s="308" t="s">
        <v>2974</v>
      </c>
      <c r="AZ210" s="308">
        <v>0.0</v>
      </c>
      <c r="BA210" s="311"/>
      <c r="BB210" s="311"/>
      <c r="BC210" s="311"/>
      <c r="BD210" s="308">
        <v>7.680246677831E12</v>
      </c>
      <c r="BE210" s="311"/>
      <c r="BF210" s="311"/>
      <c r="BG210" s="308" t="s">
        <v>2958</v>
      </c>
      <c r="BH210" s="308">
        <v>0.0</v>
      </c>
      <c r="BI210" s="308" t="s">
        <v>2959</v>
      </c>
      <c r="BJ210" s="308">
        <v>14.61</v>
      </c>
      <c r="BK210" s="311"/>
      <c r="BL210" s="311"/>
      <c r="BM210" s="311"/>
      <c r="BN210" s="311"/>
      <c r="BO210" s="311"/>
      <c r="BP210" s="311"/>
      <c r="BQ210" s="311"/>
      <c r="BR210" s="311"/>
      <c r="BS210" s="308"/>
      <c r="BT210" s="311"/>
      <c r="BU210" s="311"/>
      <c r="BV210" s="308" t="s">
        <v>4703</v>
      </c>
      <c r="BW210" s="308" t="s">
        <v>4703</v>
      </c>
      <c r="BX210" s="308" t="s">
        <v>2956</v>
      </c>
      <c r="BY210" s="311"/>
      <c r="BZ210" s="311"/>
      <c r="CA210" s="308" t="s">
        <v>2956</v>
      </c>
      <c r="CB210" s="312" t="str">
        <f t="shared" si="1"/>
        <v>15/05/2026</v>
      </c>
      <c r="CC210" s="313">
        <f t="shared" si="2"/>
        <v>2026</v>
      </c>
      <c r="CD210" s="314">
        <f t="shared" si="3"/>
        <v>5</v>
      </c>
      <c r="CE210" s="314">
        <f t="shared" si="4"/>
        <v>1</v>
      </c>
      <c r="CF210" s="314">
        <f t="shared" si="5"/>
        <v>1</v>
      </c>
      <c r="CG210" s="314">
        <f t="shared" si="6"/>
        <v>0</v>
      </c>
      <c r="CH210" s="315">
        <f>VLOOKUP(CL210,'PRODUCT_COGS&amp;PRICE'!A:E,5,false)</f>
        <v>16.5</v>
      </c>
      <c r="CI210" s="315">
        <f t="shared" si="7"/>
        <v>-1.8631</v>
      </c>
      <c r="CJ210" s="316">
        <f t="shared" si="8"/>
        <v>0</v>
      </c>
      <c r="CK210" s="316">
        <f t="shared" si="9"/>
        <v>9</v>
      </c>
      <c r="CL210" s="314" t="str">
        <f>VLOOKUP(R210,PRODUCT_MAP!A:B,2,FALSE)</f>
        <v>Annie_Bag_PINK</v>
      </c>
      <c r="CM210" s="314" t="str">
        <f>VLOOKUP(R210,PRODUCT_MAP!A:E,3,FALSE)</f>
        <v/>
      </c>
    </row>
    <row r="211" ht="22.5" customHeight="1">
      <c r="A211" s="308" t="s">
        <v>4704</v>
      </c>
      <c r="B211" s="308" t="s">
        <v>4705</v>
      </c>
      <c r="C211" s="308" t="s">
        <v>2942</v>
      </c>
      <c r="D211" s="308" t="s">
        <v>4706</v>
      </c>
      <c r="E211" s="308" t="s">
        <v>3013</v>
      </c>
      <c r="F211" s="308"/>
      <c r="G211" s="308" t="s">
        <v>2946</v>
      </c>
      <c r="H211" s="308" t="s">
        <v>2947</v>
      </c>
      <c r="I211" s="308">
        <v>120.0</v>
      </c>
      <c r="J211" s="308">
        <v>0.0</v>
      </c>
      <c r="K211" s="308">
        <v>21.64</v>
      </c>
      <c r="L211" s="308">
        <v>120.0</v>
      </c>
      <c r="M211" s="308"/>
      <c r="N211" s="308">
        <v>0.0</v>
      </c>
      <c r="O211" s="308" t="s">
        <v>2948</v>
      </c>
      <c r="P211" s="308" t="s">
        <v>4707</v>
      </c>
      <c r="Q211" s="310">
        <v>1.0</v>
      </c>
      <c r="R211" s="308" t="s">
        <v>569</v>
      </c>
      <c r="S211" s="308">
        <v>120.0</v>
      </c>
      <c r="T211" s="311"/>
      <c r="U211" s="308" t="s">
        <v>3375</v>
      </c>
      <c r="V211" s="308" t="b">
        <v>1</v>
      </c>
      <c r="W211" s="308" t="b">
        <v>1</v>
      </c>
      <c r="X211" s="308"/>
      <c r="Y211" s="308" t="s">
        <v>4708</v>
      </c>
      <c r="Z211" s="308" t="s">
        <v>4709</v>
      </c>
      <c r="AA211" s="308" t="s">
        <v>4710</v>
      </c>
      <c r="AB211" s="308" t="s">
        <v>4711</v>
      </c>
      <c r="AC211" s="308"/>
      <c r="AD211" s="308" t="s">
        <v>3081</v>
      </c>
      <c r="AE211" s="308">
        <v>162.0</v>
      </c>
      <c r="AF211" s="308" t="s">
        <v>3082</v>
      </c>
      <c r="AG211" s="308" t="s">
        <v>2955</v>
      </c>
      <c r="AH211" s="308">
        <v>3.49181532E9</v>
      </c>
      <c r="AI211" s="308" t="s">
        <v>4708</v>
      </c>
      <c r="AJ211" s="308" t="s">
        <v>4709</v>
      </c>
      <c r="AK211" s="308" t="s">
        <v>4710</v>
      </c>
      <c r="AL211" s="308" t="s">
        <v>4711</v>
      </c>
      <c r="AM211" s="308"/>
      <c r="AN211" s="308" t="s">
        <v>3081</v>
      </c>
      <c r="AO211" s="308">
        <v>162.0</v>
      </c>
      <c r="AP211" s="308" t="s">
        <v>3082</v>
      </c>
      <c r="AQ211" s="308" t="s">
        <v>2955</v>
      </c>
      <c r="AR211" s="308">
        <v>3.49181532E9</v>
      </c>
      <c r="AS211" s="311"/>
      <c r="AT211" s="311"/>
      <c r="AU211" s="311"/>
      <c r="AV211" s="308" t="s">
        <v>3009</v>
      </c>
      <c r="AW211" s="308">
        <v>4.7830351839559E13</v>
      </c>
      <c r="AX211" s="310">
        <v>0.0</v>
      </c>
      <c r="AY211" s="308" t="s">
        <v>2974</v>
      </c>
      <c r="AZ211" s="308">
        <v>0.0</v>
      </c>
      <c r="BA211" s="311"/>
      <c r="BB211" s="311"/>
      <c r="BC211" s="311"/>
      <c r="BD211" s="308">
        <v>7.680725975367E12</v>
      </c>
      <c r="BE211" s="311"/>
      <c r="BF211" s="311"/>
      <c r="BG211" s="308" t="s">
        <v>2958</v>
      </c>
      <c r="BH211" s="308">
        <v>0.0</v>
      </c>
      <c r="BI211" s="308" t="s">
        <v>2959</v>
      </c>
      <c r="BJ211" s="308">
        <v>21.64</v>
      </c>
      <c r="BK211" s="311"/>
      <c r="BL211" s="311"/>
      <c r="BM211" s="311"/>
      <c r="BN211" s="311"/>
      <c r="BO211" s="311"/>
      <c r="BP211" s="311"/>
      <c r="BQ211" s="311"/>
      <c r="BR211" s="311"/>
      <c r="BS211" s="308"/>
      <c r="BT211" s="311"/>
      <c r="BU211" s="311"/>
      <c r="BV211" s="308" t="s">
        <v>3081</v>
      </c>
      <c r="BW211" s="308" t="s">
        <v>3081</v>
      </c>
      <c r="BX211" s="308" t="s">
        <v>3009</v>
      </c>
      <c r="BY211" s="311"/>
      <c r="BZ211" s="311"/>
      <c r="CA211" s="308" t="s">
        <v>3009</v>
      </c>
      <c r="CB211" s="312" t="str">
        <f t="shared" si="1"/>
        <v>15/05/2026</v>
      </c>
      <c r="CC211" s="313">
        <f t="shared" si="2"/>
        <v>2026</v>
      </c>
      <c r="CD211" s="314">
        <f t="shared" si="3"/>
        <v>5</v>
      </c>
      <c r="CE211" s="314">
        <f t="shared" si="4"/>
        <v>1</v>
      </c>
      <c r="CF211" s="314">
        <f t="shared" si="5"/>
        <v>1</v>
      </c>
      <c r="CG211" s="314">
        <f t="shared" si="6"/>
        <v>-5</v>
      </c>
      <c r="CH211" s="315">
        <f>VLOOKUP(CL211,'PRODUCT_COGS&amp;PRICE'!A:E,5,false)</f>
        <v>20</v>
      </c>
      <c r="CI211" s="315">
        <f t="shared" si="7"/>
        <v>-4.538</v>
      </c>
      <c r="CJ211" s="316">
        <f t="shared" si="8"/>
        <v>0</v>
      </c>
      <c r="CK211" s="316">
        <f t="shared" si="9"/>
        <v>0</v>
      </c>
      <c r="CL211" s="314" t="str">
        <f>VLOOKUP(R211,PRODUCT_MAP!A:B,2,FALSE)</f>
        <v>Lea_Bag_RED_PATENT</v>
      </c>
      <c r="CM211" s="314" t="str">
        <f>VLOOKUP(R211,PRODUCT_MAP!A:E,3,FALSE)</f>
        <v>Lea Bag</v>
      </c>
    </row>
    <row r="212" ht="22.5" customHeight="1">
      <c r="A212" s="308" t="s">
        <v>4712</v>
      </c>
      <c r="B212" s="308" t="s">
        <v>4713</v>
      </c>
      <c r="C212" s="308" t="s">
        <v>2942</v>
      </c>
      <c r="D212" s="308" t="s">
        <v>4714</v>
      </c>
      <c r="E212" s="308" t="s">
        <v>3013</v>
      </c>
      <c r="F212" s="308"/>
      <c r="G212" s="308" t="s">
        <v>2946</v>
      </c>
      <c r="H212" s="308" t="s">
        <v>2947</v>
      </c>
      <c r="I212" s="308">
        <v>108.0</v>
      </c>
      <c r="J212" s="308">
        <v>0.0</v>
      </c>
      <c r="K212" s="308">
        <v>19.48</v>
      </c>
      <c r="L212" s="308">
        <v>108.0</v>
      </c>
      <c r="M212" s="308" t="s">
        <v>3094</v>
      </c>
      <c r="N212" s="308">
        <v>12.0</v>
      </c>
      <c r="O212" s="308" t="s">
        <v>2948</v>
      </c>
      <c r="P212" s="308" t="s">
        <v>4715</v>
      </c>
      <c r="Q212" s="310">
        <v>1.0</v>
      </c>
      <c r="R212" s="308" t="s">
        <v>509</v>
      </c>
      <c r="S212" s="308">
        <v>120.0</v>
      </c>
      <c r="T212" s="311"/>
      <c r="U212" s="308" t="s">
        <v>161</v>
      </c>
      <c r="V212" s="308" t="b">
        <v>1</v>
      </c>
      <c r="W212" s="308" t="b">
        <v>1</v>
      </c>
      <c r="X212" s="308"/>
      <c r="Y212" s="308" t="s">
        <v>4716</v>
      </c>
      <c r="Z212" s="308" t="s">
        <v>4717</v>
      </c>
      <c r="AA212" s="308" t="s">
        <v>4717</v>
      </c>
      <c r="AB212" s="308"/>
      <c r="AC212" s="308"/>
      <c r="AD212" s="308" t="s">
        <v>4718</v>
      </c>
      <c r="AE212" s="308">
        <v>25060.0</v>
      </c>
      <c r="AF212" s="308" t="s">
        <v>3608</v>
      </c>
      <c r="AG212" s="308" t="s">
        <v>2955</v>
      </c>
      <c r="AH212" s="308">
        <v>3.345461064E9</v>
      </c>
      <c r="AI212" s="308" t="s">
        <v>4716</v>
      </c>
      <c r="AJ212" s="308" t="s">
        <v>4717</v>
      </c>
      <c r="AK212" s="308" t="s">
        <v>4717</v>
      </c>
      <c r="AL212" s="308"/>
      <c r="AM212" s="308"/>
      <c r="AN212" s="308" t="s">
        <v>4718</v>
      </c>
      <c r="AO212" s="308">
        <v>25060.0</v>
      </c>
      <c r="AP212" s="308" t="s">
        <v>3608</v>
      </c>
      <c r="AQ212" s="308" t="s">
        <v>2955</v>
      </c>
      <c r="AR212" s="308">
        <v>3.345461064E9</v>
      </c>
      <c r="AS212" s="311"/>
      <c r="AT212" s="311"/>
      <c r="AU212" s="311"/>
      <c r="AV212" s="308" t="s">
        <v>3009</v>
      </c>
      <c r="AW212" s="308">
        <v>4.7831016636743E13</v>
      </c>
      <c r="AX212" s="310">
        <v>0.0</v>
      </c>
      <c r="AY212" s="308" t="s">
        <v>2974</v>
      </c>
      <c r="AZ212" s="308">
        <v>0.0</v>
      </c>
      <c r="BA212" s="311"/>
      <c r="BB212" s="311"/>
      <c r="BC212" s="311"/>
      <c r="BD212" s="308">
        <v>7.681088913735E12</v>
      </c>
      <c r="BE212" s="311"/>
      <c r="BF212" s="311"/>
      <c r="BG212" s="308" t="s">
        <v>2958</v>
      </c>
      <c r="BH212" s="308">
        <v>0.0</v>
      </c>
      <c r="BI212" s="308" t="s">
        <v>2959</v>
      </c>
      <c r="BJ212" s="308">
        <v>19.48</v>
      </c>
      <c r="BK212" s="311"/>
      <c r="BL212" s="311"/>
      <c r="BM212" s="311"/>
      <c r="BN212" s="311"/>
      <c r="BO212" s="311"/>
      <c r="BP212" s="311"/>
      <c r="BQ212" s="311"/>
      <c r="BR212" s="311"/>
      <c r="BS212" s="308"/>
      <c r="BT212" s="311"/>
      <c r="BU212" s="311"/>
      <c r="BV212" s="308" t="s">
        <v>3612</v>
      </c>
      <c r="BW212" s="308" t="s">
        <v>3612</v>
      </c>
      <c r="BX212" s="308" t="s">
        <v>3009</v>
      </c>
      <c r="BY212" s="311"/>
      <c r="BZ212" s="311"/>
      <c r="CA212" s="308" t="s">
        <v>3009</v>
      </c>
      <c r="CB212" s="312" t="str">
        <f t="shared" si="1"/>
        <v>15/05/2026</v>
      </c>
      <c r="CC212" s="313">
        <f t="shared" si="2"/>
        <v>2026</v>
      </c>
      <c r="CD212" s="314">
        <f t="shared" si="3"/>
        <v>5</v>
      </c>
      <c r="CE212" s="314">
        <f t="shared" si="4"/>
        <v>1</v>
      </c>
      <c r="CF212" s="314">
        <f t="shared" si="5"/>
        <v>1</v>
      </c>
      <c r="CG212" s="314">
        <f t="shared" si="6"/>
        <v>-5</v>
      </c>
      <c r="CH212" s="315">
        <f>VLOOKUP(CL212,'PRODUCT_COGS&amp;PRICE'!A:E,5,false)</f>
        <v>30.33</v>
      </c>
      <c r="CI212" s="315">
        <f t="shared" si="7"/>
        <v>-4.1192</v>
      </c>
      <c r="CJ212" s="316">
        <f t="shared" si="8"/>
        <v>0</v>
      </c>
      <c r="CK212" s="316">
        <f t="shared" si="9"/>
        <v>12</v>
      </c>
      <c r="CL212" s="314" t="str">
        <f>VLOOKUP(R212,PRODUCT_MAP!A:B,2,FALSE)</f>
        <v>Lea_Bag_COCCO_BLACK</v>
      </c>
      <c r="CM212" s="314" t="str">
        <f>VLOOKUP(R212,PRODUCT_MAP!A:E,3,FALSE)</f>
        <v>Lea Bag</v>
      </c>
    </row>
    <row r="213" ht="22.5" customHeight="1">
      <c r="A213" s="308" t="s">
        <v>4719</v>
      </c>
      <c r="B213" s="308" t="s">
        <v>4720</v>
      </c>
      <c r="C213" s="308" t="s">
        <v>2942</v>
      </c>
      <c r="D213" s="308" t="s">
        <v>4721</v>
      </c>
      <c r="E213" s="308" t="s">
        <v>3013</v>
      </c>
      <c r="F213" s="308"/>
      <c r="G213" s="308" t="s">
        <v>2946</v>
      </c>
      <c r="H213" s="308" t="s">
        <v>2947</v>
      </c>
      <c r="I213" s="308">
        <v>120.0</v>
      </c>
      <c r="J213" s="308">
        <v>0.0</v>
      </c>
      <c r="K213" s="308">
        <v>21.64</v>
      </c>
      <c r="L213" s="308">
        <v>120.0</v>
      </c>
      <c r="M213" s="308"/>
      <c r="N213" s="308">
        <v>0.0</v>
      </c>
      <c r="O213" s="308" t="s">
        <v>2948</v>
      </c>
      <c r="P213" s="308" t="s">
        <v>4722</v>
      </c>
      <c r="Q213" s="310">
        <v>1.0</v>
      </c>
      <c r="R213" s="308" t="s">
        <v>509</v>
      </c>
      <c r="S213" s="308">
        <v>120.0</v>
      </c>
      <c r="T213" s="311"/>
      <c r="U213" s="308" t="s">
        <v>161</v>
      </c>
      <c r="V213" s="308" t="b">
        <v>1</v>
      </c>
      <c r="W213" s="308" t="b">
        <v>1</v>
      </c>
      <c r="X213" s="308"/>
      <c r="Y213" s="308" t="s">
        <v>4723</v>
      </c>
      <c r="Z213" s="308" t="s">
        <v>4724</v>
      </c>
      <c r="AA213" s="308" t="s">
        <v>4724</v>
      </c>
      <c r="AB213" s="308"/>
      <c r="AC213" s="308"/>
      <c r="AD213" s="308" t="s">
        <v>4725</v>
      </c>
      <c r="AE213" s="308">
        <v>71121.0</v>
      </c>
      <c r="AF213" s="308" t="s">
        <v>4726</v>
      </c>
      <c r="AG213" s="308" t="s">
        <v>2955</v>
      </c>
      <c r="AH213" s="308">
        <v>3.2837879E9</v>
      </c>
      <c r="AI213" s="308" t="s">
        <v>4723</v>
      </c>
      <c r="AJ213" s="308" t="s">
        <v>4724</v>
      </c>
      <c r="AK213" s="308" t="s">
        <v>4724</v>
      </c>
      <c r="AL213" s="308"/>
      <c r="AM213" s="308"/>
      <c r="AN213" s="308" t="s">
        <v>4725</v>
      </c>
      <c r="AO213" s="308">
        <v>71121.0</v>
      </c>
      <c r="AP213" s="308" t="s">
        <v>4726</v>
      </c>
      <c r="AQ213" s="308" t="s">
        <v>2955</v>
      </c>
      <c r="AR213" s="308">
        <v>3.2837879E9</v>
      </c>
      <c r="AS213" s="311"/>
      <c r="AT213" s="311"/>
      <c r="AU213" s="311"/>
      <c r="AV213" s="308" t="s">
        <v>3009</v>
      </c>
      <c r="AW213" s="308">
        <v>4.7831080796487E13</v>
      </c>
      <c r="AX213" s="310">
        <v>0.0</v>
      </c>
      <c r="AY213" s="308" t="s">
        <v>2974</v>
      </c>
      <c r="AZ213" s="308">
        <v>0.0</v>
      </c>
      <c r="BA213" s="311"/>
      <c r="BB213" s="311"/>
      <c r="BC213" s="311"/>
      <c r="BD213" s="308">
        <v>7.681120534855E12</v>
      </c>
      <c r="BE213" s="311"/>
      <c r="BF213" s="311"/>
      <c r="BG213" s="308" t="s">
        <v>2958</v>
      </c>
      <c r="BH213" s="308">
        <v>0.0</v>
      </c>
      <c r="BI213" s="308" t="s">
        <v>2959</v>
      </c>
      <c r="BJ213" s="308">
        <v>21.64</v>
      </c>
      <c r="BK213" s="311"/>
      <c r="BL213" s="311"/>
      <c r="BM213" s="311"/>
      <c r="BN213" s="311"/>
      <c r="BO213" s="311"/>
      <c r="BP213" s="311"/>
      <c r="BQ213" s="311"/>
      <c r="BR213" s="311"/>
      <c r="BS213" s="308"/>
      <c r="BT213" s="311"/>
      <c r="BU213" s="311"/>
      <c r="BV213" s="308" t="s">
        <v>4725</v>
      </c>
      <c r="BW213" s="308" t="s">
        <v>4725</v>
      </c>
      <c r="BX213" s="308" t="s">
        <v>3009</v>
      </c>
      <c r="BY213" s="311"/>
      <c r="BZ213" s="311"/>
      <c r="CA213" s="308" t="s">
        <v>3009</v>
      </c>
      <c r="CB213" s="312" t="str">
        <f t="shared" si="1"/>
        <v>15/05/2026</v>
      </c>
      <c r="CC213" s="313">
        <f t="shared" si="2"/>
        <v>2026</v>
      </c>
      <c r="CD213" s="314">
        <f t="shared" si="3"/>
        <v>5</v>
      </c>
      <c r="CE213" s="314">
        <f t="shared" si="4"/>
        <v>1</v>
      </c>
      <c r="CF213" s="314">
        <f t="shared" si="5"/>
        <v>1</v>
      </c>
      <c r="CG213" s="314">
        <f t="shared" si="6"/>
        <v>-5</v>
      </c>
      <c r="CH213" s="315">
        <f>VLOOKUP(CL213,'PRODUCT_COGS&amp;PRICE'!A:E,5,false)</f>
        <v>30.33</v>
      </c>
      <c r="CI213" s="315">
        <f t="shared" si="7"/>
        <v>-4.538</v>
      </c>
      <c r="CJ213" s="316">
        <f t="shared" si="8"/>
        <v>0</v>
      </c>
      <c r="CK213" s="316">
        <f t="shared" si="9"/>
        <v>0</v>
      </c>
      <c r="CL213" s="314" t="str">
        <f>VLOOKUP(R213,PRODUCT_MAP!A:B,2,FALSE)</f>
        <v>Lea_Bag_COCCO_BLACK</v>
      </c>
      <c r="CM213" s="314" t="str">
        <f>VLOOKUP(R213,PRODUCT_MAP!A:E,3,FALSE)</f>
        <v>Lea Bag</v>
      </c>
    </row>
    <row r="214" ht="22.5" customHeight="1">
      <c r="A214" s="308" t="s">
        <v>4727</v>
      </c>
      <c r="B214" s="308" t="s">
        <v>4728</v>
      </c>
      <c r="C214" s="308" t="s">
        <v>2942</v>
      </c>
      <c r="D214" s="308" t="s">
        <v>4729</v>
      </c>
      <c r="E214" s="308" t="s">
        <v>3013</v>
      </c>
      <c r="F214" s="308"/>
      <c r="G214" s="308" t="s">
        <v>2946</v>
      </c>
      <c r="H214" s="308" t="s">
        <v>2947</v>
      </c>
      <c r="I214" s="308">
        <v>90.0</v>
      </c>
      <c r="J214" s="308">
        <v>40.0</v>
      </c>
      <c r="K214" s="308">
        <v>0.0</v>
      </c>
      <c r="L214" s="308">
        <v>130.0</v>
      </c>
      <c r="M214" s="308" t="s">
        <v>3094</v>
      </c>
      <c r="N214" s="308">
        <v>10.0</v>
      </c>
      <c r="O214" s="308" t="s">
        <v>2948</v>
      </c>
      <c r="P214" s="308" t="s">
        <v>4730</v>
      </c>
      <c r="Q214" s="310">
        <v>1.0</v>
      </c>
      <c r="R214" s="308" t="s">
        <v>4731</v>
      </c>
      <c r="S214" s="308">
        <v>100.0</v>
      </c>
      <c r="T214" s="311"/>
      <c r="U214" s="308" t="s">
        <v>4732</v>
      </c>
      <c r="V214" s="308" t="b">
        <v>1</v>
      </c>
      <c r="W214" s="308" t="b">
        <v>1</v>
      </c>
      <c r="X214" s="308"/>
      <c r="Y214" s="308" t="s">
        <v>4733</v>
      </c>
      <c r="Z214" s="308" t="s">
        <v>4734</v>
      </c>
      <c r="AA214" s="308" t="s">
        <v>4735</v>
      </c>
      <c r="AB214" s="308" t="s">
        <v>4736</v>
      </c>
      <c r="AC214" s="308"/>
      <c r="AD214" s="308" t="s">
        <v>4737</v>
      </c>
      <c r="AE214" s="308" t="s">
        <v>4738</v>
      </c>
      <c r="AF214" s="308" t="s">
        <v>4739</v>
      </c>
      <c r="AG214" s="308" t="s">
        <v>4740</v>
      </c>
      <c r="AH214" s="318" t="s">
        <v>4741</v>
      </c>
      <c r="AI214" s="308" t="s">
        <v>4733</v>
      </c>
      <c r="AJ214" s="308" t="s">
        <v>4734</v>
      </c>
      <c r="AK214" s="308" t="s">
        <v>4735</v>
      </c>
      <c r="AL214" s="308" t="s">
        <v>4736</v>
      </c>
      <c r="AM214" s="308"/>
      <c r="AN214" s="308" t="s">
        <v>4737</v>
      </c>
      <c r="AO214" s="308" t="s">
        <v>4738</v>
      </c>
      <c r="AP214" s="308" t="s">
        <v>4739</v>
      </c>
      <c r="AQ214" s="308" t="s">
        <v>4740</v>
      </c>
      <c r="AR214" s="318" t="s">
        <v>4741</v>
      </c>
      <c r="AS214" s="311"/>
      <c r="AT214" s="311"/>
      <c r="AU214" s="311"/>
      <c r="AV214" s="308" t="s">
        <v>2956</v>
      </c>
      <c r="AW214" s="308">
        <v>4.7833117720903E13</v>
      </c>
      <c r="AX214" s="310">
        <v>0.0</v>
      </c>
      <c r="AY214" s="308" t="s">
        <v>2974</v>
      </c>
      <c r="AZ214" s="308">
        <v>0.0</v>
      </c>
      <c r="BA214" s="311"/>
      <c r="BB214" s="311"/>
      <c r="BC214" s="311"/>
      <c r="BD214" s="308">
        <v>7.682107801927E12</v>
      </c>
      <c r="BE214" s="311"/>
      <c r="BF214" s="311"/>
      <c r="BG214" s="308" t="s">
        <v>2958</v>
      </c>
      <c r="BH214" s="308">
        <v>0.0</v>
      </c>
      <c r="BI214" s="308"/>
      <c r="BJ214" s="308"/>
      <c r="BK214" s="311"/>
      <c r="BL214" s="311"/>
      <c r="BM214" s="311"/>
      <c r="BN214" s="311"/>
      <c r="BO214" s="311"/>
      <c r="BP214" s="311"/>
      <c r="BQ214" s="311"/>
      <c r="BR214" s="311"/>
      <c r="BS214" s="308"/>
      <c r="BT214" s="311"/>
      <c r="BU214" s="311"/>
      <c r="BV214" s="308" t="s">
        <v>4742</v>
      </c>
      <c r="BW214" s="308" t="s">
        <v>4742</v>
      </c>
      <c r="BX214" s="308" t="s">
        <v>2956</v>
      </c>
      <c r="BY214" s="311"/>
      <c r="BZ214" s="311"/>
      <c r="CA214" s="308" t="s">
        <v>2956</v>
      </c>
      <c r="CB214" s="312" t="str">
        <f t="shared" si="1"/>
        <v>16/05/2026</v>
      </c>
      <c r="CC214" s="313">
        <f t="shared" si="2"/>
        <v>2026</v>
      </c>
      <c r="CD214" s="314">
        <f t="shared" si="3"/>
        <v>5</v>
      </c>
      <c r="CE214" s="314">
        <f t="shared" si="4"/>
        <v>1</v>
      </c>
      <c r="CF214" s="314">
        <f t="shared" si="5"/>
        <v>1</v>
      </c>
      <c r="CG214" s="314">
        <f t="shared" si="6"/>
        <v>0</v>
      </c>
      <c r="CH214" s="315">
        <f>VLOOKUP(CL214,'PRODUCT_COGS&amp;PRICE'!A:E,5,false)</f>
        <v>16.5</v>
      </c>
      <c r="CI214" s="315">
        <f t="shared" si="7"/>
        <v>-2.72</v>
      </c>
      <c r="CJ214" s="316">
        <f t="shared" si="8"/>
        <v>0</v>
      </c>
      <c r="CK214" s="316">
        <f t="shared" si="9"/>
        <v>10</v>
      </c>
      <c r="CL214" s="314" t="str">
        <f>VLOOKUP(R214,PRODUCT_MAP!A:B,2,FALSE)</f>
        <v>Annie_Bag_PEARL_GREY</v>
      </c>
      <c r="CM214" s="314" t="str">
        <f>VLOOKUP(R214,PRODUCT_MAP!A:E,3,FALSE)</f>
        <v/>
      </c>
    </row>
    <row r="215" ht="22.5" customHeight="1">
      <c r="A215" s="308" t="s">
        <v>4743</v>
      </c>
      <c r="B215" s="308" t="s">
        <v>4744</v>
      </c>
      <c r="C215" s="308" t="s">
        <v>2942</v>
      </c>
      <c r="D215" s="308" t="s">
        <v>4745</v>
      </c>
      <c r="E215" s="308" t="s">
        <v>3013</v>
      </c>
      <c r="F215" s="308"/>
      <c r="G215" s="308" t="s">
        <v>2965</v>
      </c>
      <c r="H215" s="308" t="s">
        <v>2947</v>
      </c>
      <c r="I215" s="308">
        <v>120.0</v>
      </c>
      <c r="J215" s="308">
        <v>0.0</v>
      </c>
      <c r="K215" s="308">
        <v>21.64</v>
      </c>
      <c r="L215" s="308">
        <v>120.0</v>
      </c>
      <c r="M215" s="308"/>
      <c r="N215" s="308">
        <v>0.0</v>
      </c>
      <c r="O215" s="308" t="s">
        <v>2948</v>
      </c>
      <c r="P215" s="308" t="s">
        <v>4746</v>
      </c>
      <c r="Q215" s="310">
        <v>1.0</v>
      </c>
      <c r="R215" s="308" t="s">
        <v>509</v>
      </c>
      <c r="S215" s="308">
        <v>120.0</v>
      </c>
      <c r="T215" s="311"/>
      <c r="U215" s="308" t="s">
        <v>161</v>
      </c>
      <c r="V215" s="308" t="b">
        <v>1</v>
      </c>
      <c r="W215" s="308" t="b">
        <v>1</v>
      </c>
      <c r="X215" s="308"/>
      <c r="Y215" s="308" t="s">
        <v>4747</v>
      </c>
      <c r="Z215" s="308" t="s">
        <v>4748</v>
      </c>
      <c r="AA215" s="308" t="s">
        <v>4748</v>
      </c>
      <c r="AB215" s="308"/>
      <c r="AC215" s="308"/>
      <c r="AD215" s="308" t="s">
        <v>3081</v>
      </c>
      <c r="AE215" s="308">
        <v>199.0</v>
      </c>
      <c r="AF215" s="308" t="s">
        <v>3082</v>
      </c>
      <c r="AG215" s="308" t="s">
        <v>2955</v>
      </c>
      <c r="AH215" s="308"/>
      <c r="AI215" s="308" t="s">
        <v>4747</v>
      </c>
      <c r="AJ215" s="308" t="s">
        <v>4749</v>
      </c>
      <c r="AK215" s="308" t="s">
        <v>4748</v>
      </c>
      <c r="AL215" s="308" t="s">
        <v>4750</v>
      </c>
      <c r="AM215" s="308"/>
      <c r="AN215" s="308" t="s">
        <v>3081</v>
      </c>
      <c r="AO215" s="308">
        <v>199.0</v>
      </c>
      <c r="AP215" s="308" t="s">
        <v>3082</v>
      </c>
      <c r="AQ215" s="308" t="s">
        <v>2955</v>
      </c>
      <c r="AR215" s="308">
        <v>3.396536331E9</v>
      </c>
      <c r="AS215" s="311"/>
      <c r="AT215" s="311"/>
      <c r="AU215" s="311"/>
      <c r="AV215" s="308" t="s">
        <v>2956</v>
      </c>
      <c r="AW215" s="308">
        <v>4.7833643483463E13</v>
      </c>
      <c r="AX215" s="310">
        <v>0.0</v>
      </c>
      <c r="AY215" s="308" t="s">
        <v>2974</v>
      </c>
      <c r="AZ215" s="308">
        <v>0.0</v>
      </c>
      <c r="BA215" s="311"/>
      <c r="BB215" s="311"/>
      <c r="BC215" s="311"/>
      <c r="BD215" s="308">
        <v>7.682403991879E12</v>
      </c>
      <c r="BE215" s="311"/>
      <c r="BF215" s="311"/>
      <c r="BG215" s="308" t="s">
        <v>2958</v>
      </c>
      <c r="BH215" s="308">
        <v>0.0</v>
      </c>
      <c r="BI215" s="308" t="s">
        <v>2959</v>
      </c>
      <c r="BJ215" s="308">
        <v>21.64</v>
      </c>
      <c r="BK215" s="311"/>
      <c r="BL215" s="311"/>
      <c r="BM215" s="311"/>
      <c r="BN215" s="311"/>
      <c r="BO215" s="311"/>
      <c r="BP215" s="311"/>
      <c r="BQ215" s="311"/>
      <c r="BR215" s="311"/>
      <c r="BS215" s="308"/>
      <c r="BT215" s="311"/>
      <c r="BU215" s="311"/>
      <c r="BV215" s="308" t="s">
        <v>3081</v>
      </c>
      <c r="BW215" s="308" t="s">
        <v>3081</v>
      </c>
      <c r="BX215" s="308" t="s">
        <v>2956</v>
      </c>
      <c r="BY215" s="311"/>
      <c r="BZ215" s="311"/>
      <c r="CA215" s="308" t="s">
        <v>2956</v>
      </c>
      <c r="CB215" s="312" t="str">
        <f t="shared" si="1"/>
        <v>16/05/2026</v>
      </c>
      <c r="CC215" s="313">
        <f t="shared" si="2"/>
        <v>2026</v>
      </c>
      <c r="CD215" s="314">
        <f t="shared" si="3"/>
        <v>5</v>
      </c>
      <c r="CE215" s="314">
        <f t="shared" si="4"/>
        <v>1</v>
      </c>
      <c r="CF215" s="314">
        <f t="shared" si="5"/>
        <v>1</v>
      </c>
      <c r="CG215" s="314">
        <f t="shared" si="6"/>
        <v>-5</v>
      </c>
      <c r="CH215" s="315">
        <f>VLOOKUP(CL215,'PRODUCT_COGS&amp;PRICE'!A:E,5,false)</f>
        <v>30.33</v>
      </c>
      <c r="CI215" s="315">
        <f t="shared" si="7"/>
        <v>-2.53</v>
      </c>
      <c r="CJ215" s="316">
        <f t="shared" si="8"/>
        <v>0</v>
      </c>
      <c r="CK215" s="316">
        <f t="shared" si="9"/>
        <v>0</v>
      </c>
      <c r="CL215" s="314" t="str">
        <f>VLOOKUP(R215,PRODUCT_MAP!A:B,2,FALSE)</f>
        <v>Lea_Bag_COCCO_BLACK</v>
      </c>
      <c r="CM215" s="314" t="str">
        <f>VLOOKUP(R215,PRODUCT_MAP!A:E,3,FALSE)</f>
        <v>Lea Bag</v>
      </c>
    </row>
    <row r="216" ht="22.5" customHeight="1">
      <c r="A216" s="308" t="s">
        <v>4751</v>
      </c>
      <c r="B216" s="308" t="s">
        <v>4752</v>
      </c>
      <c r="C216" s="308" t="s">
        <v>2942</v>
      </c>
      <c r="D216" s="308" t="s">
        <v>4753</v>
      </c>
      <c r="E216" s="308" t="s">
        <v>3013</v>
      </c>
      <c r="F216" s="308"/>
      <c r="G216" s="308" t="s">
        <v>2946</v>
      </c>
      <c r="H216" s="308" t="s">
        <v>2947</v>
      </c>
      <c r="I216" s="308">
        <v>81.0</v>
      </c>
      <c r="J216" s="308">
        <v>3.9</v>
      </c>
      <c r="K216" s="308">
        <v>15.31</v>
      </c>
      <c r="L216" s="308">
        <v>84.9</v>
      </c>
      <c r="M216" s="308" t="s">
        <v>3094</v>
      </c>
      <c r="N216" s="308">
        <v>9.0</v>
      </c>
      <c r="O216" s="308" t="s">
        <v>2948</v>
      </c>
      <c r="P216" s="308" t="s">
        <v>4754</v>
      </c>
      <c r="Q216" s="310">
        <v>1.0</v>
      </c>
      <c r="R216" s="308" t="s">
        <v>4220</v>
      </c>
      <c r="S216" s="308">
        <v>90.0</v>
      </c>
      <c r="T216" s="311"/>
      <c r="U216" s="308" t="s">
        <v>4221</v>
      </c>
      <c r="V216" s="308" t="b">
        <v>1</v>
      </c>
      <c r="W216" s="308" t="b">
        <v>1</v>
      </c>
      <c r="X216" s="308"/>
      <c r="Y216" s="308" t="s">
        <v>4755</v>
      </c>
      <c r="Z216" s="308" t="s">
        <v>4756</v>
      </c>
      <c r="AA216" s="308" t="s">
        <v>4756</v>
      </c>
      <c r="AB216" s="308"/>
      <c r="AC216" s="308"/>
      <c r="AD216" s="308" t="s">
        <v>4757</v>
      </c>
      <c r="AE216" s="308">
        <v>20834.0</v>
      </c>
      <c r="AF216" s="308" t="s">
        <v>3270</v>
      </c>
      <c r="AG216" s="308" t="s">
        <v>2955</v>
      </c>
      <c r="AH216" s="308">
        <v>3.922448432E9</v>
      </c>
      <c r="AI216" s="308" t="s">
        <v>4755</v>
      </c>
      <c r="AJ216" s="308" t="s">
        <v>4758</v>
      </c>
      <c r="AK216" s="308" t="s">
        <v>4758</v>
      </c>
      <c r="AL216" s="308"/>
      <c r="AM216" s="308"/>
      <c r="AN216" s="308" t="s">
        <v>4757</v>
      </c>
      <c r="AO216" s="308">
        <v>20834.0</v>
      </c>
      <c r="AP216" s="308" t="s">
        <v>3270</v>
      </c>
      <c r="AQ216" s="308" t="s">
        <v>2955</v>
      </c>
      <c r="AR216" s="308">
        <v>3.922448432E9</v>
      </c>
      <c r="AS216" s="311"/>
      <c r="AT216" s="311"/>
      <c r="AU216" s="311"/>
      <c r="AV216" s="308" t="s">
        <v>2956</v>
      </c>
      <c r="AW216" s="308">
        <v>4.7829031289159E13</v>
      </c>
      <c r="AX216" s="310">
        <v>0.0</v>
      </c>
      <c r="AY216" s="308" t="s">
        <v>2974</v>
      </c>
      <c r="AZ216" s="308">
        <v>0.0</v>
      </c>
      <c r="BA216" s="311"/>
      <c r="BB216" s="311"/>
      <c r="BC216" s="311"/>
      <c r="BD216" s="308">
        <v>7.683003318599E12</v>
      </c>
      <c r="BE216" s="311"/>
      <c r="BF216" s="311"/>
      <c r="BG216" s="308" t="s">
        <v>2958</v>
      </c>
      <c r="BH216" s="308">
        <v>0.0</v>
      </c>
      <c r="BI216" s="308" t="s">
        <v>2959</v>
      </c>
      <c r="BJ216" s="308">
        <v>14.61</v>
      </c>
      <c r="BK216" s="311"/>
      <c r="BL216" s="311"/>
      <c r="BM216" s="311"/>
      <c r="BN216" s="311"/>
      <c r="BO216" s="311"/>
      <c r="BP216" s="311"/>
      <c r="BQ216" s="311"/>
      <c r="BR216" s="311"/>
      <c r="BS216" s="308"/>
      <c r="BT216" s="311"/>
      <c r="BU216" s="311"/>
      <c r="BV216" s="308" t="s">
        <v>3271</v>
      </c>
      <c r="BW216" s="308" t="s">
        <v>3271</v>
      </c>
      <c r="BX216" s="308" t="s">
        <v>2956</v>
      </c>
      <c r="BY216" s="311"/>
      <c r="BZ216" s="311"/>
      <c r="CA216" s="308" t="s">
        <v>2956</v>
      </c>
      <c r="CB216" s="312" t="str">
        <f t="shared" si="1"/>
        <v>16/05/2026</v>
      </c>
      <c r="CC216" s="313">
        <f t="shared" si="2"/>
        <v>2026</v>
      </c>
      <c r="CD216" s="314">
        <f t="shared" si="3"/>
        <v>5</v>
      </c>
      <c r="CE216" s="314">
        <f t="shared" si="4"/>
        <v>1</v>
      </c>
      <c r="CF216" s="314">
        <f t="shared" si="5"/>
        <v>1</v>
      </c>
      <c r="CG216" s="314">
        <f t="shared" si="6"/>
        <v>0</v>
      </c>
      <c r="CH216" s="315">
        <f>VLOOKUP(CL216,'PRODUCT_COGS&amp;PRICE'!A:E,5,false)</f>
        <v>16.5</v>
      </c>
      <c r="CI216" s="315">
        <f t="shared" si="7"/>
        <v>-1.8631</v>
      </c>
      <c r="CJ216" s="316">
        <f t="shared" si="8"/>
        <v>0</v>
      </c>
      <c r="CK216" s="316">
        <f t="shared" si="9"/>
        <v>9</v>
      </c>
      <c r="CL216" s="314" t="str">
        <f>VLOOKUP(R216,PRODUCT_MAP!A:B,2,FALSE)</f>
        <v>Annie_Bag_PAILLETTES_NUDE</v>
      </c>
      <c r="CM216" s="314" t="str">
        <f>VLOOKUP(R216,PRODUCT_MAP!A:E,3,FALSE)</f>
        <v>Agata Bag</v>
      </c>
    </row>
    <row r="217" ht="22.5" customHeight="1">
      <c r="A217" s="308" t="s">
        <v>4759</v>
      </c>
      <c r="B217" s="308" t="s">
        <v>3973</v>
      </c>
      <c r="C217" s="308" t="s">
        <v>2942</v>
      </c>
      <c r="D217" s="308" t="s">
        <v>4760</v>
      </c>
      <c r="E217" s="308" t="s">
        <v>3013</v>
      </c>
      <c r="F217" s="308"/>
      <c r="G217" s="308" t="s">
        <v>2946</v>
      </c>
      <c r="H217" s="308" t="s">
        <v>2947</v>
      </c>
      <c r="I217" s="308">
        <v>170.0</v>
      </c>
      <c r="J217" s="308">
        <v>0.0</v>
      </c>
      <c r="K217" s="308">
        <v>30.66</v>
      </c>
      <c r="L217" s="308">
        <v>170.0</v>
      </c>
      <c r="M217" s="308"/>
      <c r="N217" s="308">
        <v>0.0</v>
      </c>
      <c r="O217" s="308" t="s">
        <v>2948</v>
      </c>
      <c r="P217" s="308" t="s">
        <v>4760</v>
      </c>
      <c r="Q217" s="310">
        <v>1.0</v>
      </c>
      <c r="R217" s="308" t="s">
        <v>549</v>
      </c>
      <c r="S217" s="308">
        <v>170.0</v>
      </c>
      <c r="T217" s="311"/>
      <c r="U217" s="308"/>
      <c r="V217" s="308" t="b">
        <v>1</v>
      </c>
      <c r="W217" s="308" t="b">
        <v>1</v>
      </c>
      <c r="X217" s="308"/>
      <c r="Y217" s="308" t="s">
        <v>3976</v>
      </c>
      <c r="Z217" s="308" t="s">
        <v>3978</v>
      </c>
      <c r="AA217" s="308" t="s">
        <v>3979</v>
      </c>
      <c r="AB217" s="308" t="s">
        <v>3980</v>
      </c>
      <c r="AC217" s="308"/>
      <c r="AD217" s="308" t="s">
        <v>23</v>
      </c>
      <c r="AE217" s="308">
        <v>20143.0</v>
      </c>
      <c r="AF217" s="308" t="s">
        <v>2954</v>
      </c>
      <c r="AG217" s="308" t="s">
        <v>2955</v>
      </c>
      <c r="AH217" s="308">
        <v>3.385736332E9</v>
      </c>
      <c r="AI217" s="308" t="s">
        <v>3976</v>
      </c>
      <c r="AJ217" s="308" t="s">
        <v>3978</v>
      </c>
      <c r="AK217" s="308" t="s">
        <v>3979</v>
      </c>
      <c r="AL217" s="308" t="s">
        <v>3980</v>
      </c>
      <c r="AM217" s="308"/>
      <c r="AN217" s="308" t="s">
        <v>23</v>
      </c>
      <c r="AO217" s="308">
        <v>20143.0</v>
      </c>
      <c r="AP217" s="308" t="s">
        <v>2954</v>
      </c>
      <c r="AQ217" s="308" t="s">
        <v>2955</v>
      </c>
      <c r="AR217" s="308">
        <v>3.385736332E9</v>
      </c>
      <c r="AS217" s="311"/>
      <c r="AT217" s="311"/>
      <c r="AU217" s="311"/>
      <c r="AV217" s="308" t="s">
        <v>3009</v>
      </c>
      <c r="AW217" s="308">
        <v>4.7835165360455E13</v>
      </c>
      <c r="AX217" s="310">
        <v>0.0</v>
      </c>
      <c r="AY217" s="308" t="s">
        <v>2974</v>
      </c>
      <c r="AZ217" s="308">
        <v>0.0</v>
      </c>
      <c r="BA217" s="311"/>
      <c r="BB217" s="311"/>
      <c r="BC217" s="311"/>
      <c r="BD217" s="308">
        <v>7.683460628807E12</v>
      </c>
      <c r="BE217" s="311"/>
      <c r="BF217" s="311"/>
      <c r="BG217" s="308" t="s">
        <v>2958</v>
      </c>
      <c r="BH217" s="308">
        <v>0.0</v>
      </c>
      <c r="BI217" s="308" t="s">
        <v>2959</v>
      </c>
      <c r="BJ217" s="308">
        <v>30.66</v>
      </c>
      <c r="BK217" s="311"/>
      <c r="BL217" s="311"/>
      <c r="BM217" s="311"/>
      <c r="BN217" s="311"/>
      <c r="BO217" s="311"/>
      <c r="BP217" s="311"/>
      <c r="BQ217" s="311"/>
      <c r="BR217" s="311"/>
      <c r="BS217" s="308"/>
      <c r="BT217" s="311"/>
      <c r="BU217" s="311"/>
      <c r="BV217" s="308" t="s">
        <v>23</v>
      </c>
      <c r="BW217" s="308" t="s">
        <v>23</v>
      </c>
      <c r="BX217" s="308" t="s">
        <v>3009</v>
      </c>
      <c r="BY217" s="311"/>
      <c r="BZ217" s="311"/>
      <c r="CA217" s="308" t="s">
        <v>3009</v>
      </c>
      <c r="CB217" s="312" t="str">
        <f t="shared" si="1"/>
        <v>16/05/2026</v>
      </c>
      <c r="CC217" s="313">
        <f t="shared" si="2"/>
        <v>2026</v>
      </c>
      <c r="CD217" s="314">
        <f t="shared" si="3"/>
        <v>5</v>
      </c>
      <c r="CE217" s="314">
        <f t="shared" si="4"/>
        <v>1</v>
      </c>
      <c r="CF217" s="314">
        <f t="shared" si="5"/>
        <v>1</v>
      </c>
      <c r="CG217" s="314">
        <f t="shared" si="6"/>
        <v>-5</v>
      </c>
      <c r="CH217" s="315">
        <f>VLOOKUP(CL217,'PRODUCT_COGS&amp;PRICE'!A:E,5,false)</f>
        <v>36</v>
      </c>
      <c r="CI217" s="315">
        <f t="shared" si="7"/>
        <v>-6.283</v>
      </c>
      <c r="CJ217" s="316">
        <f t="shared" si="8"/>
        <v>0</v>
      </c>
      <c r="CK217" s="316">
        <f t="shared" si="9"/>
        <v>0</v>
      </c>
      <c r="CL217" s="314" t="str">
        <f>VLOOKUP(R217,PRODUCT_MAP!A:B,2,FALSE)</f>
        <v>Lea_Bag_Maxi_COCCO_BLACK</v>
      </c>
      <c r="CM217" s="314" t="str">
        <f>VLOOKUP(R217,PRODUCT_MAP!A:E,3,FALSE)</f>
        <v>Lea Bag Maxi</v>
      </c>
    </row>
    <row r="218" ht="22.5" customHeight="1">
      <c r="A218" s="308" t="s">
        <v>4761</v>
      </c>
      <c r="B218" s="308" t="s">
        <v>4762</v>
      </c>
      <c r="C218" s="308" t="s">
        <v>2942</v>
      </c>
      <c r="D218" s="308" t="s">
        <v>4763</v>
      </c>
      <c r="E218" s="308" t="s">
        <v>3013</v>
      </c>
      <c r="F218" s="308"/>
      <c r="G218" s="308" t="s">
        <v>2946</v>
      </c>
      <c r="H218" s="308" t="s">
        <v>2947</v>
      </c>
      <c r="I218" s="308">
        <v>67.5</v>
      </c>
      <c r="J218" s="308">
        <v>3.9</v>
      </c>
      <c r="K218" s="308">
        <v>12.87</v>
      </c>
      <c r="L218" s="308">
        <v>71.4</v>
      </c>
      <c r="M218" s="308" t="s">
        <v>3094</v>
      </c>
      <c r="N218" s="308">
        <v>7.5</v>
      </c>
      <c r="O218" s="308" t="s">
        <v>2948</v>
      </c>
      <c r="P218" s="308" t="s">
        <v>4763</v>
      </c>
      <c r="Q218" s="310">
        <v>1.0</v>
      </c>
      <c r="R218" s="308" t="s">
        <v>3883</v>
      </c>
      <c r="S218" s="308">
        <v>75.0</v>
      </c>
      <c r="T218" s="311"/>
      <c r="U218" s="308" t="s">
        <v>281</v>
      </c>
      <c r="V218" s="308" t="b">
        <v>1</v>
      </c>
      <c r="W218" s="308" t="b">
        <v>1</v>
      </c>
      <c r="X218" s="308"/>
      <c r="Y218" s="308" t="s">
        <v>4764</v>
      </c>
      <c r="Z218" s="308" t="s">
        <v>4765</v>
      </c>
      <c r="AA218" s="308" t="s">
        <v>4765</v>
      </c>
      <c r="AB218" s="308"/>
      <c r="AC218" s="308"/>
      <c r="AD218" s="308" t="s">
        <v>3081</v>
      </c>
      <c r="AE218" s="308">
        <v>179.0</v>
      </c>
      <c r="AF218" s="308" t="s">
        <v>3082</v>
      </c>
      <c r="AG218" s="308" t="s">
        <v>2955</v>
      </c>
      <c r="AH218" s="308">
        <v>3.288589915E9</v>
      </c>
      <c r="AI218" s="308" t="s">
        <v>4764</v>
      </c>
      <c r="AJ218" s="308" t="s">
        <v>4765</v>
      </c>
      <c r="AK218" s="308" t="s">
        <v>4765</v>
      </c>
      <c r="AL218" s="308"/>
      <c r="AM218" s="308"/>
      <c r="AN218" s="308" t="s">
        <v>3081</v>
      </c>
      <c r="AO218" s="308">
        <v>179.0</v>
      </c>
      <c r="AP218" s="308" t="s">
        <v>3082</v>
      </c>
      <c r="AQ218" s="308" t="s">
        <v>2955</v>
      </c>
      <c r="AR218" s="308">
        <v>3.288589915E9</v>
      </c>
      <c r="AS218" s="311"/>
      <c r="AT218" s="311"/>
      <c r="AU218" s="311"/>
      <c r="AV218" s="308" t="s">
        <v>3009</v>
      </c>
      <c r="AW218" s="308">
        <v>4.7836842688839E13</v>
      </c>
      <c r="AX218" s="310">
        <v>0.0</v>
      </c>
      <c r="AY218" s="308" t="s">
        <v>2974</v>
      </c>
      <c r="AZ218" s="308">
        <v>0.0</v>
      </c>
      <c r="BA218" s="311"/>
      <c r="BB218" s="311"/>
      <c r="BC218" s="311"/>
      <c r="BD218" s="308">
        <v>7.684204626247E12</v>
      </c>
      <c r="BE218" s="311"/>
      <c r="BF218" s="311"/>
      <c r="BG218" s="308" t="s">
        <v>2958</v>
      </c>
      <c r="BH218" s="308">
        <v>0.0</v>
      </c>
      <c r="BI218" s="308" t="s">
        <v>2959</v>
      </c>
      <c r="BJ218" s="308">
        <v>12.17</v>
      </c>
      <c r="BK218" s="311"/>
      <c r="BL218" s="311"/>
      <c r="BM218" s="311"/>
      <c r="BN218" s="311"/>
      <c r="BO218" s="311"/>
      <c r="BP218" s="311"/>
      <c r="BQ218" s="311"/>
      <c r="BR218" s="311"/>
      <c r="BS218" s="308"/>
      <c r="BT218" s="311"/>
      <c r="BU218" s="311"/>
      <c r="BV218" s="308" t="s">
        <v>3081</v>
      </c>
      <c r="BW218" s="308" t="s">
        <v>3081</v>
      </c>
      <c r="BX218" s="308" t="s">
        <v>3009</v>
      </c>
      <c r="BY218" s="311"/>
      <c r="BZ218" s="311"/>
      <c r="CA218" s="308" t="s">
        <v>3009</v>
      </c>
      <c r="CB218" s="312" t="str">
        <f t="shared" si="1"/>
        <v>17/05/2026</v>
      </c>
      <c r="CC218" s="313">
        <f t="shared" si="2"/>
        <v>2026</v>
      </c>
      <c r="CD218" s="314">
        <f t="shared" si="3"/>
        <v>5</v>
      </c>
      <c r="CE218" s="314">
        <f t="shared" si="4"/>
        <v>1</v>
      </c>
      <c r="CF218" s="314">
        <f t="shared" si="5"/>
        <v>1</v>
      </c>
      <c r="CG218" s="314">
        <f t="shared" si="6"/>
        <v>0</v>
      </c>
      <c r="CH218" s="315">
        <f>VLOOKUP(CL218,'PRODUCT_COGS&amp;PRICE'!A:E,5,false)</f>
        <v>16.5</v>
      </c>
      <c r="CI218" s="315">
        <f t="shared" si="7"/>
        <v>-2.84186</v>
      </c>
      <c r="CJ218" s="316">
        <f t="shared" si="8"/>
        <v>0</v>
      </c>
      <c r="CK218" s="316">
        <f t="shared" si="9"/>
        <v>7.5</v>
      </c>
      <c r="CL218" s="314" t="str">
        <f>VLOOKUP(R218,PRODUCT_MAP!A:B,2,FALSE)</f>
        <v>Agata_Bag_TIE_DYE_PINK</v>
      </c>
      <c r="CM218" s="314" t="str">
        <f>VLOOKUP(R218,PRODUCT_MAP!A:E,3,FALSE)</f>
        <v>Agata Bag</v>
      </c>
    </row>
    <row r="219" ht="22.5" customHeight="1">
      <c r="A219" s="308" t="s">
        <v>4766</v>
      </c>
      <c r="B219" s="308" t="s">
        <v>4767</v>
      </c>
      <c r="C219" s="308" t="s">
        <v>2942</v>
      </c>
      <c r="D219" s="308" t="s">
        <v>4768</v>
      </c>
      <c r="E219" s="308" t="s">
        <v>3013</v>
      </c>
      <c r="F219" s="308"/>
      <c r="G219" s="308" t="s">
        <v>2946</v>
      </c>
      <c r="H219" s="308" t="s">
        <v>2947</v>
      </c>
      <c r="I219" s="308">
        <v>108.0</v>
      </c>
      <c r="J219" s="308">
        <v>0.0</v>
      </c>
      <c r="K219" s="308">
        <v>19.48</v>
      </c>
      <c r="L219" s="308">
        <v>108.0</v>
      </c>
      <c r="M219" s="308" t="s">
        <v>3094</v>
      </c>
      <c r="N219" s="308">
        <v>12.0</v>
      </c>
      <c r="O219" s="308" t="s">
        <v>2948</v>
      </c>
      <c r="P219" s="308" t="s">
        <v>4769</v>
      </c>
      <c r="Q219" s="310">
        <v>1.0</v>
      </c>
      <c r="R219" s="308" t="s">
        <v>509</v>
      </c>
      <c r="S219" s="308">
        <v>120.0</v>
      </c>
      <c r="T219" s="311"/>
      <c r="U219" s="308" t="s">
        <v>161</v>
      </c>
      <c r="V219" s="308" t="b">
        <v>1</v>
      </c>
      <c r="W219" s="308" t="b">
        <v>1</v>
      </c>
      <c r="X219" s="308"/>
      <c r="Y219" s="308" t="s">
        <v>4770</v>
      </c>
      <c r="Z219" s="308" t="s">
        <v>4771</v>
      </c>
      <c r="AA219" s="308" t="s">
        <v>4771</v>
      </c>
      <c r="AB219" s="308"/>
      <c r="AC219" s="308"/>
      <c r="AD219" s="308" t="s">
        <v>4772</v>
      </c>
      <c r="AE219" s="308">
        <v>15011.0</v>
      </c>
      <c r="AF219" s="308" t="s">
        <v>3131</v>
      </c>
      <c r="AG219" s="308" t="s">
        <v>2955</v>
      </c>
      <c r="AH219" s="318" t="s">
        <v>4773</v>
      </c>
      <c r="AI219" s="308" t="s">
        <v>4770</v>
      </c>
      <c r="AJ219" s="308" t="s">
        <v>4771</v>
      </c>
      <c r="AK219" s="308" t="s">
        <v>4771</v>
      </c>
      <c r="AL219" s="308"/>
      <c r="AM219" s="308"/>
      <c r="AN219" s="308" t="s">
        <v>4772</v>
      </c>
      <c r="AO219" s="308">
        <v>15011.0</v>
      </c>
      <c r="AP219" s="308" t="s">
        <v>3131</v>
      </c>
      <c r="AQ219" s="308" t="s">
        <v>2955</v>
      </c>
      <c r="AR219" s="318" t="s">
        <v>4773</v>
      </c>
      <c r="AS219" s="311"/>
      <c r="AT219" s="311"/>
      <c r="AU219" s="311"/>
      <c r="AV219" s="308" t="s">
        <v>3009</v>
      </c>
      <c r="AW219" s="308">
        <v>4.7837521543495E13</v>
      </c>
      <c r="AX219" s="310">
        <v>0.0</v>
      </c>
      <c r="AY219" s="308" t="s">
        <v>2974</v>
      </c>
      <c r="AZ219" s="308">
        <v>0.0</v>
      </c>
      <c r="BA219" s="311"/>
      <c r="BB219" s="311"/>
      <c r="BC219" s="311"/>
      <c r="BD219" s="308">
        <v>7.684500586823E12</v>
      </c>
      <c r="BE219" s="311"/>
      <c r="BF219" s="311"/>
      <c r="BG219" s="308" t="s">
        <v>2958</v>
      </c>
      <c r="BH219" s="308">
        <v>0.0</v>
      </c>
      <c r="BI219" s="308" t="s">
        <v>2959</v>
      </c>
      <c r="BJ219" s="308">
        <v>19.48</v>
      </c>
      <c r="BK219" s="311"/>
      <c r="BL219" s="311"/>
      <c r="BM219" s="311"/>
      <c r="BN219" s="311"/>
      <c r="BO219" s="311"/>
      <c r="BP219" s="311"/>
      <c r="BQ219" s="311"/>
      <c r="BR219" s="311"/>
      <c r="BS219" s="308"/>
      <c r="BT219" s="311"/>
      <c r="BU219" s="311"/>
      <c r="BV219" s="308" t="s">
        <v>3130</v>
      </c>
      <c r="BW219" s="308" t="s">
        <v>3130</v>
      </c>
      <c r="BX219" s="308" t="s">
        <v>3009</v>
      </c>
      <c r="BY219" s="311"/>
      <c r="BZ219" s="311"/>
      <c r="CA219" s="308" t="s">
        <v>3009</v>
      </c>
      <c r="CB219" s="312" t="str">
        <f t="shared" si="1"/>
        <v>17/05/2026</v>
      </c>
      <c r="CC219" s="313">
        <f t="shared" si="2"/>
        <v>2026</v>
      </c>
      <c r="CD219" s="314">
        <f t="shared" si="3"/>
        <v>5</v>
      </c>
      <c r="CE219" s="314">
        <f t="shared" si="4"/>
        <v>1</v>
      </c>
      <c r="CF219" s="314">
        <f t="shared" si="5"/>
        <v>1</v>
      </c>
      <c r="CG219" s="314">
        <f t="shared" si="6"/>
        <v>-5</v>
      </c>
      <c r="CH219" s="315">
        <f>VLOOKUP(CL219,'PRODUCT_COGS&amp;PRICE'!A:E,5,false)</f>
        <v>30.33</v>
      </c>
      <c r="CI219" s="315">
        <f t="shared" si="7"/>
        <v>-4.1192</v>
      </c>
      <c r="CJ219" s="316">
        <f t="shared" si="8"/>
        <v>0</v>
      </c>
      <c r="CK219" s="316">
        <f t="shared" si="9"/>
        <v>12</v>
      </c>
      <c r="CL219" s="314" t="str">
        <f>VLOOKUP(R219,PRODUCT_MAP!A:B,2,FALSE)</f>
        <v>Lea_Bag_COCCO_BLACK</v>
      </c>
      <c r="CM219" s="314" t="str">
        <f>VLOOKUP(R219,PRODUCT_MAP!A:E,3,FALSE)</f>
        <v>Lea Bag</v>
      </c>
    </row>
    <row r="220" ht="22.5" customHeight="1">
      <c r="A220" s="308" t="s">
        <v>4774</v>
      </c>
      <c r="B220" s="308" t="s">
        <v>4775</v>
      </c>
      <c r="C220" s="308" t="s">
        <v>2942</v>
      </c>
      <c r="D220" s="308" t="s">
        <v>4776</v>
      </c>
      <c r="E220" s="308" t="s">
        <v>3013</v>
      </c>
      <c r="F220" s="308"/>
      <c r="G220" s="308" t="s">
        <v>2946</v>
      </c>
      <c r="H220" s="308" t="s">
        <v>2947</v>
      </c>
      <c r="I220" s="308">
        <v>108.0</v>
      </c>
      <c r="J220" s="308">
        <v>0.0</v>
      </c>
      <c r="K220" s="308">
        <v>19.48</v>
      </c>
      <c r="L220" s="308">
        <v>108.0</v>
      </c>
      <c r="M220" s="308" t="s">
        <v>3094</v>
      </c>
      <c r="N220" s="308">
        <v>12.0</v>
      </c>
      <c r="O220" s="308" t="s">
        <v>2948</v>
      </c>
      <c r="P220" s="308" t="s">
        <v>4777</v>
      </c>
      <c r="Q220" s="310">
        <v>1.0</v>
      </c>
      <c r="R220" s="308" t="s">
        <v>916</v>
      </c>
      <c r="S220" s="308">
        <v>120.0</v>
      </c>
      <c r="T220" s="311"/>
      <c r="U220" s="308" t="s">
        <v>184</v>
      </c>
      <c r="V220" s="308" t="b">
        <v>1</v>
      </c>
      <c r="W220" s="308" t="b">
        <v>1</v>
      </c>
      <c r="X220" s="308"/>
      <c r="Y220" s="308" t="s">
        <v>4778</v>
      </c>
      <c r="Z220" s="308" t="s">
        <v>4779</v>
      </c>
      <c r="AA220" s="308" t="s">
        <v>4780</v>
      </c>
      <c r="AB220" s="308" t="s">
        <v>4781</v>
      </c>
      <c r="AC220" s="308" t="s">
        <v>4781</v>
      </c>
      <c r="AD220" s="308" t="s">
        <v>3655</v>
      </c>
      <c r="AE220" s="308">
        <v>10141.0</v>
      </c>
      <c r="AF220" s="308" t="s">
        <v>3654</v>
      </c>
      <c r="AG220" s="308" t="s">
        <v>2955</v>
      </c>
      <c r="AH220" s="308">
        <v>3.479249034E9</v>
      </c>
      <c r="AI220" s="308" t="s">
        <v>4778</v>
      </c>
      <c r="AJ220" s="308" t="s">
        <v>4779</v>
      </c>
      <c r="AK220" s="308" t="s">
        <v>4780</v>
      </c>
      <c r="AL220" s="308" t="s">
        <v>4781</v>
      </c>
      <c r="AM220" s="308" t="s">
        <v>4781</v>
      </c>
      <c r="AN220" s="308" t="s">
        <v>3655</v>
      </c>
      <c r="AO220" s="308">
        <v>10141.0</v>
      </c>
      <c r="AP220" s="308" t="s">
        <v>3654</v>
      </c>
      <c r="AQ220" s="308" t="s">
        <v>2955</v>
      </c>
      <c r="AR220" s="308">
        <v>3.479249034E9</v>
      </c>
      <c r="AS220" s="311"/>
      <c r="AT220" s="311"/>
      <c r="AU220" s="311"/>
      <c r="AV220" s="308" t="s">
        <v>3009</v>
      </c>
      <c r="AW220" s="308">
        <v>4.7834866090311E13</v>
      </c>
      <c r="AX220" s="310">
        <v>0.0</v>
      </c>
      <c r="AY220" s="308" t="s">
        <v>2974</v>
      </c>
      <c r="AZ220" s="308">
        <v>0.0</v>
      </c>
      <c r="BA220" s="311"/>
      <c r="BB220" s="311"/>
      <c r="BC220" s="311"/>
      <c r="BD220" s="308">
        <v>7.685283512647E12</v>
      </c>
      <c r="BE220" s="311"/>
      <c r="BF220" s="311"/>
      <c r="BG220" s="308" t="s">
        <v>2958</v>
      </c>
      <c r="BH220" s="308">
        <v>0.0</v>
      </c>
      <c r="BI220" s="308" t="s">
        <v>2959</v>
      </c>
      <c r="BJ220" s="308">
        <v>19.48</v>
      </c>
      <c r="BK220" s="311"/>
      <c r="BL220" s="311"/>
      <c r="BM220" s="311"/>
      <c r="BN220" s="311"/>
      <c r="BO220" s="311"/>
      <c r="BP220" s="311"/>
      <c r="BQ220" s="311"/>
      <c r="BR220" s="311"/>
      <c r="BS220" s="308"/>
      <c r="BT220" s="311"/>
      <c r="BU220" s="311"/>
      <c r="BV220" s="308" t="s">
        <v>3655</v>
      </c>
      <c r="BW220" s="308" t="s">
        <v>3655</v>
      </c>
      <c r="BX220" s="308" t="s">
        <v>3009</v>
      </c>
      <c r="BY220" s="311"/>
      <c r="BZ220" s="311"/>
      <c r="CA220" s="308" t="s">
        <v>3009</v>
      </c>
      <c r="CB220" s="312" t="str">
        <f t="shared" si="1"/>
        <v>17/05/2026</v>
      </c>
      <c r="CC220" s="313">
        <f t="shared" si="2"/>
        <v>2026</v>
      </c>
      <c r="CD220" s="314">
        <f t="shared" si="3"/>
        <v>5</v>
      </c>
      <c r="CE220" s="314">
        <f t="shared" si="4"/>
        <v>1</v>
      </c>
      <c r="CF220" s="314">
        <f t="shared" si="5"/>
        <v>1</v>
      </c>
      <c r="CG220" s="314">
        <f t="shared" si="6"/>
        <v>-5</v>
      </c>
      <c r="CH220" s="315">
        <f>VLOOKUP(CL220,'PRODUCT_COGS&amp;PRICE'!A:E,5,false)</f>
        <v>33</v>
      </c>
      <c r="CI220" s="315">
        <f t="shared" si="7"/>
        <v>-4.1192</v>
      </c>
      <c r="CJ220" s="316">
        <f t="shared" si="8"/>
        <v>0</v>
      </c>
      <c r="CK220" s="316">
        <f t="shared" si="9"/>
        <v>12</v>
      </c>
      <c r="CL220" s="314" t="str">
        <f>VLOOKUP(R220,PRODUCT_MAP!A:B,2,FALSE)</f>
        <v>Lea_Bag_PONY_COCCO_BLACK</v>
      </c>
      <c r="CM220" s="314" t="str">
        <f>VLOOKUP(R220,PRODUCT_MAP!A:E,3,FALSE)</f>
        <v>Lea Bag</v>
      </c>
    </row>
    <row r="221" ht="22.5" customHeight="1">
      <c r="A221" s="308" t="s">
        <v>4782</v>
      </c>
      <c r="B221" s="308" t="s">
        <v>4783</v>
      </c>
      <c r="C221" s="308" t="s">
        <v>2942</v>
      </c>
      <c r="D221" s="308" t="s">
        <v>4784</v>
      </c>
      <c r="E221" s="308" t="s">
        <v>3013</v>
      </c>
      <c r="F221" s="308"/>
      <c r="G221" s="308" t="s">
        <v>2965</v>
      </c>
      <c r="H221" s="308" t="s">
        <v>2947</v>
      </c>
      <c r="I221" s="308">
        <v>100.0</v>
      </c>
      <c r="J221" s="308">
        <v>0.0</v>
      </c>
      <c r="K221" s="308">
        <v>18.03</v>
      </c>
      <c r="L221" s="308">
        <v>100.0</v>
      </c>
      <c r="M221" s="308"/>
      <c r="N221" s="308">
        <v>0.0</v>
      </c>
      <c r="O221" s="308" t="s">
        <v>2948</v>
      </c>
      <c r="P221" s="308" t="s">
        <v>4785</v>
      </c>
      <c r="Q221" s="310">
        <v>1.0</v>
      </c>
      <c r="R221" s="308" t="s">
        <v>4786</v>
      </c>
      <c r="S221" s="308">
        <v>100.0</v>
      </c>
      <c r="T221" s="311"/>
      <c r="U221" s="308" t="s">
        <v>4732</v>
      </c>
      <c r="V221" s="308" t="b">
        <v>1</v>
      </c>
      <c r="W221" s="308" t="b">
        <v>1</v>
      </c>
      <c r="X221" s="308"/>
      <c r="Y221" s="308" t="s">
        <v>4787</v>
      </c>
      <c r="Z221" s="308" t="s">
        <v>4788</v>
      </c>
      <c r="AA221" s="308" t="s">
        <v>4788</v>
      </c>
      <c r="AB221" s="308"/>
      <c r="AC221" s="308"/>
      <c r="AD221" s="308" t="s">
        <v>23</v>
      </c>
      <c r="AE221" s="308">
        <v>20135.0</v>
      </c>
      <c r="AF221" s="308" t="s">
        <v>2954</v>
      </c>
      <c r="AG221" s="308" t="s">
        <v>2955</v>
      </c>
      <c r="AH221" s="308"/>
      <c r="AI221" s="308" t="s">
        <v>4789</v>
      </c>
      <c r="AJ221" s="308" t="s">
        <v>4790</v>
      </c>
      <c r="AK221" s="308" t="s">
        <v>4790</v>
      </c>
      <c r="AL221" s="308"/>
      <c r="AM221" s="308"/>
      <c r="AN221" s="308" t="s">
        <v>4791</v>
      </c>
      <c r="AO221" s="308">
        <v>81024.0</v>
      </c>
      <c r="AP221" s="308" t="s">
        <v>4792</v>
      </c>
      <c r="AQ221" s="308" t="s">
        <v>2955</v>
      </c>
      <c r="AR221" s="308">
        <v>3.337542165E9</v>
      </c>
      <c r="AS221" s="311"/>
      <c r="AT221" s="311"/>
      <c r="AU221" s="311"/>
      <c r="AV221" s="308" t="s">
        <v>2956</v>
      </c>
      <c r="AW221" s="308">
        <v>4.7838061789511E13</v>
      </c>
      <c r="AX221" s="310">
        <v>0.0</v>
      </c>
      <c r="AY221" s="308" t="s">
        <v>2974</v>
      </c>
      <c r="AZ221" s="308">
        <v>0.0</v>
      </c>
      <c r="BA221" s="311"/>
      <c r="BB221" s="311"/>
      <c r="BC221" s="311"/>
      <c r="BD221" s="308">
        <v>7.685465440583E12</v>
      </c>
      <c r="BE221" s="311"/>
      <c r="BF221" s="311"/>
      <c r="BG221" s="308" t="s">
        <v>2958</v>
      </c>
      <c r="BH221" s="308">
        <v>0.0</v>
      </c>
      <c r="BI221" s="308" t="s">
        <v>2959</v>
      </c>
      <c r="BJ221" s="308">
        <v>18.03</v>
      </c>
      <c r="BK221" s="311"/>
      <c r="BL221" s="311"/>
      <c r="BM221" s="311"/>
      <c r="BN221" s="311"/>
      <c r="BO221" s="311"/>
      <c r="BP221" s="311"/>
      <c r="BQ221" s="311"/>
      <c r="BR221" s="311"/>
      <c r="BS221" s="308"/>
      <c r="BT221" s="311"/>
      <c r="BU221" s="311"/>
      <c r="BV221" s="308" t="s">
        <v>23</v>
      </c>
      <c r="BW221" s="308" t="s">
        <v>4793</v>
      </c>
      <c r="BX221" s="308" t="s">
        <v>2956</v>
      </c>
      <c r="BY221" s="311"/>
      <c r="BZ221" s="311"/>
      <c r="CA221" s="308" t="s">
        <v>2956</v>
      </c>
      <c r="CB221" s="312" t="str">
        <f t="shared" si="1"/>
        <v>17/05/2026</v>
      </c>
      <c r="CC221" s="313">
        <f t="shared" si="2"/>
        <v>2026</v>
      </c>
      <c r="CD221" s="314">
        <f t="shared" si="3"/>
        <v>5</v>
      </c>
      <c r="CE221" s="314">
        <f t="shared" si="4"/>
        <v>1</v>
      </c>
      <c r="CF221" s="314">
        <f t="shared" si="5"/>
        <v>1</v>
      </c>
      <c r="CG221" s="314">
        <f t="shared" si="6"/>
        <v>-5</v>
      </c>
      <c r="CH221" s="315">
        <f>VLOOKUP(CL221,'PRODUCT_COGS&amp;PRICE'!A:E,5,false)</f>
        <v>16.5</v>
      </c>
      <c r="CI221" s="315">
        <f t="shared" si="7"/>
        <v>-2.15</v>
      </c>
      <c r="CJ221" s="316">
        <f t="shared" si="8"/>
        <v>0</v>
      </c>
      <c r="CK221" s="316">
        <f t="shared" si="9"/>
        <v>0</v>
      </c>
      <c r="CL221" s="314" t="str">
        <f>VLOOKUP(R221,PRODUCT_MAP!A:B,2,FALSE)</f>
        <v>Annie_Bag_PINK</v>
      </c>
      <c r="CM221" s="314" t="str">
        <f>VLOOKUP(R221,PRODUCT_MAP!A:E,3,FALSE)</f>
        <v/>
      </c>
    </row>
    <row r="222" ht="22.5" customHeight="1">
      <c r="A222" s="308" t="s">
        <v>4794</v>
      </c>
      <c r="B222" s="308" t="s">
        <v>4795</v>
      </c>
      <c r="C222" s="308" t="s">
        <v>2942</v>
      </c>
      <c r="D222" s="308" t="s">
        <v>4796</v>
      </c>
      <c r="E222" s="308" t="s">
        <v>3013</v>
      </c>
      <c r="F222" s="308"/>
      <c r="G222" s="308" t="s">
        <v>2946</v>
      </c>
      <c r="H222" s="308" t="s">
        <v>2947</v>
      </c>
      <c r="I222" s="308">
        <v>81.0</v>
      </c>
      <c r="J222" s="308">
        <v>3.9</v>
      </c>
      <c r="K222" s="308">
        <v>15.31</v>
      </c>
      <c r="L222" s="308">
        <v>84.9</v>
      </c>
      <c r="M222" s="308" t="s">
        <v>3094</v>
      </c>
      <c r="N222" s="308">
        <v>9.0</v>
      </c>
      <c r="O222" s="308" t="s">
        <v>2948</v>
      </c>
      <c r="P222" s="308" t="s">
        <v>4797</v>
      </c>
      <c r="Q222" s="310">
        <v>1.0</v>
      </c>
      <c r="R222" s="308" t="s">
        <v>4429</v>
      </c>
      <c r="S222" s="308">
        <v>90.0</v>
      </c>
      <c r="T222" s="311"/>
      <c r="U222" s="308" t="s">
        <v>4430</v>
      </c>
      <c r="V222" s="308" t="b">
        <v>1</v>
      </c>
      <c r="W222" s="308" t="b">
        <v>1</v>
      </c>
      <c r="X222" s="308"/>
      <c r="Y222" s="308" t="s">
        <v>4798</v>
      </c>
      <c r="Z222" s="308" t="s">
        <v>4799</v>
      </c>
      <c r="AA222" s="308" t="s">
        <v>4799</v>
      </c>
      <c r="AB222" s="308"/>
      <c r="AC222" s="308"/>
      <c r="AD222" s="308" t="s">
        <v>3549</v>
      </c>
      <c r="AE222" s="308">
        <v>50127.0</v>
      </c>
      <c r="AF222" s="308" t="s">
        <v>3550</v>
      </c>
      <c r="AG222" s="308" t="s">
        <v>2955</v>
      </c>
      <c r="AH222" s="308"/>
      <c r="AI222" s="308" t="s">
        <v>4800</v>
      </c>
      <c r="AJ222" s="308" t="s">
        <v>4801</v>
      </c>
      <c r="AK222" s="308" t="s">
        <v>4801</v>
      </c>
      <c r="AL222" s="308"/>
      <c r="AM222" s="308"/>
      <c r="AN222" s="308" t="s">
        <v>3549</v>
      </c>
      <c r="AO222" s="308">
        <v>50127.0</v>
      </c>
      <c r="AP222" s="308" t="s">
        <v>3550</v>
      </c>
      <c r="AQ222" s="308" t="s">
        <v>2955</v>
      </c>
      <c r="AR222" s="308">
        <v>3.393043154E9</v>
      </c>
      <c r="AS222" s="311"/>
      <c r="AT222" s="311"/>
      <c r="AU222" s="311"/>
      <c r="AV222" s="308" t="s">
        <v>2956</v>
      </c>
      <c r="AW222" s="308">
        <v>4.7841217446215E13</v>
      </c>
      <c r="AX222" s="310">
        <v>0.0</v>
      </c>
      <c r="AY222" s="308" t="s">
        <v>2974</v>
      </c>
      <c r="AZ222" s="308">
        <v>0.0</v>
      </c>
      <c r="BA222" s="311"/>
      <c r="BB222" s="311"/>
      <c r="BC222" s="311"/>
      <c r="BD222" s="308">
        <v>7.686304727367E12</v>
      </c>
      <c r="BE222" s="311"/>
      <c r="BF222" s="311"/>
      <c r="BG222" s="308" t="s">
        <v>2958</v>
      </c>
      <c r="BH222" s="308">
        <v>0.0</v>
      </c>
      <c r="BI222" s="308" t="s">
        <v>2959</v>
      </c>
      <c r="BJ222" s="308">
        <v>14.61</v>
      </c>
      <c r="BK222" s="311"/>
      <c r="BL222" s="311"/>
      <c r="BM222" s="311"/>
      <c r="BN222" s="311"/>
      <c r="BO222" s="311"/>
      <c r="BP222" s="311"/>
      <c r="BQ222" s="311"/>
      <c r="BR222" s="311"/>
      <c r="BS222" s="308"/>
      <c r="BT222" s="311"/>
      <c r="BU222" s="311"/>
      <c r="BV222" s="308" t="s">
        <v>3549</v>
      </c>
      <c r="BW222" s="308" t="s">
        <v>3549</v>
      </c>
      <c r="BX222" s="308" t="s">
        <v>2956</v>
      </c>
      <c r="BY222" s="311"/>
      <c r="BZ222" s="311"/>
      <c r="CA222" s="308" t="s">
        <v>2956</v>
      </c>
      <c r="CB222" s="312" t="str">
        <f t="shared" si="1"/>
        <v>18/05/2026</v>
      </c>
      <c r="CC222" s="313">
        <f t="shared" si="2"/>
        <v>2026</v>
      </c>
      <c r="CD222" s="314">
        <f t="shared" si="3"/>
        <v>5</v>
      </c>
      <c r="CE222" s="314">
        <f t="shared" si="4"/>
        <v>1</v>
      </c>
      <c r="CF222" s="314">
        <f t="shared" si="5"/>
        <v>1</v>
      </c>
      <c r="CG222" s="314">
        <f t="shared" si="6"/>
        <v>0</v>
      </c>
      <c r="CH222" s="315">
        <f>VLOOKUP(CL222,'PRODUCT_COGS&amp;PRICE'!A:E,5,false)</f>
        <v>16.5</v>
      </c>
      <c r="CI222" s="315">
        <f t="shared" si="7"/>
        <v>-1.8631</v>
      </c>
      <c r="CJ222" s="316">
        <f t="shared" si="8"/>
        <v>0</v>
      </c>
      <c r="CK222" s="316">
        <f t="shared" si="9"/>
        <v>9</v>
      </c>
      <c r="CL222" s="314" t="str">
        <f>VLOOKUP(R222,PRODUCT_MAP!A:B,2,FALSE)</f>
        <v>Annie_Bag_PAILLETTES_LIGHT_GREEN</v>
      </c>
      <c r="CM222" s="314" t="str">
        <f>VLOOKUP(R222,PRODUCT_MAP!A:E,3,FALSE)</f>
        <v>Annie Bag paillettes</v>
      </c>
    </row>
    <row r="223" ht="22.5" customHeight="1">
      <c r="A223" s="308" t="s">
        <v>4802</v>
      </c>
      <c r="B223" s="308" t="s">
        <v>4803</v>
      </c>
      <c r="C223" s="308" t="s">
        <v>2942</v>
      </c>
      <c r="D223" s="308" t="s">
        <v>4804</v>
      </c>
      <c r="E223" s="308" t="s">
        <v>3013</v>
      </c>
      <c r="F223" s="308"/>
      <c r="G223" s="308" t="s">
        <v>2946</v>
      </c>
      <c r="H223" s="308" t="s">
        <v>2947</v>
      </c>
      <c r="I223" s="308">
        <v>72.0</v>
      </c>
      <c r="J223" s="308">
        <v>0.0</v>
      </c>
      <c r="K223" s="308">
        <v>12.98</v>
      </c>
      <c r="L223" s="308">
        <v>72.0</v>
      </c>
      <c r="M223" s="308" t="s">
        <v>3094</v>
      </c>
      <c r="N223" s="308">
        <v>8.0</v>
      </c>
      <c r="O223" s="308" t="s">
        <v>2979</v>
      </c>
      <c r="P223" s="308" t="s">
        <v>4805</v>
      </c>
      <c r="Q223" s="310">
        <v>1.0</v>
      </c>
      <c r="R223" s="308" t="s">
        <v>3920</v>
      </c>
      <c r="S223" s="308">
        <v>80.0</v>
      </c>
      <c r="T223" s="311"/>
      <c r="U223" s="308" t="s">
        <v>271</v>
      </c>
      <c r="V223" s="308" t="b">
        <v>1</v>
      </c>
      <c r="W223" s="308" t="b">
        <v>1</v>
      </c>
      <c r="X223" s="308"/>
      <c r="Y223" s="308" t="s">
        <v>4806</v>
      </c>
      <c r="Z223" s="308" t="s">
        <v>4807</v>
      </c>
      <c r="AA223" s="308" t="s">
        <v>4808</v>
      </c>
      <c r="AB223" s="308" t="s">
        <v>4809</v>
      </c>
      <c r="AC223" s="308"/>
      <c r="AD223" s="308" t="s">
        <v>23</v>
      </c>
      <c r="AE223" s="308">
        <v>20131.0</v>
      </c>
      <c r="AF223" s="308" t="s">
        <v>2954</v>
      </c>
      <c r="AG223" s="308" t="s">
        <v>2955</v>
      </c>
      <c r="AH223" s="308"/>
      <c r="AI223" s="308"/>
      <c r="AJ223" s="308"/>
      <c r="AK223" s="308"/>
      <c r="AL223" s="308"/>
      <c r="AM223" s="308"/>
      <c r="AN223" s="308"/>
      <c r="AO223" s="308"/>
      <c r="AP223" s="308"/>
      <c r="AQ223" s="308"/>
      <c r="AR223" s="308"/>
      <c r="AS223" s="311"/>
      <c r="AT223" s="311"/>
      <c r="AU223" s="311"/>
      <c r="AV223" s="308" t="s">
        <v>2956</v>
      </c>
      <c r="AW223" s="308">
        <v>4.7841881424199E13</v>
      </c>
      <c r="AX223" s="310">
        <v>0.0</v>
      </c>
      <c r="AY223" s="308" t="s">
        <v>2974</v>
      </c>
      <c r="AZ223" s="308">
        <v>0.0</v>
      </c>
      <c r="BA223" s="311"/>
      <c r="BB223" s="311"/>
      <c r="BC223" s="311"/>
      <c r="BD223" s="308">
        <v>7.686617858375E12</v>
      </c>
      <c r="BE223" s="311"/>
      <c r="BF223" s="311"/>
      <c r="BG223" s="308" t="s">
        <v>2958</v>
      </c>
      <c r="BH223" s="308">
        <v>0.0</v>
      </c>
      <c r="BI223" s="308" t="s">
        <v>2959</v>
      </c>
      <c r="BJ223" s="308">
        <v>12.98</v>
      </c>
      <c r="BK223" s="311"/>
      <c r="BL223" s="311"/>
      <c r="BM223" s="311"/>
      <c r="BN223" s="311"/>
      <c r="BO223" s="311"/>
      <c r="BP223" s="311"/>
      <c r="BQ223" s="311"/>
      <c r="BR223" s="311"/>
      <c r="BS223" s="308"/>
      <c r="BT223" s="311"/>
      <c r="BU223" s="311"/>
      <c r="BV223" s="308" t="s">
        <v>23</v>
      </c>
      <c r="BW223" s="308"/>
      <c r="BX223" s="308" t="s">
        <v>2956</v>
      </c>
      <c r="BY223" s="311"/>
      <c r="BZ223" s="311"/>
      <c r="CA223" s="308" t="s">
        <v>2956</v>
      </c>
      <c r="CB223" s="312" t="str">
        <f t="shared" si="1"/>
        <v>18/05/2026</v>
      </c>
      <c r="CC223" s="313">
        <f t="shared" si="2"/>
        <v>2026</v>
      </c>
      <c r="CD223" s="314">
        <f t="shared" si="3"/>
        <v>5</v>
      </c>
      <c r="CE223" s="314">
        <f t="shared" si="4"/>
        <v>1</v>
      </c>
      <c r="CF223" s="314">
        <f t="shared" si="5"/>
        <v>1</v>
      </c>
      <c r="CG223" s="314">
        <f t="shared" si="6"/>
        <v>-5</v>
      </c>
      <c r="CH223" s="315">
        <f>VLOOKUP(CL223,'PRODUCT_COGS&amp;PRICE'!A:E,5,false)</f>
        <v>19</v>
      </c>
      <c r="CI223" s="315">
        <f t="shared" si="7"/>
        <v>-1.618</v>
      </c>
      <c r="CJ223" s="316">
        <f t="shared" si="8"/>
        <v>0</v>
      </c>
      <c r="CK223" s="316">
        <f t="shared" si="9"/>
        <v>8</v>
      </c>
      <c r="CL223" s="314" t="str">
        <f>VLOOKUP(R223,PRODUCT_MAP!A:B,2,FALSE)</f>
        <v>Agata_Bag_FLORAL_GREEN_EMBROIDERY</v>
      </c>
      <c r="CM223" s="314" t="str">
        <f>VLOOKUP(R223,PRODUCT_MAP!A:E,3,FALSE)</f>
        <v>Agata Bag</v>
      </c>
    </row>
    <row r="224" ht="22.5" customHeight="1">
      <c r="A224" s="308" t="s">
        <v>4810</v>
      </c>
      <c r="B224" s="308" t="s">
        <v>4811</v>
      </c>
      <c r="C224" s="308" t="s">
        <v>2942</v>
      </c>
      <c r="D224" s="308" t="s">
        <v>4812</v>
      </c>
      <c r="E224" s="308" t="s">
        <v>3013</v>
      </c>
      <c r="F224" s="308"/>
      <c r="G224" s="308" t="s">
        <v>2946</v>
      </c>
      <c r="H224" s="308" t="s">
        <v>2947</v>
      </c>
      <c r="I224" s="308">
        <v>81.0</v>
      </c>
      <c r="J224" s="308">
        <v>3.9</v>
      </c>
      <c r="K224" s="308">
        <v>15.31</v>
      </c>
      <c r="L224" s="308">
        <v>84.9</v>
      </c>
      <c r="M224" s="308" t="s">
        <v>3094</v>
      </c>
      <c r="N224" s="308">
        <v>9.0</v>
      </c>
      <c r="O224" s="308" t="s">
        <v>2948</v>
      </c>
      <c r="P224" s="308" t="s">
        <v>4813</v>
      </c>
      <c r="Q224" s="310">
        <v>1.0</v>
      </c>
      <c r="R224" s="308" t="s">
        <v>4628</v>
      </c>
      <c r="S224" s="308">
        <v>90.0</v>
      </c>
      <c r="T224" s="311"/>
      <c r="U224" s="308" t="s">
        <v>271</v>
      </c>
      <c r="V224" s="308" t="b">
        <v>1</v>
      </c>
      <c r="W224" s="308" t="b">
        <v>1</v>
      </c>
      <c r="X224" s="308"/>
      <c r="Y224" s="308" t="s">
        <v>4814</v>
      </c>
      <c r="Z224" s="308" t="s">
        <v>4815</v>
      </c>
      <c r="AA224" s="308" t="s">
        <v>4815</v>
      </c>
      <c r="AB224" s="308"/>
      <c r="AC224" s="308"/>
      <c r="AD224" s="308" t="s">
        <v>4737</v>
      </c>
      <c r="AE224" s="308" t="s">
        <v>4816</v>
      </c>
      <c r="AF224" s="308" t="s">
        <v>4739</v>
      </c>
      <c r="AG224" s="308" t="s">
        <v>4740</v>
      </c>
      <c r="AH224" s="308"/>
      <c r="AI224" s="308" t="s">
        <v>4814</v>
      </c>
      <c r="AJ224" s="308" t="s">
        <v>4817</v>
      </c>
      <c r="AK224" s="308" t="s">
        <v>4817</v>
      </c>
      <c r="AL224" s="308"/>
      <c r="AM224" s="308"/>
      <c r="AN224" s="308" t="s">
        <v>23</v>
      </c>
      <c r="AO224" s="308">
        <v>20151.0</v>
      </c>
      <c r="AP224" s="308" t="s">
        <v>2954</v>
      </c>
      <c r="AQ224" s="308" t="s">
        <v>2955</v>
      </c>
      <c r="AR224" s="308">
        <v>3.476293264E9</v>
      </c>
      <c r="AS224" s="311"/>
      <c r="AT224" s="311"/>
      <c r="AU224" s="311"/>
      <c r="AV224" s="308" t="s">
        <v>2956</v>
      </c>
      <c r="AW224" s="308">
        <v>4.7843193225543E13</v>
      </c>
      <c r="AX224" s="310">
        <v>0.0</v>
      </c>
      <c r="AY224" s="308" t="s">
        <v>2974</v>
      </c>
      <c r="AZ224" s="308">
        <v>0.0</v>
      </c>
      <c r="BA224" s="311"/>
      <c r="BB224" s="311"/>
      <c r="BC224" s="311"/>
      <c r="BD224" s="308">
        <v>7.687466910023E12</v>
      </c>
      <c r="BE224" s="311"/>
      <c r="BF224" s="311"/>
      <c r="BG224" s="308" t="s">
        <v>2958</v>
      </c>
      <c r="BH224" s="308">
        <v>0.0</v>
      </c>
      <c r="BI224" s="308" t="s">
        <v>2959</v>
      </c>
      <c r="BJ224" s="308">
        <v>14.61</v>
      </c>
      <c r="BK224" s="311"/>
      <c r="BL224" s="311"/>
      <c r="BM224" s="311"/>
      <c r="BN224" s="311"/>
      <c r="BO224" s="311"/>
      <c r="BP224" s="311"/>
      <c r="BQ224" s="311"/>
      <c r="BR224" s="311"/>
      <c r="BS224" s="308"/>
      <c r="BT224" s="311"/>
      <c r="BU224" s="311"/>
      <c r="BV224" s="308" t="s">
        <v>4742</v>
      </c>
      <c r="BW224" s="308" t="s">
        <v>23</v>
      </c>
      <c r="BX224" s="308" t="s">
        <v>2956</v>
      </c>
      <c r="BY224" s="311"/>
      <c r="BZ224" s="311"/>
      <c r="CA224" s="308" t="s">
        <v>2956</v>
      </c>
      <c r="CB224" s="312" t="str">
        <f t="shared" si="1"/>
        <v>18/05/2026</v>
      </c>
      <c r="CC224" s="313">
        <f t="shared" si="2"/>
        <v>2026</v>
      </c>
      <c r="CD224" s="314">
        <f t="shared" si="3"/>
        <v>5</v>
      </c>
      <c r="CE224" s="314">
        <f t="shared" si="4"/>
        <v>1</v>
      </c>
      <c r="CF224" s="314">
        <f t="shared" si="5"/>
        <v>1</v>
      </c>
      <c r="CG224" s="314">
        <f t="shared" si="6"/>
        <v>0</v>
      </c>
      <c r="CH224" s="315">
        <f>VLOOKUP(CL224,'PRODUCT_COGS&amp;PRICE'!A:E,5,false)</f>
        <v>19</v>
      </c>
      <c r="CI224" s="315">
        <f t="shared" si="7"/>
        <v>-1.8631</v>
      </c>
      <c r="CJ224" s="316">
        <f t="shared" si="8"/>
        <v>0</v>
      </c>
      <c r="CK224" s="316">
        <f t="shared" si="9"/>
        <v>9</v>
      </c>
      <c r="CL224" s="314" t="str">
        <f>VLOOKUP(R224,PRODUCT_MAP!A:B,2,FALSE)</f>
        <v>Agata_Bag_FLORAL_GREEN_EMBROIDERY</v>
      </c>
      <c r="CM224" s="314" t="str">
        <f>VLOOKUP(R224,PRODUCT_MAP!A:E,3,FALSE)</f>
        <v>Agata Bag</v>
      </c>
    </row>
    <row r="225" ht="22.5" customHeight="1">
      <c r="A225" s="308" t="s">
        <v>4818</v>
      </c>
      <c r="B225" s="308" t="s">
        <v>4819</v>
      </c>
      <c r="C225" s="308" t="s">
        <v>2942</v>
      </c>
      <c r="D225" s="308" t="s">
        <v>4820</v>
      </c>
      <c r="E225" s="308" t="s">
        <v>3013</v>
      </c>
      <c r="F225" s="308"/>
      <c r="G225" s="308" t="s">
        <v>2946</v>
      </c>
      <c r="H225" s="308" t="s">
        <v>2947</v>
      </c>
      <c r="I225" s="308">
        <v>81.0</v>
      </c>
      <c r="J225" s="308">
        <v>3.9</v>
      </c>
      <c r="K225" s="308">
        <v>15.31</v>
      </c>
      <c r="L225" s="308">
        <v>84.9</v>
      </c>
      <c r="M225" s="308" t="s">
        <v>3094</v>
      </c>
      <c r="N225" s="308">
        <v>9.0</v>
      </c>
      <c r="O225" s="308" t="s">
        <v>2948</v>
      </c>
      <c r="P225" s="308" t="s">
        <v>4821</v>
      </c>
      <c r="Q225" s="310">
        <v>1.0</v>
      </c>
      <c r="R225" s="308" t="s">
        <v>4220</v>
      </c>
      <c r="S225" s="308">
        <v>90.0</v>
      </c>
      <c r="T225" s="311"/>
      <c r="U225" s="308" t="s">
        <v>4221</v>
      </c>
      <c r="V225" s="308" t="b">
        <v>1</v>
      </c>
      <c r="W225" s="308" t="b">
        <v>1</v>
      </c>
      <c r="X225" s="308"/>
      <c r="Y225" s="308" t="s">
        <v>4822</v>
      </c>
      <c r="Z225" s="308" t="s">
        <v>4823</v>
      </c>
      <c r="AA225" s="308" t="s">
        <v>4823</v>
      </c>
      <c r="AB225" s="308"/>
      <c r="AC225" s="308"/>
      <c r="AD225" s="308" t="s">
        <v>3077</v>
      </c>
      <c r="AE225" s="308">
        <v>56122.0</v>
      </c>
      <c r="AF225" s="308" t="s">
        <v>3078</v>
      </c>
      <c r="AG225" s="308" t="s">
        <v>2955</v>
      </c>
      <c r="AH225" s="308">
        <v>3.487021825E9</v>
      </c>
      <c r="AI225" s="308" t="s">
        <v>4822</v>
      </c>
      <c r="AJ225" s="308" t="s">
        <v>4823</v>
      </c>
      <c r="AK225" s="308" t="s">
        <v>4823</v>
      </c>
      <c r="AL225" s="308"/>
      <c r="AM225" s="308"/>
      <c r="AN225" s="308" t="s">
        <v>3077</v>
      </c>
      <c r="AO225" s="308">
        <v>56122.0</v>
      </c>
      <c r="AP225" s="308" t="s">
        <v>3078</v>
      </c>
      <c r="AQ225" s="308" t="s">
        <v>2955</v>
      </c>
      <c r="AR225" s="308">
        <v>3.487021825E9</v>
      </c>
      <c r="AS225" s="311"/>
      <c r="AT225" s="311"/>
      <c r="AU225" s="311"/>
      <c r="AV225" s="308" t="s">
        <v>3009</v>
      </c>
      <c r="AW225" s="308">
        <v>4.7848289468743E13</v>
      </c>
      <c r="AX225" s="310">
        <v>0.0</v>
      </c>
      <c r="AY225" s="308" t="s">
        <v>2974</v>
      </c>
      <c r="AZ225" s="308">
        <v>0.0</v>
      </c>
      <c r="BA225" s="311"/>
      <c r="BB225" s="311"/>
      <c r="BC225" s="311"/>
      <c r="BD225" s="308">
        <v>7.689948463431E12</v>
      </c>
      <c r="BE225" s="311"/>
      <c r="BF225" s="311"/>
      <c r="BG225" s="308" t="s">
        <v>2958</v>
      </c>
      <c r="BH225" s="308">
        <v>0.0</v>
      </c>
      <c r="BI225" s="308" t="s">
        <v>2959</v>
      </c>
      <c r="BJ225" s="308">
        <v>14.61</v>
      </c>
      <c r="BK225" s="311"/>
      <c r="BL225" s="311"/>
      <c r="BM225" s="311"/>
      <c r="BN225" s="311"/>
      <c r="BO225" s="311"/>
      <c r="BP225" s="311"/>
      <c r="BQ225" s="311"/>
      <c r="BR225" s="311"/>
      <c r="BS225" s="308"/>
      <c r="BT225" s="311"/>
      <c r="BU225" s="311"/>
      <c r="BV225" s="308" t="s">
        <v>3077</v>
      </c>
      <c r="BW225" s="308" t="s">
        <v>3077</v>
      </c>
      <c r="BX225" s="308" t="s">
        <v>3009</v>
      </c>
      <c r="BY225" s="311"/>
      <c r="BZ225" s="311"/>
      <c r="CA225" s="308" t="s">
        <v>3009</v>
      </c>
      <c r="CB225" s="312" t="str">
        <f t="shared" si="1"/>
        <v>19/05/2026</v>
      </c>
      <c r="CC225" s="313">
        <f t="shared" si="2"/>
        <v>2026</v>
      </c>
      <c r="CD225" s="314">
        <f t="shared" si="3"/>
        <v>5</v>
      </c>
      <c r="CE225" s="314">
        <f t="shared" si="4"/>
        <v>1</v>
      </c>
      <c r="CF225" s="314">
        <f t="shared" si="5"/>
        <v>1</v>
      </c>
      <c r="CG225" s="314">
        <f t="shared" si="6"/>
        <v>0</v>
      </c>
      <c r="CH225" s="315">
        <f>VLOOKUP(CL225,'PRODUCT_COGS&amp;PRICE'!A:E,5,false)</f>
        <v>16.5</v>
      </c>
      <c r="CI225" s="315">
        <f t="shared" si="7"/>
        <v>-3.31301</v>
      </c>
      <c r="CJ225" s="316">
        <f t="shared" si="8"/>
        <v>0</v>
      </c>
      <c r="CK225" s="316">
        <f t="shared" si="9"/>
        <v>9</v>
      </c>
      <c r="CL225" s="314" t="str">
        <f>VLOOKUP(R225,PRODUCT_MAP!A:B,2,FALSE)</f>
        <v>Annie_Bag_PAILLETTES_NUDE</v>
      </c>
      <c r="CM225" s="314" t="str">
        <f>VLOOKUP(R225,PRODUCT_MAP!A:E,3,FALSE)</f>
        <v>Agata Bag</v>
      </c>
    </row>
    <row r="226" ht="22.5" customHeight="1">
      <c r="A226" s="308" t="s">
        <v>4824</v>
      </c>
      <c r="B226" s="308" t="s">
        <v>4825</v>
      </c>
      <c r="C226" s="308" t="s">
        <v>2942</v>
      </c>
      <c r="D226" s="308" t="s">
        <v>4826</v>
      </c>
      <c r="E226" s="308" t="s">
        <v>3013</v>
      </c>
      <c r="F226" s="308"/>
      <c r="G226" s="308" t="s">
        <v>2965</v>
      </c>
      <c r="H226" s="308" t="s">
        <v>2947</v>
      </c>
      <c r="I226" s="308">
        <v>90.0</v>
      </c>
      <c r="J226" s="308">
        <v>0.0</v>
      </c>
      <c r="K226" s="308">
        <v>16.23</v>
      </c>
      <c r="L226" s="308">
        <v>90.0</v>
      </c>
      <c r="M226" s="308"/>
      <c r="N226" s="308">
        <v>0.0</v>
      </c>
      <c r="O226" s="308" t="s">
        <v>2979</v>
      </c>
      <c r="P226" s="308" t="s">
        <v>4827</v>
      </c>
      <c r="Q226" s="310">
        <v>1.0</v>
      </c>
      <c r="R226" s="308" t="s">
        <v>4220</v>
      </c>
      <c r="S226" s="308">
        <v>90.0</v>
      </c>
      <c r="T226" s="311"/>
      <c r="U226" s="308" t="s">
        <v>4221</v>
      </c>
      <c r="V226" s="308" t="b">
        <v>1</v>
      </c>
      <c r="W226" s="308" t="b">
        <v>1</v>
      </c>
      <c r="X226" s="308"/>
      <c r="Y226" s="308" t="s">
        <v>4828</v>
      </c>
      <c r="Z226" s="308" t="s">
        <v>4829</v>
      </c>
      <c r="AA226" s="308" t="s">
        <v>4829</v>
      </c>
      <c r="AB226" s="308"/>
      <c r="AC226" s="308"/>
      <c r="AD226" s="308" t="s">
        <v>23</v>
      </c>
      <c r="AE226" s="308">
        <v>20144.0</v>
      </c>
      <c r="AF226" s="308" t="s">
        <v>2954</v>
      </c>
      <c r="AG226" s="308" t="s">
        <v>2955</v>
      </c>
      <c r="AH226" s="308">
        <v>3.663124548E9</v>
      </c>
      <c r="AI226" s="308"/>
      <c r="AJ226" s="308"/>
      <c r="AK226" s="308"/>
      <c r="AL226" s="308"/>
      <c r="AM226" s="308"/>
      <c r="AN226" s="308"/>
      <c r="AO226" s="308"/>
      <c r="AP226" s="308"/>
      <c r="AQ226" s="308"/>
      <c r="AR226" s="308"/>
      <c r="AS226" s="311"/>
      <c r="AT226" s="311"/>
      <c r="AU226" s="311"/>
      <c r="AV226" s="308" t="s">
        <v>2956</v>
      </c>
      <c r="AW226" s="308">
        <v>4.7852204523847E13</v>
      </c>
      <c r="AX226" s="310">
        <v>0.0</v>
      </c>
      <c r="AY226" s="308" t="s">
        <v>2974</v>
      </c>
      <c r="AZ226" s="308">
        <v>0.0</v>
      </c>
      <c r="BA226" s="311"/>
      <c r="BB226" s="311"/>
      <c r="BC226" s="311"/>
      <c r="BD226" s="308">
        <v>7.696316301639E12</v>
      </c>
      <c r="BE226" s="311"/>
      <c r="BF226" s="311"/>
      <c r="BG226" s="308" t="s">
        <v>2958</v>
      </c>
      <c r="BH226" s="308">
        <v>0.0</v>
      </c>
      <c r="BI226" s="308" t="s">
        <v>2959</v>
      </c>
      <c r="BJ226" s="308">
        <v>16.23</v>
      </c>
      <c r="BK226" s="311"/>
      <c r="BL226" s="311"/>
      <c r="BM226" s="311"/>
      <c r="BN226" s="311"/>
      <c r="BO226" s="311"/>
      <c r="BP226" s="311"/>
      <c r="BQ226" s="311"/>
      <c r="BR226" s="311"/>
      <c r="BS226" s="308"/>
      <c r="BT226" s="311"/>
      <c r="BU226" s="311"/>
      <c r="BV226" s="308" t="s">
        <v>23</v>
      </c>
      <c r="BW226" s="308"/>
      <c r="BX226" s="308" t="s">
        <v>2956</v>
      </c>
      <c r="BY226" s="311"/>
      <c r="BZ226" s="311"/>
      <c r="CA226" s="308" t="s">
        <v>2956</v>
      </c>
      <c r="CB226" s="312" t="str">
        <f t="shared" si="1"/>
        <v>20/05/2026</v>
      </c>
      <c r="CC226" s="313">
        <f t="shared" si="2"/>
        <v>2026</v>
      </c>
      <c r="CD226" s="314">
        <f t="shared" si="3"/>
        <v>5</v>
      </c>
      <c r="CE226" s="314">
        <f t="shared" si="4"/>
        <v>1</v>
      </c>
      <c r="CF226" s="314">
        <f t="shared" si="5"/>
        <v>1</v>
      </c>
      <c r="CG226" s="314">
        <f t="shared" si="6"/>
        <v>-5</v>
      </c>
      <c r="CH226" s="315">
        <f>VLOOKUP(CL226,'PRODUCT_COGS&amp;PRICE'!A:E,5,false)</f>
        <v>16.5</v>
      </c>
      <c r="CI226" s="315">
        <f t="shared" si="7"/>
        <v>-1.96</v>
      </c>
      <c r="CJ226" s="316">
        <f t="shared" si="8"/>
        <v>0</v>
      </c>
      <c r="CK226" s="316">
        <f t="shared" si="9"/>
        <v>0</v>
      </c>
      <c r="CL226" s="314" t="str">
        <f>VLOOKUP(R226,PRODUCT_MAP!A:B,2,FALSE)</f>
        <v>Annie_Bag_PAILLETTES_NUDE</v>
      </c>
      <c r="CM226" s="314" t="str">
        <f>VLOOKUP(R226,PRODUCT_MAP!A:E,3,FALSE)</f>
        <v>Agata Bag</v>
      </c>
    </row>
    <row r="227" ht="22.5" customHeight="1">
      <c r="A227" s="308" t="s">
        <v>4830</v>
      </c>
      <c r="B227" s="308" t="s">
        <v>4831</v>
      </c>
      <c r="C227" s="308" t="s">
        <v>2942</v>
      </c>
      <c r="D227" s="308" t="s">
        <v>4832</v>
      </c>
      <c r="E227" s="308" t="s">
        <v>3013</v>
      </c>
      <c r="F227" s="308"/>
      <c r="G227" s="308" t="s">
        <v>2946</v>
      </c>
      <c r="H227" s="308" t="s">
        <v>2947</v>
      </c>
      <c r="I227" s="308">
        <v>108.0</v>
      </c>
      <c r="J227" s="308">
        <v>0.0</v>
      </c>
      <c r="K227" s="308">
        <v>19.48</v>
      </c>
      <c r="L227" s="308">
        <v>108.0</v>
      </c>
      <c r="M227" s="308" t="s">
        <v>3094</v>
      </c>
      <c r="N227" s="308">
        <v>12.0</v>
      </c>
      <c r="O227" s="308" t="s">
        <v>2948</v>
      </c>
      <c r="P227" s="308" t="s">
        <v>4833</v>
      </c>
      <c r="Q227" s="310">
        <v>1.0</v>
      </c>
      <c r="R227" s="308" t="s">
        <v>607</v>
      </c>
      <c r="S227" s="308">
        <v>120.0</v>
      </c>
      <c r="T227" s="311"/>
      <c r="U227" s="308" t="s">
        <v>207</v>
      </c>
      <c r="V227" s="308" t="b">
        <v>1</v>
      </c>
      <c r="W227" s="308" t="b">
        <v>1</v>
      </c>
      <c r="X227" s="308"/>
      <c r="Y227" s="308" t="s">
        <v>4834</v>
      </c>
      <c r="Z227" s="308" t="s">
        <v>4835</v>
      </c>
      <c r="AA227" s="308" t="s">
        <v>4835</v>
      </c>
      <c r="AB227" s="308"/>
      <c r="AC227" s="308" t="s">
        <v>4836</v>
      </c>
      <c r="AD227" s="308" t="s">
        <v>3612</v>
      </c>
      <c r="AE227" s="308">
        <v>25121.0</v>
      </c>
      <c r="AF227" s="308" t="s">
        <v>3608</v>
      </c>
      <c r="AG227" s="308" t="s">
        <v>2955</v>
      </c>
      <c r="AH227" s="308">
        <v>3.33904593E9</v>
      </c>
      <c r="AI227" s="308" t="s">
        <v>4834</v>
      </c>
      <c r="AJ227" s="308" t="s">
        <v>4835</v>
      </c>
      <c r="AK227" s="308" t="s">
        <v>4835</v>
      </c>
      <c r="AL227" s="308"/>
      <c r="AM227" s="308" t="s">
        <v>4836</v>
      </c>
      <c r="AN227" s="308" t="s">
        <v>3612</v>
      </c>
      <c r="AO227" s="308">
        <v>25121.0</v>
      </c>
      <c r="AP227" s="308" t="s">
        <v>3608</v>
      </c>
      <c r="AQ227" s="308" t="s">
        <v>2955</v>
      </c>
      <c r="AR227" s="308">
        <v>3.33904593E9</v>
      </c>
      <c r="AS227" s="311"/>
      <c r="AT227" s="311"/>
      <c r="AU227" s="311"/>
      <c r="AV227" s="308" t="s">
        <v>3009</v>
      </c>
      <c r="AW227" s="308">
        <v>4.7851376705863E13</v>
      </c>
      <c r="AX227" s="310">
        <v>0.0</v>
      </c>
      <c r="AY227" s="308" t="s">
        <v>2974</v>
      </c>
      <c r="AZ227" s="308">
        <v>0.0</v>
      </c>
      <c r="BA227" s="311"/>
      <c r="BB227" s="311"/>
      <c r="BC227" s="311"/>
      <c r="BD227" s="308">
        <v>7.699806388551E12</v>
      </c>
      <c r="BE227" s="311"/>
      <c r="BF227" s="311"/>
      <c r="BG227" s="308" t="s">
        <v>2958</v>
      </c>
      <c r="BH227" s="308">
        <v>0.0</v>
      </c>
      <c r="BI227" s="308" t="s">
        <v>2959</v>
      </c>
      <c r="BJ227" s="308">
        <v>19.48</v>
      </c>
      <c r="BK227" s="311"/>
      <c r="BL227" s="311"/>
      <c r="BM227" s="311"/>
      <c r="BN227" s="311"/>
      <c r="BO227" s="311"/>
      <c r="BP227" s="311"/>
      <c r="BQ227" s="311"/>
      <c r="BR227" s="311"/>
      <c r="BS227" s="308"/>
      <c r="BT227" s="311"/>
      <c r="BU227" s="311"/>
      <c r="BV227" s="308" t="s">
        <v>3612</v>
      </c>
      <c r="BW227" s="308" t="s">
        <v>3612</v>
      </c>
      <c r="BX227" s="308" t="s">
        <v>3009</v>
      </c>
      <c r="BY227" s="311"/>
      <c r="BZ227" s="311"/>
      <c r="CA227" s="308" t="s">
        <v>3009</v>
      </c>
      <c r="CB227" s="312" t="str">
        <f t="shared" si="1"/>
        <v>20/05/2026</v>
      </c>
      <c r="CC227" s="313">
        <f t="shared" si="2"/>
        <v>2026</v>
      </c>
      <c r="CD227" s="314">
        <f t="shared" si="3"/>
        <v>5</v>
      </c>
      <c r="CE227" s="314">
        <f t="shared" si="4"/>
        <v>1</v>
      </c>
      <c r="CF227" s="314">
        <f t="shared" si="5"/>
        <v>1</v>
      </c>
      <c r="CG227" s="314">
        <f t="shared" si="6"/>
        <v>-5</v>
      </c>
      <c r="CH227" s="315">
        <f>VLOOKUP(CL227,'PRODUCT_COGS&amp;PRICE'!A:E,5,false)</f>
        <v>26</v>
      </c>
      <c r="CI227" s="315">
        <f t="shared" si="7"/>
        <v>-4.1192</v>
      </c>
      <c r="CJ227" s="316">
        <f t="shared" si="8"/>
        <v>0</v>
      </c>
      <c r="CK227" s="316">
        <f t="shared" si="9"/>
        <v>12</v>
      </c>
      <c r="CL227" s="314" t="str">
        <f>VLOOKUP(R227,PRODUCT_MAP!A:B,2,FALSE)</f>
        <v>Maria_Bag_RED_PIERCING</v>
      </c>
      <c r="CM227" s="314" t="str">
        <f>VLOOKUP(R227,PRODUCT_MAP!A:E,3,FALSE)</f>
        <v>Maria Bag</v>
      </c>
    </row>
    <row r="228" ht="22.5" customHeight="1">
      <c r="A228" s="308" t="s">
        <v>4837</v>
      </c>
      <c r="B228" s="308" t="s">
        <v>4838</v>
      </c>
      <c r="C228" s="308" t="s">
        <v>2942</v>
      </c>
      <c r="D228" s="308" t="s">
        <v>4839</v>
      </c>
      <c r="E228" s="308" t="s">
        <v>3013</v>
      </c>
      <c r="F228" s="308"/>
      <c r="G228" s="308" t="s">
        <v>2946</v>
      </c>
      <c r="H228" s="308" t="s">
        <v>2947</v>
      </c>
      <c r="I228" s="308">
        <v>100.0</v>
      </c>
      <c r="J228" s="308">
        <v>0.0</v>
      </c>
      <c r="K228" s="308">
        <v>18.03</v>
      </c>
      <c r="L228" s="308">
        <v>100.0</v>
      </c>
      <c r="M228" s="308"/>
      <c r="N228" s="308">
        <v>0.0</v>
      </c>
      <c r="O228" s="308" t="s">
        <v>2979</v>
      </c>
      <c r="P228" s="308" t="s">
        <v>4840</v>
      </c>
      <c r="Q228" s="310">
        <v>1.0</v>
      </c>
      <c r="R228" s="308" t="s">
        <v>4731</v>
      </c>
      <c r="S228" s="308">
        <v>100.0</v>
      </c>
      <c r="T228" s="311"/>
      <c r="U228" s="308" t="s">
        <v>4841</v>
      </c>
      <c r="V228" s="308" t="b">
        <v>1</v>
      </c>
      <c r="W228" s="308" t="b">
        <v>1</v>
      </c>
      <c r="X228" s="308"/>
      <c r="Y228" s="308" t="s">
        <v>4842</v>
      </c>
      <c r="Z228" s="308" t="s">
        <v>4843</v>
      </c>
      <c r="AA228" s="308" t="s">
        <v>4843</v>
      </c>
      <c r="AB228" s="308"/>
      <c r="AC228" s="308"/>
      <c r="AD228" s="308" t="s">
        <v>4844</v>
      </c>
      <c r="AE228" s="308">
        <v>26015.0</v>
      </c>
      <c r="AF228" s="308" t="s">
        <v>4845</v>
      </c>
      <c r="AG228" s="308" t="s">
        <v>2955</v>
      </c>
      <c r="AH228" s="308"/>
      <c r="AI228" s="308"/>
      <c r="AJ228" s="308"/>
      <c r="AK228" s="308"/>
      <c r="AL228" s="308"/>
      <c r="AM228" s="308"/>
      <c r="AN228" s="308"/>
      <c r="AO228" s="308"/>
      <c r="AP228" s="308"/>
      <c r="AQ228" s="308"/>
      <c r="AR228" s="308"/>
      <c r="AS228" s="311"/>
      <c r="AT228" s="311"/>
      <c r="AU228" s="311"/>
      <c r="AV228" s="308" t="s">
        <v>2956</v>
      </c>
      <c r="AW228" s="308">
        <v>4.7853007339847E13</v>
      </c>
      <c r="AX228" s="310">
        <v>0.0</v>
      </c>
      <c r="AY228" s="308" t="s">
        <v>2974</v>
      </c>
      <c r="AZ228" s="308">
        <v>0.0</v>
      </c>
      <c r="BA228" s="311"/>
      <c r="BB228" s="311"/>
      <c r="BC228" s="311"/>
      <c r="BD228" s="308">
        <v>7.700139770183E12</v>
      </c>
      <c r="BE228" s="311"/>
      <c r="BF228" s="311"/>
      <c r="BG228" s="308" t="s">
        <v>2958</v>
      </c>
      <c r="BH228" s="308">
        <v>0.0</v>
      </c>
      <c r="BI228" s="308" t="s">
        <v>2959</v>
      </c>
      <c r="BJ228" s="308">
        <v>18.03</v>
      </c>
      <c r="BK228" s="311"/>
      <c r="BL228" s="311"/>
      <c r="BM228" s="311"/>
      <c r="BN228" s="311"/>
      <c r="BO228" s="311"/>
      <c r="BP228" s="311"/>
      <c r="BQ228" s="311"/>
      <c r="BR228" s="311"/>
      <c r="BS228" s="308"/>
      <c r="BT228" s="311"/>
      <c r="BU228" s="311"/>
      <c r="BV228" s="308" t="s">
        <v>4846</v>
      </c>
      <c r="BW228" s="308"/>
      <c r="BX228" s="308" t="s">
        <v>2956</v>
      </c>
      <c r="BY228" s="311"/>
      <c r="BZ228" s="311"/>
      <c r="CA228" s="308" t="s">
        <v>2956</v>
      </c>
      <c r="CB228" s="312" t="str">
        <f t="shared" si="1"/>
        <v>20/05/2026</v>
      </c>
      <c r="CC228" s="313">
        <f t="shared" si="2"/>
        <v>2026</v>
      </c>
      <c r="CD228" s="314">
        <f t="shared" si="3"/>
        <v>5</v>
      </c>
      <c r="CE228" s="314">
        <f t="shared" si="4"/>
        <v>1</v>
      </c>
      <c r="CF228" s="314">
        <f t="shared" si="5"/>
        <v>1</v>
      </c>
      <c r="CG228" s="314">
        <f t="shared" si="6"/>
        <v>-5</v>
      </c>
      <c r="CH228" s="315">
        <f>VLOOKUP(CL228,'PRODUCT_COGS&amp;PRICE'!A:E,5,false)</f>
        <v>16.5</v>
      </c>
      <c r="CI228" s="315">
        <f t="shared" si="7"/>
        <v>-2.15</v>
      </c>
      <c r="CJ228" s="316">
        <f t="shared" si="8"/>
        <v>0</v>
      </c>
      <c r="CK228" s="316">
        <f t="shared" si="9"/>
        <v>0</v>
      </c>
      <c r="CL228" s="314" t="str">
        <f>VLOOKUP(R228,PRODUCT_MAP!A:B,2,FALSE)</f>
        <v>Annie_Bag_PEARL_GREY</v>
      </c>
      <c r="CM228" s="314" t="str">
        <f>VLOOKUP(R228,PRODUCT_MAP!A:E,3,FALSE)</f>
        <v/>
      </c>
    </row>
    <row r="229" ht="22.5" customHeight="1">
      <c r="A229" s="308" t="s">
        <v>4847</v>
      </c>
      <c r="B229" s="308" t="s">
        <v>4848</v>
      </c>
      <c r="C229" s="308" t="s">
        <v>2942</v>
      </c>
      <c r="D229" s="308" t="s">
        <v>4849</v>
      </c>
      <c r="E229" s="308" t="s">
        <v>3013</v>
      </c>
      <c r="F229" s="308"/>
      <c r="G229" s="308" t="s">
        <v>2965</v>
      </c>
      <c r="H229" s="308" t="s">
        <v>2947</v>
      </c>
      <c r="I229" s="308">
        <v>175.0</v>
      </c>
      <c r="J229" s="308">
        <v>0.0</v>
      </c>
      <c r="K229" s="308">
        <v>31.56</v>
      </c>
      <c r="L229" s="308">
        <v>175.0</v>
      </c>
      <c r="M229" s="308"/>
      <c r="N229" s="308">
        <v>0.0</v>
      </c>
      <c r="O229" s="308" t="s">
        <v>2948</v>
      </c>
      <c r="P229" s="308" t="s">
        <v>4850</v>
      </c>
      <c r="Q229" s="310">
        <v>1.0</v>
      </c>
      <c r="R229" s="308" t="s">
        <v>768</v>
      </c>
      <c r="S229" s="308">
        <v>175.0</v>
      </c>
      <c r="T229" s="311"/>
      <c r="U229" s="308" t="s">
        <v>210</v>
      </c>
      <c r="V229" s="308" t="b">
        <v>1</v>
      </c>
      <c r="W229" s="308" t="b">
        <v>1</v>
      </c>
      <c r="X229" s="308"/>
      <c r="Y229" s="308" t="s">
        <v>4851</v>
      </c>
      <c r="Z229" s="308" t="s">
        <v>4852</v>
      </c>
      <c r="AA229" s="308" t="s">
        <v>4852</v>
      </c>
      <c r="AB229" s="308"/>
      <c r="AC229" s="308"/>
      <c r="AD229" s="308" t="s">
        <v>4853</v>
      </c>
      <c r="AE229" s="308">
        <v>42017.0</v>
      </c>
      <c r="AF229" s="308" t="s">
        <v>3506</v>
      </c>
      <c r="AG229" s="308" t="s">
        <v>2955</v>
      </c>
      <c r="AH229" s="308">
        <v>3.34385648E9</v>
      </c>
      <c r="AI229" s="308" t="s">
        <v>4851</v>
      </c>
      <c r="AJ229" s="308" t="s">
        <v>4852</v>
      </c>
      <c r="AK229" s="308" t="s">
        <v>4852</v>
      </c>
      <c r="AL229" s="308"/>
      <c r="AM229" s="308"/>
      <c r="AN229" s="308" t="s">
        <v>4853</v>
      </c>
      <c r="AO229" s="308">
        <v>42017.0</v>
      </c>
      <c r="AP229" s="308" t="s">
        <v>3506</v>
      </c>
      <c r="AQ229" s="308" t="s">
        <v>2955</v>
      </c>
      <c r="AR229" s="308">
        <v>3.34385648E9</v>
      </c>
      <c r="AS229" s="311"/>
      <c r="AT229" s="311"/>
      <c r="AU229" s="311"/>
      <c r="AV229" s="308" t="s">
        <v>3009</v>
      </c>
      <c r="AW229" s="308">
        <v>4.7853304774983E13</v>
      </c>
      <c r="AX229" s="310">
        <v>0.0</v>
      </c>
      <c r="AY229" s="308" t="s">
        <v>2974</v>
      </c>
      <c r="AZ229" s="308">
        <v>0.0</v>
      </c>
      <c r="BA229" s="311"/>
      <c r="BB229" s="311"/>
      <c r="BC229" s="311"/>
      <c r="BD229" s="308">
        <v>7.701863170375E12</v>
      </c>
      <c r="BE229" s="311"/>
      <c r="BF229" s="311"/>
      <c r="BG229" s="308" t="s">
        <v>2958</v>
      </c>
      <c r="BH229" s="308">
        <v>0.0</v>
      </c>
      <c r="BI229" s="308" t="s">
        <v>2959</v>
      </c>
      <c r="BJ229" s="308">
        <v>31.56</v>
      </c>
      <c r="BK229" s="311"/>
      <c r="BL229" s="311"/>
      <c r="BM229" s="311"/>
      <c r="BN229" s="311"/>
      <c r="BO229" s="311"/>
      <c r="BP229" s="311"/>
      <c r="BQ229" s="311"/>
      <c r="BR229" s="311"/>
      <c r="BS229" s="308"/>
      <c r="BT229" s="311"/>
      <c r="BU229" s="311"/>
      <c r="BV229" s="308" t="s">
        <v>3507</v>
      </c>
      <c r="BW229" s="308" t="s">
        <v>3507</v>
      </c>
      <c r="BX229" s="308" t="s">
        <v>3009</v>
      </c>
      <c r="BY229" s="311"/>
      <c r="BZ229" s="311"/>
      <c r="CA229" s="308" t="s">
        <v>3009</v>
      </c>
      <c r="CB229" s="312" t="str">
        <f t="shared" si="1"/>
        <v>20/05/2026</v>
      </c>
      <c r="CC229" s="313">
        <f t="shared" si="2"/>
        <v>2026</v>
      </c>
      <c r="CD229" s="314">
        <f t="shared" si="3"/>
        <v>5</v>
      </c>
      <c r="CE229" s="314">
        <f t="shared" si="4"/>
        <v>1</v>
      </c>
      <c r="CF229" s="314">
        <f t="shared" si="5"/>
        <v>1</v>
      </c>
      <c r="CG229" s="314">
        <f t="shared" si="6"/>
        <v>-5</v>
      </c>
      <c r="CH229" s="315">
        <f>VLOOKUP(CL229,'PRODUCT_COGS&amp;PRICE'!A:E,5,false)</f>
        <v>52.5</v>
      </c>
      <c r="CI229" s="315">
        <f t="shared" si="7"/>
        <v>-6.4575</v>
      </c>
      <c r="CJ229" s="316">
        <f t="shared" si="8"/>
        <v>0</v>
      </c>
      <c r="CK229" s="316">
        <f t="shared" si="9"/>
        <v>0</v>
      </c>
      <c r="CL229" s="314" t="str">
        <f>VLOOKUP(R229,PRODUCT_MAP!A:B,2,FALSE)</f>
        <v>Valentina_Bag_CHOCOLATE</v>
      </c>
      <c r="CM229" s="314" t="str">
        <f>VLOOKUP(R229,PRODUCT_MAP!A:E,3,FALSE)</f>
        <v>Valentina Bag</v>
      </c>
    </row>
    <row r="230" ht="22.5" customHeight="1">
      <c r="A230" s="308" t="s">
        <v>4854</v>
      </c>
      <c r="B230" s="308" t="s">
        <v>4855</v>
      </c>
      <c r="C230" s="308" t="s">
        <v>2942</v>
      </c>
      <c r="D230" s="308" t="s">
        <v>4856</v>
      </c>
      <c r="E230" s="308" t="s">
        <v>3013</v>
      </c>
      <c r="F230" s="308"/>
      <c r="G230" s="308" t="s">
        <v>2965</v>
      </c>
      <c r="H230" s="308" t="s">
        <v>2947</v>
      </c>
      <c r="I230" s="308">
        <v>90.0</v>
      </c>
      <c r="J230" s="308">
        <v>15.0</v>
      </c>
      <c r="K230" s="308">
        <v>18.93</v>
      </c>
      <c r="L230" s="308">
        <v>105.0</v>
      </c>
      <c r="M230" s="308"/>
      <c r="N230" s="308">
        <v>0.0</v>
      </c>
      <c r="O230" s="308" t="s">
        <v>3298</v>
      </c>
      <c r="P230" s="308" t="s">
        <v>4857</v>
      </c>
      <c r="Q230" s="310">
        <v>1.0</v>
      </c>
      <c r="R230" s="308" t="s">
        <v>4220</v>
      </c>
      <c r="S230" s="308">
        <v>90.0</v>
      </c>
      <c r="T230" s="311"/>
      <c r="U230" s="308" t="s">
        <v>4221</v>
      </c>
      <c r="V230" s="308" t="b">
        <v>1</v>
      </c>
      <c r="W230" s="308" t="b">
        <v>1</v>
      </c>
      <c r="X230" s="308"/>
      <c r="Y230" s="308" t="s">
        <v>4858</v>
      </c>
      <c r="Z230" s="308" t="s">
        <v>4859</v>
      </c>
      <c r="AA230" s="308" t="s">
        <v>4859</v>
      </c>
      <c r="AB230" s="308"/>
      <c r="AC230" s="308"/>
      <c r="AD230" s="308" t="s">
        <v>4860</v>
      </c>
      <c r="AE230" s="308">
        <v>93100.0</v>
      </c>
      <c r="AF230" s="308"/>
      <c r="AG230" s="308" t="s">
        <v>4861</v>
      </c>
      <c r="AH230" s="308"/>
      <c r="AI230" s="308" t="s">
        <v>4858</v>
      </c>
      <c r="AJ230" s="308" t="s">
        <v>4862</v>
      </c>
      <c r="AK230" s="308" t="s">
        <v>4862</v>
      </c>
      <c r="AL230" s="308"/>
      <c r="AM230" s="308" t="s">
        <v>4863</v>
      </c>
      <c r="AN230" s="308" t="s">
        <v>4864</v>
      </c>
      <c r="AO230" s="308">
        <v>75008.0</v>
      </c>
      <c r="AP230" s="308"/>
      <c r="AQ230" s="308" t="s">
        <v>4861</v>
      </c>
      <c r="AR230" s="308">
        <v>7.45015303E8</v>
      </c>
      <c r="AS230" s="311"/>
      <c r="AT230" s="311"/>
      <c r="AU230" s="311"/>
      <c r="AV230" s="308" t="s">
        <v>2956</v>
      </c>
      <c r="AW230" s="308">
        <v>4.7844647764295E13</v>
      </c>
      <c r="AX230" s="310">
        <v>0.0</v>
      </c>
      <c r="AY230" s="308" t="s">
        <v>2974</v>
      </c>
      <c r="AZ230" s="308">
        <v>0.0</v>
      </c>
      <c r="BA230" s="311"/>
      <c r="BB230" s="311"/>
      <c r="BC230" s="311"/>
      <c r="BD230" s="308">
        <v>7.703084761415E12</v>
      </c>
      <c r="BE230" s="311"/>
      <c r="BF230" s="311"/>
      <c r="BG230" s="308" t="s">
        <v>2958</v>
      </c>
      <c r="BH230" s="308">
        <v>0.0</v>
      </c>
      <c r="BI230" s="308" t="s">
        <v>2959</v>
      </c>
      <c r="BJ230" s="308">
        <v>16.23</v>
      </c>
      <c r="BK230" s="311"/>
      <c r="BL230" s="311"/>
      <c r="BM230" s="311"/>
      <c r="BN230" s="311"/>
      <c r="BO230" s="311"/>
      <c r="BP230" s="311"/>
      <c r="BQ230" s="311"/>
      <c r="BR230" s="311"/>
      <c r="BS230" s="308"/>
      <c r="BT230" s="311"/>
      <c r="BU230" s="311"/>
      <c r="BV230" s="308"/>
      <c r="BW230" s="308"/>
      <c r="BX230" s="308" t="s">
        <v>2956</v>
      </c>
      <c r="BY230" s="311"/>
      <c r="BZ230" s="311"/>
      <c r="CA230" s="308" t="s">
        <v>2956</v>
      </c>
      <c r="CB230" s="312" t="str">
        <f t="shared" si="1"/>
        <v>20/05/2026</v>
      </c>
      <c r="CC230" s="313">
        <f t="shared" si="2"/>
        <v>2026</v>
      </c>
      <c r="CD230" s="314">
        <f t="shared" si="3"/>
        <v>5</v>
      </c>
      <c r="CE230" s="314">
        <f t="shared" si="4"/>
        <v>1</v>
      </c>
      <c r="CF230" s="314">
        <f t="shared" si="5"/>
        <v>1</v>
      </c>
      <c r="CG230" s="314">
        <f t="shared" si="6"/>
        <v>0</v>
      </c>
      <c r="CH230" s="315">
        <f>VLOOKUP(CL230,'PRODUCT_COGS&amp;PRICE'!A:E,5,false)</f>
        <v>16.5</v>
      </c>
      <c r="CI230" s="315">
        <f t="shared" si="7"/>
        <v>-2.245</v>
      </c>
      <c r="CJ230" s="316">
        <f t="shared" si="8"/>
        <v>0</v>
      </c>
      <c r="CK230" s="316">
        <f t="shared" si="9"/>
        <v>0</v>
      </c>
      <c r="CL230" s="314" t="str">
        <f>VLOOKUP(R230,PRODUCT_MAP!A:B,2,FALSE)</f>
        <v>Annie_Bag_PAILLETTES_NUDE</v>
      </c>
      <c r="CM230" s="314" t="str">
        <f>VLOOKUP(R230,PRODUCT_MAP!A:E,3,FALSE)</f>
        <v>Agata Bag</v>
      </c>
    </row>
    <row r="231" ht="22.5" customHeight="1">
      <c r="A231" s="308" t="s">
        <v>4865</v>
      </c>
      <c r="B231" s="308" t="s">
        <v>4866</v>
      </c>
      <c r="C231" s="308" t="s">
        <v>2942</v>
      </c>
      <c r="D231" s="308" t="s">
        <v>4867</v>
      </c>
      <c r="E231" s="308" t="s">
        <v>3013</v>
      </c>
      <c r="F231" s="308"/>
      <c r="G231" s="308" t="s">
        <v>2946</v>
      </c>
      <c r="H231" s="308" t="s">
        <v>2947</v>
      </c>
      <c r="I231" s="308">
        <v>135.0</v>
      </c>
      <c r="J231" s="308">
        <v>15.0</v>
      </c>
      <c r="K231" s="308">
        <v>27.04</v>
      </c>
      <c r="L231" s="308">
        <v>150.0</v>
      </c>
      <c r="M231" s="308" t="s">
        <v>3094</v>
      </c>
      <c r="N231" s="308">
        <v>15.0</v>
      </c>
      <c r="O231" s="308" t="s">
        <v>3298</v>
      </c>
      <c r="P231" s="308" t="s">
        <v>4868</v>
      </c>
      <c r="Q231" s="310">
        <v>1.0</v>
      </c>
      <c r="R231" s="308" t="s">
        <v>539</v>
      </c>
      <c r="S231" s="308">
        <v>150.0</v>
      </c>
      <c r="T231" s="311"/>
      <c r="U231" s="308" t="s">
        <v>3223</v>
      </c>
      <c r="V231" s="308" t="b">
        <v>1</v>
      </c>
      <c r="W231" s="308" t="b">
        <v>1</v>
      </c>
      <c r="X231" s="308"/>
      <c r="Y231" s="308" t="s">
        <v>4869</v>
      </c>
      <c r="Z231" s="308" t="s">
        <v>4870</v>
      </c>
      <c r="AA231" s="308" t="s">
        <v>4871</v>
      </c>
      <c r="AB231" s="308" t="s">
        <v>4872</v>
      </c>
      <c r="AC231" s="308"/>
      <c r="AD231" s="308" t="s">
        <v>3302</v>
      </c>
      <c r="AE231" s="308">
        <v>8010.0</v>
      </c>
      <c r="AF231" s="308"/>
      <c r="AG231" s="308" t="s">
        <v>3303</v>
      </c>
      <c r="AH231" s="318" t="s">
        <v>4873</v>
      </c>
      <c r="AI231" s="308" t="s">
        <v>4869</v>
      </c>
      <c r="AJ231" s="308" t="s">
        <v>4870</v>
      </c>
      <c r="AK231" s="308" t="s">
        <v>4871</v>
      </c>
      <c r="AL231" s="308" t="s">
        <v>4872</v>
      </c>
      <c r="AM231" s="308"/>
      <c r="AN231" s="308" t="s">
        <v>3302</v>
      </c>
      <c r="AO231" s="308">
        <v>8010.0</v>
      </c>
      <c r="AP231" s="308"/>
      <c r="AQ231" s="308" t="s">
        <v>3303</v>
      </c>
      <c r="AR231" s="318" t="s">
        <v>4873</v>
      </c>
      <c r="AS231" s="311"/>
      <c r="AT231" s="311"/>
      <c r="AU231" s="311"/>
      <c r="AV231" s="308" t="s">
        <v>3009</v>
      </c>
      <c r="AW231" s="308">
        <v>4.7855437840711E13</v>
      </c>
      <c r="AX231" s="310">
        <v>0.0</v>
      </c>
      <c r="AY231" s="308" t="s">
        <v>2974</v>
      </c>
      <c r="AZ231" s="308">
        <v>0.0</v>
      </c>
      <c r="BA231" s="311"/>
      <c r="BB231" s="311"/>
      <c r="BC231" s="311"/>
      <c r="BD231" s="308">
        <v>7.712326648135E12</v>
      </c>
      <c r="BE231" s="311"/>
      <c r="BF231" s="311"/>
      <c r="BG231" s="308" t="s">
        <v>2958</v>
      </c>
      <c r="BH231" s="308">
        <v>0.0</v>
      </c>
      <c r="BI231" s="308" t="s">
        <v>2959</v>
      </c>
      <c r="BJ231" s="308">
        <v>24.34</v>
      </c>
      <c r="BK231" s="311"/>
      <c r="BL231" s="311"/>
      <c r="BM231" s="311"/>
      <c r="BN231" s="311"/>
      <c r="BO231" s="311"/>
      <c r="BP231" s="311"/>
      <c r="BQ231" s="311"/>
      <c r="BR231" s="311"/>
      <c r="BS231" s="308"/>
      <c r="BT231" s="311"/>
      <c r="BU231" s="311"/>
      <c r="BV231" s="308"/>
      <c r="BW231" s="308"/>
      <c r="BX231" s="308" t="s">
        <v>3009</v>
      </c>
      <c r="BY231" s="311"/>
      <c r="BZ231" s="311"/>
      <c r="CA231" s="308" t="s">
        <v>3009</v>
      </c>
      <c r="CB231" s="312" t="str">
        <f t="shared" si="1"/>
        <v>21/05/2026</v>
      </c>
      <c r="CC231" s="313">
        <f t="shared" si="2"/>
        <v>2026</v>
      </c>
      <c r="CD231" s="314">
        <f t="shared" si="3"/>
        <v>5</v>
      </c>
      <c r="CE231" s="314">
        <f t="shared" si="4"/>
        <v>1</v>
      </c>
      <c r="CF231" s="314">
        <f t="shared" si="5"/>
        <v>1</v>
      </c>
      <c r="CG231" s="314">
        <f t="shared" si="6"/>
        <v>0</v>
      </c>
      <c r="CH231" s="315">
        <f>VLOOKUP(CL231,'PRODUCT_COGS&amp;PRICE'!A:E,5,false)</f>
        <v>33</v>
      </c>
      <c r="CI231" s="315">
        <f t="shared" si="7"/>
        <v>-5.585</v>
      </c>
      <c r="CJ231" s="316">
        <f t="shared" si="8"/>
        <v>0</v>
      </c>
      <c r="CK231" s="316">
        <f t="shared" si="9"/>
        <v>15</v>
      </c>
      <c r="CL231" s="314" t="str">
        <f>VLOOKUP(R231,PRODUCT_MAP!A:B,2,FALSE)</f>
        <v>Lea_Bag_Zebra_Dark</v>
      </c>
      <c r="CM231" s="314" t="str">
        <f>VLOOKUP(R231,PRODUCT_MAP!A:E,3,FALSE)</f>
        <v>Lea Bag</v>
      </c>
    </row>
    <row r="232" ht="22.5" customHeight="1">
      <c r="A232" s="308" t="s">
        <v>4874</v>
      </c>
      <c r="B232" s="308" t="s">
        <v>4875</v>
      </c>
      <c r="C232" s="308" t="s">
        <v>2942</v>
      </c>
      <c r="D232" s="308" t="s">
        <v>4876</v>
      </c>
      <c r="E232" s="308" t="s">
        <v>3013</v>
      </c>
      <c r="F232" s="308"/>
      <c r="G232" s="308" t="s">
        <v>2946</v>
      </c>
      <c r="H232" s="308" t="s">
        <v>2947</v>
      </c>
      <c r="I232" s="308">
        <v>108.0</v>
      </c>
      <c r="J232" s="308">
        <v>0.0</v>
      </c>
      <c r="K232" s="308">
        <v>19.48</v>
      </c>
      <c r="L232" s="308">
        <v>108.0</v>
      </c>
      <c r="M232" s="308" t="s">
        <v>3094</v>
      </c>
      <c r="N232" s="308">
        <v>12.0</v>
      </c>
      <c r="O232" s="308" t="s">
        <v>2948</v>
      </c>
      <c r="P232" s="308" t="s">
        <v>4877</v>
      </c>
      <c r="Q232" s="310">
        <v>1.0</v>
      </c>
      <c r="R232" s="308" t="s">
        <v>509</v>
      </c>
      <c r="S232" s="308">
        <v>120.0</v>
      </c>
      <c r="T232" s="311"/>
      <c r="U232" s="308" t="s">
        <v>161</v>
      </c>
      <c r="V232" s="308" t="b">
        <v>1</v>
      </c>
      <c r="W232" s="308" t="b">
        <v>1</v>
      </c>
      <c r="X232" s="308"/>
      <c r="Y232" s="308" t="s">
        <v>4878</v>
      </c>
      <c r="Z232" s="308" t="s">
        <v>4879</v>
      </c>
      <c r="AA232" s="308" t="s">
        <v>4879</v>
      </c>
      <c r="AB232" s="308"/>
      <c r="AC232" s="308"/>
      <c r="AD232" s="308" t="s">
        <v>3081</v>
      </c>
      <c r="AE232" s="308">
        <v>144.0</v>
      </c>
      <c r="AF232" s="308" t="s">
        <v>3082</v>
      </c>
      <c r="AG232" s="308" t="s">
        <v>2955</v>
      </c>
      <c r="AH232" s="308">
        <v>3.92784291E9</v>
      </c>
      <c r="AI232" s="308" t="s">
        <v>4878</v>
      </c>
      <c r="AJ232" s="308" t="s">
        <v>4879</v>
      </c>
      <c r="AK232" s="308" t="s">
        <v>4879</v>
      </c>
      <c r="AL232" s="308"/>
      <c r="AM232" s="308"/>
      <c r="AN232" s="308" t="s">
        <v>3081</v>
      </c>
      <c r="AO232" s="308">
        <v>144.0</v>
      </c>
      <c r="AP232" s="308" t="s">
        <v>3082</v>
      </c>
      <c r="AQ232" s="308" t="s">
        <v>2955</v>
      </c>
      <c r="AR232" s="308">
        <v>3.92784291E9</v>
      </c>
      <c r="AS232" s="311"/>
      <c r="AT232" s="311"/>
      <c r="AU232" s="311"/>
      <c r="AV232" s="308" t="s">
        <v>2956</v>
      </c>
      <c r="AW232" s="308">
        <v>4.7855971729735E13</v>
      </c>
      <c r="AX232" s="310">
        <v>0.0</v>
      </c>
      <c r="AY232" s="308" t="s">
        <v>2974</v>
      </c>
      <c r="AZ232" s="308">
        <v>0.0</v>
      </c>
      <c r="BA232" s="311"/>
      <c r="BB232" s="311"/>
      <c r="BC232" s="311"/>
      <c r="BD232" s="308">
        <v>7.712595411271E12</v>
      </c>
      <c r="BE232" s="311"/>
      <c r="BF232" s="311"/>
      <c r="BG232" s="308" t="s">
        <v>2958</v>
      </c>
      <c r="BH232" s="308">
        <v>0.0</v>
      </c>
      <c r="BI232" s="308" t="s">
        <v>2959</v>
      </c>
      <c r="BJ232" s="308">
        <v>19.48</v>
      </c>
      <c r="BK232" s="311"/>
      <c r="BL232" s="311"/>
      <c r="BM232" s="311"/>
      <c r="BN232" s="311"/>
      <c r="BO232" s="311"/>
      <c r="BP232" s="311"/>
      <c r="BQ232" s="311"/>
      <c r="BR232" s="311"/>
      <c r="BS232" s="308"/>
      <c r="BT232" s="311"/>
      <c r="BU232" s="311"/>
      <c r="BV232" s="308" t="s">
        <v>3081</v>
      </c>
      <c r="BW232" s="308" t="s">
        <v>3081</v>
      </c>
      <c r="BX232" s="308" t="s">
        <v>2956</v>
      </c>
      <c r="BY232" s="311"/>
      <c r="BZ232" s="311"/>
      <c r="CA232" s="308" t="s">
        <v>2956</v>
      </c>
      <c r="CB232" s="312" t="str">
        <f t="shared" si="1"/>
        <v>21/05/2026</v>
      </c>
      <c r="CC232" s="313">
        <f t="shared" si="2"/>
        <v>2026</v>
      </c>
      <c r="CD232" s="314">
        <f t="shared" si="3"/>
        <v>5</v>
      </c>
      <c r="CE232" s="314">
        <f t="shared" si="4"/>
        <v>1</v>
      </c>
      <c r="CF232" s="314">
        <f t="shared" si="5"/>
        <v>1</v>
      </c>
      <c r="CG232" s="314">
        <f t="shared" si="6"/>
        <v>-5</v>
      </c>
      <c r="CH232" s="315">
        <f>VLOOKUP(CL232,'PRODUCT_COGS&amp;PRICE'!A:E,5,false)</f>
        <v>30.33</v>
      </c>
      <c r="CI232" s="315">
        <f t="shared" si="7"/>
        <v>-2.302</v>
      </c>
      <c r="CJ232" s="316">
        <f t="shared" si="8"/>
        <v>0</v>
      </c>
      <c r="CK232" s="316">
        <f t="shared" si="9"/>
        <v>12</v>
      </c>
      <c r="CL232" s="314" t="str">
        <f>VLOOKUP(R232,PRODUCT_MAP!A:B,2,FALSE)</f>
        <v>Lea_Bag_COCCO_BLACK</v>
      </c>
      <c r="CM232" s="314" t="str">
        <f>VLOOKUP(R232,PRODUCT_MAP!A:E,3,FALSE)</f>
        <v>Lea Bag</v>
      </c>
    </row>
    <row r="233" ht="22.5" customHeight="1">
      <c r="A233" s="308" t="s">
        <v>4880</v>
      </c>
      <c r="B233" s="308" t="s">
        <v>4881</v>
      </c>
      <c r="C233" s="308" t="s">
        <v>2942</v>
      </c>
      <c r="D233" s="308" t="s">
        <v>4882</v>
      </c>
      <c r="E233" s="308" t="s">
        <v>3013</v>
      </c>
      <c r="F233" s="308"/>
      <c r="G233" s="308" t="s">
        <v>2946</v>
      </c>
      <c r="H233" s="308" t="s">
        <v>2947</v>
      </c>
      <c r="I233" s="308">
        <v>45.0</v>
      </c>
      <c r="J233" s="308">
        <v>3.9</v>
      </c>
      <c r="K233" s="308">
        <v>8.81</v>
      </c>
      <c r="L233" s="308">
        <v>48.9</v>
      </c>
      <c r="M233" s="308" t="s">
        <v>3094</v>
      </c>
      <c r="N233" s="308">
        <v>5.0</v>
      </c>
      <c r="O233" s="308" t="s">
        <v>2948</v>
      </c>
      <c r="P233" s="308" t="s">
        <v>4883</v>
      </c>
      <c r="Q233" s="310">
        <v>1.0</v>
      </c>
      <c r="R233" s="308" t="s">
        <v>4884</v>
      </c>
      <c r="S233" s="308">
        <v>50.0</v>
      </c>
      <c r="T233" s="311"/>
      <c r="U233" s="308" t="s">
        <v>2051</v>
      </c>
      <c r="V233" s="308" t="b">
        <v>1</v>
      </c>
      <c r="W233" s="308" t="b">
        <v>1</v>
      </c>
      <c r="X233" s="308"/>
      <c r="Y233" s="308" t="s">
        <v>4885</v>
      </c>
      <c r="Z233" s="308" t="s">
        <v>4886</v>
      </c>
      <c r="AA233" s="308" t="s">
        <v>4886</v>
      </c>
      <c r="AB233" s="308"/>
      <c r="AC233" s="308"/>
      <c r="AD233" s="308" t="s">
        <v>4887</v>
      </c>
      <c r="AE233" s="308">
        <v>36031.0</v>
      </c>
      <c r="AF233" s="308" t="s">
        <v>3676</v>
      </c>
      <c r="AG233" s="308" t="s">
        <v>2955</v>
      </c>
      <c r="AH233" s="308">
        <v>3.476957173E9</v>
      </c>
      <c r="AI233" s="308" t="s">
        <v>4885</v>
      </c>
      <c r="AJ233" s="308" t="s">
        <v>4886</v>
      </c>
      <c r="AK233" s="308" t="s">
        <v>4886</v>
      </c>
      <c r="AL233" s="308"/>
      <c r="AM233" s="308"/>
      <c r="AN233" s="308" t="s">
        <v>4887</v>
      </c>
      <c r="AO233" s="308">
        <v>36031.0</v>
      </c>
      <c r="AP233" s="308" t="s">
        <v>3676</v>
      </c>
      <c r="AQ233" s="308" t="s">
        <v>2955</v>
      </c>
      <c r="AR233" s="308">
        <v>3.476957173E9</v>
      </c>
      <c r="AS233" s="311"/>
      <c r="AT233" s="311"/>
      <c r="AU233" s="311"/>
      <c r="AV233" s="308" t="s">
        <v>2956</v>
      </c>
      <c r="AW233" s="308">
        <v>4.7856683548999E13</v>
      </c>
      <c r="AX233" s="310">
        <v>0.0</v>
      </c>
      <c r="AY233" s="308" t="s">
        <v>2974</v>
      </c>
      <c r="AZ233" s="308">
        <v>0.0</v>
      </c>
      <c r="BA233" s="311"/>
      <c r="BB233" s="311"/>
      <c r="BC233" s="311"/>
      <c r="BD233" s="308">
        <v>7.712977158471E12</v>
      </c>
      <c r="BE233" s="311"/>
      <c r="BF233" s="311"/>
      <c r="BG233" s="308" t="s">
        <v>2958</v>
      </c>
      <c r="BH233" s="308">
        <v>0.0</v>
      </c>
      <c r="BI233" s="308" t="s">
        <v>2959</v>
      </c>
      <c r="BJ233" s="308">
        <v>8.11</v>
      </c>
      <c r="BK233" s="311"/>
      <c r="BL233" s="311"/>
      <c r="BM233" s="311"/>
      <c r="BN233" s="311"/>
      <c r="BO233" s="311"/>
      <c r="BP233" s="311"/>
      <c r="BQ233" s="311"/>
      <c r="BR233" s="311"/>
      <c r="BS233" s="308"/>
      <c r="BT233" s="311"/>
      <c r="BU233" s="311"/>
      <c r="BV233" s="308" t="s">
        <v>3678</v>
      </c>
      <c r="BW233" s="308" t="s">
        <v>3678</v>
      </c>
      <c r="BX233" s="308" t="s">
        <v>2956</v>
      </c>
      <c r="BY233" s="311"/>
      <c r="BZ233" s="311"/>
      <c r="CA233" s="308" t="s">
        <v>2956</v>
      </c>
      <c r="CB233" s="312" t="str">
        <f t="shared" si="1"/>
        <v>21/05/2026</v>
      </c>
      <c r="CC233" s="313">
        <f t="shared" si="2"/>
        <v>2026</v>
      </c>
      <c r="CD233" s="314">
        <f t="shared" si="3"/>
        <v>5</v>
      </c>
      <c r="CE233" s="314">
        <f t="shared" si="4"/>
        <v>1</v>
      </c>
      <c r="CF233" s="314">
        <f t="shared" si="5"/>
        <v>1</v>
      </c>
      <c r="CG233" s="314">
        <f t="shared" si="6"/>
        <v>0</v>
      </c>
      <c r="CH233" s="315">
        <f>VLOOKUP(CL233,'PRODUCT_COGS&amp;PRICE'!A:E,5,false)</f>
        <v>4</v>
      </c>
      <c r="CI233" s="315">
        <f t="shared" si="7"/>
        <v>-1.1791</v>
      </c>
      <c r="CJ233" s="316">
        <f t="shared" si="8"/>
        <v>0</v>
      </c>
      <c r="CK233" s="316">
        <f t="shared" si="9"/>
        <v>5</v>
      </c>
      <c r="CL233" s="314" t="str">
        <f>VLOOKUP(R233,PRODUCT_MAP!A:B,2,FALSE)</f>
        <v>Nina_Bag_PINK_BARBIE</v>
      </c>
      <c r="CM233" s="314" t="str">
        <f>VLOOKUP(R233,PRODUCT_MAP!A:E,3,FALSE)</f>
        <v>Nina Bag</v>
      </c>
    </row>
    <row r="234" ht="22.5" customHeight="1">
      <c r="A234" s="308" t="s">
        <v>4888</v>
      </c>
      <c r="B234" s="308" t="s">
        <v>4889</v>
      </c>
      <c r="C234" s="308" t="s">
        <v>2942</v>
      </c>
      <c r="D234" s="308" t="s">
        <v>4890</v>
      </c>
      <c r="E234" s="308" t="s">
        <v>3013</v>
      </c>
      <c r="F234" s="308"/>
      <c r="G234" s="308" t="s">
        <v>2946</v>
      </c>
      <c r="H234" s="308" t="s">
        <v>2947</v>
      </c>
      <c r="I234" s="308">
        <v>108.0</v>
      </c>
      <c r="J234" s="308">
        <v>0.0</v>
      </c>
      <c r="K234" s="308">
        <v>19.48</v>
      </c>
      <c r="L234" s="308">
        <v>108.0</v>
      </c>
      <c r="M234" s="308" t="s">
        <v>3094</v>
      </c>
      <c r="N234" s="308">
        <v>12.0</v>
      </c>
      <c r="O234" s="308" t="s">
        <v>2948</v>
      </c>
      <c r="P234" s="308" t="s">
        <v>4891</v>
      </c>
      <c r="Q234" s="310">
        <v>1.0</v>
      </c>
      <c r="R234" s="308" t="s">
        <v>509</v>
      </c>
      <c r="S234" s="308">
        <v>120.0</v>
      </c>
      <c r="T234" s="311"/>
      <c r="U234" s="308" t="s">
        <v>161</v>
      </c>
      <c r="V234" s="308" t="b">
        <v>1</v>
      </c>
      <c r="W234" s="308" t="b">
        <v>1</v>
      </c>
      <c r="X234" s="308"/>
      <c r="Y234" s="308" t="s">
        <v>4892</v>
      </c>
      <c r="Z234" s="308" t="s">
        <v>4893</v>
      </c>
      <c r="AA234" s="308" t="s">
        <v>4894</v>
      </c>
      <c r="AB234" s="308" t="s">
        <v>4895</v>
      </c>
      <c r="AC234" s="308"/>
      <c r="AD234" s="308" t="s">
        <v>4896</v>
      </c>
      <c r="AE234" s="308">
        <v>2100.0</v>
      </c>
      <c r="AF234" s="308" t="s">
        <v>4897</v>
      </c>
      <c r="AG234" s="308" t="s">
        <v>2955</v>
      </c>
      <c r="AH234" s="308">
        <v>3.384176611E9</v>
      </c>
      <c r="AI234" s="308" t="s">
        <v>4892</v>
      </c>
      <c r="AJ234" s="308" t="s">
        <v>4893</v>
      </c>
      <c r="AK234" s="308" t="s">
        <v>4894</v>
      </c>
      <c r="AL234" s="308" t="s">
        <v>4895</v>
      </c>
      <c r="AM234" s="308"/>
      <c r="AN234" s="308" t="s">
        <v>4896</v>
      </c>
      <c r="AO234" s="308">
        <v>2100.0</v>
      </c>
      <c r="AP234" s="308" t="s">
        <v>4897</v>
      </c>
      <c r="AQ234" s="308" t="s">
        <v>2955</v>
      </c>
      <c r="AR234" s="308">
        <v>3.384176611E9</v>
      </c>
      <c r="AS234" s="311"/>
      <c r="AT234" s="311"/>
      <c r="AU234" s="311"/>
      <c r="AV234" s="308" t="s">
        <v>2956</v>
      </c>
      <c r="AW234" s="308">
        <v>4.7857485218119E13</v>
      </c>
      <c r="AX234" s="310">
        <v>0.0</v>
      </c>
      <c r="AY234" s="308" t="s">
        <v>2974</v>
      </c>
      <c r="AZ234" s="308">
        <v>0.0</v>
      </c>
      <c r="BA234" s="311"/>
      <c r="BB234" s="311"/>
      <c r="BC234" s="311"/>
      <c r="BD234" s="308">
        <v>7.714736341319E12</v>
      </c>
      <c r="BE234" s="311"/>
      <c r="BF234" s="311"/>
      <c r="BG234" s="308" t="s">
        <v>2958</v>
      </c>
      <c r="BH234" s="308">
        <v>0.0</v>
      </c>
      <c r="BI234" s="308" t="s">
        <v>2959</v>
      </c>
      <c r="BJ234" s="308">
        <v>19.48</v>
      </c>
      <c r="BK234" s="311"/>
      <c r="BL234" s="311"/>
      <c r="BM234" s="311"/>
      <c r="BN234" s="311"/>
      <c r="BO234" s="311"/>
      <c r="BP234" s="311"/>
      <c r="BQ234" s="311"/>
      <c r="BR234" s="311"/>
      <c r="BS234" s="308"/>
      <c r="BT234" s="311"/>
      <c r="BU234" s="311"/>
      <c r="BV234" s="308" t="s">
        <v>4896</v>
      </c>
      <c r="BW234" s="308" t="s">
        <v>4896</v>
      </c>
      <c r="BX234" s="308" t="s">
        <v>2956</v>
      </c>
      <c r="BY234" s="311"/>
      <c r="BZ234" s="311"/>
      <c r="CA234" s="308" t="s">
        <v>2956</v>
      </c>
      <c r="CB234" s="312" t="str">
        <f t="shared" si="1"/>
        <v>21/05/2026</v>
      </c>
      <c r="CC234" s="313">
        <f t="shared" si="2"/>
        <v>2026</v>
      </c>
      <c r="CD234" s="314">
        <f t="shared" si="3"/>
        <v>5</v>
      </c>
      <c r="CE234" s="314">
        <f t="shared" si="4"/>
        <v>1</v>
      </c>
      <c r="CF234" s="314">
        <f t="shared" si="5"/>
        <v>1</v>
      </c>
      <c r="CG234" s="314">
        <f t="shared" si="6"/>
        <v>-5</v>
      </c>
      <c r="CH234" s="315">
        <f>VLOOKUP(CL234,'PRODUCT_COGS&amp;PRICE'!A:E,5,false)</f>
        <v>30.33</v>
      </c>
      <c r="CI234" s="315">
        <f t="shared" si="7"/>
        <v>-2.302</v>
      </c>
      <c r="CJ234" s="316">
        <f t="shared" si="8"/>
        <v>0</v>
      </c>
      <c r="CK234" s="316">
        <f t="shared" si="9"/>
        <v>12</v>
      </c>
      <c r="CL234" s="314" t="str">
        <f>VLOOKUP(R234,PRODUCT_MAP!A:B,2,FALSE)</f>
        <v>Lea_Bag_COCCO_BLACK</v>
      </c>
      <c r="CM234" s="314" t="str">
        <f>VLOOKUP(R234,PRODUCT_MAP!A:E,3,FALSE)</f>
        <v>Lea Bag</v>
      </c>
    </row>
    <row r="235" ht="22.5" customHeight="1">
      <c r="A235" s="308" t="s">
        <v>4898</v>
      </c>
      <c r="B235" s="308" t="s">
        <v>4899</v>
      </c>
      <c r="C235" s="308" t="s">
        <v>2942</v>
      </c>
      <c r="D235" s="308" t="s">
        <v>4900</v>
      </c>
      <c r="E235" s="308" t="s">
        <v>3013</v>
      </c>
      <c r="F235" s="308"/>
      <c r="G235" s="308" t="s">
        <v>2965</v>
      </c>
      <c r="H235" s="308" t="s">
        <v>2947</v>
      </c>
      <c r="I235" s="308">
        <v>120.0</v>
      </c>
      <c r="J235" s="308">
        <v>0.0</v>
      </c>
      <c r="K235" s="308">
        <v>21.64</v>
      </c>
      <c r="L235" s="308">
        <v>120.0</v>
      </c>
      <c r="M235" s="308"/>
      <c r="N235" s="308">
        <v>0.0</v>
      </c>
      <c r="O235" s="308" t="s">
        <v>2948</v>
      </c>
      <c r="P235" s="308" t="s">
        <v>4901</v>
      </c>
      <c r="Q235" s="310">
        <v>1.0</v>
      </c>
      <c r="R235" s="308" t="s">
        <v>607</v>
      </c>
      <c r="S235" s="308">
        <v>120.0</v>
      </c>
      <c r="T235" s="311"/>
      <c r="U235" s="308" t="s">
        <v>207</v>
      </c>
      <c r="V235" s="308" t="b">
        <v>1</v>
      </c>
      <c r="W235" s="308" t="b">
        <v>1</v>
      </c>
      <c r="X235" s="308"/>
      <c r="Y235" s="308" t="s">
        <v>4902</v>
      </c>
      <c r="Z235" s="308" t="s">
        <v>4903</v>
      </c>
      <c r="AA235" s="308" t="s">
        <v>4903</v>
      </c>
      <c r="AB235" s="308"/>
      <c r="AC235" s="308"/>
      <c r="AD235" s="308" t="s">
        <v>23</v>
      </c>
      <c r="AE235" s="308">
        <v>20123.0</v>
      </c>
      <c r="AF235" s="308" t="s">
        <v>2954</v>
      </c>
      <c r="AG235" s="308" t="s">
        <v>2955</v>
      </c>
      <c r="AH235" s="308">
        <v>3.285518711E9</v>
      </c>
      <c r="AI235" s="308" t="s">
        <v>4902</v>
      </c>
      <c r="AJ235" s="308" t="s">
        <v>4903</v>
      </c>
      <c r="AK235" s="308" t="s">
        <v>4903</v>
      </c>
      <c r="AL235" s="308"/>
      <c r="AM235" s="308"/>
      <c r="AN235" s="308" t="s">
        <v>23</v>
      </c>
      <c r="AO235" s="308">
        <v>20123.0</v>
      </c>
      <c r="AP235" s="308" t="s">
        <v>2954</v>
      </c>
      <c r="AQ235" s="308" t="s">
        <v>2955</v>
      </c>
      <c r="AR235" s="308">
        <v>3.285518711E9</v>
      </c>
      <c r="AS235" s="311"/>
      <c r="AT235" s="311"/>
      <c r="AU235" s="311"/>
      <c r="AV235" s="308" t="s">
        <v>3009</v>
      </c>
      <c r="AW235" s="308">
        <v>4.7858732663111E13</v>
      </c>
      <c r="AX235" s="310">
        <v>0.0</v>
      </c>
      <c r="AY235" s="308" t="s">
        <v>2974</v>
      </c>
      <c r="AZ235" s="308">
        <v>0.0</v>
      </c>
      <c r="BA235" s="311"/>
      <c r="BB235" s="311"/>
      <c r="BC235" s="311"/>
      <c r="BD235" s="308">
        <v>7.717390287175E12</v>
      </c>
      <c r="BE235" s="311"/>
      <c r="BF235" s="311"/>
      <c r="BG235" s="308" t="s">
        <v>2958</v>
      </c>
      <c r="BH235" s="308">
        <v>0.0</v>
      </c>
      <c r="BI235" s="308" t="s">
        <v>2959</v>
      </c>
      <c r="BJ235" s="308">
        <v>21.64</v>
      </c>
      <c r="BK235" s="311"/>
      <c r="BL235" s="311"/>
      <c r="BM235" s="311"/>
      <c r="BN235" s="311"/>
      <c r="BO235" s="311"/>
      <c r="BP235" s="311"/>
      <c r="BQ235" s="311"/>
      <c r="BR235" s="311"/>
      <c r="BS235" s="308"/>
      <c r="BT235" s="311"/>
      <c r="BU235" s="311"/>
      <c r="BV235" s="308" t="s">
        <v>23</v>
      </c>
      <c r="BW235" s="308" t="s">
        <v>23</v>
      </c>
      <c r="BX235" s="308" t="s">
        <v>3009</v>
      </c>
      <c r="BY235" s="311"/>
      <c r="BZ235" s="311"/>
      <c r="CA235" s="308" t="s">
        <v>3009</v>
      </c>
      <c r="CB235" s="312" t="str">
        <f t="shared" si="1"/>
        <v>21/05/2026</v>
      </c>
      <c r="CC235" s="313">
        <f t="shared" si="2"/>
        <v>2026</v>
      </c>
      <c r="CD235" s="314">
        <f t="shared" si="3"/>
        <v>5</v>
      </c>
      <c r="CE235" s="314">
        <f t="shared" si="4"/>
        <v>1</v>
      </c>
      <c r="CF235" s="314">
        <f t="shared" si="5"/>
        <v>1</v>
      </c>
      <c r="CG235" s="314">
        <f t="shared" si="6"/>
        <v>-5</v>
      </c>
      <c r="CH235" s="315">
        <f>VLOOKUP(CL235,'PRODUCT_COGS&amp;PRICE'!A:E,5,false)</f>
        <v>26</v>
      </c>
      <c r="CI235" s="315">
        <f t="shared" si="7"/>
        <v>-4.538</v>
      </c>
      <c r="CJ235" s="316">
        <f t="shared" si="8"/>
        <v>0</v>
      </c>
      <c r="CK235" s="316">
        <f t="shared" si="9"/>
        <v>0</v>
      </c>
      <c r="CL235" s="314" t="str">
        <f>VLOOKUP(R235,PRODUCT_MAP!A:B,2,FALSE)</f>
        <v>Maria_Bag_RED_PIERCING</v>
      </c>
      <c r="CM235" s="314" t="str">
        <f>VLOOKUP(R235,PRODUCT_MAP!A:E,3,FALSE)</f>
        <v>Maria Bag</v>
      </c>
    </row>
    <row r="236" ht="22.5" customHeight="1">
      <c r="A236" s="308" t="s">
        <v>4904</v>
      </c>
      <c r="B236" s="308" t="s">
        <v>4905</v>
      </c>
      <c r="C236" s="308" t="s">
        <v>2942</v>
      </c>
      <c r="D236" s="308" t="s">
        <v>4906</v>
      </c>
      <c r="E236" s="308" t="s">
        <v>3013</v>
      </c>
      <c r="F236" s="308"/>
      <c r="G236" s="308" t="s">
        <v>2946</v>
      </c>
      <c r="H236" s="308" t="s">
        <v>2947</v>
      </c>
      <c r="I236" s="308">
        <v>108.0</v>
      </c>
      <c r="J236" s="308">
        <v>0.0</v>
      </c>
      <c r="K236" s="308">
        <v>19.48</v>
      </c>
      <c r="L236" s="308">
        <v>108.0</v>
      </c>
      <c r="M236" s="308" t="s">
        <v>3094</v>
      </c>
      <c r="N236" s="308">
        <v>12.0</v>
      </c>
      <c r="O236" s="308" t="s">
        <v>2948</v>
      </c>
      <c r="P236" s="308" t="s">
        <v>4907</v>
      </c>
      <c r="Q236" s="310">
        <v>1.0</v>
      </c>
      <c r="R236" s="308" t="s">
        <v>509</v>
      </c>
      <c r="S236" s="308">
        <v>120.0</v>
      </c>
      <c r="T236" s="311"/>
      <c r="U236" s="308" t="s">
        <v>161</v>
      </c>
      <c r="V236" s="308" t="b">
        <v>1</v>
      </c>
      <c r="W236" s="308" t="b">
        <v>1</v>
      </c>
      <c r="X236" s="308"/>
      <c r="Y236" s="308" t="s">
        <v>4908</v>
      </c>
      <c r="Z236" s="308" t="s">
        <v>4909</v>
      </c>
      <c r="AA236" s="308" t="s">
        <v>4910</v>
      </c>
      <c r="AB236" s="308" t="s">
        <v>4911</v>
      </c>
      <c r="AC236" s="308"/>
      <c r="AD236" s="308" t="s">
        <v>4912</v>
      </c>
      <c r="AE236" s="308">
        <v>21100.0</v>
      </c>
      <c r="AF236" s="308" t="s">
        <v>3206</v>
      </c>
      <c r="AG236" s="308" t="s">
        <v>2955</v>
      </c>
      <c r="AH236" s="308">
        <v>3.474566189E9</v>
      </c>
      <c r="AI236" s="308" t="s">
        <v>4908</v>
      </c>
      <c r="AJ236" s="308" t="s">
        <v>4909</v>
      </c>
      <c r="AK236" s="308" t="s">
        <v>4910</v>
      </c>
      <c r="AL236" s="308" t="s">
        <v>4911</v>
      </c>
      <c r="AM236" s="308"/>
      <c r="AN236" s="308" t="s">
        <v>4912</v>
      </c>
      <c r="AO236" s="308">
        <v>21100.0</v>
      </c>
      <c r="AP236" s="308" t="s">
        <v>3206</v>
      </c>
      <c r="AQ236" s="308" t="s">
        <v>2955</v>
      </c>
      <c r="AR236" s="308">
        <v>3.474566189E9</v>
      </c>
      <c r="AS236" s="311"/>
      <c r="AT236" s="311"/>
      <c r="AU236" s="311"/>
      <c r="AV236" s="308" t="s">
        <v>3009</v>
      </c>
      <c r="AW236" s="308">
        <v>4.7859902480711E13</v>
      </c>
      <c r="AX236" s="310">
        <v>0.0</v>
      </c>
      <c r="AY236" s="308" t="s">
        <v>2974</v>
      </c>
      <c r="AZ236" s="308">
        <v>0.0</v>
      </c>
      <c r="BA236" s="311"/>
      <c r="BB236" s="311"/>
      <c r="BC236" s="311"/>
      <c r="BD236" s="308">
        <v>7.719703839047E12</v>
      </c>
      <c r="BE236" s="311"/>
      <c r="BF236" s="311"/>
      <c r="BG236" s="308" t="s">
        <v>2958</v>
      </c>
      <c r="BH236" s="308">
        <v>0.0</v>
      </c>
      <c r="BI236" s="308" t="s">
        <v>2959</v>
      </c>
      <c r="BJ236" s="308">
        <v>19.48</v>
      </c>
      <c r="BK236" s="311"/>
      <c r="BL236" s="311"/>
      <c r="BM236" s="311"/>
      <c r="BN236" s="311"/>
      <c r="BO236" s="311"/>
      <c r="BP236" s="311"/>
      <c r="BQ236" s="311"/>
      <c r="BR236" s="311"/>
      <c r="BS236" s="308"/>
      <c r="BT236" s="311"/>
      <c r="BU236" s="311"/>
      <c r="BV236" s="308" t="s">
        <v>3208</v>
      </c>
      <c r="BW236" s="308" t="s">
        <v>3208</v>
      </c>
      <c r="BX236" s="308" t="s">
        <v>3009</v>
      </c>
      <c r="BY236" s="311"/>
      <c r="BZ236" s="311"/>
      <c r="CA236" s="308" t="s">
        <v>3009</v>
      </c>
      <c r="CB236" s="312" t="str">
        <f t="shared" si="1"/>
        <v>22/05/2026</v>
      </c>
      <c r="CC236" s="313">
        <f t="shared" si="2"/>
        <v>2026</v>
      </c>
      <c r="CD236" s="314">
        <f t="shared" si="3"/>
        <v>5</v>
      </c>
      <c r="CE236" s="314">
        <f t="shared" si="4"/>
        <v>1</v>
      </c>
      <c r="CF236" s="314">
        <f t="shared" si="5"/>
        <v>1</v>
      </c>
      <c r="CG236" s="314">
        <f t="shared" si="6"/>
        <v>-5</v>
      </c>
      <c r="CH236" s="315">
        <f>VLOOKUP(CL236,'PRODUCT_COGS&amp;PRICE'!A:E,5,false)</f>
        <v>30.33</v>
      </c>
      <c r="CI236" s="315">
        <f t="shared" si="7"/>
        <v>-4.1192</v>
      </c>
      <c r="CJ236" s="316">
        <f t="shared" si="8"/>
        <v>0</v>
      </c>
      <c r="CK236" s="316">
        <f t="shared" si="9"/>
        <v>12</v>
      </c>
      <c r="CL236" s="314" t="str">
        <f>VLOOKUP(R236,PRODUCT_MAP!A:B,2,FALSE)</f>
        <v>Lea_Bag_COCCO_BLACK</v>
      </c>
      <c r="CM236" s="314" t="str">
        <f>VLOOKUP(R236,PRODUCT_MAP!A:E,3,FALSE)</f>
        <v>Lea Bag</v>
      </c>
    </row>
    <row r="237" ht="22.5" customHeight="1">
      <c r="A237" s="308" t="s">
        <v>4913</v>
      </c>
      <c r="B237" s="308" t="s">
        <v>4914</v>
      </c>
      <c r="C237" s="308" t="s">
        <v>2942</v>
      </c>
      <c r="D237" s="308" t="s">
        <v>4915</v>
      </c>
      <c r="E237" s="308" t="s">
        <v>3013</v>
      </c>
      <c r="F237" s="308"/>
      <c r="G237" s="308" t="s">
        <v>2965</v>
      </c>
      <c r="H237" s="308" t="s">
        <v>2947</v>
      </c>
      <c r="I237" s="308">
        <v>175.0</v>
      </c>
      <c r="J237" s="308">
        <v>0.0</v>
      </c>
      <c r="K237" s="308">
        <v>31.56</v>
      </c>
      <c r="L237" s="308">
        <v>175.0</v>
      </c>
      <c r="M237" s="308"/>
      <c r="N237" s="308">
        <v>0.0</v>
      </c>
      <c r="O237" s="308" t="s">
        <v>2948</v>
      </c>
      <c r="P237" s="308" t="s">
        <v>4916</v>
      </c>
      <c r="Q237" s="310">
        <v>1.0</v>
      </c>
      <c r="R237" s="308" t="s">
        <v>768</v>
      </c>
      <c r="S237" s="308">
        <v>175.0</v>
      </c>
      <c r="T237" s="311"/>
      <c r="U237" s="308" t="s">
        <v>210</v>
      </c>
      <c r="V237" s="308" t="b">
        <v>1</v>
      </c>
      <c r="W237" s="308" t="b">
        <v>1</v>
      </c>
      <c r="X237" s="308"/>
      <c r="Y237" s="308" t="s">
        <v>4917</v>
      </c>
      <c r="Z237" s="308" t="s">
        <v>4918</v>
      </c>
      <c r="AA237" s="308" t="s">
        <v>4918</v>
      </c>
      <c r="AB237" s="308"/>
      <c r="AC237" s="308"/>
      <c r="AD237" s="308" t="s">
        <v>3533</v>
      </c>
      <c r="AE237" s="308">
        <v>24129.0</v>
      </c>
      <c r="AF237" s="308" t="s">
        <v>3528</v>
      </c>
      <c r="AG237" s="308" t="s">
        <v>2955</v>
      </c>
      <c r="AH237" s="308"/>
      <c r="AI237" s="308" t="s">
        <v>4917</v>
      </c>
      <c r="AJ237" s="308" t="s">
        <v>4919</v>
      </c>
      <c r="AK237" s="308" t="s">
        <v>4919</v>
      </c>
      <c r="AL237" s="308"/>
      <c r="AM237" s="308" t="s">
        <v>4920</v>
      </c>
      <c r="AN237" s="308" t="s">
        <v>4921</v>
      </c>
      <c r="AO237" s="308">
        <v>24052.0</v>
      </c>
      <c r="AP237" s="308" t="s">
        <v>3528</v>
      </c>
      <c r="AQ237" s="308" t="s">
        <v>2955</v>
      </c>
      <c r="AR237" s="308">
        <v>3.33240475E9</v>
      </c>
      <c r="AS237" s="311"/>
      <c r="AT237" s="311"/>
      <c r="AU237" s="311"/>
      <c r="AV237" s="308" t="s">
        <v>3009</v>
      </c>
      <c r="AW237" s="308">
        <v>4.7860185792839E13</v>
      </c>
      <c r="AX237" s="310">
        <v>0.0</v>
      </c>
      <c r="AY237" s="308" t="s">
        <v>2974</v>
      </c>
      <c r="AZ237" s="308">
        <v>0.0</v>
      </c>
      <c r="BA237" s="311"/>
      <c r="BB237" s="311"/>
      <c r="BC237" s="311"/>
      <c r="BD237" s="308">
        <v>7.720018673991E12</v>
      </c>
      <c r="BE237" s="311"/>
      <c r="BF237" s="311"/>
      <c r="BG237" s="308" t="s">
        <v>2958</v>
      </c>
      <c r="BH237" s="308">
        <v>0.0</v>
      </c>
      <c r="BI237" s="308" t="s">
        <v>2959</v>
      </c>
      <c r="BJ237" s="308">
        <v>31.56</v>
      </c>
      <c r="BK237" s="311"/>
      <c r="BL237" s="311"/>
      <c r="BM237" s="311"/>
      <c r="BN237" s="311"/>
      <c r="BO237" s="311"/>
      <c r="BP237" s="311"/>
      <c r="BQ237" s="311"/>
      <c r="BR237" s="311"/>
      <c r="BS237" s="308"/>
      <c r="BT237" s="311"/>
      <c r="BU237" s="311"/>
      <c r="BV237" s="308" t="s">
        <v>3533</v>
      </c>
      <c r="BW237" s="308" t="s">
        <v>3533</v>
      </c>
      <c r="BX237" s="308" t="s">
        <v>3009</v>
      </c>
      <c r="BY237" s="311"/>
      <c r="BZ237" s="311"/>
      <c r="CA237" s="308" t="s">
        <v>3009</v>
      </c>
      <c r="CB237" s="312" t="str">
        <f t="shared" si="1"/>
        <v>22/05/2026</v>
      </c>
      <c r="CC237" s="313">
        <f t="shared" si="2"/>
        <v>2026</v>
      </c>
      <c r="CD237" s="314">
        <f t="shared" si="3"/>
        <v>5</v>
      </c>
      <c r="CE237" s="314">
        <f t="shared" si="4"/>
        <v>1</v>
      </c>
      <c r="CF237" s="314">
        <f t="shared" si="5"/>
        <v>1</v>
      </c>
      <c r="CG237" s="314">
        <f t="shared" si="6"/>
        <v>-5</v>
      </c>
      <c r="CH237" s="315">
        <f>VLOOKUP(CL237,'PRODUCT_COGS&amp;PRICE'!A:E,5,false)</f>
        <v>52.5</v>
      </c>
      <c r="CI237" s="315">
        <f t="shared" si="7"/>
        <v>-6.4575</v>
      </c>
      <c r="CJ237" s="316">
        <f t="shared" si="8"/>
        <v>0</v>
      </c>
      <c r="CK237" s="316">
        <f t="shared" si="9"/>
        <v>0</v>
      </c>
      <c r="CL237" s="314" t="str">
        <f>VLOOKUP(R237,PRODUCT_MAP!A:B,2,FALSE)</f>
        <v>Valentina_Bag_CHOCOLATE</v>
      </c>
      <c r="CM237" s="314" t="str">
        <f>VLOOKUP(R237,PRODUCT_MAP!A:E,3,FALSE)</f>
        <v>Valentina Bag</v>
      </c>
    </row>
    <row r="238" ht="22.5" customHeight="1">
      <c r="A238" s="308" t="s">
        <v>4922</v>
      </c>
      <c r="B238" s="308" t="s">
        <v>4923</v>
      </c>
      <c r="C238" s="308" t="s">
        <v>2942</v>
      </c>
      <c r="D238" s="308" t="s">
        <v>4924</v>
      </c>
      <c r="E238" s="308" t="s">
        <v>3013</v>
      </c>
      <c r="F238" s="308"/>
      <c r="G238" s="308" t="s">
        <v>2965</v>
      </c>
      <c r="H238" s="308" t="s">
        <v>2947</v>
      </c>
      <c r="I238" s="308">
        <v>90.0</v>
      </c>
      <c r="J238" s="308">
        <v>3.9</v>
      </c>
      <c r="K238" s="308">
        <v>16.93</v>
      </c>
      <c r="L238" s="308">
        <v>93.9</v>
      </c>
      <c r="M238" s="308"/>
      <c r="N238" s="308">
        <v>0.0</v>
      </c>
      <c r="O238" s="308" t="s">
        <v>2948</v>
      </c>
      <c r="P238" s="308" t="s">
        <v>4925</v>
      </c>
      <c r="Q238" s="310">
        <v>1.0</v>
      </c>
      <c r="R238" s="308" t="s">
        <v>4220</v>
      </c>
      <c r="S238" s="308">
        <v>90.0</v>
      </c>
      <c r="T238" s="311"/>
      <c r="U238" s="308" t="s">
        <v>4221</v>
      </c>
      <c r="V238" s="308" t="b">
        <v>1</v>
      </c>
      <c r="W238" s="308" t="b">
        <v>1</v>
      </c>
      <c r="X238" s="308"/>
      <c r="Y238" s="308" t="s">
        <v>4926</v>
      </c>
      <c r="Z238" s="308" t="s">
        <v>4927</v>
      </c>
      <c r="AA238" s="308" t="s">
        <v>4927</v>
      </c>
      <c r="AB238" s="308"/>
      <c r="AC238" s="308"/>
      <c r="AD238" s="308" t="s">
        <v>4928</v>
      </c>
      <c r="AE238" s="308">
        <v>24030.0</v>
      </c>
      <c r="AF238" s="308" t="s">
        <v>3528</v>
      </c>
      <c r="AG238" s="308" t="s">
        <v>2955</v>
      </c>
      <c r="AH238" s="308">
        <v>3.459286696E9</v>
      </c>
      <c r="AI238" s="308" t="s">
        <v>4926</v>
      </c>
      <c r="AJ238" s="308" t="s">
        <v>4929</v>
      </c>
      <c r="AK238" s="308" t="s">
        <v>4930</v>
      </c>
      <c r="AL238" s="308" t="s">
        <v>4931</v>
      </c>
      <c r="AM238" s="308"/>
      <c r="AN238" s="308" t="s">
        <v>4928</v>
      </c>
      <c r="AO238" s="308">
        <v>24030.0</v>
      </c>
      <c r="AP238" s="308" t="s">
        <v>3528</v>
      </c>
      <c r="AQ238" s="308" t="s">
        <v>2955</v>
      </c>
      <c r="AR238" s="308">
        <v>3.459286696E9</v>
      </c>
      <c r="AS238" s="311"/>
      <c r="AT238" s="311"/>
      <c r="AU238" s="311"/>
      <c r="AV238" s="308" t="s">
        <v>2956</v>
      </c>
      <c r="AW238" s="308">
        <v>4.7862350872903E13</v>
      </c>
      <c r="AX238" s="310">
        <v>0.0</v>
      </c>
      <c r="AY238" s="308" t="s">
        <v>2974</v>
      </c>
      <c r="AZ238" s="308">
        <v>0.0</v>
      </c>
      <c r="BA238" s="311"/>
      <c r="BB238" s="311"/>
      <c r="BC238" s="311"/>
      <c r="BD238" s="308">
        <v>7.721786605895E12</v>
      </c>
      <c r="BE238" s="311"/>
      <c r="BF238" s="311"/>
      <c r="BG238" s="308" t="s">
        <v>2958</v>
      </c>
      <c r="BH238" s="308">
        <v>0.0</v>
      </c>
      <c r="BI238" s="308" t="s">
        <v>2959</v>
      </c>
      <c r="BJ238" s="308">
        <v>16.23</v>
      </c>
      <c r="BK238" s="311"/>
      <c r="BL238" s="311"/>
      <c r="BM238" s="311"/>
      <c r="BN238" s="311"/>
      <c r="BO238" s="311"/>
      <c r="BP238" s="311"/>
      <c r="BQ238" s="311"/>
      <c r="BR238" s="311"/>
      <c r="BS238" s="318" t="s">
        <v>4932</v>
      </c>
      <c r="BT238" s="311"/>
      <c r="BU238" s="311"/>
      <c r="BV238" s="308" t="s">
        <v>3533</v>
      </c>
      <c r="BW238" s="308" t="s">
        <v>3533</v>
      </c>
      <c r="BX238" s="308" t="s">
        <v>2956</v>
      </c>
      <c r="BY238" s="311"/>
      <c r="BZ238" s="311"/>
      <c r="CA238" s="308" t="s">
        <v>2956</v>
      </c>
      <c r="CB238" s="312" t="str">
        <f t="shared" si="1"/>
        <v>22/05/2026</v>
      </c>
      <c r="CC238" s="313">
        <f t="shared" si="2"/>
        <v>2026</v>
      </c>
      <c r="CD238" s="314">
        <f t="shared" si="3"/>
        <v>5</v>
      </c>
      <c r="CE238" s="314">
        <f t="shared" si="4"/>
        <v>1</v>
      </c>
      <c r="CF238" s="314">
        <f t="shared" si="5"/>
        <v>1</v>
      </c>
      <c r="CG238" s="314">
        <f t="shared" si="6"/>
        <v>0</v>
      </c>
      <c r="CH238" s="315">
        <f>VLOOKUP(CL238,'PRODUCT_COGS&amp;PRICE'!A:E,5,false)</f>
        <v>16.5</v>
      </c>
      <c r="CI238" s="315">
        <f t="shared" si="7"/>
        <v>-2.0341</v>
      </c>
      <c r="CJ238" s="316">
        <f t="shared" si="8"/>
        <v>0</v>
      </c>
      <c r="CK238" s="316">
        <f t="shared" si="9"/>
        <v>0</v>
      </c>
      <c r="CL238" s="314" t="str">
        <f>VLOOKUP(R238,PRODUCT_MAP!A:B,2,FALSE)</f>
        <v>Annie_Bag_PAILLETTES_NUDE</v>
      </c>
      <c r="CM238" s="314" t="str">
        <f>VLOOKUP(R238,PRODUCT_MAP!A:E,3,FALSE)</f>
        <v>Agata Bag</v>
      </c>
    </row>
    <row r="239" ht="22.5" customHeight="1">
      <c r="A239" s="308" t="s">
        <v>4933</v>
      </c>
      <c r="B239" s="308" t="s">
        <v>4934</v>
      </c>
      <c r="C239" s="308" t="s">
        <v>2942</v>
      </c>
      <c r="D239" s="308" t="s">
        <v>4935</v>
      </c>
      <c r="E239" s="308" t="s">
        <v>3013</v>
      </c>
      <c r="F239" s="308"/>
      <c r="G239" s="308" t="s">
        <v>2946</v>
      </c>
      <c r="H239" s="308" t="s">
        <v>2947</v>
      </c>
      <c r="I239" s="308">
        <v>90.0</v>
      </c>
      <c r="J239" s="308">
        <v>3.9</v>
      </c>
      <c r="K239" s="308">
        <v>16.93</v>
      </c>
      <c r="L239" s="308">
        <v>93.9</v>
      </c>
      <c r="M239" s="308"/>
      <c r="N239" s="308">
        <v>0.0</v>
      </c>
      <c r="O239" s="308" t="s">
        <v>2948</v>
      </c>
      <c r="P239" s="308" t="s">
        <v>4936</v>
      </c>
      <c r="Q239" s="310">
        <v>1.0</v>
      </c>
      <c r="R239" s="308" t="s">
        <v>4697</v>
      </c>
      <c r="S239" s="308">
        <v>90.0</v>
      </c>
      <c r="T239" s="311"/>
      <c r="U239" s="308" t="s">
        <v>4937</v>
      </c>
      <c r="V239" s="308" t="b">
        <v>1</v>
      </c>
      <c r="W239" s="308" t="b">
        <v>1</v>
      </c>
      <c r="X239" s="308"/>
      <c r="Y239" s="308" t="s">
        <v>4938</v>
      </c>
      <c r="Z239" s="308" t="s">
        <v>4939</v>
      </c>
      <c r="AA239" s="308" t="s">
        <v>4939</v>
      </c>
      <c r="AB239" s="308"/>
      <c r="AC239" s="308"/>
      <c r="AD239" s="308" t="s">
        <v>4940</v>
      </c>
      <c r="AE239" s="308">
        <v>63066.0</v>
      </c>
      <c r="AF239" s="308" t="s">
        <v>4941</v>
      </c>
      <c r="AG239" s="308" t="s">
        <v>2955</v>
      </c>
      <c r="AH239" s="308">
        <v>3.4928609323E10</v>
      </c>
      <c r="AI239" s="308" t="s">
        <v>4938</v>
      </c>
      <c r="AJ239" s="308" t="s">
        <v>4939</v>
      </c>
      <c r="AK239" s="308" t="s">
        <v>4939</v>
      </c>
      <c r="AL239" s="308"/>
      <c r="AM239" s="308"/>
      <c r="AN239" s="308" t="s">
        <v>4940</v>
      </c>
      <c r="AO239" s="308">
        <v>63066.0</v>
      </c>
      <c r="AP239" s="308" t="s">
        <v>4941</v>
      </c>
      <c r="AQ239" s="308" t="s">
        <v>2955</v>
      </c>
      <c r="AR239" s="308">
        <v>3.4928609323E10</v>
      </c>
      <c r="AS239" s="311"/>
      <c r="AT239" s="311"/>
      <c r="AU239" s="311"/>
      <c r="AV239" s="308" t="s">
        <v>2956</v>
      </c>
      <c r="AW239" s="308">
        <v>4.7867133985095E13</v>
      </c>
      <c r="AX239" s="310">
        <v>0.0</v>
      </c>
      <c r="AY239" s="308" t="s">
        <v>2974</v>
      </c>
      <c r="AZ239" s="308">
        <v>0.0</v>
      </c>
      <c r="BA239" s="311"/>
      <c r="BB239" s="311"/>
      <c r="BC239" s="311"/>
      <c r="BD239" s="308">
        <v>7.728817176903E12</v>
      </c>
      <c r="BE239" s="311"/>
      <c r="BF239" s="311"/>
      <c r="BG239" s="308" t="s">
        <v>2958</v>
      </c>
      <c r="BH239" s="308">
        <v>0.0</v>
      </c>
      <c r="BI239" s="308" t="s">
        <v>2959</v>
      </c>
      <c r="BJ239" s="308">
        <v>16.23</v>
      </c>
      <c r="BK239" s="311"/>
      <c r="BL239" s="311"/>
      <c r="BM239" s="311"/>
      <c r="BN239" s="311"/>
      <c r="BO239" s="311"/>
      <c r="BP239" s="311"/>
      <c r="BQ239" s="311"/>
      <c r="BR239" s="311"/>
      <c r="BS239" s="308"/>
      <c r="BT239" s="311"/>
      <c r="BU239" s="311"/>
      <c r="BV239" s="308" t="s">
        <v>4942</v>
      </c>
      <c r="BW239" s="308" t="s">
        <v>4942</v>
      </c>
      <c r="BX239" s="308" t="s">
        <v>2956</v>
      </c>
      <c r="BY239" s="311"/>
      <c r="BZ239" s="311"/>
      <c r="CA239" s="308" t="s">
        <v>2956</v>
      </c>
      <c r="CB239" s="312" t="str">
        <f t="shared" si="1"/>
        <v>23/05/2026</v>
      </c>
      <c r="CC239" s="313">
        <f t="shared" si="2"/>
        <v>2026</v>
      </c>
      <c r="CD239" s="314">
        <f t="shared" si="3"/>
        <v>5</v>
      </c>
      <c r="CE239" s="314">
        <f t="shared" si="4"/>
        <v>1</v>
      </c>
      <c r="CF239" s="314">
        <f t="shared" si="5"/>
        <v>1</v>
      </c>
      <c r="CG239" s="314">
        <f t="shared" si="6"/>
        <v>0</v>
      </c>
      <c r="CH239" s="315">
        <f>VLOOKUP(CL239,'PRODUCT_COGS&amp;PRICE'!A:E,5,false)</f>
        <v>16.5</v>
      </c>
      <c r="CI239" s="315">
        <f t="shared" si="7"/>
        <v>-2.0341</v>
      </c>
      <c r="CJ239" s="316">
        <f t="shared" si="8"/>
        <v>0</v>
      </c>
      <c r="CK239" s="316">
        <f t="shared" si="9"/>
        <v>0</v>
      </c>
      <c r="CL239" s="314" t="str">
        <f>VLOOKUP(R239,PRODUCT_MAP!A:B,2,FALSE)</f>
        <v>Annie_Bag_PINK</v>
      </c>
      <c r="CM239" s="314" t="str">
        <f>VLOOKUP(R239,PRODUCT_MAP!A:E,3,FALSE)</f>
        <v/>
      </c>
    </row>
    <row r="240" ht="22.5" customHeight="1">
      <c r="A240" s="308" t="s">
        <v>4943</v>
      </c>
      <c r="B240" s="308" t="s">
        <v>4944</v>
      </c>
      <c r="C240" s="308" t="s">
        <v>2942</v>
      </c>
      <c r="D240" s="308" t="s">
        <v>4945</v>
      </c>
      <c r="E240" s="308" t="s">
        <v>3013</v>
      </c>
      <c r="F240" s="308"/>
      <c r="G240" s="308" t="s">
        <v>2965</v>
      </c>
      <c r="H240" s="308" t="s">
        <v>2947</v>
      </c>
      <c r="I240" s="308">
        <v>450.0</v>
      </c>
      <c r="J240" s="308">
        <v>40.0</v>
      </c>
      <c r="K240" s="308">
        <v>0.0</v>
      </c>
      <c r="L240" s="308">
        <v>490.0</v>
      </c>
      <c r="M240" s="308"/>
      <c r="N240" s="308">
        <v>0.0</v>
      </c>
      <c r="O240" s="308" t="s">
        <v>2948</v>
      </c>
      <c r="P240" s="308" t="s">
        <v>4946</v>
      </c>
      <c r="Q240" s="310">
        <v>1.0</v>
      </c>
      <c r="R240" s="308" t="s">
        <v>4429</v>
      </c>
      <c r="S240" s="308">
        <v>90.0</v>
      </c>
      <c r="T240" s="311"/>
      <c r="U240" s="308" t="s">
        <v>4430</v>
      </c>
      <c r="V240" s="308" t="b">
        <v>1</v>
      </c>
      <c r="W240" s="308" t="b">
        <v>1</v>
      </c>
      <c r="X240" s="308"/>
      <c r="Y240" s="308" t="s">
        <v>4947</v>
      </c>
      <c r="Z240" s="308" t="s">
        <v>4948</v>
      </c>
      <c r="AA240" s="308" t="s">
        <v>4949</v>
      </c>
      <c r="AB240" s="308" t="s">
        <v>4950</v>
      </c>
      <c r="AC240" s="308"/>
      <c r="AD240" s="308" t="s">
        <v>4737</v>
      </c>
      <c r="AE240" s="308" t="s">
        <v>4951</v>
      </c>
      <c r="AF240" s="308" t="s">
        <v>4739</v>
      </c>
      <c r="AG240" s="308" t="s">
        <v>4740</v>
      </c>
      <c r="AH240" s="308"/>
      <c r="AI240" s="308" t="s">
        <v>4952</v>
      </c>
      <c r="AJ240" s="308" t="s">
        <v>4953</v>
      </c>
      <c r="AK240" s="308" t="s">
        <v>4954</v>
      </c>
      <c r="AL240" s="308" t="s">
        <v>4955</v>
      </c>
      <c r="AM240" s="308"/>
      <c r="AN240" s="308" t="s">
        <v>4956</v>
      </c>
      <c r="AO240" s="308" t="s">
        <v>4957</v>
      </c>
      <c r="AP240" s="308" t="s">
        <v>4739</v>
      </c>
      <c r="AQ240" s="308" t="s">
        <v>4740</v>
      </c>
      <c r="AR240" s="308">
        <v>7.936620426E9</v>
      </c>
      <c r="AS240" s="311"/>
      <c r="AT240" s="311"/>
      <c r="AU240" s="311"/>
      <c r="AV240" s="308" t="s">
        <v>2956</v>
      </c>
      <c r="AW240" s="308">
        <v>4.7870792433991E13</v>
      </c>
      <c r="AX240" s="310">
        <v>0.0</v>
      </c>
      <c r="AY240" s="308" t="s">
        <v>2974</v>
      </c>
      <c r="AZ240" s="308">
        <v>0.0</v>
      </c>
      <c r="BA240" s="311"/>
      <c r="BB240" s="311"/>
      <c r="BC240" s="311"/>
      <c r="BD240" s="308">
        <v>7.730413076807E12</v>
      </c>
      <c r="BE240" s="311"/>
      <c r="BF240" s="311"/>
      <c r="BG240" s="308" t="s">
        <v>2958</v>
      </c>
      <c r="BH240" s="308">
        <v>0.0</v>
      </c>
      <c r="BI240" s="308"/>
      <c r="BJ240" s="308"/>
      <c r="BK240" s="311"/>
      <c r="BL240" s="311"/>
      <c r="BM240" s="311"/>
      <c r="BN240" s="311"/>
      <c r="BO240" s="311"/>
      <c r="BP240" s="311"/>
      <c r="BQ240" s="311"/>
      <c r="BR240" s="311"/>
      <c r="BS240" s="308"/>
      <c r="BT240" s="311"/>
      <c r="BU240" s="311"/>
      <c r="BV240" s="308" t="s">
        <v>4742</v>
      </c>
      <c r="BW240" s="308" t="s">
        <v>4742</v>
      </c>
      <c r="BX240" s="308" t="s">
        <v>2956</v>
      </c>
      <c r="BY240" s="311"/>
      <c r="BZ240" s="311"/>
      <c r="CA240" s="308" t="s">
        <v>2956</v>
      </c>
      <c r="CB240" s="312" t="str">
        <f t="shared" si="1"/>
        <v>24/05/2026</v>
      </c>
      <c r="CC240" s="313">
        <f t="shared" si="2"/>
        <v>2026</v>
      </c>
      <c r="CD240" s="314">
        <f t="shared" si="3"/>
        <v>5</v>
      </c>
      <c r="CE240" s="314">
        <f t="shared" si="4"/>
        <v>1</v>
      </c>
      <c r="CF240" s="314">
        <f t="shared" si="5"/>
        <v>1</v>
      </c>
      <c r="CG240" s="314">
        <f t="shared" si="6"/>
        <v>0</v>
      </c>
      <c r="CH240" s="315">
        <f>VLOOKUP(CL240,'PRODUCT_COGS&amp;PRICE'!A:E,5,false)</f>
        <v>16.5</v>
      </c>
      <c r="CI240" s="315">
        <f t="shared" si="7"/>
        <v>-37.49</v>
      </c>
      <c r="CJ240" s="316">
        <f t="shared" si="8"/>
        <v>0</v>
      </c>
      <c r="CK240" s="316">
        <f t="shared" si="9"/>
        <v>0</v>
      </c>
      <c r="CL240" s="314" t="str">
        <f>VLOOKUP(R240,PRODUCT_MAP!A:B,2,FALSE)</f>
        <v>Annie_Bag_PAILLETTES_LIGHT_GREEN</v>
      </c>
      <c r="CM240" s="314" t="str">
        <f>VLOOKUP(R240,PRODUCT_MAP!A:E,3,FALSE)</f>
        <v>Annie Bag paillettes</v>
      </c>
    </row>
    <row r="241" ht="22.5" customHeight="1">
      <c r="A241" s="308" t="s">
        <v>4943</v>
      </c>
      <c r="B241" s="308" t="s">
        <v>4944</v>
      </c>
      <c r="C241" s="308" t="s">
        <v>2942</v>
      </c>
      <c r="D241" s="308" t="s">
        <v>4945</v>
      </c>
      <c r="E241" s="308" t="s">
        <v>3013</v>
      </c>
      <c r="F241" s="308"/>
      <c r="G241" s="308" t="s">
        <v>2965</v>
      </c>
      <c r="H241" s="308" t="s">
        <v>2947</v>
      </c>
      <c r="I241" s="308">
        <v>450.0</v>
      </c>
      <c r="J241" s="308">
        <v>40.0</v>
      </c>
      <c r="K241" s="308">
        <v>0.0</v>
      </c>
      <c r="L241" s="308">
        <v>490.0</v>
      </c>
      <c r="M241" s="308"/>
      <c r="N241" s="308">
        <v>0.0</v>
      </c>
      <c r="O241" s="308" t="s">
        <v>2948</v>
      </c>
      <c r="P241" s="308" t="s">
        <v>4946</v>
      </c>
      <c r="Q241" s="310">
        <v>1.0</v>
      </c>
      <c r="R241" s="308" t="s">
        <v>974</v>
      </c>
      <c r="S241" s="308">
        <v>120.0</v>
      </c>
      <c r="T241" s="311"/>
      <c r="U241" s="308" t="s">
        <v>191</v>
      </c>
      <c r="V241" s="308" t="b">
        <v>1</v>
      </c>
      <c r="W241" s="308" t="b">
        <v>1</v>
      </c>
      <c r="X241" s="308"/>
      <c r="Y241" s="308" t="s">
        <v>4947</v>
      </c>
      <c r="Z241" s="308" t="s">
        <v>4948</v>
      </c>
      <c r="AA241" s="308" t="s">
        <v>4949</v>
      </c>
      <c r="AB241" s="308" t="s">
        <v>4950</v>
      </c>
      <c r="AC241" s="308"/>
      <c r="AD241" s="308" t="s">
        <v>4737</v>
      </c>
      <c r="AE241" s="308" t="s">
        <v>4951</v>
      </c>
      <c r="AF241" s="308" t="s">
        <v>4739</v>
      </c>
      <c r="AG241" s="308" t="s">
        <v>4740</v>
      </c>
      <c r="AH241" s="308"/>
      <c r="AI241" s="308" t="s">
        <v>4952</v>
      </c>
      <c r="AJ241" s="308" t="s">
        <v>4953</v>
      </c>
      <c r="AK241" s="308" t="s">
        <v>4954</v>
      </c>
      <c r="AL241" s="308" t="s">
        <v>4955</v>
      </c>
      <c r="AM241" s="308"/>
      <c r="AN241" s="308" t="s">
        <v>4956</v>
      </c>
      <c r="AO241" s="308" t="s">
        <v>4957</v>
      </c>
      <c r="AP241" s="308" t="s">
        <v>4739</v>
      </c>
      <c r="AQ241" s="308" t="s">
        <v>4740</v>
      </c>
      <c r="AR241" s="308">
        <v>7.936620426E9</v>
      </c>
      <c r="AS241" s="311"/>
      <c r="AT241" s="311"/>
      <c r="AU241" s="311"/>
      <c r="AV241" s="308" t="s">
        <v>2956</v>
      </c>
      <c r="AW241" s="308">
        <v>4.7870792433991E13</v>
      </c>
      <c r="AX241" s="310">
        <v>0.0</v>
      </c>
      <c r="AY241" s="308" t="s">
        <v>2974</v>
      </c>
      <c r="AZ241" s="308">
        <v>0.0</v>
      </c>
      <c r="BA241" s="311"/>
      <c r="BB241" s="311"/>
      <c r="BC241" s="311"/>
      <c r="BD241" s="308">
        <v>7.730413076807E12</v>
      </c>
      <c r="BE241" s="311"/>
      <c r="BF241" s="311"/>
      <c r="BG241" s="308" t="s">
        <v>2958</v>
      </c>
      <c r="BH241" s="308">
        <v>0.0</v>
      </c>
      <c r="BI241" s="308"/>
      <c r="BJ241" s="308"/>
      <c r="BK241" s="311"/>
      <c r="BL241" s="311"/>
      <c r="BM241" s="311"/>
      <c r="BN241" s="311"/>
      <c r="BO241" s="311"/>
      <c r="BP241" s="311"/>
      <c r="BQ241" s="311"/>
      <c r="BR241" s="311"/>
      <c r="BS241" s="308"/>
      <c r="BT241" s="311"/>
      <c r="BU241" s="311"/>
      <c r="BV241" s="308" t="s">
        <v>4742</v>
      </c>
      <c r="BW241" s="308" t="s">
        <v>4742</v>
      </c>
      <c r="BX241" s="308" t="s">
        <v>2956</v>
      </c>
      <c r="BY241" s="311"/>
      <c r="BZ241" s="311"/>
      <c r="CA241" s="308" t="s">
        <v>2956</v>
      </c>
      <c r="CB241" s="312" t="str">
        <f t="shared" si="1"/>
        <v>24/05/2026</v>
      </c>
      <c r="CC241" s="313">
        <f t="shared" si="2"/>
        <v>2026</v>
      </c>
      <c r="CD241" s="314">
        <f t="shared" si="3"/>
        <v>5</v>
      </c>
      <c r="CE241" s="314">
        <f t="shared" si="4"/>
        <v>0</v>
      </c>
      <c r="CF241" s="314">
        <f t="shared" si="5"/>
        <v>1</v>
      </c>
      <c r="CG241" s="314">
        <f t="shared" si="6"/>
        <v>0</v>
      </c>
      <c r="CH241" s="315">
        <f>VLOOKUP(CL241,'PRODUCT_COGS&amp;PRICE'!A:E,5,false)</f>
        <v>33</v>
      </c>
      <c r="CI241" s="315">
        <f t="shared" si="7"/>
        <v>0</v>
      </c>
      <c r="CJ241" s="316">
        <f t="shared" si="8"/>
        <v>0</v>
      </c>
      <c r="CK241" s="316">
        <f t="shared" si="9"/>
        <v>0</v>
      </c>
      <c r="CL241" s="314" t="str">
        <f>VLOOKUP(R241,PRODUCT_MAP!A:B,2,FALSE)</f>
        <v>Lea_Bag_KAKI_GREEN_PONY</v>
      </c>
      <c r="CM241" s="314" t="str">
        <f>VLOOKUP(R241,PRODUCT_MAP!A:E,3,FALSE)</f>
        <v>Lea Bag</v>
      </c>
    </row>
    <row r="242" ht="22.5" customHeight="1">
      <c r="A242" s="308" t="s">
        <v>4943</v>
      </c>
      <c r="B242" s="308" t="s">
        <v>4944</v>
      </c>
      <c r="C242" s="308" t="s">
        <v>2942</v>
      </c>
      <c r="D242" s="308" t="s">
        <v>4945</v>
      </c>
      <c r="E242" s="308" t="s">
        <v>3013</v>
      </c>
      <c r="F242" s="308"/>
      <c r="G242" s="308" t="s">
        <v>2965</v>
      </c>
      <c r="H242" s="308" t="s">
        <v>2947</v>
      </c>
      <c r="I242" s="308">
        <v>450.0</v>
      </c>
      <c r="J242" s="308">
        <v>40.0</v>
      </c>
      <c r="K242" s="308">
        <v>0.0</v>
      </c>
      <c r="L242" s="308">
        <v>490.0</v>
      </c>
      <c r="M242" s="308"/>
      <c r="N242" s="308">
        <v>0.0</v>
      </c>
      <c r="O242" s="308" t="s">
        <v>2948</v>
      </c>
      <c r="P242" s="308" t="s">
        <v>4946</v>
      </c>
      <c r="Q242" s="310">
        <v>1.0</v>
      </c>
      <c r="R242" s="308" t="s">
        <v>4958</v>
      </c>
      <c r="S242" s="308">
        <v>90.0</v>
      </c>
      <c r="T242" s="311"/>
      <c r="U242" s="308" t="s">
        <v>4959</v>
      </c>
      <c r="V242" s="308" t="b">
        <v>1</v>
      </c>
      <c r="W242" s="308" t="b">
        <v>1</v>
      </c>
      <c r="X242" s="308"/>
      <c r="Y242" s="308" t="s">
        <v>4947</v>
      </c>
      <c r="Z242" s="308" t="s">
        <v>4948</v>
      </c>
      <c r="AA242" s="308" t="s">
        <v>4949</v>
      </c>
      <c r="AB242" s="308" t="s">
        <v>4950</v>
      </c>
      <c r="AC242" s="308"/>
      <c r="AD242" s="308" t="s">
        <v>4737</v>
      </c>
      <c r="AE242" s="308" t="s">
        <v>4951</v>
      </c>
      <c r="AF242" s="308" t="s">
        <v>4739</v>
      </c>
      <c r="AG242" s="308" t="s">
        <v>4740</v>
      </c>
      <c r="AH242" s="308"/>
      <c r="AI242" s="308" t="s">
        <v>4952</v>
      </c>
      <c r="AJ242" s="308" t="s">
        <v>4953</v>
      </c>
      <c r="AK242" s="308" t="s">
        <v>4954</v>
      </c>
      <c r="AL242" s="308" t="s">
        <v>4955</v>
      </c>
      <c r="AM242" s="308"/>
      <c r="AN242" s="308" t="s">
        <v>4956</v>
      </c>
      <c r="AO242" s="308" t="s">
        <v>4957</v>
      </c>
      <c r="AP242" s="308" t="s">
        <v>4739</v>
      </c>
      <c r="AQ242" s="308" t="s">
        <v>4740</v>
      </c>
      <c r="AR242" s="308">
        <v>7.936620426E9</v>
      </c>
      <c r="AS242" s="311"/>
      <c r="AT242" s="311"/>
      <c r="AU242" s="311"/>
      <c r="AV242" s="308" t="s">
        <v>2956</v>
      </c>
      <c r="AW242" s="308">
        <v>4.7870792433991E13</v>
      </c>
      <c r="AX242" s="310">
        <v>0.0</v>
      </c>
      <c r="AY242" s="308" t="s">
        <v>2974</v>
      </c>
      <c r="AZ242" s="308">
        <v>0.0</v>
      </c>
      <c r="BA242" s="311"/>
      <c r="BB242" s="311"/>
      <c r="BC242" s="311"/>
      <c r="BD242" s="308">
        <v>7.730413076807E12</v>
      </c>
      <c r="BE242" s="311"/>
      <c r="BF242" s="311"/>
      <c r="BG242" s="308" t="s">
        <v>2958</v>
      </c>
      <c r="BH242" s="308">
        <v>0.0</v>
      </c>
      <c r="BI242" s="308"/>
      <c r="BJ242" s="308"/>
      <c r="BK242" s="311"/>
      <c r="BL242" s="311"/>
      <c r="BM242" s="311"/>
      <c r="BN242" s="311"/>
      <c r="BO242" s="311"/>
      <c r="BP242" s="311"/>
      <c r="BQ242" s="311"/>
      <c r="BR242" s="311"/>
      <c r="BS242" s="308"/>
      <c r="BT242" s="311"/>
      <c r="BU242" s="311"/>
      <c r="BV242" s="308" t="s">
        <v>4742</v>
      </c>
      <c r="BW242" s="308" t="s">
        <v>4742</v>
      </c>
      <c r="BX242" s="308" t="s">
        <v>2956</v>
      </c>
      <c r="BY242" s="311"/>
      <c r="BZ242" s="311"/>
      <c r="CA242" s="308" t="s">
        <v>2956</v>
      </c>
      <c r="CB242" s="312" t="str">
        <f t="shared" si="1"/>
        <v>24/05/2026</v>
      </c>
      <c r="CC242" s="313">
        <f t="shared" si="2"/>
        <v>2026</v>
      </c>
      <c r="CD242" s="314">
        <f t="shared" si="3"/>
        <v>5</v>
      </c>
      <c r="CE242" s="314">
        <f t="shared" si="4"/>
        <v>0</v>
      </c>
      <c r="CF242" s="314">
        <f t="shared" si="5"/>
        <v>1</v>
      </c>
      <c r="CG242" s="314">
        <f t="shared" si="6"/>
        <v>0</v>
      </c>
      <c r="CH242" s="315">
        <f>VLOOKUP(CL242,'PRODUCT_COGS&amp;PRICE'!A:E,5,false)</f>
        <v>16.5</v>
      </c>
      <c r="CI242" s="315">
        <f t="shared" si="7"/>
        <v>0</v>
      </c>
      <c r="CJ242" s="316">
        <f t="shared" si="8"/>
        <v>0</v>
      </c>
      <c r="CK242" s="316">
        <f t="shared" si="9"/>
        <v>0</v>
      </c>
      <c r="CL242" s="314" t="str">
        <f>VLOOKUP(R242,PRODUCT_MAP!A:B,2,FALSE)</f>
        <v>Annie_Bag_BLUE</v>
      </c>
      <c r="CM242" s="314" t="str">
        <f>VLOOKUP(R242,PRODUCT_MAP!A:E,3,FALSE)</f>
        <v>Annie Bag</v>
      </c>
    </row>
    <row r="243" ht="22.5" customHeight="1">
      <c r="A243" s="308" t="s">
        <v>4943</v>
      </c>
      <c r="B243" s="308" t="s">
        <v>4944</v>
      </c>
      <c r="C243" s="308" t="s">
        <v>2942</v>
      </c>
      <c r="D243" s="308" t="s">
        <v>4945</v>
      </c>
      <c r="E243" s="308" t="s">
        <v>3013</v>
      </c>
      <c r="F243" s="308"/>
      <c r="G243" s="308" t="s">
        <v>2965</v>
      </c>
      <c r="H243" s="308" t="s">
        <v>2947</v>
      </c>
      <c r="I243" s="308">
        <v>450.0</v>
      </c>
      <c r="J243" s="308">
        <v>40.0</v>
      </c>
      <c r="K243" s="308">
        <v>0.0</v>
      </c>
      <c r="L243" s="308">
        <v>490.0</v>
      </c>
      <c r="M243" s="308"/>
      <c r="N243" s="308">
        <v>0.0</v>
      </c>
      <c r="O243" s="308" t="s">
        <v>2948</v>
      </c>
      <c r="P243" s="308" t="s">
        <v>4946</v>
      </c>
      <c r="Q243" s="310">
        <v>1.0</v>
      </c>
      <c r="R243" s="308" t="s">
        <v>539</v>
      </c>
      <c r="S243" s="308">
        <v>150.0</v>
      </c>
      <c r="T243" s="311"/>
      <c r="U243" s="308" t="s">
        <v>3223</v>
      </c>
      <c r="V243" s="308" t="b">
        <v>1</v>
      </c>
      <c r="W243" s="308" t="b">
        <v>1</v>
      </c>
      <c r="X243" s="308"/>
      <c r="Y243" s="308" t="s">
        <v>4947</v>
      </c>
      <c r="Z243" s="308" t="s">
        <v>4948</v>
      </c>
      <c r="AA243" s="308" t="s">
        <v>4949</v>
      </c>
      <c r="AB243" s="308" t="s">
        <v>4950</v>
      </c>
      <c r="AC243" s="308"/>
      <c r="AD243" s="308" t="s">
        <v>4737</v>
      </c>
      <c r="AE243" s="308" t="s">
        <v>4951</v>
      </c>
      <c r="AF243" s="308" t="s">
        <v>4739</v>
      </c>
      <c r="AG243" s="308" t="s">
        <v>4740</v>
      </c>
      <c r="AH243" s="308"/>
      <c r="AI243" s="308" t="s">
        <v>4952</v>
      </c>
      <c r="AJ243" s="308" t="s">
        <v>4953</v>
      </c>
      <c r="AK243" s="308" t="s">
        <v>4954</v>
      </c>
      <c r="AL243" s="308" t="s">
        <v>4955</v>
      </c>
      <c r="AM243" s="308"/>
      <c r="AN243" s="308" t="s">
        <v>4956</v>
      </c>
      <c r="AO243" s="308" t="s">
        <v>4957</v>
      </c>
      <c r="AP243" s="308" t="s">
        <v>4739</v>
      </c>
      <c r="AQ243" s="308" t="s">
        <v>4740</v>
      </c>
      <c r="AR243" s="308">
        <v>7.936620426E9</v>
      </c>
      <c r="AS243" s="311"/>
      <c r="AT243" s="311"/>
      <c r="AU243" s="311"/>
      <c r="AV243" s="308" t="s">
        <v>2956</v>
      </c>
      <c r="AW243" s="308">
        <v>4.7870792433991E13</v>
      </c>
      <c r="AX243" s="310">
        <v>0.0</v>
      </c>
      <c r="AY243" s="308" t="s">
        <v>2974</v>
      </c>
      <c r="AZ243" s="308">
        <v>0.0</v>
      </c>
      <c r="BA243" s="311"/>
      <c r="BB243" s="311"/>
      <c r="BC243" s="311"/>
      <c r="BD243" s="308">
        <v>7.730413076807E12</v>
      </c>
      <c r="BE243" s="311"/>
      <c r="BF243" s="311"/>
      <c r="BG243" s="308" t="s">
        <v>2958</v>
      </c>
      <c r="BH243" s="308">
        <v>0.0</v>
      </c>
      <c r="BI243" s="308"/>
      <c r="BJ243" s="308"/>
      <c r="BK243" s="311"/>
      <c r="BL243" s="311"/>
      <c r="BM243" s="311"/>
      <c r="BN243" s="311"/>
      <c r="BO243" s="311"/>
      <c r="BP243" s="311"/>
      <c r="BQ243" s="311"/>
      <c r="BR243" s="311"/>
      <c r="BS243" s="308"/>
      <c r="BT243" s="311"/>
      <c r="BU243" s="311"/>
      <c r="BV243" s="308" t="s">
        <v>4742</v>
      </c>
      <c r="BW243" s="308" t="s">
        <v>4742</v>
      </c>
      <c r="BX243" s="308" t="s">
        <v>2956</v>
      </c>
      <c r="BY243" s="311"/>
      <c r="BZ243" s="311"/>
      <c r="CA243" s="308" t="s">
        <v>2956</v>
      </c>
      <c r="CB243" s="312" t="str">
        <f t="shared" si="1"/>
        <v>24/05/2026</v>
      </c>
      <c r="CC243" s="313">
        <f t="shared" si="2"/>
        <v>2026</v>
      </c>
      <c r="CD243" s="314">
        <f t="shared" si="3"/>
        <v>5</v>
      </c>
      <c r="CE243" s="314">
        <f t="shared" si="4"/>
        <v>0</v>
      </c>
      <c r="CF243" s="314">
        <f t="shared" si="5"/>
        <v>1</v>
      </c>
      <c r="CG243" s="314">
        <f t="shared" si="6"/>
        <v>0</v>
      </c>
      <c r="CH243" s="315">
        <f>VLOOKUP(CL243,'PRODUCT_COGS&amp;PRICE'!A:E,5,false)</f>
        <v>33</v>
      </c>
      <c r="CI243" s="315">
        <f t="shared" si="7"/>
        <v>0</v>
      </c>
      <c r="CJ243" s="316">
        <f t="shared" si="8"/>
        <v>0</v>
      </c>
      <c r="CK243" s="316">
        <f t="shared" si="9"/>
        <v>0</v>
      </c>
      <c r="CL243" s="314" t="str">
        <f>VLOOKUP(R243,PRODUCT_MAP!A:B,2,FALSE)</f>
        <v>Lea_Bag_Zebra_Dark</v>
      </c>
      <c r="CM243" s="314" t="str">
        <f>VLOOKUP(R243,PRODUCT_MAP!A:E,3,FALSE)</f>
        <v>Lea Bag</v>
      </c>
    </row>
    <row r="244" ht="22.5" customHeight="1">
      <c r="A244" s="308" t="s">
        <v>4960</v>
      </c>
      <c r="B244" s="308" t="s">
        <v>4961</v>
      </c>
      <c r="C244" s="308" t="s">
        <v>2942</v>
      </c>
      <c r="D244" s="308" t="s">
        <v>4962</v>
      </c>
      <c r="E244" s="308" t="s">
        <v>3013</v>
      </c>
      <c r="F244" s="308"/>
      <c r="G244" s="308" t="s">
        <v>2965</v>
      </c>
      <c r="H244" s="308" t="s">
        <v>2947</v>
      </c>
      <c r="I244" s="308">
        <v>90.0</v>
      </c>
      <c r="J244" s="308">
        <v>3.9</v>
      </c>
      <c r="K244" s="308">
        <v>16.93</v>
      </c>
      <c r="L244" s="308">
        <v>93.9</v>
      </c>
      <c r="M244" s="308"/>
      <c r="N244" s="308">
        <v>0.0</v>
      </c>
      <c r="O244" s="308" t="s">
        <v>2948</v>
      </c>
      <c r="P244" s="308" t="s">
        <v>4963</v>
      </c>
      <c r="Q244" s="310">
        <v>1.0</v>
      </c>
      <c r="R244" s="308" t="s">
        <v>4964</v>
      </c>
      <c r="S244" s="308">
        <v>90.0</v>
      </c>
      <c r="T244" s="311"/>
      <c r="U244" s="308" t="s">
        <v>4965</v>
      </c>
      <c r="V244" s="308" t="b">
        <v>1</v>
      </c>
      <c r="W244" s="308" t="b">
        <v>1</v>
      </c>
      <c r="X244" s="308"/>
      <c r="Y244" s="308" t="s">
        <v>4966</v>
      </c>
      <c r="Z244" s="308" t="s">
        <v>4967</v>
      </c>
      <c r="AA244" s="308" t="s">
        <v>4967</v>
      </c>
      <c r="AB244" s="308"/>
      <c r="AC244" s="308"/>
      <c r="AD244" s="308" t="s">
        <v>23</v>
      </c>
      <c r="AE244" s="308">
        <v>20144.0</v>
      </c>
      <c r="AF244" s="308" t="s">
        <v>2954</v>
      </c>
      <c r="AG244" s="308" t="s">
        <v>2955</v>
      </c>
      <c r="AH244" s="318" t="s">
        <v>4968</v>
      </c>
      <c r="AI244" s="308" t="s">
        <v>4966</v>
      </c>
      <c r="AJ244" s="308" t="s">
        <v>4967</v>
      </c>
      <c r="AK244" s="308" t="s">
        <v>4967</v>
      </c>
      <c r="AL244" s="308"/>
      <c r="AM244" s="308"/>
      <c r="AN244" s="308" t="s">
        <v>23</v>
      </c>
      <c r="AO244" s="308">
        <v>20144.0</v>
      </c>
      <c r="AP244" s="308" t="s">
        <v>2954</v>
      </c>
      <c r="AQ244" s="308" t="s">
        <v>2955</v>
      </c>
      <c r="AR244" s="318" t="s">
        <v>4968</v>
      </c>
      <c r="AS244" s="311"/>
      <c r="AT244" s="311"/>
      <c r="AU244" s="311"/>
      <c r="AV244" s="308" t="s">
        <v>3009</v>
      </c>
      <c r="AW244" s="308">
        <v>4.7871115002183E13</v>
      </c>
      <c r="AX244" s="310">
        <v>0.0</v>
      </c>
      <c r="AY244" s="308" t="s">
        <v>2974</v>
      </c>
      <c r="AZ244" s="308">
        <v>0.0</v>
      </c>
      <c r="BA244" s="311"/>
      <c r="BB244" s="311"/>
      <c r="BC244" s="311"/>
      <c r="BD244" s="308">
        <v>7.730573574471E12</v>
      </c>
      <c r="BE244" s="311"/>
      <c r="BF244" s="311"/>
      <c r="BG244" s="308" t="s">
        <v>2958</v>
      </c>
      <c r="BH244" s="308">
        <v>0.0</v>
      </c>
      <c r="BI244" s="308" t="s">
        <v>2959</v>
      </c>
      <c r="BJ244" s="308">
        <v>16.23</v>
      </c>
      <c r="BK244" s="311"/>
      <c r="BL244" s="311"/>
      <c r="BM244" s="311"/>
      <c r="BN244" s="311"/>
      <c r="BO244" s="311"/>
      <c r="BP244" s="311"/>
      <c r="BQ244" s="311"/>
      <c r="BR244" s="311"/>
      <c r="BS244" s="308"/>
      <c r="BT244" s="311"/>
      <c r="BU244" s="311"/>
      <c r="BV244" s="308" t="s">
        <v>23</v>
      </c>
      <c r="BW244" s="308" t="s">
        <v>23</v>
      </c>
      <c r="BX244" s="308" t="s">
        <v>3009</v>
      </c>
      <c r="BY244" s="311"/>
      <c r="BZ244" s="311"/>
      <c r="CA244" s="308" t="s">
        <v>3009</v>
      </c>
      <c r="CB244" s="312" t="str">
        <f t="shared" si="1"/>
        <v>24/05/2026</v>
      </c>
      <c r="CC244" s="313">
        <f t="shared" si="2"/>
        <v>2026</v>
      </c>
      <c r="CD244" s="314">
        <f t="shared" si="3"/>
        <v>5</v>
      </c>
      <c r="CE244" s="314">
        <f t="shared" si="4"/>
        <v>1</v>
      </c>
      <c r="CF244" s="314">
        <f t="shared" si="5"/>
        <v>1</v>
      </c>
      <c r="CG244" s="314">
        <f t="shared" si="6"/>
        <v>0</v>
      </c>
      <c r="CH244" s="315">
        <f>VLOOKUP(CL244,'PRODUCT_COGS&amp;PRICE'!A:E,5,false)</f>
        <v>16.5</v>
      </c>
      <c r="CI244" s="315">
        <f t="shared" si="7"/>
        <v>-3.62711</v>
      </c>
      <c r="CJ244" s="316">
        <f t="shared" si="8"/>
        <v>0</v>
      </c>
      <c r="CK244" s="316">
        <f t="shared" si="9"/>
        <v>0</v>
      </c>
      <c r="CL244" s="314" t="str">
        <f>VLOOKUP(R244,PRODUCT_MAP!A:B,2,FALSE)</f>
        <v>Annie_Bag_PEARL_GREY</v>
      </c>
      <c r="CM244" s="314" t="str">
        <f>VLOOKUP(R244,PRODUCT_MAP!A:E,3,FALSE)</f>
        <v/>
      </c>
    </row>
    <row r="245" ht="22.5" customHeight="1">
      <c r="A245" s="308" t="s">
        <v>4969</v>
      </c>
      <c r="B245" s="308" t="s">
        <v>4970</v>
      </c>
      <c r="C245" s="308" t="s">
        <v>2942</v>
      </c>
      <c r="D245" s="308" t="s">
        <v>4971</v>
      </c>
      <c r="E245" s="308" t="s">
        <v>3013</v>
      </c>
      <c r="F245" s="308"/>
      <c r="G245" s="308" t="s">
        <v>2946</v>
      </c>
      <c r="H245" s="308" t="s">
        <v>2947</v>
      </c>
      <c r="I245" s="308">
        <v>100.0</v>
      </c>
      <c r="J245" s="308">
        <v>0.0</v>
      </c>
      <c r="K245" s="308">
        <v>18.03</v>
      </c>
      <c r="L245" s="308">
        <v>100.0</v>
      </c>
      <c r="M245" s="308"/>
      <c r="N245" s="308">
        <v>0.0</v>
      </c>
      <c r="O245" s="308" t="s">
        <v>2948</v>
      </c>
      <c r="P245" s="308" t="s">
        <v>4972</v>
      </c>
      <c r="Q245" s="310">
        <v>1.0</v>
      </c>
      <c r="R245" s="308" t="s">
        <v>4266</v>
      </c>
      <c r="S245" s="308">
        <v>100.0</v>
      </c>
      <c r="T245" s="311"/>
      <c r="U245" s="308" t="s">
        <v>4267</v>
      </c>
      <c r="V245" s="308" t="b">
        <v>1</v>
      </c>
      <c r="W245" s="308" t="b">
        <v>1</v>
      </c>
      <c r="X245" s="308"/>
      <c r="Y245" s="308" t="s">
        <v>4973</v>
      </c>
      <c r="Z245" s="308" t="s">
        <v>4974</v>
      </c>
      <c r="AA245" s="308" t="s">
        <v>4974</v>
      </c>
      <c r="AB245" s="308"/>
      <c r="AC245" s="308"/>
      <c r="AD245" s="308" t="s">
        <v>4975</v>
      </c>
      <c r="AE245" s="308">
        <v>75012.0</v>
      </c>
      <c r="AF245" s="308" t="s">
        <v>4976</v>
      </c>
      <c r="AG245" s="308" t="s">
        <v>2955</v>
      </c>
      <c r="AH245" s="308">
        <v>3.345864728E9</v>
      </c>
      <c r="AI245" s="308" t="s">
        <v>4973</v>
      </c>
      <c r="AJ245" s="308" t="s">
        <v>4974</v>
      </c>
      <c r="AK245" s="308" t="s">
        <v>4974</v>
      </c>
      <c r="AL245" s="308"/>
      <c r="AM245" s="308"/>
      <c r="AN245" s="308" t="s">
        <v>4975</v>
      </c>
      <c r="AO245" s="308">
        <v>75012.0</v>
      </c>
      <c r="AP245" s="308" t="s">
        <v>4976</v>
      </c>
      <c r="AQ245" s="308" t="s">
        <v>2955</v>
      </c>
      <c r="AR245" s="308">
        <v>3.345864728E9</v>
      </c>
      <c r="AS245" s="311"/>
      <c r="AT245" s="311"/>
      <c r="AU245" s="311"/>
      <c r="AV245" s="308" t="s">
        <v>3009</v>
      </c>
      <c r="AW245" s="308">
        <v>4.7871314100551E13</v>
      </c>
      <c r="AX245" s="310">
        <v>0.0</v>
      </c>
      <c r="AY245" s="308" t="s">
        <v>2974</v>
      </c>
      <c r="AZ245" s="308">
        <v>0.0</v>
      </c>
      <c r="BA245" s="311"/>
      <c r="BB245" s="311"/>
      <c r="BC245" s="311"/>
      <c r="BD245" s="308">
        <v>7.730683412807E12</v>
      </c>
      <c r="BE245" s="311"/>
      <c r="BF245" s="311"/>
      <c r="BG245" s="308" t="s">
        <v>2958</v>
      </c>
      <c r="BH245" s="308">
        <v>0.0</v>
      </c>
      <c r="BI245" s="308" t="s">
        <v>2959</v>
      </c>
      <c r="BJ245" s="308">
        <v>18.03</v>
      </c>
      <c r="BK245" s="311"/>
      <c r="BL245" s="311"/>
      <c r="BM245" s="311"/>
      <c r="BN245" s="311"/>
      <c r="BO245" s="311"/>
      <c r="BP245" s="311"/>
      <c r="BQ245" s="311"/>
      <c r="BR245" s="311"/>
      <c r="BS245" s="308"/>
      <c r="BT245" s="311"/>
      <c r="BU245" s="311"/>
      <c r="BV245" s="308" t="s">
        <v>4977</v>
      </c>
      <c r="BW245" s="308" t="s">
        <v>4977</v>
      </c>
      <c r="BX245" s="308" t="s">
        <v>3009</v>
      </c>
      <c r="BY245" s="311"/>
      <c r="BZ245" s="311"/>
      <c r="CA245" s="308" t="s">
        <v>3009</v>
      </c>
      <c r="CB245" s="312" t="str">
        <f t="shared" si="1"/>
        <v>24/05/2026</v>
      </c>
      <c r="CC245" s="313">
        <f t="shared" si="2"/>
        <v>2026</v>
      </c>
      <c r="CD245" s="314">
        <f t="shared" si="3"/>
        <v>5</v>
      </c>
      <c r="CE245" s="314">
        <f t="shared" si="4"/>
        <v>1</v>
      </c>
      <c r="CF245" s="314">
        <f t="shared" si="5"/>
        <v>1</v>
      </c>
      <c r="CG245" s="314">
        <f t="shared" si="6"/>
        <v>-5</v>
      </c>
      <c r="CH245" s="315">
        <f>VLOOKUP(CL245,'PRODUCT_COGS&amp;PRICE'!A:E,5,false)</f>
        <v>16.5</v>
      </c>
      <c r="CI245" s="315">
        <f t="shared" si="7"/>
        <v>-3.84</v>
      </c>
      <c r="CJ245" s="316">
        <f t="shared" si="8"/>
        <v>0</v>
      </c>
      <c r="CK245" s="316">
        <f t="shared" si="9"/>
        <v>0</v>
      </c>
      <c r="CL245" s="314" t="str">
        <f>VLOOKUP(R245,PRODUCT_MAP!A:B,2,FALSE)</f>
        <v>Annie_Bag_PAILLETTES_NUDE</v>
      </c>
      <c r="CM245" s="314" t="str">
        <f>VLOOKUP(R245,PRODUCT_MAP!A:E,3,FALSE)</f>
        <v>Annie Bag paillettes</v>
      </c>
    </row>
    <row r="246" ht="22.5" customHeight="1">
      <c r="A246" s="308" t="s">
        <v>4978</v>
      </c>
      <c r="B246" s="308" t="s">
        <v>4775</v>
      </c>
      <c r="C246" s="308" t="s">
        <v>2942</v>
      </c>
      <c r="D246" s="308" t="s">
        <v>4979</v>
      </c>
      <c r="E246" s="308" t="s">
        <v>3013</v>
      </c>
      <c r="F246" s="308"/>
      <c r="G246" s="308" t="s">
        <v>2946</v>
      </c>
      <c r="H246" s="308" t="s">
        <v>2947</v>
      </c>
      <c r="I246" s="308">
        <v>120.0</v>
      </c>
      <c r="J246" s="308">
        <v>0.0</v>
      </c>
      <c r="K246" s="308">
        <v>21.64</v>
      </c>
      <c r="L246" s="308">
        <v>120.0</v>
      </c>
      <c r="M246" s="308"/>
      <c r="N246" s="308">
        <v>0.0</v>
      </c>
      <c r="O246" s="308" t="s">
        <v>2948</v>
      </c>
      <c r="P246" s="308" t="s">
        <v>4980</v>
      </c>
      <c r="Q246" s="310">
        <v>1.0</v>
      </c>
      <c r="R246" s="308" t="s">
        <v>569</v>
      </c>
      <c r="S246" s="308">
        <v>120.0</v>
      </c>
      <c r="T246" s="311"/>
      <c r="U246" s="308" t="s">
        <v>3375</v>
      </c>
      <c r="V246" s="308" t="b">
        <v>1</v>
      </c>
      <c r="W246" s="308" t="b">
        <v>1</v>
      </c>
      <c r="X246" s="308"/>
      <c r="Y246" s="308" t="s">
        <v>4778</v>
      </c>
      <c r="Z246" s="308" t="s">
        <v>4779</v>
      </c>
      <c r="AA246" s="308" t="s">
        <v>4780</v>
      </c>
      <c r="AB246" s="308" t="s">
        <v>4781</v>
      </c>
      <c r="AC246" s="308" t="s">
        <v>4781</v>
      </c>
      <c r="AD246" s="308" t="s">
        <v>3655</v>
      </c>
      <c r="AE246" s="308">
        <v>10142.0</v>
      </c>
      <c r="AF246" s="308" t="s">
        <v>3654</v>
      </c>
      <c r="AG246" s="308" t="s">
        <v>2955</v>
      </c>
      <c r="AH246" s="308">
        <v>3.479249034E9</v>
      </c>
      <c r="AI246" s="308" t="s">
        <v>4778</v>
      </c>
      <c r="AJ246" s="308" t="s">
        <v>4779</v>
      </c>
      <c r="AK246" s="308" t="s">
        <v>4780</v>
      </c>
      <c r="AL246" s="308" t="s">
        <v>4781</v>
      </c>
      <c r="AM246" s="308" t="s">
        <v>4781</v>
      </c>
      <c r="AN246" s="308" t="s">
        <v>3655</v>
      </c>
      <c r="AO246" s="308">
        <v>10142.0</v>
      </c>
      <c r="AP246" s="308" t="s">
        <v>3654</v>
      </c>
      <c r="AQ246" s="308" t="s">
        <v>2955</v>
      </c>
      <c r="AR246" s="308">
        <v>3.479249034E9</v>
      </c>
      <c r="AS246" s="311"/>
      <c r="AT246" s="311"/>
      <c r="AU246" s="311"/>
      <c r="AV246" s="308" t="s">
        <v>3009</v>
      </c>
      <c r="AW246" s="308">
        <v>4.7871445532999E13</v>
      </c>
      <c r="AX246" s="310">
        <v>0.0</v>
      </c>
      <c r="AY246" s="308" t="s">
        <v>2974</v>
      </c>
      <c r="AZ246" s="308">
        <v>0.0</v>
      </c>
      <c r="BA246" s="311"/>
      <c r="BB246" s="311"/>
      <c r="BC246" s="311"/>
      <c r="BD246" s="308">
        <v>7.730743902535E12</v>
      </c>
      <c r="BE246" s="311"/>
      <c r="BF246" s="311"/>
      <c r="BG246" s="308" t="s">
        <v>2958</v>
      </c>
      <c r="BH246" s="308">
        <v>0.0</v>
      </c>
      <c r="BI246" s="308" t="s">
        <v>2959</v>
      </c>
      <c r="BJ246" s="308">
        <v>21.64</v>
      </c>
      <c r="BK246" s="311"/>
      <c r="BL246" s="311"/>
      <c r="BM246" s="311"/>
      <c r="BN246" s="311"/>
      <c r="BO246" s="311"/>
      <c r="BP246" s="311"/>
      <c r="BQ246" s="311"/>
      <c r="BR246" s="311"/>
      <c r="BS246" s="308"/>
      <c r="BT246" s="311"/>
      <c r="BU246" s="311"/>
      <c r="BV246" s="308" t="s">
        <v>3655</v>
      </c>
      <c r="BW246" s="308" t="s">
        <v>3655</v>
      </c>
      <c r="BX246" s="308" t="s">
        <v>3009</v>
      </c>
      <c r="BY246" s="311"/>
      <c r="BZ246" s="311"/>
      <c r="CA246" s="308" t="s">
        <v>3009</v>
      </c>
      <c r="CB246" s="312" t="str">
        <f t="shared" si="1"/>
        <v>24/05/2026</v>
      </c>
      <c r="CC246" s="313">
        <f t="shared" si="2"/>
        <v>2026</v>
      </c>
      <c r="CD246" s="314">
        <f t="shared" si="3"/>
        <v>5</v>
      </c>
      <c r="CE246" s="314">
        <f t="shared" si="4"/>
        <v>1</v>
      </c>
      <c r="CF246" s="314">
        <f t="shared" si="5"/>
        <v>1</v>
      </c>
      <c r="CG246" s="314">
        <f t="shared" si="6"/>
        <v>-5</v>
      </c>
      <c r="CH246" s="315">
        <f>VLOOKUP(CL246,'PRODUCT_COGS&amp;PRICE'!A:E,5,false)</f>
        <v>20</v>
      </c>
      <c r="CI246" s="315">
        <f t="shared" si="7"/>
        <v>-4.538</v>
      </c>
      <c r="CJ246" s="316">
        <f t="shared" si="8"/>
        <v>0</v>
      </c>
      <c r="CK246" s="316">
        <f t="shared" si="9"/>
        <v>0</v>
      </c>
      <c r="CL246" s="314" t="str">
        <f>VLOOKUP(R246,PRODUCT_MAP!A:B,2,FALSE)</f>
        <v>Lea_Bag_RED_PATENT</v>
      </c>
      <c r="CM246" s="314" t="str">
        <f>VLOOKUP(R246,PRODUCT_MAP!A:E,3,FALSE)</f>
        <v>Lea Bag</v>
      </c>
    </row>
    <row r="247" ht="22.5" customHeight="1">
      <c r="A247" s="308" t="s">
        <v>4981</v>
      </c>
      <c r="B247" s="308" t="s">
        <v>4982</v>
      </c>
      <c r="C247" s="308" t="s">
        <v>2942</v>
      </c>
      <c r="D247" s="308" t="s">
        <v>4983</v>
      </c>
      <c r="E247" s="308" t="s">
        <v>3013</v>
      </c>
      <c r="F247" s="308"/>
      <c r="G247" s="308" t="s">
        <v>2946</v>
      </c>
      <c r="H247" s="308" t="s">
        <v>2947</v>
      </c>
      <c r="I247" s="308">
        <v>80.0</v>
      </c>
      <c r="J247" s="308">
        <v>3.9</v>
      </c>
      <c r="K247" s="308">
        <v>15.13</v>
      </c>
      <c r="L247" s="308">
        <v>83.9</v>
      </c>
      <c r="M247" s="308"/>
      <c r="N247" s="308">
        <v>0.0</v>
      </c>
      <c r="O247" s="308" t="s">
        <v>2948</v>
      </c>
      <c r="P247" s="308" t="s">
        <v>4984</v>
      </c>
      <c r="Q247" s="310">
        <v>1.0</v>
      </c>
      <c r="R247" s="308" t="s">
        <v>3920</v>
      </c>
      <c r="S247" s="308">
        <v>80.0</v>
      </c>
      <c r="T247" s="311"/>
      <c r="U247" s="308" t="s">
        <v>4985</v>
      </c>
      <c r="V247" s="308" t="b">
        <v>1</v>
      </c>
      <c r="W247" s="308" t="b">
        <v>1</v>
      </c>
      <c r="X247" s="308"/>
      <c r="Y247" s="308" t="s">
        <v>4986</v>
      </c>
      <c r="Z247" s="308" t="s">
        <v>4987</v>
      </c>
      <c r="AA247" s="308" t="s">
        <v>4987</v>
      </c>
      <c r="AB247" s="308"/>
      <c r="AC247" s="308"/>
      <c r="AD247" s="308" t="s">
        <v>23</v>
      </c>
      <c r="AE247" s="308">
        <v>20123.0</v>
      </c>
      <c r="AF247" s="308" t="s">
        <v>2954</v>
      </c>
      <c r="AG247" s="308" t="s">
        <v>2955</v>
      </c>
      <c r="AH247" s="308"/>
      <c r="AI247" s="308" t="s">
        <v>4986</v>
      </c>
      <c r="AJ247" s="308" t="s">
        <v>4987</v>
      </c>
      <c r="AK247" s="308" t="s">
        <v>4987</v>
      </c>
      <c r="AL247" s="308"/>
      <c r="AM247" s="308"/>
      <c r="AN247" s="308" t="s">
        <v>23</v>
      </c>
      <c r="AO247" s="308">
        <v>20123.0</v>
      </c>
      <c r="AP247" s="308" t="s">
        <v>2954</v>
      </c>
      <c r="AQ247" s="308" t="s">
        <v>2955</v>
      </c>
      <c r="AR247" s="308">
        <v>3.343136989E9</v>
      </c>
      <c r="AS247" s="311"/>
      <c r="AT247" s="311"/>
      <c r="AU247" s="311"/>
      <c r="AV247" s="308" t="s">
        <v>2956</v>
      </c>
      <c r="AW247" s="308">
        <v>4.7877034475847E13</v>
      </c>
      <c r="AX247" s="310">
        <v>0.0</v>
      </c>
      <c r="AY247" s="308" t="s">
        <v>2974</v>
      </c>
      <c r="AZ247" s="308">
        <v>0.0</v>
      </c>
      <c r="BA247" s="311"/>
      <c r="BB247" s="311"/>
      <c r="BC247" s="311"/>
      <c r="BD247" s="308">
        <v>7.733725954375E12</v>
      </c>
      <c r="BE247" s="311"/>
      <c r="BF247" s="311"/>
      <c r="BG247" s="308" t="s">
        <v>2958</v>
      </c>
      <c r="BH247" s="308">
        <v>0.0</v>
      </c>
      <c r="BI247" s="308" t="s">
        <v>2959</v>
      </c>
      <c r="BJ247" s="308">
        <v>14.43</v>
      </c>
      <c r="BK247" s="311"/>
      <c r="BL247" s="311"/>
      <c r="BM247" s="311"/>
      <c r="BN247" s="311"/>
      <c r="BO247" s="311"/>
      <c r="BP247" s="311"/>
      <c r="BQ247" s="311"/>
      <c r="BR247" s="311"/>
      <c r="BS247" s="308"/>
      <c r="BT247" s="311"/>
      <c r="BU247" s="311"/>
      <c r="BV247" s="308" t="s">
        <v>23</v>
      </c>
      <c r="BW247" s="308" t="s">
        <v>23</v>
      </c>
      <c r="BX247" s="308" t="s">
        <v>2956</v>
      </c>
      <c r="BY247" s="311"/>
      <c r="BZ247" s="311"/>
      <c r="CA247" s="308" t="s">
        <v>2956</v>
      </c>
      <c r="CB247" s="312" t="str">
        <f t="shared" si="1"/>
        <v>25/05/2026</v>
      </c>
      <c r="CC247" s="313">
        <f t="shared" si="2"/>
        <v>2026</v>
      </c>
      <c r="CD247" s="314">
        <f t="shared" si="3"/>
        <v>5</v>
      </c>
      <c r="CE247" s="314">
        <f t="shared" si="4"/>
        <v>1</v>
      </c>
      <c r="CF247" s="314">
        <f t="shared" si="5"/>
        <v>1</v>
      </c>
      <c r="CG247" s="314">
        <f t="shared" si="6"/>
        <v>0</v>
      </c>
      <c r="CH247" s="315">
        <f>VLOOKUP(CL247,'PRODUCT_COGS&amp;PRICE'!A:E,5,false)</f>
        <v>19</v>
      </c>
      <c r="CI247" s="315">
        <f t="shared" si="7"/>
        <v>-1.8441</v>
      </c>
      <c r="CJ247" s="316">
        <f t="shared" si="8"/>
        <v>0</v>
      </c>
      <c r="CK247" s="316">
        <f t="shared" si="9"/>
        <v>0</v>
      </c>
      <c r="CL247" s="314" t="str">
        <f>VLOOKUP(R247,PRODUCT_MAP!A:B,2,FALSE)</f>
        <v>Agata_Bag_FLORAL_GREEN_EMBROIDERY</v>
      </c>
      <c r="CM247" s="314" t="str">
        <f>VLOOKUP(R247,PRODUCT_MAP!A:E,3,FALSE)</f>
        <v>Agata Bag</v>
      </c>
    </row>
    <row r="248" ht="22.5" customHeight="1">
      <c r="A248" s="308" t="s">
        <v>4988</v>
      </c>
      <c r="B248" s="308" t="s">
        <v>4989</v>
      </c>
      <c r="C248" s="308" t="s">
        <v>2942</v>
      </c>
      <c r="D248" s="308" t="s">
        <v>4990</v>
      </c>
      <c r="E248" s="308" t="s">
        <v>3013</v>
      </c>
      <c r="F248" s="308"/>
      <c r="G248" s="308" t="s">
        <v>2965</v>
      </c>
      <c r="H248" s="308" t="s">
        <v>2947</v>
      </c>
      <c r="I248" s="308">
        <v>90.0</v>
      </c>
      <c r="J248" s="308">
        <v>0.0</v>
      </c>
      <c r="K248" s="308">
        <v>16.23</v>
      </c>
      <c r="L248" s="308">
        <v>90.0</v>
      </c>
      <c r="M248" s="308"/>
      <c r="N248" s="308">
        <v>0.0</v>
      </c>
      <c r="O248" s="308" t="s">
        <v>2979</v>
      </c>
      <c r="P248" s="308" t="s">
        <v>4991</v>
      </c>
      <c r="Q248" s="310">
        <v>1.0</v>
      </c>
      <c r="R248" s="308" t="s">
        <v>4697</v>
      </c>
      <c r="S248" s="308">
        <v>90.0</v>
      </c>
      <c r="T248" s="311"/>
      <c r="U248" s="308" t="s">
        <v>4937</v>
      </c>
      <c r="V248" s="308" t="b">
        <v>1</v>
      </c>
      <c r="W248" s="308" t="b">
        <v>1</v>
      </c>
      <c r="X248" s="308"/>
      <c r="Y248" s="308" t="s">
        <v>4992</v>
      </c>
      <c r="Z248" s="308" t="s">
        <v>4993</v>
      </c>
      <c r="AA248" s="308" t="s">
        <v>4993</v>
      </c>
      <c r="AB248" s="308"/>
      <c r="AC248" s="308"/>
      <c r="AD248" s="308" t="s">
        <v>4846</v>
      </c>
      <c r="AE248" s="308">
        <v>26100.0</v>
      </c>
      <c r="AF248" s="308" t="s">
        <v>4845</v>
      </c>
      <c r="AG248" s="308" t="s">
        <v>2955</v>
      </c>
      <c r="AH248" s="308"/>
      <c r="AI248" s="308"/>
      <c r="AJ248" s="308"/>
      <c r="AK248" s="308"/>
      <c r="AL248" s="308"/>
      <c r="AM248" s="308"/>
      <c r="AN248" s="308"/>
      <c r="AO248" s="308"/>
      <c r="AP248" s="308"/>
      <c r="AQ248" s="308"/>
      <c r="AR248" s="308"/>
      <c r="AS248" s="311"/>
      <c r="AT248" s="311"/>
      <c r="AU248" s="311"/>
      <c r="AV248" s="308" t="s">
        <v>2956</v>
      </c>
      <c r="AW248" s="308">
        <v>4.7879968129351E13</v>
      </c>
      <c r="AX248" s="310">
        <v>0.0</v>
      </c>
      <c r="AY248" s="308" t="s">
        <v>2974</v>
      </c>
      <c r="AZ248" s="308">
        <v>0.0</v>
      </c>
      <c r="BA248" s="311"/>
      <c r="BB248" s="311"/>
      <c r="BC248" s="311"/>
      <c r="BD248" s="308">
        <v>7.749106729287E12</v>
      </c>
      <c r="BE248" s="311"/>
      <c r="BF248" s="311"/>
      <c r="BG248" s="308" t="s">
        <v>2958</v>
      </c>
      <c r="BH248" s="308">
        <v>0.0</v>
      </c>
      <c r="BI248" s="308" t="s">
        <v>2959</v>
      </c>
      <c r="BJ248" s="308">
        <v>16.23</v>
      </c>
      <c r="BK248" s="311"/>
      <c r="BL248" s="311"/>
      <c r="BM248" s="311"/>
      <c r="BN248" s="311"/>
      <c r="BO248" s="311"/>
      <c r="BP248" s="311"/>
      <c r="BQ248" s="311"/>
      <c r="BR248" s="311"/>
      <c r="BS248" s="308"/>
      <c r="BT248" s="311"/>
      <c r="BU248" s="311"/>
      <c r="BV248" s="308" t="s">
        <v>4846</v>
      </c>
      <c r="BW248" s="308"/>
      <c r="BX248" s="308" t="s">
        <v>2956</v>
      </c>
      <c r="BY248" s="311"/>
      <c r="BZ248" s="311"/>
      <c r="CA248" s="308" t="s">
        <v>2956</v>
      </c>
      <c r="CB248" s="312" t="str">
        <f t="shared" si="1"/>
        <v>26/05/2026</v>
      </c>
      <c r="CC248" s="313">
        <f t="shared" si="2"/>
        <v>2026</v>
      </c>
      <c r="CD248" s="314">
        <f t="shared" si="3"/>
        <v>5</v>
      </c>
      <c r="CE248" s="314">
        <f t="shared" si="4"/>
        <v>1</v>
      </c>
      <c r="CF248" s="314">
        <f t="shared" si="5"/>
        <v>1</v>
      </c>
      <c r="CG248" s="314">
        <f t="shared" si="6"/>
        <v>-5</v>
      </c>
      <c r="CH248" s="315">
        <f>VLOOKUP(CL248,'PRODUCT_COGS&amp;PRICE'!A:E,5,false)</f>
        <v>16.5</v>
      </c>
      <c r="CI248" s="315">
        <f t="shared" si="7"/>
        <v>-1.96</v>
      </c>
      <c r="CJ248" s="316">
        <f t="shared" si="8"/>
        <v>0</v>
      </c>
      <c r="CK248" s="316">
        <f t="shared" si="9"/>
        <v>0</v>
      </c>
      <c r="CL248" s="314" t="str">
        <f>VLOOKUP(R248,PRODUCT_MAP!A:B,2,FALSE)</f>
        <v>Annie_Bag_PINK</v>
      </c>
      <c r="CM248" s="314" t="str">
        <f>VLOOKUP(R248,PRODUCT_MAP!A:E,3,FALSE)</f>
        <v/>
      </c>
    </row>
    <row r="249" ht="22.5" customHeight="1">
      <c r="A249" s="308" t="s">
        <v>4994</v>
      </c>
      <c r="B249" s="308" t="s">
        <v>4995</v>
      </c>
      <c r="C249" s="308" t="s">
        <v>4329</v>
      </c>
      <c r="D249" s="308" t="s">
        <v>4996</v>
      </c>
      <c r="E249" s="308" t="s">
        <v>3013</v>
      </c>
      <c r="F249" s="308"/>
      <c r="G249" s="308" t="s">
        <v>2965</v>
      </c>
      <c r="H249" s="308" t="s">
        <v>2947</v>
      </c>
      <c r="I249" s="308">
        <v>120.0</v>
      </c>
      <c r="J249" s="308">
        <v>0.0</v>
      </c>
      <c r="K249" s="308">
        <v>21.64</v>
      </c>
      <c r="L249" s="308">
        <v>120.0</v>
      </c>
      <c r="M249" s="308"/>
      <c r="N249" s="308">
        <v>0.0</v>
      </c>
      <c r="O249" s="308" t="s">
        <v>2948</v>
      </c>
      <c r="P249" s="308" t="s">
        <v>4997</v>
      </c>
      <c r="Q249" s="310">
        <v>1.0</v>
      </c>
      <c r="R249" s="308" t="s">
        <v>607</v>
      </c>
      <c r="S249" s="308">
        <v>120.0</v>
      </c>
      <c r="T249" s="311"/>
      <c r="U249" s="308" t="s">
        <v>207</v>
      </c>
      <c r="V249" s="308" t="b">
        <v>1</v>
      </c>
      <c r="W249" s="308" t="b">
        <v>1</v>
      </c>
      <c r="X249" s="308"/>
      <c r="Y249" s="308" t="s">
        <v>4998</v>
      </c>
      <c r="Z249" s="308" t="s">
        <v>4999</v>
      </c>
      <c r="AA249" s="308" t="s">
        <v>4999</v>
      </c>
      <c r="AB249" s="308"/>
      <c r="AC249" s="308"/>
      <c r="AD249" s="308" t="s">
        <v>5000</v>
      </c>
      <c r="AE249" s="308">
        <v>95030.0</v>
      </c>
      <c r="AF249" s="308" t="s">
        <v>5001</v>
      </c>
      <c r="AG249" s="308" t="s">
        <v>2955</v>
      </c>
      <c r="AH249" s="308">
        <v>3.474842374E9</v>
      </c>
      <c r="AI249" s="308" t="s">
        <v>4998</v>
      </c>
      <c r="AJ249" s="308" t="s">
        <v>4999</v>
      </c>
      <c r="AK249" s="308" t="s">
        <v>4999</v>
      </c>
      <c r="AL249" s="308"/>
      <c r="AM249" s="308"/>
      <c r="AN249" s="308" t="s">
        <v>5000</v>
      </c>
      <c r="AO249" s="308">
        <v>95030.0</v>
      </c>
      <c r="AP249" s="308" t="s">
        <v>5001</v>
      </c>
      <c r="AQ249" s="308" t="s">
        <v>2955</v>
      </c>
      <c r="AR249" s="308">
        <v>3.474842374E9</v>
      </c>
      <c r="AS249" s="311"/>
      <c r="AT249" s="311"/>
      <c r="AU249" s="311"/>
      <c r="AV249" s="308" t="s">
        <v>2956</v>
      </c>
      <c r="AW249" s="308">
        <v>4.7885033177415E13</v>
      </c>
      <c r="AX249" s="310">
        <v>120.0</v>
      </c>
      <c r="AY249" s="308" t="s">
        <v>2974</v>
      </c>
      <c r="AZ249" s="308">
        <v>0.0</v>
      </c>
      <c r="BA249" s="311"/>
      <c r="BB249" s="311"/>
      <c r="BC249" s="311"/>
      <c r="BD249" s="308">
        <v>7.756598411591E12</v>
      </c>
      <c r="BE249" s="311"/>
      <c r="BF249" s="311"/>
      <c r="BG249" s="308" t="s">
        <v>2958</v>
      </c>
      <c r="BH249" s="308">
        <v>0.0</v>
      </c>
      <c r="BI249" s="308" t="s">
        <v>2959</v>
      </c>
      <c r="BJ249" s="308">
        <v>21.64</v>
      </c>
      <c r="BK249" s="311"/>
      <c r="BL249" s="311"/>
      <c r="BM249" s="311"/>
      <c r="BN249" s="311"/>
      <c r="BO249" s="311"/>
      <c r="BP249" s="311"/>
      <c r="BQ249" s="311"/>
      <c r="BR249" s="311"/>
      <c r="BS249" s="308"/>
      <c r="BT249" s="311"/>
      <c r="BU249" s="311"/>
      <c r="BV249" s="308" t="s">
        <v>5002</v>
      </c>
      <c r="BW249" s="308" t="s">
        <v>5002</v>
      </c>
      <c r="BX249" s="308" t="s">
        <v>2956</v>
      </c>
      <c r="BY249" s="311"/>
      <c r="BZ249" s="311"/>
      <c r="CA249" s="308" t="s">
        <v>2956</v>
      </c>
      <c r="CB249" s="312" t="str">
        <f t="shared" si="1"/>
        <v>27/05/2026</v>
      </c>
      <c r="CC249" s="313">
        <f t="shared" si="2"/>
        <v>2026</v>
      </c>
      <c r="CD249" s="314">
        <f t="shared" si="3"/>
        <v>5</v>
      </c>
      <c r="CE249" s="314">
        <f t="shared" si="4"/>
        <v>0</v>
      </c>
      <c r="CF249" s="314">
        <f t="shared" si="5"/>
        <v>0</v>
      </c>
      <c r="CG249" s="314">
        <f t="shared" si="6"/>
        <v>0</v>
      </c>
      <c r="CH249" s="315">
        <f>VLOOKUP(CL249,'PRODUCT_COGS&amp;PRICE'!A:E,5,false)</f>
        <v>26</v>
      </c>
      <c r="CI249" s="315">
        <f t="shared" si="7"/>
        <v>-2.53</v>
      </c>
      <c r="CJ249" s="316">
        <f t="shared" si="8"/>
        <v>0</v>
      </c>
      <c r="CK249" s="316">
        <f t="shared" si="9"/>
        <v>0</v>
      </c>
      <c r="CL249" s="314" t="str">
        <f>VLOOKUP(R249,PRODUCT_MAP!A:B,2,FALSE)</f>
        <v>Maria_Bag_RED_PIERCING</v>
      </c>
      <c r="CM249" s="314" t="str">
        <f>VLOOKUP(R249,PRODUCT_MAP!A:E,3,FALSE)</f>
        <v>Maria Bag</v>
      </c>
    </row>
    <row r="250" ht="22.5" customHeight="1">
      <c r="A250" s="308" t="s">
        <v>5003</v>
      </c>
      <c r="B250" s="308" t="s">
        <v>3084</v>
      </c>
      <c r="C250" s="308" t="s">
        <v>2942</v>
      </c>
      <c r="D250" s="308" t="s">
        <v>5004</v>
      </c>
      <c r="E250" s="308" t="s">
        <v>3013</v>
      </c>
      <c r="F250" s="308"/>
      <c r="G250" s="308" t="s">
        <v>2946</v>
      </c>
      <c r="H250" s="308" t="s">
        <v>2947</v>
      </c>
      <c r="I250" s="308">
        <v>108.0</v>
      </c>
      <c r="J250" s="308">
        <v>0.0</v>
      </c>
      <c r="K250" s="308">
        <v>19.48</v>
      </c>
      <c r="L250" s="308">
        <v>108.0</v>
      </c>
      <c r="M250" s="308" t="s">
        <v>3221</v>
      </c>
      <c r="N250" s="308">
        <v>12.0</v>
      </c>
      <c r="O250" s="308" t="s">
        <v>2979</v>
      </c>
      <c r="P250" s="308" t="s">
        <v>5005</v>
      </c>
      <c r="Q250" s="310">
        <v>1.0</v>
      </c>
      <c r="R250" s="308" t="s">
        <v>909</v>
      </c>
      <c r="S250" s="308">
        <v>120.0</v>
      </c>
      <c r="T250" s="311"/>
      <c r="U250" s="308" t="s">
        <v>289</v>
      </c>
      <c r="V250" s="308" t="b">
        <v>1</v>
      </c>
      <c r="W250" s="308" t="b">
        <v>1</v>
      </c>
      <c r="X250" s="308"/>
      <c r="Y250" s="308" t="s">
        <v>3088</v>
      </c>
      <c r="Z250" s="308" t="s">
        <v>3089</v>
      </c>
      <c r="AA250" s="308" t="s">
        <v>3089</v>
      </c>
      <c r="AB250" s="308"/>
      <c r="AC250" s="308"/>
      <c r="AD250" s="308" t="s">
        <v>23</v>
      </c>
      <c r="AE250" s="308">
        <v>20141.0</v>
      </c>
      <c r="AF250" s="308" t="s">
        <v>2954</v>
      </c>
      <c r="AG250" s="308" t="s">
        <v>2955</v>
      </c>
      <c r="AH250" s="308">
        <v>3.246242037E9</v>
      </c>
      <c r="AI250" s="308"/>
      <c r="AJ250" s="308"/>
      <c r="AK250" s="308"/>
      <c r="AL250" s="308"/>
      <c r="AM250" s="308"/>
      <c r="AN250" s="308"/>
      <c r="AO250" s="308"/>
      <c r="AP250" s="308"/>
      <c r="AQ250" s="308"/>
      <c r="AR250" s="308"/>
      <c r="AS250" s="311"/>
      <c r="AT250" s="311"/>
      <c r="AU250" s="311"/>
      <c r="AV250" s="308" t="s">
        <v>2956</v>
      </c>
      <c r="AW250" s="308">
        <v>4.7875788276039E13</v>
      </c>
      <c r="AX250" s="310">
        <v>0.0</v>
      </c>
      <c r="AY250" s="308" t="s">
        <v>2974</v>
      </c>
      <c r="AZ250" s="308">
        <v>0.0</v>
      </c>
      <c r="BA250" s="311"/>
      <c r="BB250" s="311"/>
      <c r="BC250" s="311"/>
      <c r="BD250" s="308">
        <v>7.760434823495E12</v>
      </c>
      <c r="BE250" s="311"/>
      <c r="BF250" s="311"/>
      <c r="BG250" s="308" t="s">
        <v>2958</v>
      </c>
      <c r="BH250" s="308">
        <v>0.0</v>
      </c>
      <c r="BI250" s="308" t="s">
        <v>2959</v>
      </c>
      <c r="BJ250" s="308">
        <v>19.48</v>
      </c>
      <c r="BK250" s="311"/>
      <c r="BL250" s="311"/>
      <c r="BM250" s="311"/>
      <c r="BN250" s="311"/>
      <c r="BO250" s="311"/>
      <c r="BP250" s="311"/>
      <c r="BQ250" s="311"/>
      <c r="BR250" s="311"/>
      <c r="BS250" s="308"/>
      <c r="BT250" s="311"/>
      <c r="BU250" s="311"/>
      <c r="BV250" s="308" t="s">
        <v>23</v>
      </c>
      <c r="BW250" s="308"/>
      <c r="BX250" s="308" t="s">
        <v>2956</v>
      </c>
      <c r="BY250" s="311"/>
      <c r="BZ250" s="311"/>
      <c r="CA250" s="308" t="s">
        <v>2956</v>
      </c>
      <c r="CB250" s="312" t="str">
        <f t="shared" si="1"/>
        <v>27/05/2026</v>
      </c>
      <c r="CC250" s="313">
        <f t="shared" si="2"/>
        <v>2026</v>
      </c>
      <c r="CD250" s="314">
        <f t="shared" si="3"/>
        <v>5</v>
      </c>
      <c r="CE250" s="314">
        <f t="shared" si="4"/>
        <v>1</v>
      </c>
      <c r="CF250" s="314">
        <f t="shared" si="5"/>
        <v>1</v>
      </c>
      <c r="CG250" s="314">
        <f t="shared" si="6"/>
        <v>-5</v>
      </c>
      <c r="CH250" s="315">
        <f>VLOOKUP(CL250,'PRODUCT_COGS&amp;PRICE'!A:E,5,false)</f>
        <v>20</v>
      </c>
      <c r="CI250" s="315">
        <f t="shared" si="7"/>
        <v>-2.302</v>
      </c>
      <c r="CJ250" s="316">
        <f t="shared" si="8"/>
        <v>0</v>
      </c>
      <c r="CK250" s="316">
        <f t="shared" si="9"/>
        <v>12</v>
      </c>
      <c r="CL250" s="314" t="str">
        <f>VLOOKUP(R250,PRODUCT_MAP!A:B,2,FALSE)</f>
        <v>Lea_Bag_COCCO_ORANGE</v>
      </c>
      <c r="CM250" s="314" t="str">
        <f>VLOOKUP(R250,PRODUCT_MAP!A:E,3,FALSE)</f>
        <v>Lea Bag</v>
      </c>
    </row>
    <row r="251" ht="22.5" customHeight="1">
      <c r="A251" s="308" t="s">
        <v>5006</v>
      </c>
      <c r="B251" s="308" t="s">
        <v>5007</v>
      </c>
      <c r="C251" s="308" t="s">
        <v>2942</v>
      </c>
      <c r="D251" s="308" t="s">
        <v>5008</v>
      </c>
      <c r="E251" s="308" t="s">
        <v>3013</v>
      </c>
      <c r="F251" s="308"/>
      <c r="G251" s="308" t="s">
        <v>2965</v>
      </c>
      <c r="H251" s="308" t="s">
        <v>2947</v>
      </c>
      <c r="I251" s="308">
        <v>120.0</v>
      </c>
      <c r="J251" s="308">
        <v>0.0</v>
      </c>
      <c r="K251" s="308">
        <v>21.64</v>
      </c>
      <c r="L251" s="308">
        <v>120.0</v>
      </c>
      <c r="M251" s="308"/>
      <c r="N251" s="308">
        <v>0.0</v>
      </c>
      <c r="O251" s="308" t="s">
        <v>2948</v>
      </c>
      <c r="P251" s="308" t="s">
        <v>5009</v>
      </c>
      <c r="Q251" s="310">
        <v>1.0</v>
      </c>
      <c r="R251" s="308" t="s">
        <v>909</v>
      </c>
      <c r="S251" s="308">
        <v>120.0</v>
      </c>
      <c r="T251" s="311"/>
      <c r="U251" s="308" t="s">
        <v>289</v>
      </c>
      <c r="V251" s="308" t="b">
        <v>1</v>
      </c>
      <c r="W251" s="308" t="b">
        <v>1</v>
      </c>
      <c r="X251" s="308"/>
      <c r="Y251" s="308" t="s">
        <v>5010</v>
      </c>
      <c r="Z251" s="308" t="s">
        <v>5011</v>
      </c>
      <c r="AA251" s="308" t="s">
        <v>5011</v>
      </c>
      <c r="AB251" s="308"/>
      <c r="AC251" s="308"/>
      <c r="AD251" s="308" t="s">
        <v>5012</v>
      </c>
      <c r="AE251" s="308">
        <v>54033.0</v>
      </c>
      <c r="AF251" s="308" t="s">
        <v>4164</v>
      </c>
      <c r="AG251" s="308" t="s">
        <v>2955</v>
      </c>
      <c r="AH251" s="308">
        <v>3.288433637E9</v>
      </c>
      <c r="AI251" s="308" t="s">
        <v>5010</v>
      </c>
      <c r="AJ251" s="308" t="s">
        <v>5011</v>
      </c>
      <c r="AK251" s="308" t="s">
        <v>5011</v>
      </c>
      <c r="AL251" s="308"/>
      <c r="AM251" s="308"/>
      <c r="AN251" s="308" t="s">
        <v>5012</v>
      </c>
      <c r="AO251" s="308">
        <v>54033.0</v>
      </c>
      <c r="AP251" s="308" t="s">
        <v>4164</v>
      </c>
      <c r="AQ251" s="308" t="s">
        <v>2955</v>
      </c>
      <c r="AR251" s="308">
        <v>3.288433637E9</v>
      </c>
      <c r="AS251" s="311"/>
      <c r="AT251" s="311"/>
      <c r="AU251" s="311"/>
      <c r="AV251" s="308" t="s">
        <v>3009</v>
      </c>
      <c r="AW251" s="308">
        <v>4.7887189901639E13</v>
      </c>
      <c r="AX251" s="310">
        <v>0.0</v>
      </c>
      <c r="AY251" s="308" t="s">
        <v>2974</v>
      </c>
      <c r="AZ251" s="308">
        <v>0.0</v>
      </c>
      <c r="BA251" s="311"/>
      <c r="BB251" s="311"/>
      <c r="BC251" s="311"/>
      <c r="BD251" s="308">
        <v>7.760501604679E12</v>
      </c>
      <c r="BE251" s="311"/>
      <c r="BF251" s="311"/>
      <c r="BG251" s="308" t="s">
        <v>2958</v>
      </c>
      <c r="BH251" s="308">
        <v>0.0</v>
      </c>
      <c r="BI251" s="308" t="s">
        <v>2959</v>
      </c>
      <c r="BJ251" s="308">
        <v>21.64</v>
      </c>
      <c r="BK251" s="311"/>
      <c r="BL251" s="311"/>
      <c r="BM251" s="311"/>
      <c r="BN251" s="311"/>
      <c r="BO251" s="311"/>
      <c r="BP251" s="311"/>
      <c r="BQ251" s="311"/>
      <c r="BR251" s="311"/>
      <c r="BS251" s="308"/>
      <c r="BT251" s="311"/>
      <c r="BU251" s="311"/>
      <c r="BV251" s="308" t="s">
        <v>4165</v>
      </c>
      <c r="BW251" s="308" t="s">
        <v>4165</v>
      </c>
      <c r="BX251" s="308" t="s">
        <v>3009</v>
      </c>
      <c r="BY251" s="311"/>
      <c r="BZ251" s="311"/>
      <c r="CA251" s="308" t="s">
        <v>3009</v>
      </c>
      <c r="CB251" s="312" t="str">
        <f t="shared" si="1"/>
        <v>27/05/2026</v>
      </c>
      <c r="CC251" s="313">
        <f t="shared" si="2"/>
        <v>2026</v>
      </c>
      <c r="CD251" s="314">
        <f t="shared" si="3"/>
        <v>5</v>
      </c>
      <c r="CE251" s="314">
        <f t="shared" si="4"/>
        <v>1</v>
      </c>
      <c r="CF251" s="314">
        <f t="shared" si="5"/>
        <v>1</v>
      </c>
      <c r="CG251" s="314">
        <f t="shared" si="6"/>
        <v>-5</v>
      </c>
      <c r="CH251" s="315">
        <f>VLOOKUP(CL251,'PRODUCT_COGS&amp;PRICE'!A:E,5,false)</f>
        <v>20</v>
      </c>
      <c r="CI251" s="315">
        <f t="shared" si="7"/>
        <v>-4.538</v>
      </c>
      <c r="CJ251" s="316">
        <f t="shared" si="8"/>
        <v>0</v>
      </c>
      <c r="CK251" s="316">
        <f t="shared" si="9"/>
        <v>0</v>
      </c>
      <c r="CL251" s="314" t="str">
        <f>VLOOKUP(R251,PRODUCT_MAP!A:B,2,FALSE)</f>
        <v>Lea_Bag_COCCO_ORANGE</v>
      </c>
      <c r="CM251" s="314" t="str">
        <f>VLOOKUP(R251,PRODUCT_MAP!A:E,3,FALSE)</f>
        <v>Lea Bag</v>
      </c>
    </row>
    <row r="252" ht="22.5" customHeight="1">
      <c r="A252" s="308" t="s">
        <v>5013</v>
      </c>
      <c r="B252" s="308" t="s">
        <v>5014</v>
      </c>
      <c r="C252" s="308" t="s">
        <v>2942</v>
      </c>
      <c r="D252" s="308" t="s">
        <v>5015</v>
      </c>
      <c r="E252" s="308" t="s">
        <v>3013</v>
      </c>
      <c r="F252" s="308"/>
      <c r="G252" s="308" t="s">
        <v>2946</v>
      </c>
      <c r="H252" s="308" t="s">
        <v>2947</v>
      </c>
      <c r="I252" s="308">
        <v>108.0</v>
      </c>
      <c r="J252" s="308">
        <v>0.0</v>
      </c>
      <c r="K252" s="308">
        <v>19.48</v>
      </c>
      <c r="L252" s="308">
        <v>108.0</v>
      </c>
      <c r="M252" s="308" t="s">
        <v>3094</v>
      </c>
      <c r="N252" s="308">
        <v>12.0</v>
      </c>
      <c r="O252" s="308" t="s">
        <v>2948</v>
      </c>
      <c r="P252" s="308" t="s">
        <v>5016</v>
      </c>
      <c r="Q252" s="310">
        <v>1.0</v>
      </c>
      <c r="R252" s="308" t="s">
        <v>534</v>
      </c>
      <c r="S252" s="308">
        <v>120.0</v>
      </c>
      <c r="T252" s="311"/>
      <c r="U252" s="308" t="s">
        <v>293</v>
      </c>
      <c r="V252" s="308" t="b">
        <v>1</v>
      </c>
      <c r="W252" s="308" t="b">
        <v>1</v>
      </c>
      <c r="X252" s="308"/>
      <c r="Y252" s="308" t="s">
        <v>5017</v>
      </c>
      <c r="Z252" s="308" t="s">
        <v>5018</v>
      </c>
      <c r="AA252" s="308" t="s">
        <v>5018</v>
      </c>
      <c r="AB252" s="308"/>
      <c r="AC252" s="308"/>
      <c r="AD252" s="308" t="s">
        <v>5019</v>
      </c>
      <c r="AE252" s="308">
        <v>30023.0</v>
      </c>
      <c r="AF252" s="308" t="s">
        <v>3576</v>
      </c>
      <c r="AG252" s="308" t="s">
        <v>2955</v>
      </c>
      <c r="AH252" s="308"/>
      <c r="AI252" s="308" t="s">
        <v>5017</v>
      </c>
      <c r="AJ252" s="308" t="s">
        <v>5018</v>
      </c>
      <c r="AK252" s="308" t="s">
        <v>5018</v>
      </c>
      <c r="AL252" s="308"/>
      <c r="AM252" s="308"/>
      <c r="AN252" s="308" t="s">
        <v>5019</v>
      </c>
      <c r="AO252" s="308">
        <v>30023.0</v>
      </c>
      <c r="AP252" s="308" t="s">
        <v>3576</v>
      </c>
      <c r="AQ252" s="308" t="s">
        <v>2955</v>
      </c>
      <c r="AR252" s="308">
        <v>3.48732905E9</v>
      </c>
      <c r="AS252" s="311"/>
      <c r="AT252" s="311"/>
      <c r="AU252" s="311"/>
      <c r="AV252" s="308" t="s">
        <v>2956</v>
      </c>
      <c r="AW252" s="308">
        <v>4.7887176106311E13</v>
      </c>
      <c r="AX252" s="310">
        <v>0.0</v>
      </c>
      <c r="AY252" s="308" t="s">
        <v>2974</v>
      </c>
      <c r="AZ252" s="308">
        <v>0.0</v>
      </c>
      <c r="BA252" s="311"/>
      <c r="BB252" s="311"/>
      <c r="BC252" s="311"/>
      <c r="BD252" s="308">
        <v>7.760575463751E12</v>
      </c>
      <c r="BE252" s="311"/>
      <c r="BF252" s="311"/>
      <c r="BG252" s="308" t="s">
        <v>2958</v>
      </c>
      <c r="BH252" s="308">
        <v>0.0</v>
      </c>
      <c r="BI252" s="308" t="s">
        <v>2959</v>
      </c>
      <c r="BJ252" s="308">
        <v>19.48</v>
      </c>
      <c r="BK252" s="311"/>
      <c r="BL252" s="311"/>
      <c r="BM252" s="311"/>
      <c r="BN252" s="311"/>
      <c r="BO252" s="311"/>
      <c r="BP252" s="311"/>
      <c r="BQ252" s="311"/>
      <c r="BR252" s="311"/>
      <c r="BS252" s="308"/>
      <c r="BT252" s="311"/>
      <c r="BU252" s="311"/>
      <c r="BV252" s="308" t="s">
        <v>3578</v>
      </c>
      <c r="BW252" s="308" t="s">
        <v>3578</v>
      </c>
      <c r="BX252" s="308" t="s">
        <v>2956</v>
      </c>
      <c r="BY252" s="311"/>
      <c r="BZ252" s="311"/>
      <c r="CA252" s="308" t="s">
        <v>2956</v>
      </c>
      <c r="CB252" s="312" t="str">
        <f t="shared" si="1"/>
        <v>27/05/2026</v>
      </c>
      <c r="CC252" s="313">
        <f t="shared" si="2"/>
        <v>2026</v>
      </c>
      <c r="CD252" s="314">
        <f t="shared" si="3"/>
        <v>5</v>
      </c>
      <c r="CE252" s="314">
        <f t="shared" si="4"/>
        <v>1</v>
      </c>
      <c r="CF252" s="314">
        <f t="shared" si="5"/>
        <v>1</v>
      </c>
      <c r="CG252" s="314">
        <f t="shared" si="6"/>
        <v>-5</v>
      </c>
      <c r="CH252" s="315">
        <f>VLOOKUP(CL252,'PRODUCT_COGS&amp;PRICE'!A:E,5,false)</f>
        <v>20</v>
      </c>
      <c r="CI252" s="315">
        <f t="shared" si="7"/>
        <v>-2.302</v>
      </c>
      <c r="CJ252" s="316">
        <f t="shared" si="8"/>
        <v>0</v>
      </c>
      <c r="CK252" s="316">
        <f t="shared" si="9"/>
        <v>12</v>
      </c>
      <c r="CL252" s="314" t="str">
        <f>VLOOKUP(R252,PRODUCT_MAP!A:B,2,FALSE)</f>
        <v>Lea_Bag_COCCO_PURPLE</v>
      </c>
      <c r="CM252" s="314" t="str">
        <f>VLOOKUP(R252,PRODUCT_MAP!A:E,3,FALSE)</f>
        <v>Lea Bag</v>
      </c>
    </row>
    <row r="253" ht="22.5" customHeight="1">
      <c r="A253" s="308" t="s">
        <v>5020</v>
      </c>
      <c r="B253" s="308" t="s">
        <v>5021</v>
      </c>
      <c r="C253" s="308" t="s">
        <v>2942</v>
      </c>
      <c r="D253" s="308" t="s">
        <v>5022</v>
      </c>
      <c r="E253" s="308" t="s">
        <v>3013</v>
      </c>
      <c r="F253" s="308"/>
      <c r="G253" s="308" t="s">
        <v>2946</v>
      </c>
      <c r="H253" s="308" t="s">
        <v>2947</v>
      </c>
      <c r="I253" s="308">
        <v>120.0</v>
      </c>
      <c r="J253" s="308">
        <v>0.0</v>
      </c>
      <c r="K253" s="308">
        <v>21.64</v>
      </c>
      <c r="L253" s="308">
        <v>120.0</v>
      </c>
      <c r="M253" s="308"/>
      <c r="N253" s="308">
        <v>0.0</v>
      </c>
      <c r="O253" s="308" t="s">
        <v>2948</v>
      </c>
      <c r="P253" s="308" t="s">
        <v>5023</v>
      </c>
      <c r="Q253" s="310">
        <v>1.0</v>
      </c>
      <c r="R253" s="308" t="s">
        <v>524</v>
      </c>
      <c r="S253" s="308">
        <v>120.0</v>
      </c>
      <c r="T253" s="311"/>
      <c r="U253" s="308" t="s">
        <v>300</v>
      </c>
      <c r="V253" s="308" t="b">
        <v>1</v>
      </c>
      <c r="W253" s="308" t="b">
        <v>1</v>
      </c>
      <c r="X253" s="308"/>
      <c r="Y253" s="308" t="s">
        <v>5024</v>
      </c>
      <c r="Z253" s="308" t="s">
        <v>5025</v>
      </c>
      <c r="AA253" s="308" t="s">
        <v>5025</v>
      </c>
      <c r="AB253" s="308"/>
      <c r="AC253" s="308"/>
      <c r="AD253" s="308" t="s">
        <v>3081</v>
      </c>
      <c r="AE253" s="308">
        <v>162.0</v>
      </c>
      <c r="AF253" s="308" t="s">
        <v>3082</v>
      </c>
      <c r="AG253" s="308" t="s">
        <v>2955</v>
      </c>
      <c r="AH253" s="308"/>
      <c r="AI253" s="308" t="s">
        <v>5024</v>
      </c>
      <c r="AJ253" s="308" t="s">
        <v>5026</v>
      </c>
      <c r="AK253" s="308" t="s">
        <v>5027</v>
      </c>
      <c r="AL253" s="308" t="s">
        <v>5028</v>
      </c>
      <c r="AM253" s="308"/>
      <c r="AN253" s="308" t="s">
        <v>3081</v>
      </c>
      <c r="AO253" s="308">
        <v>162.0</v>
      </c>
      <c r="AP253" s="308" t="s">
        <v>3082</v>
      </c>
      <c r="AQ253" s="308" t="s">
        <v>2955</v>
      </c>
      <c r="AR253" s="308">
        <v>3.279134999E9</v>
      </c>
      <c r="AS253" s="311"/>
      <c r="AT253" s="311"/>
      <c r="AU253" s="311"/>
      <c r="AV253" s="308" t="s">
        <v>2956</v>
      </c>
      <c r="AW253" s="308">
        <v>4.7887198716231E13</v>
      </c>
      <c r="AX253" s="310">
        <v>0.0</v>
      </c>
      <c r="AY253" s="308" t="s">
        <v>2974</v>
      </c>
      <c r="AZ253" s="308">
        <v>0.0</v>
      </c>
      <c r="BA253" s="311"/>
      <c r="BB253" s="311"/>
      <c r="BC253" s="311"/>
      <c r="BD253" s="308">
        <v>7.760864608583E12</v>
      </c>
      <c r="BE253" s="311"/>
      <c r="BF253" s="311"/>
      <c r="BG253" s="308" t="s">
        <v>2958</v>
      </c>
      <c r="BH253" s="308">
        <v>0.0</v>
      </c>
      <c r="BI253" s="308" t="s">
        <v>2959</v>
      </c>
      <c r="BJ253" s="308">
        <v>21.64</v>
      </c>
      <c r="BK253" s="311"/>
      <c r="BL253" s="311"/>
      <c r="BM253" s="311"/>
      <c r="BN253" s="311"/>
      <c r="BO253" s="311"/>
      <c r="BP253" s="311"/>
      <c r="BQ253" s="311"/>
      <c r="BR253" s="311"/>
      <c r="BS253" s="308"/>
      <c r="BT253" s="311"/>
      <c r="BU253" s="311"/>
      <c r="BV253" s="308" t="s">
        <v>3081</v>
      </c>
      <c r="BW253" s="308" t="s">
        <v>3081</v>
      </c>
      <c r="BX253" s="308" t="s">
        <v>2956</v>
      </c>
      <c r="BY253" s="311"/>
      <c r="BZ253" s="311"/>
      <c r="CA253" s="308" t="s">
        <v>2956</v>
      </c>
      <c r="CB253" s="312" t="str">
        <f t="shared" si="1"/>
        <v>27/05/2026</v>
      </c>
      <c r="CC253" s="313">
        <f t="shared" si="2"/>
        <v>2026</v>
      </c>
      <c r="CD253" s="314">
        <f t="shared" si="3"/>
        <v>5</v>
      </c>
      <c r="CE253" s="314">
        <f t="shared" si="4"/>
        <v>1</v>
      </c>
      <c r="CF253" s="314">
        <f t="shared" si="5"/>
        <v>1</v>
      </c>
      <c r="CG253" s="314">
        <f t="shared" si="6"/>
        <v>-5</v>
      </c>
      <c r="CH253" s="315">
        <f>VLOOKUP(CL253,'PRODUCT_COGS&amp;PRICE'!A:E,5,false)</f>
        <v>20</v>
      </c>
      <c r="CI253" s="315">
        <f t="shared" si="7"/>
        <v>-2.53</v>
      </c>
      <c r="CJ253" s="316">
        <f t="shared" si="8"/>
        <v>0</v>
      </c>
      <c r="CK253" s="316">
        <f t="shared" si="9"/>
        <v>0</v>
      </c>
      <c r="CL253" s="314" t="str">
        <f>VLOOKUP(R253,PRODUCT_MAP!A:B,2,FALSE)</f>
        <v>Lea_Bag_COCCO_GREEN</v>
      </c>
      <c r="CM253" s="314" t="str">
        <f>VLOOKUP(R253,PRODUCT_MAP!A:E,3,FALSE)</f>
        <v>Lea Bag</v>
      </c>
    </row>
    <row r="254" ht="22.5" customHeight="1">
      <c r="A254" s="308" t="s">
        <v>5029</v>
      </c>
      <c r="B254" s="308" t="s">
        <v>5030</v>
      </c>
      <c r="C254" s="308" t="s">
        <v>2942</v>
      </c>
      <c r="D254" s="308" t="s">
        <v>5031</v>
      </c>
      <c r="E254" s="308" t="s">
        <v>3013</v>
      </c>
      <c r="F254" s="308"/>
      <c r="G254" s="308" t="s">
        <v>2946</v>
      </c>
      <c r="H254" s="308" t="s">
        <v>2947</v>
      </c>
      <c r="I254" s="308">
        <v>108.0</v>
      </c>
      <c r="J254" s="308">
        <v>0.0</v>
      </c>
      <c r="K254" s="308">
        <v>19.48</v>
      </c>
      <c r="L254" s="308">
        <v>108.0</v>
      </c>
      <c r="M254" s="308" t="s">
        <v>3221</v>
      </c>
      <c r="N254" s="308">
        <v>12.0</v>
      </c>
      <c r="O254" s="308" t="s">
        <v>2979</v>
      </c>
      <c r="P254" s="308" t="s">
        <v>5032</v>
      </c>
      <c r="Q254" s="310">
        <v>1.0</v>
      </c>
      <c r="R254" s="308" t="s">
        <v>909</v>
      </c>
      <c r="S254" s="308">
        <v>120.0</v>
      </c>
      <c r="T254" s="311"/>
      <c r="U254" s="308" t="s">
        <v>289</v>
      </c>
      <c r="V254" s="308" t="b">
        <v>1</v>
      </c>
      <c r="W254" s="308" t="b">
        <v>1</v>
      </c>
      <c r="X254" s="308"/>
      <c r="Y254" s="308" t="s">
        <v>5033</v>
      </c>
      <c r="Z254" s="308" t="s">
        <v>5034</v>
      </c>
      <c r="AA254" s="308" t="s">
        <v>5034</v>
      </c>
      <c r="AB254" s="308"/>
      <c r="AC254" s="308"/>
      <c r="AD254" s="308" t="s">
        <v>3217</v>
      </c>
      <c r="AE254" s="308">
        <v>20124.0</v>
      </c>
      <c r="AF254" s="308" t="s">
        <v>2954</v>
      </c>
      <c r="AG254" s="308" t="s">
        <v>2955</v>
      </c>
      <c r="AH254" s="308"/>
      <c r="AI254" s="308"/>
      <c r="AJ254" s="308"/>
      <c r="AK254" s="308"/>
      <c r="AL254" s="308"/>
      <c r="AM254" s="308"/>
      <c r="AN254" s="308"/>
      <c r="AO254" s="308"/>
      <c r="AP254" s="308"/>
      <c r="AQ254" s="308"/>
      <c r="AR254" s="308"/>
      <c r="AS254" s="311"/>
      <c r="AT254" s="311"/>
      <c r="AU254" s="311"/>
      <c r="AV254" s="308" t="s">
        <v>2956</v>
      </c>
      <c r="AW254" s="308">
        <v>4.7887399551303E13</v>
      </c>
      <c r="AX254" s="310">
        <v>0.0</v>
      </c>
      <c r="AY254" s="308" t="s">
        <v>2974</v>
      </c>
      <c r="AZ254" s="308">
        <v>0.0</v>
      </c>
      <c r="BA254" s="311"/>
      <c r="BB254" s="311"/>
      <c r="BC254" s="311"/>
      <c r="BD254" s="308">
        <v>7.761442242887E12</v>
      </c>
      <c r="BE254" s="311"/>
      <c r="BF254" s="311"/>
      <c r="BG254" s="308" t="s">
        <v>2958</v>
      </c>
      <c r="BH254" s="308">
        <v>0.0</v>
      </c>
      <c r="BI254" s="308" t="s">
        <v>2959</v>
      </c>
      <c r="BJ254" s="308">
        <v>19.48</v>
      </c>
      <c r="BK254" s="311"/>
      <c r="BL254" s="311"/>
      <c r="BM254" s="311"/>
      <c r="BN254" s="311"/>
      <c r="BO254" s="311"/>
      <c r="BP254" s="311"/>
      <c r="BQ254" s="311"/>
      <c r="BR254" s="311"/>
      <c r="BS254" s="308"/>
      <c r="BT254" s="311"/>
      <c r="BU254" s="311"/>
      <c r="BV254" s="308" t="s">
        <v>23</v>
      </c>
      <c r="BW254" s="308"/>
      <c r="BX254" s="308" t="s">
        <v>2956</v>
      </c>
      <c r="BY254" s="311"/>
      <c r="BZ254" s="311"/>
      <c r="CA254" s="308" t="s">
        <v>2956</v>
      </c>
      <c r="CB254" s="312" t="str">
        <f t="shared" si="1"/>
        <v>27/05/2026</v>
      </c>
      <c r="CC254" s="313">
        <f t="shared" si="2"/>
        <v>2026</v>
      </c>
      <c r="CD254" s="314">
        <f t="shared" si="3"/>
        <v>5</v>
      </c>
      <c r="CE254" s="314">
        <f t="shared" si="4"/>
        <v>1</v>
      </c>
      <c r="CF254" s="314">
        <f t="shared" si="5"/>
        <v>1</v>
      </c>
      <c r="CG254" s="314">
        <f t="shared" si="6"/>
        <v>-5</v>
      </c>
      <c r="CH254" s="315">
        <f>VLOOKUP(CL254,'PRODUCT_COGS&amp;PRICE'!A:E,5,false)</f>
        <v>20</v>
      </c>
      <c r="CI254" s="315">
        <f t="shared" si="7"/>
        <v>-2.302</v>
      </c>
      <c r="CJ254" s="316">
        <f t="shared" si="8"/>
        <v>0</v>
      </c>
      <c r="CK254" s="316">
        <f t="shared" si="9"/>
        <v>12</v>
      </c>
      <c r="CL254" s="314" t="str">
        <f>VLOOKUP(R254,PRODUCT_MAP!A:B,2,FALSE)</f>
        <v>Lea_Bag_COCCO_ORANGE</v>
      </c>
      <c r="CM254" s="314" t="str">
        <f>VLOOKUP(R254,PRODUCT_MAP!A:E,3,FALSE)</f>
        <v>Lea Bag</v>
      </c>
    </row>
    <row r="255" ht="22.5" customHeight="1">
      <c r="A255" s="308" t="s">
        <v>5035</v>
      </c>
      <c r="B255" s="308" t="s">
        <v>5036</v>
      </c>
      <c r="C255" s="308" t="s">
        <v>2942</v>
      </c>
      <c r="D255" s="308" t="s">
        <v>5037</v>
      </c>
      <c r="E255" s="308" t="s">
        <v>3013</v>
      </c>
      <c r="F255" s="308"/>
      <c r="G255" s="308" t="s">
        <v>2946</v>
      </c>
      <c r="H255" s="308" t="s">
        <v>2947</v>
      </c>
      <c r="I255" s="308">
        <v>81.0</v>
      </c>
      <c r="J255" s="308">
        <v>3.9</v>
      </c>
      <c r="K255" s="308">
        <v>15.31</v>
      </c>
      <c r="L255" s="308">
        <v>84.9</v>
      </c>
      <c r="M255" s="308" t="s">
        <v>3094</v>
      </c>
      <c r="N255" s="308">
        <v>9.0</v>
      </c>
      <c r="O255" s="308" t="s">
        <v>2948</v>
      </c>
      <c r="P255" s="308" t="s">
        <v>5038</v>
      </c>
      <c r="Q255" s="310">
        <v>1.0</v>
      </c>
      <c r="R255" s="308" t="s">
        <v>5039</v>
      </c>
      <c r="S255" s="308">
        <v>90.0</v>
      </c>
      <c r="T255" s="311"/>
      <c r="U255" s="308" t="s">
        <v>5040</v>
      </c>
      <c r="V255" s="308" t="b">
        <v>1</v>
      </c>
      <c r="W255" s="308" t="b">
        <v>1</v>
      </c>
      <c r="X255" s="308"/>
      <c r="Y255" s="308" t="s">
        <v>5041</v>
      </c>
      <c r="Z255" s="308" t="s">
        <v>5042</v>
      </c>
      <c r="AA255" s="308" t="s">
        <v>5042</v>
      </c>
      <c r="AB255" s="308"/>
      <c r="AC255" s="308"/>
      <c r="AD255" s="308" t="s">
        <v>3578</v>
      </c>
      <c r="AE255" s="308">
        <v>30173.0</v>
      </c>
      <c r="AF255" s="308" t="s">
        <v>3576</v>
      </c>
      <c r="AG255" s="308" t="s">
        <v>2955</v>
      </c>
      <c r="AH255" s="308">
        <v>3.391757444E9</v>
      </c>
      <c r="AI255" s="308" t="s">
        <v>5041</v>
      </c>
      <c r="AJ255" s="308" t="s">
        <v>5042</v>
      </c>
      <c r="AK255" s="308" t="s">
        <v>5042</v>
      </c>
      <c r="AL255" s="308"/>
      <c r="AM255" s="308"/>
      <c r="AN255" s="308" t="s">
        <v>3578</v>
      </c>
      <c r="AO255" s="308">
        <v>30173.0</v>
      </c>
      <c r="AP255" s="308" t="s">
        <v>3576</v>
      </c>
      <c r="AQ255" s="308" t="s">
        <v>2955</v>
      </c>
      <c r="AR255" s="308">
        <v>3.391757444E9</v>
      </c>
      <c r="AS255" s="311"/>
      <c r="AT255" s="311"/>
      <c r="AU255" s="311"/>
      <c r="AV255" s="308" t="s">
        <v>2956</v>
      </c>
      <c r="AW255" s="308">
        <v>4.7887429042503E13</v>
      </c>
      <c r="AX255" s="310">
        <v>0.0</v>
      </c>
      <c r="AY255" s="308" t="s">
        <v>2974</v>
      </c>
      <c r="AZ255" s="308">
        <v>0.0</v>
      </c>
      <c r="BA255" s="311"/>
      <c r="BB255" s="311"/>
      <c r="BC255" s="311"/>
      <c r="BD255" s="308">
        <v>7.761566695751E12</v>
      </c>
      <c r="BE255" s="311"/>
      <c r="BF255" s="311"/>
      <c r="BG255" s="308" t="s">
        <v>2958</v>
      </c>
      <c r="BH255" s="308">
        <v>0.0</v>
      </c>
      <c r="BI255" s="308" t="s">
        <v>2959</v>
      </c>
      <c r="BJ255" s="308">
        <v>14.61</v>
      </c>
      <c r="BK255" s="311"/>
      <c r="BL255" s="311"/>
      <c r="BM255" s="311"/>
      <c r="BN255" s="311"/>
      <c r="BO255" s="311"/>
      <c r="BP255" s="311"/>
      <c r="BQ255" s="311"/>
      <c r="BR255" s="311"/>
      <c r="BS255" s="308"/>
      <c r="BT255" s="311"/>
      <c r="BU255" s="311"/>
      <c r="BV255" s="308" t="s">
        <v>3578</v>
      </c>
      <c r="BW255" s="308" t="s">
        <v>3578</v>
      </c>
      <c r="BX255" s="308" t="s">
        <v>2956</v>
      </c>
      <c r="BY255" s="311"/>
      <c r="BZ255" s="311"/>
      <c r="CA255" s="308" t="s">
        <v>2956</v>
      </c>
      <c r="CB255" s="312" t="str">
        <f t="shared" si="1"/>
        <v>27/05/2026</v>
      </c>
      <c r="CC255" s="313">
        <f t="shared" si="2"/>
        <v>2026</v>
      </c>
      <c r="CD255" s="314">
        <f t="shared" si="3"/>
        <v>5</v>
      </c>
      <c r="CE255" s="314">
        <f t="shared" si="4"/>
        <v>1</v>
      </c>
      <c r="CF255" s="314">
        <f t="shared" si="5"/>
        <v>1</v>
      </c>
      <c r="CG255" s="314">
        <f t="shared" si="6"/>
        <v>0</v>
      </c>
      <c r="CH255" s="315">
        <f>VLOOKUP(CL255,'PRODUCT_COGS&amp;PRICE'!A:E,5,false)</f>
        <v>16.5</v>
      </c>
      <c r="CI255" s="315">
        <f t="shared" si="7"/>
        <v>-1.8631</v>
      </c>
      <c r="CJ255" s="316">
        <f t="shared" si="8"/>
        <v>0</v>
      </c>
      <c r="CK255" s="316">
        <f t="shared" si="9"/>
        <v>9</v>
      </c>
      <c r="CL255" s="314" t="str">
        <f>VLOOKUP(R255,PRODUCT_MAP!A:B,2,FALSE)</f>
        <v>Annie_Bag_PAILLETTES_LIGHT_BLUE</v>
      </c>
      <c r="CM255" s="314" t="str">
        <f>VLOOKUP(R255,PRODUCT_MAP!A:E,3,FALSE)</f>
        <v>Annie Bag paillettes</v>
      </c>
    </row>
    <row r="256" ht="22.5" customHeight="1">
      <c r="A256" s="308" t="s">
        <v>5043</v>
      </c>
      <c r="B256" s="308" t="s">
        <v>5044</v>
      </c>
      <c r="C256" s="308" t="s">
        <v>2942</v>
      </c>
      <c r="D256" s="308" t="s">
        <v>5045</v>
      </c>
      <c r="E256" s="308" t="s">
        <v>3013</v>
      </c>
      <c r="F256" s="308"/>
      <c r="G256" s="308" t="s">
        <v>2965</v>
      </c>
      <c r="H256" s="308" t="s">
        <v>2947</v>
      </c>
      <c r="I256" s="308">
        <v>90.0</v>
      </c>
      <c r="J256" s="308">
        <v>3.9</v>
      </c>
      <c r="K256" s="308">
        <v>16.93</v>
      </c>
      <c r="L256" s="308">
        <v>93.9</v>
      </c>
      <c r="M256" s="308"/>
      <c r="N256" s="308">
        <v>0.0</v>
      </c>
      <c r="O256" s="308" t="s">
        <v>2948</v>
      </c>
      <c r="P256" s="308" t="s">
        <v>5046</v>
      </c>
      <c r="Q256" s="310">
        <v>1.0</v>
      </c>
      <c r="R256" s="308" t="s">
        <v>5039</v>
      </c>
      <c r="S256" s="308">
        <v>90.0</v>
      </c>
      <c r="T256" s="311"/>
      <c r="U256" s="308" t="s">
        <v>5040</v>
      </c>
      <c r="V256" s="308" t="b">
        <v>1</v>
      </c>
      <c r="W256" s="308" t="b">
        <v>1</v>
      </c>
      <c r="X256" s="308"/>
      <c r="Y256" s="308" t="s">
        <v>5047</v>
      </c>
      <c r="Z256" s="308" t="s">
        <v>5048</v>
      </c>
      <c r="AA256" s="308" t="s">
        <v>5048</v>
      </c>
      <c r="AB256" s="308"/>
      <c r="AC256" s="308"/>
      <c r="AD256" s="308" t="s">
        <v>5049</v>
      </c>
      <c r="AE256" s="308">
        <v>74022.0</v>
      </c>
      <c r="AF256" s="308" t="s">
        <v>3567</v>
      </c>
      <c r="AG256" s="308" t="s">
        <v>2955</v>
      </c>
      <c r="AH256" s="318" t="s">
        <v>5050</v>
      </c>
      <c r="AI256" s="308" t="s">
        <v>5047</v>
      </c>
      <c r="AJ256" s="308" t="s">
        <v>5051</v>
      </c>
      <c r="AK256" s="308" t="s">
        <v>5051</v>
      </c>
      <c r="AL256" s="308"/>
      <c r="AM256" s="308"/>
      <c r="AN256" s="308" t="s">
        <v>5052</v>
      </c>
      <c r="AO256" s="308">
        <v>74022.0</v>
      </c>
      <c r="AP256" s="308" t="s">
        <v>3567</v>
      </c>
      <c r="AQ256" s="308" t="s">
        <v>2955</v>
      </c>
      <c r="AR256" s="318" t="s">
        <v>5050</v>
      </c>
      <c r="AS256" s="311"/>
      <c r="AT256" s="311"/>
      <c r="AU256" s="311"/>
      <c r="AV256" s="308" t="s">
        <v>2956</v>
      </c>
      <c r="AW256" s="308">
        <v>4.7887521120583E13</v>
      </c>
      <c r="AX256" s="310">
        <v>0.0</v>
      </c>
      <c r="AY256" s="308" t="s">
        <v>2974</v>
      </c>
      <c r="AZ256" s="308">
        <v>0.0</v>
      </c>
      <c r="BA256" s="311"/>
      <c r="BB256" s="311"/>
      <c r="BC256" s="311"/>
      <c r="BD256" s="308">
        <v>7.761846993223E12</v>
      </c>
      <c r="BE256" s="311"/>
      <c r="BF256" s="311"/>
      <c r="BG256" s="308" t="s">
        <v>2958</v>
      </c>
      <c r="BH256" s="308">
        <v>0.0</v>
      </c>
      <c r="BI256" s="308" t="s">
        <v>2959</v>
      </c>
      <c r="BJ256" s="308">
        <v>16.23</v>
      </c>
      <c r="BK256" s="311"/>
      <c r="BL256" s="311"/>
      <c r="BM256" s="311"/>
      <c r="BN256" s="311"/>
      <c r="BO256" s="311"/>
      <c r="BP256" s="311"/>
      <c r="BQ256" s="311"/>
      <c r="BR256" s="311"/>
      <c r="BS256" s="308"/>
      <c r="BT256" s="311"/>
      <c r="BU256" s="311"/>
      <c r="BV256" s="308" t="s">
        <v>3566</v>
      </c>
      <c r="BW256" s="308" t="s">
        <v>3566</v>
      </c>
      <c r="BX256" s="308" t="s">
        <v>2956</v>
      </c>
      <c r="BY256" s="311"/>
      <c r="BZ256" s="311"/>
      <c r="CA256" s="308" t="s">
        <v>2956</v>
      </c>
      <c r="CB256" s="312" t="str">
        <f t="shared" si="1"/>
        <v>27/05/2026</v>
      </c>
      <c r="CC256" s="313">
        <f t="shared" si="2"/>
        <v>2026</v>
      </c>
      <c r="CD256" s="314">
        <f t="shared" si="3"/>
        <v>5</v>
      </c>
      <c r="CE256" s="314">
        <f t="shared" si="4"/>
        <v>1</v>
      </c>
      <c r="CF256" s="314">
        <f t="shared" si="5"/>
        <v>1</v>
      </c>
      <c r="CG256" s="314">
        <f t="shared" si="6"/>
        <v>0</v>
      </c>
      <c r="CH256" s="315">
        <f>VLOOKUP(CL256,'PRODUCT_COGS&amp;PRICE'!A:E,5,false)</f>
        <v>16.5</v>
      </c>
      <c r="CI256" s="315">
        <f t="shared" si="7"/>
        <v>-2.0341</v>
      </c>
      <c r="CJ256" s="316">
        <f t="shared" si="8"/>
        <v>0</v>
      </c>
      <c r="CK256" s="316">
        <f t="shared" si="9"/>
        <v>0</v>
      </c>
      <c r="CL256" s="314" t="str">
        <f>VLOOKUP(R256,PRODUCT_MAP!A:B,2,FALSE)</f>
        <v>Annie_Bag_PAILLETTES_LIGHT_BLUE</v>
      </c>
      <c r="CM256" s="314" t="str">
        <f>VLOOKUP(R256,PRODUCT_MAP!A:E,3,FALSE)</f>
        <v>Annie Bag paillettes</v>
      </c>
    </row>
    <row r="257" ht="22.5" customHeight="1">
      <c r="A257" s="308" t="s">
        <v>5053</v>
      </c>
      <c r="B257" s="308" t="s">
        <v>5054</v>
      </c>
      <c r="C257" s="308" t="s">
        <v>2942</v>
      </c>
      <c r="D257" s="308" t="s">
        <v>5055</v>
      </c>
      <c r="E257" s="308" t="s">
        <v>3013</v>
      </c>
      <c r="F257" s="308"/>
      <c r="G257" s="308" t="s">
        <v>2946</v>
      </c>
      <c r="H257" s="308" t="s">
        <v>2947</v>
      </c>
      <c r="I257" s="308">
        <v>120.0</v>
      </c>
      <c r="J257" s="308">
        <v>0.0</v>
      </c>
      <c r="K257" s="308">
        <v>21.64</v>
      </c>
      <c r="L257" s="308">
        <v>120.0</v>
      </c>
      <c r="M257" s="308"/>
      <c r="N257" s="308">
        <v>0.0</v>
      </c>
      <c r="O257" s="308" t="s">
        <v>2948</v>
      </c>
      <c r="P257" s="308" t="s">
        <v>5056</v>
      </c>
      <c r="Q257" s="310">
        <v>1.0</v>
      </c>
      <c r="R257" s="308" t="s">
        <v>534</v>
      </c>
      <c r="S257" s="308">
        <v>120.0</v>
      </c>
      <c r="T257" s="311"/>
      <c r="U257" s="308" t="s">
        <v>293</v>
      </c>
      <c r="V257" s="308" t="b">
        <v>1</v>
      </c>
      <c r="W257" s="308" t="b">
        <v>1</v>
      </c>
      <c r="X257" s="308"/>
      <c r="Y257" s="308" t="s">
        <v>5057</v>
      </c>
      <c r="Z257" s="308" t="s">
        <v>5058</v>
      </c>
      <c r="AA257" s="308" t="s">
        <v>5058</v>
      </c>
      <c r="AB257" s="308"/>
      <c r="AC257" s="308"/>
      <c r="AD257" s="308" t="s">
        <v>4362</v>
      </c>
      <c r="AE257" s="308">
        <v>31020.0</v>
      </c>
      <c r="AF257" s="308" t="s">
        <v>2995</v>
      </c>
      <c r="AG257" s="308" t="s">
        <v>2955</v>
      </c>
      <c r="AH257" s="308">
        <v>3.450885738E9</v>
      </c>
      <c r="AI257" s="308" t="s">
        <v>5057</v>
      </c>
      <c r="AJ257" s="308" t="s">
        <v>5058</v>
      </c>
      <c r="AK257" s="308" t="s">
        <v>5058</v>
      </c>
      <c r="AL257" s="308"/>
      <c r="AM257" s="308"/>
      <c r="AN257" s="308" t="s">
        <v>4362</v>
      </c>
      <c r="AO257" s="308">
        <v>31020.0</v>
      </c>
      <c r="AP257" s="308" t="s">
        <v>2995</v>
      </c>
      <c r="AQ257" s="308" t="s">
        <v>2955</v>
      </c>
      <c r="AR257" s="308">
        <v>3.450885738E9</v>
      </c>
      <c r="AS257" s="311"/>
      <c r="AT257" s="311"/>
      <c r="AU257" s="311"/>
      <c r="AV257" s="308" t="s">
        <v>2956</v>
      </c>
      <c r="AW257" s="308">
        <v>4.7887655600455E13</v>
      </c>
      <c r="AX257" s="310">
        <v>0.0</v>
      </c>
      <c r="AY257" s="308" t="s">
        <v>2974</v>
      </c>
      <c r="AZ257" s="308">
        <v>0.0</v>
      </c>
      <c r="BA257" s="311"/>
      <c r="BB257" s="311"/>
      <c r="BC257" s="311"/>
      <c r="BD257" s="308">
        <v>7.762338054471E12</v>
      </c>
      <c r="BE257" s="311"/>
      <c r="BF257" s="311"/>
      <c r="BG257" s="308" t="s">
        <v>2958</v>
      </c>
      <c r="BH257" s="308">
        <v>0.0</v>
      </c>
      <c r="BI257" s="308" t="s">
        <v>2959</v>
      </c>
      <c r="BJ257" s="308">
        <v>21.64</v>
      </c>
      <c r="BK257" s="311"/>
      <c r="BL257" s="311"/>
      <c r="BM257" s="311"/>
      <c r="BN257" s="311"/>
      <c r="BO257" s="311"/>
      <c r="BP257" s="311"/>
      <c r="BQ257" s="311"/>
      <c r="BR257" s="311"/>
      <c r="BS257" s="308"/>
      <c r="BT257" s="311"/>
      <c r="BU257" s="311"/>
      <c r="BV257" s="308" t="s">
        <v>2994</v>
      </c>
      <c r="BW257" s="308" t="s">
        <v>2994</v>
      </c>
      <c r="BX257" s="308" t="s">
        <v>2956</v>
      </c>
      <c r="BY257" s="311"/>
      <c r="BZ257" s="311"/>
      <c r="CA257" s="308" t="s">
        <v>2956</v>
      </c>
      <c r="CB257" s="312" t="str">
        <f t="shared" si="1"/>
        <v>27/05/2026</v>
      </c>
      <c r="CC257" s="313">
        <f t="shared" si="2"/>
        <v>2026</v>
      </c>
      <c r="CD257" s="314">
        <f t="shared" si="3"/>
        <v>5</v>
      </c>
      <c r="CE257" s="314">
        <f t="shared" si="4"/>
        <v>1</v>
      </c>
      <c r="CF257" s="314">
        <f t="shared" si="5"/>
        <v>1</v>
      </c>
      <c r="CG257" s="314">
        <f t="shared" si="6"/>
        <v>-5</v>
      </c>
      <c r="CH257" s="315">
        <f>VLOOKUP(CL257,'PRODUCT_COGS&amp;PRICE'!A:E,5,false)</f>
        <v>20</v>
      </c>
      <c r="CI257" s="315">
        <f t="shared" si="7"/>
        <v>-2.53</v>
      </c>
      <c r="CJ257" s="316">
        <f t="shared" si="8"/>
        <v>0</v>
      </c>
      <c r="CK257" s="316">
        <f t="shared" si="9"/>
        <v>0</v>
      </c>
      <c r="CL257" s="314" t="str">
        <f>VLOOKUP(R257,PRODUCT_MAP!A:B,2,FALSE)</f>
        <v>Lea_Bag_COCCO_PURPLE</v>
      </c>
      <c r="CM257" s="314" t="str">
        <f>VLOOKUP(R257,PRODUCT_MAP!A:E,3,FALSE)</f>
        <v>Lea Bag</v>
      </c>
    </row>
    <row r="258" ht="22.5" customHeight="1">
      <c r="A258" s="308" t="s">
        <v>5059</v>
      </c>
      <c r="B258" s="308" t="s">
        <v>5060</v>
      </c>
      <c r="C258" s="308" t="s">
        <v>2942</v>
      </c>
      <c r="D258" s="308" t="s">
        <v>5061</v>
      </c>
      <c r="E258" s="308" t="s">
        <v>3013</v>
      </c>
      <c r="F258" s="308"/>
      <c r="G258" s="308" t="s">
        <v>2946</v>
      </c>
      <c r="H258" s="308" t="s">
        <v>2947</v>
      </c>
      <c r="I258" s="308">
        <v>120.0</v>
      </c>
      <c r="J258" s="308">
        <v>0.0</v>
      </c>
      <c r="K258" s="308">
        <v>21.64</v>
      </c>
      <c r="L258" s="308">
        <v>120.0</v>
      </c>
      <c r="M258" s="308"/>
      <c r="N258" s="308">
        <v>0.0</v>
      </c>
      <c r="O258" s="308" t="s">
        <v>2948</v>
      </c>
      <c r="P258" s="308" t="s">
        <v>5062</v>
      </c>
      <c r="Q258" s="310">
        <v>1.0</v>
      </c>
      <c r="R258" s="308" t="s">
        <v>909</v>
      </c>
      <c r="S258" s="308">
        <v>120.0</v>
      </c>
      <c r="T258" s="311"/>
      <c r="U258" s="308" t="s">
        <v>289</v>
      </c>
      <c r="V258" s="308" t="b">
        <v>1</v>
      </c>
      <c r="W258" s="308" t="b">
        <v>1</v>
      </c>
      <c r="X258" s="308"/>
      <c r="Y258" s="308" t="s">
        <v>5063</v>
      </c>
      <c r="Z258" s="308" t="s">
        <v>5064</v>
      </c>
      <c r="AA258" s="308" t="s">
        <v>5064</v>
      </c>
      <c r="AB258" s="308"/>
      <c r="AC258" s="308"/>
      <c r="AD258" s="308" t="s">
        <v>23</v>
      </c>
      <c r="AE258" s="308">
        <v>20131.0</v>
      </c>
      <c r="AF258" s="308" t="s">
        <v>2954</v>
      </c>
      <c r="AG258" s="308" t="s">
        <v>2955</v>
      </c>
      <c r="AH258" s="308">
        <v>3.482919705E9</v>
      </c>
      <c r="AI258" s="308" t="s">
        <v>5063</v>
      </c>
      <c r="AJ258" s="308" t="s">
        <v>5064</v>
      </c>
      <c r="AK258" s="308" t="s">
        <v>5064</v>
      </c>
      <c r="AL258" s="308"/>
      <c r="AM258" s="308"/>
      <c r="AN258" s="308" t="s">
        <v>23</v>
      </c>
      <c r="AO258" s="308">
        <v>20131.0</v>
      </c>
      <c r="AP258" s="308" t="s">
        <v>2954</v>
      </c>
      <c r="AQ258" s="308" t="s">
        <v>2955</v>
      </c>
      <c r="AR258" s="308">
        <v>3.482919705E9</v>
      </c>
      <c r="AS258" s="311"/>
      <c r="AT258" s="311"/>
      <c r="AU258" s="311"/>
      <c r="AV258" s="308" t="s">
        <v>2956</v>
      </c>
      <c r="AW258" s="308">
        <v>4.7888051962183E13</v>
      </c>
      <c r="AX258" s="310">
        <v>0.0</v>
      </c>
      <c r="AY258" s="308" t="s">
        <v>2974</v>
      </c>
      <c r="AZ258" s="308">
        <v>0.0</v>
      </c>
      <c r="BA258" s="311"/>
      <c r="BB258" s="311"/>
      <c r="BC258" s="311"/>
      <c r="BD258" s="308">
        <v>7.763717357895E12</v>
      </c>
      <c r="BE258" s="311"/>
      <c r="BF258" s="311"/>
      <c r="BG258" s="308" t="s">
        <v>2958</v>
      </c>
      <c r="BH258" s="308">
        <v>0.0</v>
      </c>
      <c r="BI258" s="308" t="s">
        <v>2959</v>
      </c>
      <c r="BJ258" s="308">
        <v>21.64</v>
      </c>
      <c r="BK258" s="311"/>
      <c r="BL258" s="311"/>
      <c r="BM258" s="311"/>
      <c r="BN258" s="311"/>
      <c r="BO258" s="311"/>
      <c r="BP258" s="311"/>
      <c r="BQ258" s="311"/>
      <c r="BR258" s="311"/>
      <c r="BS258" s="308"/>
      <c r="BT258" s="311"/>
      <c r="BU258" s="311"/>
      <c r="BV258" s="308" t="s">
        <v>23</v>
      </c>
      <c r="BW258" s="308" t="s">
        <v>23</v>
      </c>
      <c r="BX258" s="308" t="s">
        <v>2956</v>
      </c>
      <c r="BY258" s="311"/>
      <c r="BZ258" s="311"/>
      <c r="CA258" s="308" t="s">
        <v>2956</v>
      </c>
      <c r="CB258" s="312" t="str">
        <f t="shared" si="1"/>
        <v>27/05/2026</v>
      </c>
      <c r="CC258" s="313">
        <f t="shared" si="2"/>
        <v>2026</v>
      </c>
      <c r="CD258" s="314">
        <f t="shared" si="3"/>
        <v>5</v>
      </c>
      <c r="CE258" s="314">
        <f t="shared" si="4"/>
        <v>1</v>
      </c>
      <c r="CF258" s="314">
        <f t="shared" si="5"/>
        <v>1</v>
      </c>
      <c r="CG258" s="314">
        <f t="shared" si="6"/>
        <v>-5</v>
      </c>
      <c r="CH258" s="315">
        <f>VLOOKUP(CL258,'PRODUCT_COGS&amp;PRICE'!A:E,5,false)</f>
        <v>20</v>
      </c>
      <c r="CI258" s="315">
        <f t="shared" si="7"/>
        <v>-2.53</v>
      </c>
      <c r="CJ258" s="316">
        <f t="shared" si="8"/>
        <v>0</v>
      </c>
      <c r="CK258" s="316">
        <f t="shared" si="9"/>
        <v>0</v>
      </c>
      <c r="CL258" s="314" t="str">
        <f>VLOOKUP(R258,PRODUCT_MAP!A:B,2,FALSE)</f>
        <v>Lea_Bag_COCCO_ORANGE</v>
      </c>
      <c r="CM258" s="314" t="str">
        <f>VLOOKUP(R258,PRODUCT_MAP!A:E,3,FALSE)</f>
        <v>Lea Bag</v>
      </c>
    </row>
    <row r="259" ht="22.5" customHeight="1">
      <c r="A259" s="308" t="s">
        <v>5065</v>
      </c>
      <c r="B259" s="308" t="s">
        <v>5066</v>
      </c>
      <c r="C259" s="308" t="s">
        <v>2942</v>
      </c>
      <c r="D259" s="308" t="s">
        <v>5067</v>
      </c>
      <c r="E259" s="308" t="s">
        <v>3013</v>
      </c>
      <c r="F259" s="308"/>
      <c r="G259" s="308" t="s">
        <v>2946</v>
      </c>
      <c r="H259" s="308" t="s">
        <v>2947</v>
      </c>
      <c r="I259" s="308">
        <v>108.0</v>
      </c>
      <c r="J259" s="308">
        <v>0.0</v>
      </c>
      <c r="K259" s="308">
        <v>19.48</v>
      </c>
      <c r="L259" s="308">
        <v>108.0</v>
      </c>
      <c r="M259" s="308" t="s">
        <v>3094</v>
      </c>
      <c r="N259" s="308">
        <v>12.0</v>
      </c>
      <c r="O259" s="308" t="s">
        <v>2948</v>
      </c>
      <c r="P259" s="308" t="s">
        <v>5068</v>
      </c>
      <c r="Q259" s="310">
        <v>1.0</v>
      </c>
      <c r="R259" s="308" t="s">
        <v>509</v>
      </c>
      <c r="S259" s="308">
        <v>120.0</v>
      </c>
      <c r="T259" s="311"/>
      <c r="U259" s="308" t="s">
        <v>161</v>
      </c>
      <c r="V259" s="308" t="b">
        <v>1</v>
      </c>
      <c r="W259" s="308" t="b">
        <v>1</v>
      </c>
      <c r="X259" s="308"/>
      <c r="Y259" s="308" t="s">
        <v>5069</v>
      </c>
      <c r="Z259" s="308" t="s">
        <v>5070</v>
      </c>
      <c r="AA259" s="308" t="s">
        <v>5070</v>
      </c>
      <c r="AB259" s="308"/>
      <c r="AC259" s="308"/>
      <c r="AD259" s="308" t="s">
        <v>5071</v>
      </c>
      <c r="AE259" s="308">
        <v>21029.0</v>
      </c>
      <c r="AF259" s="308" t="s">
        <v>3206</v>
      </c>
      <c r="AG259" s="308" t="s">
        <v>2955</v>
      </c>
      <c r="AH259" s="308">
        <v>3.349574301E9</v>
      </c>
      <c r="AI259" s="308" t="s">
        <v>5069</v>
      </c>
      <c r="AJ259" s="308" t="s">
        <v>5070</v>
      </c>
      <c r="AK259" s="308" t="s">
        <v>5070</v>
      </c>
      <c r="AL259" s="308"/>
      <c r="AM259" s="308"/>
      <c r="AN259" s="308" t="s">
        <v>5071</v>
      </c>
      <c r="AO259" s="308">
        <v>21029.0</v>
      </c>
      <c r="AP259" s="308" t="s">
        <v>3206</v>
      </c>
      <c r="AQ259" s="308" t="s">
        <v>2955</v>
      </c>
      <c r="AR259" s="308">
        <v>3.349574301E9</v>
      </c>
      <c r="AS259" s="311"/>
      <c r="AT259" s="311"/>
      <c r="AU259" s="311"/>
      <c r="AV259" s="308" t="s">
        <v>3009</v>
      </c>
      <c r="AW259" s="308">
        <v>4.7889519378759E13</v>
      </c>
      <c r="AX259" s="310">
        <v>0.0</v>
      </c>
      <c r="AY259" s="308" t="s">
        <v>2974</v>
      </c>
      <c r="AZ259" s="308">
        <v>0.0</v>
      </c>
      <c r="BA259" s="311"/>
      <c r="BB259" s="311"/>
      <c r="BC259" s="311"/>
      <c r="BD259" s="308">
        <v>7.773356785991E12</v>
      </c>
      <c r="BE259" s="311"/>
      <c r="BF259" s="311"/>
      <c r="BG259" s="308" t="s">
        <v>2958</v>
      </c>
      <c r="BH259" s="308">
        <v>0.0</v>
      </c>
      <c r="BI259" s="308" t="s">
        <v>2959</v>
      </c>
      <c r="BJ259" s="308">
        <v>19.48</v>
      </c>
      <c r="BK259" s="311"/>
      <c r="BL259" s="311"/>
      <c r="BM259" s="311"/>
      <c r="BN259" s="311"/>
      <c r="BO259" s="311"/>
      <c r="BP259" s="311"/>
      <c r="BQ259" s="311"/>
      <c r="BR259" s="311"/>
      <c r="BS259" s="308"/>
      <c r="BT259" s="311"/>
      <c r="BU259" s="311"/>
      <c r="BV259" s="308" t="s">
        <v>3208</v>
      </c>
      <c r="BW259" s="308" t="s">
        <v>3208</v>
      </c>
      <c r="BX259" s="308" t="s">
        <v>3009</v>
      </c>
      <c r="BY259" s="311"/>
      <c r="BZ259" s="311"/>
      <c r="CA259" s="308" t="s">
        <v>3009</v>
      </c>
      <c r="CB259" s="312" t="str">
        <f t="shared" si="1"/>
        <v>28/05/2026</v>
      </c>
      <c r="CC259" s="313">
        <f t="shared" si="2"/>
        <v>2026</v>
      </c>
      <c r="CD259" s="314">
        <f t="shared" si="3"/>
        <v>5</v>
      </c>
      <c r="CE259" s="314">
        <f t="shared" si="4"/>
        <v>1</v>
      </c>
      <c r="CF259" s="314">
        <f t="shared" si="5"/>
        <v>1</v>
      </c>
      <c r="CG259" s="314">
        <f t="shared" si="6"/>
        <v>-5</v>
      </c>
      <c r="CH259" s="315">
        <f>VLOOKUP(CL259,'PRODUCT_COGS&amp;PRICE'!A:E,5,false)</f>
        <v>30.33</v>
      </c>
      <c r="CI259" s="315">
        <f t="shared" si="7"/>
        <v>-4.1192</v>
      </c>
      <c r="CJ259" s="316">
        <f t="shared" si="8"/>
        <v>0</v>
      </c>
      <c r="CK259" s="316">
        <f t="shared" si="9"/>
        <v>12</v>
      </c>
      <c r="CL259" s="314" t="str">
        <f>VLOOKUP(R259,PRODUCT_MAP!A:B,2,FALSE)</f>
        <v>Lea_Bag_COCCO_BLACK</v>
      </c>
      <c r="CM259" s="314" t="str">
        <f>VLOOKUP(R259,PRODUCT_MAP!A:E,3,FALSE)</f>
        <v>Lea Bag</v>
      </c>
    </row>
    <row r="260" ht="22.5" customHeight="1">
      <c r="A260" s="308" t="s">
        <v>5072</v>
      </c>
      <c r="B260" s="308" t="s">
        <v>5073</v>
      </c>
      <c r="C260" s="308" t="s">
        <v>2942</v>
      </c>
      <c r="D260" s="308" t="s">
        <v>5074</v>
      </c>
      <c r="E260" s="308" t="s">
        <v>3013</v>
      </c>
      <c r="F260" s="308"/>
      <c r="G260" s="308" t="s">
        <v>2946</v>
      </c>
      <c r="H260" s="308" t="s">
        <v>2947</v>
      </c>
      <c r="I260" s="308">
        <v>108.0</v>
      </c>
      <c r="J260" s="308">
        <v>0.0</v>
      </c>
      <c r="K260" s="308">
        <v>19.48</v>
      </c>
      <c r="L260" s="308">
        <v>108.0</v>
      </c>
      <c r="M260" s="308" t="s">
        <v>3094</v>
      </c>
      <c r="N260" s="308">
        <v>12.0</v>
      </c>
      <c r="O260" s="308" t="s">
        <v>2948</v>
      </c>
      <c r="P260" s="308" t="s">
        <v>5075</v>
      </c>
      <c r="Q260" s="310">
        <v>1.0</v>
      </c>
      <c r="R260" s="308" t="s">
        <v>534</v>
      </c>
      <c r="S260" s="308">
        <v>120.0</v>
      </c>
      <c r="T260" s="311"/>
      <c r="U260" s="308" t="s">
        <v>293</v>
      </c>
      <c r="V260" s="308" t="b">
        <v>1</v>
      </c>
      <c r="W260" s="308" t="b">
        <v>1</v>
      </c>
      <c r="X260" s="308"/>
      <c r="Y260" s="308" t="s">
        <v>5076</v>
      </c>
      <c r="Z260" s="308" t="s">
        <v>5077</v>
      </c>
      <c r="AA260" s="308" t="s">
        <v>5077</v>
      </c>
      <c r="AB260" s="308"/>
      <c r="AC260" s="308"/>
      <c r="AD260" s="308" t="s">
        <v>23</v>
      </c>
      <c r="AE260" s="308">
        <v>20147.0</v>
      </c>
      <c r="AF260" s="308" t="s">
        <v>2954</v>
      </c>
      <c r="AG260" s="308" t="s">
        <v>2955</v>
      </c>
      <c r="AH260" s="308"/>
      <c r="AI260" s="308" t="s">
        <v>5078</v>
      </c>
      <c r="AJ260" s="308" t="s">
        <v>5079</v>
      </c>
      <c r="AK260" s="308" t="s">
        <v>5080</v>
      </c>
      <c r="AL260" s="308" t="s">
        <v>5081</v>
      </c>
      <c r="AM260" s="308"/>
      <c r="AN260" s="308" t="s">
        <v>23</v>
      </c>
      <c r="AO260" s="308">
        <v>20149.0</v>
      </c>
      <c r="AP260" s="308" t="s">
        <v>2954</v>
      </c>
      <c r="AQ260" s="308" t="s">
        <v>2955</v>
      </c>
      <c r="AR260" s="308">
        <v>3.473329864E9</v>
      </c>
      <c r="AS260" s="311"/>
      <c r="AT260" s="311"/>
      <c r="AU260" s="311"/>
      <c r="AV260" s="308" t="s">
        <v>2956</v>
      </c>
      <c r="AW260" s="308">
        <v>4.7889549033799E13</v>
      </c>
      <c r="AX260" s="310">
        <v>0.0</v>
      </c>
      <c r="AY260" s="308" t="s">
        <v>2974</v>
      </c>
      <c r="AZ260" s="308">
        <v>0.0</v>
      </c>
      <c r="BA260" s="311"/>
      <c r="BB260" s="311"/>
      <c r="BC260" s="311"/>
      <c r="BD260" s="308">
        <v>7.773468754247E12</v>
      </c>
      <c r="BE260" s="311"/>
      <c r="BF260" s="311"/>
      <c r="BG260" s="308" t="s">
        <v>2958</v>
      </c>
      <c r="BH260" s="308">
        <v>0.0</v>
      </c>
      <c r="BI260" s="308" t="s">
        <v>2959</v>
      </c>
      <c r="BJ260" s="308">
        <v>19.48</v>
      </c>
      <c r="BK260" s="311"/>
      <c r="BL260" s="311"/>
      <c r="BM260" s="311"/>
      <c r="BN260" s="311"/>
      <c r="BO260" s="311"/>
      <c r="BP260" s="311"/>
      <c r="BQ260" s="311"/>
      <c r="BR260" s="311"/>
      <c r="BS260" s="308"/>
      <c r="BT260" s="311"/>
      <c r="BU260" s="311"/>
      <c r="BV260" s="308" t="s">
        <v>23</v>
      </c>
      <c r="BW260" s="308" t="s">
        <v>23</v>
      </c>
      <c r="BX260" s="308" t="s">
        <v>2956</v>
      </c>
      <c r="BY260" s="311"/>
      <c r="BZ260" s="311"/>
      <c r="CA260" s="308" t="s">
        <v>2956</v>
      </c>
      <c r="CB260" s="312" t="str">
        <f t="shared" si="1"/>
        <v>28/05/2026</v>
      </c>
      <c r="CC260" s="313">
        <f t="shared" si="2"/>
        <v>2026</v>
      </c>
      <c r="CD260" s="314">
        <f t="shared" si="3"/>
        <v>5</v>
      </c>
      <c r="CE260" s="314">
        <f t="shared" si="4"/>
        <v>1</v>
      </c>
      <c r="CF260" s="314">
        <f t="shared" si="5"/>
        <v>1</v>
      </c>
      <c r="CG260" s="314">
        <f t="shared" si="6"/>
        <v>-5</v>
      </c>
      <c r="CH260" s="315">
        <f>VLOOKUP(CL260,'PRODUCT_COGS&amp;PRICE'!A:E,5,false)</f>
        <v>20</v>
      </c>
      <c r="CI260" s="315">
        <f t="shared" si="7"/>
        <v>-2.302</v>
      </c>
      <c r="CJ260" s="316">
        <f t="shared" si="8"/>
        <v>0</v>
      </c>
      <c r="CK260" s="316">
        <f t="shared" si="9"/>
        <v>12</v>
      </c>
      <c r="CL260" s="314" t="str">
        <f>VLOOKUP(R260,PRODUCT_MAP!A:B,2,FALSE)</f>
        <v>Lea_Bag_COCCO_PURPLE</v>
      </c>
      <c r="CM260" s="314" t="str">
        <f>VLOOKUP(R260,PRODUCT_MAP!A:E,3,FALSE)</f>
        <v>Lea Bag</v>
      </c>
    </row>
    <row r="261" ht="22.5" customHeight="1">
      <c r="A261" s="308" t="s">
        <v>5082</v>
      </c>
      <c r="B261" s="308" t="s">
        <v>5083</v>
      </c>
      <c r="C261" s="308" t="s">
        <v>2942</v>
      </c>
      <c r="D261" s="308" t="s">
        <v>5084</v>
      </c>
      <c r="E261" s="308" t="s">
        <v>3013</v>
      </c>
      <c r="F261" s="308"/>
      <c r="G261" s="308" t="s">
        <v>2965</v>
      </c>
      <c r="H261" s="308" t="s">
        <v>2947</v>
      </c>
      <c r="I261" s="308">
        <v>120.0</v>
      </c>
      <c r="J261" s="308">
        <v>0.0</v>
      </c>
      <c r="K261" s="308">
        <v>21.64</v>
      </c>
      <c r="L261" s="308">
        <v>120.0</v>
      </c>
      <c r="M261" s="308"/>
      <c r="N261" s="308">
        <v>0.0</v>
      </c>
      <c r="O261" s="308" t="s">
        <v>2948</v>
      </c>
      <c r="P261" s="308" t="s">
        <v>5085</v>
      </c>
      <c r="Q261" s="310">
        <v>1.0</v>
      </c>
      <c r="R261" s="308" t="s">
        <v>534</v>
      </c>
      <c r="S261" s="308">
        <v>120.0</v>
      </c>
      <c r="T261" s="311"/>
      <c r="U261" s="308" t="s">
        <v>293</v>
      </c>
      <c r="V261" s="308" t="b">
        <v>1</v>
      </c>
      <c r="W261" s="308" t="b">
        <v>1</v>
      </c>
      <c r="X261" s="308"/>
      <c r="Y261" s="308" t="s">
        <v>5086</v>
      </c>
      <c r="Z261" s="308" t="s">
        <v>5087</v>
      </c>
      <c r="AA261" s="308" t="s">
        <v>5087</v>
      </c>
      <c r="AB261" s="308"/>
      <c r="AC261" s="308"/>
      <c r="AD261" s="308" t="s">
        <v>3292</v>
      </c>
      <c r="AE261" s="308">
        <v>12084.0</v>
      </c>
      <c r="AF261" s="308" t="s">
        <v>3293</v>
      </c>
      <c r="AG261" s="308" t="s">
        <v>2955</v>
      </c>
      <c r="AH261" s="308"/>
      <c r="AI261" s="308" t="s">
        <v>5086</v>
      </c>
      <c r="AJ261" s="308" t="s">
        <v>5087</v>
      </c>
      <c r="AK261" s="308" t="s">
        <v>5087</v>
      </c>
      <c r="AL261" s="308"/>
      <c r="AM261" s="308"/>
      <c r="AN261" s="308" t="s">
        <v>5088</v>
      </c>
      <c r="AO261" s="308">
        <v>12084.0</v>
      </c>
      <c r="AP261" s="308" t="s">
        <v>3293</v>
      </c>
      <c r="AQ261" s="308" t="s">
        <v>2955</v>
      </c>
      <c r="AR261" s="308">
        <v>3.395471224E9</v>
      </c>
      <c r="AS261" s="311"/>
      <c r="AT261" s="311"/>
      <c r="AU261" s="311"/>
      <c r="AV261" s="308" t="s">
        <v>2956</v>
      </c>
      <c r="AW261" s="308">
        <v>4.7890389958983E13</v>
      </c>
      <c r="AX261" s="310">
        <v>0.0</v>
      </c>
      <c r="AY261" s="308" t="s">
        <v>2974</v>
      </c>
      <c r="AZ261" s="308">
        <v>0.0</v>
      </c>
      <c r="BA261" s="311"/>
      <c r="BB261" s="311"/>
      <c r="BC261" s="311"/>
      <c r="BD261" s="308">
        <v>7.776305938759E12</v>
      </c>
      <c r="BE261" s="311"/>
      <c r="BF261" s="311"/>
      <c r="BG261" s="308" t="s">
        <v>2958</v>
      </c>
      <c r="BH261" s="308">
        <v>0.0</v>
      </c>
      <c r="BI261" s="308" t="s">
        <v>2959</v>
      </c>
      <c r="BJ261" s="308">
        <v>21.64</v>
      </c>
      <c r="BK261" s="311"/>
      <c r="BL261" s="311"/>
      <c r="BM261" s="311"/>
      <c r="BN261" s="311"/>
      <c r="BO261" s="311"/>
      <c r="BP261" s="311"/>
      <c r="BQ261" s="311"/>
      <c r="BR261" s="311"/>
      <c r="BS261" s="308"/>
      <c r="BT261" s="311"/>
      <c r="BU261" s="311"/>
      <c r="BV261" s="308" t="s">
        <v>3294</v>
      </c>
      <c r="BW261" s="308" t="s">
        <v>3294</v>
      </c>
      <c r="BX261" s="308" t="s">
        <v>2956</v>
      </c>
      <c r="BY261" s="311"/>
      <c r="BZ261" s="311"/>
      <c r="CA261" s="308" t="s">
        <v>2956</v>
      </c>
      <c r="CB261" s="312" t="str">
        <f t="shared" si="1"/>
        <v>28/05/2026</v>
      </c>
      <c r="CC261" s="313">
        <f t="shared" si="2"/>
        <v>2026</v>
      </c>
      <c r="CD261" s="314">
        <f t="shared" si="3"/>
        <v>5</v>
      </c>
      <c r="CE261" s="314">
        <f t="shared" si="4"/>
        <v>1</v>
      </c>
      <c r="CF261" s="314">
        <f t="shared" si="5"/>
        <v>1</v>
      </c>
      <c r="CG261" s="314">
        <f t="shared" si="6"/>
        <v>-5</v>
      </c>
      <c r="CH261" s="315">
        <f>VLOOKUP(CL261,'PRODUCT_COGS&amp;PRICE'!A:E,5,false)</f>
        <v>20</v>
      </c>
      <c r="CI261" s="315">
        <f t="shared" si="7"/>
        <v>-2.53</v>
      </c>
      <c r="CJ261" s="316">
        <f t="shared" si="8"/>
        <v>0</v>
      </c>
      <c r="CK261" s="316">
        <f t="shared" si="9"/>
        <v>0</v>
      </c>
      <c r="CL261" s="314" t="str">
        <f>VLOOKUP(R261,PRODUCT_MAP!A:B,2,FALSE)</f>
        <v>Lea_Bag_COCCO_PURPLE</v>
      </c>
      <c r="CM261" s="314" t="str">
        <f>VLOOKUP(R261,PRODUCT_MAP!A:E,3,FALSE)</f>
        <v>Lea Bag</v>
      </c>
    </row>
    <row r="262" ht="22.5" customHeight="1">
      <c r="A262" s="308" t="s">
        <v>5089</v>
      </c>
      <c r="B262" s="308" t="s">
        <v>5090</v>
      </c>
      <c r="C262" s="308" t="s">
        <v>2942</v>
      </c>
      <c r="D262" s="308" t="s">
        <v>5091</v>
      </c>
      <c r="E262" s="308" t="s">
        <v>3013</v>
      </c>
      <c r="F262" s="308"/>
      <c r="G262" s="308" t="s">
        <v>2965</v>
      </c>
      <c r="H262" s="308" t="s">
        <v>2947</v>
      </c>
      <c r="I262" s="308">
        <v>80.0</v>
      </c>
      <c r="J262" s="308">
        <v>3.9</v>
      </c>
      <c r="K262" s="308">
        <v>15.13</v>
      </c>
      <c r="L262" s="308">
        <v>83.9</v>
      </c>
      <c r="M262" s="308"/>
      <c r="N262" s="308">
        <v>0.0</v>
      </c>
      <c r="O262" s="308" t="s">
        <v>2948</v>
      </c>
      <c r="P262" s="308" t="s">
        <v>5092</v>
      </c>
      <c r="Q262" s="310">
        <v>1.0</v>
      </c>
      <c r="R262" s="308" t="s">
        <v>4015</v>
      </c>
      <c r="S262" s="308">
        <v>80.0</v>
      </c>
      <c r="T262" s="311"/>
      <c r="U262" s="308" t="s">
        <v>5093</v>
      </c>
      <c r="V262" s="308" t="b">
        <v>1</v>
      </c>
      <c r="W262" s="308" t="b">
        <v>1</v>
      </c>
      <c r="X262" s="308"/>
      <c r="Y262" s="308" t="s">
        <v>5094</v>
      </c>
      <c r="Z262" s="308" t="s">
        <v>5095</v>
      </c>
      <c r="AA262" s="308" t="s">
        <v>5095</v>
      </c>
      <c r="AB262" s="308"/>
      <c r="AC262" s="308"/>
      <c r="AD262" s="308" t="s">
        <v>4410</v>
      </c>
      <c r="AE262" s="308">
        <v>20125.0</v>
      </c>
      <c r="AF262" s="308" t="s">
        <v>2954</v>
      </c>
      <c r="AG262" s="308" t="s">
        <v>2955</v>
      </c>
      <c r="AH262" s="308"/>
      <c r="AI262" s="308" t="s">
        <v>5094</v>
      </c>
      <c r="AJ262" s="308" t="s">
        <v>5096</v>
      </c>
      <c r="AK262" s="308" t="s">
        <v>5096</v>
      </c>
      <c r="AL262" s="308"/>
      <c r="AM262" s="308"/>
      <c r="AN262" s="308" t="s">
        <v>23</v>
      </c>
      <c r="AO262" s="308">
        <v>20127.0</v>
      </c>
      <c r="AP262" s="308" t="s">
        <v>2954</v>
      </c>
      <c r="AQ262" s="308" t="s">
        <v>2955</v>
      </c>
      <c r="AR262" s="308">
        <v>3.387063253E9</v>
      </c>
      <c r="AS262" s="311"/>
      <c r="AT262" s="311"/>
      <c r="AU262" s="311"/>
      <c r="AV262" s="308" t="s">
        <v>2956</v>
      </c>
      <c r="AW262" s="308">
        <v>4.7891197559111E13</v>
      </c>
      <c r="AX262" s="310">
        <v>0.0</v>
      </c>
      <c r="AY262" s="308" t="s">
        <v>2974</v>
      </c>
      <c r="AZ262" s="308">
        <v>0.0</v>
      </c>
      <c r="BA262" s="311"/>
      <c r="BB262" s="311"/>
      <c r="BC262" s="311"/>
      <c r="BD262" s="308">
        <v>7.777270792519E12</v>
      </c>
      <c r="BE262" s="311"/>
      <c r="BF262" s="311"/>
      <c r="BG262" s="308" t="s">
        <v>2958</v>
      </c>
      <c r="BH262" s="308">
        <v>0.0</v>
      </c>
      <c r="BI262" s="308" t="s">
        <v>2959</v>
      </c>
      <c r="BJ262" s="308">
        <v>14.43</v>
      </c>
      <c r="BK262" s="311"/>
      <c r="BL262" s="311"/>
      <c r="BM262" s="311"/>
      <c r="BN262" s="311"/>
      <c r="BO262" s="311"/>
      <c r="BP262" s="311"/>
      <c r="BQ262" s="311"/>
      <c r="BR262" s="311"/>
      <c r="BS262" s="308"/>
      <c r="BT262" s="311"/>
      <c r="BU262" s="311"/>
      <c r="BV262" s="308" t="s">
        <v>23</v>
      </c>
      <c r="BW262" s="308" t="s">
        <v>23</v>
      </c>
      <c r="BX262" s="308" t="s">
        <v>2956</v>
      </c>
      <c r="BY262" s="311"/>
      <c r="BZ262" s="311"/>
      <c r="CA262" s="308" t="s">
        <v>2956</v>
      </c>
      <c r="CB262" s="312" t="str">
        <f t="shared" si="1"/>
        <v>28/05/2026</v>
      </c>
      <c r="CC262" s="313">
        <f t="shared" si="2"/>
        <v>2026</v>
      </c>
      <c r="CD262" s="314">
        <f t="shared" si="3"/>
        <v>5</v>
      </c>
      <c r="CE262" s="314">
        <f t="shared" si="4"/>
        <v>1</v>
      </c>
      <c r="CF262" s="314">
        <f t="shared" si="5"/>
        <v>1</v>
      </c>
      <c r="CG262" s="314">
        <f t="shared" si="6"/>
        <v>0</v>
      </c>
      <c r="CH262" s="315">
        <f>VLOOKUP(CL262,'PRODUCT_COGS&amp;PRICE'!A:E,5,false)</f>
        <v>19</v>
      </c>
      <c r="CI262" s="315">
        <f t="shared" si="7"/>
        <v>-1.8441</v>
      </c>
      <c r="CJ262" s="316">
        <f t="shared" si="8"/>
        <v>0</v>
      </c>
      <c r="CK262" s="316">
        <f t="shared" si="9"/>
        <v>0</v>
      </c>
      <c r="CL262" s="314" t="str">
        <f>VLOOKUP(R262,PRODUCT_MAP!A:B,2,FALSE)</f>
        <v>Agata_Bag_ROSE_PINK</v>
      </c>
      <c r="CM262" s="314" t="str">
        <f>VLOOKUP(R262,PRODUCT_MAP!A:E,3,FALSE)</f>
        <v>Agata Bag</v>
      </c>
    </row>
    <row r="263" ht="22.5" customHeight="1">
      <c r="A263" s="308" t="s">
        <v>5097</v>
      </c>
      <c r="B263" s="308" t="s">
        <v>5098</v>
      </c>
      <c r="C263" s="308" t="s">
        <v>2942</v>
      </c>
      <c r="D263" s="308" t="s">
        <v>5099</v>
      </c>
      <c r="E263" s="308" t="s">
        <v>3013</v>
      </c>
      <c r="F263" s="308"/>
      <c r="G263" s="308" t="s">
        <v>2965</v>
      </c>
      <c r="H263" s="308" t="s">
        <v>2947</v>
      </c>
      <c r="I263" s="308">
        <v>200.0</v>
      </c>
      <c r="J263" s="308">
        <v>0.0</v>
      </c>
      <c r="K263" s="308">
        <v>36.06</v>
      </c>
      <c r="L263" s="308">
        <v>200.0</v>
      </c>
      <c r="M263" s="308"/>
      <c r="N263" s="308">
        <v>0.0</v>
      </c>
      <c r="O263" s="308" t="s">
        <v>2979</v>
      </c>
      <c r="P263" s="308" t="s">
        <v>5100</v>
      </c>
      <c r="Q263" s="310">
        <v>1.0</v>
      </c>
      <c r="R263" s="308" t="s">
        <v>4266</v>
      </c>
      <c r="S263" s="308">
        <v>100.0</v>
      </c>
      <c r="T263" s="311"/>
      <c r="U263" s="308" t="s">
        <v>4267</v>
      </c>
      <c r="V263" s="308" t="b">
        <v>1</v>
      </c>
      <c r="W263" s="308" t="b">
        <v>1</v>
      </c>
      <c r="X263" s="308"/>
      <c r="Y263" s="308" t="s">
        <v>5101</v>
      </c>
      <c r="Z263" s="308" t="s">
        <v>5102</v>
      </c>
      <c r="AA263" s="308" t="s">
        <v>5102</v>
      </c>
      <c r="AB263" s="308"/>
      <c r="AC263" s="308"/>
      <c r="AD263" s="308" t="s">
        <v>3081</v>
      </c>
      <c r="AE263" s="308">
        <v>154.0</v>
      </c>
      <c r="AF263" s="308" t="s">
        <v>3082</v>
      </c>
      <c r="AG263" s="308" t="s">
        <v>2955</v>
      </c>
      <c r="AH263" s="308"/>
      <c r="AI263" s="308"/>
      <c r="AJ263" s="308"/>
      <c r="AK263" s="308"/>
      <c r="AL263" s="308"/>
      <c r="AM263" s="308"/>
      <c r="AN263" s="308"/>
      <c r="AO263" s="308"/>
      <c r="AP263" s="308"/>
      <c r="AQ263" s="308"/>
      <c r="AR263" s="308"/>
      <c r="AS263" s="311"/>
      <c r="AT263" s="311"/>
      <c r="AU263" s="311"/>
      <c r="AV263" s="308" t="s">
        <v>2956</v>
      </c>
      <c r="AW263" s="308">
        <v>4.7891263226183E13</v>
      </c>
      <c r="AX263" s="310">
        <v>0.0</v>
      </c>
      <c r="AY263" s="308" t="s">
        <v>2974</v>
      </c>
      <c r="AZ263" s="308">
        <v>0.0</v>
      </c>
      <c r="BA263" s="311"/>
      <c r="BB263" s="311"/>
      <c r="BC263" s="311"/>
      <c r="BD263" s="308">
        <v>7.777311490375E12</v>
      </c>
      <c r="BE263" s="311"/>
      <c r="BF263" s="311"/>
      <c r="BG263" s="308" t="s">
        <v>2958</v>
      </c>
      <c r="BH263" s="308">
        <v>0.0</v>
      </c>
      <c r="BI263" s="308" t="s">
        <v>2959</v>
      </c>
      <c r="BJ263" s="308">
        <v>18.03</v>
      </c>
      <c r="BK263" s="311"/>
      <c r="BL263" s="311"/>
      <c r="BM263" s="311"/>
      <c r="BN263" s="311"/>
      <c r="BO263" s="311"/>
      <c r="BP263" s="311"/>
      <c r="BQ263" s="311"/>
      <c r="BR263" s="311"/>
      <c r="BS263" s="308"/>
      <c r="BT263" s="311"/>
      <c r="BU263" s="311"/>
      <c r="BV263" s="308" t="s">
        <v>3081</v>
      </c>
      <c r="BW263" s="308"/>
      <c r="BX263" s="308" t="s">
        <v>2956</v>
      </c>
      <c r="BY263" s="311"/>
      <c r="BZ263" s="311"/>
      <c r="CA263" s="308" t="s">
        <v>2956</v>
      </c>
      <c r="CB263" s="312" t="str">
        <f t="shared" si="1"/>
        <v>28/05/2026</v>
      </c>
      <c r="CC263" s="313">
        <f t="shared" si="2"/>
        <v>2026</v>
      </c>
      <c r="CD263" s="314">
        <f t="shared" si="3"/>
        <v>5</v>
      </c>
      <c r="CE263" s="314">
        <f t="shared" si="4"/>
        <v>1</v>
      </c>
      <c r="CF263" s="314">
        <f t="shared" si="5"/>
        <v>1</v>
      </c>
      <c r="CG263" s="314">
        <f t="shared" si="6"/>
        <v>-5</v>
      </c>
      <c r="CH263" s="315">
        <f>VLOOKUP(CL263,'PRODUCT_COGS&amp;PRICE'!A:E,5,false)</f>
        <v>16.5</v>
      </c>
      <c r="CI263" s="315">
        <f t="shared" si="7"/>
        <v>-7.85</v>
      </c>
      <c r="CJ263" s="316">
        <f t="shared" si="8"/>
        <v>0</v>
      </c>
      <c r="CK263" s="316">
        <f t="shared" si="9"/>
        <v>0</v>
      </c>
      <c r="CL263" s="314" t="str">
        <f>VLOOKUP(R263,PRODUCT_MAP!A:B,2,FALSE)</f>
        <v>Annie_Bag_PAILLETTES_NUDE</v>
      </c>
      <c r="CM263" s="314" t="str">
        <f>VLOOKUP(R263,PRODUCT_MAP!A:E,3,FALSE)</f>
        <v>Annie Bag paillettes</v>
      </c>
    </row>
    <row r="264" ht="22.5" customHeight="1">
      <c r="A264" s="308" t="s">
        <v>5097</v>
      </c>
      <c r="B264" s="308" t="s">
        <v>5098</v>
      </c>
      <c r="C264" s="308" t="s">
        <v>2942</v>
      </c>
      <c r="D264" s="308" t="s">
        <v>5099</v>
      </c>
      <c r="E264" s="308" t="s">
        <v>3013</v>
      </c>
      <c r="F264" s="308"/>
      <c r="G264" s="308" t="s">
        <v>2965</v>
      </c>
      <c r="H264" s="308" t="s">
        <v>2947</v>
      </c>
      <c r="I264" s="308">
        <v>200.0</v>
      </c>
      <c r="J264" s="308">
        <v>0.0</v>
      </c>
      <c r="K264" s="308">
        <v>36.06</v>
      </c>
      <c r="L264" s="308">
        <v>200.0</v>
      </c>
      <c r="M264" s="308"/>
      <c r="N264" s="308">
        <v>0.0</v>
      </c>
      <c r="O264" s="308" t="s">
        <v>2979</v>
      </c>
      <c r="P264" s="308" t="s">
        <v>5100</v>
      </c>
      <c r="Q264" s="310">
        <v>1.0</v>
      </c>
      <c r="R264" s="308" t="s">
        <v>4197</v>
      </c>
      <c r="S264" s="308">
        <v>100.0</v>
      </c>
      <c r="T264" s="311"/>
      <c r="U264" s="308" t="s">
        <v>4198</v>
      </c>
      <c r="V264" s="308" t="b">
        <v>1</v>
      </c>
      <c r="W264" s="308" t="b">
        <v>1</v>
      </c>
      <c r="X264" s="308"/>
      <c r="Y264" s="308" t="s">
        <v>5101</v>
      </c>
      <c r="Z264" s="308" t="s">
        <v>5102</v>
      </c>
      <c r="AA264" s="308" t="s">
        <v>5102</v>
      </c>
      <c r="AB264" s="308"/>
      <c r="AC264" s="308"/>
      <c r="AD264" s="308" t="s">
        <v>3081</v>
      </c>
      <c r="AE264" s="308">
        <v>154.0</v>
      </c>
      <c r="AF264" s="308" t="s">
        <v>3082</v>
      </c>
      <c r="AG264" s="308" t="s">
        <v>2955</v>
      </c>
      <c r="AH264" s="308"/>
      <c r="AI264" s="308"/>
      <c r="AJ264" s="308"/>
      <c r="AK264" s="308"/>
      <c r="AL264" s="308"/>
      <c r="AM264" s="308"/>
      <c r="AN264" s="308"/>
      <c r="AO264" s="308"/>
      <c r="AP264" s="308"/>
      <c r="AQ264" s="308"/>
      <c r="AR264" s="308"/>
      <c r="AS264" s="311"/>
      <c r="AT264" s="311"/>
      <c r="AU264" s="311"/>
      <c r="AV264" s="308" t="s">
        <v>2956</v>
      </c>
      <c r="AW264" s="308">
        <v>4.7891263226183E13</v>
      </c>
      <c r="AX264" s="310">
        <v>0.0</v>
      </c>
      <c r="AY264" s="308" t="s">
        <v>2974</v>
      </c>
      <c r="AZ264" s="308">
        <v>0.0</v>
      </c>
      <c r="BA264" s="311"/>
      <c r="BB264" s="311"/>
      <c r="BC264" s="311"/>
      <c r="BD264" s="308">
        <v>7.777311490375E12</v>
      </c>
      <c r="BE264" s="311"/>
      <c r="BF264" s="311"/>
      <c r="BG264" s="308" t="s">
        <v>2958</v>
      </c>
      <c r="BH264" s="308">
        <v>0.0</v>
      </c>
      <c r="BI264" s="308" t="s">
        <v>2959</v>
      </c>
      <c r="BJ264" s="308">
        <v>18.03</v>
      </c>
      <c r="BK264" s="311"/>
      <c r="BL264" s="311"/>
      <c r="BM264" s="311"/>
      <c r="BN264" s="311"/>
      <c r="BO264" s="311"/>
      <c r="BP264" s="311"/>
      <c r="BQ264" s="311"/>
      <c r="BR264" s="311"/>
      <c r="BS264" s="308"/>
      <c r="BT264" s="311"/>
      <c r="BU264" s="311"/>
      <c r="BV264" s="308" t="s">
        <v>3081</v>
      </c>
      <c r="BW264" s="308"/>
      <c r="BX264" s="308" t="s">
        <v>2956</v>
      </c>
      <c r="BY264" s="311"/>
      <c r="BZ264" s="311"/>
      <c r="CA264" s="308" t="s">
        <v>2956</v>
      </c>
      <c r="CB264" s="312" t="str">
        <f t="shared" si="1"/>
        <v>28/05/2026</v>
      </c>
      <c r="CC264" s="313">
        <f t="shared" si="2"/>
        <v>2026</v>
      </c>
      <c r="CD264" s="314">
        <f t="shared" si="3"/>
        <v>5</v>
      </c>
      <c r="CE264" s="314">
        <f t="shared" si="4"/>
        <v>0</v>
      </c>
      <c r="CF264" s="314">
        <f t="shared" si="5"/>
        <v>1</v>
      </c>
      <c r="CG264" s="314">
        <f t="shared" si="6"/>
        <v>-5</v>
      </c>
      <c r="CH264" s="315">
        <f>VLOOKUP(CL264,'PRODUCT_COGS&amp;PRICE'!A:E,5,false)</f>
        <v>16.5</v>
      </c>
      <c r="CI264" s="315">
        <f t="shared" si="7"/>
        <v>0</v>
      </c>
      <c r="CJ264" s="316">
        <f t="shared" si="8"/>
        <v>0</v>
      </c>
      <c r="CK264" s="316">
        <f t="shared" si="9"/>
        <v>0</v>
      </c>
      <c r="CL264" s="314" t="str">
        <f>VLOOKUP(R264,PRODUCT_MAP!A:B,2,FALSE)</f>
        <v>Annie_Bag_PAILLETTES_LIGHT_GREEN</v>
      </c>
      <c r="CM264" s="314" t="str">
        <f>VLOOKUP(R264,PRODUCT_MAP!A:E,3,FALSE)</f>
        <v>Annie Bag paillettes</v>
      </c>
    </row>
    <row r="265" ht="22.5" customHeight="1">
      <c r="A265" s="308" t="s">
        <v>5103</v>
      </c>
      <c r="B265" s="308" t="s">
        <v>5104</v>
      </c>
      <c r="C265" s="308" t="s">
        <v>2942</v>
      </c>
      <c r="D265" s="308" t="s">
        <v>5105</v>
      </c>
      <c r="E265" s="308" t="s">
        <v>3013</v>
      </c>
      <c r="F265" s="308"/>
      <c r="G265" s="308" t="s">
        <v>2946</v>
      </c>
      <c r="H265" s="308" t="s">
        <v>2947</v>
      </c>
      <c r="I265" s="308">
        <v>108.0</v>
      </c>
      <c r="J265" s="308">
        <v>0.0</v>
      </c>
      <c r="K265" s="308">
        <v>19.48</v>
      </c>
      <c r="L265" s="308">
        <v>108.0</v>
      </c>
      <c r="M265" s="308" t="s">
        <v>3094</v>
      </c>
      <c r="N265" s="308">
        <v>12.0</v>
      </c>
      <c r="O265" s="308" t="s">
        <v>2948</v>
      </c>
      <c r="P265" s="308" t="s">
        <v>5105</v>
      </c>
      <c r="Q265" s="310">
        <v>1.0</v>
      </c>
      <c r="R265" s="308" t="s">
        <v>534</v>
      </c>
      <c r="S265" s="308">
        <v>120.0</v>
      </c>
      <c r="T265" s="311"/>
      <c r="U265" s="308" t="s">
        <v>293</v>
      </c>
      <c r="V265" s="308" t="b">
        <v>1</v>
      </c>
      <c r="W265" s="308" t="b">
        <v>1</v>
      </c>
      <c r="X265" s="308"/>
      <c r="Y265" s="308" t="s">
        <v>5106</v>
      </c>
      <c r="Z265" s="308" t="s">
        <v>5107</v>
      </c>
      <c r="AA265" s="308" t="s">
        <v>5107</v>
      </c>
      <c r="AB265" s="308"/>
      <c r="AC265" s="308"/>
      <c r="AD265" s="308" t="s">
        <v>23</v>
      </c>
      <c r="AE265" s="308">
        <v>20124.0</v>
      </c>
      <c r="AF265" s="308" t="s">
        <v>2954</v>
      </c>
      <c r="AG265" s="308" t="s">
        <v>2955</v>
      </c>
      <c r="AH265" s="308">
        <v>3.405268639E9</v>
      </c>
      <c r="AI265" s="308" t="s">
        <v>5106</v>
      </c>
      <c r="AJ265" s="308" t="s">
        <v>5107</v>
      </c>
      <c r="AK265" s="308" t="s">
        <v>5107</v>
      </c>
      <c r="AL265" s="308"/>
      <c r="AM265" s="308"/>
      <c r="AN265" s="308" t="s">
        <v>23</v>
      </c>
      <c r="AO265" s="308">
        <v>20124.0</v>
      </c>
      <c r="AP265" s="308" t="s">
        <v>2954</v>
      </c>
      <c r="AQ265" s="308" t="s">
        <v>2955</v>
      </c>
      <c r="AR265" s="308">
        <v>3.405268639E9</v>
      </c>
      <c r="AS265" s="311"/>
      <c r="AT265" s="311"/>
      <c r="AU265" s="311"/>
      <c r="AV265" s="308" t="s">
        <v>3009</v>
      </c>
      <c r="AW265" s="308">
        <v>4.7893158068551E13</v>
      </c>
      <c r="AX265" s="310">
        <v>0.0</v>
      </c>
      <c r="AY265" s="308" t="s">
        <v>2974</v>
      </c>
      <c r="AZ265" s="308">
        <v>0.0</v>
      </c>
      <c r="BA265" s="311"/>
      <c r="BB265" s="311"/>
      <c r="BC265" s="311"/>
      <c r="BD265" s="308">
        <v>7.778431795527E12</v>
      </c>
      <c r="BE265" s="311"/>
      <c r="BF265" s="311"/>
      <c r="BG265" s="308" t="s">
        <v>2958</v>
      </c>
      <c r="BH265" s="308">
        <v>0.0</v>
      </c>
      <c r="BI265" s="308" t="s">
        <v>2959</v>
      </c>
      <c r="BJ265" s="308">
        <v>19.48</v>
      </c>
      <c r="BK265" s="311"/>
      <c r="BL265" s="311"/>
      <c r="BM265" s="311"/>
      <c r="BN265" s="311"/>
      <c r="BO265" s="311"/>
      <c r="BP265" s="311"/>
      <c r="BQ265" s="311"/>
      <c r="BR265" s="311"/>
      <c r="BS265" s="308"/>
      <c r="BT265" s="311"/>
      <c r="BU265" s="311"/>
      <c r="BV265" s="308" t="s">
        <v>23</v>
      </c>
      <c r="BW265" s="308" t="s">
        <v>23</v>
      </c>
      <c r="BX265" s="308" t="s">
        <v>3009</v>
      </c>
      <c r="BY265" s="311"/>
      <c r="BZ265" s="311"/>
      <c r="CA265" s="308" t="s">
        <v>3009</v>
      </c>
      <c r="CB265" s="312" t="str">
        <f t="shared" si="1"/>
        <v>28/05/2026</v>
      </c>
      <c r="CC265" s="313">
        <f t="shared" si="2"/>
        <v>2026</v>
      </c>
      <c r="CD265" s="314">
        <f t="shared" si="3"/>
        <v>5</v>
      </c>
      <c r="CE265" s="314">
        <f t="shared" si="4"/>
        <v>1</v>
      </c>
      <c r="CF265" s="314">
        <f t="shared" si="5"/>
        <v>1</v>
      </c>
      <c r="CG265" s="314">
        <f t="shared" si="6"/>
        <v>-5</v>
      </c>
      <c r="CH265" s="315">
        <f>VLOOKUP(CL265,'PRODUCT_COGS&amp;PRICE'!A:E,5,false)</f>
        <v>20</v>
      </c>
      <c r="CI265" s="315">
        <f t="shared" si="7"/>
        <v>-4.1192</v>
      </c>
      <c r="CJ265" s="316">
        <f t="shared" si="8"/>
        <v>0</v>
      </c>
      <c r="CK265" s="316">
        <f t="shared" si="9"/>
        <v>12</v>
      </c>
      <c r="CL265" s="314" t="str">
        <f>VLOOKUP(R265,PRODUCT_MAP!A:B,2,FALSE)</f>
        <v>Lea_Bag_COCCO_PURPLE</v>
      </c>
      <c r="CM265" s="314" t="str">
        <f>VLOOKUP(R265,PRODUCT_MAP!A:E,3,FALSE)</f>
        <v>Lea Bag</v>
      </c>
    </row>
    <row r="266" ht="22.5" customHeight="1">
      <c r="A266" s="308" t="s">
        <v>5108</v>
      </c>
      <c r="B266" s="308" t="s">
        <v>5109</v>
      </c>
      <c r="C266" s="308" t="s">
        <v>2942</v>
      </c>
      <c r="D266" s="308" t="s">
        <v>5110</v>
      </c>
      <c r="E266" s="308" t="s">
        <v>3013</v>
      </c>
      <c r="F266" s="308"/>
      <c r="G266" s="308" t="s">
        <v>2946</v>
      </c>
      <c r="H266" s="308" t="s">
        <v>2947</v>
      </c>
      <c r="I266" s="308">
        <v>120.0</v>
      </c>
      <c r="J266" s="308">
        <v>0.0</v>
      </c>
      <c r="K266" s="308">
        <v>21.64</v>
      </c>
      <c r="L266" s="308">
        <v>120.0</v>
      </c>
      <c r="M266" s="308"/>
      <c r="N266" s="308">
        <v>0.0</v>
      </c>
      <c r="O266" s="308" t="s">
        <v>2948</v>
      </c>
      <c r="P266" s="308" t="s">
        <v>5111</v>
      </c>
      <c r="Q266" s="310">
        <v>1.0</v>
      </c>
      <c r="R266" s="308" t="s">
        <v>909</v>
      </c>
      <c r="S266" s="308">
        <v>120.0</v>
      </c>
      <c r="T266" s="311"/>
      <c r="U266" s="308" t="s">
        <v>289</v>
      </c>
      <c r="V266" s="308" t="b">
        <v>1</v>
      </c>
      <c r="W266" s="308" t="b">
        <v>1</v>
      </c>
      <c r="X266" s="308"/>
      <c r="Y266" s="308" t="s">
        <v>5112</v>
      </c>
      <c r="Z266" s="308" t="s">
        <v>5113</v>
      </c>
      <c r="AA266" s="308" t="s">
        <v>5114</v>
      </c>
      <c r="AB266" s="308" t="s">
        <v>5115</v>
      </c>
      <c r="AC266" s="308"/>
      <c r="AD266" s="308" t="s">
        <v>5116</v>
      </c>
      <c r="AE266" s="308">
        <v>95037.0</v>
      </c>
      <c r="AF266" s="308" t="s">
        <v>5001</v>
      </c>
      <c r="AG266" s="308" t="s">
        <v>2955</v>
      </c>
      <c r="AH266" s="308">
        <v>3.926151095E9</v>
      </c>
      <c r="AI266" s="308" t="s">
        <v>5112</v>
      </c>
      <c r="AJ266" s="308" t="s">
        <v>5113</v>
      </c>
      <c r="AK266" s="308" t="s">
        <v>5114</v>
      </c>
      <c r="AL266" s="308" t="s">
        <v>5115</v>
      </c>
      <c r="AM266" s="308"/>
      <c r="AN266" s="308" t="s">
        <v>5116</v>
      </c>
      <c r="AO266" s="308">
        <v>95037.0</v>
      </c>
      <c r="AP266" s="308" t="s">
        <v>5001</v>
      </c>
      <c r="AQ266" s="308" t="s">
        <v>2955</v>
      </c>
      <c r="AR266" s="308">
        <v>3.926151095E9</v>
      </c>
      <c r="AS266" s="311"/>
      <c r="AT266" s="311"/>
      <c r="AU266" s="311"/>
      <c r="AV266" s="308" t="s">
        <v>3009</v>
      </c>
      <c r="AW266" s="308">
        <v>4.7895427449159E13</v>
      </c>
      <c r="AX266" s="310">
        <v>0.0</v>
      </c>
      <c r="AY266" s="308" t="s">
        <v>2974</v>
      </c>
      <c r="AZ266" s="308">
        <v>0.0</v>
      </c>
      <c r="BA266" s="311"/>
      <c r="BB266" s="311"/>
      <c r="BC266" s="311"/>
      <c r="BD266" s="308">
        <v>7.779634905415E12</v>
      </c>
      <c r="BE266" s="311"/>
      <c r="BF266" s="311"/>
      <c r="BG266" s="308" t="s">
        <v>2958</v>
      </c>
      <c r="BH266" s="308">
        <v>0.0</v>
      </c>
      <c r="BI266" s="308" t="s">
        <v>2959</v>
      </c>
      <c r="BJ266" s="308">
        <v>21.64</v>
      </c>
      <c r="BK266" s="311"/>
      <c r="BL266" s="311"/>
      <c r="BM266" s="311"/>
      <c r="BN266" s="311"/>
      <c r="BO266" s="311"/>
      <c r="BP266" s="311"/>
      <c r="BQ266" s="311"/>
      <c r="BR266" s="311"/>
      <c r="BS266" s="308"/>
      <c r="BT266" s="311"/>
      <c r="BU266" s="311"/>
      <c r="BV266" s="308" t="s">
        <v>5002</v>
      </c>
      <c r="BW266" s="308" t="s">
        <v>5002</v>
      </c>
      <c r="BX266" s="308" t="s">
        <v>3009</v>
      </c>
      <c r="BY266" s="311"/>
      <c r="BZ266" s="311"/>
      <c r="CA266" s="308" t="s">
        <v>3009</v>
      </c>
      <c r="CB266" s="312" t="str">
        <f t="shared" si="1"/>
        <v>29/05/2026</v>
      </c>
      <c r="CC266" s="313">
        <f t="shared" si="2"/>
        <v>2026</v>
      </c>
      <c r="CD266" s="314">
        <f t="shared" si="3"/>
        <v>5</v>
      </c>
      <c r="CE266" s="314">
        <f t="shared" si="4"/>
        <v>1</v>
      </c>
      <c r="CF266" s="314">
        <f t="shared" si="5"/>
        <v>1</v>
      </c>
      <c r="CG266" s="314">
        <f t="shared" si="6"/>
        <v>-5</v>
      </c>
      <c r="CH266" s="315">
        <f>VLOOKUP(CL266,'PRODUCT_COGS&amp;PRICE'!A:E,5,false)</f>
        <v>20</v>
      </c>
      <c r="CI266" s="315">
        <f t="shared" si="7"/>
        <v>-4.538</v>
      </c>
      <c r="CJ266" s="316">
        <f t="shared" si="8"/>
        <v>0</v>
      </c>
      <c r="CK266" s="316">
        <f t="shared" si="9"/>
        <v>0</v>
      </c>
      <c r="CL266" s="314" t="str">
        <f>VLOOKUP(R266,PRODUCT_MAP!A:B,2,FALSE)</f>
        <v>Lea_Bag_COCCO_ORANGE</v>
      </c>
      <c r="CM266" s="314" t="str">
        <f>VLOOKUP(R266,PRODUCT_MAP!A:E,3,FALSE)</f>
        <v>Lea Bag</v>
      </c>
    </row>
    <row r="267" ht="22.5" customHeight="1">
      <c r="A267" s="308" t="s">
        <v>5117</v>
      </c>
      <c r="B267" s="308" t="s">
        <v>5118</v>
      </c>
      <c r="C267" s="308" t="s">
        <v>2942</v>
      </c>
      <c r="D267" s="308" t="s">
        <v>5119</v>
      </c>
      <c r="E267" s="308" t="s">
        <v>3013</v>
      </c>
      <c r="F267" s="308"/>
      <c r="G267" s="308" t="s">
        <v>2946</v>
      </c>
      <c r="H267" s="308" t="s">
        <v>2947</v>
      </c>
      <c r="I267" s="308">
        <v>108.0</v>
      </c>
      <c r="J267" s="308">
        <v>0.0</v>
      </c>
      <c r="K267" s="308">
        <v>19.48</v>
      </c>
      <c r="L267" s="308">
        <v>108.0</v>
      </c>
      <c r="M267" s="308" t="s">
        <v>3094</v>
      </c>
      <c r="N267" s="308">
        <v>12.0</v>
      </c>
      <c r="O267" s="308" t="s">
        <v>2948</v>
      </c>
      <c r="P267" s="308" t="s">
        <v>5120</v>
      </c>
      <c r="Q267" s="310">
        <v>1.0</v>
      </c>
      <c r="R267" s="308" t="s">
        <v>569</v>
      </c>
      <c r="S267" s="308">
        <v>120.0</v>
      </c>
      <c r="T267" s="311"/>
      <c r="U267" s="308" t="s">
        <v>3375</v>
      </c>
      <c r="V267" s="308" t="b">
        <v>1</v>
      </c>
      <c r="W267" s="308" t="b">
        <v>1</v>
      </c>
      <c r="X267" s="308"/>
      <c r="Y267" s="308" t="s">
        <v>5121</v>
      </c>
      <c r="Z267" s="308" t="s">
        <v>5122</v>
      </c>
      <c r="AA267" s="308" t="s">
        <v>5123</v>
      </c>
      <c r="AB267" s="308" t="s">
        <v>5124</v>
      </c>
      <c r="AC267" s="308"/>
      <c r="AD267" s="308" t="s">
        <v>5125</v>
      </c>
      <c r="AE267" s="308">
        <v>30015.0</v>
      </c>
      <c r="AF267" s="308" t="s">
        <v>3576</v>
      </c>
      <c r="AG267" s="308" t="s">
        <v>2955</v>
      </c>
      <c r="AH267" s="308">
        <v>3.277913999E9</v>
      </c>
      <c r="AI267" s="308" t="s">
        <v>5121</v>
      </c>
      <c r="AJ267" s="308" t="s">
        <v>5122</v>
      </c>
      <c r="AK267" s="308" t="s">
        <v>5123</v>
      </c>
      <c r="AL267" s="308" t="s">
        <v>5124</v>
      </c>
      <c r="AM267" s="308"/>
      <c r="AN267" s="308" t="s">
        <v>5125</v>
      </c>
      <c r="AO267" s="308">
        <v>30015.0</v>
      </c>
      <c r="AP267" s="308" t="s">
        <v>3576</v>
      </c>
      <c r="AQ267" s="308" t="s">
        <v>2955</v>
      </c>
      <c r="AR267" s="308">
        <v>3.277913999E9</v>
      </c>
      <c r="AS267" s="311"/>
      <c r="AT267" s="311"/>
      <c r="AU267" s="311"/>
      <c r="AV267" s="308" t="s">
        <v>2956</v>
      </c>
      <c r="AW267" s="308">
        <v>4.7883491705159E13</v>
      </c>
      <c r="AX267" s="310">
        <v>0.0</v>
      </c>
      <c r="AY267" s="308" t="s">
        <v>2974</v>
      </c>
      <c r="AZ267" s="308">
        <v>0.0</v>
      </c>
      <c r="BA267" s="311"/>
      <c r="BB267" s="311"/>
      <c r="BC267" s="311"/>
      <c r="BD267" s="308">
        <v>7.781800378695E12</v>
      </c>
      <c r="BE267" s="311"/>
      <c r="BF267" s="311"/>
      <c r="BG267" s="308" t="s">
        <v>2958</v>
      </c>
      <c r="BH267" s="308">
        <v>0.0</v>
      </c>
      <c r="BI267" s="308" t="s">
        <v>2959</v>
      </c>
      <c r="BJ267" s="308">
        <v>19.48</v>
      </c>
      <c r="BK267" s="311"/>
      <c r="BL267" s="311"/>
      <c r="BM267" s="311"/>
      <c r="BN267" s="311"/>
      <c r="BO267" s="311"/>
      <c r="BP267" s="311"/>
      <c r="BQ267" s="311"/>
      <c r="BR267" s="311"/>
      <c r="BS267" s="308"/>
      <c r="BT267" s="311"/>
      <c r="BU267" s="311"/>
      <c r="BV267" s="308" t="s">
        <v>3578</v>
      </c>
      <c r="BW267" s="308" t="s">
        <v>3578</v>
      </c>
      <c r="BX267" s="308" t="s">
        <v>2956</v>
      </c>
      <c r="BY267" s="311"/>
      <c r="BZ267" s="311"/>
      <c r="CA267" s="308" t="s">
        <v>2956</v>
      </c>
      <c r="CB267" s="312" t="str">
        <f t="shared" si="1"/>
        <v>30/05/2026</v>
      </c>
      <c r="CC267" s="313">
        <f t="shared" si="2"/>
        <v>2026</v>
      </c>
      <c r="CD267" s="314">
        <f t="shared" si="3"/>
        <v>5</v>
      </c>
      <c r="CE267" s="314">
        <f t="shared" si="4"/>
        <v>1</v>
      </c>
      <c r="CF267" s="314">
        <f t="shared" si="5"/>
        <v>1</v>
      </c>
      <c r="CG267" s="314">
        <f t="shared" si="6"/>
        <v>-5</v>
      </c>
      <c r="CH267" s="315">
        <f>VLOOKUP(CL267,'PRODUCT_COGS&amp;PRICE'!A:E,5,false)</f>
        <v>20</v>
      </c>
      <c r="CI267" s="315">
        <f t="shared" si="7"/>
        <v>-2.302</v>
      </c>
      <c r="CJ267" s="316">
        <f t="shared" si="8"/>
        <v>0</v>
      </c>
      <c r="CK267" s="316">
        <f t="shared" si="9"/>
        <v>12</v>
      </c>
      <c r="CL267" s="314" t="str">
        <f>VLOOKUP(R267,PRODUCT_MAP!A:B,2,FALSE)</f>
        <v>Lea_Bag_RED_PATENT</v>
      </c>
      <c r="CM267" s="314" t="str">
        <f>VLOOKUP(R267,PRODUCT_MAP!A:E,3,FALSE)</f>
        <v>Lea Bag</v>
      </c>
    </row>
    <row r="268" ht="22.5" customHeight="1">
      <c r="A268" s="308" t="s">
        <v>5126</v>
      </c>
      <c r="B268" s="308" t="s">
        <v>5127</v>
      </c>
      <c r="C268" s="308" t="s">
        <v>2942</v>
      </c>
      <c r="D268" s="308" t="s">
        <v>5128</v>
      </c>
      <c r="E268" s="308" t="s">
        <v>3013</v>
      </c>
      <c r="F268" s="308"/>
      <c r="G268" s="308" t="s">
        <v>2946</v>
      </c>
      <c r="H268" s="308" t="s">
        <v>2947</v>
      </c>
      <c r="I268" s="308">
        <v>90.0</v>
      </c>
      <c r="J268" s="308">
        <v>3.9</v>
      </c>
      <c r="K268" s="308">
        <v>16.93</v>
      </c>
      <c r="L268" s="308">
        <v>93.9</v>
      </c>
      <c r="M268" s="308" t="s">
        <v>3094</v>
      </c>
      <c r="N268" s="308">
        <v>10.0</v>
      </c>
      <c r="O268" s="308" t="s">
        <v>2948</v>
      </c>
      <c r="P268" s="308" t="s">
        <v>5129</v>
      </c>
      <c r="Q268" s="310">
        <v>1.0</v>
      </c>
      <c r="R268" s="308" t="s">
        <v>4197</v>
      </c>
      <c r="S268" s="308">
        <v>100.0</v>
      </c>
      <c r="T268" s="311"/>
      <c r="U268" s="308" t="s">
        <v>4198</v>
      </c>
      <c r="V268" s="308" t="b">
        <v>1</v>
      </c>
      <c r="W268" s="308" t="b">
        <v>1</v>
      </c>
      <c r="X268" s="308"/>
      <c r="Y268" s="308" t="s">
        <v>5130</v>
      </c>
      <c r="Z268" s="308" t="s">
        <v>5131</v>
      </c>
      <c r="AA268" s="308" t="s">
        <v>5131</v>
      </c>
      <c r="AB268" s="308"/>
      <c r="AC268" s="308"/>
      <c r="AD268" s="308" t="s">
        <v>23</v>
      </c>
      <c r="AE268" s="308">
        <v>20151.0</v>
      </c>
      <c r="AF268" s="308" t="s">
        <v>2954</v>
      </c>
      <c r="AG268" s="308" t="s">
        <v>2955</v>
      </c>
      <c r="AH268" s="308">
        <v>3.66415827E9</v>
      </c>
      <c r="AI268" s="308" t="s">
        <v>5130</v>
      </c>
      <c r="AJ268" s="308" t="s">
        <v>5131</v>
      </c>
      <c r="AK268" s="308" t="s">
        <v>5131</v>
      </c>
      <c r="AL268" s="308"/>
      <c r="AM268" s="308"/>
      <c r="AN268" s="308" t="s">
        <v>23</v>
      </c>
      <c r="AO268" s="308">
        <v>20151.0</v>
      </c>
      <c r="AP268" s="308" t="s">
        <v>2954</v>
      </c>
      <c r="AQ268" s="308" t="s">
        <v>2955</v>
      </c>
      <c r="AR268" s="308">
        <v>3.66415827E9</v>
      </c>
      <c r="AS268" s="311"/>
      <c r="AT268" s="311"/>
      <c r="AU268" s="311"/>
      <c r="AV268" s="308" t="s">
        <v>3009</v>
      </c>
      <c r="AW268" s="308">
        <v>4.7900451111239E13</v>
      </c>
      <c r="AX268" s="310">
        <v>0.0</v>
      </c>
      <c r="AY268" s="308" t="s">
        <v>2974</v>
      </c>
      <c r="AZ268" s="308">
        <v>0.0</v>
      </c>
      <c r="BA268" s="311"/>
      <c r="BB268" s="311"/>
      <c r="BC268" s="311"/>
      <c r="BD268" s="308">
        <v>7.782658605383E12</v>
      </c>
      <c r="BE268" s="311"/>
      <c r="BF268" s="311"/>
      <c r="BG268" s="308" t="s">
        <v>2958</v>
      </c>
      <c r="BH268" s="308">
        <v>0.0</v>
      </c>
      <c r="BI268" s="308" t="s">
        <v>2959</v>
      </c>
      <c r="BJ268" s="308">
        <v>16.23</v>
      </c>
      <c r="BK268" s="311"/>
      <c r="BL268" s="311"/>
      <c r="BM268" s="311"/>
      <c r="BN268" s="311"/>
      <c r="BO268" s="311"/>
      <c r="BP268" s="311"/>
      <c r="BQ268" s="311"/>
      <c r="BR268" s="311"/>
      <c r="BS268" s="308"/>
      <c r="BT268" s="311"/>
      <c r="BU268" s="311"/>
      <c r="BV268" s="308" t="s">
        <v>23</v>
      </c>
      <c r="BW268" s="308" t="s">
        <v>23</v>
      </c>
      <c r="BX268" s="308" t="s">
        <v>3009</v>
      </c>
      <c r="BY268" s="311"/>
      <c r="BZ268" s="311"/>
      <c r="CA268" s="308" t="s">
        <v>3009</v>
      </c>
      <c r="CB268" s="312" t="str">
        <f t="shared" si="1"/>
        <v>30/05/2026</v>
      </c>
      <c r="CC268" s="313">
        <f t="shared" si="2"/>
        <v>2026</v>
      </c>
      <c r="CD268" s="314">
        <f t="shared" si="3"/>
        <v>5</v>
      </c>
      <c r="CE268" s="314">
        <f t="shared" si="4"/>
        <v>1</v>
      </c>
      <c r="CF268" s="314">
        <f t="shared" si="5"/>
        <v>1</v>
      </c>
      <c r="CG268" s="314">
        <f t="shared" si="6"/>
        <v>0</v>
      </c>
      <c r="CH268" s="315">
        <f>VLOOKUP(CL268,'PRODUCT_COGS&amp;PRICE'!A:E,5,false)</f>
        <v>16.5</v>
      </c>
      <c r="CI268" s="315">
        <f t="shared" si="7"/>
        <v>-3.62711</v>
      </c>
      <c r="CJ268" s="316">
        <f t="shared" si="8"/>
        <v>0</v>
      </c>
      <c r="CK268" s="316">
        <f t="shared" si="9"/>
        <v>10</v>
      </c>
      <c r="CL268" s="314" t="str">
        <f>VLOOKUP(R268,PRODUCT_MAP!A:B,2,FALSE)</f>
        <v>Annie_Bag_PAILLETTES_LIGHT_GREEN</v>
      </c>
      <c r="CM268" s="314" t="str">
        <f>VLOOKUP(R268,PRODUCT_MAP!A:E,3,FALSE)</f>
        <v>Annie Bag paillettes</v>
      </c>
    </row>
    <row r="269" ht="22.5" customHeight="1">
      <c r="A269" s="308" t="s">
        <v>5132</v>
      </c>
      <c r="B269" s="308" t="s">
        <v>5133</v>
      </c>
      <c r="C269" s="308" t="s">
        <v>2942</v>
      </c>
      <c r="D269" s="308" t="s">
        <v>5134</v>
      </c>
      <c r="E269" s="308" t="s">
        <v>3013</v>
      </c>
      <c r="F269" s="308"/>
      <c r="G269" s="308" t="s">
        <v>2965</v>
      </c>
      <c r="H269" s="308" t="s">
        <v>2947</v>
      </c>
      <c r="I269" s="308">
        <v>189.0</v>
      </c>
      <c r="J269" s="308">
        <v>0.0</v>
      </c>
      <c r="K269" s="308">
        <v>34.09</v>
      </c>
      <c r="L269" s="308">
        <v>189.0</v>
      </c>
      <c r="M269" s="308" t="s">
        <v>3221</v>
      </c>
      <c r="N269" s="308">
        <v>21.0</v>
      </c>
      <c r="O269" s="308" t="s">
        <v>2948</v>
      </c>
      <c r="P269" s="308" t="s">
        <v>5135</v>
      </c>
      <c r="Q269" s="310">
        <v>1.0</v>
      </c>
      <c r="R269" s="308" t="s">
        <v>3900</v>
      </c>
      <c r="S269" s="308">
        <v>90.0</v>
      </c>
      <c r="T269" s="311"/>
      <c r="U269" s="308" t="s">
        <v>3901</v>
      </c>
      <c r="V269" s="308" t="b">
        <v>1</v>
      </c>
      <c r="W269" s="308" t="b">
        <v>1</v>
      </c>
      <c r="X269" s="308"/>
      <c r="Y269" s="308" t="s">
        <v>5136</v>
      </c>
      <c r="Z269" s="308" t="s">
        <v>5137</v>
      </c>
      <c r="AA269" s="308" t="s">
        <v>5137</v>
      </c>
      <c r="AB269" s="308"/>
      <c r="AC269" s="308"/>
      <c r="AD269" s="308" t="s">
        <v>5138</v>
      </c>
      <c r="AE269" s="308">
        <v>13010.0</v>
      </c>
      <c r="AF269" s="308" t="s">
        <v>4701</v>
      </c>
      <c r="AG269" s="308" t="s">
        <v>2955</v>
      </c>
      <c r="AH269" s="308"/>
      <c r="AI269" s="308" t="s">
        <v>5136</v>
      </c>
      <c r="AJ269" s="308" t="s">
        <v>5139</v>
      </c>
      <c r="AK269" s="308" t="s">
        <v>5139</v>
      </c>
      <c r="AL269" s="308"/>
      <c r="AM269" s="308"/>
      <c r="AN269" s="308" t="s">
        <v>5138</v>
      </c>
      <c r="AO269" s="308">
        <v>13010.0</v>
      </c>
      <c r="AP269" s="308" t="s">
        <v>4701</v>
      </c>
      <c r="AQ269" s="308" t="s">
        <v>2955</v>
      </c>
      <c r="AR269" s="308">
        <v>3.9355576224E10</v>
      </c>
      <c r="AS269" s="311"/>
      <c r="AT269" s="311"/>
      <c r="AU269" s="311"/>
      <c r="AV269" s="308" t="s">
        <v>2956</v>
      </c>
      <c r="AW269" s="308">
        <v>4.7900419588423E13</v>
      </c>
      <c r="AX269" s="310">
        <v>0.0</v>
      </c>
      <c r="AY269" s="308" t="s">
        <v>2974</v>
      </c>
      <c r="AZ269" s="308">
        <v>0.0</v>
      </c>
      <c r="BA269" s="311"/>
      <c r="BB269" s="311"/>
      <c r="BC269" s="311"/>
      <c r="BD269" s="308">
        <v>7.782827622727E12</v>
      </c>
      <c r="BE269" s="311"/>
      <c r="BF269" s="311"/>
      <c r="BG269" s="308" t="s">
        <v>2958</v>
      </c>
      <c r="BH269" s="308">
        <v>0.0</v>
      </c>
      <c r="BI269" s="308" t="s">
        <v>2959</v>
      </c>
      <c r="BJ269" s="308">
        <v>14.61</v>
      </c>
      <c r="BK269" s="311"/>
      <c r="BL269" s="311"/>
      <c r="BM269" s="311"/>
      <c r="BN269" s="311"/>
      <c r="BO269" s="311"/>
      <c r="BP269" s="311"/>
      <c r="BQ269" s="311"/>
      <c r="BR269" s="311"/>
      <c r="BS269" s="308"/>
      <c r="BT269" s="311"/>
      <c r="BU269" s="311"/>
      <c r="BV269" s="308" t="s">
        <v>4703</v>
      </c>
      <c r="BW269" s="308" t="s">
        <v>4703</v>
      </c>
      <c r="BX269" s="308" t="s">
        <v>2956</v>
      </c>
      <c r="BY269" s="311"/>
      <c r="BZ269" s="311"/>
      <c r="CA269" s="308" t="s">
        <v>2956</v>
      </c>
      <c r="CB269" s="312" t="str">
        <f t="shared" si="1"/>
        <v>30/05/2026</v>
      </c>
      <c r="CC269" s="313">
        <f t="shared" si="2"/>
        <v>2026</v>
      </c>
      <c r="CD269" s="314">
        <f t="shared" si="3"/>
        <v>5</v>
      </c>
      <c r="CE269" s="314">
        <f t="shared" si="4"/>
        <v>1</v>
      </c>
      <c r="CF269" s="314">
        <f t="shared" si="5"/>
        <v>1</v>
      </c>
      <c r="CG269" s="314">
        <f t="shared" si="6"/>
        <v>-5</v>
      </c>
      <c r="CH269" s="315">
        <f>VLOOKUP(CL269,'PRODUCT_COGS&amp;PRICE'!A:E,5,false)</f>
        <v>19</v>
      </c>
      <c r="CI269" s="315">
        <f t="shared" si="7"/>
        <v>-7.432</v>
      </c>
      <c r="CJ269" s="316">
        <f t="shared" si="8"/>
        <v>0</v>
      </c>
      <c r="CK269" s="316">
        <f t="shared" si="9"/>
        <v>21</v>
      </c>
      <c r="CL269" s="314" t="str">
        <f>VLOOKUP(R269,PRODUCT_MAP!A:B,2,FALSE)</f>
        <v>Agata_Bag_FLORAL_PINK_EMBROIDERY</v>
      </c>
      <c r="CM269" s="314" t="str">
        <f>VLOOKUP(R269,PRODUCT_MAP!A:E,3,FALSE)</f>
        <v>Agata Bag</v>
      </c>
    </row>
    <row r="270" ht="22.5" customHeight="1">
      <c r="A270" s="308" t="s">
        <v>5132</v>
      </c>
      <c r="B270" s="308" t="s">
        <v>5133</v>
      </c>
      <c r="C270" s="308" t="s">
        <v>2942</v>
      </c>
      <c r="D270" s="308" t="s">
        <v>5134</v>
      </c>
      <c r="E270" s="308" t="s">
        <v>3013</v>
      </c>
      <c r="F270" s="308"/>
      <c r="G270" s="308" t="s">
        <v>2965</v>
      </c>
      <c r="H270" s="308" t="s">
        <v>2947</v>
      </c>
      <c r="I270" s="308">
        <v>189.0</v>
      </c>
      <c r="J270" s="308">
        <v>0.0</v>
      </c>
      <c r="K270" s="308">
        <v>34.09</v>
      </c>
      <c r="L270" s="308">
        <v>189.0</v>
      </c>
      <c r="M270" s="308" t="s">
        <v>3221</v>
      </c>
      <c r="N270" s="308">
        <v>21.0</v>
      </c>
      <c r="O270" s="308" t="s">
        <v>2948</v>
      </c>
      <c r="P270" s="308" t="s">
        <v>5135</v>
      </c>
      <c r="Q270" s="310">
        <v>1.0</v>
      </c>
      <c r="R270" s="308" t="s">
        <v>519</v>
      </c>
      <c r="S270" s="308">
        <v>120.0</v>
      </c>
      <c r="T270" s="311"/>
      <c r="U270" s="308" t="s">
        <v>291</v>
      </c>
      <c r="V270" s="308" t="b">
        <v>1</v>
      </c>
      <c r="W270" s="308" t="b">
        <v>1</v>
      </c>
      <c r="X270" s="308"/>
      <c r="Y270" s="308" t="s">
        <v>5136</v>
      </c>
      <c r="Z270" s="308" t="s">
        <v>5137</v>
      </c>
      <c r="AA270" s="308" t="s">
        <v>5137</v>
      </c>
      <c r="AB270" s="308"/>
      <c r="AC270" s="308"/>
      <c r="AD270" s="308" t="s">
        <v>5138</v>
      </c>
      <c r="AE270" s="308">
        <v>13010.0</v>
      </c>
      <c r="AF270" s="308" t="s">
        <v>4701</v>
      </c>
      <c r="AG270" s="308" t="s">
        <v>2955</v>
      </c>
      <c r="AH270" s="308"/>
      <c r="AI270" s="308" t="s">
        <v>5136</v>
      </c>
      <c r="AJ270" s="308" t="s">
        <v>5139</v>
      </c>
      <c r="AK270" s="308" t="s">
        <v>5139</v>
      </c>
      <c r="AL270" s="308"/>
      <c r="AM270" s="308"/>
      <c r="AN270" s="308" t="s">
        <v>5138</v>
      </c>
      <c r="AO270" s="308">
        <v>13010.0</v>
      </c>
      <c r="AP270" s="308" t="s">
        <v>4701</v>
      </c>
      <c r="AQ270" s="308" t="s">
        <v>2955</v>
      </c>
      <c r="AR270" s="308">
        <v>3.9355576224E10</v>
      </c>
      <c r="AS270" s="311"/>
      <c r="AT270" s="311"/>
      <c r="AU270" s="311"/>
      <c r="AV270" s="308" t="s">
        <v>2956</v>
      </c>
      <c r="AW270" s="308">
        <v>4.7900419588423E13</v>
      </c>
      <c r="AX270" s="310">
        <v>0.0</v>
      </c>
      <c r="AY270" s="308" t="s">
        <v>2974</v>
      </c>
      <c r="AZ270" s="308">
        <v>0.0</v>
      </c>
      <c r="BA270" s="311"/>
      <c r="BB270" s="311"/>
      <c r="BC270" s="311"/>
      <c r="BD270" s="308">
        <v>7.782827622727E12</v>
      </c>
      <c r="BE270" s="311"/>
      <c r="BF270" s="311"/>
      <c r="BG270" s="308" t="s">
        <v>2958</v>
      </c>
      <c r="BH270" s="308">
        <v>0.0</v>
      </c>
      <c r="BI270" s="308" t="s">
        <v>2959</v>
      </c>
      <c r="BJ270" s="308">
        <v>19.48</v>
      </c>
      <c r="BK270" s="311"/>
      <c r="BL270" s="311"/>
      <c r="BM270" s="311"/>
      <c r="BN270" s="311"/>
      <c r="BO270" s="311"/>
      <c r="BP270" s="311"/>
      <c r="BQ270" s="311"/>
      <c r="BR270" s="311"/>
      <c r="BS270" s="308"/>
      <c r="BT270" s="311"/>
      <c r="BU270" s="311"/>
      <c r="BV270" s="308" t="s">
        <v>4703</v>
      </c>
      <c r="BW270" s="308" t="s">
        <v>4703</v>
      </c>
      <c r="BX270" s="308" t="s">
        <v>2956</v>
      </c>
      <c r="BY270" s="311"/>
      <c r="BZ270" s="311"/>
      <c r="CA270" s="308" t="s">
        <v>2956</v>
      </c>
      <c r="CB270" s="312" t="str">
        <f t="shared" si="1"/>
        <v>30/05/2026</v>
      </c>
      <c r="CC270" s="313">
        <f t="shared" si="2"/>
        <v>2026</v>
      </c>
      <c r="CD270" s="314">
        <f t="shared" si="3"/>
        <v>5</v>
      </c>
      <c r="CE270" s="314">
        <f t="shared" si="4"/>
        <v>0</v>
      </c>
      <c r="CF270" s="314">
        <f t="shared" si="5"/>
        <v>1</v>
      </c>
      <c r="CG270" s="314">
        <f t="shared" si="6"/>
        <v>-5</v>
      </c>
      <c r="CH270" s="315">
        <f>VLOOKUP(CL270,'PRODUCT_COGS&amp;PRICE'!A:E,5,false)</f>
        <v>20</v>
      </c>
      <c r="CI270" s="315">
        <f t="shared" si="7"/>
        <v>0</v>
      </c>
      <c r="CJ270" s="316">
        <f t="shared" si="8"/>
        <v>0</v>
      </c>
      <c r="CK270" s="316">
        <f t="shared" si="9"/>
        <v>21</v>
      </c>
      <c r="CL270" s="314" t="str">
        <f>VLOOKUP(R270,PRODUCT_MAP!A:B,2,FALSE)</f>
        <v>Lea_Bag_COCCO_BEIGE</v>
      </c>
      <c r="CM270" s="314" t="str">
        <f>VLOOKUP(R270,PRODUCT_MAP!A:E,3,FALSE)</f>
        <v>Lea Bag</v>
      </c>
    </row>
    <row r="271" ht="22.5" customHeight="1">
      <c r="A271" s="308" t="s">
        <v>5140</v>
      </c>
      <c r="B271" s="308" t="s">
        <v>5141</v>
      </c>
      <c r="C271" s="308" t="s">
        <v>2942</v>
      </c>
      <c r="D271" s="308" t="s">
        <v>5142</v>
      </c>
      <c r="E271" s="308" t="s">
        <v>3013</v>
      </c>
      <c r="F271" s="308"/>
      <c r="G271" s="308" t="s">
        <v>2946</v>
      </c>
      <c r="H271" s="308" t="s">
        <v>2947</v>
      </c>
      <c r="I271" s="308">
        <v>108.0</v>
      </c>
      <c r="J271" s="308">
        <v>0.0</v>
      </c>
      <c r="K271" s="308">
        <v>19.48</v>
      </c>
      <c r="L271" s="308">
        <v>108.0</v>
      </c>
      <c r="M271" s="308" t="s">
        <v>3094</v>
      </c>
      <c r="N271" s="308">
        <v>12.0</v>
      </c>
      <c r="O271" s="308" t="s">
        <v>2948</v>
      </c>
      <c r="P271" s="308" t="s">
        <v>5143</v>
      </c>
      <c r="Q271" s="310">
        <v>1.0</v>
      </c>
      <c r="R271" s="308" t="s">
        <v>938</v>
      </c>
      <c r="S271" s="308">
        <v>120.0</v>
      </c>
      <c r="T271" s="311"/>
      <c r="U271" s="308" t="s">
        <v>233</v>
      </c>
      <c r="V271" s="308" t="b">
        <v>1</v>
      </c>
      <c r="W271" s="308" t="b">
        <v>1</v>
      </c>
      <c r="X271" s="308"/>
      <c r="Y271" s="308" t="s">
        <v>5144</v>
      </c>
      <c r="Z271" s="308" t="s">
        <v>5145</v>
      </c>
      <c r="AA271" s="308" t="s">
        <v>5146</v>
      </c>
      <c r="AB271" s="308" t="s">
        <v>5147</v>
      </c>
      <c r="AC271" s="308"/>
      <c r="AD271" s="308" t="s">
        <v>23</v>
      </c>
      <c r="AE271" s="308">
        <v>20145.0</v>
      </c>
      <c r="AF271" s="308" t="s">
        <v>2954</v>
      </c>
      <c r="AG271" s="308" t="s">
        <v>2955</v>
      </c>
      <c r="AH271" s="308">
        <v>3.8845553E9</v>
      </c>
      <c r="AI271" s="308" t="s">
        <v>5144</v>
      </c>
      <c r="AJ271" s="308" t="s">
        <v>5145</v>
      </c>
      <c r="AK271" s="308" t="s">
        <v>5146</v>
      </c>
      <c r="AL271" s="308" t="s">
        <v>5147</v>
      </c>
      <c r="AM271" s="308"/>
      <c r="AN271" s="308" t="s">
        <v>23</v>
      </c>
      <c r="AO271" s="308">
        <v>20145.0</v>
      </c>
      <c r="AP271" s="308" t="s">
        <v>2954</v>
      </c>
      <c r="AQ271" s="308" t="s">
        <v>2955</v>
      </c>
      <c r="AR271" s="308">
        <v>3.8845553E9</v>
      </c>
      <c r="AS271" s="311"/>
      <c r="AT271" s="311"/>
      <c r="AU271" s="311"/>
      <c r="AV271" s="308" t="s">
        <v>2956</v>
      </c>
      <c r="AW271" s="308">
        <v>4.7902236311879E13</v>
      </c>
      <c r="AX271" s="310">
        <v>0.0</v>
      </c>
      <c r="AY271" s="308" t="s">
        <v>2974</v>
      </c>
      <c r="AZ271" s="308">
        <v>0.0</v>
      </c>
      <c r="BA271" s="311"/>
      <c r="BB271" s="311"/>
      <c r="BC271" s="311"/>
      <c r="BD271" s="308">
        <v>7.783782416711E12</v>
      </c>
      <c r="BE271" s="311"/>
      <c r="BF271" s="311"/>
      <c r="BG271" s="308" t="s">
        <v>2958</v>
      </c>
      <c r="BH271" s="308">
        <v>0.0</v>
      </c>
      <c r="BI271" s="308" t="s">
        <v>2959</v>
      </c>
      <c r="BJ271" s="308">
        <v>19.48</v>
      </c>
      <c r="BK271" s="311"/>
      <c r="BL271" s="311"/>
      <c r="BM271" s="311"/>
      <c r="BN271" s="311"/>
      <c r="BO271" s="311"/>
      <c r="BP271" s="311"/>
      <c r="BQ271" s="311"/>
      <c r="BR271" s="311"/>
      <c r="BS271" s="308"/>
      <c r="BT271" s="311"/>
      <c r="BU271" s="311"/>
      <c r="BV271" s="308" t="s">
        <v>23</v>
      </c>
      <c r="BW271" s="308" t="s">
        <v>23</v>
      </c>
      <c r="BX271" s="308" t="s">
        <v>2956</v>
      </c>
      <c r="BY271" s="311"/>
      <c r="BZ271" s="311"/>
      <c r="CA271" s="308" t="s">
        <v>2956</v>
      </c>
      <c r="CB271" s="312" t="str">
        <f t="shared" si="1"/>
        <v>30/05/2026</v>
      </c>
      <c r="CC271" s="313">
        <f t="shared" si="2"/>
        <v>2026</v>
      </c>
      <c r="CD271" s="314">
        <f t="shared" si="3"/>
        <v>5</v>
      </c>
      <c r="CE271" s="314">
        <f t="shared" si="4"/>
        <v>1</v>
      </c>
      <c r="CF271" s="314">
        <f t="shared" si="5"/>
        <v>1</v>
      </c>
      <c r="CG271" s="314">
        <f t="shared" si="6"/>
        <v>-5</v>
      </c>
      <c r="CH271" s="315">
        <f>VLOOKUP(CL271,'PRODUCT_COGS&amp;PRICE'!A:E,5,false)</f>
        <v>20</v>
      </c>
      <c r="CI271" s="315">
        <f t="shared" si="7"/>
        <v>-2.302</v>
      </c>
      <c r="CJ271" s="316">
        <f t="shared" si="8"/>
        <v>0</v>
      </c>
      <c r="CK271" s="316">
        <f t="shared" si="9"/>
        <v>12</v>
      </c>
      <c r="CL271" s="314" t="str">
        <f>VLOOKUP(R271,PRODUCT_MAP!A:B,2,FALSE)</f>
        <v>Lea_Bag_TOASTED_LEATHER</v>
      </c>
      <c r="CM271" s="314" t="str">
        <f>VLOOKUP(R271,PRODUCT_MAP!A:E,3,FALSE)</f>
        <v>Lea Bag</v>
      </c>
    </row>
    <row r="272" ht="22.5" customHeight="1">
      <c r="A272" s="308" t="s">
        <v>5148</v>
      </c>
      <c r="B272" s="308" t="s">
        <v>5149</v>
      </c>
      <c r="C272" s="308" t="s">
        <v>2942</v>
      </c>
      <c r="D272" s="308" t="s">
        <v>5150</v>
      </c>
      <c r="E272" s="308" t="s">
        <v>3013</v>
      </c>
      <c r="F272" s="308"/>
      <c r="G272" s="308" t="s">
        <v>2946</v>
      </c>
      <c r="H272" s="308" t="s">
        <v>2947</v>
      </c>
      <c r="I272" s="308">
        <v>108.0</v>
      </c>
      <c r="J272" s="308">
        <v>0.0</v>
      </c>
      <c r="K272" s="308">
        <v>19.48</v>
      </c>
      <c r="L272" s="308">
        <v>108.0</v>
      </c>
      <c r="M272" s="308" t="s">
        <v>3094</v>
      </c>
      <c r="N272" s="308">
        <v>12.0</v>
      </c>
      <c r="O272" s="308" t="s">
        <v>2979</v>
      </c>
      <c r="P272" s="308" t="s">
        <v>5150</v>
      </c>
      <c r="Q272" s="310">
        <v>1.0</v>
      </c>
      <c r="R272" s="308" t="s">
        <v>579</v>
      </c>
      <c r="S272" s="308">
        <v>120.0</v>
      </c>
      <c r="T272" s="311"/>
      <c r="U272" s="308" t="s">
        <v>2002</v>
      </c>
      <c r="V272" s="308" t="b">
        <v>1</v>
      </c>
      <c r="W272" s="308" t="b">
        <v>1</v>
      </c>
      <c r="X272" s="308"/>
      <c r="Y272" s="308" t="s">
        <v>5151</v>
      </c>
      <c r="Z272" s="308" t="s">
        <v>5152</v>
      </c>
      <c r="AA272" s="308" t="s">
        <v>5152</v>
      </c>
      <c r="AB272" s="308"/>
      <c r="AC272" s="308"/>
      <c r="AD272" s="308" t="s">
        <v>23</v>
      </c>
      <c r="AE272" s="308">
        <v>20129.0</v>
      </c>
      <c r="AF272" s="308" t="s">
        <v>2954</v>
      </c>
      <c r="AG272" s="308" t="s">
        <v>2955</v>
      </c>
      <c r="AH272" s="308"/>
      <c r="AI272" s="308"/>
      <c r="AJ272" s="308"/>
      <c r="AK272" s="308"/>
      <c r="AL272" s="308"/>
      <c r="AM272" s="308"/>
      <c r="AN272" s="308"/>
      <c r="AO272" s="308"/>
      <c r="AP272" s="308"/>
      <c r="AQ272" s="308"/>
      <c r="AR272" s="308"/>
      <c r="AS272" s="311"/>
      <c r="AT272" s="311"/>
      <c r="AU272" s="311"/>
      <c r="AV272" s="308" t="s">
        <v>3009</v>
      </c>
      <c r="AW272" s="308">
        <v>4.7902315282759E13</v>
      </c>
      <c r="AX272" s="310">
        <v>0.0</v>
      </c>
      <c r="AY272" s="308" t="s">
        <v>2974</v>
      </c>
      <c r="AZ272" s="308">
        <v>0.0</v>
      </c>
      <c r="BA272" s="311"/>
      <c r="BB272" s="311"/>
      <c r="BC272" s="311"/>
      <c r="BD272" s="308">
        <v>7.783818887495E12</v>
      </c>
      <c r="BE272" s="311"/>
      <c r="BF272" s="311"/>
      <c r="BG272" s="308" t="s">
        <v>2958</v>
      </c>
      <c r="BH272" s="308">
        <v>0.0</v>
      </c>
      <c r="BI272" s="308" t="s">
        <v>2959</v>
      </c>
      <c r="BJ272" s="308">
        <v>19.48</v>
      </c>
      <c r="BK272" s="311"/>
      <c r="BL272" s="311"/>
      <c r="BM272" s="311"/>
      <c r="BN272" s="311"/>
      <c r="BO272" s="311"/>
      <c r="BP272" s="311"/>
      <c r="BQ272" s="311"/>
      <c r="BR272" s="311"/>
      <c r="BS272" s="308"/>
      <c r="BT272" s="311"/>
      <c r="BU272" s="311"/>
      <c r="BV272" s="308" t="s">
        <v>23</v>
      </c>
      <c r="BW272" s="308"/>
      <c r="BX272" s="308" t="s">
        <v>3009</v>
      </c>
      <c r="BY272" s="311"/>
      <c r="BZ272" s="311"/>
      <c r="CA272" s="308" t="s">
        <v>3009</v>
      </c>
      <c r="CB272" s="312" t="str">
        <f t="shared" si="1"/>
        <v>30/05/2026</v>
      </c>
      <c r="CC272" s="313">
        <f t="shared" si="2"/>
        <v>2026</v>
      </c>
      <c r="CD272" s="314">
        <f t="shared" si="3"/>
        <v>5</v>
      </c>
      <c r="CE272" s="314">
        <f t="shared" si="4"/>
        <v>1</v>
      </c>
      <c r="CF272" s="314">
        <f t="shared" si="5"/>
        <v>1</v>
      </c>
      <c r="CG272" s="314">
        <f t="shared" si="6"/>
        <v>-5</v>
      </c>
      <c r="CH272" s="315">
        <f>VLOOKUP(CL272,'PRODUCT_COGS&amp;PRICE'!A:E,5,false)</f>
        <v>20</v>
      </c>
      <c r="CI272" s="315">
        <f t="shared" si="7"/>
        <v>-4.1192</v>
      </c>
      <c r="CJ272" s="316">
        <f t="shared" si="8"/>
        <v>0</v>
      </c>
      <c r="CK272" s="316">
        <f t="shared" si="9"/>
        <v>12</v>
      </c>
      <c r="CL272" s="314" t="str">
        <f>VLOOKUP(R272,PRODUCT_MAP!A:B,2,FALSE)</f>
        <v>Lea_Bag_VERNICE_PURPLE_PATENT</v>
      </c>
      <c r="CM272" s="314" t="str">
        <f>VLOOKUP(R272,PRODUCT_MAP!A:E,3,FALSE)</f>
        <v>Lea Bag</v>
      </c>
    </row>
    <row r="273" ht="22.5" customHeight="1">
      <c r="A273" s="308" t="s">
        <v>5153</v>
      </c>
      <c r="B273" s="308" t="s">
        <v>5154</v>
      </c>
      <c r="C273" s="308" t="s">
        <v>2942</v>
      </c>
      <c r="D273" s="308" t="s">
        <v>5155</v>
      </c>
      <c r="E273" s="308" t="s">
        <v>3013</v>
      </c>
      <c r="F273" s="308"/>
      <c r="G273" s="308" t="s">
        <v>2946</v>
      </c>
      <c r="H273" s="308" t="s">
        <v>2947</v>
      </c>
      <c r="I273" s="308">
        <v>153.0</v>
      </c>
      <c r="J273" s="308">
        <v>0.0</v>
      </c>
      <c r="K273" s="308">
        <v>27.59</v>
      </c>
      <c r="L273" s="308">
        <v>153.0</v>
      </c>
      <c r="M273" s="308" t="s">
        <v>3094</v>
      </c>
      <c r="N273" s="308">
        <v>17.0</v>
      </c>
      <c r="O273" s="308" t="s">
        <v>2979</v>
      </c>
      <c r="P273" s="308" t="s">
        <v>5156</v>
      </c>
      <c r="Q273" s="310">
        <v>1.0</v>
      </c>
      <c r="R273" s="308" t="s">
        <v>559</v>
      </c>
      <c r="S273" s="308">
        <v>170.0</v>
      </c>
      <c r="T273" s="311"/>
      <c r="U273" s="308" t="s">
        <v>5157</v>
      </c>
      <c r="V273" s="308" t="b">
        <v>1</v>
      </c>
      <c r="W273" s="308" t="b">
        <v>1</v>
      </c>
      <c r="X273" s="308"/>
      <c r="Y273" s="308" t="s">
        <v>5158</v>
      </c>
      <c r="Z273" s="308" t="s">
        <v>5159</v>
      </c>
      <c r="AA273" s="308" t="s">
        <v>5159</v>
      </c>
      <c r="AB273" s="308"/>
      <c r="AC273" s="308"/>
      <c r="AD273" s="308" t="s">
        <v>23</v>
      </c>
      <c r="AE273" s="308">
        <v>20155.0</v>
      </c>
      <c r="AF273" s="308" t="s">
        <v>2954</v>
      </c>
      <c r="AG273" s="308" t="s">
        <v>2955</v>
      </c>
      <c r="AH273" s="308"/>
      <c r="AI273" s="308"/>
      <c r="AJ273" s="308"/>
      <c r="AK273" s="308"/>
      <c r="AL273" s="308"/>
      <c r="AM273" s="308"/>
      <c r="AN273" s="308"/>
      <c r="AO273" s="308"/>
      <c r="AP273" s="308"/>
      <c r="AQ273" s="308"/>
      <c r="AR273" s="308"/>
      <c r="AS273" s="311"/>
      <c r="AT273" s="311"/>
      <c r="AU273" s="311"/>
      <c r="AV273" s="308" t="s">
        <v>2956</v>
      </c>
      <c r="AW273" s="308">
        <v>4.7905907016007E13</v>
      </c>
      <c r="AX273" s="310">
        <v>0.0</v>
      </c>
      <c r="AY273" s="308" t="s">
        <v>2974</v>
      </c>
      <c r="AZ273" s="308">
        <v>0.0</v>
      </c>
      <c r="BA273" s="311"/>
      <c r="BB273" s="311"/>
      <c r="BC273" s="311"/>
      <c r="BD273" s="308">
        <v>7.786211606855E12</v>
      </c>
      <c r="BE273" s="311"/>
      <c r="BF273" s="311"/>
      <c r="BG273" s="308" t="s">
        <v>2958</v>
      </c>
      <c r="BH273" s="308">
        <v>0.0</v>
      </c>
      <c r="BI273" s="308" t="s">
        <v>2959</v>
      </c>
      <c r="BJ273" s="308">
        <v>27.59</v>
      </c>
      <c r="BK273" s="311"/>
      <c r="BL273" s="311"/>
      <c r="BM273" s="311"/>
      <c r="BN273" s="311"/>
      <c r="BO273" s="311"/>
      <c r="BP273" s="311"/>
      <c r="BQ273" s="311"/>
      <c r="BR273" s="311"/>
      <c r="BS273" s="308"/>
      <c r="BT273" s="311"/>
      <c r="BU273" s="311"/>
      <c r="BV273" s="308" t="s">
        <v>23</v>
      </c>
      <c r="BW273" s="308"/>
      <c r="BX273" s="308" t="s">
        <v>2956</v>
      </c>
      <c r="BY273" s="311"/>
      <c r="BZ273" s="311"/>
      <c r="CA273" s="308" t="s">
        <v>2956</v>
      </c>
      <c r="CB273" s="312" t="str">
        <f t="shared" si="1"/>
        <v>31/05/2026</v>
      </c>
      <c r="CC273" s="313">
        <f t="shared" si="2"/>
        <v>2026</v>
      </c>
      <c r="CD273" s="314">
        <f t="shared" si="3"/>
        <v>5</v>
      </c>
      <c r="CE273" s="314">
        <f t="shared" si="4"/>
        <v>1</v>
      </c>
      <c r="CF273" s="314">
        <f t="shared" si="5"/>
        <v>1</v>
      </c>
      <c r="CG273" s="314">
        <f t="shared" si="6"/>
        <v>-5</v>
      </c>
      <c r="CH273" s="315">
        <f>VLOOKUP(CL273,'PRODUCT_COGS&amp;PRICE'!A:E,5,false)</f>
        <v>25</v>
      </c>
      <c r="CI273" s="315">
        <f t="shared" si="7"/>
        <v>-3.157</v>
      </c>
      <c r="CJ273" s="316">
        <f t="shared" si="8"/>
        <v>0</v>
      </c>
      <c r="CK273" s="316">
        <f t="shared" si="9"/>
        <v>17</v>
      </c>
      <c r="CL273" s="314" t="str">
        <f>VLOOKUP(R273,PRODUCT_MAP!A:B,2,FALSE)</f>
        <v>Lea_Bag_Maxi_SUEDE_CHOCOLATE</v>
      </c>
      <c r="CM273" s="314" t="str">
        <f>VLOOKUP(R273,PRODUCT_MAP!A:E,3,FALSE)</f>
        <v>Lea Bag Maxi</v>
      </c>
    </row>
    <row r="274" ht="22.5" customHeight="1">
      <c r="A274" s="308" t="s">
        <v>5160</v>
      </c>
      <c r="B274" s="308" t="s">
        <v>5161</v>
      </c>
      <c r="C274" s="308" t="s">
        <v>2942</v>
      </c>
      <c r="D274" s="308" t="s">
        <v>5162</v>
      </c>
      <c r="E274" s="308" t="s">
        <v>3013</v>
      </c>
      <c r="F274" s="308"/>
      <c r="G274" s="308" t="s">
        <v>2946</v>
      </c>
      <c r="H274" s="308" t="s">
        <v>2947</v>
      </c>
      <c r="I274" s="308">
        <v>144.0</v>
      </c>
      <c r="J274" s="308">
        <v>0.0</v>
      </c>
      <c r="K274" s="308">
        <v>25.96</v>
      </c>
      <c r="L274" s="308">
        <v>144.0</v>
      </c>
      <c r="M274" s="308" t="s">
        <v>3094</v>
      </c>
      <c r="N274" s="308">
        <v>16.0</v>
      </c>
      <c r="O274" s="308" t="s">
        <v>2979</v>
      </c>
      <c r="P274" s="308" t="s">
        <v>5163</v>
      </c>
      <c r="Q274" s="310">
        <v>1.0</v>
      </c>
      <c r="R274" s="308" t="s">
        <v>3920</v>
      </c>
      <c r="S274" s="308">
        <v>80.0</v>
      </c>
      <c r="T274" s="311"/>
      <c r="U274" s="308" t="s">
        <v>4985</v>
      </c>
      <c r="V274" s="308" t="b">
        <v>1</v>
      </c>
      <c r="W274" s="308" t="b">
        <v>1</v>
      </c>
      <c r="X274" s="308"/>
      <c r="Y274" s="308" t="s">
        <v>5164</v>
      </c>
      <c r="Z274" s="308" t="s">
        <v>5165</v>
      </c>
      <c r="AA274" s="308" t="s">
        <v>5165</v>
      </c>
      <c r="AB274" s="308"/>
      <c r="AC274" s="308"/>
      <c r="AD274" s="308" t="s">
        <v>3007</v>
      </c>
      <c r="AE274" s="308">
        <v>80127.0</v>
      </c>
      <c r="AF274" s="308" t="s">
        <v>3008</v>
      </c>
      <c r="AG274" s="308" t="s">
        <v>2955</v>
      </c>
      <c r="AH274" s="308"/>
      <c r="AI274" s="308"/>
      <c r="AJ274" s="308"/>
      <c r="AK274" s="308"/>
      <c r="AL274" s="308"/>
      <c r="AM274" s="308"/>
      <c r="AN274" s="308"/>
      <c r="AO274" s="308"/>
      <c r="AP274" s="308"/>
      <c r="AQ274" s="308"/>
      <c r="AR274" s="308"/>
      <c r="AS274" s="311"/>
      <c r="AT274" s="311"/>
      <c r="AU274" s="311"/>
      <c r="AV274" s="308" t="s">
        <v>2956</v>
      </c>
      <c r="AW274" s="308">
        <v>4.7907022045511E13</v>
      </c>
      <c r="AX274" s="310">
        <v>0.0</v>
      </c>
      <c r="AY274" s="308" t="s">
        <v>2974</v>
      </c>
      <c r="AZ274" s="308">
        <v>0.0</v>
      </c>
      <c r="BA274" s="311"/>
      <c r="BB274" s="311"/>
      <c r="BC274" s="311"/>
      <c r="BD274" s="308">
        <v>7.786725081415E12</v>
      </c>
      <c r="BE274" s="311"/>
      <c r="BF274" s="311"/>
      <c r="BG274" s="308" t="s">
        <v>2958</v>
      </c>
      <c r="BH274" s="308">
        <v>0.0</v>
      </c>
      <c r="BI274" s="308" t="s">
        <v>2959</v>
      </c>
      <c r="BJ274" s="308">
        <v>12.98</v>
      </c>
      <c r="BK274" s="311"/>
      <c r="BL274" s="311"/>
      <c r="BM274" s="311"/>
      <c r="BN274" s="311"/>
      <c r="BO274" s="311"/>
      <c r="BP274" s="311"/>
      <c r="BQ274" s="311"/>
      <c r="BR274" s="311"/>
      <c r="BS274" s="308"/>
      <c r="BT274" s="311"/>
      <c r="BU274" s="311"/>
      <c r="BV274" s="308" t="s">
        <v>3007</v>
      </c>
      <c r="BW274" s="308"/>
      <c r="BX274" s="308" t="s">
        <v>2956</v>
      </c>
      <c r="BY274" s="311"/>
      <c r="BZ274" s="311"/>
      <c r="CA274" s="308" t="s">
        <v>2956</v>
      </c>
      <c r="CB274" s="312" t="str">
        <f t="shared" si="1"/>
        <v>31/05/2026</v>
      </c>
      <c r="CC274" s="313">
        <f t="shared" si="2"/>
        <v>2026</v>
      </c>
      <c r="CD274" s="314">
        <f t="shared" si="3"/>
        <v>5</v>
      </c>
      <c r="CE274" s="314">
        <f t="shared" si="4"/>
        <v>1</v>
      </c>
      <c r="CF274" s="314">
        <f t="shared" si="5"/>
        <v>1</v>
      </c>
      <c r="CG274" s="314">
        <f t="shared" si="6"/>
        <v>-5</v>
      </c>
      <c r="CH274" s="315">
        <f>VLOOKUP(CL274,'PRODUCT_COGS&amp;PRICE'!A:E,5,false)</f>
        <v>19</v>
      </c>
      <c r="CI274" s="315">
        <f t="shared" si="7"/>
        <v>-5.722</v>
      </c>
      <c r="CJ274" s="316">
        <f t="shared" si="8"/>
        <v>0</v>
      </c>
      <c r="CK274" s="316">
        <f t="shared" si="9"/>
        <v>16</v>
      </c>
      <c r="CL274" s="314" t="str">
        <f>VLOOKUP(R274,PRODUCT_MAP!A:B,2,FALSE)</f>
        <v>Agata_Bag_FLORAL_GREEN_EMBROIDERY</v>
      </c>
      <c r="CM274" s="314" t="str">
        <f>VLOOKUP(R274,PRODUCT_MAP!A:E,3,FALSE)</f>
        <v>Agata Bag</v>
      </c>
    </row>
    <row r="275" ht="22.5" customHeight="1">
      <c r="A275" s="308" t="s">
        <v>5160</v>
      </c>
      <c r="B275" s="308" t="s">
        <v>5161</v>
      </c>
      <c r="C275" s="308" t="s">
        <v>2942</v>
      </c>
      <c r="D275" s="308" t="s">
        <v>5162</v>
      </c>
      <c r="E275" s="308" t="s">
        <v>3013</v>
      </c>
      <c r="F275" s="308"/>
      <c r="G275" s="308" t="s">
        <v>2946</v>
      </c>
      <c r="H275" s="308" t="s">
        <v>2947</v>
      </c>
      <c r="I275" s="308">
        <v>144.0</v>
      </c>
      <c r="J275" s="308">
        <v>0.0</v>
      </c>
      <c r="K275" s="308">
        <v>25.96</v>
      </c>
      <c r="L275" s="308">
        <v>144.0</v>
      </c>
      <c r="M275" s="308" t="s">
        <v>3094</v>
      </c>
      <c r="N275" s="308">
        <v>16.0</v>
      </c>
      <c r="O275" s="308" t="s">
        <v>2979</v>
      </c>
      <c r="P275" s="308" t="s">
        <v>5163</v>
      </c>
      <c r="Q275" s="310">
        <v>1.0</v>
      </c>
      <c r="R275" s="308" t="s">
        <v>3876</v>
      </c>
      <c r="S275" s="308">
        <v>80.0</v>
      </c>
      <c r="T275" s="311"/>
      <c r="U275" s="308" t="s">
        <v>273</v>
      </c>
      <c r="V275" s="308" t="b">
        <v>1</v>
      </c>
      <c r="W275" s="308" t="b">
        <v>1</v>
      </c>
      <c r="X275" s="308"/>
      <c r="Y275" s="308" t="s">
        <v>5164</v>
      </c>
      <c r="Z275" s="308" t="s">
        <v>5165</v>
      </c>
      <c r="AA275" s="308" t="s">
        <v>5165</v>
      </c>
      <c r="AB275" s="308"/>
      <c r="AC275" s="308"/>
      <c r="AD275" s="308" t="s">
        <v>3007</v>
      </c>
      <c r="AE275" s="308">
        <v>80127.0</v>
      </c>
      <c r="AF275" s="308" t="s">
        <v>3008</v>
      </c>
      <c r="AG275" s="308" t="s">
        <v>2955</v>
      </c>
      <c r="AH275" s="308"/>
      <c r="AI275" s="308"/>
      <c r="AJ275" s="308"/>
      <c r="AK275" s="308"/>
      <c r="AL275" s="308"/>
      <c r="AM275" s="308"/>
      <c r="AN275" s="308"/>
      <c r="AO275" s="308"/>
      <c r="AP275" s="308"/>
      <c r="AQ275" s="308"/>
      <c r="AR275" s="308"/>
      <c r="AS275" s="311"/>
      <c r="AT275" s="311"/>
      <c r="AU275" s="311"/>
      <c r="AV275" s="308" t="s">
        <v>2956</v>
      </c>
      <c r="AW275" s="308">
        <v>4.7907022045511E13</v>
      </c>
      <c r="AX275" s="310">
        <v>0.0</v>
      </c>
      <c r="AY275" s="308" t="s">
        <v>2974</v>
      </c>
      <c r="AZ275" s="308">
        <v>0.0</v>
      </c>
      <c r="BA275" s="311"/>
      <c r="BB275" s="311"/>
      <c r="BC275" s="311"/>
      <c r="BD275" s="308">
        <v>7.786725081415E12</v>
      </c>
      <c r="BE275" s="311"/>
      <c r="BF275" s="311"/>
      <c r="BG275" s="308" t="s">
        <v>2958</v>
      </c>
      <c r="BH275" s="308">
        <v>0.0</v>
      </c>
      <c r="BI275" s="308" t="s">
        <v>2959</v>
      </c>
      <c r="BJ275" s="308">
        <v>12.98</v>
      </c>
      <c r="BK275" s="311"/>
      <c r="BL275" s="311"/>
      <c r="BM275" s="311"/>
      <c r="BN275" s="311"/>
      <c r="BO275" s="311"/>
      <c r="BP275" s="311"/>
      <c r="BQ275" s="311"/>
      <c r="BR275" s="311"/>
      <c r="BS275" s="308"/>
      <c r="BT275" s="311"/>
      <c r="BU275" s="311"/>
      <c r="BV275" s="308" t="s">
        <v>3007</v>
      </c>
      <c r="BW275" s="308"/>
      <c r="BX275" s="308" t="s">
        <v>2956</v>
      </c>
      <c r="BY275" s="311"/>
      <c r="BZ275" s="311"/>
      <c r="CA275" s="308" t="s">
        <v>2956</v>
      </c>
      <c r="CB275" s="312" t="str">
        <f t="shared" si="1"/>
        <v>31/05/2026</v>
      </c>
      <c r="CC275" s="313">
        <f t="shared" si="2"/>
        <v>2026</v>
      </c>
      <c r="CD275" s="314">
        <f t="shared" si="3"/>
        <v>5</v>
      </c>
      <c r="CE275" s="314">
        <f t="shared" si="4"/>
        <v>0</v>
      </c>
      <c r="CF275" s="314">
        <f t="shared" si="5"/>
        <v>1</v>
      </c>
      <c r="CG275" s="314">
        <f t="shared" si="6"/>
        <v>-5</v>
      </c>
      <c r="CH275" s="315">
        <f>VLOOKUP(CL275,'PRODUCT_COGS&amp;PRICE'!A:E,5,false)</f>
        <v>19</v>
      </c>
      <c r="CI275" s="315">
        <f t="shared" si="7"/>
        <v>0</v>
      </c>
      <c r="CJ275" s="316">
        <f t="shared" si="8"/>
        <v>0</v>
      </c>
      <c r="CK275" s="316">
        <f t="shared" si="9"/>
        <v>16</v>
      </c>
      <c r="CL275" s="314" t="str">
        <f>VLOOKUP(R275,PRODUCT_MAP!A:B,2,FALSE)</f>
        <v>Agata_Bag_FLORAL_PINK_EMBROIDERY</v>
      </c>
      <c r="CM275" s="314" t="str">
        <f>VLOOKUP(R275,PRODUCT_MAP!A:E,3,FALSE)</f>
        <v>Agata Bag</v>
      </c>
    </row>
    <row r="276" ht="22.5" customHeight="1">
      <c r="A276" s="308" t="s">
        <v>5166</v>
      </c>
      <c r="B276" s="308" t="s">
        <v>5167</v>
      </c>
      <c r="C276" s="308" t="s">
        <v>2942</v>
      </c>
      <c r="D276" s="308" t="s">
        <v>5168</v>
      </c>
      <c r="E276" s="308" t="s">
        <v>3013</v>
      </c>
      <c r="F276" s="308"/>
      <c r="G276" s="308" t="s">
        <v>2946</v>
      </c>
      <c r="H276" s="308" t="s">
        <v>2947</v>
      </c>
      <c r="I276" s="308">
        <v>72.0</v>
      </c>
      <c r="J276" s="308">
        <v>3.9</v>
      </c>
      <c r="K276" s="308">
        <v>13.68</v>
      </c>
      <c r="L276" s="308">
        <v>75.9</v>
      </c>
      <c r="M276" s="308" t="s">
        <v>3094</v>
      </c>
      <c r="N276" s="308">
        <v>8.0</v>
      </c>
      <c r="O276" s="308" t="s">
        <v>2948</v>
      </c>
      <c r="P276" s="308" t="s">
        <v>5169</v>
      </c>
      <c r="Q276" s="310">
        <v>1.0</v>
      </c>
      <c r="R276" s="308" t="s">
        <v>3876</v>
      </c>
      <c r="S276" s="308">
        <v>80.0</v>
      </c>
      <c r="T276" s="311"/>
      <c r="U276" s="308" t="s">
        <v>273</v>
      </c>
      <c r="V276" s="308" t="b">
        <v>1</v>
      </c>
      <c r="W276" s="308" t="b">
        <v>1</v>
      </c>
      <c r="X276" s="308"/>
      <c r="Y276" s="308" t="s">
        <v>5170</v>
      </c>
      <c r="Z276" s="308" t="s">
        <v>5171</v>
      </c>
      <c r="AA276" s="308" t="s">
        <v>5171</v>
      </c>
      <c r="AB276" s="308"/>
      <c r="AC276" s="308"/>
      <c r="AD276" s="308" t="s">
        <v>5172</v>
      </c>
      <c r="AE276" s="308">
        <v>36064.0</v>
      </c>
      <c r="AF276" s="308" t="s">
        <v>3676</v>
      </c>
      <c r="AG276" s="308" t="s">
        <v>2955</v>
      </c>
      <c r="AH276" s="308"/>
      <c r="AI276" s="308" t="s">
        <v>5170</v>
      </c>
      <c r="AJ276" s="308" t="s">
        <v>5173</v>
      </c>
      <c r="AK276" s="308" t="s">
        <v>5174</v>
      </c>
      <c r="AL276" s="308" t="s">
        <v>5175</v>
      </c>
      <c r="AM276" s="308"/>
      <c r="AN276" s="308" t="s">
        <v>5176</v>
      </c>
      <c r="AO276" s="308">
        <v>36063.0</v>
      </c>
      <c r="AP276" s="308" t="s">
        <v>3676</v>
      </c>
      <c r="AQ276" s="308" t="s">
        <v>2955</v>
      </c>
      <c r="AR276" s="308">
        <v>3.451299243E9</v>
      </c>
      <c r="AS276" s="311"/>
      <c r="AT276" s="311"/>
      <c r="AU276" s="311"/>
      <c r="AV276" s="308" t="s">
        <v>2956</v>
      </c>
      <c r="AW276" s="308">
        <v>4.7908165452103E13</v>
      </c>
      <c r="AX276" s="310">
        <v>0.0</v>
      </c>
      <c r="AY276" s="308" t="s">
        <v>2974</v>
      </c>
      <c r="AZ276" s="308">
        <v>0.0</v>
      </c>
      <c r="BA276" s="311"/>
      <c r="BB276" s="311"/>
      <c r="BC276" s="311"/>
      <c r="BD276" s="308">
        <v>7.787347968327E12</v>
      </c>
      <c r="BE276" s="311"/>
      <c r="BF276" s="311"/>
      <c r="BG276" s="308" t="s">
        <v>2958</v>
      </c>
      <c r="BH276" s="308">
        <v>0.0</v>
      </c>
      <c r="BI276" s="308" t="s">
        <v>2959</v>
      </c>
      <c r="BJ276" s="308">
        <v>12.98</v>
      </c>
      <c r="BK276" s="311"/>
      <c r="BL276" s="311"/>
      <c r="BM276" s="311"/>
      <c r="BN276" s="311"/>
      <c r="BO276" s="311"/>
      <c r="BP276" s="311"/>
      <c r="BQ276" s="311"/>
      <c r="BR276" s="311"/>
      <c r="BS276" s="308"/>
      <c r="BT276" s="311"/>
      <c r="BU276" s="311"/>
      <c r="BV276" s="308" t="s">
        <v>3678</v>
      </c>
      <c r="BW276" s="308" t="s">
        <v>3678</v>
      </c>
      <c r="BX276" s="308" t="s">
        <v>2956</v>
      </c>
      <c r="BY276" s="311"/>
      <c r="BZ276" s="311"/>
      <c r="CA276" s="308" t="s">
        <v>2956</v>
      </c>
      <c r="CB276" s="312" t="str">
        <f t="shared" si="1"/>
        <v>01/06/2026</v>
      </c>
      <c r="CC276" s="313">
        <f t="shared" si="2"/>
        <v>2026</v>
      </c>
      <c r="CD276" s="314">
        <f t="shared" si="3"/>
        <v>6</v>
      </c>
      <c r="CE276" s="314">
        <f t="shared" si="4"/>
        <v>1</v>
      </c>
      <c r="CF276" s="314">
        <f t="shared" si="5"/>
        <v>1</v>
      </c>
      <c r="CG276" s="314">
        <f t="shared" si="6"/>
        <v>0</v>
      </c>
      <c r="CH276" s="315">
        <f>VLOOKUP(CL276,'PRODUCT_COGS&amp;PRICE'!A:E,5,false)</f>
        <v>19</v>
      </c>
      <c r="CI276" s="315">
        <f t="shared" si="7"/>
        <v>-1.6921</v>
      </c>
      <c r="CJ276" s="316">
        <f t="shared" si="8"/>
        <v>0</v>
      </c>
      <c r="CK276" s="316">
        <f t="shared" si="9"/>
        <v>8</v>
      </c>
      <c r="CL276" s="314" t="str">
        <f>VLOOKUP(R276,PRODUCT_MAP!A:B,2,FALSE)</f>
        <v>Agata_Bag_FLORAL_PINK_EMBROIDERY</v>
      </c>
      <c r="CM276" s="314" t="str">
        <f>VLOOKUP(R276,PRODUCT_MAP!A:E,3,FALSE)</f>
        <v>Agata Bag</v>
      </c>
    </row>
    <row r="277" ht="22.5" customHeight="1">
      <c r="A277" s="308" t="s">
        <v>5177</v>
      </c>
      <c r="B277" s="308" t="s">
        <v>5178</v>
      </c>
      <c r="C277" s="308" t="s">
        <v>2942</v>
      </c>
      <c r="D277" s="308" t="s">
        <v>5179</v>
      </c>
      <c r="E277" s="308" t="s">
        <v>3013</v>
      </c>
      <c r="F277" s="308"/>
      <c r="G277" s="308" t="s">
        <v>2946</v>
      </c>
      <c r="H277" s="308" t="s">
        <v>2947</v>
      </c>
      <c r="I277" s="308">
        <v>108.0</v>
      </c>
      <c r="J277" s="308">
        <v>0.0</v>
      </c>
      <c r="K277" s="308">
        <v>19.48</v>
      </c>
      <c r="L277" s="308">
        <v>108.0</v>
      </c>
      <c r="M277" s="308" t="s">
        <v>3094</v>
      </c>
      <c r="N277" s="308">
        <v>12.0</v>
      </c>
      <c r="O277" s="308" t="s">
        <v>2948</v>
      </c>
      <c r="P277" s="308" t="s">
        <v>5180</v>
      </c>
      <c r="Q277" s="310">
        <v>1.0</v>
      </c>
      <c r="R277" s="308" t="s">
        <v>534</v>
      </c>
      <c r="S277" s="308">
        <v>120.0</v>
      </c>
      <c r="T277" s="311"/>
      <c r="U277" s="308" t="s">
        <v>293</v>
      </c>
      <c r="V277" s="308" t="b">
        <v>1</v>
      </c>
      <c r="W277" s="308" t="b">
        <v>1</v>
      </c>
      <c r="X277" s="308"/>
      <c r="Y277" s="308" t="s">
        <v>5181</v>
      </c>
      <c r="Z277" s="308" t="s">
        <v>5182</v>
      </c>
      <c r="AA277" s="308" t="s">
        <v>5182</v>
      </c>
      <c r="AB277" s="308"/>
      <c r="AC277" s="308"/>
      <c r="AD277" s="308" t="s">
        <v>3081</v>
      </c>
      <c r="AE277" s="308">
        <v>179.0</v>
      </c>
      <c r="AF277" s="308" t="s">
        <v>3082</v>
      </c>
      <c r="AG277" s="308" t="s">
        <v>2955</v>
      </c>
      <c r="AH277" s="308">
        <v>3.492680257E9</v>
      </c>
      <c r="AI277" s="308" t="s">
        <v>5181</v>
      </c>
      <c r="AJ277" s="308" t="s">
        <v>5182</v>
      </c>
      <c r="AK277" s="308" t="s">
        <v>5182</v>
      </c>
      <c r="AL277" s="308"/>
      <c r="AM277" s="308"/>
      <c r="AN277" s="308" t="s">
        <v>3081</v>
      </c>
      <c r="AO277" s="308">
        <v>179.0</v>
      </c>
      <c r="AP277" s="308" t="s">
        <v>3082</v>
      </c>
      <c r="AQ277" s="308" t="s">
        <v>2955</v>
      </c>
      <c r="AR277" s="308">
        <v>3.492680257E9</v>
      </c>
      <c r="AS277" s="311"/>
      <c r="AT277" s="311"/>
      <c r="AU277" s="311"/>
      <c r="AV277" s="308" t="s">
        <v>2956</v>
      </c>
      <c r="AW277" s="308">
        <v>4.7908916691271E13</v>
      </c>
      <c r="AX277" s="310">
        <v>0.0</v>
      </c>
      <c r="AY277" s="308" t="s">
        <v>2974</v>
      </c>
      <c r="AZ277" s="308">
        <v>0.0</v>
      </c>
      <c r="BA277" s="311"/>
      <c r="BB277" s="311"/>
      <c r="BC277" s="311"/>
      <c r="BD277" s="308">
        <v>7.787787419975E12</v>
      </c>
      <c r="BE277" s="311"/>
      <c r="BF277" s="311"/>
      <c r="BG277" s="308" t="s">
        <v>2958</v>
      </c>
      <c r="BH277" s="308">
        <v>0.0</v>
      </c>
      <c r="BI277" s="308" t="s">
        <v>2959</v>
      </c>
      <c r="BJ277" s="308">
        <v>19.48</v>
      </c>
      <c r="BK277" s="311"/>
      <c r="BL277" s="311"/>
      <c r="BM277" s="311"/>
      <c r="BN277" s="311"/>
      <c r="BO277" s="311"/>
      <c r="BP277" s="311"/>
      <c r="BQ277" s="311"/>
      <c r="BR277" s="311"/>
      <c r="BS277" s="308"/>
      <c r="BT277" s="311"/>
      <c r="BU277" s="311"/>
      <c r="BV277" s="308" t="s">
        <v>3081</v>
      </c>
      <c r="BW277" s="308" t="s">
        <v>3081</v>
      </c>
      <c r="BX277" s="308" t="s">
        <v>2956</v>
      </c>
      <c r="BY277" s="311"/>
      <c r="BZ277" s="311"/>
      <c r="CA277" s="308" t="s">
        <v>2956</v>
      </c>
      <c r="CB277" s="312" t="str">
        <f t="shared" si="1"/>
        <v>01/06/2026</v>
      </c>
      <c r="CC277" s="313">
        <f t="shared" si="2"/>
        <v>2026</v>
      </c>
      <c r="CD277" s="314">
        <f t="shared" si="3"/>
        <v>6</v>
      </c>
      <c r="CE277" s="314">
        <f t="shared" si="4"/>
        <v>1</v>
      </c>
      <c r="CF277" s="314">
        <f t="shared" si="5"/>
        <v>1</v>
      </c>
      <c r="CG277" s="314">
        <f t="shared" si="6"/>
        <v>-5</v>
      </c>
      <c r="CH277" s="315">
        <f>VLOOKUP(CL277,'PRODUCT_COGS&amp;PRICE'!A:E,5,false)</f>
        <v>20</v>
      </c>
      <c r="CI277" s="315">
        <f t="shared" si="7"/>
        <v>-2.302</v>
      </c>
      <c r="CJ277" s="316">
        <f t="shared" si="8"/>
        <v>0</v>
      </c>
      <c r="CK277" s="316">
        <f t="shared" si="9"/>
        <v>12</v>
      </c>
      <c r="CL277" s="314" t="str">
        <f>VLOOKUP(R277,PRODUCT_MAP!A:B,2,FALSE)</f>
        <v>Lea_Bag_COCCO_PURPLE</v>
      </c>
      <c r="CM277" s="314" t="str">
        <f>VLOOKUP(R277,PRODUCT_MAP!A:E,3,FALSE)</f>
        <v>Lea Bag</v>
      </c>
    </row>
    <row r="278" ht="22.5" customHeight="1">
      <c r="A278" s="308" t="s">
        <v>5183</v>
      </c>
      <c r="B278" s="308" t="s">
        <v>5184</v>
      </c>
      <c r="C278" s="308" t="s">
        <v>2942</v>
      </c>
      <c r="D278" s="308" t="s">
        <v>5185</v>
      </c>
      <c r="E278" s="308" t="s">
        <v>3013</v>
      </c>
      <c r="F278" s="308"/>
      <c r="G278" s="308" t="s">
        <v>2965</v>
      </c>
      <c r="H278" s="308" t="s">
        <v>2947</v>
      </c>
      <c r="I278" s="308">
        <v>170.0</v>
      </c>
      <c r="J278" s="308">
        <v>0.0</v>
      </c>
      <c r="K278" s="308">
        <v>30.66</v>
      </c>
      <c r="L278" s="308">
        <v>170.0</v>
      </c>
      <c r="M278" s="308"/>
      <c r="N278" s="308">
        <v>0.0</v>
      </c>
      <c r="O278" s="308" t="s">
        <v>2948</v>
      </c>
      <c r="P278" s="308" t="s">
        <v>5186</v>
      </c>
      <c r="Q278" s="310">
        <v>1.0</v>
      </c>
      <c r="R278" s="308" t="s">
        <v>549</v>
      </c>
      <c r="S278" s="308">
        <v>170.0</v>
      </c>
      <c r="T278" s="311"/>
      <c r="U278" s="308" t="s">
        <v>5187</v>
      </c>
      <c r="V278" s="308" t="b">
        <v>1</v>
      </c>
      <c r="W278" s="308" t="b">
        <v>1</v>
      </c>
      <c r="X278" s="308"/>
      <c r="Y278" s="308" t="s">
        <v>5188</v>
      </c>
      <c r="Z278" s="308" t="s">
        <v>5189</v>
      </c>
      <c r="AA278" s="308" t="s">
        <v>5190</v>
      </c>
      <c r="AB278" s="308" t="s">
        <v>5191</v>
      </c>
      <c r="AC278" s="308"/>
      <c r="AD278" s="308" t="s">
        <v>3655</v>
      </c>
      <c r="AE278" s="308">
        <v>10125.0</v>
      </c>
      <c r="AF278" s="308" t="s">
        <v>3654</v>
      </c>
      <c r="AG278" s="308" t="s">
        <v>2955</v>
      </c>
      <c r="AH278" s="318" t="s">
        <v>5192</v>
      </c>
      <c r="AI278" s="308" t="s">
        <v>5188</v>
      </c>
      <c r="AJ278" s="308" t="s">
        <v>5189</v>
      </c>
      <c r="AK278" s="308" t="s">
        <v>5190</v>
      </c>
      <c r="AL278" s="308" t="s">
        <v>5191</v>
      </c>
      <c r="AM278" s="308"/>
      <c r="AN278" s="308" t="s">
        <v>3655</v>
      </c>
      <c r="AO278" s="308">
        <v>10125.0</v>
      </c>
      <c r="AP278" s="308" t="s">
        <v>3654</v>
      </c>
      <c r="AQ278" s="308" t="s">
        <v>2955</v>
      </c>
      <c r="AR278" s="318" t="s">
        <v>5192</v>
      </c>
      <c r="AS278" s="311"/>
      <c r="AT278" s="311"/>
      <c r="AU278" s="311"/>
      <c r="AV278" s="308" t="s">
        <v>2956</v>
      </c>
      <c r="AW278" s="308">
        <v>4.7908898308423E13</v>
      </c>
      <c r="AX278" s="310">
        <v>0.0</v>
      </c>
      <c r="AY278" s="308" t="s">
        <v>2974</v>
      </c>
      <c r="AZ278" s="308">
        <v>0.0</v>
      </c>
      <c r="BA278" s="311"/>
      <c r="BB278" s="311"/>
      <c r="BC278" s="311"/>
      <c r="BD278" s="308">
        <v>7.787977081159E12</v>
      </c>
      <c r="BE278" s="311"/>
      <c r="BF278" s="311"/>
      <c r="BG278" s="308" t="s">
        <v>2958</v>
      </c>
      <c r="BH278" s="308">
        <v>0.0</v>
      </c>
      <c r="BI278" s="308" t="s">
        <v>2959</v>
      </c>
      <c r="BJ278" s="308">
        <v>30.66</v>
      </c>
      <c r="BK278" s="311"/>
      <c r="BL278" s="311"/>
      <c r="BM278" s="311"/>
      <c r="BN278" s="311"/>
      <c r="BO278" s="311"/>
      <c r="BP278" s="311"/>
      <c r="BQ278" s="311"/>
      <c r="BR278" s="311"/>
      <c r="BS278" s="308"/>
      <c r="BT278" s="311"/>
      <c r="BU278" s="311"/>
      <c r="BV278" s="308" t="s">
        <v>3655</v>
      </c>
      <c r="BW278" s="308" t="s">
        <v>3655</v>
      </c>
      <c r="BX278" s="308" t="s">
        <v>2956</v>
      </c>
      <c r="BY278" s="311"/>
      <c r="BZ278" s="311"/>
      <c r="CA278" s="308" t="s">
        <v>2956</v>
      </c>
      <c r="CB278" s="312" t="str">
        <f t="shared" si="1"/>
        <v>01/06/2026</v>
      </c>
      <c r="CC278" s="313">
        <f t="shared" si="2"/>
        <v>2026</v>
      </c>
      <c r="CD278" s="314">
        <f t="shared" si="3"/>
        <v>6</v>
      </c>
      <c r="CE278" s="314">
        <f t="shared" si="4"/>
        <v>1</v>
      </c>
      <c r="CF278" s="314">
        <f t="shared" si="5"/>
        <v>1</v>
      </c>
      <c r="CG278" s="314">
        <f t="shared" si="6"/>
        <v>-5</v>
      </c>
      <c r="CH278" s="315">
        <f>VLOOKUP(CL278,'PRODUCT_COGS&amp;PRICE'!A:E,5,false)</f>
        <v>36</v>
      </c>
      <c r="CI278" s="315">
        <f t="shared" si="7"/>
        <v>-3.48</v>
      </c>
      <c r="CJ278" s="316">
        <f t="shared" si="8"/>
        <v>0</v>
      </c>
      <c r="CK278" s="316">
        <f t="shared" si="9"/>
        <v>0</v>
      </c>
      <c r="CL278" s="314" t="str">
        <f>VLOOKUP(R278,PRODUCT_MAP!A:B,2,FALSE)</f>
        <v>Lea_Bag_Maxi_COCCO_BLACK</v>
      </c>
      <c r="CM278" s="314" t="str">
        <f>VLOOKUP(R278,PRODUCT_MAP!A:E,3,FALSE)</f>
        <v>Lea Bag Maxi</v>
      </c>
    </row>
    <row r="279" ht="22.5" customHeight="1">
      <c r="A279" s="308" t="s">
        <v>5193</v>
      </c>
      <c r="B279" s="308" t="s">
        <v>5194</v>
      </c>
      <c r="C279" s="308" t="s">
        <v>2942</v>
      </c>
      <c r="D279" s="308" t="s">
        <v>5195</v>
      </c>
      <c r="E279" s="308" t="s">
        <v>3013</v>
      </c>
      <c r="F279" s="308"/>
      <c r="G279" s="308" t="s">
        <v>2946</v>
      </c>
      <c r="H279" s="308" t="s">
        <v>2947</v>
      </c>
      <c r="I279" s="308">
        <v>108.0</v>
      </c>
      <c r="J279" s="308">
        <v>0.0</v>
      </c>
      <c r="K279" s="308">
        <v>19.48</v>
      </c>
      <c r="L279" s="308">
        <v>108.0</v>
      </c>
      <c r="M279" s="308" t="s">
        <v>3221</v>
      </c>
      <c r="N279" s="308">
        <v>12.0</v>
      </c>
      <c r="O279" s="308" t="s">
        <v>2948</v>
      </c>
      <c r="P279" s="308" t="s">
        <v>5195</v>
      </c>
      <c r="Q279" s="310">
        <v>1.0</v>
      </c>
      <c r="R279" s="308" t="s">
        <v>524</v>
      </c>
      <c r="S279" s="308">
        <v>120.0</v>
      </c>
      <c r="T279" s="311"/>
      <c r="U279" s="308" t="s">
        <v>300</v>
      </c>
      <c r="V279" s="308" t="b">
        <v>1</v>
      </c>
      <c r="W279" s="308" t="b">
        <v>1</v>
      </c>
      <c r="X279" s="308"/>
      <c r="Y279" s="308" t="s">
        <v>5196</v>
      </c>
      <c r="Z279" s="308" t="s">
        <v>5197</v>
      </c>
      <c r="AA279" s="308" t="s">
        <v>5198</v>
      </c>
      <c r="AB279" s="308" t="s">
        <v>5199</v>
      </c>
      <c r="AC279" s="308"/>
      <c r="AD279" s="308" t="s">
        <v>3068</v>
      </c>
      <c r="AE279" s="308">
        <v>40126.0</v>
      </c>
      <c r="AF279" s="308" t="s">
        <v>3069</v>
      </c>
      <c r="AG279" s="308" t="s">
        <v>2955</v>
      </c>
      <c r="AH279" s="308">
        <v>3.385733054E9</v>
      </c>
      <c r="AI279" s="308" t="s">
        <v>5196</v>
      </c>
      <c r="AJ279" s="308" t="s">
        <v>5197</v>
      </c>
      <c r="AK279" s="308" t="s">
        <v>5198</v>
      </c>
      <c r="AL279" s="308" t="s">
        <v>5199</v>
      </c>
      <c r="AM279" s="308"/>
      <c r="AN279" s="308" t="s">
        <v>3068</v>
      </c>
      <c r="AO279" s="308">
        <v>40126.0</v>
      </c>
      <c r="AP279" s="308" t="s">
        <v>3069</v>
      </c>
      <c r="AQ279" s="308" t="s">
        <v>2955</v>
      </c>
      <c r="AR279" s="308">
        <v>3.385733054E9</v>
      </c>
      <c r="AS279" s="311"/>
      <c r="AT279" s="311"/>
      <c r="AU279" s="311"/>
      <c r="AV279" s="308" t="s">
        <v>3009</v>
      </c>
      <c r="AW279" s="308">
        <v>4.7909335695687E13</v>
      </c>
      <c r="AX279" s="310">
        <v>0.0</v>
      </c>
      <c r="AY279" s="308" t="s">
        <v>2974</v>
      </c>
      <c r="AZ279" s="308">
        <v>0.0</v>
      </c>
      <c r="BA279" s="311"/>
      <c r="BB279" s="311"/>
      <c r="BC279" s="311"/>
      <c r="BD279" s="308">
        <v>7.788046451015E12</v>
      </c>
      <c r="BE279" s="311"/>
      <c r="BF279" s="311"/>
      <c r="BG279" s="308" t="s">
        <v>2958</v>
      </c>
      <c r="BH279" s="308">
        <v>0.0</v>
      </c>
      <c r="BI279" s="308" t="s">
        <v>2959</v>
      </c>
      <c r="BJ279" s="308">
        <v>19.48</v>
      </c>
      <c r="BK279" s="311"/>
      <c r="BL279" s="311"/>
      <c r="BM279" s="311"/>
      <c r="BN279" s="311"/>
      <c r="BO279" s="311"/>
      <c r="BP279" s="311"/>
      <c r="BQ279" s="311"/>
      <c r="BR279" s="311"/>
      <c r="BS279" s="308"/>
      <c r="BT279" s="311"/>
      <c r="BU279" s="311"/>
      <c r="BV279" s="308" t="s">
        <v>3068</v>
      </c>
      <c r="BW279" s="308" t="s">
        <v>3068</v>
      </c>
      <c r="BX279" s="308" t="s">
        <v>3009</v>
      </c>
      <c r="BY279" s="311"/>
      <c r="BZ279" s="311"/>
      <c r="CA279" s="308" t="s">
        <v>3009</v>
      </c>
      <c r="CB279" s="312" t="str">
        <f t="shared" si="1"/>
        <v>01/06/2026</v>
      </c>
      <c r="CC279" s="313">
        <f t="shared" si="2"/>
        <v>2026</v>
      </c>
      <c r="CD279" s="314">
        <f t="shared" si="3"/>
        <v>6</v>
      </c>
      <c r="CE279" s="314">
        <f t="shared" si="4"/>
        <v>1</v>
      </c>
      <c r="CF279" s="314">
        <f t="shared" si="5"/>
        <v>1</v>
      </c>
      <c r="CG279" s="314">
        <f t="shared" si="6"/>
        <v>-5</v>
      </c>
      <c r="CH279" s="315">
        <f>VLOOKUP(CL279,'PRODUCT_COGS&amp;PRICE'!A:E,5,false)</f>
        <v>20</v>
      </c>
      <c r="CI279" s="315">
        <f t="shared" si="7"/>
        <v>-4.1192</v>
      </c>
      <c r="CJ279" s="316">
        <f t="shared" si="8"/>
        <v>0</v>
      </c>
      <c r="CK279" s="316">
        <f t="shared" si="9"/>
        <v>12</v>
      </c>
      <c r="CL279" s="314" t="str">
        <f>VLOOKUP(R279,PRODUCT_MAP!A:B,2,FALSE)</f>
        <v>Lea_Bag_COCCO_GREEN</v>
      </c>
      <c r="CM279" s="314" t="str">
        <f>VLOOKUP(R279,PRODUCT_MAP!A:E,3,FALSE)</f>
        <v>Lea Bag</v>
      </c>
    </row>
    <row r="280" ht="22.5" customHeight="1">
      <c r="A280" s="308" t="s">
        <v>5200</v>
      </c>
      <c r="B280" s="308" t="s">
        <v>5201</v>
      </c>
      <c r="C280" s="308" t="s">
        <v>2942</v>
      </c>
      <c r="D280" s="308" t="s">
        <v>5202</v>
      </c>
      <c r="E280" s="308" t="s">
        <v>3013</v>
      </c>
      <c r="F280" s="308"/>
      <c r="G280" s="308" t="s">
        <v>2946</v>
      </c>
      <c r="H280" s="308" t="s">
        <v>2947</v>
      </c>
      <c r="I280" s="308">
        <v>80.0</v>
      </c>
      <c r="J280" s="308">
        <v>3.9</v>
      </c>
      <c r="K280" s="308">
        <v>15.13</v>
      </c>
      <c r="L280" s="308">
        <v>83.9</v>
      </c>
      <c r="M280" s="308"/>
      <c r="N280" s="308">
        <v>0.0</v>
      </c>
      <c r="O280" s="308" t="s">
        <v>2948</v>
      </c>
      <c r="P280" s="308" t="s">
        <v>5203</v>
      </c>
      <c r="Q280" s="310">
        <v>1.0</v>
      </c>
      <c r="R280" s="308" t="s">
        <v>3876</v>
      </c>
      <c r="S280" s="308">
        <v>80.0</v>
      </c>
      <c r="T280" s="311"/>
      <c r="U280" s="308" t="s">
        <v>273</v>
      </c>
      <c r="V280" s="308" t="b">
        <v>1</v>
      </c>
      <c r="W280" s="308" t="b">
        <v>1</v>
      </c>
      <c r="X280" s="308"/>
      <c r="Y280" s="308" t="s">
        <v>5204</v>
      </c>
      <c r="Z280" s="308" t="s">
        <v>5205</v>
      </c>
      <c r="AA280" s="308" t="s">
        <v>5205</v>
      </c>
      <c r="AB280" s="308"/>
      <c r="AC280" s="308"/>
      <c r="AD280" s="308" t="s">
        <v>4664</v>
      </c>
      <c r="AE280" s="308">
        <v>89123.0</v>
      </c>
      <c r="AF280" s="308" t="s">
        <v>4665</v>
      </c>
      <c r="AG280" s="308" t="s">
        <v>2955</v>
      </c>
      <c r="AH280" s="308">
        <v>3.495844878E9</v>
      </c>
      <c r="AI280" s="308" t="s">
        <v>5204</v>
      </c>
      <c r="AJ280" s="308" t="s">
        <v>5205</v>
      </c>
      <c r="AK280" s="308" t="s">
        <v>5205</v>
      </c>
      <c r="AL280" s="308"/>
      <c r="AM280" s="308"/>
      <c r="AN280" s="308" t="s">
        <v>4664</v>
      </c>
      <c r="AO280" s="308">
        <v>89123.0</v>
      </c>
      <c r="AP280" s="308" t="s">
        <v>4665</v>
      </c>
      <c r="AQ280" s="308" t="s">
        <v>2955</v>
      </c>
      <c r="AR280" s="308">
        <v>3.495844878E9</v>
      </c>
      <c r="AS280" s="311"/>
      <c r="AT280" s="311"/>
      <c r="AU280" s="311"/>
      <c r="AV280" s="308" t="s">
        <v>3009</v>
      </c>
      <c r="AW280" s="308">
        <v>4.7909561041223E13</v>
      </c>
      <c r="AX280" s="310">
        <v>0.0</v>
      </c>
      <c r="AY280" s="308" t="s">
        <v>2974</v>
      </c>
      <c r="AZ280" s="308">
        <v>0.0</v>
      </c>
      <c r="BA280" s="311"/>
      <c r="BB280" s="311"/>
      <c r="BC280" s="311"/>
      <c r="BD280" s="308">
        <v>7.788163170631E12</v>
      </c>
      <c r="BE280" s="311"/>
      <c r="BF280" s="311"/>
      <c r="BG280" s="308" t="s">
        <v>2958</v>
      </c>
      <c r="BH280" s="308">
        <v>0.0</v>
      </c>
      <c r="BI280" s="308" t="s">
        <v>2959</v>
      </c>
      <c r="BJ280" s="308">
        <v>14.43</v>
      </c>
      <c r="BK280" s="311"/>
      <c r="BL280" s="311"/>
      <c r="BM280" s="311"/>
      <c r="BN280" s="311"/>
      <c r="BO280" s="311"/>
      <c r="BP280" s="311"/>
      <c r="BQ280" s="311"/>
      <c r="BR280" s="311"/>
      <c r="BS280" s="308"/>
      <c r="BT280" s="311"/>
      <c r="BU280" s="311"/>
      <c r="BV280" s="308" t="s">
        <v>4664</v>
      </c>
      <c r="BW280" s="308" t="s">
        <v>4664</v>
      </c>
      <c r="BX280" s="308" t="s">
        <v>3009</v>
      </c>
      <c r="BY280" s="311"/>
      <c r="BZ280" s="311"/>
      <c r="CA280" s="308" t="s">
        <v>3009</v>
      </c>
      <c r="CB280" s="312" t="str">
        <f t="shared" si="1"/>
        <v>01/06/2026</v>
      </c>
      <c r="CC280" s="313">
        <f t="shared" si="2"/>
        <v>2026</v>
      </c>
      <c r="CD280" s="314">
        <f t="shared" si="3"/>
        <v>6</v>
      </c>
      <c r="CE280" s="314">
        <f t="shared" si="4"/>
        <v>1</v>
      </c>
      <c r="CF280" s="314">
        <f t="shared" si="5"/>
        <v>1</v>
      </c>
      <c r="CG280" s="314">
        <f t="shared" si="6"/>
        <v>0</v>
      </c>
      <c r="CH280" s="315">
        <f>VLOOKUP(CL280,'PRODUCT_COGS&amp;PRICE'!A:E,5,false)</f>
        <v>19</v>
      </c>
      <c r="CI280" s="315">
        <f t="shared" si="7"/>
        <v>-3.27811</v>
      </c>
      <c r="CJ280" s="316">
        <f t="shared" si="8"/>
        <v>0</v>
      </c>
      <c r="CK280" s="316">
        <f t="shared" si="9"/>
        <v>0</v>
      </c>
      <c r="CL280" s="314" t="str">
        <f>VLOOKUP(R280,PRODUCT_MAP!A:B,2,FALSE)</f>
        <v>Agata_Bag_FLORAL_PINK_EMBROIDERY</v>
      </c>
      <c r="CM280" s="314" t="str">
        <f>VLOOKUP(R280,PRODUCT_MAP!A:E,3,FALSE)</f>
        <v>Agata Bag</v>
      </c>
    </row>
    <row r="281" ht="22.5" customHeight="1">
      <c r="A281" s="308" t="s">
        <v>5206</v>
      </c>
      <c r="B281" s="308" t="s">
        <v>5207</v>
      </c>
      <c r="C281" s="308" t="s">
        <v>2942</v>
      </c>
      <c r="D281" s="308" t="s">
        <v>5208</v>
      </c>
      <c r="E281" s="308" t="s">
        <v>3013</v>
      </c>
      <c r="F281" s="308"/>
      <c r="G281" s="308" t="s">
        <v>2946</v>
      </c>
      <c r="H281" s="308" t="s">
        <v>2947</v>
      </c>
      <c r="I281" s="308">
        <v>157.5</v>
      </c>
      <c r="J281" s="308">
        <v>0.0</v>
      </c>
      <c r="K281" s="308">
        <v>28.4</v>
      </c>
      <c r="L281" s="308">
        <v>157.5</v>
      </c>
      <c r="M281" s="308" t="s">
        <v>3094</v>
      </c>
      <c r="N281" s="308">
        <v>17.5</v>
      </c>
      <c r="O281" s="308" t="s">
        <v>2948</v>
      </c>
      <c r="P281" s="308" t="s">
        <v>5209</v>
      </c>
      <c r="Q281" s="310">
        <v>1.0</v>
      </c>
      <c r="R281" s="308" t="s">
        <v>768</v>
      </c>
      <c r="S281" s="308">
        <v>175.0</v>
      </c>
      <c r="T281" s="311"/>
      <c r="U281" s="308" t="s">
        <v>210</v>
      </c>
      <c r="V281" s="308" t="b">
        <v>1</v>
      </c>
      <c r="W281" s="308" t="b">
        <v>1</v>
      </c>
      <c r="X281" s="308"/>
      <c r="Y281" s="308" t="s">
        <v>5210</v>
      </c>
      <c r="Z281" s="308" t="s">
        <v>5211</v>
      </c>
      <c r="AA281" s="308" t="s">
        <v>5212</v>
      </c>
      <c r="AB281" s="308" t="s">
        <v>5213</v>
      </c>
      <c r="AC281" s="308"/>
      <c r="AD281" s="308" t="s">
        <v>3007</v>
      </c>
      <c r="AE281" s="308">
        <v>80128.0</v>
      </c>
      <c r="AF281" s="308" t="s">
        <v>3008</v>
      </c>
      <c r="AG281" s="308" t="s">
        <v>2955</v>
      </c>
      <c r="AH281" s="308">
        <v>3.34351331E9</v>
      </c>
      <c r="AI281" s="308" t="s">
        <v>5210</v>
      </c>
      <c r="AJ281" s="308" t="s">
        <v>5211</v>
      </c>
      <c r="AK281" s="308" t="s">
        <v>5212</v>
      </c>
      <c r="AL281" s="308" t="s">
        <v>5213</v>
      </c>
      <c r="AM281" s="308"/>
      <c r="AN281" s="308" t="s">
        <v>3007</v>
      </c>
      <c r="AO281" s="308">
        <v>80128.0</v>
      </c>
      <c r="AP281" s="308" t="s">
        <v>3008</v>
      </c>
      <c r="AQ281" s="308" t="s">
        <v>2955</v>
      </c>
      <c r="AR281" s="308">
        <v>3.34351331E9</v>
      </c>
      <c r="AS281" s="311"/>
      <c r="AT281" s="311"/>
      <c r="AU281" s="311"/>
      <c r="AV281" s="308" t="s">
        <v>3009</v>
      </c>
      <c r="AW281" s="308">
        <v>4.7909586436423E13</v>
      </c>
      <c r="AX281" s="310">
        <v>0.0</v>
      </c>
      <c r="AY281" s="308" t="s">
        <v>2974</v>
      </c>
      <c r="AZ281" s="308">
        <v>0.0</v>
      </c>
      <c r="BA281" s="311"/>
      <c r="BB281" s="311"/>
      <c r="BC281" s="311"/>
      <c r="BD281" s="308">
        <v>7.788188369223E12</v>
      </c>
      <c r="BE281" s="311"/>
      <c r="BF281" s="311"/>
      <c r="BG281" s="308" t="s">
        <v>2958</v>
      </c>
      <c r="BH281" s="308">
        <v>0.0</v>
      </c>
      <c r="BI281" s="308" t="s">
        <v>2959</v>
      </c>
      <c r="BJ281" s="308">
        <v>28.4</v>
      </c>
      <c r="BK281" s="311"/>
      <c r="BL281" s="311"/>
      <c r="BM281" s="311"/>
      <c r="BN281" s="311"/>
      <c r="BO281" s="311"/>
      <c r="BP281" s="311"/>
      <c r="BQ281" s="311"/>
      <c r="BR281" s="311"/>
      <c r="BS281" s="308"/>
      <c r="BT281" s="311"/>
      <c r="BU281" s="311"/>
      <c r="BV281" s="308" t="s">
        <v>3007</v>
      </c>
      <c r="BW281" s="308" t="s">
        <v>3007</v>
      </c>
      <c r="BX281" s="308" t="s">
        <v>3009</v>
      </c>
      <c r="BY281" s="311"/>
      <c r="BZ281" s="311"/>
      <c r="CA281" s="308" t="s">
        <v>3009</v>
      </c>
      <c r="CB281" s="312" t="str">
        <f t="shared" si="1"/>
        <v>01/06/2026</v>
      </c>
      <c r="CC281" s="313">
        <f t="shared" si="2"/>
        <v>2026</v>
      </c>
      <c r="CD281" s="314">
        <f t="shared" si="3"/>
        <v>6</v>
      </c>
      <c r="CE281" s="314">
        <f t="shared" si="4"/>
        <v>1</v>
      </c>
      <c r="CF281" s="314">
        <f t="shared" si="5"/>
        <v>1</v>
      </c>
      <c r="CG281" s="314">
        <f t="shared" si="6"/>
        <v>-5</v>
      </c>
      <c r="CH281" s="315">
        <f>VLOOKUP(CL281,'PRODUCT_COGS&amp;PRICE'!A:E,5,false)</f>
        <v>52.5</v>
      </c>
      <c r="CI281" s="315">
        <f t="shared" si="7"/>
        <v>-5.84675</v>
      </c>
      <c r="CJ281" s="316">
        <f t="shared" si="8"/>
        <v>0</v>
      </c>
      <c r="CK281" s="316">
        <f t="shared" si="9"/>
        <v>17.5</v>
      </c>
      <c r="CL281" s="314" t="str">
        <f>VLOOKUP(R281,PRODUCT_MAP!A:B,2,FALSE)</f>
        <v>Valentina_Bag_CHOCOLATE</v>
      </c>
      <c r="CM281" s="314" t="str">
        <f>VLOOKUP(R281,PRODUCT_MAP!A:E,3,FALSE)</f>
        <v>Valentina Bag</v>
      </c>
    </row>
    <row r="282" ht="22.5" customHeight="1">
      <c r="A282" s="308" t="s">
        <v>5214</v>
      </c>
      <c r="B282" s="308" t="s">
        <v>5215</v>
      </c>
      <c r="C282" s="308" t="s">
        <v>2942</v>
      </c>
      <c r="D282" s="308" t="s">
        <v>5216</v>
      </c>
      <c r="E282" s="308" t="s">
        <v>3013</v>
      </c>
      <c r="F282" s="308"/>
      <c r="G282" s="308" t="s">
        <v>2965</v>
      </c>
      <c r="H282" s="308" t="s">
        <v>2947</v>
      </c>
      <c r="I282" s="308">
        <v>80.0</v>
      </c>
      <c r="J282" s="308">
        <v>3.9</v>
      </c>
      <c r="K282" s="308">
        <v>15.13</v>
      </c>
      <c r="L282" s="308">
        <v>83.9</v>
      </c>
      <c r="M282" s="308"/>
      <c r="N282" s="308">
        <v>0.0</v>
      </c>
      <c r="O282" s="308" t="s">
        <v>2948</v>
      </c>
      <c r="P282" s="308" t="s">
        <v>5217</v>
      </c>
      <c r="Q282" s="310">
        <v>1.0</v>
      </c>
      <c r="R282" s="308" t="s">
        <v>4015</v>
      </c>
      <c r="S282" s="308">
        <v>80.0</v>
      </c>
      <c r="T282" s="311"/>
      <c r="U282" s="308" t="s">
        <v>5093</v>
      </c>
      <c r="V282" s="308" t="b">
        <v>1</v>
      </c>
      <c r="W282" s="308" t="b">
        <v>1</v>
      </c>
      <c r="X282" s="308"/>
      <c r="Y282" s="308" t="s">
        <v>5218</v>
      </c>
      <c r="Z282" s="308" t="s">
        <v>5219</v>
      </c>
      <c r="AA282" s="308" t="s">
        <v>5220</v>
      </c>
      <c r="AB282" s="308">
        <v>202.0</v>
      </c>
      <c r="AC282" s="308"/>
      <c r="AD282" s="308" t="s">
        <v>23</v>
      </c>
      <c r="AE282" s="308">
        <v>20154.0</v>
      </c>
      <c r="AF282" s="308" t="s">
        <v>2954</v>
      </c>
      <c r="AG282" s="308" t="s">
        <v>2955</v>
      </c>
      <c r="AH282" s="308">
        <v>3.336653258E9</v>
      </c>
      <c r="AI282" s="308" t="s">
        <v>5218</v>
      </c>
      <c r="AJ282" s="308" t="s">
        <v>5219</v>
      </c>
      <c r="AK282" s="308" t="s">
        <v>5220</v>
      </c>
      <c r="AL282" s="308">
        <v>202.0</v>
      </c>
      <c r="AM282" s="308"/>
      <c r="AN282" s="308" t="s">
        <v>23</v>
      </c>
      <c r="AO282" s="308">
        <v>20154.0</v>
      </c>
      <c r="AP282" s="308" t="s">
        <v>2954</v>
      </c>
      <c r="AQ282" s="308" t="s">
        <v>2955</v>
      </c>
      <c r="AR282" s="308">
        <v>3.336653258E9</v>
      </c>
      <c r="AS282" s="311"/>
      <c r="AT282" s="311"/>
      <c r="AU282" s="311"/>
      <c r="AV282" s="308" t="s">
        <v>3009</v>
      </c>
      <c r="AW282" s="308">
        <v>4.7909731139911E13</v>
      </c>
      <c r="AX282" s="310">
        <v>0.0</v>
      </c>
      <c r="AY282" s="308" t="s">
        <v>2974</v>
      </c>
      <c r="AZ282" s="308">
        <v>0.0</v>
      </c>
      <c r="BA282" s="311"/>
      <c r="BB282" s="311"/>
      <c r="BC282" s="311"/>
      <c r="BD282" s="308">
        <v>7.788252725575E12</v>
      </c>
      <c r="BE282" s="311"/>
      <c r="BF282" s="311"/>
      <c r="BG282" s="308" t="s">
        <v>2958</v>
      </c>
      <c r="BH282" s="308">
        <v>0.0</v>
      </c>
      <c r="BI282" s="308" t="s">
        <v>2959</v>
      </c>
      <c r="BJ282" s="308">
        <v>14.43</v>
      </c>
      <c r="BK282" s="311"/>
      <c r="BL282" s="311"/>
      <c r="BM282" s="311"/>
      <c r="BN282" s="311"/>
      <c r="BO282" s="311"/>
      <c r="BP282" s="311"/>
      <c r="BQ282" s="311"/>
      <c r="BR282" s="311"/>
      <c r="BS282" s="308"/>
      <c r="BT282" s="311"/>
      <c r="BU282" s="311"/>
      <c r="BV282" s="308" t="s">
        <v>23</v>
      </c>
      <c r="BW282" s="308" t="s">
        <v>23</v>
      </c>
      <c r="BX282" s="308" t="s">
        <v>3009</v>
      </c>
      <c r="BY282" s="311"/>
      <c r="BZ282" s="311"/>
      <c r="CA282" s="308" t="s">
        <v>3009</v>
      </c>
      <c r="CB282" s="312" t="str">
        <f t="shared" si="1"/>
        <v>01/06/2026</v>
      </c>
      <c r="CC282" s="313">
        <f t="shared" si="2"/>
        <v>2026</v>
      </c>
      <c r="CD282" s="314">
        <f t="shared" si="3"/>
        <v>6</v>
      </c>
      <c r="CE282" s="314">
        <f t="shared" si="4"/>
        <v>1</v>
      </c>
      <c r="CF282" s="314">
        <f t="shared" si="5"/>
        <v>1</v>
      </c>
      <c r="CG282" s="314">
        <f t="shared" si="6"/>
        <v>0</v>
      </c>
      <c r="CH282" s="315">
        <f>VLOOKUP(CL282,'PRODUCT_COGS&amp;PRICE'!A:E,5,false)</f>
        <v>19</v>
      </c>
      <c r="CI282" s="315">
        <f t="shared" si="7"/>
        <v>-3.27811</v>
      </c>
      <c r="CJ282" s="316">
        <f t="shared" si="8"/>
        <v>0</v>
      </c>
      <c r="CK282" s="316">
        <f t="shared" si="9"/>
        <v>0</v>
      </c>
      <c r="CL282" s="314" t="str">
        <f>VLOOKUP(R282,PRODUCT_MAP!A:B,2,FALSE)</f>
        <v>Agata_Bag_ROSE_PINK</v>
      </c>
      <c r="CM282" s="314" t="str">
        <f>VLOOKUP(R282,PRODUCT_MAP!A:E,3,FALSE)</f>
        <v>Agata Bag</v>
      </c>
    </row>
    <row r="283" ht="22.5" customHeight="1">
      <c r="A283" s="308" t="s">
        <v>5221</v>
      </c>
      <c r="B283" s="308" t="s">
        <v>5222</v>
      </c>
      <c r="C283" s="308" t="s">
        <v>4329</v>
      </c>
      <c r="D283" s="308" t="s">
        <v>5223</v>
      </c>
      <c r="E283" s="308" t="s">
        <v>3013</v>
      </c>
      <c r="F283" s="308"/>
      <c r="G283" s="308" t="s">
        <v>2946</v>
      </c>
      <c r="H283" s="308" t="s">
        <v>2947</v>
      </c>
      <c r="I283" s="308">
        <v>120.0</v>
      </c>
      <c r="J283" s="308">
        <v>0.0</v>
      </c>
      <c r="K283" s="308">
        <v>21.64</v>
      </c>
      <c r="L283" s="308">
        <v>120.0</v>
      </c>
      <c r="M283" s="308"/>
      <c r="N283" s="308">
        <v>0.0</v>
      </c>
      <c r="O283" s="308" t="s">
        <v>2948</v>
      </c>
      <c r="P283" s="308" t="s">
        <v>5224</v>
      </c>
      <c r="Q283" s="310">
        <v>1.0</v>
      </c>
      <c r="R283" s="308" t="s">
        <v>519</v>
      </c>
      <c r="S283" s="308">
        <v>120.0</v>
      </c>
      <c r="T283" s="311"/>
      <c r="U283" s="308" t="s">
        <v>291</v>
      </c>
      <c r="V283" s="308" t="b">
        <v>1</v>
      </c>
      <c r="W283" s="308" t="b">
        <v>1</v>
      </c>
      <c r="X283" s="308"/>
      <c r="Y283" s="308" t="s">
        <v>5225</v>
      </c>
      <c r="Z283" s="308" t="s">
        <v>5226</v>
      </c>
      <c r="AA283" s="308" t="s">
        <v>5227</v>
      </c>
      <c r="AB283" s="308" t="s">
        <v>5228</v>
      </c>
      <c r="AC283" s="308"/>
      <c r="AD283" s="308" t="s">
        <v>5229</v>
      </c>
      <c r="AE283" s="308">
        <v>26900.0</v>
      </c>
      <c r="AF283" s="308" t="s">
        <v>5230</v>
      </c>
      <c r="AG283" s="308" t="s">
        <v>2955</v>
      </c>
      <c r="AH283" s="318" t="s">
        <v>5231</v>
      </c>
      <c r="AI283" s="308" t="s">
        <v>5225</v>
      </c>
      <c r="AJ283" s="308" t="s">
        <v>5226</v>
      </c>
      <c r="AK283" s="308" t="s">
        <v>5227</v>
      </c>
      <c r="AL283" s="308" t="s">
        <v>5228</v>
      </c>
      <c r="AM283" s="308"/>
      <c r="AN283" s="308" t="s">
        <v>5229</v>
      </c>
      <c r="AO283" s="308">
        <v>26900.0</v>
      </c>
      <c r="AP283" s="308" t="s">
        <v>5230</v>
      </c>
      <c r="AQ283" s="308" t="s">
        <v>2955</v>
      </c>
      <c r="AR283" s="318" t="s">
        <v>5231</v>
      </c>
      <c r="AS283" s="311"/>
      <c r="AT283" s="311"/>
      <c r="AU283" s="311"/>
      <c r="AV283" s="308" t="s">
        <v>2956</v>
      </c>
      <c r="AW283" s="308">
        <v>4.7911655407943E13</v>
      </c>
      <c r="AX283" s="310">
        <v>120.0</v>
      </c>
      <c r="AY283" s="308" t="s">
        <v>2974</v>
      </c>
      <c r="AZ283" s="308">
        <v>0.0</v>
      </c>
      <c r="BA283" s="311"/>
      <c r="BB283" s="311"/>
      <c r="BC283" s="311"/>
      <c r="BD283" s="308">
        <v>7.790371373383E12</v>
      </c>
      <c r="BE283" s="311"/>
      <c r="BF283" s="311"/>
      <c r="BG283" s="308" t="s">
        <v>2958</v>
      </c>
      <c r="BH283" s="308">
        <v>0.0</v>
      </c>
      <c r="BI283" s="308" t="s">
        <v>2959</v>
      </c>
      <c r="BJ283" s="308">
        <v>21.64</v>
      </c>
      <c r="BK283" s="311"/>
      <c r="BL283" s="311"/>
      <c r="BM283" s="311"/>
      <c r="BN283" s="311"/>
      <c r="BO283" s="311"/>
      <c r="BP283" s="311"/>
      <c r="BQ283" s="311"/>
      <c r="BR283" s="311"/>
      <c r="BS283" s="308"/>
      <c r="BT283" s="311"/>
      <c r="BU283" s="311"/>
      <c r="BV283" s="308" t="s">
        <v>5229</v>
      </c>
      <c r="BW283" s="308" t="s">
        <v>5229</v>
      </c>
      <c r="BX283" s="308" t="s">
        <v>2956</v>
      </c>
      <c r="BY283" s="311"/>
      <c r="BZ283" s="311"/>
      <c r="CA283" s="308" t="s">
        <v>2956</v>
      </c>
      <c r="CB283" s="312" t="str">
        <f t="shared" si="1"/>
        <v>02/06/2026</v>
      </c>
      <c r="CC283" s="313">
        <f t="shared" si="2"/>
        <v>2026</v>
      </c>
      <c r="CD283" s="314">
        <f t="shared" si="3"/>
        <v>6</v>
      </c>
      <c r="CE283" s="314">
        <f t="shared" si="4"/>
        <v>0</v>
      </c>
      <c r="CF283" s="314">
        <f t="shared" si="5"/>
        <v>0</v>
      </c>
      <c r="CG283" s="314">
        <f t="shared" si="6"/>
        <v>0</v>
      </c>
      <c r="CH283" s="315">
        <f>VLOOKUP(CL283,'PRODUCT_COGS&amp;PRICE'!A:E,5,false)</f>
        <v>20</v>
      </c>
      <c r="CI283" s="315">
        <f t="shared" si="7"/>
        <v>-2.53</v>
      </c>
      <c r="CJ283" s="316">
        <f t="shared" si="8"/>
        <v>0</v>
      </c>
      <c r="CK283" s="316">
        <f t="shared" si="9"/>
        <v>0</v>
      </c>
      <c r="CL283" s="314" t="str">
        <f>VLOOKUP(R283,PRODUCT_MAP!A:B,2,FALSE)</f>
        <v>Lea_Bag_COCCO_BEIGE</v>
      </c>
      <c r="CM283" s="314" t="str">
        <f>VLOOKUP(R283,PRODUCT_MAP!A:E,3,FALSE)</f>
        <v>Lea Bag</v>
      </c>
    </row>
    <row r="284" ht="22.5" customHeight="1">
      <c r="A284" s="308" t="s">
        <v>5232</v>
      </c>
      <c r="B284" s="308" t="s">
        <v>5233</v>
      </c>
      <c r="C284" s="308" t="s">
        <v>2942</v>
      </c>
      <c r="D284" s="308" t="s">
        <v>5234</v>
      </c>
      <c r="E284" s="308" t="s">
        <v>3013</v>
      </c>
      <c r="F284" s="308"/>
      <c r="G284" s="308" t="s">
        <v>2946</v>
      </c>
      <c r="H284" s="308" t="s">
        <v>2947</v>
      </c>
      <c r="I284" s="308">
        <v>90.0</v>
      </c>
      <c r="J284" s="308">
        <v>3.9</v>
      </c>
      <c r="K284" s="308">
        <v>16.93</v>
      </c>
      <c r="L284" s="308">
        <v>93.9</v>
      </c>
      <c r="M284" s="308" t="s">
        <v>3094</v>
      </c>
      <c r="N284" s="308">
        <v>10.0</v>
      </c>
      <c r="O284" s="308" t="s">
        <v>2948</v>
      </c>
      <c r="P284" s="308" t="s">
        <v>5235</v>
      </c>
      <c r="Q284" s="310">
        <v>1.0</v>
      </c>
      <c r="R284" s="308" t="s">
        <v>4266</v>
      </c>
      <c r="S284" s="308">
        <v>100.0</v>
      </c>
      <c r="T284" s="311"/>
      <c r="U284" s="308" t="s">
        <v>4267</v>
      </c>
      <c r="V284" s="308" t="b">
        <v>1</v>
      </c>
      <c r="W284" s="308" t="b">
        <v>1</v>
      </c>
      <c r="X284" s="308"/>
      <c r="Y284" s="308" t="s">
        <v>5236</v>
      </c>
      <c r="Z284" s="308" t="s">
        <v>5237</v>
      </c>
      <c r="AA284" s="308" t="s">
        <v>5237</v>
      </c>
      <c r="AB284" s="308"/>
      <c r="AC284" s="308" t="s">
        <v>5238</v>
      </c>
      <c r="AD284" s="308" t="s">
        <v>3784</v>
      </c>
      <c r="AE284" s="308">
        <v>20135.0</v>
      </c>
      <c r="AF284" s="308" t="s">
        <v>2954</v>
      </c>
      <c r="AG284" s="308" t="s">
        <v>2955</v>
      </c>
      <c r="AH284" s="308">
        <v>3.402205596E9</v>
      </c>
      <c r="AI284" s="308" t="s">
        <v>5236</v>
      </c>
      <c r="AJ284" s="308" t="s">
        <v>5237</v>
      </c>
      <c r="AK284" s="308" t="s">
        <v>5237</v>
      </c>
      <c r="AL284" s="308"/>
      <c r="AM284" s="308" t="s">
        <v>5238</v>
      </c>
      <c r="AN284" s="308" t="s">
        <v>3784</v>
      </c>
      <c r="AO284" s="308">
        <v>20135.0</v>
      </c>
      <c r="AP284" s="308" t="s">
        <v>2954</v>
      </c>
      <c r="AQ284" s="308" t="s">
        <v>2955</v>
      </c>
      <c r="AR284" s="308">
        <v>3.402205596E9</v>
      </c>
      <c r="AS284" s="311"/>
      <c r="AT284" s="311"/>
      <c r="AU284" s="311"/>
      <c r="AV284" s="308" t="s">
        <v>3009</v>
      </c>
      <c r="AW284" s="308">
        <v>4.7914215014727E13</v>
      </c>
      <c r="AX284" s="310">
        <v>0.0</v>
      </c>
      <c r="AY284" s="308" t="s">
        <v>2974</v>
      </c>
      <c r="AZ284" s="308">
        <v>0.0</v>
      </c>
      <c r="BA284" s="311"/>
      <c r="BB284" s="311"/>
      <c r="BC284" s="311"/>
      <c r="BD284" s="308">
        <v>7.790919942471E12</v>
      </c>
      <c r="BE284" s="311"/>
      <c r="BF284" s="311"/>
      <c r="BG284" s="308" t="s">
        <v>2958</v>
      </c>
      <c r="BH284" s="308">
        <v>0.0</v>
      </c>
      <c r="BI284" s="308" t="s">
        <v>2959</v>
      </c>
      <c r="BJ284" s="308">
        <v>16.23</v>
      </c>
      <c r="BK284" s="311"/>
      <c r="BL284" s="311"/>
      <c r="BM284" s="311"/>
      <c r="BN284" s="311"/>
      <c r="BO284" s="311"/>
      <c r="BP284" s="311"/>
      <c r="BQ284" s="311"/>
      <c r="BR284" s="311"/>
      <c r="BS284" s="308"/>
      <c r="BT284" s="311"/>
      <c r="BU284" s="311"/>
      <c r="BV284" s="308" t="s">
        <v>23</v>
      </c>
      <c r="BW284" s="308" t="s">
        <v>23</v>
      </c>
      <c r="BX284" s="308" t="s">
        <v>3009</v>
      </c>
      <c r="BY284" s="311"/>
      <c r="BZ284" s="311"/>
      <c r="CA284" s="308" t="s">
        <v>3009</v>
      </c>
      <c r="CB284" s="312" t="str">
        <f t="shared" si="1"/>
        <v>02/06/2026</v>
      </c>
      <c r="CC284" s="313">
        <f t="shared" si="2"/>
        <v>2026</v>
      </c>
      <c r="CD284" s="314">
        <f t="shared" si="3"/>
        <v>6</v>
      </c>
      <c r="CE284" s="314">
        <f t="shared" si="4"/>
        <v>1</v>
      </c>
      <c r="CF284" s="314">
        <f t="shared" si="5"/>
        <v>1</v>
      </c>
      <c r="CG284" s="314">
        <f t="shared" si="6"/>
        <v>0</v>
      </c>
      <c r="CH284" s="315">
        <f>VLOOKUP(CL284,'PRODUCT_COGS&amp;PRICE'!A:E,5,false)</f>
        <v>16.5</v>
      </c>
      <c r="CI284" s="315">
        <f t="shared" si="7"/>
        <v>-3.62711</v>
      </c>
      <c r="CJ284" s="316">
        <f t="shared" si="8"/>
        <v>0</v>
      </c>
      <c r="CK284" s="316">
        <f t="shared" si="9"/>
        <v>10</v>
      </c>
      <c r="CL284" s="314" t="str">
        <f>VLOOKUP(R284,PRODUCT_MAP!A:B,2,FALSE)</f>
        <v>Annie_Bag_PAILLETTES_NUDE</v>
      </c>
      <c r="CM284" s="314" t="str">
        <f>VLOOKUP(R284,PRODUCT_MAP!A:E,3,FALSE)</f>
        <v>Annie Bag paillettes</v>
      </c>
    </row>
    <row r="285" ht="22.5" customHeight="1">
      <c r="A285" s="308" t="s">
        <v>5239</v>
      </c>
      <c r="B285" s="308" t="s">
        <v>5240</v>
      </c>
      <c r="C285" s="308" t="s">
        <v>2942</v>
      </c>
      <c r="D285" s="308" t="s">
        <v>5241</v>
      </c>
      <c r="E285" s="308" t="s">
        <v>3013</v>
      </c>
      <c r="F285" s="308"/>
      <c r="G285" s="308" t="s">
        <v>2965</v>
      </c>
      <c r="H285" s="308" t="s">
        <v>2947</v>
      </c>
      <c r="I285" s="308">
        <v>220.0</v>
      </c>
      <c r="J285" s="308">
        <v>0.0</v>
      </c>
      <c r="K285" s="308">
        <v>39.67</v>
      </c>
      <c r="L285" s="308">
        <v>220.0</v>
      </c>
      <c r="M285" s="308"/>
      <c r="N285" s="308">
        <v>0.0</v>
      </c>
      <c r="O285" s="308" t="s">
        <v>2948</v>
      </c>
      <c r="P285" s="308" t="s">
        <v>5242</v>
      </c>
      <c r="Q285" s="310">
        <v>1.0</v>
      </c>
      <c r="R285" s="308" t="s">
        <v>5243</v>
      </c>
      <c r="S285" s="308">
        <v>100.0</v>
      </c>
      <c r="T285" s="311"/>
      <c r="U285" s="308" t="s">
        <v>5244</v>
      </c>
      <c r="V285" s="308" t="b">
        <v>1</v>
      </c>
      <c r="W285" s="308" t="b">
        <v>1</v>
      </c>
      <c r="X285" s="308"/>
      <c r="Y285" s="308" t="s">
        <v>5245</v>
      </c>
      <c r="Z285" s="308" t="s">
        <v>5246</v>
      </c>
      <c r="AA285" s="308" t="s">
        <v>5246</v>
      </c>
      <c r="AB285" s="308"/>
      <c r="AC285" s="308" t="s">
        <v>5247</v>
      </c>
      <c r="AD285" s="308" t="s">
        <v>23</v>
      </c>
      <c r="AE285" s="308">
        <v>20137.0</v>
      </c>
      <c r="AF285" s="308" t="s">
        <v>2954</v>
      </c>
      <c r="AG285" s="308" t="s">
        <v>2955</v>
      </c>
      <c r="AH285" s="308">
        <v>3.33271438E9</v>
      </c>
      <c r="AI285" s="308" t="s">
        <v>5245</v>
      </c>
      <c r="AJ285" s="308" t="s">
        <v>5246</v>
      </c>
      <c r="AK285" s="308" t="s">
        <v>5246</v>
      </c>
      <c r="AL285" s="308"/>
      <c r="AM285" s="308" t="s">
        <v>5247</v>
      </c>
      <c r="AN285" s="308" t="s">
        <v>23</v>
      </c>
      <c r="AO285" s="308">
        <v>20137.0</v>
      </c>
      <c r="AP285" s="308" t="s">
        <v>2954</v>
      </c>
      <c r="AQ285" s="308" t="s">
        <v>2955</v>
      </c>
      <c r="AR285" s="308">
        <v>3.33271438E9</v>
      </c>
      <c r="AS285" s="311"/>
      <c r="AT285" s="311"/>
      <c r="AU285" s="311"/>
      <c r="AV285" s="308" t="s">
        <v>3009</v>
      </c>
      <c r="AW285" s="308">
        <v>4.7914382786887E13</v>
      </c>
      <c r="AX285" s="310">
        <v>0.0</v>
      </c>
      <c r="AY285" s="308" t="s">
        <v>2974</v>
      </c>
      <c r="AZ285" s="308">
        <v>0.0</v>
      </c>
      <c r="BA285" s="311"/>
      <c r="BB285" s="311"/>
      <c r="BC285" s="311"/>
      <c r="BD285" s="308">
        <v>7.791016083783E12</v>
      </c>
      <c r="BE285" s="311"/>
      <c r="BF285" s="311"/>
      <c r="BG285" s="308" t="s">
        <v>2958</v>
      </c>
      <c r="BH285" s="308">
        <v>0.0</v>
      </c>
      <c r="BI285" s="308" t="s">
        <v>2959</v>
      </c>
      <c r="BJ285" s="308">
        <v>18.03</v>
      </c>
      <c r="BK285" s="311"/>
      <c r="BL285" s="311"/>
      <c r="BM285" s="311"/>
      <c r="BN285" s="311"/>
      <c r="BO285" s="311"/>
      <c r="BP285" s="311"/>
      <c r="BQ285" s="311"/>
      <c r="BR285" s="311"/>
      <c r="BS285" s="308"/>
      <c r="BT285" s="311"/>
      <c r="BU285" s="311"/>
      <c r="BV285" s="308" t="s">
        <v>23</v>
      </c>
      <c r="BW285" s="308" t="s">
        <v>23</v>
      </c>
      <c r="BX285" s="308" t="s">
        <v>3009</v>
      </c>
      <c r="BY285" s="311"/>
      <c r="BZ285" s="311"/>
      <c r="CA285" s="308" t="s">
        <v>3009</v>
      </c>
      <c r="CB285" s="312" t="str">
        <f t="shared" si="1"/>
        <v>02/06/2026</v>
      </c>
      <c r="CC285" s="313">
        <f t="shared" si="2"/>
        <v>2026</v>
      </c>
      <c r="CD285" s="314">
        <f t="shared" si="3"/>
        <v>6</v>
      </c>
      <c r="CE285" s="314">
        <f t="shared" si="4"/>
        <v>1</v>
      </c>
      <c r="CF285" s="314">
        <f t="shared" si="5"/>
        <v>1</v>
      </c>
      <c r="CG285" s="314">
        <f t="shared" si="6"/>
        <v>-5</v>
      </c>
      <c r="CH285" s="315">
        <f>VLOOKUP(CL285,'PRODUCT_COGS&amp;PRICE'!A:E,5,false)</f>
        <v>16.5</v>
      </c>
      <c r="CI285" s="315">
        <f t="shared" si="7"/>
        <v>-15.706</v>
      </c>
      <c r="CJ285" s="316">
        <f t="shared" si="8"/>
        <v>0</v>
      </c>
      <c r="CK285" s="316">
        <f t="shared" si="9"/>
        <v>0</v>
      </c>
      <c r="CL285" s="314" t="str">
        <f>VLOOKUP(R285,PRODUCT_MAP!A:B,2,FALSE)</f>
        <v>Annie_Bag_LILAC</v>
      </c>
      <c r="CM285" s="314" t="str">
        <f>VLOOKUP(R285,PRODUCT_MAP!A:E,3,FALSE)</f>
        <v>Annie Bag</v>
      </c>
    </row>
    <row r="286" ht="22.5" customHeight="1">
      <c r="A286" s="308" t="s">
        <v>5239</v>
      </c>
      <c r="B286" s="308" t="s">
        <v>5240</v>
      </c>
      <c r="C286" s="308" t="s">
        <v>2942</v>
      </c>
      <c r="D286" s="308" t="s">
        <v>5241</v>
      </c>
      <c r="E286" s="308" t="s">
        <v>3013</v>
      </c>
      <c r="F286" s="308"/>
      <c r="G286" s="308" t="s">
        <v>2965</v>
      </c>
      <c r="H286" s="308" t="s">
        <v>2947</v>
      </c>
      <c r="I286" s="308">
        <v>220.0</v>
      </c>
      <c r="J286" s="308">
        <v>0.0</v>
      </c>
      <c r="K286" s="308">
        <v>39.67</v>
      </c>
      <c r="L286" s="308">
        <v>220.0</v>
      </c>
      <c r="M286" s="308"/>
      <c r="N286" s="308">
        <v>0.0</v>
      </c>
      <c r="O286" s="308" t="s">
        <v>2948</v>
      </c>
      <c r="P286" s="308" t="s">
        <v>5242</v>
      </c>
      <c r="Q286" s="310">
        <v>1.0</v>
      </c>
      <c r="R286" s="308" t="s">
        <v>607</v>
      </c>
      <c r="S286" s="308">
        <v>120.0</v>
      </c>
      <c r="T286" s="311"/>
      <c r="U286" s="308" t="s">
        <v>207</v>
      </c>
      <c r="V286" s="308" t="b">
        <v>1</v>
      </c>
      <c r="W286" s="308" t="b">
        <v>1</v>
      </c>
      <c r="X286" s="308"/>
      <c r="Y286" s="308" t="s">
        <v>5245</v>
      </c>
      <c r="Z286" s="308" t="s">
        <v>5246</v>
      </c>
      <c r="AA286" s="308" t="s">
        <v>5246</v>
      </c>
      <c r="AB286" s="308"/>
      <c r="AC286" s="308" t="s">
        <v>5247</v>
      </c>
      <c r="AD286" s="308" t="s">
        <v>23</v>
      </c>
      <c r="AE286" s="308">
        <v>20137.0</v>
      </c>
      <c r="AF286" s="308" t="s">
        <v>2954</v>
      </c>
      <c r="AG286" s="308" t="s">
        <v>2955</v>
      </c>
      <c r="AH286" s="308">
        <v>3.33271438E9</v>
      </c>
      <c r="AI286" s="308" t="s">
        <v>5245</v>
      </c>
      <c r="AJ286" s="308" t="s">
        <v>5246</v>
      </c>
      <c r="AK286" s="308" t="s">
        <v>5246</v>
      </c>
      <c r="AL286" s="308"/>
      <c r="AM286" s="308" t="s">
        <v>5247</v>
      </c>
      <c r="AN286" s="308" t="s">
        <v>23</v>
      </c>
      <c r="AO286" s="308">
        <v>20137.0</v>
      </c>
      <c r="AP286" s="308" t="s">
        <v>2954</v>
      </c>
      <c r="AQ286" s="308" t="s">
        <v>2955</v>
      </c>
      <c r="AR286" s="308">
        <v>3.33271438E9</v>
      </c>
      <c r="AS286" s="311"/>
      <c r="AT286" s="311"/>
      <c r="AU286" s="311"/>
      <c r="AV286" s="308" t="s">
        <v>3009</v>
      </c>
      <c r="AW286" s="308">
        <v>4.7914382786887E13</v>
      </c>
      <c r="AX286" s="310">
        <v>0.0</v>
      </c>
      <c r="AY286" s="308" t="s">
        <v>2974</v>
      </c>
      <c r="AZ286" s="308">
        <v>0.0</v>
      </c>
      <c r="BA286" s="311"/>
      <c r="BB286" s="311"/>
      <c r="BC286" s="311"/>
      <c r="BD286" s="308">
        <v>7.791016083783E12</v>
      </c>
      <c r="BE286" s="311"/>
      <c r="BF286" s="311"/>
      <c r="BG286" s="308" t="s">
        <v>2958</v>
      </c>
      <c r="BH286" s="308">
        <v>0.0</v>
      </c>
      <c r="BI286" s="308" t="s">
        <v>2959</v>
      </c>
      <c r="BJ286" s="308">
        <v>21.64</v>
      </c>
      <c r="BK286" s="311"/>
      <c r="BL286" s="311"/>
      <c r="BM286" s="311"/>
      <c r="BN286" s="311"/>
      <c r="BO286" s="311"/>
      <c r="BP286" s="311"/>
      <c r="BQ286" s="311"/>
      <c r="BR286" s="311"/>
      <c r="BS286" s="308"/>
      <c r="BT286" s="311"/>
      <c r="BU286" s="311"/>
      <c r="BV286" s="308" t="s">
        <v>23</v>
      </c>
      <c r="BW286" s="308" t="s">
        <v>23</v>
      </c>
      <c r="BX286" s="308" t="s">
        <v>3009</v>
      </c>
      <c r="BY286" s="311"/>
      <c r="BZ286" s="311"/>
      <c r="CA286" s="308" t="s">
        <v>3009</v>
      </c>
      <c r="CB286" s="312" t="str">
        <f t="shared" si="1"/>
        <v>02/06/2026</v>
      </c>
      <c r="CC286" s="313">
        <f t="shared" si="2"/>
        <v>2026</v>
      </c>
      <c r="CD286" s="314">
        <f t="shared" si="3"/>
        <v>6</v>
      </c>
      <c r="CE286" s="314">
        <f t="shared" si="4"/>
        <v>0</v>
      </c>
      <c r="CF286" s="314">
        <f t="shared" si="5"/>
        <v>1</v>
      </c>
      <c r="CG286" s="314">
        <f t="shared" si="6"/>
        <v>-5</v>
      </c>
      <c r="CH286" s="315">
        <f>VLOOKUP(CL286,'PRODUCT_COGS&amp;PRICE'!A:E,5,false)</f>
        <v>26</v>
      </c>
      <c r="CI286" s="315">
        <f t="shared" si="7"/>
        <v>0</v>
      </c>
      <c r="CJ286" s="316">
        <f t="shared" si="8"/>
        <v>0</v>
      </c>
      <c r="CK286" s="316">
        <f t="shared" si="9"/>
        <v>0</v>
      </c>
      <c r="CL286" s="314" t="str">
        <f>VLOOKUP(R286,PRODUCT_MAP!A:B,2,FALSE)</f>
        <v>Maria_Bag_RED_PIERCING</v>
      </c>
      <c r="CM286" s="314" t="str">
        <f>VLOOKUP(R286,PRODUCT_MAP!A:E,3,FALSE)</f>
        <v>Maria Bag</v>
      </c>
    </row>
    <row r="287" ht="22.5" customHeight="1">
      <c r="A287" s="308" t="s">
        <v>5248</v>
      </c>
      <c r="B287" s="308" t="s">
        <v>5249</v>
      </c>
      <c r="C287" s="308" t="s">
        <v>2942</v>
      </c>
      <c r="D287" s="308" t="s">
        <v>5250</v>
      </c>
      <c r="E287" s="308" t="s">
        <v>3013</v>
      </c>
      <c r="F287" s="308"/>
      <c r="G287" s="308" t="s">
        <v>2965</v>
      </c>
      <c r="H287" s="308" t="s">
        <v>2947</v>
      </c>
      <c r="I287" s="308">
        <v>315.0</v>
      </c>
      <c r="J287" s="308">
        <v>0.0</v>
      </c>
      <c r="K287" s="308">
        <v>56.8</v>
      </c>
      <c r="L287" s="308">
        <v>315.0</v>
      </c>
      <c r="M287" s="308"/>
      <c r="N287" s="308">
        <v>0.0</v>
      </c>
      <c r="O287" s="308" t="s">
        <v>2948</v>
      </c>
      <c r="P287" s="308" t="s">
        <v>5251</v>
      </c>
      <c r="Q287" s="310">
        <v>1.0</v>
      </c>
      <c r="R287" s="308" t="s">
        <v>564</v>
      </c>
      <c r="S287" s="308">
        <v>170.0</v>
      </c>
      <c r="T287" s="311"/>
      <c r="U287" s="308" t="s">
        <v>5252</v>
      </c>
      <c r="V287" s="308" t="b">
        <v>1</v>
      </c>
      <c r="W287" s="308" t="b">
        <v>1</v>
      </c>
      <c r="X287" s="308"/>
      <c r="Y287" s="308" t="s">
        <v>5253</v>
      </c>
      <c r="Z287" s="308" t="s">
        <v>5254</v>
      </c>
      <c r="AA287" s="308" t="s">
        <v>5255</v>
      </c>
      <c r="AB287" s="308" t="s">
        <v>5256</v>
      </c>
      <c r="AC287" s="308"/>
      <c r="AD287" s="308" t="s">
        <v>3081</v>
      </c>
      <c r="AE287" s="308">
        <v>198.0</v>
      </c>
      <c r="AF287" s="308" t="s">
        <v>3082</v>
      </c>
      <c r="AG287" s="308" t="s">
        <v>2955</v>
      </c>
      <c r="AH287" s="308">
        <v>3.474368881E9</v>
      </c>
      <c r="AI287" s="308" t="s">
        <v>5253</v>
      </c>
      <c r="AJ287" s="308" t="s">
        <v>5254</v>
      </c>
      <c r="AK287" s="308" t="s">
        <v>5255</v>
      </c>
      <c r="AL287" s="308" t="s">
        <v>5256</v>
      </c>
      <c r="AM287" s="308"/>
      <c r="AN287" s="308" t="s">
        <v>3081</v>
      </c>
      <c r="AO287" s="308">
        <v>198.0</v>
      </c>
      <c r="AP287" s="308" t="s">
        <v>3082</v>
      </c>
      <c r="AQ287" s="308" t="s">
        <v>2955</v>
      </c>
      <c r="AR287" s="308">
        <v>3.474368881E9</v>
      </c>
      <c r="AS287" s="311"/>
      <c r="AT287" s="311"/>
      <c r="AU287" s="311"/>
      <c r="AV287" s="308" t="s">
        <v>2956</v>
      </c>
      <c r="AW287" s="308">
        <v>4.7915916853575E13</v>
      </c>
      <c r="AX287" s="310">
        <v>0.0</v>
      </c>
      <c r="AY287" s="308" t="s">
        <v>2974</v>
      </c>
      <c r="AZ287" s="308">
        <v>0.0</v>
      </c>
      <c r="BA287" s="311"/>
      <c r="BB287" s="311"/>
      <c r="BC287" s="311"/>
      <c r="BD287" s="308">
        <v>7.791833612615E12</v>
      </c>
      <c r="BE287" s="311"/>
      <c r="BF287" s="311"/>
      <c r="BG287" s="308" t="s">
        <v>2958</v>
      </c>
      <c r="BH287" s="308">
        <v>0.0</v>
      </c>
      <c r="BI287" s="308" t="s">
        <v>2959</v>
      </c>
      <c r="BJ287" s="308">
        <v>30.66</v>
      </c>
      <c r="BK287" s="311"/>
      <c r="BL287" s="311"/>
      <c r="BM287" s="311"/>
      <c r="BN287" s="311"/>
      <c r="BO287" s="311"/>
      <c r="BP287" s="311"/>
      <c r="BQ287" s="311"/>
      <c r="BR287" s="311"/>
      <c r="BS287" s="308"/>
      <c r="BT287" s="311"/>
      <c r="BU287" s="311"/>
      <c r="BV287" s="308" t="s">
        <v>3081</v>
      </c>
      <c r="BW287" s="308" t="s">
        <v>3081</v>
      </c>
      <c r="BX287" s="308" t="s">
        <v>2956</v>
      </c>
      <c r="BY287" s="311"/>
      <c r="BZ287" s="311"/>
      <c r="CA287" s="308" t="s">
        <v>2956</v>
      </c>
      <c r="CB287" s="312" t="str">
        <f t="shared" si="1"/>
        <v>02/06/2026</v>
      </c>
      <c r="CC287" s="313">
        <f t="shared" si="2"/>
        <v>2026</v>
      </c>
      <c r="CD287" s="314">
        <f t="shared" si="3"/>
        <v>6</v>
      </c>
      <c r="CE287" s="314">
        <f t="shared" si="4"/>
        <v>1</v>
      </c>
      <c r="CF287" s="314">
        <f t="shared" si="5"/>
        <v>1</v>
      </c>
      <c r="CG287" s="314">
        <f t="shared" si="6"/>
        <v>-5</v>
      </c>
      <c r="CH287" s="315">
        <f>VLOOKUP(CL287,'PRODUCT_COGS&amp;PRICE'!A:E,5,false)</f>
        <v>30</v>
      </c>
      <c r="CI287" s="315">
        <f t="shared" si="7"/>
        <v>-18.205</v>
      </c>
      <c r="CJ287" s="316">
        <f t="shared" si="8"/>
        <v>0</v>
      </c>
      <c r="CK287" s="316">
        <f t="shared" si="9"/>
        <v>0</v>
      </c>
      <c r="CL287" s="314" t="str">
        <f>VLOOKUP(R287,PRODUCT_MAP!A:B,2,FALSE)</f>
        <v>Lea_Bag_Maxi_SUEDE_CHOCOLATE_CHARM</v>
      </c>
      <c r="CM287" s="314" t="str">
        <f>VLOOKUP(R287,PRODUCT_MAP!A:E,3,FALSE)</f>
        <v>Lea Bag Maxi</v>
      </c>
    </row>
    <row r="288" ht="22.5" customHeight="1">
      <c r="A288" s="308" t="s">
        <v>5248</v>
      </c>
      <c r="B288" s="308" t="s">
        <v>5249</v>
      </c>
      <c r="C288" s="308" t="s">
        <v>2942</v>
      </c>
      <c r="D288" s="308" t="s">
        <v>5250</v>
      </c>
      <c r="E288" s="308" t="s">
        <v>3013</v>
      </c>
      <c r="F288" s="308"/>
      <c r="G288" s="308" t="s">
        <v>2965</v>
      </c>
      <c r="H288" s="308" t="s">
        <v>2947</v>
      </c>
      <c r="I288" s="308">
        <v>315.0</v>
      </c>
      <c r="J288" s="308">
        <v>0.0</v>
      </c>
      <c r="K288" s="308">
        <v>56.8</v>
      </c>
      <c r="L288" s="308">
        <v>315.0</v>
      </c>
      <c r="M288" s="308"/>
      <c r="N288" s="308">
        <v>0.0</v>
      </c>
      <c r="O288" s="308" t="s">
        <v>2948</v>
      </c>
      <c r="P288" s="308" t="s">
        <v>5251</v>
      </c>
      <c r="Q288" s="310">
        <v>1.0</v>
      </c>
      <c r="R288" s="308" t="s">
        <v>762</v>
      </c>
      <c r="S288" s="308">
        <v>70.0</v>
      </c>
      <c r="T288" s="311"/>
      <c r="U288" s="308" t="s">
        <v>5257</v>
      </c>
      <c r="V288" s="308" t="b">
        <v>1</v>
      </c>
      <c r="W288" s="308" t="b">
        <v>1</v>
      </c>
      <c r="X288" s="308"/>
      <c r="Y288" s="308" t="s">
        <v>5253</v>
      </c>
      <c r="Z288" s="308" t="s">
        <v>5254</v>
      </c>
      <c r="AA288" s="308" t="s">
        <v>5255</v>
      </c>
      <c r="AB288" s="308" t="s">
        <v>5256</v>
      </c>
      <c r="AC288" s="308"/>
      <c r="AD288" s="308" t="s">
        <v>3081</v>
      </c>
      <c r="AE288" s="308">
        <v>198.0</v>
      </c>
      <c r="AF288" s="308" t="s">
        <v>3082</v>
      </c>
      <c r="AG288" s="308" t="s">
        <v>2955</v>
      </c>
      <c r="AH288" s="308">
        <v>3.474368881E9</v>
      </c>
      <c r="AI288" s="308" t="s">
        <v>5253</v>
      </c>
      <c r="AJ288" s="308" t="s">
        <v>5254</v>
      </c>
      <c r="AK288" s="308" t="s">
        <v>5255</v>
      </c>
      <c r="AL288" s="308" t="s">
        <v>5256</v>
      </c>
      <c r="AM288" s="308"/>
      <c r="AN288" s="308" t="s">
        <v>3081</v>
      </c>
      <c r="AO288" s="308">
        <v>198.0</v>
      </c>
      <c r="AP288" s="308" t="s">
        <v>3082</v>
      </c>
      <c r="AQ288" s="308" t="s">
        <v>2955</v>
      </c>
      <c r="AR288" s="308">
        <v>3.474368881E9</v>
      </c>
      <c r="AS288" s="311"/>
      <c r="AT288" s="311"/>
      <c r="AU288" s="311"/>
      <c r="AV288" s="308" t="s">
        <v>2956</v>
      </c>
      <c r="AW288" s="308">
        <v>4.7915916853575E13</v>
      </c>
      <c r="AX288" s="310">
        <v>0.0</v>
      </c>
      <c r="AY288" s="308" t="s">
        <v>5258</v>
      </c>
      <c r="AZ288" s="308">
        <v>0.0</v>
      </c>
      <c r="BA288" s="311"/>
      <c r="BB288" s="311"/>
      <c r="BC288" s="311"/>
      <c r="BD288" s="308">
        <v>7.791833612615E12</v>
      </c>
      <c r="BE288" s="311"/>
      <c r="BF288" s="311"/>
      <c r="BG288" s="308" t="s">
        <v>2958</v>
      </c>
      <c r="BH288" s="308">
        <v>0.0</v>
      </c>
      <c r="BI288" s="308" t="s">
        <v>2959</v>
      </c>
      <c r="BJ288" s="308">
        <v>12.62</v>
      </c>
      <c r="BK288" s="311"/>
      <c r="BL288" s="311"/>
      <c r="BM288" s="311"/>
      <c r="BN288" s="311"/>
      <c r="BO288" s="311"/>
      <c r="BP288" s="311"/>
      <c r="BQ288" s="311"/>
      <c r="BR288" s="311"/>
      <c r="BS288" s="308"/>
      <c r="BT288" s="311"/>
      <c r="BU288" s="311"/>
      <c r="BV288" s="308" t="s">
        <v>3081</v>
      </c>
      <c r="BW288" s="308" t="s">
        <v>3081</v>
      </c>
      <c r="BX288" s="308" t="s">
        <v>2956</v>
      </c>
      <c r="BY288" s="311"/>
      <c r="BZ288" s="311"/>
      <c r="CA288" s="308" t="s">
        <v>2956</v>
      </c>
      <c r="CB288" s="312" t="str">
        <f t="shared" si="1"/>
        <v>02/06/2026</v>
      </c>
      <c r="CC288" s="313">
        <f t="shared" si="2"/>
        <v>2026</v>
      </c>
      <c r="CD288" s="314">
        <f t="shared" si="3"/>
        <v>6</v>
      </c>
      <c r="CE288" s="314">
        <f t="shared" si="4"/>
        <v>0</v>
      </c>
      <c r="CF288" s="314">
        <f t="shared" si="5"/>
        <v>1</v>
      </c>
      <c r="CG288" s="314">
        <f t="shared" si="6"/>
        <v>-5</v>
      </c>
      <c r="CH288" s="315">
        <f>VLOOKUP(CL288,'PRODUCT_COGS&amp;PRICE'!A:E,5,false)</f>
        <v>14.33</v>
      </c>
      <c r="CI288" s="315">
        <f t="shared" si="7"/>
        <v>0</v>
      </c>
      <c r="CJ288" s="316">
        <f t="shared" si="8"/>
        <v>0</v>
      </c>
      <c r="CK288" s="316">
        <f t="shared" si="9"/>
        <v>0</v>
      </c>
      <c r="CL288" s="314" t="str">
        <f>VLOOKUP(R288,PRODUCT_MAP!A:B,2,FALSE)</f>
        <v>CHAIN_TIGER</v>
      </c>
      <c r="CM288" s="314" t="str">
        <f>VLOOKUP(R288,PRODUCT_MAP!A:E,3,FALSE)</f>
        <v>Charm</v>
      </c>
    </row>
    <row r="289" ht="22.5" customHeight="1">
      <c r="A289" s="308" t="s">
        <v>5248</v>
      </c>
      <c r="B289" s="308" t="s">
        <v>5249</v>
      </c>
      <c r="C289" s="308" t="s">
        <v>2942</v>
      </c>
      <c r="D289" s="308" t="s">
        <v>5250</v>
      </c>
      <c r="E289" s="308" t="s">
        <v>3013</v>
      </c>
      <c r="F289" s="308"/>
      <c r="G289" s="308" t="s">
        <v>2965</v>
      </c>
      <c r="H289" s="308" t="s">
        <v>2947</v>
      </c>
      <c r="I289" s="308">
        <v>315.0</v>
      </c>
      <c r="J289" s="308">
        <v>0.0</v>
      </c>
      <c r="K289" s="308">
        <v>56.8</v>
      </c>
      <c r="L289" s="308">
        <v>315.0</v>
      </c>
      <c r="M289" s="308"/>
      <c r="N289" s="308">
        <v>0.0</v>
      </c>
      <c r="O289" s="308" t="s">
        <v>2948</v>
      </c>
      <c r="P289" s="308" t="s">
        <v>5251</v>
      </c>
      <c r="Q289" s="310">
        <v>1.0</v>
      </c>
      <c r="R289" s="308" t="s">
        <v>4520</v>
      </c>
      <c r="S289" s="308">
        <v>75.0</v>
      </c>
      <c r="T289" s="311"/>
      <c r="U289" s="308" t="s">
        <v>5259</v>
      </c>
      <c r="V289" s="308" t="b">
        <v>1</v>
      </c>
      <c r="W289" s="308" t="b">
        <v>1</v>
      </c>
      <c r="X289" s="308"/>
      <c r="Y289" s="308" t="s">
        <v>5253</v>
      </c>
      <c r="Z289" s="308" t="s">
        <v>5254</v>
      </c>
      <c r="AA289" s="308" t="s">
        <v>5255</v>
      </c>
      <c r="AB289" s="308" t="s">
        <v>5256</v>
      </c>
      <c r="AC289" s="308"/>
      <c r="AD289" s="308" t="s">
        <v>3081</v>
      </c>
      <c r="AE289" s="308">
        <v>198.0</v>
      </c>
      <c r="AF289" s="308" t="s">
        <v>3082</v>
      </c>
      <c r="AG289" s="308" t="s">
        <v>2955</v>
      </c>
      <c r="AH289" s="308">
        <v>3.474368881E9</v>
      </c>
      <c r="AI289" s="308" t="s">
        <v>5253</v>
      </c>
      <c r="AJ289" s="308" t="s">
        <v>5254</v>
      </c>
      <c r="AK289" s="308" t="s">
        <v>5255</v>
      </c>
      <c r="AL289" s="308" t="s">
        <v>5256</v>
      </c>
      <c r="AM289" s="308"/>
      <c r="AN289" s="308" t="s">
        <v>3081</v>
      </c>
      <c r="AO289" s="308">
        <v>198.0</v>
      </c>
      <c r="AP289" s="308" t="s">
        <v>3082</v>
      </c>
      <c r="AQ289" s="308" t="s">
        <v>2955</v>
      </c>
      <c r="AR289" s="308">
        <v>3.474368881E9</v>
      </c>
      <c r="AS289" s="311"/>
      <c r="AT289" s="311"/>
      <c r="AU289" s="311"/>
      <c r="AV289" s="308" t="s">
        <v>2956</v>
      </c>
      <c r="AW289" s="308">
        <v>4.7915916853575E13</v>
      </c>
      <c r="AX289" s="310">
        <v>0.0</v>
      </c>
      <c r="AY289" s="308" t="s">
        <v>2974</v>
      </c>
      <c r="AZ289" s="308">
        <v>0.0</v>
      </c>
      <c r="BA289" s="311"/>
      <c r="BB289" s="311"/>
      <c r="BC289" s="311"/>
      <c r="BD289" s="308">
        <v>7.791833612615E12</v>
      </c>
      <c r="BE289" s="311"/>
      <c r="BF289" s="311"/>
      <c r="BG289" s="308" t="s">
        <v>2958</v>
      </c>
      <c r="BH289" s="308">
        <v>0.0</v>
      </c>
      <c r="BI289" s="308" t="s">
        <v>2959</v>
      </c>
      <c r="BJ289" s="308">
        <v>13.52</v>
      </c>
      <c r="BK289" s="311"/>
      <c r="BL289" s="311"/>
      <c r="BM289" s="311"/>
      <c r="BN289" s="311"/>
      <c r="BO289" s="311"/>
      <c r="BP289" s="311"/>
      <c r="BQ289" s="311"/>
      <c r="BR289" s="311"/>
      <c r="BS289" s="308"/>
      <c r="BT289" s="311"/>
      <c r="BU289" s="311"/>
      <c r="BV289" s="308" t="s">
        <v>3081</v>
      </c>
      <c r="BW289" s="308" t="s">
        <v>3081</v>
      </c>
      <c r="BX289" s="308" t="s">
        <v>2956</v>
      </c>
      <c r="BY289" s="311"/>
      <c r="BZ289" s="311"/>
      <c r="CA289" s="308" t="s">
        <v>2956</v>
      </c>
      <c r="CB289" s="312" t="str">
        <f t="shared" si="1"/>
        <v>02/06/2026</v>
      </c>
      <c r="CC289" s="313">
        <f t="shared" si="2"/>
        <v>2026</v>
      </c>
      <c r="CD289" s="314">
        <f t="shared" si="3"/>
        <v>6</v>
      </c>
      <c r="CE289" s="314">
        <f t="shared" si="4"/>
        <v>0</v>
      </c>
      <c r="CF289" s="314">
        <f t="shared" si="5"/>
        <v>1</v>
      </c>
      <c r="CG289" s="314">
        <f t="shared" si="6"/>
        <v>-5</v>
      </c>
      <c r="CH289" s="315">
        <f>VLOOKUP(CL289,'PRODUCT_COGS&amp;PRICE'!A:E,5,false)</f>
        <v>16.5</v>
      </c>
      <c r="CI289" s="315">
        <f t="shared" si="7"/>
        <v>0</v>
      </c>
      <c r="CJ289" s="316">
        <f t="shared" si="8"/>
        <v>0</v>
      </c>
      <c r="CK289" s="316">
        <f t="shared" si="9"/>
        <v>0</v>
      </c>
      <c r="CL289" s="314" t="str">
        <f>VLOOKUP(R289,PRODUCT_MAP!A:B,2,FALSE)</f>
        <v>Agata_Bag_TIE_DYE_ORANGE</v>
      </c>
      <c r="CM289" s="314" t="str">
        <f>VLOOKUP(R289,PRODUCT_MAP!A:E,3,FALSE)</f>
        <v>Agata Bag</v>
      </c>
    </row>
    <row r="290" ht="22.5" customHeight="1">
      <c r="A290" s="308" t="s">
        <v>5260</v>
      </c>
      <c r="B290" s="308" t="s">
        <v>5261</v>
      </c>
      <c r="C290" s="308" t="s">
        <v>2942</v>
      </c>
      <c r="D290" s="308" t="s">
        <v>5262</v>
      </c>
      <c r="E290" s="308" t="s">
        <v>3013</v>
      </c>
      <c r="F290" s="308"/>
      <c r="G290" s="308" t="s">
        <v>2946</v>
      </c>
      <c r="H290" s="308" t="s">
        <v>2947</v>
      </c>
      <c r="I290" s="308">
        <v>81.0</v>
      </c>
      <c r="J290" s="308">
        <v>3.9</v>
      </c>
      <c r="K290" s="308">
        <v>15.31</v>
      </c>
      <c r="L290" s="308">
        <v>84.9</v>
      </c>
      <c r="M290" s="308" t="s">
        <v>3094</v>
      </c>
      <c r="N290" s="308">
        <v>9.0</v>
      </c>
      <c r="O290" s="308" t="s">
        <v>2948</v>
      </c>
      <c r="P290" s="308" t="s">
        <v>5263</v>
      </c>
      <c r="Q290" s="310">
        <v>1.0</v>
      </c>
      <c r="R290" s="308" t="s">
        <v>4220</v>
      </c>
      <c r="S290" s="308">
        <v>90.0</v>
      </c>
      <c r="T290" s="311"/>
      <c r="U290" s="308" t="s">
        <v>4221</v>
      </c>
      <c r="V290" s="308" t="b">
        <v>1</v>
      </c>
      <c r="W290" s="308" t="b">
        <v>1</v>
      </c>
      <c r="X290" s="308"/>
      <c r="Y290" s="308" t="s">
        <v>5264</v>
      </c>
      <c r="Z290" s="308" t="s">
        <v>5265</v>
      </c>
      <c r="AA290" s="308" t="s">
        <v>5265</v>
      </c>
      <c r="AB290" s="308"/>
      <c r="AC290" s="308"/>
      <c r="AD290" s="308" t="s">
        <v>3081</v>
      </c>
      <c r="AE290" s="308">
        <v>195.0</v>
      </c>
      <c r="AF290" s="308" t="s">
        <v>3082</v>
      </c>
      <c r="AG290" s="308" t="s">
        <v>2955</v>
      </c>
      <c r="AH290" s="308">
        <v>3.894637941E9</v>
      </c>
      <c r="AI290" s="308" t="s">
        <v>5264</v>
      </c>
      <c r="AJ290" s="308" t="s">
        <v>5265</v>
      </c>
      <c r="AK290" s="308" t="s">
        <v>5265</v>
      </c>
      <c r="AL290" s="308"/>
      <c r="AM290" s="308"/>
      <c r="AN290" s="308" t="s">
        <v>3081</v>
      </c>
      <c r="AO290" s="308">
        <v>195.0</v>
      </c>
      <c r="AP290" s="308" t="s">
        <v>3082</v>
      </c>
      <c r="AQ290" s="308" t="s">
        <v>2955</v>
      </c>
      <c r="AR290" s="308">
        <v>3.894637941E9</v>
      </c>
      <c r="AS290" s="311"/>
      <c r="AT290" s="311"/>
      <c r="AU290" s="311"/>
      <c r="AV290" s="308" t="s">
        <v>2956</v>
      </c>
      <c r="AW290" s="308">
        <v>4.7915831394631E13</v>
      </c>
      <c r="AX290" s="310">
        <v>0.0</v>
      </c>
      <c r="AY290" s="308" t="s">
        <v>2974</v>
      </c>
      <c r="AZ290" s="308">
        <v>0.0</v>
      </c>
      <c r="BA290" s="311"/>
      <c r="BB290" s="311"/>
      <c r="BC290" s="311"/>
      <c r="BD290" s="308">
        <v>7.792659693895E12</v>
      </c>
      <c r="BE290" s="311"/>
      <c r="BF290" s="311"/>
      <c r="BG290" s="308" t="s">
        <v>2958</v>
      </c>
      <c r="BH290" s="308">
        <v>0.0</v>
      </c>
      <c r="BI290" s="308" t="s">
        <v>2959</v>
      </c>
      <c r="BJ290" s="308">
        <v>14.61</v>
      </c>
      <c r="BK290" s="311"/>
      <c r="BL290" s="311"/>
      <c r="BM290" s="311"/>
      <c r="BN290" s="311"/>
      <c r="BO290" s="311"/>
      <c r="BP290" s="311"/>
      <c r="BQ290" s="311"/>
      <c r="BR290" s="311"/>
      <c r="BS290" s="308"/>
      <c r="BT290" s="311"/>
      <c r="BU290" s="311"/>
      <c r="BV290" s="308" t="s">
        <v>3081</v>
      </c>
      <c r="BW290" s="308" t="s">
        <v>3081</v>
      </c>
      <c r="BX290" s="308" t="s">
        <v>2956</v>
      </c>
      <c r="BY290" s="311"/>
      <c r="BZ290" s="311"/>
      <c r="CA290" s="308" t="s">
        <v>2956</v>
      </c>
      <c r="CB290" s="312" t="str">
        <f t="shared" si="1"/>
        <v>03/06/2026</v>
      </c>
      <c r="CC290" s="313">
        <f t="shared" si="2"/>
        <v>2026</v>
      </c>
      <c r="CD290" s="314">
        <f t="shared" si="3"/>
        <v>6</v>
      </c>
      <c r="CE290" s="314">
        <f t="shared" si="4"/>
        <v>1</v>
      </c>
      <c r="CF290" s="314">
        <f t="shared" si="5"/>
        <v>1</v>
      </c>
      <c r="CG290" s="314">
        <f t="shared" si="6"/>
        <v>0</v>
      </c>
      <c r="CH290" s="315">
        <f>VLOOKUP(CL290,'PRODUCT_COGS&amp;PRICE'!A:E,5,false)</f>
        <v>16.5</v>
      </c>
      <c r="CI290" s="315">
        <f t="shared" si="7"/>
        <v>-1.8631</v>
      </c>
      <c r="CJ290" s="316">
        <f t="shared" si="8"/>
        <v>0</v>
      </c>
      <c r="CK290" s="316">
        <f t="shared" si="9"/>
        <v>9</v>
      </c>
      <c r="CL290" s="314" t="str">
        <f>VLOOKUP(R290,PRODUCT_MAP!A:B,2,FALSE)</f>
        <v>Annie_Bag_PAILLETTES_NUDE</v>
      </c>
      <c r="CM290" s="314" t="str">
        <f>VLOOKUP(R290,PRODUCT_MAP!A:E,3,FALSE)</f>
        <v>Agata Bag</v>
      </c>
    </row>
    <row r="291" ht="22.5" customHeight="1">
      <c r="A291" s="308" t="s">
        <v>5266</v>
      </c>
      <c r="B291" s="308" t="s">
        <v>5267</v>
      </c>
      <c r="C291" s="308" t="s">
        <v>2942</v>
      </c>
      <c r="D291" s="308" t="s">
        <v>5268</v>
      </c>
      <c r="E291" s="308" t="s">
        <v>3013</v>
      </c>
      <c r="F291" s="308"/>
      <c r="G291" s="308" t="s">
        <v>2946</v>
      </c>
      <c r="H291" s="308" t="s">
        <v>2947</v>
      </c>
      <c r="I291" s="308">
        <v>90.0</v>
      </c>
      <c r="J291" s="308">
        <v>3.9</v>
      </c>
      <c r="K291" s="308">
        <v>16.93</v>
      </c>
      <c r="L291" s="308">
        <v>93.9</v>
      </c>
      <c r="M291" s="308"/>
      <c r="N291" s="308">
        <v>0.0</v>
      </c>
      <c r="O291" s="308" t="s">
        <v>2948</v>
      </c>
      <c r="P291" s="308" t="s">
        <v>5269</v>
      </c>
      <c r="Q291" s="310">
        <v>1.0</v>
      </c>
      <c r="R291" s="308" t="s">
        <v>4211</v>
      </c>
      <c r="S291" s="308">
        <v>90.0</v>
      </c>
      <c r="T291" s="311"/>
      <c r="U291" s="308" t="s">
        <v>4212</v>
      </c>
      <c r="V291" s="308" t="b">
        <v>1</v>
      </c>
      <c r="W291" s="308" t="b">
        <v>1</v>
      </c>
      <c r="X291" s="308"/>
      <c r="Y291" s="308" t="s">
        <v>5270</v>
      </c>
      <c r="Z291" s="308" t="s">
        <v>5271</v>
      </c>
      <c r="AA291" s="308" t="s">
        <v>5271</v>
      </c>
      <c r="AB291" s="308"/>
      <c r="AC291" s="308"/>
      <c r="AD291" s="308" t="s">
        <v>5272</v>
      </c>
      <c r="AE291" s="308">
        <v>26017.0</v>
      </c>
      <c r="AF291" s="308" t="s">
        <v>4845</v>
      </c>
      <c r="AG291" s="308" t="s">
        <v>2955</v>
      </c>
      <c r="AH291" s="308">
        <v>3.66534615E9</v>
      </c>
      <c r="AI291" s="308" t="s">
        <v>5270</v>
      </c>
      <c r="AJ291" s="308" t="s">
        <v>5271</v>
      </c>
      <c r="AK291" s="308" t="s">
        <v>5271</v>
      </c>
      <c r="AL291" s="308"/>
      <c r="AM291" s="308"/>
      <c r="AN291" s="308" t="s">
        <v>5272</v>
      </c>
      <c r="AO291" s="308">
        <v>26017.0</v>
      </c>
      <c r="AP291" s="308" t="s">
        <v>4845</v>
      </c>
      <c r="AQ291" s="308" t="s">
        <v>2955</v>
      </c>
      <c r="AR291" s="308">
        <v>3.66534615E9</v>
      </c>
      <c r="AS291" s="311"/>
      <c r="AT291" s="311"/>
      <c r="AU291" s="311"/>
      <c r="AV291" s="308" t="s">
        <v>2956</v>
      </c>
      <c r="AW291" s="308">
        <v>4.7917917438279E13</v>
      </c>
      <c r="AX291" s="310">
        <v>0.0</v>
      </c>
      <c r="AY291" s="308" t="s">
        <v>2974</v>
      </c>
      <c r="AZ291" s="308">
        <v>0.0</v>
      </c>
      <c r="BA291" s="311"/>
      <c r="BB291" s="311"/>
      <c r="BC291" s="311"/>
      <c r="BD291" s="308">
        <v>7.792763502919E12</v>
      </c>
      <c r="BE291" s="311"/>
      <c r="BF291" s="311"/>
      <c r="BG291" s="308" t="s">
        <v>2958</v>
      </c>
      <c r="BH291" s="308">
        <v>0.0</v>
      </c>
      <c r="BI291" s="308" t="s">
        <v>2959</v>
      </c>
      <c r="BJ291" s="308">
        <v>16.23</v>
      </c>
      <c r="BK291" s="311"/>
      <c r="BL291" s="311"/>
      <c r="BM291" s="311"/>
      <c r="BN291" s="311"/>
      <c r="BO291" s="311"/>
      <c r="BP291" s="311"/>
      <c r="BQ291" s="311"/>
      <c r="BR291" s="311"/>
      <c r="BS291" s="308"/>
      <c r="BT291" s="311"/>
      <c r="BU291" s="311"/>
      <c r="BV291" s="308" t="s">
        <v>4846</v>
      </c>
      <c r="BW291" s="308" t="s">
        <v>4846</v>
      </c>
      <c r="BX291" s="308" t="s">
        <v>2956</v>
      </c>
      <c r="BY291" s="311"/>
      <c r="BZ291" s="311"/>
      <c r="CA291" s="308" t="s">
        <v>2956</v>
      </c>
      <c r="CB291" s="312" t="str">
        <f t="shared" si="1"/>
        <v>03/06/2026</v>
      </c>
      <c r="CC291" s="313">
        <f t="shared" si="2"/>
        <v>2026</v>
      </c>
      <c r="CD291" s="314">
        <f t="shared" si="3"/>
        <v>6</v>
      </c>
      <c r="CE291" s="314">
        <f t="shared" si="4"/>
        <v>1</v>
      </c>
      <c r="CF291" s="314">
        <f t="shared" si="5"/>
        <v>1</v>
      </c>
      <c r="CG291" s="314">
        <f t="shared" si="6"/>
        <v>0</v>
      </c>
      <c r="CH291" s="315">
        <f>VLOOKUP(CL291,'PRODUCT_COGS&amp;PRICE'!A:E,5,false)</f>
        <v>16.5</v>
      </c>
      <c r="CI291" s="315">
        <f t="shared" si="7"/>
        <v>-2.0341</v>
      </c>
      <c r="CJ291" s="316">
        <f t="shared" si="8"/>
        <v>0</v>
      </c>
      <c r="CK291" s="316">
        <f t="shared" si="9"/>
        <v>0</v>
      </c>
      <c r="CL291" s="314" t="str">
        <f>VLOOKUP(R291,PRODUCT_MAP!A:B,2,FALSE)</f>
        <v>Annie_Bag_PAILLETTES_PINK</v>
      </c>
      <c r="CM291" s="314" t="str">
        <f>VLOOKUP(R291,PRODUCT_MAP!A:E,3,FALSE)</f>
        <v>Annie Bag paillettes</v>
      </c>
    </row>
    <row r="292" ht="22.5" customHeight="1">
      <c r="A292" s="308" t="s">
        <v>5273</v>
      </c>
      <c r="B292" s="308" t="s">
        <v>5274</v>
      </c>
      <c r="C292" s="308" t="s">
        <v>2942</v>
      </c>
      <c r="D292" s="308" t="s">
        <v>5275</v>
      </c>
      <c r="E292" s="308" t="s">
        <v>3013</v>
      </c>
      <c r="F292" s="308"/>
      <c r="G292" s="308" t="s">
        <v>2946</v>
      </c>
      <c r="H292" s="308" t="s">
        <v>2947</v>
      </c>
      <c r="I292" s="308">
        <v>120.0</v>
      </c>
      <c r="J292" s="308">
        <v>0.0</v>
      </c>
      <c r="K292" s="308">
        <v>21.64</v>
      </c>
      <c r="L292" s="308">
        <v>120.0</v>
      </c>
      <c r="M292" s="308"/>
      <c r="N292" s="308">
        <v>0.0</v>
      </c>
      <c r="O292" s="308" t="s">
        <v>2948</v>
      </c>
      <c r="P292" s="308" t="s">
        <v>5276</v>
      </c>
      <c r="Q292" s="310">
        <v>1.0</v>
      </c>
      <c r="R292" s="308" t="s">
        <v>534</v>
      </c>
      <c r="S292" s="308">
        <v>120.0</v>
      </c>
      <c r="T292" s="311"/>
      <c r="U292" s="308" t="s">
        <v>293</v>
      </c>
      <c r="V292" s="308" t="b">
        <v>1</v>
      </c>
      <c r="W292" s="308" t="b">
        <v>1</v>
      </c>
      <c r="X292" s="308"/>
      <c r="Y292" s="308" t="s">
        <v>5277</v>
      </c>
      <c r="Z292" s="308" t="s">
        <v>5278</v>
      </c>
      <c r="AA292" s="308" t="s">
        <v>5278</v>
      </c>
      <c r="AB292" s="308"/>
      <c r="AC292" s="308"/>
      <c r="AD292" s="308" t="s">
        <v>5279</v>
      </c>
      <c r="AE292" s="308">
        <v>53100.0</v>
      </c>
      <c r="AF292" s="308" t="s">
        <v>1616</v>
      </c>
      <c r="AG292" s="308" t="s">
        <v>2955</v>
      </c>
      <c r="AH292" s="308"/>
      <c r="AI292" s="308" t="s">
        <v>5280</v>
      </c>
      <c r="AJ292" s="308" t="s">
        <v>5281</v>
      </c>
      <c r="AK292" s="308" t="s">
        <v>5282</v>
      </c>
      <c r="AL292" s="308" t="s">
        <v>5283</v>
      </c>
      <c r="AM292" s="308"/>
      <c r="AN292" s="308" t="s">
        <v>3394</v>
      </c>
      <c r="AO292" s="308">
        <v>59100.0</v>
      </c>
      <c r="AP292" s="308" t="s">
        <v>3395</v>
      </c>
      <c r="AQ292" s="308" t="s">
        <v>2955</v>
      </c>
      <c r="AR292" s="308">
        <v>3.396773703E9</v>
      </c>
      <c r="AS292" s="311"/>
      <c r="AT292" s="311"/>
      <c r="AU292" s="311"/>
      <c r="AV292" s="308" t="s">
        <v>2956</v>
      </c>
      <c r="AW292" s="308">
        <v>4.7918631158087E13</v>
      </c>
      <c r="AX292" s="310">
        <v>0.0</v>
      </c>
      <c r="AY292" s="308" t="s">
        <v>2974</v>
      </c>
      <c r="AZ292" s="308">
        <v>0.0</v>
      </c>
      <c r="BA292" s="311"/>
      <c r="BB292" s="311"/>
      <c r="BC292" s="311"/>
      <c r="BD292" s="308">
        <v>7.793141678407E12</v>
      </c>
      <c r="BE292" s="311"/>
      <c r="BF292" s="311"/>
      <c r="BG292" s="308" t="s">
        <v>2958</v>
      </c>
      <c r="BH292" s="308">
        <v>0.0</v>
      </c>
      <c r="BI292" s="308" t="s">
        <v>2959</v>
      </c>
      <c r="BJ292" s="308">
        <v>21.64</v>
      </c>
      <c r="BK292" s="311"/>
      <c r="BL292" s="311"/>
      <c r="BM292" s="311"/>
      <c r="BN292" s="311"/>
      <c r="BO292" s="311"/>
      <c r="BP292" s="311"/>
      <c r="BQ292" s="311"/>
      <c r="BR292" s="311"/>
      <c r="BS292" s="308"/>
      <c r="BT292" s="311"/>
      <c r="BU292" s="311"/>
      <c r="BV292" s="308" t="s">
        <v>5279</v>
      </c>
      <c r="BW292" s="308" t="s">
        <v>3394</v>
      </c>
      <c r="BX292" s="308" t="s">
        <v>2956</v>
      </c>
      <c r="BY292" s="311"/>
      <c r="BZ292" s="311"/>
      <c r="CA292" s="308" t="s">
        <v>2956</v>
      </c>
      <c r="CB292" s="312" t="str">
        <f t="shared" si="1"/>
        <v>03/06/2026</v>
      </c>
      <c r="CC292" s="313">
        <f t="shared" si="2"/>
        <v>2026</v>
      </c>
      <c r="CD292" s="314">
        <f t="shared" si="3"/>
        <v>6</v>
      </c>
      <c r="CE292" s="314">
        <f t="shared" si="4"/>
        <v>1</v>
      </c>
      <c r="CF292" s="314">
        <f t="shared" si="5"/>
        <v>1</v>
      </c>
      <c r="CG292" s="314">
        <f t="shared" si="6"/>
        <v>-5</v>
      </c>
      <c r="CH292" s="315">
        <f>VLOOKUP(CL292,'PRODUCT_COGS&amp;PRICE'!A:E,5,false)</f>
        <v>20</v>
      </c>
      <c r="CI292" s="315">
        <f t="shared" si="7"/>
        <v>-2.53</v>
      </c>
      <c r="CJ292" s="316">
        <f t="shared" si="8"/>
        <v>0</v>
      </c>
      <c r="CK292" s="316">
        <f t="shared" si="9"/>
        <v>0</v>
      </c>
      <c r="CL292" s="314" t="str">
        <f>VLOOKUP(R292,PRODUCT_MAP!A:B,2,FALSE)</f>
        <v>Lea_Bag_COCCO_PURPLE</v>
      </c>
      <c r="CM292" s="314" t="str">
        <f>VLOOKUP(R292,PRODUCT_MAP!A:E,3,FALSE)</f>
        <v>Lea Bag</v>
      </c>
    </row>
    <row r="293" ht="22.5" customHeight="1">
      <c r="A293" s="308" t="s">
        <v>5284</v>
      </c>
      <c r="B293" s="308" t="s">
        <v>5285</v>
      </c>
      <c r="C293" s="308" t="s">
        <v>2942</v>
      </c>
      <c r="D293" s="308" t="s">
        <v>5286</v>
      </c>
      <c r="E293" s="308" t="s">
        <v>3013</v>
      </c>
      <c r="F293" s="308"/>
      <c r="G293" s="308" t="s">
        <v>2946</v>
      </c>
      <c r="H293" s="308" t="s">
        <v>2947</v>
      </c>
      <c r="I293" s="308">
        <v>170.0</v>
      </c>
      <c r="J293" s="308">
        <v>0.0</v>
      </c>
      <c r="K293" s="308">
        <v>30.65</v>
      </c>
      <c r="L293" s="308">
        <v>170.0</v>
      </c>
      <c r="M293" s="308"/>
      <c r="N293" s="308">
        <v>0.0</v>
      </c>
      <c r="O293" s="308" t="s">
        <v>2948</v>
      </c>
      <c r="P293" s="308" t="s">
        <v>5287</v>
      </c>
      <c r="Q293" s="310">
        <v>1.0</v>
      </c>
      <c r="R293" s="308" t="s">
        <v>4731</v>
      </c>
      <c r="S293" s="308">
        <v>100.0</v>
      </c>
      <c r="T293" s="311"/>
      <c r="U293" s="308" t="s">
        <v>4841</v>
      </c>
      <c r="V293" s="308" t="b">
        <v>1</v>
      </c>
      <c r="W293" s="308" t="b">
        <v>1</v>
      </c>
      <c r="X293" s="308"/>
      <c r="Y293" s="308" t="s">
        <v>5288</v>
      </c>
      <c r="Z293" s="308" t="s">
        <v>5289</v>
      </c>
      <c r="AA293" s="308" t="s">
        <v>5289</v>
      </c>
      <c r="AB293" s="308"/>
      <c r="AC293" s="308"/>
      <c r="AD293" s="308" t="s">
        <v>23</v>
      </c>
      <c r="AE293" s="308">
        <v>20121.0</v>
      </c>
      <c r="AF293" s="308" t="s">
        <v>2954</v>
      </c>
      <c r="AG293" s="308" t="s">
        <v>2955</v>
      </c>
      <c r="AH293" s="308">
        <v>3.337214051E9</v>
      </c>
      <c r="AI293" s="308" t="s">
        <v>5288</v>
      </c>
      <c r="AJ293" s="308" t="s">
        <v>5289</v>
      </c>
      <c r="AK293" s="308" t="s">
        <v>5289</v>
      </c>
      <c r="AL293" s="308"/>
      <c r="AM293" s="308"/>
      <c r="AN293" s="308" t="s">
        <v>23</v>
      </c>
      <c r="AO293" s="308">
        <v>20121.0</v>
      </c>
      <c r="AP293" s="308" t="s">
        <v>2954</v>
      </c>
      <c r="AQ293" s="308" t="s">
        <v>2955</v>
      </c>
      <c r="AR293" s="308">
        <v>3.337214051E9</v>
      </c>
      <c r="AS293" s="311"/>
      <c r="AT293" s="311"/>
      <c r="AU293" s="311"/>
      <c r="AV293" s="308" t="s">
        <v>2956</v>
      </c>
      <c r="AW293" s="308">
        <v>4.7919187099975E13</v>
      </c>
      <c r="AX293" s="310">
        <v>0.0</v>
      </c>
      <c r="AY293" s="308" t="s">
        <v>2974</v>
      </c>
      <c r="AZ293" s="308">
        <v>0.0</v>
      </c>
      <c r="BA293" s="311"/>
      <c r="BB293" s="311"/>
      <c r="BC293" s="311"/>
      <c r="BD293" s="308">
        <v>7.793445732679E12</v>
      </c>
      <c r="BE293" s="311"/>
      <c r="BF293" s="311"/>
      <c r="BG293" s="308" t="s">
        <v>2958</v>
      </c>
      <c r="BH293" s="308">
        <v>0.0</v>
      </c>
      <c r="BI293" s="308" t="s">
        <v>2959</v>
      </c>
      <c r="BJ293" s="308">
        <v>18.03</v>
      </c>
      <c r="BK293" s="311"/>
      <c r="BL293" s="311"/>
      <c r="BM293" s="311"/>
      <c r="BN293" s="311"/>
      <c r="BO293" s="311"/>
      <c r="BP293" s="311"/>
      <c r="BQ293" s="311"/>
      <c r="BR293" s="311"/>
      <c r="BS293" s="308"/>
      <c r="BT293" s="311"/>
      <c r="BU293" s="311"/>
      <c r="BV293" s="308" t="s">
        <v>23</v>
      </c>
      <c r="BW293" s="308" t="s">
        <v>23</v>
      </c>
      <c r="BX293" s="308" t="s">
        <v>2956</v>
      </c>
      <c r="BY293" s="311"/>
      <c r="BZ293" s="311"/>
      <c r="CA293" s="308" t="s">
        <v>2956</v>
      </c>
      <c r="CB293" s="312" t="str">
        <f t="shared" si="1"/>
        <v>03/06/2026</v>
      </c>
      <c r="CC293" s="313">
        <f t="shared" si="2"/>
        <v>2026</v>
      </c>
      <c r="CD293" s="314">
        <f t="shared" si="3"/>
        <v>6</v>
      </c>
      <c r="CE293" s="314">
        <f t="shared" si="4"/>
        <v>1</v>
      </c>
      <c r="CF293" s="314">
        <f t="shared" si="5"/>
        <v>1</v>
      </c>
      <c r="CG293" s="314">
        <f t="shared" si="6"/>
        <v>-5</v>
      </c>
      <c r="CH293" s="315">
        <f>VLOOKUP(CL293,'PRODUCT_COGS&amp;PRICE'!A:E,5,false)</f>
        <v>16.5</v>
      </c>
      <c r="CI293" s="315">
        <f t="shared" si="7"/>
        <v>-6.71</v>
      </c>
      <c r="CJ293" s="316">
        <f t="shared" si="8"/>
        <v>0</v>
      </c>
      <c r="CK293" s="316">
        <f t="shared" si="9"/>
        <v>0</v>
      </c>
      <c r="CL293" s="314" t="str">
        <f>VLOOKUP(R293,PRODUCT_MAP!A:B,2,FALSE)</f>
        <v>Annie_Bag_PEARL_GREY</v>
      </c>
      <c r="CM293" s="314" t="str">
        <f>VLOOKUP(R293,PRODUCT_MAP!A:E,3,FALSE)</f>
        <v/>
      </c>
    </row>
    <row r="294" ht="22.5" customHeight="1">
      <c r="A294" s="308" t="s">
        <v>5284</v>
      </c>
      <c r="B294" s="308" t="s">
        <v>5285</v>
      </c>
      <c r="C294" s="308" t="s">
        <v>2942</v>
      </c>
      <c r="D294" s="308" t="s">
        <v>5286</v>
      </c>
      <c r="E294" s="308" t="s">
        <v>3013</v>
      </c>
      <c r="F294" s="308"/>
      <c r="G294" s="308" t="s">
        <v>2946</v>
      </c>
      <c r="H294" s="308" t="s">
        <v>2947</v>
      </c>
      <c r="I294" s="308">
        <v>170.0</v>
      </c>
      <c r="J294" s="308">
        <v>0.0</v>
      </c>
      <c r="K294" s="308">
        <v>30.65</v>
      </c>
      <c r="L294" s="308">
        <v>170.0</v>
      </c>
      <c r="M294" s="308"/>
      <c r="N294" s="308">
        <v>0.0</v>
      </c>
      <c r="O294" s="308" t="s">
        <v>2948</v>
      </c>
      <c r="P294" s="308" t="s">
        <v>5287</v>
      </c>
      <c r="Q294" s="310">
        <v>1.0</v>
      </c>
      <c r="R294" s="308" t="s">
        <v>672</v>
      </c>
      <c r="S294" s="308">
        <v>70.0</v>
      </c>
      <c r="T294" s="311"/>
      <c r="U294" s="308" t="s">
        <v>320</v>
      </c>
      <c r="V294" s="308" t="b">
        <v>1</v>
      </c>
      <c r="W294" s="308" t="b">
        <v>1</v>
      </c>
      <c r="X294" s="308"/>
      <c r="Y294" s="308" t="s">
        <v>5288</v>
      </c>
      <c r="Z294" s="308" t="s">
        <v>5289</v>
      </c>
      <c r="AA294" s="308" t="s">
        <v>5289</v>
      </c>
      <c r="AB294" s="308"/>
      <c r="AC294" s="308"/>
      <c r="AD294" s="308" t="s">
        <v>23</v>
      </c>
      <c r="AE294" s="308">
        <v>20121.0</v>
      </c>
      <c r="AF294" s="308" t="s">
        <v>2954</v>
      </c>
      <c r="AG294" s="308" t="s">
        <v>2955</v>
      </c>
      <c r="AH294" s="308">
        <v>3.337214051E9</v>
      </c>
      <c r="AI294" s="308" t="s">
        <v>5288</v>
      </c>
      <c r="AJ294" s="308" t="s">
        <v>5289</v>
      </c>
      <c r="AK294" s="308" t="s">
        <v>5289</v>
      </c>
      <c r="AL294" s="308"/>
      <c r="AM294" s="308"/>
      <c r="AN294" s="308" t="s">
        <v>23</v>
      </c>
      <c r="AO294" s="308">
        <v>20121.0</v>
      </c>
      <c r="AP294" s="308" t="s">
        <v>2954</v>
      </c>
      <c r="AQ294" s="308" t="s">
        <v>2955</v>
      </c>
      <c r="AR294" s="308">
        <v>3.337214051E9</v>
      </c>
      <c r="AS294" s="311"/>
      <c r="AT294" s="311"/>
      <c r="AU294" s="311"/>
      <c r="AV294" s="308" t="s">
        <v>2956</v>
      </c>
      <c r="AW294" s="308">
        <v>4.7919187099975E13</v>
      </c>
      <c r="AX294" s="310">
        <v>0.0</v>
      </c>
      <c r="AY294" s="308" t="s">
        <v>5290</v>
      </c>
      <c r="AZ294" s="308">
        <v>0.0</v>
      </c>
      <c r="BA294" s="311"/>
      <c r="BB294" s="311"/>
      <c r="BC294" s="311"/>
      <c r="BD294" s="308">
        <v>7.793445732679E12</v>
      </c>
      <c r="BE294" s="311"/>
      <c r="BF294" s="311"/>
      <c r="BG294" s="308" t="s">
        <v>2958</v>
      </c>
      <c r="BH294" s="308">
        <v>0.0</v>
      </c>
      <c r="BI294" s="308" t="s">
        <v>2959</v>
      </c>
      <c r="BJ294" s="308">
        <v>12.62</v>
      </c>
      <c r="BK294" s="311"/>
      <c r="BL294" s="311"/>
      <c r="BM294" s="311"/>
      <c r="BN294" s="311"/>
      <c r="BO294" s="311"/>
      <c r="BP294" s="311"/>
      <c r="BQ294" s="311"/>
      <c r="BR294" s="311"/>
      <c r="BS294" s="308"/>
      <c r="BT294" s="311"/>
      <c r="BU294" s="311"/>
      <c r="BV294" s="308" t="s">
        <v>23</v>
      </c>
      <c r="BW294" s="308" t="s">
        <v>23</v>
      </c>
      <c r="BX294" s="308" t="s">
        <v>2956</v>
      </c>
      <c r="BY294" s="311"/>
      <c r="BZ294" s="311"/>
      <c r="CA294" s="308" t="s">
        <v>2956</v>
      </c>
      <c r="CB294" s="312" t="str">
        <f t="shared" si="1"/>
        <v>03/06/2026</v>
      </c>
      <c r="CC294" s="313">
        <f t="shared" si="2"/>
        <v>2026</v>
      </c>
      <c r="CD294" s="314">
        <f t="shared" si="3"/>
        <v>6</v>
      </c>
      <c r="CE294" s="314">
        <f t="shared" si="4"/>
        <v>0</v>
      </c>
      <c r="CF294" s="314">
        <f t="shared" si="5"/>
        <v>1</v>
      </c>
      <c r="CG294" s="314">
        <f t="shared" si="6"/>
        <v>-5</v>
      </c>
      <c r="CH294" s="315">
        <f>VLOOKUP(CL294,'PRODUCT_COGS&amp;PRICE'!A:E,5,false)</f>
        <v>14.58</v>
      </c>
      <c r="CI294" s="315">
        <f t="shared" si="7"/>
        <v>0</v>
      </c>
      <c r="CJ294" s="316">
        <f t="shared" si="8"/>
        <v>0</v>
      </c>
      <c r="CK294" s="316">
        <f t="shared" si="9"/>
        <v>0</v>
      </c>
      <c r="CL294" s="314" t="str">
        <f>VLOOKUP(R294,PRODUCT_MAP!A:B,2,FALSE)</f>
        <v>Nina_Bag_Maxi_STRIPES_ICE_GREEN</v>
      </c>
      <c r="CM294" s="314" t="str">
        <f>VLOOKUP(R294,PRODUCT_MAP!A:E,3,FALSE)</f>
        <v>Nina Bag Maxi</v>
      </c>
    </row>
    <row r="295" ht="22.5" customHeight="1">
      <c r="A295" s="308" t="s">
        <v>5291</v>
      </c>
      <c r="B295" s="308" t="s">
        <v>5292</v>
      </c>
      <c r="C295" s="308" t="s">
        <v>2942</v>
      </c>
      <c r="D295" s="308" t="s">
        <v>5293</v>
      </c>
      <c r="E295" s="308" t="s">
        <v>3013</v>
      </c>
      <c r="F295" s="308"/>
      <c r="G295" s="308" t="s">
        <v>2965</v>
      </c>
      <c r="H295" s="308" t="s">
        <v>2947</v>
      </c>
      <c r="I295" s="308">
        <v>72.0</v>
      </c>
      <c r="J295" s="308">
        <v>3.9</v>
      </c>
      <c r="K295" s="308">
        <v>13.68</v>
      </c>
      <c r="L295" s="308">
        <v>75.9</v>
      </c>
      <c r="M295" s="308" t="s">
        <v>3221</v>
      </c>
      <c r="N295" s="308">
        <v>8.0</v>
      </c>
      <c r="O295" s="308" t="s">
        <v>2948</v>
      </c>
      <c r="P295" s="308" t="s">
        <v>5294</v>
      </c>
      <c r="Q295" s="310">
        <v>1.0</v>
      </c>
      <c r="R295" s="308" t="s">
        <v>4367</v>
      </c>
      <c r="S295" s="308">
        <v>80.0</v>
      </c>
      <c r="T295" s="311"/>
      <c r="U295" s="308" t="s">
        <v>5295</v>
      </c>
      <c r="V295" s="308" t="b">
        <v>1</v>
      </c>
      <c r="W295" s="308" t="b">
        <v>1</v>
      </c>
      <c r="X295" s="308"/>
      <c r="Y295" s="308" t="s">
        <v>5296</v>
      </c>
      <c r="Z295" s="308" t="s">
        <v>5297</v>
      </c>
      <c r="AA295" s="308" t="s">
        <v>5297</v>
      </c>
      <c r="AB295" s="308"/>
      <c r="AC295" s="308"/>
      <c r="AD295" s="308" t="s">
        <v>5298</v>
      </c>
      <c r="AE295" s="308">
        <v>42014.0</v>
      </c>
      <c r="AF295" s="308" t="s">
        <v>3506</v>
      </c>
      <c r="AG295" s="308" t="s">
        <v>2955</v>
      </c>
      <c r="AH295" s="308">
        <v>3.476898291E9</v>
      </c>
      <c r="AI295" s="308" t="s">
        <v>5296</v>
      </c>
      <c r="AJ295" s="308" t="s">
        <v>5297</v>
      </c>
      <c r="AK295" s="308" t="s">
        <v>5297</v>
      </c>
      <c r="AL295" s="308"/>
      <c r="AM295" s="308"/>
      <c r="AN295" s="308" t="s">
        <v>5298</v>
      </c>
      <c r="AO295" s="308">
        <v>42014.0</v>
      </c>
      <c r="AP295" s="308" t="s">
        <v>3506</v>
      </c>
      <c r="AQ295" s="308" t="s">
        <v>2955</v>
      </c>
      <c r="AR295" s="308">
        <v>3.476898291E9</v>
      </c>
      <c r="AS295" s="311"/>
      <c r="AT295" s="311"/>
      <c r="AU295" s="311"/>
      <c r="AV295" s="308" t="s">
        <v>2956</v>
      </c>
      <c r="AW295" s="308">
        <v>4.7919911764295E13</v>
      </c>
      <c r="AX295" s="310">
        <v>0.0</v>
      </c>
      <c r="AY295" s="308" t="s">
        <v>2974</v>
      </c>
      <c r="AZ295" s="308">
        <v>0.0</v>
      </c>
      <c r="BA295" s="311"/>
      <c r="BB295" s="311"/>
      <c r="BC295" s="311"/>
      <c r="BD295" s="308">
        <v>7.793862312263E12</v>
      </c>
      <c r="BE295" s="311"/>
      <c r="BF295" s="311"/>
      <c r="BG295" s="308" t="s">
        <v>2958</v>
      </c>
      <c r="BH295" s="308">
        <v>0.0</v>
      </c>
      <c r="BI295" s="308" t="s">
        <v>2959</v>
      </c>
      <c r="BJ295" s="308">
        <v>12.98</v>
      </c>
      <c r="BK295" s="311"/>
      <c r="BL295" s="311"/>
      <c r="BM295" s="311"/>
      <c r="BN295" s="311"/>
      <c r="BO295" s="311"/>
      <c r="BP295" s="311"/>
      <c r="BQ295" s="311"/>
      <c r="BR295" s="311"/>
      <c r="BS295" s="308"/>
      <c r="BT295" s="311"/>
      <c r="BU295" s="311"/>
      <c r="BV295" s="308" t="s">
        <v>3507</v>
      </c>
      <c r="BW295" s="308" t="s">
        <v>3507</v>
      </c>
      <c r="BX295" s="308" t="s">
        <v>2956</v>
      </c>
      <c r="BY295" s="311"/>
      <c r="BZ295" s="311"/>
      <c r="CA295" s="308" t="s">
        <v>2956</v>
      </c>
      <c r="CB295" s="312" t="str">
        <f t="shared" si="1"/>
        <v>03/06/2026</v>
      </c>
      <c r="CC295" s="313">
        <f t="shared" si="2"/>
        <v>2026</v>
      </c>
      <c r="CD295" s="314">
        <f t="shared" si="3"/>
        <v>6</v>
      </c>
      <c r="CE295" s="314">
        <f t="shared" si="4"/>
        <v>1</v>
      </c>
      <c r="CF295" s="314">
        <f t="shared" si="5"/>
        <v>1</v>
      </c>
      <c r="CG295" s="314">
        <f t="shared" si="6"/>
        <v>0</v>
      </c>
      <c r="CH295" s="315">
        <f>VLOOKUP(CL295,'PRODUCT_COGS&amp;PRICE'!A:E,5,false)</f>
        <v>19</v>
      </c>
      <c r="CI295" s="315">
        <f t="shared" si="7"/>
        <v>-1.6921</v>
      </c>
      <c r="CJ295" s="316">
        <f t="shared" si="8"/>
        <v>0</v>
      </c>
      <c r="CK295" s="316">
        <f t="shared" si="9"/>
        <v>8</v>
      </c>
      <c r="CL295" s="314" t="str">
        <f>VLOOKUP(R295,PRODUCT_MAP!A:B,2,FALSE)</f>
        <v>Agata_Bag_ROSE_BLUE</v>
      </c>
      <c r="CM295" s="314" t="str">
        <f>VLOOKUP(R295,PRODUCT_MAP!A:E,3,FALSE)</f>
        <v>Agata Bag</v>
      </c>
    </row>
    <row r="296" ht="22.5" customHeight="1">
      <c r="A296" s="308" t="s">
        <v>5299</v>
      </c>
      <c r="B296" s="308" t="s">
        <v>5300</v>
      </c>
      <c r="C296" s="308" t="s">
        <v>2942</v>
      </c>
      <c r="D296" s="308" t="s">
        <v>5301</v>
      </c>
      <c r="E296" s="308" t="s">
        <v>3013</v>
      </c>
      <c r="F296" s="308"/>
      <c r="G296" s="308" t="s">
        <v>2946</v>
      </c>
      <c r="H296" s="308" t="s">
        <v>2947</v>
      </c>
      <c r="I296" s="308">
        <v>108.0</v>
      </c>
      <c r="J296" s="308">
        <v>0.0</v>
      </c>
      <c r="K296" s="308">
        <v>19.48</v>
      </c>
      <c r="L296" s="308">
        <v>108.0</v>
      </c>
      <c r="M296" s="308" t="s">
        <v>3094</v>
      </c>
      <c r="N296" s="308">
        <v>12.0</v>
      </c>
      <c r="O296" s="308" t="s">
        <v>2948</v>
      </c>
      <c r="P296" s="308" t="s">
        <v>5302</v>
      </c>
      <c r="Q296" s="310">
        <v>1.0</v>
      </c>
      <c r="R296" s="308" t="s">
        <v>529</v>
      </c>
      <c r="S296" s="308">
        <v>120.0</v>
      </c>
      <c r="T296" s="311"/>
      <c r="U296" s="308" t="s">
        <v>298</v>
      </c>
      <c r="V296" s="308" t="b">
        <v>1</v>
      </c>
      <c r="W296" s="308" t="b">
        <v>1</v>
      </c>
      <c r="X296" s="308"/>
      <c r="Y296" s="308" t="s">
        <v>5303</v>
      </c>
      <c r="Z296" s="308" t="s">
        <v>5304</v>
      </c>
      <c r="AA296" s="308" t="s">
        <v>5304</v>
      </c>
      <c r="AB296" s="308"/>
      <c r="AC296" s="308"/>
      <c r="AD296" s="308" t="s">
        <v>5305</v>
      </c>
      <c r="AE296" s="308">
        <v>31030.0</v>
      </c>
      <c r="AF296" s="308" t="s">
        <v>2995</v>
      </c>
      <c r="AG296" s="308" t="s">
        <v>2955</v>
      </c>
      <c r="AH296" s="308"/>
      <c r="AI296" s="308" t="s">
        <v>5303</v>
      </c>
      <c r="AJ296" s="308" t="s">
        <v>5306</v>
      </c>
      <c r="AK296" s="308" t="s">
        <v>5306</v>
      </c>
      <c r="AL296" s="308"/>
      <c r="AM296" s="308"/>
      <c r="AN296" s="308" t="s">
        <v>5305</v>
      </c>
      <c r="AO296" s="308">
        <v>31030.0</v>
      </c>
      <c r="AP296" s="308" t="s">
        <v>2995</v>
      </c>
      <c r="AQ296" s="308" t="s">
        <v>2955</v>
      </c>
      <c r="AR296" s="308">
        <v>3.703091739E9</v>
      </c>
      <c r="AS296" s="311"/>
      <c r="AT296" s="311"/>
      <c r="AU296" s="311"/>
      <c r="AV296" s="308" t="s">
        <v>2956</v>
      </c>
      <c r="AW296" s="308">
        <v>4.7920084910407E13</v>
      </c>
      <c r="AX296" s="310">
        <v>0.0</v>
      </c>
      <c r="AY296" s="308" t="s">
        <v>2974</v>
      </c>
      <c r="AZ296" s="308">
        <v>0.0</v>
      </c>
      <c r="BA296" s="311"/>
      <c r="BB296" s="311"/>
      <c r="BC296" s="311"/>
      <c r="BD296" s="308">
        <v>7.793970479431E12</v>
      </c>
      <c r="BE296" s="311"/>
      <c r="BF296" s="311"/>
      <c r="BG296" s="308" t="s">
        <v>2958</v>
      </c>
      <c r="BH296" s="308">
        <v>0.0</v>
      </c>
      <c r="BI296" s="308" t="s">
        <v>2959</v>
      </c>
      <c r="BJ296" s="308">
        <v>19.48</v>
      </c>
      <c r="BK296" s="311"/>
      <c r="BL296" s="311"/>
      <c r="BM296" s="311"/>
      <c r="BN296" s="311"/>
      <c r="BO296" s="311"/>
      <c r="BP296" s="311"/>
      <c r="BQ296" s="311"/>
      <c r="BR296" s="311"/>
      <c r="BS296" s="308"/>
      <c r="BT296" s="311"/>
      <c r="BU296" s="311"/>
      <c r="BV296" s="308" t="s">
        <v>2994</v>
      </c>
      <c r="BW296" s="308" t="s">
        <v>2994</v>
      </c>
      <c r="BX296" s="308" t="s">
        <v>2956</v>
      </c>
      <c r="BY296" s="311"/>
      <c r="BZ296" s="311"/>
      <c r="CA296" s="308" t="s">
        <v>2956</v>
      </c>
      <c r="CB296" s="312" t="str">
        <f t="shared" si="1"/>
        <v>03/06/2026</v>
      </c>
      <c r="CC296" s="313">
        <f t="shared" si="2"/>
        <v>2026</v>
      </c>
      <c r="CD296" s="314">
        <f t="shared" si="3"/>
        <v>6</v>
      </c>
      <c r="CE296" s="314">
        <f t="shared" si="4"/>
        <v>1</v>
      </c>
      <c r="CF296" s="314">
        <f t="shared" si="5"/>
        <v>1</v>
      </c>
      <c r="CG296" s="314">
        <f t="shared" si="6"/>
        <v>-5</v>
      </c>
      <c r="CH296" s="315">
        <f>VLOOKUP(CL296,'PRODUCT_COGS&amp;PRICE'!A:E,5,false)</f>
        <v>20</v>
      </c>
      <c r="CI296" s="315">
        <f t="shared" si="7"/>
        <v>-2.302</v>
      </c>
      <c r="CJ296" s="316">
        <f t="shared" si="8"/>
        <v>0</v>
      </c>
      <c r="CK296" s="316">
        <f t="shared" si="9"/>
        <v>12</v>
      </c>
      <c r="CL296" s="314" t="str">
        <f>VLOOKUP(R296,PRODUCT_MAP!A:B,2,FALSE)</f>
        <v>Lea_Bag_COCCO_PINK</v>
      </c>
      <c r="CM296" s="314" t="str">
        <f>VLOOKUP(R296,PRODUCT_MAP!A:E,3,FALSE)</f>
        <v>Lea Bag</v>
      </c>
    </row>
    <row r="297" ht="22.5" customHeight="1">
      <c r="A297" s="308" t="s">
        <v>5307</v>
      </c>
      <c r="B297" s="308" t="s">
        <v>5308</v>
      </c>
      <c r="C297" s="308" t="s">
        <v>2942</v>
      </c>
      <c r="D297" s="308" t="s">
        <v>5309</v>
      </c>
      <c r="E297" s="308" t="s">
        <v>3013</v>
      </c>
      <c r="F297" s="308"/>
      <c r="G297" s="308" t="s">
        <v>2946</v>
      </c>
      <c r="H297" s="308" t="s">
        <v>2947</v>
      </c>
      <c r="I297" s="308">
        <v>81.0</v>
      </c>
      <c r="J297" s="308">
        <v>0.0</v>
      </c>
      <c r="K297" s="308">
        <v>14.61</v>
      </c>
      <c r="L297" s="308">
        <v>81.0</v>
      </c>
      <c r="M297" s="308" t="s">
        <v>3094</v>
      </c>
      <c r="N297" s="308">
        <v>9.0</v>
      </c>
      <c r="O297" s="308" t="s">
        <v>2979</v>
      </c>
      <c r="P297" s="308" t="s">
        <v>5310</v>
      </c>
      <c r="Q297" s="310">
        <v>1.0</v>
      </c>
      <c r="R297" s="308" t="s">
        <v>5039</v>
      </c>
      <c r="S297" s="308">
        <v>90.0</v>
      </c>
      <c r="T297" s="311"/>
      <c r="U297" s="308" t="s">
        <v>5040</v>
      </c>
      <c r="V297" s="308" t="b">
        <v>1</v>
      </c>
      <c r="W297" s="308" t="b">
        <v>1</v>
      </c>
      <c r="X297" s="308"/>
      <c r="Y297" s="308" t="s">
        <v>5311</v>
      </c>
      <c r="Z297" s="308" t="s">
        <v>5312</v>
      </c>
      <c r="AA297" s="308" t="s">
        <v>5312</v>
      </c>
      <c r="AB297" s="308"/>
      <c r="AC297" s="308"/>
      <c r="AD297" s="308" t="s">
        <v>5313</v>
      </c>
      <c r="AE297" s="308">
        <v>20091.0</v>
      </c>
      <c r="AF297" s="308" t="s">
        <v>2954</v>
      </c>
      <c r="AG297" s="308" t="s">
        <v>2955</v>
      </c>
      <c r="AH297" s="308">
        <v>3.924097194E9</v>
      </c>
      <c r="AI297" s="308"/>
      <c r="AJ297" s="308"/>
      <c r="AK297" s="308"/>
      <c r="AL297" s="308"/>
      <c r="AM297" s="308"/>
      <c r="AN297" s="308"/>
      <c r="AO297" s="308"/>
      <c r="AP297" s="308"/>
      <c r="AQ297" s="308"/>
      <c r="AR297" s="308"/>
      <c r="AS297" s="311"/>
      <c r="AT297" s="311"/>
      <c r="AU297" s="311"/>
      <c r="AV297" s="308" t="s">
        <v>3009</v>
      </c>
      <c r="AW297" s="308">
        <v>4.7919753494855E13</v>
      </c>
      <c r="AX297" s="310">
        <v>0.0</v>
      </c>
      <c r="AY297" s="308" t="s">
        <v>2974</v>
      </c>
      <c r="AZ297" s="308">
        <v>0.0</v>
      </c>
      <c r="BA297" s="311"/>
      <c r="BB297" s="311"/>
      <c r="BC297" s="311"/>
      <c r="BD297" s="308">
        <v>7.794101551431E12</v>
      </c>
      <c r="BE297" s="311"/>
      <c r="BF297" s="311"/>
      <c r="BG297" s="308" t="s">
        <v>2958</v>
      </c>
      <c r="BH297" s="308">
        <v>0.0</v>
      </c>
      <c r="BI297" s="308" t="s">
        <v>2959</v>
      </c>
      <c r="BJ297" s="308">
        <v>14.61</v>
      </c>
      <c r="BK297" s="311"/>
      <c r="BL297" s="311"/>
      <c r="BM297" s="311"/>
      <c r="BN297" s="311"/>
      <c r="BO297" s="311"/>
      <c r="BP297" s="311"/>
      <c r="BQ297" s="311"/>
      <c r="BR297" s="311"/>
      <c r="BS297" s="308"/>
      <c r="BT297" s="311"/>
      <c r="BU297" s="311"/>
      <c r="BV297" s="308" t="s">
        <v>23</v>
      </c>
      <c r="BW297" s="308"/>
      <c r="BX297" s="308" t="s">
        <v>3009</v>
      </c>
      <c r="BY297" s="311"/>
      <c r="BZ297" s="311"/>
      <c r="CA297" s="308" t="s">
        <v>3009</v>
      </c>
      <c r="CB297" s="312" t="str">
        <f t="shared" si="1"/>
        <v>03/06/2026</v>
      </c>
      <c r="CC297" s="313">
        <f t="shared" si="2"/>
        <v>2026</v>
      </c>
      <c r="CD297" s="314">
        <f t="shared" si="3"/>
        <v>6</v>
      </c>
      <c r="CE297" s="314">
        <f t="shared" si="4"/>
        <v>1</v>
      </c>
      <c r="CF297" s="314">
        <f t="shared" si="5"/>
        <v>1</v>
      </c>
      <c r="CG297" s="314">
        <f t="shared" si="6"/>
        <v>-5</v>
      </c>
      <c r="CH297" s="315">
        <f>VLOOKUP(CL297,'PRODUCT_COGS&amp;PRICE'!A:E,5,false)</f>
        <v>16.5</v>
      </c>
      <c r="CI297" s="315">
        <f t="shared" si="7"/>
        <v>-3.1769</v>
      </c>
      <c r="CJ297" s="316">
        <f t="shared" si="8"/>
        <v>0</v>
      </c>
      <c r="CK297" s="316">
        <f t="shared" si="9"/>
        <v>9</v>
      </c>
      <c r="CL297" s="314" t="str">
        <f>VLOOKUP(R297,PRODUCT_MAP!A:B,2,FALSE)</f>
        <v>Annie_Bag_PAILLETTES_LIGHT_BLUE</v>
      </c>
      <c r="CM297" s="314" t="str">
        <f>VLOOKUP(R297,PRODUCT_MAP!A:E,3,FALSE)</f>
        <v>Annie Bag paillettes</v>
      </c>
    </row>
    <row r="298" ht="22.5" customHeight="1">
      <c r="A298" s="308" t="s">
        <v>5314</v>
      </c>
      <c r="B298" s="308" t="s">
        <v>5315</v>
      </c>
      <c r="C298" s="308" t="s">
        <v>2942</v>
      </c>
      <c r="D298" s="308" t="s">
        <v>5316</v>
      </c>
      <c r="E298" s="308" t="s">
        <v>3013</v>
      </c>
      <c r="F298" s="308"/>
      <c r="G298" s="308" t="s">
        <v>2965</v>
      </c>
      <c r="H298" s="308" t="s">
        <v>2947</v>
      </c>
      <c r="I298" s="308">
        <v>90.0</v>
      </c>
      <c r="J298" s="308">
        <v>3.9</v>
      </c>
      <c r="K298" s="308">
        <v>16.93</v>
      </c>
      <c r="L298" s="308">
        <v>93.9</v>
      </c>
      <c r="M298" s="308"/>
      <c r="N298" s="308">
        <v>0.0</v>
      </c>
      <c r="O298" s="308" t="s">
        <v>2948</v>
      </c>
      <c r="P298" s="308" t="s">
        <v>5317</v>
      </c>
      <c r="Q298" s="310">
        <v>1.0</v>
      </c>
      <c r="R298" s="308" t="s">
        <v>5039</v>
      </c>
      <c r="S298" s="308">
        <v>90.0</v>
      </c>
      <c r="T298" s="311"/>
      <c r="U298" s="308" t="s">
        <v>5040</v>
      </c>
      <c r="V298" s="308" t="b">
        <v>1</v>
      </c>
      <c r="W298" s="308" t="b">
        <v>1</v>
      </c>
      <c r="X298" s="308"/>
      <c r="Y298" s="308" t="s">
        <v>5318</v>
      </c>
      <c r="Z298" s="308" t="s">
        <v>5319</v>
      </c>
      <c r="AA298" s="308" t="s">
        <v>5319</v>
      </c>
      <c r="AB298" s="308"/>
      <c r="AC298" s="308"/>
      <c r="AD298" s="308" t="s">
        <v>3081</v>
      </c>
      <c r="AE298" s="308">
        <v>195.0</v>
      </c>
      <c r="AF298" s="308" t="s">
        <v>3082</v>
      </c>
      <c r="AG298" s="308" t="s">
        <v>2955</v>
      </c>
      <c r="AH298" s="308">
        <v>3.881156478E9</v>
      </c>
      <c r="AI298" s="308" t="s">
        <v>5318</v>
      </c>
      <c r="AJ298" s="308" t="s">
        <v>5319</v>
      </c>
      <c r="AK298" s="308" t="s">
        <v>5319</v>
      </c>
      <c r="AL298" s="308"/>
      <c r="AM298" s="308"/>
      <c r="AN298" s="308" t="s">
        <v>3081</v>
      </c>
      <c r="AO298" s="308">
        <v>195.0</v>
      </c>
      <c r="AP298" s="308" t="s">
        <v>3082</v>
      </c>
      <c r="AQ298" s="308" t="s">
        <v>2955</v>
      </c>
      <c r="AR298" s="308">
        <v>3.881156478E9</v>
      </c>
      <c r="AS298" s="311"/>
      <c r="AT298" s="311"/>
      <c r="AU298" s="311"/>
      <c r="AV298" s="308" t="s">
        <v>3009</v>
      </c>
      <c r="AW298" s="308">
        <v>4.7921060348231E13</v>
      </c>
      <c r="AX298" s="310">
        <v>0.0</v>
      </c>
      <c r="AY298" s="308" t="s">
        <v>2974</v>
      </c>
      <c r="AZ298" s="308">
        <v>0.0</v>
      </c>
      <c r="BA298" s="311"/>
      <c r="BB298" s="311"/>
      <c r="BC298" s="311"/>
      <c r="BD298" s="308">
        <v>7.794459803975E12</v>
      </c>
      <c r="BE298" s="311"/>
      <c r="BF298" s="311"/>
      <c r="BG298" s="308" t="s">
        <v>2958</v>
      </c>
      <c r="BH298" s="308">
        <v>0.0</v>
      </c>
      <c r="BI298" s="308" t="s">
        <v>2959</v>
      </c>
      <c r="BJ298" s="308">
        <v>16.23</v>
      </c>
      <c r="BK298" s="311"/>
      <c r="BL298" s="311"/>
      <c r="BM298" s="311"/>
      <c r="BN298" s="311"/>
      <c r="BO298" s="311"/>
      <c r="BP298" s="311"/>
      <c r="BQ298" s="311"/>
      <c r="BR298" s="311"/>
      <c r="BS298" s="308"/>
      <c r="BT298" s="311"/>
      <c r="BU298" s="311"/>
      <c r="BV298" s="308" t="s">
        <v>3081</v>
      </c>
      <c r="BW298" s="308" t="s">
        <v>3081</v>
      </c>
      <c r="BX298" s="308" t="s">
        <v>3009</v>
      </c>
      <c r="BY298" s="311"/>
      <c r="BZ298" s="311"/>
      <c r="CA298" s="308" t="s">
        <v>3009</v>
      </c>
      <c r="CB298" s="312" t="str">
        <f t="shared" si="1"/>
        <v>03/06/2026</v>
      </c>
      <c r="CC298" s="313">
        <f t="shared" si="2"/>
        <v>2026</v>
      </c>
      <c r="CD298" s="314">
        <f t="shared" si="3"/>
        <v>6</v>
      </c>
      <c r="CE298" s="314">
        <f t="shared" si="4"/>
        <v>1</v>
      </c>
      <c r="CF298" s="314">
        <f t="shared" si="5"/>
        <v>1</v>
      </c>
      <c r="CG298" s="314">
        <f t="shared" si="6"/>
        <v>0</v>
      </c>
      <c r="CH298" s="315">
        <f>VLOOKUP(CL298,'PRODUCT_COGS&amp;PRICE'!A:E,5,false)</f>
        <v>16.5</v>
      </c>
      <c r="CI298" s="315">
        <f t="shared" si="7"/>
        <v>-3.62711</v>
      </c>
      <c r="CJ298" s="316">
        <f t="shared" si="8"/>
        <v>0</v>
      </c>
      <c r="CK298" s="316">
        <f t="shared" si="9"/>
        <v>0</v>
      </c>
      <c r="CL298" s="314" t="str">
        <f>VLOOKUP(R298,PRODUCT_MAP!A:B,2,FALSE)</f>
        <v>Annie_Bag_PAILLETTES_LIGHT_BLUE</v>
      </c>
      <c r="CM298" s="314" t="str">
        <f>VLOOKUP(R298,PRODUCT_MAP!A:E,3,FALSE)</f>
        <v>Annie Bag paillettes</v>
      </c>
    </row>
    <row r="299" ht="22.5" customHeight="1">
      <c r="A299" s="308" t="s">
        <v>5320</v>
      </c>
      <c r="B299" s="308" t="s">
        <v>5321</v>
      </c>
      <c r="C299" s="308" t="s">
        <v>2942</v>
      </c>
      <c r="D299" s="308" t="s">
        <v>5322</v>
      </c>
      <c r="E299" s="308" t="s">
        <v>3013</v>
      </c>
      <c r="F299" s="308"/>
      <c r="G299" s="308" t="s">
        <v>2946</v>
      </c>
      <c r="H299" s="308" t="s">
        <v>2947</v>
      </c>
      <c r="I299" s="308">
        <v>90.0</v>
      </c>
      <c r="J299" s="308">
        <v>3.9</v>
      </c>
      <c r="K299" s="308">
        <v>16.93</v>
      </c>
      <c r="L299" s="308">
        <v>93.9</v>
      </c>
      <c r="M299" s="308" t="s">
        <v>3094</v>
      </c>
      <c r="N299" s="308">
        <v>10.0</v>
      </c>
      <c r="O299" s="308" t="s">
        <v>2948</v>
      </c>
      <c r="P299" s="308" t="s">
        <v>5323</v>
      </c>
      <c r="Q299" s="310">
        <v>1.0</v>
      </c>
      <c r="R299" s="308" t="s">
        <v>5324</v>
      </c>
      <c r="S299" s="308">
        <v>100.0</v>
      </c>
      <c r="T299" s="311"/>
      <c r="U299" s="308" t="s">
        <v>5325</v>
      </c>
      <c r="V299" s="308" t="b">
        <v>1</v>
      </c>
      <c r="W299" s="308" t="b">
        <v>1</v>
      </c>
      <c r="X299" s="308"/>
      <c r="Y299" s="308" t="s">
        <v>5326</v>
      </c>
      <c r="Z299" s="308" t="s">
        <v>5327</v>
      </c>
      <c r="AA299" s="308" t="s">
        <v>5327</v>
      </c>
      <c r="AB299" s="308"/>
      <c r="AC299" s="308"/>
      <c r="AD299" s="308" t="s">
        <v>5328</v>
      </c>
      <c r="AE299" s="308">
        <v>71043.0</v>
      </c>
      <c r="AF299" s="308" t="s">
        <v>4726</v>
      </c>
      <c r="AG299" s="308" t="s">
        <v>2955</v>
      </c>
      <c r="AH299" s="308"/>
      <c r="AI299" s="308" t="s">
        <v>5326</v>
      </c>
      <c r="AJ299" s="308" t="s">
        <v>5329</v>
      </c>
      <c r="AK299" s="308" t="s">
        <v>5329</v>
      </c>
      <c r="AL299" s="308"/>
      <c r="AM299" s="308"/>
      <c r="AN299" s="308" t="s">
        <v>5330</v>
      </c>
      <c r="AO299" s="308">
        <v>46010.0</v>
      </c>
      <c r="AP299" s="308" t="s">
        <v>5331</v>
      </c>
      <c r="AQ299" s="308" t="s">
        <v>2955</v>
      </c>
      <c r="AR299" s="308">
        <v>3.47511176E9</v>
      </c>
      <c r="AS299" s="311"/>
      <c r="AT299" s="311"/>
      <c r="AU299" s="311"/>
      <c r="AV299" s="308" t="s">
        <v>2956</v>
      </c>
      <c r="AW299" s="308">
        <v>4.7921295327559E13</v>
      </c>
      <c r="AX299" s="310">
        <v>0.0</v>
      </c>
      <c r="AY299" s="308" t="s">
        <v>2974</v>
      </c>
      <c r="AZ299" s="308">
        <v>0.0</v>
      </c>
      <c r="BA299" s="311"/>
      <c r="BB299" s="311"/>
      <c r="BC299" s="311"/>
      <c r="BD299" s="308">
        <v>7.794561614151E12</v>
      </c>
      <c r="BE299" s="311"/>
      <c r="BF299" s="311"/>
      <c r="BG299" s="308" t="s">
        <v>2958</v>
      </c>
      <c r="BH299" s="308">
        <v>0.0</v>
      </c>
      <c r="BI299" s="308" t="s">
        <v>2959</v>
      </c>
      <c r="BJ299" s="308">
        <v>16.23</v>
      </c>
      <c r="BK299" s="311"/>
      <c r="BL299" s="311"/>
      <c r="BM299" s="311"/>
      <c r="BN299" s="311"/>
      <c r="BO299" s="311"/>
      <c r="BP299" s="311"/>
      <c r="BQ299" s="311"/>
      <c r="BR299" s="311"/>
      <c r="BS299" s="308"/>
      <c r="BT299" s="311"/>
      <c r="BU299" s="311"/>
      <c r="BV299" s="308" t="s">
        <v>4725</v>
      </c>
      <c r="BW299" s="308" t="s">
        <v>5332</v>
      </c>
      <c r="BX299" s="308" t="s">
        <v>2956</v>
      </c>
      <c r="BY299" s="311"/>
      <c r="BZ299" s="311"/>
      <c r="CA299" s="308" t="s">
        <v>2956</v>
      </c>
      <c r="CB299" s="312" t="str">
        <f t="shared" si="1"/>
        <v>03/06/2026</v>
      </c>
      <c r="CC299" s="313">
        <f t="shared" si="2"/>
        <v>2026</v>
      </c>
      <c r="CD299" s="314">
        <f t="shared" si="3"/>
        <v>6</v>
      </c>
      <c r="CE299" s="314">
        <f t="shared" si="4"/>
        <v>1</v>
      </c>
      <c r="CF299" s="314">
        <f t="shared" si="5"/>
        <v>1</v>
      </c>
      <c r="CG299" s="314">
        <f t="shared" si="6"/>
        <v>0</v>
      </c>
      <c r="CH299" s="315">
        <f>VLOOKUP(CL299,'PRODUCT_COGS&amp;PRICE'!A:E,5,false)</f>
        <v>16.5</v>
      </c>
      <c r="CI299" s="315">
        <f t="shared" si="7"/>
        <v>-2.0341</v>
      </c>
      <c r="CJ299" s="316">
        <f t="shared" si="8"/>
        <v>0</v>
      </c>
      <c r="CK299" s="316">
        <f t="shared" si="9"/>
        <v>10</v>
      </c>
      <c r="CL299" s="314" t="str">
        <f>VLOOKUP(R299,PRODUCT_MAP!A:B,2,FALSE)</f>
        <v>Annie_Bag_PAILLETTES_PINK</v>
      </c>
      <c r="CM299" s="314" t="str">
        <f>VLOOKUP(R299,PRODUCT_MAP!A:E,3,FALSE)</f>
        <v>Annie Bag</v>
      </c>
    </row>
    <row r="300" ht="22.5" customHeight="1">
      <c r="A300" s="308" t="s">
        <v>5333</v>
      </c>
      <c r="B300" s="308" t="s">
        <v>5334</v>
      </c>
      <c r="C300" s="308" t="s">
        <v>2942</v>
      </c>
      <c r="D300" s="308" t="s">
        <v>5335</v>
      </c>
      <c r="E300" s="308" t="s">
        <v>3013</v>
      </c>
      <c r="F300" s="308"/>
      <c r="G300" s="308" t="s">
        <v>2946</v>
      </c>
      <c r="H300" s="308" t="s">
        <v>2947</v>
      </c>
      <c r="I300" s="308">
        <v>108.0</v>
      </c>
      <c r="J300" s="308">
        <v>0.0</v>
      </c>
      <c r="K300" s="308">
        <v>19.48</v>
      </c>
      <c r="L300" s="308">
        <v>108.0</v>
      </c>
      <c r="M300" s="308" t="s">
        <v>3094</v>
      </c>
      <c r="N300" s="308">
        <v>12.0</v>
      </c>
      <c r="O300" s="308" t="s">
        <v>2979</v>
      </c>
      <c r="P300" s="308" t="s">
        <v>5336</v>
      </c>
      <c r="Q300" s="310">
        <v>1.0</v>
      </c>
      <c r="R300" s="308" t="s">
        <v>524</v>
      </c>
      <c r="S300" s="308">
        <v>120.0</v>
      </c>
      <c r="T300" s="311"/>
      <c r="U300" s="308" t="s">
        <v>300</v>
      </c>
      <c r="V300" s="308" t="b">
        <v>1</v>
      </c>
      <c r="W300" s="308" t="b">
        <v>1</v>
      </c>
      <c r="X300" s="308"/>
      <c r="Y300" s="308" t="s">
        <v>5337</v>
      </c>
      <c r="Z300" s="308" t="s">
        <v>5338</v>
      </c>
      <c r="AA300" s="308" t="s">
        <v>5339</v>
      </c>
      <c r="AB300" s="308" t="s">
        <v>5340</v>
      </c>
      <c r="AC300" s="308"/>
      <c r="AD300" s="308" t="s">
        <v>23</v>
      </c>
      <c r="AE300" s="308">
        <v>20122.0</v>
      </c>
      <c r="AF300" s="308" t="s">
        <v>2954</v>
      </c>
      <c r="AG300" s="308" t="s">
        <v>2955</v>
      </c>
      <c r="AH300" s="308">
        <v>3.467398176E9</v>
      </c>
      <c r="AI300" s="308"/>
      <c r="AJ300" s="308"/>
      <c r="AK300" s="308"/>
      <c r="AL300" s="308"/>
      <c r="AM300" s="308"/>
      <c r="AN300" s="308"/>
      <c r="AO300" s="308"/>
      <c r="AP300" s="308"/>
      <c r="AQ300" s="308"/>
      <c r="AR300" s="308"/>
      <c r="AS300" s="311"/>
      <c r="AT300" s="311"/>
      <c r="AU300" s="311"/>
      <c r="AV300" s="308" t="s">
        <v>3009</v>
      </c>
      <c r="AW300" s="308">
        <v>4.7923748798791E13</v>
      </c>
      <c r="AX300" s="310">
        <v>0.0</v>
      </c>
      <c r="AY300" s="308" t="s">
        <v>2974</v>
      </c>
      <c r="AZ300" s="308">
        <v>0.0</v>
      </c>
      <c r="BA300" s="311"/>
      <c r="BB300" s="311"/>
      <c r="BC300" s="311"/>
      <c r="BD300" s="308">
        <v>7.796977369415E12</v>
      </c>
      <c r="BE300" s="311"/>
      <c r="BF300" s="311"/>
      <c r="BG300" s="308" t="s">
        <v>2958</v>
      </c>
      <c r="BH300" s="308">
        <v>0.0</v>
      </c>
      <c r="BI300" s="308" t="s">
        <v>2959</v>
      </c>
      <c r="BJ300" s="308">
        <v>19.48</v>
      </c>
      <c r="BK300" s="311"/>
      <c r="BL300" s="311"/>
      <c r="BM300" s="311"/>
      <c r="BN300" s="311"/>
      <c r="BO300" s="311"/>
      <c r="BP300" s="311"/>
      <c r="BQ300" s="311"/>
      <c r="BR300" s="311"/>
      <c r="BS300" s="308"/>
      <c r="BT300" s="311"/>
      <c r="BU300" s="311"/>
      <c r="BV300" s="308" t="s">
        <v>23</v>
      </c>
      <c r="BW300" s="308"/>
      <c r="BX300" s="308" t="s">
        <v>3009</v>
      </c>
      <c r="BY300" s="311"/>
      <c r="BZ300" s="311"/>
      <c r="CA300" s="308" t="s">
        <v>3009</v>
      </c>
      <c r="CB300" s="312" t="str">
        <f t="shared" si="1"/>
        <v>04/06/2026</v>
      </c>
      <c r="CC300" s="313">
        <f t="shared" si="2"/>
        <v>2026</v>
      </c>
      <c r="CD300" s="314">
        <f t="shared" si="3"/>
        <v>6</v>
      </c>
      <c r="CE300" s="314">
        <f t="shared" si="4"/>
        <v>1</v>
      </c>
      <c r="CF300" s="314">
        <f t="shared" si="5"/>
        <v>1</v>
      </c>
      <c r="CG300" s="314">
        <f t="shared" si="6"/>
        <v>-5</v>
      </c>
      <c r="CH300" s="315">
        <f>VLOOKUP(CL300,'PRODUCT_COGS&amp;PRICE'!A:E,5,false)</f>
        <v>20</v>
      </c>
      <c r="CI300" s="315">
        <f t="shared" si="7"/>
        <v>-4.1192</v>
      </c>
      <c r="CJ300" s="316">
        <f t="shared" si="8"/>
        <v>0</v>
      </c>
      <c r="CK300" s="316">
        <f t="shared" si="9"/>
        <v>12</v>
      </c>
      <c r="CL300" s="314" t="str">
        <f>VLOOKUP(R300,PRODUCT_MAP!A:B,2,FALSE)</f>
        <v>Lea_Bag_COCCO_GREEN</v>
      </c>
      <c r="CM300" s="314" t="str">
        <f>VLOOKUP(R300,PRODUCT_MAP!A:E,3,FALSE)</f>
        <v>Lea Bag</v>
      </c>
    </row>
    <row r="301" ht="22.5" customHeight="1">
      <c r="A301" s="308" t="s">
        <v>5341</v>
      </c>
      <c r="B301" s="308" t="s">
        <v>5342</v>
      </c>
      <c r="C301" s="308" t="s">
        <v>2942</v>
      </c>
      <c r="D301" s="308" t="s">
        <v>5343</v>
      </c>
      <c r="E301" s="308" t="s">
        <v>3013</v>
      </c>
      <c r="F301" s="308"/>
      <c r="G301" s="308" t="s">
        <v>2946</v>
      </c>
      <c r="H301" s="308" t="s">
        <v>2947</v>
      </c>
      <c r="I301" s="308">
        <v>90.0</v>
      </c>
      <c r="J301" s="308">
        <v>0.0</v>
      </c>
      <c r="K301" s="308">
        <v>16.23</v>
      </c>
      <c r="L301" s="308">
        <v>90.0</v>
      </c>
      <c r="M301" s="308" t="s">
        <v>3094</v>
      </c>
      <c r="N301" s="308">
        <v>10.0</v>
      </c>
      <c r="O301" s="308" t="s">
        <v>2979</v>
      </c>
      <c r="P301" s="308" t="s">
        <v>5344</v>
      </c>
      <c r="Q301" s="310">
        <v>1.0</v>
      </c>
      <c r="R301" s="308" t="s">
        <v>5345</v>
      </c>
      <c r="S301" s="308">
        <v>100.0</v>
      </c>
      <c r="T301" s="311"/>
      <c r="U301" s="308" t="s">
        <v>5346</v>
      </c>
      <c r="V301" s="308" t="b">
        <v>1</v>
      </c>
      <c r="W301" s="308" t="b">
        <v>1</v>
      </c>
      <c r="X301" s="308"/>
      <c r="Y301" s="308" t="s">
        <v>5347</v>
      </c>
      <c r="Z301" s="308" t="s">
        <v>5348</v>
      </c>
      <c r="AA301" s="308" t="s">
        <v>5348</v>
      </c>
      <c r="AB301" s="308"/>
      <c r="AC301" s="308"/>
      <c r="AD301" s="308" t="s">
        <v>23</v>
      </c>
      <c r="AE301" s="308">
        <v>20138.0</v>
      </c>
      <c r="AF301" s="308" t="s">
        <v>2954</v>
      </c>
      <c r="AG301" s="308" t="s">
        <v>2955</v>
      </c>
      <c r="AH301" s="308">
        <v>3.314426338E9</v>
      </c>
      <c r="AI301" s="308"/>
      <c r="AJ301" s="308"/>
      <c r="AK301" s="308"/>
      <c r="AL301" s="308"/>
      <c r="AM301" s="308"/>
      <c r="AN301" s="308"/>
      <c r="AO301" s="308"/>
      <c r="AP301" s="308"/>
      <c r="AQ301" s="308"/>
      <c r="AR301" s="308"/>
      <c r="AS301" s="311"/>
      <c r="AT301" s="311"/>
      <c r="AU301" s="311"/>
      <c r="AV301" s="308" t="s">
        <v>2956</v>
      </c>
      <c r="AW301" s="308">
        <v>4.7923590005063E13</v>
      </c>
      <c r="AX301" s="310">
        <v>0.0</v>
      </c>
      <c r="AY301" s="308" t="s">
        <v>2974</v>
      </c>
      <c r="AZ301" s="308">
        <v>0.0</v>
      </c>
      <c r="BA301" s="311"/>
      <c r="BB301" s="311"/>
      <c r="BC301" s="311"/>
      <c r="BD301" s="308">
        <v>7.797044838727E12</v>
      </c>
      <c r="BE301" s="311"/>
      <c r="BF301" s="311"/>
      <c r="BG301" s="308" t="s">
        <v>2958</v>
      </c>
      <c r="BH301" s="308">
        <v>0.0</v>
      </c>
      <c r="BI301" s="308" t="s">
        <v>2959</v>
      </c>
      <c r="BJ301" s="308">
        <v>16.23</v>
      </c>
      <c r="BK301" s="311"/>
      <c r="BL301" s="311"/>
      <c r="BM301" s="311"/>
      <c r="BN301" s="311"/>
      <c r="BO301" s="311"/>
      <c r="BP301" s="311"/>
      <c r="BQ301" s="311"/>
      <c r="BR301" s="311"/>
      <c r="BS301" s="308"/>
      <c r="BT301" s="311"/>
      <c r="BU301" s="311"/>
      <c r="BV301" s="308" t="s">
        <v>23</v>
      </c>
      <c r="BW301" s="308"/>
      <c r="BX301" s="308" t="s">
        <v>2956</v>
      </c>
      <c r="BY301" s="311"/>
      <c r="BZ301" s="311"/>
      <c r="CA301" s="308" t="s">
        <v>2956</v>
      </c>
      <c r="CB301" s="312" t="str">
        <f t="shared" si="1"/>
        <v>04/06/2026</v>
      </c>
      <c r="CC301" s="313">
        <f t="shared" si="2"/>
        <v>2026</v>
      </c>
      <c r="CD301" s="314">
        <f t="shared" si="3"/>
        <v>6</v>
      </c>
      <c r="CE301" s="314">
        <f t="shared" si="4"/>
        <v>1</v>
      </c>
      <c r="CF301" s="314">
        <f t="shared" si="5"/>
        <v>1</v>
      </c>
      <c r="CG301" s="314">
        <f t="shared" si="6"/>
        <v>-5</v>
      </c>
      <c r="CH301" s="315">
        <f>VLOOKUP(CL301,'PRODUCT_COGS&amp;PRICE'!A:E,5,false)</f>
        <v>16.5</v>
      </c>
      <c r="CI301" s="315">
        <f t="shared" si="7"/>
        <v>-1.96</v>
      </c>
      <c r="CJ301" s="316">
        <f t="shared" si="8"/>
        <v>0</v>
      </c>
      <c r="CK301" s="316">
        <f t="shared" si="9"/>
        <v>10</v>
      </c>
      <c r="CL301" s="314" t="str">
        <f>VLOOKUP(R301,PRODUCT_MAP!A:B,2,FALSE)</f>
        <v>Annie_Bag_PAILLETTES_LIGHT_BLUE</v>
      </c>
      <c r="CM301" s="314" t="str">
        <f>VLOOKUP(R301,PRODUCT_MAP!A:E,3,FALSE)</f>
        <v>Annie Bag paillettes</v>
      </c>
    </row>
    <row r="302" ht="22.5" customHeight="1">
      <c r="A302" s="308" t="s">
        <v>5349</v>
      </c>
      <c r="B302" s="308" t="s">
        <v>5350</v>
      </c>
      <c r="C302" s="308" t="s">
        <v>2942</v>
      </c>
      <c r="D302" s="308" t="s">
        <v>5351</v>
      </c>
      <c r="E302" s="308" t="s">
        <v>3013</v>
      </c>
      <c r="F302" s="308"/>
      <c r="G302" s="308" t="s">
        <v>2965</v>
      </c>
      <c r="H302" s="308" t="s">
        <v>2947</v>
      </c>
      <c r="I302" s="308">
        <v>90.0</v>
      </c>
      <c r="J302" s="308">
        <v>3.9</v>
      </c>
      <c r="K302" s="308">
        <v>16.93</v>
      </c>
      <c r="L302" s="308">
        <v>93.9</v>
      </c>
      <c r="M302" s="308"/>
      <c r="N302" s="308">
        <v>0.0</v>
      </c>
      <c r="O302" s="308" t="s">
        <v>2948</v>
      </c>
      <c r="P302" s="308" t="s">
        <v>5352</v>
      </c>
      <c r="Q302" s="310">
        <v>1.0</v>
      </c>
      <c r="R302" s="308" t="s">
        <v>4429</v>
      </c>
      <c r="S302" s="308">
        <v>90.0</v>
      </c>
      <c r="T302" s="311"/>
      <c r="U302" s="308" t="s">
        <v>4430</v>
      </c>
      <c r="V302" s="308" t="b">
        <v>1</v>
      </c>
      <c r="W302" s="308" t="b">
        <v>1</v>
      </c>
      <c r="X302" s="308"/>
      <c r="Y302" s="308" t="s">
        <v>5353</v>
      </c>
      <c r="Z302" s="308" t="s">
        <v>5354</v>
      </c>
      <c r="AA302" s="308" t="s">
        <v>5354</v>
      </c>
      <c r="AB302" s="308"/>
      <c r="AC302" s="308"/>
      <c r="AD302" s="308" t="s">
        <v>23</v>
      </c>
      <c r="AE302" s="308">
        <v>20144.0</v>
      </c>
      <c r="AF302" s="308" t="s">
        <v>2954</v>
      </c>
      <c r="AG302" s="308" t="s">
        <v>2955</v>
      </c>
      <c r="AH302" s="308">
        <v>3.338076257E9</v>
      </c>
      <c r="AI302" s="308" t="s">
        <v>5355</v>
      </c>
      <c r="AJ302" s="308" t="s">
        <v>5356</v>
      </c>
      <c r="AK302" s="308" t="s">
        <v>5356</v>
      </c>
      <c r="AL302" s="308"/>
      <c r="AM302" s="308"/>
      <c r="AN302" s="308" t="s">
        <v>23</v>
      </c>
      <c r="AO302" s="308">
        <v>20144.0</v>
      </c>
      <c r="AP302" s="308" t="s">
        <v>2954</v>
      </c>
      <c r="AQ302" s="308" t="s">
        <v>2955</v>
      </c>
      <c r="AR302" s="308">
        <v>3.338076257E9</v>
      </c>
      <c r="AS302" s="311"/>
      <c r="AT302" s="311"/>
      <c r="AU302" s="311"/>
      <c r="AV302" s="308" t="s">
        <v>2956</v>
      </c>
      <c r="AW302" s="308">
        <v>4.7923888783687E13</v>
      </c>
      <c r="AX302" s="310">
        <v>0.0</v>
      </c>
      <c r="AY302" s="308" t="s">
        <v>2974</v>
      </c>
      <c r="AZ302" s="308">
        <v>0.0</v>
      </c>
      <c r="BA302" s="311"/>
      <c r="BB302" s="311"/>
      <c r="BC302" s="311"/>
      <c r="BD302" s="308">
        <v>7.797411283271E12</v>
      </c>
      <c r="BE302" s="311"/>
      <c r="BF302" s="311"/>
      <c r="BG302" s="308" t="s">
        <v>2958</v>
      </c>
      <c r="BH302" s="308">
        <v>0.0</v>
      </c>
      <c r="BI302" s="308" t="s">
        <v>2959</v>
      </c>
      <c r="BJ302" s="308">
        <v>16.23</v>
      </c>
      <c r="BK302" s="311"/>
      <c r="BL302" s="311"/>
      <c r="BM302" s="311"/>
      <c r="BN302" s="311"/>
      <c r="BO302" s="311"/>
      <c r="BP302" s="311"/>
      <c r="BQ302" s="311"/>
      <c r="BR302" s="311"/>
      <c r="BS302" s="318" t="s">
        <v>5357</v>
      </c>
      <c r="BT302" s="311"/>
      <c r="BU302" s="311"/>
      <c r="BV302" s="308" t="s">
        <v>23</v>
      </c>
      <c r="BW302" s="308" t="s">
        <v>23</v>
      </c>
      <c r="BX302" s="308" t="s">
        <v>2956</v>
      </c>
      <c r="BY302" s="311"/>
      <c r="BZ302" s="311"/>
      <c r="CA302" s="308" t="s">
        <v>2956</v>
      </c>
      <c r="CB302" s="312" t="str">
        <f t="shared" si="1"/>
        <v>04/06/2026</v>
      </c>
      <c r="CC302" s="313">
        <f t="shared" si="2"/>
        <v>2026</v>
      </c>
      <c r="CD302" s="314">
        <f t="shared" si="3"/>
        <v>6</v>
      </c>
      <c r="CE302" s="314">
        <f t="shared" si="4"/>
        <v>1</v>
      </c>
      <c r="CF302" s="314">
        <f t="shared" si="5"/>
        <v>1</v>
      </c>
      <c r="CG302" s="314">
        <f t="shared" si="6"/>
        <v>0</v>
      </c>
      <c r="CH302" s="315">
        <f>VLOOKUP(CL302,'PRODUCT_COGS&amp;PRICE'!A:E,5,false)</f>
        <v>16.5</v>
      </c>
      <c r="CI302" s="315">
        <f t="shared" si="7"/>
        <v>-2.0341</v>
      </c>
      <c r="CJ302" s="316">
        <f t="shared" si="8"/>
        <v>0</v>
      </c>
      <c r="CK302" s="316">
        <f t="shared" si="9"/>
        <v>0</v>
      </c>
      <c r="CL302" s="314" t="str">
        <f>VLOOKUP(R302,PRODUCT_MAP!A:B,2,FALSE)</f>
        <v>Annie_Bag_PAILLETTES_LIGHT_GREEN</v>
      </c>
      <c r="CM302" s="314" t="str">
        <f>VLOOKUP(R302,PRODUCT_MAP!A:E,3,FALSE)</f>
        <v>Annie Bag paillettes</v>
      </c>
    </row>
    <row r="303" ht="22.5" customHeight="1">
      <c r="A303" s="308" t="s">
        <v>5358</v>
      </c>
      <c r="B303" s="308" t="s">
        <v>5359</v>
      </c>
      <c r="C303" s="308" t="s">
        <v>2942</v>
      </c>
      <c r="D303" s="308" t="s">
        <v>5360</v>
      </c>
      <c r="E303" s="308" t="s">
        <v>3013</v>
      </c>
      <c r="F303" s="308"/>
      <c r="G303" s="308" t="s">
        <v>2965</v>
      </c>
      <c r="H303" s="308" t="s">
        <v>2947</v>
      </c>
      <c r="I303" s="308">
        <v>80.0</v>
      </c>
      <c r="J303" s="308">
        <v>3.9</v>
      </c>
      <c r="K303" s="308">
        <v>15.13</v>
      </c>
      <c r="L303" s="308">
        <v>83.9</v>
      </c>
      <c r="M303" s="308"/>
      <c r="N303" s="308">
        <v>0.0</v>
      </c>
      <c r="O303" s="308" t="s">
        <v>2948</v>
      </c>
      <c r="P303" s="308" t="s">
        <v>5361</v>
      </c>
      <c r="Q303" s="310">
        <v>1.0</v>
      </c>
      <c r="R303" s="308" t="s">
        <v>3876</v>
      </c>
      <c r="S303" s="308">
        <v>80.0</v>
      </c>
      <c r="T303" s="311"/>
      <c r="U303" s="308" t="s">
        <v>273</v>
      </c>
      <c r="V303" s="308" t="b">
        <v>1</v>
      </c>
      <c r="W303" s="308" t="b">
        <v>1</v>
      </c>
      <c r="X303" s="308"/>
      <c r="Y303" s="308" t="s">
        <v>5362</v>
      </c>
      <c r="Z303" s="308" t="s">
        <v>5363</v>
      </c>
      <c r="AA303" s="308" t="s">
        <v>5363</v>
      </c>
      <c r="AB303" s="308"/>
      <c r="AC303" s="308"/>
      <c r="AD303" s="308" t="s">
        <v>5364</v>
      </c>
      <c r="AE303" s="308">
        <v>24030.0</v>
      </c>
      <c r="AF303" s="308" t="s">
        <v>3528</v>
      </c>
      <c r="AG303" s="308" t="s">
        <v>2955</v>
      </c>
      <c r="AH303" s="308">
        <v>3.331168021E9</v>
      </c>
      <c r="AI303" s="308" t="s">
        <v>5362</v>
      </c>
      <c r="AJ303" s="308" t="s">
        <v>5363</v>
      </c>
      <c r="AK303" s="308" t="s">
        <v>5363</v>
      </c>
      <c r="AL303" s="308"/>
      <c r="AM303" s="308"/>
      <c r="AN303" s="308" t="s">
        <v>5364</v>
      </c>
      <c r="AO303" s="308">
        <v>24030.0</v>
      </c>
      <c r="AP303" s="308" t="s">
        <v>3528</v>
      </c>
      <c r="AQ303" s="308" t="s">
        <v>2955</v>
      </c>
      <c r="AR303" s="308">
        <v>3.331168021E9</v>
      </c>
      <c r="AS303" s="311"/>
      <c r="AT303" s="311"/>
      <c r="AU303" s="311"/>
      <c r="AV303" s="308" t="s">
        <v>3009</v>
      </c>
      <c r="AW303" s="308">
        <v>4.7924038107463E13</v>
      </c>
      <c r="AX303" s="310">
        <v>0.0</v>
      </c>
      <c r="AY303" s="308" t="s">
        <v>2974</v>
      </c>
      <c r="AZ303" s="308">
        <v>0.0</v>
      </c>
      <c r="BA303" s="311"/>
      <c r="BB303" s="311"/>
      <c r="BC303" s="311"/>
      <c r="BD303" s="308">
        <v>7.798351954247E12</v>
      </c>
      <c r="BE303" s="311"/>
      <c r="BF303" s="311"/>
      <c r="BG303" s="308" t="s">
        <v>2958</v>
      </c>
      <c r="BH303" s="308">
        <v>0.0</v>
      </c>
      <c r="BI303" s="308" t="s">
        <v>2959</v>
      </c>
      <c r="BJ303" s="308">
        <v>14.43</v>
      </c>
      <c r="BK303" s="311"/>
      <c r="BL303" s="311"/>
      <c r="BM303" s="311"/>
      <c r="BN303" s="311"/>
      <c r="BO303" s="311"/>
      <c r="BP303" s="311"/>
      <c r="BQ303" s="311"/>
      <c r="BR303" s="311"/>
      <c r="BS303" s="308"/>
      <c r="BT303" s="311"/>
      <c r="BU303" s="311"/>
      <c r="BV303" s="308" t="s">
        <v>3533</v>
      </c>
      <c r="BW303" s="308" t="s">
        <v>3533</v>
      </c>
      <c r="BX303" s="308" t="s">
        <v>3009</v>
      </c>
      <c r="BY303" s="311"/>
      <c r="BZ303" s="311"/>
      <c r="CA303" s="308" t="s">
        <v>3009</v>
      </c>
      <c r="CB303" s="312" t="str">
        <f t="shared" si="1"/>
        <v>04/06/2026</v>
      </c>
      <c r="CC303" s="313">
        <f t="shared" si="2"/>
        <v>2026</v>
      </c>
      <c r="CD303" s="314">
        <f t="shared" si="3"/>
        <v>6</v>
      </c>
      <c r="CE303" s="314">
        <f t="shared" si="4"/>
        <v>1</v>
      </c>
      <c r="CF303" s="314">
        <f t="shared" si="5"/>
        <v>1</v>
      </c>
      <c r="CG303" s="314">
        <f t="shared" si="6"/>
        <v>0</v>
      </c>
      <c r="CH303" s="315">
        <f>VLOOKUP(CL303,'PRODUCT_COGS&amp;PRICE'!A:E,5,false)</f>
        <v>19</v>
      </c>
      <c r="CI303" s="315">
        <f t="shared" si="7"/>
        <v>-3.27811</v>
      </c>
      <c r="CJ303" s="316">
        <f t="shared" si="8"/>
        <v>0</v>
      </c>
      <c r="CK303" s="316">
        <f t="shared" si="9"/>
        <v>0</v>
      </c>
      <c r="CL303" s="314" t="str">
        <f>VLOOKUP(R303,PRODUCT_MAP!A:B,2,FALSE)</f>
        <v>Agata_Bag_FLORAL_PINK_EMBROIDERY</v>
      </c>
      <c r="CM303" s="314" t="str">
        <f>VLOOKUP(R303,PRODUCT_MAP!A:E,3,FALSE)</f>
        <v>Agata Bag</v>
      </c>
    </row>
    <row r="304" ht="22.5" customHeight="1">
      <c r="A304" s="308" t="s">
        <v>5365</v>
      </c>
      <c r="B304" s="308" t="s">
        <v>5366</v>
      </c>
      <c r="C304" s="308" t="s">
        <v>2942</v>
      </c>
      <c r="D304" s="308" t="s">
        <v>5367</v>
      </c>
      <c r="E304" s="308" t="s">
        <v>3013</v>
      </c>
      <c r="F304" s="308"/>
      <c r="G304" s="308" t="s">
        <v>2946</v>
      </c>
      <c r="H304" s="308" t="s">
        <v>2947</v>
      </c>
      <c r="I304" s="308">
        <v>170.0</v>
      </c>
      <c r="J304" s="308">
        <v>0.0</v>
      </c>
      <c r="K304" s="308">
        <v>30.66</v>
      </c>
      <c r="L304" s="308">
        <v>170.0</v>
      </c>
      <c r="M304" s="308"/>
      <c r="N304" s="308">
        <v>0.0</v>
      </c>
      <c r="O304" s="308" t="s">
        <v>2948</v>
      </c>
      <c r="P304" s="308" t="s">
        <v>5367</v>
      </c>
      <c r="Q304" s="310">
        <v>1.0</v>
      </c>
      <c r="R304" s="308" t="s">
        <v>549</v>
      </c>
      <c r="S304" s="308">
        <v>170.0</v>
      </c>
      <c r="T304" s="311"/>
      <c r="U304" s="308" t="s">
        <v>5187</v>
      </c>
      <c r="V304" s="308" t="b">
        <v>1</v>
      </c>
      <c r="W304" s="308" t="b">
        <v>1</v>
      </c>
      <c r="X304" s="308"/>
      <c r="Y304" s="308" t="s">
        <v>5368</v>
      </c>
      <c r="Z304" s="308" t="s">
        <v>5369</v>
      </c>
      <c r="AA304" s="308" t="s">
        <v>5370</v>
      </c>
      <c r="AB304" s="308" t="s">
        <v>5371</v>
      </c>
      <c r="AC304" s="308"/>
      <c r="AD304" s="308" t="s">
        <v>23</v>
      </c>
      <c r="AE304" s="308">
        <v>20144.0</v>
      </c>
      <c r="AF304" s="308" t="s">
        <v>2954</v>
      </c>
      <c r="AG304" s="308" t="s">
        <v>2955</v>
      </c>
      <c r="AH304" s="308">
        <v>3.899193444E9</v>
      </c>
      <c r="AI304" s="308" t="s">
        <v>5368</v>
      </c>
      <c r="AJ304" s="308" t="s">
        <v>5369</v>
      </c>
      <c r="AK304" s="308" t="s">
        <v>5370</v>
      </c>
      <c r="AL304" s="308" t="s">
        <v>5371</v>
      </c>
      <c r="AM304" s="308"/>
      <c r="AN304" s="308" t="s">
        <v>23</v>
      </c>
      <c r="AO304" s="308">
        <v>20144.0</v>
      </c>
      <c r="AP304" s="308" t="s">
        <v>2954</v>
      </c>
      <c r="AQ304" s="308" t="s">
        <v>2955</v>
      </c>
      <c r="AR304" s="308">
        <v>3.899193444E9</v>
      </c>
      <c r="AS304" s="311"/>
      <c r="AT304" s="311"/>
      <c r="AU304" s="311"/>
      <c r="AV304" s="308" t="s">
        <v>3009</v>
      </c>
      <c r="AW304" s="308">
        <v>4.7924086931783E13</v>
      </c>
      <c r="AX304" s="310">
        <v>0.0</v>
      </c>
      <c r="AY304" s="308" t="s">
        <v>2974</v>
      </c>
      <c r="AZ304" s="308">
        <v>0.0</v>
      </c>
      <c r="BA304" s="311"/>
      <c r="BB304" s="311"/>
      <c r="BC304" s="311"/>
      <c r="BD304" s="308">
        <v>7.798458319175E12</v>
      </c>
      <c r="BE304" s="311"/>
      <c r="BF304" s="311"/>
      <c r="BG304" s="308" t="s">
        <v>2958</v>
      </c>
      <c r="BH304" s="308">
        <v>0.0</v>
      </c>
      <c r="BI304" s="308" t="s">
        <v>2959</v>
      </c>
      <c r="BJ304" s="308">
        <v>30.66</v>
      </c>
      <c r="BK304" s="311"/>
      <c r="BL304" s="311"/>
      <c r="BM304" s="311"/>
      <c r="BN304" s="311"/>
      <c r="BO304" s="311"/>
      <c r="BP304" s="311"/>
      <c r="BQ304" s="311"/>
      <c r="BR304" s="311"/>
      <c r="BS304" s="308"/>
      <c r="BT304" s="311"/>
      <c r="BU304" s="311"/>
      <c r="BV304" s="308" t="s">
        <v>23</v>
      </c>
      <c r="BW304" s="308" t="s">
        <v>23</v>
      </c>
      <c r="BX304" s="308" t="s">
        <v>3009</v>
      </c>
      <c r="BY304" s="311"/>
      <c r="BZ304" s="311"/>
      <c r="CA304" s="308" t="s">
        <v>3009</v>
      </c>
      <c r="CB304" s="312" t="str">
        <f t="shared" si="1"/>
        <v>04/06/2026</v>
      </c>
      <c r="CC304" s="313">
        <f t="shared" si="2"/>
        <v>2026</v>
      </c>
      <c r="CD304" s="314">
        <f t="shared" si="3"/>
        <v>6</v>
      </c>
      <c r="CE304" s="314">
        <f t="shared" si="4"/>
        <v>1</v>
      </c>
      <c r="CF304" s="314">
        <f t="shared" si="5"/>
        <v>1</v>
      </c>
      <c r="CG304" s="314">
        <f t="shared" si="6"/>
        <v>-5</v>
      </c>
      <c r="CH304" s="315">
        <f>VLOOKUP(CL304,'PRODUCT_COGS&amp;PRICE'!A:E,5,false)</f>
        <v>36</v>
      </c>
      <c r="CI304" s="315">
        <f t="shared" si="7"/>
        <v>-6.283</v>
      </c>
      <c r="CJ304" s="316">
        <f t="shared" si="8"/>
        <v>0</v>
      </c>
      <c r="CK304" s="316">
        <f t="shared" si="9"/>
        <v>0</v>
      </c>
      <c r="CL304" s="314" t="str">
        <f>VLOOKUP(R304,PRODUCT_MAP!A:B,2,FALSE)</f>
        <v>Lea_Bag_Maxi_COCCO_BLACK</v>
      </c>
      <c r="CM304" s="314" t="str">
        <f>VLOOKUP(R304,PRODUCT_MAP!A:E,3,FALSE)</f>
        <v>Lea Bag Maxi</v>
      </c>
    </row>
    <row r="305" ht="22.5" customHeight="1">
      <c r="A305" s="308" t="s">
        <v>5372</v>
      </c>
      <c r="B305" s="308" t="s">
        <v>5373</v>
      </c>
      <c r="C305" s="308" t="s">
        <v>2942</v>
      </c>
      <c r="D305" s="308" t="s">
        <v>5374</v>
      </c>
      <c r="E305" s="308" t="s">
        <v>3013</v>
      </c>
      <c r="F305" s="308"/>
      <c r="G305" s="308" t="s">
        <v>2965</v>
      </c>
      <c r="H305" s="308" t="s">
        <v>2947</v>
      </c>
      <c r="I305" s="308">
        <v>175.0</v>
      </c>
      <c r="J305" s="308">
        <v>0.0</v>
      </c>
      <c r="K305" s="308">
        <v>31.56</v>
      </c>
      <c r="L305" s="308">
        <v>175.0</v>
      </c>
      <c r="M305" s="308"/>
      <c r="N305" s="308">
        <v>0.0</v>
      </c>
      <c r="O305" s="308" t="s">
        <v>2948</v>
      </c>
      <c r="P305" s="308" t="s">
        <v>5375</v>
      </c>
      <c r="Q305" s="310">
        <v>1.0</v>
      </c>
      <c r="R305" s="308" t="s">
        <v>783</v>
      </c>
      <c r="S305" s="308">
        <v>175.0</v>
      </c>
      <c r="T305" s="311"/>
      <c r="U305" s="308" t="s">
        <v>249</v>
      </c>
      <c r="V305" s="308" t="b">
        <v>1</v>
      </c>
      <c r="W305" s="308" t="b">
        <v>1</v>
      </c>
      <c r="X305" s="308"/>
      <c r="Y305" s="308" t="s">
        <v>5376</v>
      </c>
      <c r="Z305" s="308" t="s">
        <v>5377</v>
      </c>
      <c r="AA305" s="308" t="s">
        <v>5377</v>
      </c>
      <c r="AB305" s="308"/>
      <c r="AC305" s="308"/>
      <c r="AD305" s="308" t="s">
        <v>23</v>
      </c>
      <c r="AE305" s="308">
        <v>20125.0</v>
      </c>
      <c r="AF305" s="308" t="s">
        <v>2954</v>
      </c>
      <c r="AG305" s="308" t="s">
        <v>2955</v>
      </c>
      <c r="AH305" s="308">
        <v>3.454119392E9</v>
      </c>
      <c r="AI305" s="308" t="s">
        <v>5376</v>
      </c>
      <c r="AJ305" s="308" t="s">
        <v>5377</v>
      </c>
      <c r="AK305" s="308" t="s">
        <v>5377</v>
      </c>
      <c r="AL305" s="308"/>
      <c r="AM305" s="308"/>
      <c r="AN305" s="308" t="s">
        <v>23</v>
      </c>
      <c r="AO305" s="308">
        <v>20125.0</v>
      </c>
      <c r="AP305" s="308" t="s">
        <v>2954</v>
      </c>
      <c r="AQ305" s="308" t="s">
        <v>2955</v>
      </c>
      <c r="AR305" s="308">
        <v>3.454119392E9</v>
      </c>
      <c r="AS305" s="311"/>
      <c r="AT305" s="311"/>
      <c r="AU305" s="311"/>
      <c r="AV305" s="308" t="s">
        <v>2956</v>
      </c>
      <c r="AW305" s="308">
        <v>4.7924536475975E13</v>
      </c>
      <c r="AX305" s="310">
        <v>0.0</v>
      </c>
      <c r="AY305" s="308" t="s">
        <v>2974</v>
      </c>
      <c r="AZ305" s="308">
        <v>0.0</v>
      </c>
      <c r="BA305" s="311"/>
      <c r="BB305" s="311"/>
      <c r="BC305" s="311"/>
      <c r="BD305" s="308">
        <v>7.800000315719E12</v>
      </c>
      <c r="BE305" s="311"/>
      <c r="BF305" s="311"/>
      <c r="BG305" s="308" t="s">
        <v>2958</v>
      </c>
      <c r="BH305" s="308">
        <v>0.0</v>
      </c>
      <c r="BI305" s="308" t="s">
        <v>2959</v>
      </c>
      <c r="BJ305" s="308">
        <v>31.56</v>
      </c>
      <c r="BK305" s="311"/>
      <c r="BL305" s="311"/>
      <c r="BM305" s="311"/>
      <c r="BN305" s="311"/>
      <c r="BO305" s="311"/>
      <c r="BP305" s="311"/>
      <c r="BQ305" s="311"/>
      <c r="BR305" s="311"/>
      <c r="BS305" s="308"/>
      <c r="BT305" s="311"/>
      <c r="BU305" s="311"/>
      <c r="BV305" s="308" t="s">
        <v>23</v>
      </c>
      <c r="BW305" s="308" t="s">
        <v>23</v>
      </c>
      <c r="BX305" s="308" t="s">
        <v>2956</v>
      </c>
      <c r="BY305" s="311"/>
      <c r="BZ305" s="311"/>
      <c r="CA305" s="308" t="s">
        <v>2956</v>
      </c>
      <c r="CB305" s="312" t="str">
        <f t="shared" si="1"/>
        <v>04/06/2026</v>
      </c>
      <c r="CC305" s="313">
        <f t="shared" si="2"/>
        <v>2026</v>
      </c>
      <c r="CD305" s="314">
        <f t="shared" si="3"/>
        <v>6</v>
      </c>
      <c r="CE305" s="314">
        <f t="shared" si="4"/>
        <v>1</v>
      </c>
      <c r="CF305" s="314">
        <f t="shared" si="5"/>
        <v>1</v>
      </c>
      <c r="CG305" s="314">
        <f t="shared" si="6"/>
        <v>-5</v>
      </c>
      <c r="CH305" s="315">
        <f>VLOOKUP(CL305,'PRODUCT_COGS&amp;PRICE'!A:E,5,false)</f>
        <v>52.5</v>
      </c>
      <c r="CI305" s="315">
        <f t="shared" si="7"/>
        <v>-3.575</v>
      </c>
      <c r="CJ305" s="316">
        <f t="shared" si="8"/>
        <v>0</v>
      </c>
      <c r="CK305" s="316">
        <f t="shared" si="9"/>
        <v>0</v>
      </c>
      <c r="CL305" s="314" t="str">
        <f>VLOOKUP(R305,PRODUCT_MAP!A:B,2,FALSE)</f>
        <v>Valentina_Bag_RED</v>
      </c>
      <c r="CM305" s="314" t="str">
        <f>VLOOKUP(R305,PRODUCT_MAP!A:E,3,FALSE)</f>
        <v>Valentina Bag</v>
      </c>
    </row>
    <row r="306" ht="22.5" customHeight="1">
      <c r="A306" s="308" t="s">
        <v>5378</v>
      </c>
      <c r="B306" s="308" t="s">
        <v>5379</v>
      </c>
      <c r="C306" s="308" t="s">
        <v>2942</v>
      </c>
      <c r="D306" s="308" t="s">
        <v>5380</v>
      </c>
      <c r="E306" s="308" t="s">
        <v>3013</v>
      </c>
      <c r="F306" s="308"/>
      <c r="G306" s="308" t="s">
        <v>2946</v>
      </c>
      <c r="H306" s="308" t="s">
        <v>2947</v>
      </c>
      <c r="I306" s="308">
        <v>157.5</v>
      </c>
      <c r="J306" s="308">
        <v>0.0</v>
      </c>
      <c r="K306" s="308">
        <v>28.4</v>
      </c>
      <c r="L306" s="308">
        <v>157.5</v>
      </c>
      <c r="M306" s="308" t="s">
        <v>3094</v>
      </c>
      <c r="N306" s="308">
        <v>17.5</v>
      </c>
      <c r="O306" s="308" t="s">
        <v>2948</v>
      </c>
      <c r="P306" s="308" t="s">
        <v>5381</v>
      </c>
      <c r="Q306" s="310">
        <v>1.0</v>
      </c>
      <c r="R306" s="308" t="s">
        <v>768</v>
      </c>
      <c r="S306" s="308">
        <v>175.0</v>
      </c>
      <c r="T306" s="311"/>
      <c r="U306" s="308" t="s">
        <v>210</v>
      </c>
      <c r="V306" s="308" t="b">
        <v>1</v>
      </c>
      <c r="W306" s="308" t="b">
        <v>1</v>
      </c>
      <c r="X306" s="308"/>
      <c r="Y306" s="308" t="s">
        <v>5382</v>
      </c>
      <c r="Z306" s="308" t="s">
        <v>5383</v>
      </c>
      <c r="AA306" s="308" t="s">
        <v>5383</v>
      </c>
      <c r="AB306" s="308"/>
      <c r="AC306" s="308"/>
      <c r="AD306" s="308" t="s">
        <v>3578</v>
      </c>
      <c r="AE306" s="308">
        <v>30173.0</v>
      </c>
      <c r="AF306" s="308" t="s">
        <v>3576</v>
      </c>
      <c r="AG306" s="308" t="s">
        <v>2955</v>
      </c>
      <c r="AH306" s="308"/>
      <c r="AI306" s="308" t="s">
        <v>5382</v>
      </c>
      <c r="AJ306" s="308" t="s">
        <v>5384</v>
      </c>
      <c r="AK306" s="308" t="s">
        <v>5384</v>
      </c>
      <c r="AL306" s="308"/>
      <c r="AM306" s="308"/>
      <c r="AN306" s="308" t="s">
        <v>3578</v>
      </c>
      <c r="AO306" s="308">
        <v>30173.0</v>
      </c>
      <c r="AP306" s="308" t="s">
        <v>3576</v>
      </c>
      <c r="AQ306" s="308" t="s">
        <v>2955</v>
      </c>
      <c r="AR306" s="318" t="s">
        <v>5385</v>
      </c>
      <c r="AS306" s="311"/>
      <c r="AT306" s="311"/>
      <c r="AU306" s="311"/>
      <c r="AV306" s="308" t="s">
        <v>2956</v>
      </c>
      <c r="AW306" s="308">
        <v>4.7925129249095E13</v>
      </c>
      <c r="AX306" s="310">
        <v>0.0</v>
      </c>
      <c r="AY306" s="308" t="s">
        <v>2974</v>
      </c>
      <c r="AZ306" s="308">
        <v>0.0</v>
      </c>
      <c r="BA306" s="311"/>
      <c r="BB306" s="311"/>
      <c r="BC306" s="311"/>
      <c r="BD306" s="308">
        <v>7.801029722439E12</v>
      </c>
      <c r="BE306" s="311"/>
      <c r="BF306" s="311"/>
      <c r="BG306" s="308" t="s">
        <v>2958</v>
      </c>
      <c r="BH306" s="308">
        <v>0.0</v>
      </c>
      <c r="BI306" s="308" t="s">
        <v>2959</v>
      </c>
      <c r="BJ306" s="308">
        <v>28.4</v>
      </c>
      <c r="BK306" s="311"/>
      <c r="BL306" s="311"/>
      <c r="BM306" s="311"/>
      <c r="BN306" s="311"/>
      <c r="BO306" s="311"/>
      <c r="BP306" s="311"/>
      <c r="BQ306" s="311"/>
      <c r="BR306" s="311"/>
      <c r="BS306" s="308"/>
      <c r="BT306" s="311"/>
      <c r="BU306" s="311"/>
      <c r="BV306" s="308" t="s">
        <v>3578</v>
      </c>
      <c r="BW306" s="308" t="s">
        <v>3578</v>
      </c>
      <c r="BX306" s="308" t="s">
        <v>2956</v>
      </c>
      <c r="BY306" s="311"/>
      <c r="BZ306" s="311"/>
      <c r="CA306" s="308" t="s">
        <v>2956</v>
      </c>
      <c r="CB306" s="312" t="str">
        <f t="shared" si="1"/>
        <v>04/06/2026</v>
      </c>
      <c r="CC306" s="313">
        <f t="shared" si="2"/>
        <v>2026</v>
      </c>
      <c r="CD306" s="314">
        <f t="shared" si="3"/>
        <v>6</v>
      </c>
      <c r="CE306" s="314">
        <f t="shared" si="4"/>
        <v>1</v>
      </c>
      <c r="CF306" s="314">
        <f t="shared" si="5"/>
        <v>1</v>
      </c>
      <c r="CG306" s="314">
        <f t="shared" si="6"/>
        <v>-5</v>
      </c>
      <c r="CH306" s="315">
        <f>VLOOKUP(CL306,'PRODUCT_COGS&amp;PRICE'!A:E,5,false)</f>
        <v>52.5</v>
      </c>
      <c r="CI306" s="315">
        <f t="shared" si="7"/>
        <v>-3.2425</v>
      </c>
      <c r="CJ306" s="316">
        <f t="shared" si="8"/>
        <v>0</v>
      </c>
      <c r="CK306" s="316">
        <f t="shared" si="9"/>
        <v>17.5</v>
      </c>
      <c r="CL306" s="314" t="str">
        <f>VLOOKUP(R306,PRODUCT_MAP!A:B,2,FALSE)</f>
        <v>Valentina_Bag_CHOCOLATE</v>
      </c>
      <c r="CM306" s="314" t="str">
        <f>VLOOKUP(R306,PRODUCT_MAP!A:E,3,FALSE)</f>
        <v>Valentina Bag</v>
      </c>
    </row>
    <row r="307" ht="22.5" customHeight="1">
      <c r="A307" s="308" t="s">
        <v>5386</v>
      </c>
      <c r="B307" s="308" t="s">
        <v>5387</v>
      </c>
      <c r="C307" s="308" t="s">
        <v>2942</v>
      </c>
      <c r="D307" s="308" t="s">
        <v>5388</v>
      </c>
      <c r="E307" s="308" t="s">
        <v>3013</v>
      </c>
      <c r="F307" s="308"/>
      <c r="G307" s="308" t="s">
        <v>2946</v>
      </c>
      <c r="H307" s="308" t="s">
        <v>2947</v>
      </c>
      <c r="I307" s="308">
        <v>72.0</v>
      </c>
      <c r="J307" s="308">
        <v>3.9</v>
      </c>
      <c r="K307" s="308">
        <v>13.68</v>
      </c>
      <c r="L307" s="308">
        <v>75.9</v>
      </c>
      <c r="M307" s="308" t="s">
        <v>3094</v>
      </c>
      <c r="N307" s="308">
        <v>8.0</v>
      </c>
      <c r="O307" s="308" t="s">
        <v>2948</v>
      </c>
      <c r="P307" s="308" t="s">
        <v>5389</v>
      </c>
      <c r="Q307" s="310">
        <v>1.0</v>
      </c>
      <c r="R307" s="308" t="s">
        <v>5390</v>
      </c>
      <c r="S307" s="308">
        <v>80.0</v>
      </c>
      <c r="T307" s="311"/>
      <c r="U307" s="308" t="s">
        <v>5391</v>
      </c>
      <c r="V307" s="308" t="b">
        <v>1</v>
      </c>
      <c r="W307" s="308" t="b">
        <v>1</v>
      </c>
      <c r="X307" s="308"/>
      <c r="Y307" s="308" t="s">
        <v>5392</v>
      </c>
      <c r="Z307" s="308" t="s">
        <v>5393</v>
      </c>
      <c r="AA307" s="308" t="s">
        <v>5393</v>
      </c>
      <c r="AB307" s="308"/>
      <c r="AC307" s="308"/>
      <c r="AD307" s="308" t="s">
        <v>3476</v>
      </c>
      <c r="AE307" s="308">
        <v>27100.0</v>
      </c>
      <c r="AF307" s="308" t="s">
        <v>3477</v>
      </c>
      <c r="AG307" s="308" t="s">
        <v>2955</v>
      </c>
      <c r="AH307" s="308"/>
      <c r="AI307" s="308" t="s">
        <v>5392</v>
      </c>
      <c r="AJ307" s="308" t="s">
        <v>5394</v>
      </c>
      <c r="AK307" s="308" t="s">
        <v>5395</v>
      </c>
      <c r="AL307" s="308" t="s">
        <v>5396</v>
      </c>
      <c r="AM307" s="308"/>
      <c r="AN307" s="308" t="s">
        <v>3476</v>
      </c>
      <c r="AO307" s="308">
        <v>27100.0</v>
      </c>
      <c r="AP307" s="308" t="s">
        <v>3477</v>
      </c>
      <c r="AQ307" s="308" t="s">
        <v>2955</v>
      </c>
      <c r="AR307" s="308">
        <v>3.347999163E9</v>
      </c>
      <c r="AS307" s="311"/>
      <c r="AT307" s="311"/>
      <c r="AU307" s="311"/>
      <c r="AV307" s="308" t="s">
        <v>2956</v>
      </c>
      <c r="AW307" s="308">
        <v>4.7926847668551E13</v>
      </c>
      <c r="AX307" s="310">
        <v>0.0</v>
      </c>
      <c r="AY307" s="308" t="s">
        <v>2974</v>
      </c>
      <c r="AZ307" s="308">
        <v>0.0</v>
      </c>
      <c r="BA307" s="311"/>
      <c r="BB307" s="311"/>
      <c r="BC307" s="311"/>
      <c r="BD307" s="308">
        <v>7.804770812231E12</v>
      </c>
      <c r="BE307" s="311"/>
      <c r="BF307" s="311"/>
      <c r="BG307" s="308" t="s">
        <v>2958</v>
      </c>
      <c r="BH307" s="308">
        <v>0.0</v>
      </c>
      <c r="BI307" s="308" t="s">
        <v>2959</v>
      </c>
      <c r="BJ307" s="308">
        <v>12.98</v>
      </c>
      <c r="BK307" s="311"/>
      <c r="BL307" s="311"/>
      <c r="BM307" s="311"/>
      <c r="BN307" s="311"/>
      <c r="BO307" s="311"/>
      <c r="BP307" s="311"/>
      <c r="BQ307" s="311"/>
      <c r="BR307" s="311"/>
      <c r="BS307" s="308"/>
      <c r="BT307" s="311"/>
      <c r="BU307" s="311"/>
      <c r="BV307" s="308" t="s">
        <v>3476</v>
      </c>
      <c r="BW307" s="308" t="s">
        <v>3476</v>
      </c>
      <c r="BX307" s="308" t="s">
        <v>2956</v>
      </c>
      <c r="BY307" s="311"/>
      <c r="BZ307" s="311"/>
      <c r="CA307" s="308" t="s">
        <v>2956</v>
      </c>
      <c r="CB307" s="312" t="str">
        <f t="shared" si="1"/>
        <v>05/06/2026</v>
      </c>
      <c r="CC307" s="313">
        <f t="shared" si="2"/>
        <v>2026</v>
      </c>
      <c r="CD307" s="314">
        <f t="shared" si="3"/>
        <v>6</v>
      </c>
      <c r="CE307" s="314">
        <f t="shared" si="4"/>
        <v>1</v>
      </c>
      <c r="CF307" s="314">
        <f t="shared" si="5"/>
        <v>1</v>
      </c>
      <c r="CG307" s="314">
        <f t="shared" si="6"/>
        <v>0</v>
      </c>
      <c r="CH307" s="315">
        <f>VLOOKUP(CL307,'PRODUCT_COGS&amp;PRICE'!A:E,5,false)</f>
        <v>19</v>
      </c>
      <c r="CI307" s="315">
        <f t="shared" si="7"/>
        <v>-1.6921</v>
      </c>
      <c r="CJ307" s="316">
        <f t="shared" si="8"/>
        <v>0</v>
      </c>
      <c r="CK307" s="316">
        <f t="shared" si="9"/>
        <v>8</v>
      </c>
      <c r="CL307" s="314" t="str">
        <f>VLOOKUP(R307,PRODUCT_MAP!A:B,2,FALSE)</f>
        <v>Agata_Bag_ROSE_BUTTER</v>
      </c>
      <c r="CM307" s="314" t="str">
        <f>VLOOKUP(R307,PRODUCT_MAP!A:E,3,FALSE)</f>
        <v>Agata Bag</v>
      </c>
    </row>
    <row r="308" ht="22.5" customHeight="1">
      <c r="A308" s="308" t="s">
        <v>5397</v>
      </c>
      <c r="B308" s="308" t="s">
        <v>5398</v>
      </c>
      <c r="C308" s="308" t="s">
        <v>2942</v>
      </c>
      <c r="D308" s="308" t="s">
        <v>5399</v>
      </c>
      <c r="E308" s="308" t="s">
        <v>3013</v>
      </c>
      <c r="F308" s="308"/>
      <c r="G308" s="308" t="s">
        <v>2965</v>
      </c>
      <c r="H308" s="308" t="s">
        <v>2947</v>
      </c>
      <c r="I308" s="308">
        <v>120.0</v>
      </c>
      <c r="J308" s="308">
        <v>0.0</v>
      </c>
      <c r="K308" s="308">
        <v>21.64</v>
      </c>
      <c r="L308" s="308">
        <v>120.0</v>
      </c>
      <c r="M308" s="308"/>
      <c r="N308" s="308">
        <v>0.0</v>
      </c>
      <c r="O308" s="308" t="s">
        <v>2948</v>
      </c>
      <c r="P308" s="308" t="s">
        <v>5400</v>
      </c>
      <c r="Q308" s="310">
        <v>1.0</v>
      </c>
      <c r="R308" s="308" t="s">
        <v>524</v>
      </c>
      <c r="S308" s="308">
        <v>120.0</v>
      </c>
      <c r="T308" s="311"/>
      <c r="U308" s="308" t="s">
        <v>300</v>
      </c>
      <c r="V308" s="308" t="b">
        <v>1</v>
      </c>
      <c r="W308" s="308" t="b">
        <v>1</v>
      </c>
      <c r="X308" s="308"/>
      <c r="Y308" s="308" t="s">
        <v>5401</v>
      </c>
      <c r="Z308" s="308" t="s">
        <v>5402</v>
      </c>
      <c r="AA308" s="308" t="s">
        <v>5402</v>
      </c>
      <c r="AB308" s="308"/>
      <c r="AC308" s="308"/>
      <c r="AD308" s="308" t="s">
        <v>3784</v>
      </c>
      <c r="AE308" s="308">
        <v>20151.0</v>
      </c>
      <c r="AF308" s="308" t="s">
        <v>2954</v>
      </c>
      <c r="AG308" s="308" t="s">
        <v>2955</v>
      </c>
      <c r="AH308" s="308">
        <v>3.357682159E9</v>
      </c>
      <c r="AI308" s="308" t="s">
        <v>5401</v>
      </c>
      <c r="AJ308" s="308" t="s">
        <v>5402</v>
      </c>
      <c r="AK308" s="308" t="s">
        <v>5402</v>
      </c>
      <c r="AL308" s="308"/>
      <c r="AM308" s="308"/>
      <c r="AN308" s="308" t="s">
        <v>3784</v>
      </c>
      <c r="AO308" s="308">
        <v>20151.0</v>
      </c>
      <c r="AP308" s="308" t="s">
        <v>2954</v>
      </c>
      <c r="AQ308" s="308" t="s">
        <v>2955</v>
      </c>
      <c r="AR308" s="308">
        <v>3.357682159E9</v>
      </c>
      <c r="AS308" s="311"/>
      <c r="AT308" s="311"/>
      <c r="AU308" s="311"/>
      <c r="AV308" s="308" t="s">
        <v>3009</v>
      </c>
      <c r="AW308" s="308">
        <v>4.7926869328199E13</v>
      </c>
      <c r="AX308" s="310">
        <v>0.0</v>
      </c>
      <c r="AY308" s="308" t="s">
        <v>2974</v>
      </c>
      <c r="AZ308" s="308">
        <v>0.0</v>
      </c>
      <c r="BA308" s="311"/>
      <c r="BB308" s="311"/>
      <c r="BC308" s="311"/>
      <c r="BD308" s="308">
        <v>7.804808298823E12</v>
      </c>
      <c r="BE308" s="311"/>
      <c r="BF308" s="311"/>
      <c r="BG308" s="308" t="s">
        <v>2958</v>
      </c>
      <c r="BH308" s="308">
        <v>0.0</v>
      </c>
      <c r="BI308" s="308" t="s">
        <v>2959</v>
      </c>
      <c r="BJ308" s="308">
        <v>21.64</v>
      </c>
      <c r="BK308" s="311"/>
      <c r="BL308" s="311"/>
      <c r="BM308" s="311"/>
      <c r="BN308" s="311"/>
      <c r="BO308" s="311"/>
      <c r="BP308" s="311"/>
      <c r="BQ308" s="311"/>
      <c r="BR308" s="311"/>
      <c r="BS308" s="308"/>
      <c r="BT308" s="311"/>
      <c r="BU308" s="311"/>
      <c r="BV308" s="308" t="s">
        <v>23</v>
      </c>
      <c r="BW308" s="308" t="s">
        <v>23</v>
      </c>
      <c r="BX308" s="308" t="s">
        <v>3009</v>
      </c>
      <c r="BY308" s="311"/>
      <c r="BZ308" s="311"/>
      <c r="CA308" s="308" t="s">
        <v>3009</v>
      </c>
      <c r="CB308" s="312" t="str">
        <f t="shared" si="1"/>
        <v>05/06/2026</v>
      </c>
      <c r="CC308" s="313">
        <f t="shared" si="2"/>
        <v>2026</v>
      </c>
      <c r="CD308" s="314">
        <f t="shared" si="3"/>
        <v>6</v>
      </c>
      <c r="CE308" s="314">
        <f t="shared" si="4"/>
        <v>1</v>
      </c>
      <c r="CF308" s="314">
        <f t="shared" si="5"/>
        <v>1</v>
      </c>
      <c r="CG308" s="314">
        <f t="shared" si="6"/>
        <v>-5</v>
      </c>
      <c r="CH308" s="315">
        <f>VLOOKUP(CL308,'PRODUCT_COGS&amp;PRICE'!A:E,5,false)</f>
        <v>20</v>
      </c>
      <c r="CI308" s="315">
        <f t="shared" si="7"/>
        <v>-4.538</v>
      </c>
      <c r="CJ308" s="316">
        <f t="shared" si="8"/>
        <v>0</v>
      </c>
      <c r="CK308" s="316">
        <f t="shared" si="9"/>
        <v>0</v>
      </c>
      <c r="CL308" s="314" t="str">
        <f>VLOOKUP(R308,PRODUCT_MAP!A:B,2,FALSE)</f>
        <v>Lea_Bag_COCCO_GREEN</v>
      </c>
      <c r="CM308" s="314" t="str">
        <f>VLOOKUP(R308,PRODUCT_MAP!A:E,3,FALSE)</f>
        <v>Lea Bag</v>
      </c>
    </row>
    <row r="309" ht="22.5" customHeight="1">
      <c r="A309" s="308" t="s">
        <v>5403</v>
      </c>
      <c r="B309" s="308" t="s">
        <v>5404</v>
      </c>
      <c r="C309" s="308" t="s">
        <v>2942</v>
      </c>
      <c r="D309" s="308" t="s">
        <v>5405</v>
      </c>
      <c r="E309" s="308" t="s">
        <v>3013</v>
      </c>
      <c r="F309" s="308"/>
      <c r="G309" s="308" t="s">
        <v>2946</v>
      </c>
      <c r="H309" s="308" t="s">
        <v>2947</v>
      </c>
      <c r="I309" s="308">
        <v>108.0</v>
      </c>
      <c r="J309" s="308">
        <v>0.0</v>
      </c>
      <c r="K309" s="308">
        <v>19.48</v>
      </c>
      <c r="L309" s="308">
        <v>108.0</v>
      </c>
      <c r="M309" s="308" t="s">
        <v>3094</v>
      </c>
      <c r="N309" s="308">
        <v>12.0</v>
      </c>
      <c r="O309" s="308" t="s">
        <v>2948</v>
      </c>
      <c r="P309" s="308" t="s">
        <v>5406</v>
      </c>
      <c r="Q309" s="310">
        <v>1.0</v>
      </c>
      <c r="R309" s="308" t="s">
        <v>524</v>
      </c>
      <c r="S309" s="308">
        <v>120.0</v>
      </c>
      <c r="T309" s="311"/>
      <c r="U309" s="308" t="s">
        <v>300</v>
      </c>
      <c r="V309" s="308" t="b">
        <v>1</v>
      </c>
      <c r="W309" s="308" t="b">
        <v>1</v>
      </c>
      <c r="X309" s="308"/>
      <c r="Y309" s="308" t="s">
        <v>5407</v>
      </c>
      <c r="Z309" s="308" t="s">
        <v>5408</v>
      </c>
      <c r="AA309" s="308" t="s">
        <v>5409</v>
      </c>
      <c r="AB309" s="308" t="s">
        <v>5410</v>
      </c>
      <c r="AC309" s="308"/>
      <c r="AD309" s="308" t="s">
        <v>23</v>
      </c>
      <c r="AE309" s="308">
        <v>20127.0</v>
      </c>
      <c r="AF309" s="308" t="s">
        <v>2954</v>
      </c>
      <c r="AG309" s="308" t="s">
        <v>2955</v>
      </c>
      <c r="AH309" s="308">
        <v>3.407566343E9</v>
      </c>
      <c r="AI309" s="308" t="s">
        <v>5407</v>
      </c>
      <c r="AJ309" s="308" t="s">
        <v>5408</v>
      </c>
      <c r="AK309" s="308" t="s">
        <v>5409</v>
      </c>
      <c r="AL309" s="308" t="s">
        <v>5410</v>
      </c>
      <c r="AM309" s="308"/>
      <c r="AN309" s="308" t="s">
        <v>23</v>
      </c>
      <c r="AO309" s="308">
        <v>20127.0</v>
      </c>
      <c r="AP309" s="308" t="s">
        <v>2954</v>
      </c>
      <c r="AQ309" s="308" t="s">
        <v>2955</v>
      </c>
      <c r="AR309" s="308">
        <v>3.407566343E9</v>
      </c>
      <c r="AS309" s="311"/>
      <c r="AT309" s="311"/>
      <c r="AU309" s="311"/>
      <c r="AV309" s="308" t="s">
        <v>3009</v>
      </c>
      <c r="AW309" s="308">
        <v>4.7927307567431E13</v>
      </c>
      <c r="AX309" s="310">
        <v>0.0</v>
      </c>
      <c r="AY309" s="308" t="s">
        <v>2974</v>
      </c>
      <c r="AZ309" s="308">
        <v>0.0</v>
      </c>
      <c r="BA309" s="311"/>
      <c r="BB309" s="311"/>
      <c r="BC309" s="311"/>
      <c r="BD309" s="308">
        <v>7.805808804167E12</v>
      </c>
      <c r="BE309" s="311"/>
      <c r="BF309" s="311"/>
      <c r="BG309" s="308" t="s">
        <v>2958</v>
      </c>
      <c r="BH309" s="308">
        <v>0.0</v>
      </c>
      <c r="BI309" s="308" t="s">
        <v>2959</v>
      </c>
      <c r="BJ309" s="308">
        <v>19.48</v>
      </c>
      <c r="BK309" s="311"/>
      <c r="BL309" s="311"/>
      <c r="BM309" s="311"/>
      <c r="BN309" s="311"/>
      <c r="BO309" s="311"/>
      <c r="BP309" s="311"/>
      <c r="BQ309" s="311"/>
      <c r="BR309" s="311"/>
      <c r="BS309" s="308"/>
      <c r="BT309" s="311"/>
      <c r="BU309" s="311"/>
      <c r="BV309" s="308" t="s">
        <v>23</v>
      </c>
      <c r="BW309" s="308" t="s">
        <v>23</v>
      </c>
      <c r="BX309" s="308" t="s">
        <v>3009</v>
      </c>
      <c r="BY309" s="311"/>
      <c r="BZ309" s="311"/>
      <c r="CA309" s="308" t="s">
        <v>3009</v>
      </c>
      <c r="CB309" s="312" t="str">
        <f t="shared" si="1"/>
        <v>05/06/2026</v>
      </c>
      <c r="CC309" s="313">
        <f t="shared" si="2"/>
        <v>2026</v>
      </c>
      <c r="CD309" s="314">
        <f t="shared" si="3"/>
        <v>6</v>
      </c>
      <c r="CE309" s="314">
        <f t="shared" si="4"/>
        <v>1</v>
      </c>
      <c r="CF309" s="314">
        <f t="shared" si="5"/>
        <v>1</v>
      </c>
      <c r="CG309" s="314">
        <f t="shared" si="6"/>
        <v>-5</v>
      </c>
      <c r="CH309" s="315">
        <f>VLOOKUP(CL309,'PRODUCT_COGS&amp;PRICE'!A:E,5,false)</f>
        <v>20</v>
      </c>
      <c r="CI309" s="315">
        <f t="shared" si="7"/>
        <v>-4.1192</v>
      </c>
      <c r="CJ309" s="316">
        <f t="shared" si="8"/>
        <v>0</v>
      </c>
      <c r="CK309" s="316">
        <f t="shared" si="9"/>
        <v>12</v>
      </c>
      <c r="CL309" s="314" t="str">
        <f>VLOOKUP(R309,PRODUCT_MAP!A:B,2,FALSE)</f>
        <v>Lea_Bag_COCCO_GREEN</v>
      </c>
      <c r="CM309" s="314" t="str">
        <f>VLOOKUP(R309,PRODUCT_MAP!A:E,3,FALSE)</f>
        <v>Lea Bag</v>
      </c>
    </row>
    <row r="310" ht="22.5" customHeight="1">
      <c r="A310" s="308" t="s">
        <v>5411</v>
      </c>
      <c r="B310" s="308" t="s">
        <v>5412</v>
      </c>
      <c r="C310" s="308" t="s">
        <v>2942</v>
      </c>
      <c r="D310" s="308" t="s">
        <v>5413</v>
      </c>
      <c r="E310" s="308" t="s">
        <v>3013</v>
      </c>
      <c r="F310" s="308"/>
      <c r="G310" s="308" t="s">
        <v>2946</v>
      </c>
      <c r="H310" s="308" t="s">
        <v>2947</v>
      </c>
      <c r="I310" s="308">
        <v>120.0</v>
      </c>
      <c r="J310" s="308">
        <v>0.0</v>
      </c>
      <c r="K310" s="308">
        <v>21.64</v>
      </c>
      <c r="L310" s="308">
        <v>120.0</v>
      </c>
      <c r="M310" s="308"/>
      <c r="N310" s="308">
        <v>0.0</v>
      </c>
      <c r="O310" s="308" t="s">
        <v>2948</v>
      </c>
      <c r="P310" s="308" t="s">
        <v>5414</v>
      </c>
      <c r="Q310" s="310">
        <v>1.0</v>
      </c>
      <c r="R310" s="308" t="s">
        <v>529</v>
      </c>
      <c r="S310" s="308">
        <v>120.0</v>
      </c>
      <c r="T310" s="311"/>
      <c r="U310" s="308" t="s">
        <v>298</v>
      </c>
      <c r="V310" s="308" t="b">
        <v>1</v>
      </c>
      <c r="W310" s="308" t="b">
        <v>1</v>
      </c>
      <c r="X310" s="308"/>
      <c r="Y310" s="308" t="s">
        <v>5415</v>
      </c>
      <c r="Z310" s="308" t="s">
        <v>5416</v>
      </c>
      <c r="AA310" s="308" t="s">
        <v>5416</v>
      </c>
      <c r="AB310" s="308"/>
      <c r="AC310" s="308"/>
      <c r="AD310" s="308" t="s">
        <v>23</v>
      </c>
      <c r="AE310" s="308">
        <v>20124.0</v>
      </c>
      <c r="AF310" s="308" t="s">
        <v>2954</v>
      </c>
      <c r="AG310" s="308" t="s">
        <v>2955</v>
      </c>
      <c r="AH310" s="308">
        <v>3.277352436E9</v>
      </c>
      <c r="AI310" s="308" t="s">
        <v>5415</v>
      </c>
      <c r="AJ310" s="308" t="s">
        <v>5416</v>
      </c>
      <c r="AK310" s="308" t="s">
        <v>5416</v>
      </c>
      <c r="AL310" s="308"/>
      <c r="AM310" s="308"/>
      <c r="AN310" s="308" t="s">
        <v>23</v>
      </c>
      <c r="AO310" s="308">
        <v>20124.0</v>
      </c>
      <c r="AP310" s="308" t="s">
        <v>2954</v>
      </c>
      <c r="AQ310" s="308" t="s">
        <v>2955</v>
      </c>
      <c r="AR310" s="308">
        <v>3.277352436E9</v>
      </c>
      <c r="AS310" s="311"/>
      <c r="AT310" s="311"/>
      <c r="AU310" s="311"/>
      <c r="AV310" s="308" t="s">
        <v>3009</v>
      </c>
      <c r="AW310" s="308">
        <v>4.7927739613511E13</v>
      </c>
      <c r="AX310" s="310">
        <v>0.0</v>
      </c>
      <c r="AY310" s="308" t="s">
        <v>2974</v>
      </c>
      <c r="AZ310" s="308">
        <v>0.0</v>
      </c>
      <c r="BA310" s="311"/>
      <c r="BB310" s="311"/>
      <c r="BC310" s="311"/>
      <c r="BD310" s="308">
        <v>7.806487855431E12</v>
      </c>
      <c r="BE310" s="311"/>
      <c r="BF310" s="311"/>
      <c r="BG310" s="308" t="s">
        <v>2958</v>
      </c>
      <c r="BH310" s="308">
        <v>0.0</v>
      </c>
      <c r="BI310" s="308" t="s">
        <v>2959</v>
      </c>
      <c r="BJ310" s="308">
        <v>21.64</v>
      </c>
      <c r="BK310" s="311"/>
      <c r="BL310" s="311"/>
      <c r="BM310" s="311"/>
      <c r="BN310" s="311"/>
      <c r="BO310" s="311"/>
      <c r="BP310" s="311"/>
      <c r="BQ310" s="311"/>
      <c r="BR310" s="311"/>
      <c r="BS310" s="308"/>
      <c r="BT310" s="311"/>
      <c r="BU310" s="311"/>
      <c r="BV310" s="308" t="s">
        <v>23</v>
      </c>
      <c r="BW310" s="308" t="s">
        <v>23</v>
      </c>
      <c r="BX310" s="308" t="s">
        <v>3009</v>
      </c>
      <c r="BY310" s="311"/>
      <c r="BZ310" s="311"/>
      <c r="CA310" s="308" t="s">
        <v>3009</v>
      </c>
      <c r="CB310" s="312" t="str">
        <f t="shared" si="1"/>
        <v>05/06/2026</v>
      </c>
      <c r="CC310" s="313">
        <f t="shared" si="2"/>
        <v>2026</v>
      </c>
      <c r="CD310" s="314">
        <f t="shared" si="3"/>
        <v>6</v>
      </c>
      <c r="CE310" s="314">
        <f t="shared" si="4"/>
        <v>1</v>
      </c>
      <c r="CF310" s="314">
        <f t="shared" si="5"/>
        <v>1</v>
      </c>
      <c r="CG310" s="314">
        <f t="shared" si="6"/>
        <v>-5</v>
      </c>
      <c r="CH310" s="315">
        <f>VLOOKUP(CL310,'PRODUCT_COGS&amp;PRICE'!A:E,5,false)</f>
        <v>20</v>
      </c>
      <c r="CI310" s="315">
        <f t="shared" si="7"/>
        <v>-4.538</v>
      </c>
      <c r="CJ310" s="316">
        <f t="shared" si="8"/>
        <v>0</v>
      </c>
      <c r="CK310" s="316">
        <f t="shared" si="9"/>
        <v>0</v>
      </c>
      <c r="CL310" s="314" t="str">
        <f>VLOOKUP(R310,PRODUCT_MAP!A:B,2,FALSE)</f>
        <v>Lea_Bag_COCCO_PINK</v>
      </c>
      <c r="CM310" s="314" t="str">
        <f>VLOOKUP(R310,PRODUCT_MAP!A:E,3,FALSE)</f>
        <v>Lea Bag</v>
      </c>
    </row>
    <row r="311" ht="22.5" customHeight="1">
      <c r="A311" s="308" t="s">
        <v>5417</v>
      </c>
      <c r="B311" s="308" t="s">
        <v>5418</v>
      </c>
      <c r="C311" s="308" t="s">
        <v>2942</v>
      </c>
      <c r="D311" s="308" t="s">
        <v>5419</v>
      </c>
      <c r="E311" s="308" t="s">
        <v>3013</v>
      </c>
      <c r="F311" s="308"/>
      <c r="G311" s="308" t="s">
        <v>2946</v>
      </c>
      <c r="H311" s="308" t="s">
        <v>2947</v>
      </c>
      <c r="I311" s="308">
        <v>108.0</v>
      </c>
      <c r="J311" s="308">
        <v>0.0</v>
      </c>
      <c r="K311" s="308">
        <v>19.48</v>
      </c>
      <c r="L311" s="308">
        <v>108.0</v>
      </c>
      <c r="M311" s="308" t="s">
        <v>3094</v>
      </c>
      <c r="N311" s="308">
        <v>12.0</v>
      </c>
      <c r="O311" s="308" t="s">
        <v>2948</v>
      </c>
      <c r="P311" s="308" t="s">
        <v>5420</v>
      </c>
      <c r="Q311" s="310">
        <v>1.0</v>
      </c>
      <c r="R311" s="308" t="s">
        <v>909</v>
      </c>
      <c r="S311" s="308">
        <v>120.0</v>
      </c>
      <c r="T311" s="311"/>
      <c r="U311" s="308" t="s">
        <v>289</v>
      </c>
      <c r="V311" s="308" t="b">
        <v>1</v>
      </c>
      <c r="W311" s="308" t="b">
        <v>1</v>
      </c>
      <c r="X311" s="308"/>
      <c r="Y311" s="308" t="s">
        <v>5421</v>
      </c>
      <c r="Z311" s="308" t="s">
        <v>5422</v>
      </c>
      <c r="AA311" s="308" t="s">
        <v>5423</v>
      </c>
      <c r="AB311" s="308" t="s">
        <v>5424</v>
      </c>
      <c r="AC311" s="308"/>
      <c r="AD311" s="308" t="s">
        <v>3081</v>
      </c>
      <c r="AE311" s="308">
        <v>178.0</v>
      </c>
      <c r="AF311" s="308" t="s">
        <v>3082</v>
      </c>
      <c r="AG311" s="308" t="s">
        <v>2955</v>
      </c>
      <c r="AH311" s="308">
        <v>3.476530533E9</v>
      </c>
      <c r="AI311" s="308" t="s">
        <v>5421</v>
      </c>
      <c r="AJ311" s="308" t="s">
        <v>5422</v>
      </c>
      <c r="AK311" s="308" t="s">
        <v>5423</v>
      </c>
      <c r="AL311" s="308" t="s">
        <v>5424</v>
      </c>
      <c r="AM311" s="308"/>
      <c r="AN311" s="308" t="s">
        <v>3081</v>
      </c>
      <c r="AO311" s="308">
        <v>178.0</v>
      </c>
      <c r="AP311" s="308" t="s">
        <v>3082</v>
      </c>
      <c r="AQ311" s="308" t="s">
        <v>2955</v>
      </c>
      <c r="AR311" s="308">
        <v>3.476530533E9</v>
      </c>
      <c r="AS311" s="311"/>
      <c r="AT311" s="311"/>
      <c r="AU311" s="311"/>
      <c r="AV311" s="308" t="s">
        <v>3009</v>
      </c>
      <c r="AW311" s="308">
        <v>4.7896912625991E13</v>
      </c>
      <c r="AX311" s="310">
        <v>0.0</v>
      </c>
      <c r="AY311" s="308" t="s">
        <v>2974</v>
      </c>
      <c r="AZ311" s="308">
        <v>0.0</v>
      </c>
      <c r="BA311" s="311"/>
      <c r="BB311" s="311"/>
      <c r="BC311" s="311"/>
      <c r="BD311" s="308">
        <v>7.808782041415E12</v>
      </c>
      <c r="BE311" s="311"/>
      <c r="BF311" s="311"/>
      <c r="BG311" s="308" t="s">
        <v>2958</v>
      </c>
      <c r="BH311" s="308">
        <v>0.0</v>
      </c>
      <c r="BI311" s="308" t="s">
        <v>2959</v>
      </c>
      <c r="BJ311" s="308">
        <v>19.48</v>
      </c>
      <c r="BK311" s="311"/>
      <c r="BL311" s="311"/>
      <c r="BM311" s="311"/>
      <c r="BN311" s="311"/>
      <c r="BO311" s="311"/>
      <c r="BP311" s="311"/>
      <c r="BQ311" s="311"/>
      <c r="BR311" s="311"/>
      <c r="BS311" s="308"/>
      <c r="BT311" s="311"/>
      <c r="BU311" s="311"/>
      <c r="BV311" s="308" t="s">
        <v>3081</v>
      </c>
      <c r="BW311" s="308" t="s">
        <v>3081</v>
      </c>
      <c r="BX311" s="308" t="s">
        <v>3009</v>
      </c>
      <c r="BY311" s="311"/>
      <c r="BZ311" s="311"/>
      <c r="CA311" s="308" t="s">
        <v>3009</v>
      </c>
      <c r="CB311" s="312" t="str">
        <f t="shared" si="1"/>
        <v>05/06/2026</v>
      </c>
      <c r="CC311" s="313">
        <f t="shared" si="2"/>
        <v>2026</v>
      </c>
      <c r="CD311" s="314">
        <f t="shared" si="3"/>
        <v>6</v>
      </c>
      <c r="CE311" s="314">
        <f t="shared" si="4"/>
        <v>1</v>
      </c>
      <c r="CF311" s="314">
        <f t="shared" si="5"/>
        <v>1</v>
      </c>
      <c r="CG311" s="314">
        <f t="shared" si="6"/>
        <v>-5</v>
      </c>
      <c r="CH311" s="315">
        <f>VLOOKUP(CL311,'PRODUCT_COGS&amp;PRICE'!A:E,5,false)</f>
        <v>20</v>
      </c>
      <c r="CI311" s="315">
        <f t="shared" si="7"/>
        <v>-4.1192</v>
      </c>
      <c r="CJ311" s="316">
        <f t="shared" si="8"/>
        <v>0</v>
      </c>
      <c r="CK311" s="316">
        <f t="shared" si="9"/>
        <v>12</v>
      </c>
      <c r="CL311" s="314" t="str">
        <f>VLOOKUP(R311,PRODUCT_MAP!A:B,2,FALSE)</f>
        <v>Lea_Bag_COCCO_ORANGE</v>
      </c>
      <c r="CM311" s="314" t="str">
        <f>VLOOKUP(R311,PRODUCT_MAP!A:E,3,FALSE)</f>
        <v>Lea Bag</v>
      </c>
    </row>
    <row r="312" ht="22.5" customHeight="1">
      <c r="A312" s="308" t="s">
        <v>5425</v>
      </c>
      <c r="B312" s="308" t="s">
        <v>5426</v>
      </c>
      <c r="C312" s="308" t="s">
        <v>4329</v>
      </c>
      <c r="D312" s="308" t="s">
        <v>5427</v>
      </c>
      <c r="E312" s="308" t="s">
        <v>3013</v>
      </c>
      <c r="F312" s="308"/>
      <c r="G312" s="308" t="s">
        <v>2965</v>
      </c>
      <c r="H312" s="308" t="s">
        <v>2947</v>
      </c>
      <c r="I312" s="308">
        <v>100.0</v>
      </c>
      <c r="J312" s="308">
        <v>0.0</v>
      </c>
      <c r="K312" s="308">
        <v>18.03</v>
      </c>
      <c r="L312" s="308">
        <v>100.0</v>
      </c>
      <c r="M312" s="308"/>
      <c r="N312" s="308">
        <v>0.0</v>
      </c>
      <c r="O312" s="308" t="s">
        <v>2979</v>
      </c>
      <c r="P312" s="308" t="s">
        <v>5428</v>
      </c>
      <c r="Q312" s="310">
        <v>1.0</v>
      </c>
      <c r="R312" s="308" t="s">
        <v>5429</v>
      </c>
      <c r="S312" s="308">
        <v>100.0</v>
      </c>
      <c r="T312" s="311"/>
      <c r="U312" s="308" t="s">
        <v>5430</v>
      </c>
      <c r="V312" s="308" t="b">
        <v>1</v>
      </c>
      <c r="W312" s="308" t="b">
        <v>1</v>
      </c>
      <c r="X312" s="308"/>
      <c r="Y312" s="308" t="s">
        <v>5431</v>
      </c>
      <c r="Z312" s="308" t="s">
        <v>5432</v>
      </c>
      <c r="AA312" s="308" t="s">
        <v>5433</v>
      </c>
      <c r="AB312" s="308">
        <v>302.0</v>
      </c>
      <c r="AC312" s="308"/>
      <c r="AD312" s="308" t="s">
        <v>5434</v>
      </c>
      <c r="AE312" s="308">
        <v>63812.0</v>
      </c>
      <c r="AF312" s="308" t="s">
        <v>5435</v>
      </c>
      <c r="AG312" s="308" t="s">
        <v>2955</v>
      </c>
      <c r="AH312" s="318" t="s">
        <v>5436</v>
      </c>
      <c r="AI312" s="308"/>
      <c r="AJ312" s="308"/>
      <c r="AK312" s="308"/>
      <c r="AL312" s="308"/>
      <c r="AM312" s="308"/>
      <c r="AN312" s="308"/>
      <c r="AO312" s="308"/>
      <c r="AP312" s="308"/>
      <c r="AQ312" s="308"/>
      <c r="AR312" s="308"/>
      <c r="AS312" s="311"/>
      <c r="AT312" s="311"/>
      <c r="AU312" s="311"/>
      <c r="AV312" s="308" t="s">
        <v>3009</v>
      </c>
      <c r="AW312" s="308">
        <v>4.7930739360071E13</v>
      </c>
      <c r="AX312" s="310">
        <v>100.0</v>
      </c>
      <c r="AY312" s="308" t="s">
        <v>2974</v>
      </c>
      <c r="AZ312" s="308">
        <v>0.0</v>
      </c>
      <c r="BA312" s="311"/>
      <c r="BB312" s="311"/>
      <c r="BC312" s="311"/>
      <c r="BD312" s="308">
        <v>7.809285718343E12</v>
      </c>
      <c r="BE312" s="311"/>
      <c r="BF312" s="311"/>
      <c r="BG312" s="308" t="s">
        <v>2958</v>
      </c>
      <c r="BH312" s="308">
        <v>0.0</v>
      </c>
      <c r="BI312" s="308" t="s">
        <v>2959</v>
      </c>
      <c r="BJ312" s="308">
        <v>18.03</v>
      </c>
      <c r="BK312" s="311"/>
      <c r="BL312" s="311"/>
      <c r="BM312" s="311"/>
      <c r="BN312" s="311"/>
      <c r="BO312" s="311"/>
      <c r="BP312" s="311"/>
      <c r="BQ312" s="311"/>
      <c r="BR312" s="311"/>
      <c r="BS312" s="308"/>
      <c r="BT312" s="311"/>
      <c r="BU312" s="311"/>
      <c r="BV312" s="308" t="s">
        <v>5437</v>
      </c>
      <c r="BW312" s="308"/>
      <c r="BX312" s="308" t="s">
        <v>3009</v>
      </c>
      <c r="BY312" s="311"/>
      <c r="BZ312" s="311"/>
      <c r="CA312" s="308" t="s">
        <v>3009</v>
      </c>
      <c r="CB312" s="312" t="str">
        <f t="shared" si="1"/>
        <v>06/06/2026</v>
      </c>
      <c r="CC312" s="313">
        <f t="shared" si="2"/>
        <v>2026</v>
      </c>
      <c r="CD312" s="314">
        <f t="shared" si="3"/>
        <v>6</v>
      </c>
      <c r="CE312" s="314">
        <f t="shared" si="4"/>
        <v>0</v>
      </c>
      <c r="CF312" s="314">
        <f t="shared" si="5"/>
        <v>0</v>
      </c>
      <c r="CG312" s="314">
        <f t="shared" si="6"/>
        <v>0</v>
      </c>
      <c r="CH312" s="315">
        <f>VLOOKUP(CL312,'PRODUCT_COGS&amp;PRICE'!A:E,5,false)</f>
        <v>16.5</v>
      </c>
      <c r="CI312" s="315">
        <f t="shared" si="7"/>
        <v>-3.84</v>
      </c>
      <c r="CJ312" s="316">
        <f t="shared" si="8"/>
        <v>0</v>
      </c>
      <c r="CK312" s="316">
        <f t="shared" si="9"/>
        <v>0</v>
      </c>
      <c r="CL312" s="314" t="str">
        <f>VLOOKUP(R312,PRODUCT_MAP!A:B,2,FALSE)</f>
        <v>Annie_Bag_BLUE</v>
      </c>
      <c r="CM312" s="314" t="str">
        <f>VLOOKUP(R312,PRODUCT_MAP!A:E,3,FALSE)</f>
        <v>Annie Bag Silk</v>
      </c>
    </row>
    <row r="313" ht="22.5" customHeight="1">
      <c r="A313" s="308" t="s">
        <v>5438</v>
      </c>
      <c r="B313" s="308" t="s">
        <v>5439</v>
      </c>
      <c r="C313" s="308" t="s">
        <v>2942</v>
      </c>
      <c r="D313" s="308" t="s">
        <v>5440</v>
      </c>
      <c r="E313" s="308" t="s">
        <v>3013</v>
      </c>
      <c r="F313" s="308"/>
      <c r="G313" s="308" t="s">
        <v>2946</v>
      </c>
      <c r="H313" s="308" t="s">
        <v>2947</v>
      </c>
      <c r="I313" s="308">
        <v>80.0</v>
      </c>
      <c r="J313" s="308">
        <v>3.9</v>
      </c>
      <c r="K313" s="308">
        <v>15.13</v>
      </c>
      <c r="L313" s="308">
        <v>83.9</v>
      </c>
      <c r="M313" s="308"/>
      <c r="N313" s="308">
        <v>0.0</v>
      </c>
      <c r="O313" s="308" t="s">
        <v>2948</v>
      </c>
      <c r="P313" s="308" t="s">
        <v>5441</v>
      </c>
      <c r="Q313" s="310">
        <v>1.0</v>
      </c>
      <c r="R313" s="308" t="s">
        <v>4015</v>
      </c>
      <c r="S313" s="308">
        <v>80.0</v>
      </c>
      <c r="T313" s="311"/>
      <c r="U313" s="308" t="s">
        <v>5093</v>
      </c>
      <c r="V313" s="308" t="b">
        <v>1</v>
      </c>
      <c r="W313" s="308" t="b">
        <v>1</v>
      </c>
      <c r="X313" s="308"/>
      <c r="Y313" s="308" t="s">
        <v>5442</v>
      </c>
      <c r="Z313" s="308" t="s">
        <v>5443</v>
      </c>
      <c r="AA313" s="308" t="s">
        <v>5443</v>
      </c>
      <c r="AB313" s="308"/>
      <c r="AC313" s="308"/>
      <c r="AD313" s="308" t="s">
        <v>23</v>
      </c>
      <c r="AE313" s="308">
        <v>20144.0</v>
      </c>
      <c r="AF313" s="308" t="s">
        <v>2954</v>
      </c>
      <c r="AG313" s="308" t="s">
        <v>2955</v>
      </c>
      <c r="AH313" s="308">
        <v>3.484603534E9</v>
      </c>
      <c r="AI313" s="308" t="s">
        <v>5442</v>
      </c>
      <c r="AJ313" s="308" t="s">
        <v>5443</v>
      </c>
      <c r="AK313" s="308" t="s">
        <v>5443</v>
      </c>
      <c r="AL313" s="308"/>
      <c r="AM313" s="308"/>
      <c r="AN313" s="308" t="s">
        <v>23</v>
      </c>
      <c r="AO313" s="308">
        <v>20144.0</v>
      </c>
      <c r="AP313" s="308" t="s">
        <v>2954</v>
      </c>
      <c r="AQ313" s="308" t="s">
        <v>2955</v>
      </c>
      <c r="AR313" s="308">
        <v>3.484603534E9</v>
      </c>
      <c r="AS313" s="311"/>
      <c r="AT313" s="311"/>
      <c r="AU313" s="311"/>
      <c r="AV313" s="308" t="s">
        <v>3009</v>
      </c>
      <c r="AW313" s="308">
        <v>4.7932097331527E13</v>
      </c>
      <c r="AX313" s="310">
        <v>0.0</v>
      </c>
      <c r="AY313" s="308" t="s">
        <v>2974</v>
      </c>
      <c r="AZ313" s="308">
        <v>0.0</v>
      </c>
      <c r="BA313" s="311"/>
      <c r="BB313" s="311"/>
      <c r="BC313" s="311"/>
      <c r="BD313" s="308">
        <v>7.810453242183E12</v>
      </c>
      <c r="BE313" s="311"/>
      <c r="BF313" s="311"/>
      <c r="BG313" s="308" t="s">
        <v>2958</v>
      </c>
      <c r="BH313" s="308">
        <v>0.0</v>
      </c>
      <c r="BI313" s="308" t="s">
        <v>2959</v>
      </c>
      <c r="BJ313" s="308">
        <v>14.43</v>
      </c>
      <c r="BK313" s="311"/>
      <c r="BL313" s="311"/>
      <c r="BM313" s="311"/>
      <c r="BN313" s="311"/>
      <c r="BO313" s="311"/>
      <c r="BP313" s="311"/>
      <c r="BQ313" s="311"/>
      <c r="BR313" s="311"/>
      <c r="BS313" s="308"/>
      <c r="BT313" s="311"/>
      <c r="BU313" s="311"/>
      <c r="BV313" s="308" t="s">
        <v>23</v>
      </c>
      <c r="BW313" s="308" t="s">
        <v>23</v>
      </c>
      <c r="BX313" s="308" t="s">
        <v>3009</v>
      </c>
      <c r="BY313" s="311"/>
      <c r="BZ313" s="311"/>
      <c r="CA313" s="308" t="s">
        <v>3009</v>
      </c>
      <c r="CB313" s="312" t="str">
        <f t="shared" si="1"/>
        <v>06/06/2026</v>
      </c>
      <c r="CC313" s="313">
        <f t="shared" si="2"/>
        <v>2026</v>
      </c>
      <c r="CD313" s="314">
        <f t="shared" si="3"/>
        <v>6</v>
      </c>
      <c r="CE313" s="314">
        <f t="shared" si="4"/>
        <v>1</v>
      </c>
      <c r="CF313" s="314">
        <f t="shared" si="5"/>
        <v>1</v>
      </c>
      <c r="CG313" s="314">
        <f t="shared" si="6"/>
        <v>0</v>
      </c>
      <c r="CH313" s="315">
        <f>VLOOKUP(CL313,'PRODUCT_COGS&amp;PRICE'!A:E,5,false)</f>
        <v>19</v>
      </c>
      <c r="CI313" s="315">
        <f t="shared" si="7"/>
        <v>-3.27811</v>
      </c>
      <c r="CJ313" s="316">
        <f t="shared" si="8"/>
        <v>0</v>
      </c>
      <c r="CK313" s="316">
        <f t="shared" si="9"/>
        <v>0</v>
      </c>
      <c r="CL313" s="314" t="str">
        <f>VLOOKUP(R313,PRODUCT_MAP!A:B,2,FALSE)</f>
        <v>Agata_Bag_ROSE_PINK</v>
      </c>
      <c r="CM313" s="314" t="str">
        <f>VLOOKUP(R313,PRODUCT_MAP!A:E,3,FALSE)</f>
        <v>Agata Bag</v>
      </c>
    </row>
    <row r="314" ht="22.5" customHeight="1">
      <c r="A314" s="308" t="s">
        <v>5444</v>
      </c>
      <c r="B314" s="308" t="s">
        <v>5445</v>
      </c>
      <c r="C314" s="308" t="s">
        <v>2942</v>
      </c>
      <c r="D314" s="308" t="s">
        <v>5446</v>
      </c>
      <c r="E314" s="308" t="s">
        <v>3013</v>
      </c>
      <c r="F314" s="308"/>
      <c r="G314" s="308" t="s">
        <v>2965</v>
      </c>
      <c r="H314" s="308" t="s">
        <v>2947</v>
      </c>
      <c r="I314" s="308">
        <v>120.0</v>
      </c>
      <c r="J314" s="308">
        <v>0.0</v>
      </c>
      <c r="K314" s="308">
        <v>21.64</v>
      </c>
      <c r="L314" s="308">
        <v>120.0</v>
      </c>
      <c r="M314" s="308"/>
      <c r="N314" s="308">
        <v>0.0</v>
      </c>
      <c r="O314" s="308" t="s">
        <v>2948</v>
      </c>
      <c r="P314" s="308" t="s">
        <v>5447</v>
      </c>
      <c r="Q314" s="310">
        <v>1.0</v>
      </c>
      <c r="R314" s="308" t="s">
        <v>938</v>
      </c>
      <c r="S314" s="308">
        <v>120.0</v>
      </c>
      <c r="T314" s="311"/>
      <c r="U314" s="308" t="s">
        <v>233</v>
      </c>
      <c r="V314" s="308" t="b">
        <v>1</v>
      </c>
      <c r="W314" s="308" t="b">
        <v>1</v>
      </c>
      <c r="X314" s="308"/>
      <c r="Y314" s="308" t="s">
        <v>5448</v>
      </c>
      <c r="Z314" s="308" t="s">
        <v>5449</v>
      </c>
      <c r="AA314" s="308" t="s">
        <v>5449</v>
      </c>
      <c r="AB314" s="308"/>
      <c r="AC314" s="308"/>
      <c r="AD314" s="308" t="s">
        <v>4318</v>
      </c>
      <c r="AE314" s="308">
        <v>57128.0</v>
      </c>
      <c r="AF314" s="308" t="s">
        <v>4319</v>
      </c>
      <c r="AG314" s="308" t="s">
        <v>2955</v>
      </c>
      <c r="AH314" s="308"/>
      <c r="AI314" s="308" t="s">
        <v>5450</v>
      </c>
      <c r="AJ314" s="308" t="s">
        <v>5451</v>
      </c>
      <c r="AK314" s="308" t="s">
        <v>5451</v>
      </c>
      <c r="AL314" s="308"/>
      <c r="AM314" s="308"/>
      <c r="AN314" s="308" t="s">
        <v>23</v>
      </c>
      <c r="AO314" s="308">
        <v>20149.0</v>
      </c>
      <c r="AP314" s="308" t="s">
        <v>2954</v>
      </c>
      <c r="AQ314" s="308" t="s">
        <v>2955</v>
      </c>
      <c r="AR314" s="308">
        <v>3.935771457E9</v>
      </c>
      <c r="AS314" s="311"/>
      <c r="AT314" s="311"/>
      <c r="AU314" s="311"/>
      <c r="AV314" s="308" t="s">
        <v>2956</v>
      </c>
      <c r="AW314" s="308">
        <v>4.7932379267399E13</v>
      </c>
      <c r="AX314" s="310">
        <v>0.0</v>
      </c>
      <c r="AY314" s="308" t="s">
        <v>2974</v>
      </c>
      <c r="AZ314" s="308">
        <v>0.0</v>
      </c>
      <c r="BA314" s="311"/>
      <c r="BB314" s="311"/>
      <c r="BC314" s="311"/>
      <c r="BD314" s="308">
        <v>7.810971992391E12</v>
      </c>
      <c r="BE314" s="311"/>
      <c r="BF314" s="311"/>
      <c r="BG314" s="308" t="s">
        <v>2958</v>
      </c>
      <c r="BH314" s="308">
        <v>0.0</v>
      </c>
      <c r="BI314" s="308" t="s">
        <v>2959</v>
      </c>
      <c r="BJ314" s="308">
        <v>21.64</v>
      </c>
      <c r="BK314" s="311"/>
      <c r="BL314" s="311"/>
      <c r="BM314" s="311"/>
      <c r="BN314" s="311"/>
      <c r="BO314" s="311"/>
      <c r="BP314" s="311"/>
      <c r="BQ314" s="311"/>
      <c r="BR314" s="311"/>
      <c r="BS314" s="308"/>
      <c r="BT314" s="311"/>
      <c r="BU314" s="311"/>
      <c r="BV314" s="308" t="s">
        <v>4318</v>
      </c>
      <c r="BW314" s="308" t="s">
        <v>23</v>
      </c>
      <c r="BX314" s="308" t="s">
        <v>2956</v>
      </c>
      <c r="BY314" s="311"/>
      <c r="BZ314" s="311"/>
      <c r="CA314" s="308" t="s">
        <v>2956</v>
      </c>
      <c r="CB314" s="312" t="str">
        <f t="shared" si="1"/>
        <v>06/06/2026</v>
      </c>
      <c r="CC314" s="313">
        <f t="shared" si="2"/>
        <v>2026</v>
      </c>
      <c r="CD314" s="314">
        <f t="shared" si="3"/>
        <v>6</v>
      </c>
      <c r="CE314" s="314">
        <f t="shared" si="4"/>
        <v>1</v>
      </c>
      <c r="CF314" s="314">
        <f t="shared" si="5"/>
        <v>1</v>
      </c>
      <c r="CG314" s="314">
        <f t="shared" si="6"/>
        <v>-5</v>
      </c>
      <c r="CH314" s="315">
        <f>VLOOKUP(CL314,'PRODUCT_COGS&amp;PRICE'!A:E,5,false)</f>
        <v>20</v>
      </c>
      <c r="CI314" s="315">
        <f t="shared" si="7"/>
        <v>-2.53</v>
      </c>
      <c r="CJ314" s="316">
        <f t="shared" si="8"/>
        <v>0</v>
      </c>
      <c r="CK314" s="316">
        <f t="shared" si="9"/>
        <v>0</v>
      </c>
      <c r="CL314" s="314" t="str">
        <f>VLOOKUP(R314,PRODUCT_MAP!A:B,2,FALSE)</f>
        <v>Lea_Bag_TOASTED_LEATHER</v>
      </c>
      <c r="CM314" s="314" t="str">
        <f>VLOOKUP(R314,PRODUCT_MAP!A:E,3,FALSE)</f>
        <v>Lea Bag</v>
      </c>
    </row>
    <row r="315" ht="22.5" customHeight="1">
      <c r="A315" s="308" t="s">
        <v>5452</v>
      </c>
      <c r="B315" s="308" t="s">
        <v>5453</v>
      </c>
      <c r="C315" s="308" t="s">
        <v>2942</v>
      </c>
      <c r="D315" s="308" t="s">
        <v>5454</v>
      </c>
      <c r="E315" s="308" t="s">
        <v>3013</v>
      </c>
      <c r="F315" s="308"/>
      <c r="G315" s="308" t="s">
        <v>2946</v>
      </c>
      <c r="H315" s="308" t="s">
        <v>2947</v>
      </c>
      <c r="I315" s="308">
        <v>120.0</v>
      </c>
      <c r="J315" s="308">
        <v>0.0</v>
      </c>
      <c r="K315" s="308">
        <v>21.64</v>
      </c>
      <c r="L315" s="308">
        <v>120.0</v>
      </c>
      <c r="M315" s="308"/>
      <c r="N315" s="308">
        <v>0.0</v>
      </c>
      <c r="O315" s="308" t="s">
        <v>2948</v>
      </c>
      <c r="P315" s="308" t="s">
        <v>5455</v>
      </c>
      <c r="Q315" s="310">
        <v>1.0</v>
      </c>
      <c r="R315" s="308" t="s">
        <v>607</v>
      </c>
      <c r="S315" s="308">
        <v>120.0</v>
      </c>
      <c r="T315" s="311"/>
      <c r="U315" s="308" t="s">
        <v>207</v>
      </c>
      <c r="V315" s="308" t="b">
        <v>1</v>
      </c>
      <c r="W315" s="308" t="b">
        <v>1</v>
      </c>
      <c r="X315" s="308"/>
      <c r="Y315" s="308" t="s">
        <v>5456</v>
      </c>
      <c r="Z315" s="308" t="s">
        <v>5457</v>
      </c>
      <c r="AA315" s="308" t="s">
        <v>5458</v>
      </c>
      <c r="AB315" s="308" t="s">
        <v>5459</v>
      </c>
      <c r="AC315" s="308"/>
      <c r="AD315" s="308" t="s">
        <v>3655</v>
      </c>
      <c r="AE315" s="308">
        <v>10139.0</v>
      </c>
      <c r="AF315" s="308" t="s">
        <v>3654</v>
      </c>
      <c r="AG315" s="308" t="s">
        <v>2955</v>
      </c>
      <c r="AH315" s="308">
        <v>3.406718867E9</v>
      </c>
      <c r="AI315" s="308" t="s">
        <v>5456</v>
      </c>
      <c r="AJ315" s="308" t="s">
        <v>5457</v>
      </c>
      <c r="AK315" s="308" t="s">
        <v>5458</v>
      </c>
      <c r="AL315" s="308" t="s">
        <v>5459</v>
      </c>
      <c r="AM315" s="308"/>
      <c r="AN315" s="308" t="s">
        <v>3655</v>
      </c>
      <c r="AO315" s="308">
        <v>10139.0</v>
      </c>
      <c r="AP315" s="308" t="s">
        <v>3654</v>
      </c>
      <c r="AQ315" s="308" t="s">
        <v>2955</v>
      </c>
      <c r="AR315" s="308">
        <v>3.406718867E9</v>
      </c>
      <c r="AS315" s="311"/>
      <c r="AT315" s="311"/>
      <c r="AU315" s="311"/>
      <c r="AV315" s="308" t="s">
        <v>2956</v>
      </c>
      <c r="AW315" s="308">
        <v>4.7933890658631E13</v>
      </c>
      <c r="AX315" s="310">
        <v>0.0</v>
      </c>
      <c r="AY315" s="308" t="s">
        <v>2974</v>
      </c>
      <c r="AZ315" s="308">
        <v>0.0</v>
      </c>
      <c r="BA315" s="311"/>
      <c r="BB315" s="311"/>
      <c r="BC315" s="311"/>
      <c r="BD315" s="308">
        <v>7.811412296007E12</v>
      </c>
      <c r="BE315" s="311"/>
      <c r="BF315" s="311"/>
      <c r="BG315" s="308" t="s">
        <v>2958</v>
      </c>
      <c r="BH315" s="308">
        <v>0.0</v>
      </c>
      <c r="BI315" s="308" t="s">
        <v>2959</v>
      </c>
      <c r="BJ315" s="308">
        <v>21.64</v>
      </c>
      <c r="BK315" s="311"/>
      <c r="BL315" s="311"/>
      <c r="BM315" s="311"/>
      <c r="BN315" s="311"/>
      <c r="BO315" s="311"/>
      <c r="BP315" s="311"/>
      <c r="BQ315" s="311"/>
      <c r="BR315" s="311"/>
      <c r="BS315" s="308"/>
      <c r="BT315" s="311"/>
      <c r="BU315" s="311"/>
      <c r="BV315" s="308" t="s">
        <v>3655</v>
      </c>
      <c r="BW315" s="308" t="s">
        <v>3655</v>
      </c>
      <c r="BX315" s="308" t="s">
        <v>2956</v>
      </c>
      <c r="BY315" s="311"/>
      <c r="BZ315" s="311"/>
      <c r="CA315" s="308" t="s">
        <v>2956</v>
      </c>
      <c r="CB315" s="312" t="str">
        <f t="shared" si="1"/>
        <v>06/06/2026</v>
      </c>
      <c r="CC315" s="313">
        <f t="shared" si="2"/>
        <v>2026</v>
      </c>
      <c r="CD315" s="314">
        <f t="shared" si="3"/>
        <v>6</v>
      </c>
      <c r="CE315" s="314">
        <f t="shared" si="4"/>
        <v>1</v>
      </c>
      <c r="CF315" s="314">
        <f t="shared" si="5"/>
        <v>1</v>
      </c>
      <c r="CG315" s="314">
        <f t="shared" si="6"/>
        <v>-5</v>
      </c>
      <c r="CH315" s="315">
        <f>VLOOKUP(CL315,'PRODUCT_COGS&amp;PRICE'!A:E,5,false)</f>
        <v>26</v>
      </c>
      <c r="CI315" s="315">
        <f t="shared" si="7"/>
        <v>-2.53</v>
      </c>
      <c r="CJ315" s="316">
        <f t="shared" si="8"/>
        <v>0</v>
      </c>
      <c r="CK315" s="316">
        <f t="shared" si="9"/>
        <v>0</v>
      </c>
      <c r="CL315" s="314" t="str">
        <f>VLOOKUP(R315,PRODUCT_MAP!A:B,2,FALSE)</f>
        <v>Maria_Bag_RED_PIERCING</v>
      </c>
      <c r="CM315" s="314" t="str">
        <f>VLOOKUP(R315,PRODUCT_MAP!A:E,3,FALSE)</f>
        <v>Maria Bag</v>
      </c>
    </row>
    <row r="316" ht="22.5" customHeight="1">
      <c r="A316" s="308" t="s">
        <v>5460</v>
      </c>
      <c r="B316" s="308" t="s">
        <v>5461</v>
      </c>
      <c r="C316" s="308" t="s">
        <v>2942</v>
      </c>
      <c r="D316" s="308" t="s">
        <v>5462</v>
      </c>
      <c r="E316" s="308" t="s">
        <v>3013</v>
      </c>
      <c r="F316" s="308"/>
      <c r="G316" s="308" t="s">
        <v>2946</v>
      </c>
      <c r="H316" s="308" t="s">
        <v>2947</v>
      </c>
      <c r="I316" s="308">
        <v>72.0</v>
      </c>
      <c r="J316" s="308">
        <v>3.9</v>
      </c>
      <c r="K316" s="308">
        <v>13.68</v>
      </c>
      <c r="L316" s="308">
        <v>75.9</v>
      </c>
      <c r="M316" s="308" t="s">
        <v>3094</v>
      </c>
      <c r="N316" s="308">
        <v>8.0</v>
      </c>
      <c r="O316" s="308" t="s">
        <v>2948</v>
      </c>
      <c r="P316" s="308" t="s">
        <v>5463</v>
      </c>
      <c r="Q316" s="310">
        <v>1.0</v>
      </c>
      <c r="R316" s="308" t="s">
        <v>4367</v>
      </c>
      <c r="S316" s="308">
        <v>80.0</v>
      </c>
      <c r="T316" s="311"/>
      <c r="U316" s="308" t="s">
        <v>5295</v>
      </c>
      <c r="V316" s="308" t="b">
        <v>1</v>
      </c>
      <c r="W316" s="308" t="b">
        <v>1</v>
      </c>
      <c r="X316" s="308"/>
      <c r="Y316" s="308" t="s">
        <v>5464</v>
      </c>
      <c r="Z316" s="308" t="s">
        <v>5465</v>
      </c>
      <c r="AA316" s="308" t="s">
        <v>5465</v>
      </c>
      <c r="AB316" s="308"/>
      <c r="AC316" s="308"/>
      <c r="AD316" s="308" t="s">
        <v>3228</v>
      </c>
      <c r="AE316" s="308">
        <v>90144.0</v>
      </c>
      <c r="AF316" s="308" t="s">
        <v>3227</v>
      </c>
      <c r="AG316" s="308" t="s">
        <v>2955</v>
      </c>
      <c r="AH316" s="308">
        <v>3.27409299E9</v>
      </c>
      <c r="AI316" s="308" t="s">
        <v>5464</v>
      </c>
      <c r="AJ316" s="308" t="s">
        <v>5465</v>
      </c>
      <c r="AK316" s="308" t="s">
        <v>5465</v>
      </c>
      <c r="AL316" s="308"/>
      <c r="AM316" s="308"/>
      <c r="AN316" s="308" t="s">
        <v>3228</v>
      </c>
      <c r="AO316" s="308">
        <v>90144.0</v>
      </c>
      <c r="AP316" s="308" t="s">
        <v>3227</v>
      </c>
      <c r="AQ316" s="308" t="s">
        <v>2955</v>
      </c>
      <c r="AR316" s="308">
        <v>3.27409299E9</v>
      </c>
      <c r="AS316" s="311"/>
      <c r="AT316" s="311"/>
      <c r="AU316" s="311"/>
      <c r="AV316" s="308" t="s">
        <v>2956</v>
      </c>
      <c r="AW316" s="308">
        <v>4.7935573098823E13</v>
      </c>
      <c r="AX316" s="310">
        <v>0.0</v>
      </c>
      <c r="AY316" s="308" t="s">
        <v>2974</v>
      </c>
      <c r="AZ316" s="308">
        <v>0.0</v>
      </c>
      <c r="BA316" s="311"/>
      <c r="BB316" s="311"/>
      <c r="BC316" s="311"/>
      <c r="BD316" s="308">
        <v>7.811991863623E12</v>
      </c>
      <c r="BE316" s="311"/>
      <c r="BF316" s="311"/>
      <c r="BG316" s="308" t="s">
        <v>2958</v>
      </c>
      <c r="BH316" s="308">
        <v>0.0</v>
      </c>
      <c r="BI316" s="308" t="s">
        <v>2959</v>
      </c>
      <c r="BJ316" s="308">
        <v>12.98</v>
      </c>
      <c r="BK316" s="311"/>
      <c r="BL316" s="311"/>
      <c r="BM316" s="311"/>
      <c r="BN316" s="311"/>
      <c r="BO316" s="311"/>
      <c r="BP316" s="311"/>
      <c r="BQ316" s="311"/>
      <c r="BR316" s="311"/>
      <c r="BS316" s="308"/>
      <c r="BT316" s="311"/>
      <c r="BU316" s="311"/>
      <c r="BV316" s="308" t="s">
        <v>3228</v>
      </c>
      <c r="BW316" s="308" t="s">
        <v>3228</v>
      </c>
      <c r="BX316" s="308" t="s">
        <v>2956</v>
      </c>
      <c r="BY316" s="311"/>
      <c r="BZ316" s="311"/>
      <c r="CA316" s="308" t="s">
        <v>2956</v>
      </c>
      <c r="CB316" s="312" t="str">
        <f t="shared" si="1"/>
        <v>07/06/2026</v>
      </c>
      <c r="CC316" s="313">
        <f t="shared" si="2"/>
        <v>2026</v>
      </c>
      <c r="CD316" s="314">
        <f t="shared" si="3"/>
        <v>6</v>
      </c>
      <c r="CE316" s="314">
        <f t="shared" si="4"/>
        <v>1</v>
      </c>
      <c r="CF316" s="314">
        <f t="shared" si="5"/>
        <v>1</v>
      </c>
      <c r="CG316" s="314">
        <f t="shared" si="6"/>
        <v>0</v>
      </c>
      <c r="CH316" s="315">
        <f>VLOOKUP(CL316,'PRODUCT_COGS&amp;PRICE'!A:E,5,false)</f>
        <v>19</v>
      </c>
      <c r="CI316" s="315">
        <f t="shared" si="7"/>
        <v>-1.6921</v>
      </c>
      <c r="CJ316" s="316">
        <f t="shared" si="8"/>
        <v>0</v>
      </c>
      <c r="CK316" s="316">
        <f t="shared" si="9"/>
        <v>8</v>
      </c>
      <c r="CL316" s="314" t="str">
        <f>VLOOKUP(R316,PRODUCT_MAP!A:B,2,FALSE)</f>
        <v>Agata_Bag_ROSE_BLUE</v>
      </c>
      <c r="CM316" s="314" t="str">
        <f>VLOOKUP(R316,PRODUCT_MAP!A:E,3,FALSE)</f>
        <v>Agata Bag</v>
      </c>
    </row>
    <row r="317" ht="22.5" customHeight="1">
      <c r="A317" s="308" t="s">
        <v>5466</v>
      </c>
      <c r="B317" s="308" t="s">
        <v>5467</v>
      </c>
      <c r="C317" s="308" t="s">
        <v>2942</v>
      </c>
      <c r="D317" s="308" t="s">
        <v>5468</v>
      </c>
      <c r="E317" s="308" t="s">
        <v>3013</v>
      </c>
      <c r="F317" s="308"/>
      <c r="G317" s="308" t="s">
        <v>2946</v>
      </c>
      <c r="H317" s="308" t="s">
        <v>2947</v>
      </c>
      <c r="I317" s="308">
        <v>108.0</v>
      </c>
      <c r="J317" s="308">
        <v>0.0</v>
      </c>
      <c r="K317" s="308">
        <v>19.48</v>
      </c>
      <c r="L317" s="308">
        <v>108.0</v>
      </c>
      <c r="M317" s="308" t="s">
        <v>3094</v>
      </c>
      <c r="N317" s="308">
        <v>12.0</v>
      </c>
      <c r="O317" s="308" t="s">
        <v>2948</v>
      </c>
      <c r="P317" s="308" t="s">
        <v>5468</v>
      </c>
      <c r="Q317" s="310">
        <v>1.0</v>
      </c>
      <c r="R317" s="308" t="s">
        <v>534</v>
      </c>
      <c r="S317" s="308">
        <v>120.0</v>
      </c>
      <c r="T317" s="311"/>
      <c r="U317" s="308" t="s">
        <v>293</v>
      </c>
      <c r="V317" s="308" t="b">
        <v>1</v>
      </c>
      <c r="W317" s="308" t="b">
        <v>1</v>
      </c>
      <c r="X317" s="308"/>
      <c r="Y317" s="308" t="s">
        <v>5469</v>
      </c>
      <c r="Z317" s="308" t="s">
        <v>5470</v>
      </c>
      <c r="AA317" s="308" t="s">
        <v>5470</v>
      </c>
      <c r="AB317" s="308"/>
      <c r="AC317" s="308"/>
      <c r="AD317" s="308" t="s">
        <v>2971</v>
      </c>
      <c r="AE317" s="308">
        <v>37131.0</v>
      </c>
      <c r="AF317" s="308" t="s">
        <v>2972</v>
      </c>
      <c r="AG317" s="308" t="s">
        <v>2955</v>
      </c>
      <c r="AH317" s="308">
        <v>3.406493806E9</v>
      </c>
      <c r="AI317" s="308" t="s">
        <v>5469</v>
      </c>
      <c r="AJ317" s="308" t="s">
        <v>5470</v>
      </c>
      <c r="AK317" s="308" t="s">
        <v>5470</v>
      </c>
      <c r="AL317" s="308"/>
      <c r="AM317" s="308"/>
      <c r="AN317" s="308" t="s">
        <v>2971</v>
      </c>
      <c r="AO317" s="308">
        <v>37131.0</v>
      </c>
      <c r="AP317" s="308" t="s">
        <v>2972</v>
      </c>
      <c r="AQ317" s="308" t="s">
        <v>2955</v>
      </c>
      <c r="AR317" s="308">
        <v>3.406493806E9</v>
      </c>
      <c r="AS317" s="311"/>
      <c r="AT317" s="311"/>
      <c r="AU317" s="311"/>
      <c r="AV317" s="308" t="s">
        <v>3009</v>
      </c>
      <c r="AW317" s="308">
        <v>4.7935742214471E13</v>
      </c>
      <c r="AX317" s="310">
        <v>0.0</v>
      </c>
      <c r="AY317" s="308" t="s">
        <v>2974</v>
      </c>
      <c r="AZ317" s="308">
        <v>0.0</v>
      </c>
      <c r="BA317" s="311"/>
      <c r="BB317" s="311"/>
      <c r="BC317" s="311"/>
      <c r="BD317" s="308">
        <v>7.812105077063E12</v>
      </c>
      <c r="BE317" s="311"/>
      <c r="BF317" s="311"/>
      <c r="BG317" s="308" t="s">
        <v>2958</v>
      </c>
      <c r="BH317" s="308">
        <v>0.0</v>
      </c>
      <c r="BI317" s="308" t="s">
        <v>2959</v>
      </c>
      <c r="BJ317" s="308">
        <v>19.48</v>
      </c>
      <c r="BK317" s="311"/>
      <c r="BL317" s="311"/>
      <c r="BM317" s="311"/>
      <c r="BN317" s="311"/>
      <c r="BO317" s="311"/>
      <c r="BP317" s="311"/>
      <c r="BQ317" s="311"/>
      <c r="BR317" s="311"/>
      <c r="BS317" s="308"/>
      <c r="BT317" s="311"/>
      <c r="BU317" s="311"/>
      <c r="BV317" s="308" t="s">
        <v>2971</v>
      </c>
      <c r="BW317" s="308" t="s">
        <v>2971</v>
      </c>
      <c r="BX317" s="308" t="s">
        <v>3009</v>
      </c>
      <c r="BY317" s="311"/>
      <c r="BZ317" s="311"/>
      <c r="CA317" s="308" t="s">
        <v>3009</v>
      </c>
      <c r="CB317" s="312" t="str">
        <f t="shared" si="1"/>
        <v>07/06/2026</v>
      </c>
      <c r="CC317" s="313">
        <f t="shared" si="2"/>
        <v>2026</v>
      </c>
      <c r="CD317" s="314">
        <f t="shared" si="3"/>
        <v>6</v>
      </c>
      <c r="CE317" s="314">
        <f t="shared" si="4"/>
        <v>1</v>
      </c>
      <c r="CF317" s="314">
        <f t="shared" si="5"/>
        <v>1</v>
      </c>
      <c r="CG317" s="314">
        <f t="shared" si="6"/>
        <v>-5</v>
      </c>
      <c r="CH317" s="315">
        <f>VLOOKUP(CL317,'PRODUCT_COGS&amp;PRICE'!A:E,5,false)</f>
        <v>20</v>
      </c>
      <c r="CI317" s="315">
        <f t="shared" si="7"/>
        <v>-4.1192</v>
      </c>
      <c r="CJ317" s="316">
        <f t="shared" si="8"/>
        <v>0</v>
      </c>
      <c r="CK317" s="316">
        <f t="shared" si="9"/>
        <v>12</v>
      </c>
      <c r="CL317" s="314" t="str">
        <f>VLOOKUP(R317,PRODUCT_MAP!A:B,2,FALSE)</f>
        <v>Lea_Bag_COCCO_PURPLE</v>
      </c>
      <c r="CM317" s="314" t="str">
        <f>VLOOKUP(R317,PRODUCT_MAP!A:E,3,FALSE)</f>
        <v>Lea Bag</v>
      </c>
    </row>
    <row r="318" ht="22.5" customHeight="1">
      <c r="A318" s="308" t="s">
        <v>5471</v>
      </c>
      <c r="B318" s="308" t="s">
        <v>5472</v>
      </c>
      <c r="C318" s="308" t="s">
        <v>2942</v>
      </c>
      <c r="D318" s="308" t="s">
        <v>5473</v>
      </c>
      <c r="E318" s="308" t="s">
        <v>3013</v>
      </c>
      <c r="F318" s="308"/>
      <c r="G318" s="308" t="s">
        <v>2946</v>
      </c>
      <c r="H318" s="308" t="s">
        <v>2947</v>
      </c>
      <c r="I318" s="308">
        <v>120.0</v>
      </c>
      <c r="J318" s="308">
        <v>0.0</v>
      </c>
      <c r="K318" s="308">
        <v>21.64</v>
      </c>
      <c r="L318" s="308">
        <v>120.0</v>
      </c>
      <c r="M318" s="308"/>
      <c r="N318" s="308">
        <v>0.0</v>
      </c>
      <c r="O318" s="308" t="s">
        <v>2979</v>
      </c>
      <c r="P318" s="308" t="s">
        <v>5474</v>
      </c>
      <c r="Q318" s="310">
        <v>1.0</v>
      </c>
      <c r="R318" s="308" t="s">
        <v>569</v>
      </c>
      <c r="S318" s="308">
        <v>120.0</v>
      </c>
      <c r="T318" s="311"/>
      <c r="U318" s="308" t="s">
        <v>3375</v>
      </c>
      <c r="V318" s="308" t="b">
        <v>1</v>
      </c>
      <c r="W318" s="308" t="b">
        <v>1</v>
      </c>
      <c r="X318" s="308"/>
      <c r="Y318" s="308" t="s">
        <v>5475</v>
      </c>
      <c r="Z318" s="308" t="s">
        <v>5476</v>
      </c>
      <c r="AA318" s="308" t="s">
        <v>5476</v>
      </c>
      <c r="AB318" s="308"/>
      <c r="AC318" s="308"/>
      <c r="AD318" s="308" t="s">
        <v>23</v>
      </c>
      <c r="AE318" s="308">
        <v>20146.0</v>
      </c>
      <c r="AF318" s="308" t="s">
        <v>2954</v>
      </c>
      <c r="AG318" s="308" t="s">
        <v>2955</v>
      </c>
      <c r="AH318" s="308"/>
      <c r="AI318" s="308"/>
      <c r="AJ318" s="308"/>
      <c r="AK318" s="308"/>
      <c r="AL318" s="308"/>
      <c r="AM318" s="308"/>
      <c r="AN318" s="308"/>
      <c r="AO318" s="308"/>
      <c r="AP318" s="308"/>
      <c r="AQ318" s="308"/>
      <c r="AR318" s="308"/>
      <c r="AS318" s="311"/>
      <c r="AT318" s="311"/>
      <c r="AU318" s="311"/>
      <c r="AV318" s="308" t="s">
        <v>2956</v>
      </c>
      <c r="AW318" s="308">
        <v>4.7937642332487E13</v>
      </c>
      <c r="AX318" s="310">
        <v>0.0</v>
      </c>
      <c r="AY318" s="308" t="s">
        <v>2974</v>
      </c>
      <c r="AZ318" s="308">
        <v>0.0</v>
      </c>
      <c r="BA318" s="311"/>
      <c r="BB318" s="311"/>
      <c r="BC318" s="311"/>
      <c r="BD318" s="308">
        <v>7.813022187847E12</v>
      </c>
      <c r="BE318" s="311"/>
      <c r="BF318" s="311"/>
      <c r="BG318" s="308" t="s">
        <v>2958</v>
      </c>
      <c r="BH318" s="308">
        <v>0.0</v>
      </c>
      <c r="BI318" s="308" t="s">
        <v>2959</v>
      </c>
      <c r="BJ318" s="308">
        <v>21.64</v>
      </c>
      <c r="BK318" s="311"/>
      <c r="BL318" s="311"/>
      <c r="BM318" s="311"/>
      <c r="BN318" s="311"/>
      <c r="BO318" s="311"/>
      <c r="BP318" s="311"/>
      <c r="BQ318" s="311"/>
      <c r="BR318" s="311"/>
      <c r="BS318" s="308"/>
      <c r="BT318" s="311"/>
      <c r="BU318" s="311"/>
      <c r="BV318" s="308" t="s">
        <v>23</v>
      </c>
      <c r="BW318" s="308"/>
      <c r="BX318" s="308" t="s">
        <v>2956</v>
      </c>
      <c r="BY318" s="311"/>
      <c r="BZ318" s="311"/>
      <c r="CA318" s="308" t="s">
        <v>2956</v>
      </c>
      <c r="CB318" s="312" t="str">
        <f t="shared" si="1"/>
        <v>07/06/2026</v>
      </c>
      <c r="CC318" s="313">
        <f t="shared" si="2"/>
        <v>2026</v>
      </c>
      <c r="CD318" s="314">
        <f t="shared" si="3"/>
        <v>6</v>
      </c>
      <c r="CE318" s="314">
        <f t="shared" si="4"/>
        <v>1</v>
      </c>
      <c r="CF318" s="314">
        <f t="shared" si="5"/>
        <v>1</v>
      </c>
      <c r="CG318" s="314">
        <f t="shared" si="6"/>
        <v>-5</v>
      </c>
      <c r="CH318" s="315">
        <f>VLOOKUP(CL318,'PRODUCT_COGS&amp;PRICE'!A:E,5,false)</f>
        <v>20</v>
      </c>
      <c r="CI318" s="315">
        <f t="shared" si="7"/>
        <v>-2.53</v>
      </c>
      <c r="CJ318" s="316">
        <f t="shared" si="8"/>
        <v>0</v>
      </c>
      <c r="CK318" s="316">
        <f t="shared" si="9"/>
        <v>0</v>
      </c>
      <c r="CL318" s="314" t="str">
        <f>VLOOKUP(R318,PRODUCT_MAP!A:B,2,FALSE)</f>
        <v>Lea_Bag_RED_PATENT</v>
      </c>
      <c r="CM318" s="314" t="str">
        <f>VLOOKUP(R318,PRODUCT_MAP!A:E,3,FALSE)</f>
        <v>Lea Bag</v>
      </c>
    </row>
    <row r="319" ht="22.5" customHeight="1">
      <c r="A319" s="308" t="s">
        <v>5477</v>
      </c>
      <c r="B319" s="308" t="s">
        <v>5478</v>
      </c>
      <c r="C319" s="308" t="s">
        <v>2942</v>
      </c>
      <c r="D319" s="308" t="s">
        <v>5479</v>
      </c>
      <c r="E319" s="308" t="s">
        <v>3013</v>
      </c>
      <c r="F319" s="308"/>
      <c r="G319" s="308" t="s">
        <v>2946</v>
      </c>
      <c r="H319" s="308" t="s">
        <v>2947</v>
      </c>
      <c r="I319" s="308">
        <v>261.0</v>
      </c>
      <c r="J319" s="308">
        <v>0.0</v>
      </c>
      <c r="K319" s="308">
        <v>47.07</v>
      </c>
      <c r="L319" s="308">
        <v>261.0</v>
      </c>
      <c r="M319" s="308" t="s">
        <v>3094</v>
      </c>
      <c r="N319" s="308">
        <v>29.0</v>
      </c>
      <c r="O319" s="308" t="s">
        <v>2948</v>
      </c>
      <c r="P319" s="308" t="s">
        <v>5480</v>
      </c>
      <c r="Q319" s="310">
        <v>1.0</v>
      </c>
      <c r="R319" s="308" t="s">
        <v>564</v>
      </c>
      <c r="S319" s="308">
        <v>170.0</v>
      </c>
      <c r="T319" s="311"/>
      <c r="U319" s="308" t="s">
        <v>5252</v>
      </c>
      <c r="V319" s="308" t="b">
        <v>1</v>
      </c>
      <c r="W319" s="308" t="b">
        <v>1</v>
      </c>
      <c r="X319" s="308"/>
      <c r="Y319" s="308" t="s">
        <v>5481</v>
      </c>
      <c r="Z319" s="308" t="s">
        <v>5482</v>
      </c>
      <c r="AA319" s="308" t="s">
        <v>5482</v>
      </c>
      <c r="AB319" s="308"/>
      <c r="AC319" s="308"/>
      <c r="AD319" s="308" t="s">
        <v>23</v>
      </c>
      <c r="AE319" s="308">
        <v>20137.0</v>
      </c>
      <c r="AF319" s="308" t="s">
        <v>2954</v>
      </c>
      <c r="AG319" s="308" t="s">
        <v>2955</v>
      </c>
      <c r="AH319" s="308">
        <v>3.48785864E9</v>
      </c>
      <c r="AI319" s="308" t="s">
        <v>5481</v>
      </c>
      <c r="AJ319" s="308" t="s">
        <v>5482</v>
      </c>
      <c r="AK319" s="308" t="s">
        <v>5482</v>
      </c>
      <c r="AL319" s="308"/>
      <c r="AM319" s="308"/>
      <c r="AN319" s="308" t="s">
        <v>23</v>
      </c>
      <c r="AO319" s="308">
        <v>20137.0</v>
      </c>
      <c r="AP319" s="308" t="s">
        <v>2954</v>
      </c>
      <c r="AQ319" s="308" t="s">
        <v>2955</v>
      </c>
      <c r="AR319" s="308">
        <v>3.48785864E9</v>
      </c>
      <c r="AS319" s="311"/>
      <c r="AT319" s="311"/>
      <c r="AU319" s="311"/>
      <c r="AV319" s="308" t="s">
        <v>3009</v>
      </c>
      <c r="AW319" s="308">
        <v>4.7933403464007E13</v>
      </c>
      <c r="AX319" s="310">
        <v>0.0</v>
      </c>
      <c r="AY319" s="308" t="s">
        <v>2974</v>
      </c>
      <c r="AZ319" s="308">
        <v>0.0</v>
      </c>
      <c r="BA319" s="311"/>
      <c r="BB319" s="311"/>
      <c r="BC319" s="311"/>
      <c r="BD319" s="308">
        <v>7.813194056007E12</v>
      </c>
      <c r="BE319" s="311"/>
      <c r="BF319" s="311"/>
      <c r="BG319" s="308" t="s">
        <v>2958</v>
      </c>
      <c r="BH319" s="308">
        <v>0.0</v>
      </c>
      <c r="BI319" s="308" t="s">
        <v>2959</v>
      </c>
      <c r="BJ319" s="308">
        <v>27.59</v>
      </c>
      <c r="BK319" s="311"/>
      <c r="BL319" s="311"/>
      <c r="BM319" s="311"/>
      <c r="BN319" s="311"/>
      <c r="BO319" s="311"/>
      <c r="BP319" s="311"/>
      <c r="BQ319" s="311"/>
      <c r="BR319" s="311"/>
      <c r="BS319" s="308"/>
      <c r="BT319" s="311"/>
      <c r="BU319" s="311"/>
      <c r="BV319" s="308" t="s">
        <v>23</v>
      </c>
      <c r="BW319" s="308" t="s">
        <v>23</v>
      </c>
      <c r="BX319" s="308" t="s">
        <v>3009</v>
      </c>
      <c r="BY319" s="311"/>
      <c r="BZ319" s="311"/>
      <c r="CA319" s="308" t="s">
        <v>3009</v>
      </c>
      <c r="CB319" s="312" t="str">
        <f t="shared" si="1"/>
        <v>07/06/2026</v>
      </c>
      <c r="CC319" s="313">
        <f t="shared" si="2"/>
        <v>2026</v>
      </c>
      <c r="CD319" s="314">
        <f t="shared" si="3"/>
        <v>6</v>
      </c>
      <c r="CE319" s="314">
        <f t="shared" si="4"/>
        <v>1</v>
      </c>
      <c r="CF319" s="314">
        <f t="shared" si="5"/>
        <v>1</v>
      </c>
      <c r="CG319" s="314">
        <f t="shared" si="6"/>
        <v>-5</v>
      </c>
      <c r="CH319" s="315">
        <f>VLOOKUP(CL319,'PRODUCT_COGS&amp;PRICE'!A:E,5,false)</f>
        <v>30</v>
      </c>
      <c r="CI319" s="315">
        <f t="shared" si="7"/>
        <v>-18.5678</v>
      </c>
      <c r="CJ319" s="316">
        <f t="shared" si="8"/>
        <v>0</v>
      </c>
      <c r="CK319" s="316">
        <f t="shared" si="9"/>
        <v>29</v>
      </c>
      <c r="CL319" s="314" t="str">
        <f>VLOOKUP(R319,PRODUCT_MAP!A:B,2,FALSE)</f>
        <v>Lea_Bag_Maxi_SUEDE_CHOCOLATE_CHARM</v>
      </c>
      <c r="CM319" s="314" t="str">
        <f>VLOOKUP(R319,PRODUCT_MAP!A:E,3,FALSE)</f>
        <v>Lea Bag Maxi</v>
      </c>
    </row>
    <row r="320" ht="22.5" customHeight="1">
      <c r="A320" s="308" t="s">
        <v>5477</v>
      </c>
      <c r="B320" s="308" t="s">
        <v>5478</v>
      </c>
      <c r="C320" s="308" t="s">
        <v>2942</v>
      </c>
      <c r="D320" s="308" t="s">
        <v>5479</v>
      </c>
      <c r="E320" s="308" t="s">
        <v>3013</v>
      </c>
      <c r="F320" s="308"/>
      <c r="G320" s="308" t="s">
        <v>2946</v>
      </c>
      <c r="H320" s="308" t="s">
        <v>2947</v>
      </c>
      <c r="I320" s="308">
        <v>261.0</v>
      </c>
      <c r="J320" s="308">
        <v>0.0</v>
      </c>
      <c r="K320" s="308">
        <v>47.07</v>
      </c>
      <c r="L320" s="308">
        <v>261.0</v>
      </c>
      <c r="M320" s="308" t="s">
        <v>3094</v>
      </c>
      <c r="N320" s="308">
        <v>29.0</v>
      </c>
      <c r="O320" s="308" t="s">
        <v>2948</v>
      </c>
      <c r="P320" s="308" t="s">
        <v>5480</v>
      </c>
      <c r="Q320" s="310">
        <v>1.0</v>
      </c>
      <c r="R320" s="308" t="s">
        <v>519</v>
      </c>
      <c r="S320" s="308">
        <v>120.0</v>
      </c>
      <c r="T320" s="311"/>
      <c r="U320" s="308" t="s">
        <v>291</v>
      </c>
      <c r="V320" s="308" t="b">
        <v>1</v>
      </c>
      <c r="W320" s="308" t="b">
        <v>1</v>
      </c>
      <c r="X320" s="308"/>
      <c r="Y320" s="308" t="s">
        <v>5481</v>
      </c>
      <c r="Z320" s="308" t="s">
        <v>5482</v>
      </c>
      <c r="AA320" s="308" t="s">
        <v>5482</v>
      </c>
      <c r="AB320" s="308"/>
      <c r="AC320" s="308"/>
      <c r="AD320" s="308" t="s">
        <v>23</v>
      </c>
      <c r="AE320" s="308">
        <v>20137.0</v>
      </c>
      <c r="AF320" s="308" t="s">
        <v>2954</v>
      </c>
      <c r="AG320" s="308" t="s">
        <v>2955</v>
      </c>
      <c r="AH320" s="308">
        <v>3.48785864E9</v>
      </c>
      <c r="AI320" s="308" t="s">
        <v>5481</v>
      </c>
      <c r="AJ320" s="308" t="s">
        <v>5482</v>
      </c>
      <c r="AK320" s="308" t="s">
        <v>5482</v>
      </c>
      <c r="AL320" s="308"/>
      <c r="AM320" s="308"/>
      <c r="AN320" s="308" t="s">
        <v>23</v>
      </c>
      <c r="AO320" s="308">
        <v>20137.0</v>
      </c>
      <c r="AP320" s="308" t="s">
        <v>2954</v>
      </c>
      <c r="AQ320" s="308" t="s">
        <v>2955</v>
      </c>
      <c r="AR320" s="308">
        <v>3.48785864E9</v>
      </c>
      <c r="AS320" s="311"/>
      <c r="AT320" s="311"/>
      <c r="AU320" s="311"/>
      <c r="AV320" s="308" t="s">
        <v>3009</v>
      </c>
      <c r="AW320" s="308">
        <v>4.7933403464007E13</v>
      </c>
      <c r="AX320" s="310">
        <v>0.0</v>
      </c>
      <c r="AY320" s="308" t="s">
        <v>2974</v>
      </c>
      <c r="AZ320" s="308">
        <v>0.0</v>
      </c>
      <c r="BA320" s="311"/>
      <c r="BB320" s="311"/>
      <c r="BC320" s="311"/>
      <c r="BD320" s="308">
        <v>7.813194056007E12</v>
      </c>
      <c r="BE320" s="311"/>
      <c r="BF320" s="311"/>
      <c r="BG320" s="308" t="s">
        <v>2958</v>
      </c>
      <c r="BH320" s="308">
        <v>0.0</v>
      </c>
      <c r="BI320" s="308" t="s">
        <v>2959</v>
      </c>
      <c r="BJ320" s="308">
        <v>19.48</v>
      </c>
      <c r="BK320" s="311"/>
      <c r="BL320" s="311"/>
      <c r="BM320" s="311"/>
      <c r="BN320" s="311"/>
      <c r="BO320" s="311"/>
      <c r="BP320" s="311"/>
      <c r="BQ320" s="311"/>
      <c r="BR320" s="311"/>
      <c r="BS320" s="308"/>
      <c r="BT320" s="311"/>
      <c r="BU320" s="311"/>
      <c r="BV320" s="308" t="s">
        <v>23</v>
      </c>
      <c r="BW320" s="308" t="s">
        <v>23</v>
      </c>
      <c r="BX320" s="308" t="s">
        <v>3009</v>
      </c>
      <c r="BY320" s="311"/>
      <c r="BZ320" s="311"/>
      <c r="CA320" s="308" t="s">
        <v>3009</v>
      </c>
      <c r="CB320" s="312" t="str">
        <f t="shared" si="1"/>
        <v>07/06/2026</v>
      </c>
      <c r="CC320" s="313">
        <f t="shared" si="2"/>
        <v>2026</v>
      </c>
      <c r="CD320" s="314">
        <f t="shared" si="3"/>
        <v>6</v>
      </c>
      <c r="CE320" s="314">
        <f t="shared" si="4"/>
        <v>0</v>
      </c>
      <c r="CF320" s="314">
        <f t="shared" si="5"/>
        <v>1</v>
      </c>
      <c r="CG320" s="314">
        <f t="shared" si="6"/>
        <v>-5</v>
      </c>
      <c r="CH320" s="315">
        <f>VLOOKUP(CL320,'PRODUCT_COGS&amp;PRICE'!A:E,5,false)</f>
        <v>20</v>
      </c>
      <c r="CI320" s="315">
        <f t="shared" si="7"/>
        <v>0</v>
      </c>
      <c r="CJ320" s="316">
        <f t="shared" si="8"/>
        <v>0</v>
      </c>
      <c r="CK320" s="316">
        <f t="shared" si="9"/>
        <v>29</v>
      </c>
      <c r="CL320" s="314" t="str">
        <f>VLOOKUP(R320,PRODUCT_MAP!A:B,2,FALSE)</f>
        <v>Lea_Bag_COCCO_BEIGE</v>
      </c>
      <c r="CM320" s="314" t="str">
        <f>VLOOKUP(R320,PRODUCT_MAP!A:E,3,FALSE)</f>
        <v>Lea Bag</v>
      </c>
    </row>
    <row r="321" ht="22.5" customHeight="1">
      <c r="A321" s="308" t="s">
        <v>5483</v>
      </c>
      <c r="B321" s="308" t="s">
        <v>5484</v>
      </c>
      <c r="C321" s="308" t="s">
        <v>2942</v>
      </c>
      <c r="D321" s="308" t="s">
        <v>5485</v>
      </c>
      <c r="E321" s="308" t="s">
        <v>3013</v>
      </c>
      <c r="F321" s="308"/>
      <c r="G321" s="308" t="s">
        <v>2965</v>
      </c>
      <c r="H321" s="308" t="s">
        <v>2947</v>
      </c>
      <c r="I321" s="308">
        <v>63.0</v>
      </c>
      <c r="J321" s="308">
        <v>3.9</v>
      </c>
      <c r="K321" s="308">
        <v>12.06</v>
      </c>
      <c r="L321" s="308">
        <v>66.9</v>
      </c>
      <c r="M321" s="308" t="s">
        <v>5486</v>
      </c>
      <c r="N321" s="308">
        <v>7.0</v>
      </c>
      <c r="O321" s="308" t="s">
        <v>2948</v>
      </c>
      <c r="P321" s="308" t="s">
        <v>5487</v>
      </c>
      <c r="Q321" s="310">
        <v>1.0</v>
      </c>
      <c r="R321" s="308" t="s">
        <v>692</v>
      </c>
      <c r="S321" s="308">
        <v>70.0</v>
      </c>
      <c r="T321" s="311"/>
      <c r="U321" s="308" t="s">
        <v>44</v>
      </c>
      <c r="V321" s="308" t="b">
        <v>1</v>
      </c>
      <c r="W321" s="308" t="b">
        <v>1</v>
      </c>
      <c r="X321" s="308"/>
      <c r="Y321" s="308" t="s">
        <v>3771</v>
      </c>
      <c r="Z321" s="308" t="s">
        <v>5488</v>
      </c>
      <c r="AA321" s="308" t="s">
        <v>5488</v>
      </c>
      <c r="AB321" s="308"/>
      <c r="AC321" s="308"/>
      <c r="AD321" s="308" t="s">
        <v>3775</v>
      </c>
      <c r="AE321" s="308">
        <v>67100.0</v>
      </c>
      <c r="AF321" s="308" t="s">
        <v>3776</v>
      </c>
      <c r="AG321" s="308" t="s">
        <v>2955</v>
      </c>
      <c r="AH321" s="308">
        <v>3.496570869E9</v>
      </c>
      <c r="AI321" s="308" t="s">
        <v>3771</v>
      </c>
      <c r="AJ321" s="308" t="s">
        <v>5488</v>
      </c>
      <c r="AK321" s="308" t="s">
        <v>5488</v>
      </c>
      <c r="AL321" s="308"/>
      <c r="AM321" s="308"/>
      <c r="AN321" s="308" t="s">
        <v>3775</v>
      </c>
      <c r="AO321" s="308">
        <v>67100.0</v>
      </c>
      <c r="AP321" s="308" t="s">
        <v>3776</v>
      </c>
      <c r="AQ321" s="308" t="s">
        <v>2955</v>
      </c>
      <c r="AR321" s="308">
        <v>3.496570869E9</v>
      </c>
      <c r="AS321" s="311"/>
      <c r="AT321" s="311"/>
      <c r="AU321" s="311"/>
      <c r="AV321" s="308" t="s">
        <v>3009</v>
      </c>
      <c r="AW321" s="308">
        <v>4.7938625143111E13</v>
      </c>
      <c r="AX321" s="310">
        <v>0.0</v>
      </c>
      <c r="AY321" s="308" t="s">
        <v>2974</v>
      </c>
      <c r="AZ321" s="308">
        <v>0.0</v>
      </c>
      <c r="BA321" s="311"/>
      <c r="BB321" s="311"/>
      <c r="BC321" s="311"/>
      <c r="BD321" s="308">
        <v>7.813508268359E12</v>
      </c>
      <c r="BE321" s="311"/>
      <c r="BF321" s="311"/>
      <c r="BG321" s="308" t="s">
        <v>2958</v>
      </c>
      <c r="BH321" s="308">
        <v>0.0</v>
      </c>
      <c r="BI321" s="308" t="s">
        <v>2959</v>
      </c>
      <c r="BJ321" s="308">
        <v>11.36</v>
      </c>
      <c r="BK321" s="311"/>
      <c r="BL321" s="311"/>
      <c r="BM321" s="311"/>
      <c r="BN321" s="311"/>
      <c r="BO321" s="311"/>
      <c r="BP321" s="311"/>
      <c r="BQ321" s="311"/>
      <c r="BR321" s="311"/>
      <c r="BS321" s="308"/>
      <c r="BT321" s="311"/>
      <c r="BU321" s="311"/>
      <c r="BV321" s="308" t="s">
        <v>3775</v>
      </c>
      <c r="BW321" s="308" t="s">
        <v>3775</v>
      </c>
      <c r="BX321" s="308" t="s">
        <v>3009</v>
      </c>
      <c r="BY321" s="311"/>
      <c r="BZ321" s="311"/>
      <c r="CA321" s="308" t="s">
        <v>3009</v>
      </c>
      <c r="CB321" s="312" t="str">
        <f t="shared" si="1"/>
        <v>07/06/2026</v>
      </c>
      <c r="CC321" s="313">
        <f t="shared" si="2"/>
        <v>2026</v>
      </c>
      <c r="CD321" s="314">
        <f t="shared" si="3"/>
        <v>6</v>
      </c>
      <c r="CE321" s="314">
        <f t="shared" si="4"/>
        <v>1</v>
      </c>
      <c r="CF321" s="314">
        <f t="shared" si="5"/>
        <v>1</v>
      </c>
      <c r="CG321" s="314">
        <f t="shared" si="6"/>
        <v>0</v>
      </c>
      <c r="CH321" s="315">
        <f>VLOOKUP(CL321,'PRODUCT_COGS&amp;PRICE'!A:E,5,false)</f>
        <v>14.58</v>
      </c>
      <c r="CI321" s="315">
        <f t="shared" si="7"/>
        <v>-2.68481</v>
      </c>
      <c r="CJ321" s="316">
        <f t="shared" si="8"/>
        <v>0</v>
      </c>
      <c r="CK321" s="316">
        <f t="shared" si="9"/>
        <v>7</v>
      </c>
      <c r="CL321" s="314" t="str">
        <f>VLOOKUP(R321,PRODUCT_MAP!A:B,2,FALSE)</f>
        <v>Nina_Bag_Maxi_STRIPES_REED</v>
      </c>
      <c r="CM321" s="314" t="str">
        <f>VLOOKUP(R321,PRODUCT_MAP!A:E,3,FALSE)</f>
        <v>Nina Bag Maxi</v>
      </c>
    </row>
    <row r="322" ht="22.5" customHeight="1">
      <c r="A322" s="308" t="s">
        <v>5489</v>
      </c>
      <c r="B322" s="308" t="s">
        <v>5490</v>
      </c>
      <c r="C322" s="308" t="s">
        <v>2942</v>
      </c>
      <c r="D322" s="308" t="s">
        <v>5491</v>
      </c>
      <c r="E322" s="308" t="s">
        <v>3013</v>
      </c>
      <c r="F322" s="308"/>
      <c r="G322" s="308" t="s">
        <v>2946</v>
      </c>
      <c r="H322" s="308" t="s">
        <v>2947</v>
      </c>
      <c r="I322" s="308">
        <v>72.0</v>
      </c>
      <c r="J322" s="308">
        <v>3.9</v>
      </c>
      <c r="K322" s="308">
        <v>13.68</v>
      </c>
      <c r="L322" s="308">
        <v>75.9</v>
      </c>
      <c r="M322" s="308" t="s">
        <v>3094</v>
      </c>
      <c r="N322" s="308">
        <v>8.0</v>
      </c>
      <c r="O322" s="308" t="s">
        <v>2948</v>
      </c>
      <c r="P322" s="308" t="s">
        <v>5492</v>
      </c>
      <c r="Q322" s="310">
        <v>1.0</v>
      </c>
      <c r="R322" s="308" t="s">
        <v>4039</v>
      </c>
      <c r="S322" s="308">
        <v>80.0</v>
      </c>
      <c r="T322" s="311"/>
      <c r="U322" s="308" t="s">
        <v>5493</v>
      </c>
      <c r="V322" s="308" t="b">
        <v>1</v>
      </c>
      <c r="W322" s="308" t="b">
        <v>1</v>
      </c>
      <c r="X322" s="308"/>
      <c r="Y322" s="308" t="s">
        <v>5494</v>
      </c>
      <c r="Z322" s="308" t="s">
        <v>5495</v>
      </c>
      <c r="AA322" s="308" t="s">
        <v>5495</v>
      </c>
      <c r="AB322" s="308"/>
      <c r="AC322" s="308"/>
      <c r="AD322" s="308" t="s">
        <v>3476</v>
      </c>
      <c r="AE322" s="308">
        <v>27100.0</v>
      </c>
      <c r="AF322" s="308" t="s">
        <v>3477</v>
      </c>
      <c r="AG322" s="308" t="s">
        <v>2955</v>
      </c>
      <c r="AH322" s="308"/>
      <c r="AI322" s="308" t="s">
        <v>5496</v>
      </c>
      <c r="AJ322" s="308" t="s">
        <v>5497</v>
      </c>
      <c r="AK322" s="308" t="s">
        <v>5497</v>
      </c>
      <c r="AL322" s="308"/>
      <c r="AM322" s="308"/>
      <c r="AN322" s="308" t="s">
        <v>5498</v>
      </c>
      <c r="AO322" s="308">
        <v>27010.0</v>
      </c>
      <c r="AP322" s="308" t="s">
        <v>3477</v>
      </c>
      <c r="AQ322" s="308" t="s">
        <v>2955</v>
      </c>
      <c r="AR322" s="308">
        <v>3.341186838E9</v>
      </c>
      <c r="AS322" s="311"/>
      <c r="AT322" s="311"/>
      <c r="AU322" s="311"/>
      <c r="AV322" s="308" t="s">
        <v>2956</v>
      </c>
      <c r="AW322" s="308">
        <v>4.7940338843975E13</v>
      </c>
      <c r="AX322" s="310">
        <v>0.0</v>
      </c>
      <c r="AY322" s="308" t="s">
        <v>2974</v>
      </c>
      <c r="AZ322" s="308">
        <v>0.0</v>
      </c>
      <c r="BA322" s="311"/>
      <c r="BB322" s="311"/>
      <c r="BC322" s="311"/>
      <c r="BD322" s="308">
        <v>7.814252462407E12</v>
      </c>
      <c r="BE322" s="311"/>
      <c r="BF322" s="311"/>
      <c r="BG322" s="308" t="s">
        <v>2958</v>
      </c>
      <c r="BH322" s="308">
        <v>0.0</v>
      </c>
      <c r="BI322" s="308" t="s">
        <v>2959</v>
      </c>
      <c r="BJ322" s="308">
        <v>12.98</v>
      </c>
      <c r="BK322" s="311"/>
      <c r="BL322" s="311"/>
      <c r="BM322" s="311"/>
      <c r="BN322" s="311"/>
      <c r="BO322" s="311"/>
      <c r="BP322" s="311"/>
      <c r="BQ322" s="311"/>
      <c r="BR322" s="311"/>
      <c r="BS322" s="308"/>
      <c r="BT322" s="311"/>
      <c r="BU322" s="311"/>
      <c r="BV322" s="308" t="s">
        <v>3476</v>
      </c>
      <c r="BW322" s="308" t="s">
        <v>3476</v>
      </c>
      <c r="BX322" s="308" t="s">
        <v>2956</v>
      </c>
      <c r="BY322" s="311"/>
      <c r="BZ322" s="311"/>
      <c r="CA322" s="308" t="s">
        <v>2956</v>
      </c>
      <c r="CB322" s="312" t="str">
        <f t="shared" si="1"/>
        <v>08/06/2026</v>
      </c>
      <c r="CC322" s="313">
        <f t="shared" si="2"/>
        <v>2026</v>
      </c>
      <c r="CD322" s="314">
        <f t="shared" si="3"/>
        <v>6</v>
      </c>
      <c r="CE322" s="314">
        <f t="shared" si="4"/>
        <v>1</v>
      </c>
      <c r="CF322" s="314">
        <f t="shared" si="5"/>
        <v>1</v>
      </c>
      <c r="CG322" s="314">
        <f t="shared" si="6"/>
        <v>0</v>
      </c>
      <c r="CH322" s="315">
        <f>VLOOKUP(CL322,'PRODUCT_COGS&amp;PRICE'!A:E,5,false)</f>
        <v>19</v>
      </c>
      <c r="CI322" s="315">
        <f t="shared" si="7"/>
        <v>-1.6921</v>
      </c>
      <c r="CJ322" s="316">
        <f t="shared" si="8"/>
        <v>0</v>
      </c>
      <c r="CK322" s="316">
        <f t="shared" si="9"/>
        <v>8</v>
      </c>
      <c r="CL322" s="314" t="str">
        <f>VLOOKUP(R322,PRODUCT_MAP!A:B,2,FALSE)</f>
        <v>Agata_Bag_FLORAL_DUSTY_PINK_EMBROIDERY</v>
      </c>
      <c r="CM322" s="314" t="str">
        <f>VLOOKUP(R322,PRODUCT_MAP!A:E,3,FALSE)</f>
        <v>Agata Bag</v>
      </c>
    </row>
    <row r="323" ht="22.5" customHeight="1">
      <c r="A323" s="308" t="s">
        <v>5499</v>
      </c>
      <c r="B323" s="308" t="s">
        <v>5500</v>
      </c>
      <c r="C323" s="308" t="s">
        <v>2942</v>
      </c>
      <c r="D323" s="308" t="s">
        <v>5501</v>
      </c>
      <c r="E323" s="308" t="s">
        <v>3013</v>
      </c>
      <c r="F323" s="308"/>
      <c r="G323" s="308" t="s">
        <v>2946</v>
      </c>
      <c r="H323" s="308" t="s">
        <v>2947</v>
      </c>
      <c r="I323" s="308">
        <v>108.0</v>
      </c>
      <c r="J323" s="308">
        <v>15.0</v>
      </c>
      <c r="K323" s="308">
        <v>22.18</v>
      </c>
      <c r="L323" s="308">
        <v>123.0</v>
      </c>
      <c r="M323" s="308" t="s">
        <v>3094</v>
      </c>
      <c r="N323" s="308">
        <v>12.0</v>
      </c>
      <c r="O323" s="308" t="s">
        <v>3298</v>
      </c>
      <c r="P323" s="308" t="s">
        <v>5502</v>
      </c>
      <c r="Q323" s="310">
        <v>1.0</v>
      </c>
      <c r="R323" s="308" t="s">
        <v>544</v>
      </c>
      <c r="S323" s="308">
        <v>120.0</v>
      </c>
      <c r="T323" s="311"/>
      <c r="U323" s="308" t="s">
        <v>196</v>
      </c>
      <c r="V323" s="308" t="b">
        <v>1</v>
      </c>
      <c r="W323" s="308" t="b">
        <v>1</v>
      </c>
      <c r="X323" s="308"/>
      <c r="Y323" s="308" t="s">
        <v>5503</v>
      </c>
      <c r="Z323" s="308" t="s">
        <v>5504</v>
      </c>
      <c r="AA323" s="308" t="s">
        <v>5504</v>
      </c>
      <c r="AB323" s="308"/>
      <c r="AC323" s="308"/>
      <c r="AD323" s="308" t="s">
        <v>4864</v>
      </c>
      <c r="AE323" s="308">
        <v>75020.0</v>
      </c>
      <c r="AF323" s="308"/>
      <c r="AG323" s="308" t="s">
        <v>4861</v>
      </c>
      <c r="AH323" s="318" t="s">
        <v>5505</v>
      </c>
      <c r="AI323" s="308" t="s">
        <v>5503</v>
      </c>
      <c r="AJ323" s="308" t="s">
        <v>5504</v>
      </c>
      <c r="AK323" s="308" t="s">
        <v>5504</v>
      </c>
      <c r="AL323" s="308"/>
      <c r="AM323" s="308"/>
      <c r="AN323" s="308" t="s">
        <v>4864</v>
      </c>
      <c r="AO323" s="308">
        <v>75020.0</v>
      </c>
      <c r="AP323" s="308"/>
      <c r="AQ323" s="308" t="s">
        <v>4861</v>
      </c>
      <c r="AR323" s="318" t="s">
        <v>5505</v>
      </c>
      <c r="AS323" s="311"/>
      <c r="AT323" s="311"/>
      <c r="AU323" s="311"/>
      <c r="AV323" s="308" t="s">
        <v>2956</v>
      </c>
      <c r="AW323" s="308">
        <v>4.7941229117767E13</v>
      </c>
      <c r="AX323" s="310">
        <v>0.0</v>
      </c>
      <c r="AY323" s="308" t="s">
        <v>2974</v>
      </c>
      <c r="AZ323" s="308">
        <v>0.0</v>
      </c>
      <c r="BA323" s="311"/>
      <c r="BB323" s="311"/>
      <c r="BC323" s="311"/>
      <c r="BD323" s="308">
        <v>7.814772621639E12</v>
      </c>
      <c r="BE323" s="311"/>
      <c r="BF323" s="311"/>
      <c r="BG323" s="308" t="s">
        <v>2958</v>
      </c>
      <c r="BH323" s="308">
        <v>0.0</v>
      </c>
      <c r="BI323" s="308" t="s">
        <v>2959</v>
      </c>
      <c r="BJ323" s="308">
        <v>19.48</v>
      </c>
      <c r="BK323" s="311"/>
      <c r="BL323" s="311"/>
      <c r="BM323" s="311"/>
      <c r="BN323" s="311"/>
      <c r="BO323" s="311"/>
      <c r="BP323" s="311"/>
      <c r="BQ323" s="311"/>
      <c r="BR323" s="311"/>
      <c r="BS323" s="308"/>
      <c r="BT323" s="311"/>
      <c r="BU323" s="311"/>
      <c r="BV323" s="308"/>
      <c r="BW323" s="308"/>
      <c r="BX323" s="308" t="s">
        <v>2956</v>
      </c>
      <c r="BY323" s="311"/>
      <c r="BZ323" s="311"/>
      <c r="CA323" s="308" t="s">
        <v>2956</v>
      </c>
      <c r="CB323" s="312" t="str">
        <f t="shared" si="1"/>
        <v>08/06/2026</v>
      </c>
      <c r="CC323" s="313">
        <f t="shared" si="2"/>
        <v>2026</v>
      </c>
      <c r="CD323" s="314">
        <f t="shared" si="3"/>
        <v>6</v>
      </c>
      <c r="CE323" s="314">
        <f t="shared" si="4"/>
        <v>1</v>
      </c>
      <c r="CF323" s="314">
        <f t="shared" si="5"/>
        <v>1</v>
      </c>
      <c r="CG323" s="314">
        <f t="shared" si="6"/>
        <v>0</v>
      </c>
      <c r="CH323" s="315">
        <f>VLOOKUP(CL323,'PRODUCT_COGS&amp;PRICE'!A:E,5,false)</f>
        <v>33</v>
      </c>
      <c r="CI323" s="315">
        <f t="shared" si="7"/>
        <v>-2.587</v>
      </c>
      <c r="CJ323" s="316">
        <f t="shared" si="8"/>
        <v>0</v>
      </c>
      <c r="CK323" s="316">
        <f t="shared" si="9"/>
        <v>12</v>
      </c>
      <c r="CL323" s="314" t="str">
        <f>VLOOKUP(R323,PRODUCT_MAP!A:B,2,FALSE)</f>
        <v>Lea_Bag_Cavallino_Light_Brown</v>
      </c>
      <c r="CM323" s="314" t="str">
        <f>VLOOKUP(R323,PRODUCT_MAP!A:E,3,FALSE)</f>
        <v>Lea Bag Cavallino Light Brown</v>
      </c>
    </row>
    <row r="324" ht="22.5" customHeight="1">
      <c r="A324" s="308" t="s">
        <v>5506</v>
      </c>
      <c r="B324" s="308" t="s">
        <v>5507</v>
      </c>
      <c r="C324" s="308" t="s">
        <v>2942</v>
      </c>
      <c r="D324" s="308" t="s">
        <v>5508</v>
      </c>
      <c r="E324" s="308" t="s">
        <v>3013</v>
      </c>
      <c r="F324" s="308"/>
      <c r="G324" s="308" t="s">
        <v>2946</v>
      </c>
      <c r="H324" s="308" t="s">
        <v>2947</v>
      </c>
      <c r="I324" s="308">
        <v>72.0</v>
      </c>
      <c r="J324" s="308">
        <v>3.9</v>
      </c>
      <c r="K324" s="308">
        <v>13.68</v>
      </c>
      <c r="L324" s="308">
        <v>75.9</v>
      </c>
      <c r="M324" s="308" t="s">
        <v>3094</v>
      </c>
      <c r="N324" s="308">
        <v>8.0</v>
      </c>
      <c r="O324" s="308" t="s">
        <v>2948</v>
      </c>
      <c r="P324" s="308" t="s">
        <v>5509</v>
      </c>
      <c r="Q324" s="310">
        <v>1.0</v>
      </c>
      <c r="R324" s="308" t="s">
        <v>4015</v>
      </c>
      <c r="S324" s="308">
        <v>80.0</v>
      </c>
      <c r="T324" s="311"/>
      <c r="U324" s="308" t="s">
        <v>5093</v>
      </c>
      <c r="V324" s="308" t="b">
        <v>1</v>
      </c>
      <c r="W324" s="308" t="b">
        <v>1</v>
      </c>
      <c r="X324" s="308"/>
      <c r="Y324" s="308" t="s">
        <v>5510</v>
      </c>
      <c r="Z324" s="308" t="s">
        <v>5511</v>
      </c>
      <c r="AA324" s="308" t="s">
        <v>5511</v>
      </c>
      <c r="AB324" s="308"/>
      <c r="AC324" s="308" t="s">
        <v>5512</v>
      </c>
      <c r="AD324" s="308" t="s">
        <v>23</v>
      </c>
      <c r="AE324" s="308">
        <v>20144.0</v>
      </c>
      <c r="AF324" s="308" t="s">
        <v>2954</v>
      </c>
      <c r="AG324" s="308" t="s">
        <v>2955</v>
      </c>
      <c r="AH324" s="308"/>
      <c r="AI324" s="308" t="s">
        <v>5513</v>
      </c>
      <c r="AJ324" s="308" t="s">
        <v>5514</v>
      </c>
      <c r="AK324" s="308" t="s">
        <v>5515</v>
      </c>
      <c r="AL324" s="308" t="s">
        <v>5516</v>
      </c>
      <c r="AM324" s="308" t="s">
        <v>5512</v>
      </c>
      <c r="AN324" s="308" t="s">
        <v>23</v>
      </c>
      <c r="AO324" s="308">
        <v>20144.0</v>
      </c>
      <c r="AP324" s="308" t="s">
        <v>2954</v>
      </c>
      <c r="AQ324" s="308" t="s">
        <v>2955</v>
      </c>
      <c r="AR324" s="308">
        <v>3.394556123E9</v>
      </c>
      <c r="AS324" s="311"/>
      <c r="AT324" s="311"/>
      <c r="AU324" s="311"/>
      <c r="AV324" s="308" t="s">
        <v>2956</v>
      </c>
      <c r="AW324" s="308">
        <v>4.7941627052359E13</v>
      </c>
      <c r="AX324" s="310">
        <v>0.0</v>
      </c>
      <c r="AY324" s="308" t="s">
        <v>2974</v>
      </c>
      <c r="AZ324" s="308">
        <v>0.0</v>
      </c>
      <c r="BA324" s="311"/>
      <c r="BB324" s="311"/>
      <c r="BC324" s="311"/>
      <c r="BD324" s="308">
        <v>7.814965526855E12</v>
      </c>
      <c r="BE324" s="311"/>
      <c r="BF324" s="311"/>
      <c r="BG324" s="308" t="s">
        <v>2958</v>
      </c>
      <c r="BH324" s="308">
        <v>0.0</v>
      </c>
      <c r="BI324" s="308" t="s">
        <v>2959</v>
      </c>
      <c r="BJ324" s="308">
        <v>12.98</v>
      </c>
      <c r="BK324" s="311"/>
      <c r="BL324" s="311"/>
      <c r="BM324" s="311"/>
      <c r="BN324" s="311"/>
      <c r="BO324" s="311"/>
      <c r="BP324" s="311"/>
      <c r="BQ324" s="311"/>
      <c r="BR324" s="311"/>
      <c r="BS324" s="308"/>
      <c r="BT324" s="311"/>
      <c r="BU324" s="311"/>
      <c r="BV324" s="308" t="s">
        <v>23</v>
      </c>
      <c r="BW324" s="308" t="s">
        <v>23</v>
      </c>
      <c r="BX324" s="308" t="s">
        <v>2956</v>
      </c>
      <c r="BY324" s="311"/>
      <c r="BZ324" s="311"/>
      <c r="CA324" s="308" t="s">
        <v>2956</v>
      </c>
      <c r="CB324" s="312" t="str">
        <f t="shared" si="1"/>
        <v>08/06/2026</v>
      </c>
      <c r="CC324" s="313">
        <f t="shared" si="2"/>
        <v>2026</v>
      </c>
      <c r="CD324" s="314">
        <f t="shared" si="3"/>
        <v>6</v>
      </c>
      <c r="CE324" s="314">
        <f t="shared" si="4"/>
        <v>1</v>
      </c>
      <c r="CF324" s="314">
        <f t="shared" si="5"/>
        <v>1</v>
      </c>
      <c r="CG324" s="314">
        <f t="shared" si="6"/>
        <v>0</v>
      </c>
      <c r="CH324" s="315">
        <f>VLOOKUP(CL324,'PRODUCT_COGS&amp;PRICE'!A:E,5,false)</f>
        <v>19</v>
      </c>
      <c r="CI324" s="315">
        <f t="shared" si="7"/>
        <v>-1.6921</v>
      </c>
      <c r="CJ324" s="316">
        <f t="shared" si="8"/>
        <v>0</v>
      </c>
      <c r="CK324" s="316">
        <f t="shared" si="9"/>
        <v>8</v>
      </c>
      <c r="CL324" s="314" t="str">
        <f>VLOOKUP(R324,PRODUCT_MAP!A:B,2,FALSE)</f>
        <v>Agata_Bag_ROSE_PINK</v>
      </c>
      <c r="CM324" s="314" t="str">
        <f>VLOOKUP(R324,PRODUCT_MAP!A:E,3,FALSE)</f>
        <v>Agata Bag</v>
      </c>
    </row>
    <row r="325" ht="22.5" customHeight="1">
      <c r="A325" s="308" t="s">
        <v>5517</v>
      </c>
      <c r="B325" s="308" t="s">
        <v>5518</v>
      </c>
      <c r="C325" s="308" t="s">
        <v>2942</v>
      </c>
      <c r="D325" s="308" t="s">
        <v>5519</v>
      </c>
      <c r="E325" s="308" t="s">
        <v>3013</v>
      </c>
      <c r="F325" s="308"/>
      <c r="G325" s="308" t="s">
        <v>2946</v>
      </c>
      <c r="H325" s="308" t="s">
        <v>2947</v>
      </c>
      <c r="I325" s="308">
        <v>108.0</v>
      </c>
      <c r="J325" s="308">
        <v>0.0</v>
      </c>
      <c r="K325" s="308">
        <v>19.48</v>
      </c>
      <c r="L325" s="308">
        <v>108.0</v>
      </c>
      <c r="M325" s="308" t="s">
        <v>3221</v>
      </c>
      <c r="N325" s="308">
        <v>12.0</v>
      </c>
      <c r="O325" s="308" t="s">
        <v>2979</v>
      </c>
      <c r="P325" s="308" t="s">
        <v>5520</v>
      </c>
      <c r="Q325" s="310">
        <v>1.0</v>
      </c>
      <c r="R325" s="308" t="s">
        <v>524</v>
      </c>
      <c r="S325" s="308">
        <v>120.0</v>
      </c>
      <c r="T325" s="311"/>
      <c r="U325" s="308" t="s">
        <v>300</v>
      </c>
      <c r="V325" s="308" t="b">
        <v>1</v>
      </c>
      <c r="W325" s="308" t="b">
        <v>1</v>
      </c>
      <c r="X325" s="308"/>
      <c r="Y325" s="308" t="s">
        <v>5521</v>
      </c>
      <c r="Z325" s="308" t="s">
        <v>5522</v>
      </c>
      <c r="AA325" s="308" t="s">
        <v>5522</v>
      </c>
      <c r="AB325" s="308"/>
      <c r="AC325" s="308"/>
      <c r="AD325" s="308" t="s">
        <v>23</v>
      </c>
      <c r="AE325" s="308">
        <v>20144.0</v>
      </c>
      <c r="AF325" s="308" t="s">
        <v>2954</v>
      </c>
      <c r="AG325" s="308" t="s">
        <v>2955</v>
      </c>
      <c r="AH325" s="308">
        <v>3.454753843E9</v>
      </c>
      <c r="AI325" s="308"/>
      <c r="AJ325" s="308"/>
      <c r="AK325" s="308"/>
      <c r="AL325" s="308"/>
      <c r="AM325" s="308"/>
      <c r="AN325" s="308"/>
      <c r="AO325" s="308"/>
      <c r="AP325" s="308"/>
      <c r="AQ325" s="308"/>
      <c r="AR325" s="308"/>
      <c r="AS325" s="311"/>
      <c r="AT325" s="311"/>
      <c r="AU325" s="311"/>
      <c r="AV325" s="308" t="s">
        <v>3009</v>
      </c>
      <c r="AW325" s="308">
        <v>4.7942209569095E13</v>
      </c>
      <c r="AX325" s="310">
        <v>0.0</v>
      </c>
      <c r="AY325" s="308" t="s">
        <v>2974</v>
      </c>
      <c r="AZ325" s="308">
        <v>0.0</v>
      </c>
      <c r="BA325" s="311"/>
      <c r="BB325" s="311"/>
      <c r="BC325" s="311"/>
      <c r="BD325" s="308">
        <v>7.815338459463E12</v>
      </c>
      <c r="BE325" s="311"/>
      <c r="BF325" s="311"/>
      <c r="BG325" s="308" t="s">
        <v>2958</v>
      </c>
      <c r="BH325" s="308">
        <v>0.0</v>
      </c>
      <c r="BI325" s="308" t="s">
        <v>2959</v>
      </c>
      <c r="BJ325" s="308">
        <v>19.48</v>
      </c>
      <c r="BK325" s="311"/>
      <c r="BL325" s="311"/>
      <c r="BM325" s="311"/>
      <c r="BN325" s="311"/>
      <c r="BO325" s="311"/>
      <c r="BP325" s="311"/>
      <c r="BQ325" s="311"/>
      <c r="BR325" s="311"/>
      <c r="BS325" s="308"/>
      <c r="BT325" s="311"/>
      <c r="BU325" s="311"/>
      <c r="BV325" s="308" t="s">
        <v>23</v>
      </c>
      <c r="BW325" s="308"/>
      <c r="BX325" s="308" t="s">
        <v>3009</v>
      </c>
      <c r="BY325" s="311"/>
      <c r="BZ325" s="311"/>
      <c r="CA325" s="308" t="s">
        <v>3009</v>
      </c>
      <c r="CB325" s="312" t="str">
        <f t="shared" si="1"/>
        <v>08/06/2026</v>
      </c>
      <c r="CC325" s="313">
        <f t="shared" si="2"/>
        <v>2026</v>
      </c>
      <c r="CD325" s="314">
        <f t="shared" si="3"/>
        <v>6</v>
      </c>
      <c r="CE325" s="314">
        <f t="shared" si="4"/>
        <v>1</v>
      </c>
      <c r="CF325" s="314">
        <f t="shared" si="5"/>
        <v>1</v>
      </c>
      <c r="CG325" s="314">
        <f t="shared" si="6"/>
        <v>-5</v>
      </c>
      <c r="CH325" s="315">
        <f>VLOOKUP(CL325,'PRODUCT_COGS&amp;PRICE'!A:E,5,false)</f>
        <v>20</v>
      </c>
      <c r="CI325" s="315">
        <f t="shared" si="7"/>
        <v>-4.1192</v>
      </c>
      <c r="CJ325" s="316">
        <f t="shared" si="8"/>
        <v>0</v>
      </c>
      <c r="CK325" s="316">
        <f t="shared" si="9"/>
        <v>12</v>
      </c>
      <c r="CL325" s="314" t="str">
        <f>VLOOKUP(R325,PRODUCT_MAP!A:B,2,FALSE)</f>
        <v>Lea_Bag_COCCO_GREEN</v>
      </c>
      <c r="CM325" s="314" t="str">
        <f>VLOOKUP(R325,PRODUCT_MAP!A:E,3,FALSE)</f>
        <v>Lea Bag</v>
      </c>
    </row>
    <row r="326" ht="22.5" customHeight="1">
      <c r="A326" s="308" t="s">
        <v>5523</v>
      </c>
      <c r="B326" s="308" t="s">
        <v>5524</v>
      </c>
      <c r="C326" s="308" t="s">
        <v>2942</v>
      </c>
      <c r="D326" s="308" t="s">
        <v>5525</v>
      </c>
      <c r="E326" s="308" t="s">
        <v>3013</v>
      </c>
      <c r="F326" s="308"/>
      <c r="G326" s="308" t="s">
        <v>2946</v>
      </c>
      <c r="H326" s="308" t="s">
        <v>2947</v>
      </c>
      <c r="I326" s="308">
        <v>108.0</v>
      </c>
      <c r="J326" s="308">
        <v>0.0</v>
      </c>
      <c r="K326" s="308">
        <v>19.48</v>
      </c>
      <c r="L326" s="308">
        <v>108.0</v>
      </c>
      <c r="M326" s="308" t="s">
        <v>3094</v>
      </c>
      <c r="N326" s="308">
        <v>12.0</v>
      </c>
      <c r="O326" s="308" t="s">
        <v>2979</v>
      </c>
      <c r="P326" s="308" t="s">
        <v>5526</v>
      </c>
      <c r="Q326" s="310">
        <v>1.0</v>
      </c>
      <c r="R326" s="308" t="s">
        <v>534</v>
      </c>
      <c r="S326" s="308">
        <v>120.0</v>
      </c>
      <c r="T326" s="311"/>
      <c r="U326" s="308" t="s">
        <v>293</v>
      </c>
      <c r="V326" s="308" t="b">
        <v>1</v>
      </c>
      <c r="W326" s="308" t="b">
        <v>1</v>
      </c>
      <c r="X326" s="308"/>
      <c r="Y326" s="308" t="s">
        <v>5527</v>
      </c>
      <c r="Z326" s="308" t="s">
        <v>5528</v>
      </c>
      <c r="AA326" s="308" t="s">
        <v>5528</v>
      </c>
      <c r="AB326" s="308"/>
      <c r="AC326" s="308"/>
      <c r="AD326" s="308" t="s">
        <v>23</v>
      </c>
      <c r="AE326" s="308">
        <v>20121.0</v>
      </c>
      <c r="AF326" s="308" t="s">
        <v>2954</v>
      </c>
      <c r="AG326" s="308" t="s">
        <v>2955</v>
      </c>
      <c r="AH326" s="308"/>
      <c r="AI326" s="308"/>
      <c r="AJ326" s="308"/>
      <c r="AK326" s="308"/>
      <c r="AL326" s="308"/>
      <c r="AM326" s="308"/>
      <c r="AN326" s="308"/>
      <c r="AO326" s="308"/>
      <c r="AP326" s="308"/>
      <c r="AQ326" s="308"/>
      <c r="AR326" s="308"/>
      <c r="AS326" s="311"/>
      <c r="AT326" s="311"/>
      <c r="AU326" s="311"/>
      <c r="AV326" s="308" t="s">
        <v>2956</v>
      </c>
      <c r="AW326" s="308">
        <v>4.7943182549319E13</v>
      </c>
      <c r="AX326" s="310">
        <v>0.0</v>
      </c>
      <c r="AY326" s="308" t="s">
        <v>2974</v>
      </c>
      <c r="AZ326" s="308">
        <v>0.0</v>
      </c>
      <c r="BA326" s="311"/>
      <c r="BB326" s="311"/>
      <c r="BC326" s="311"/>
      <c r="BD326" s="308">
        <v>7.816028324167E12</v>
      </c>
      <c r="BE326" s="311"/>
      <c r="BF326" s="311"/>
      <c r="BG326" s="308" t="s">
        <v>2958</v>
      </c>
      <c r="BH326" s="308">
        <v>0.0</v>
      </c>
      <c r="BI326" s="308" t="s">
        <v>2959</v>
      </c>
      <c r="BJ326" s="308">
        <v>19.48</v>
      </c>
      <c r="BK326" s="311"/>
      <c r="BL326" s="311"/>
      <c r="BM326" s="311"/>
      <c r="BN326" s="311"/>
      <c r="BO326" s="311"/>
      <c r="BP326" s="311"/>
      <c r="BQ326" s="311"/>
      <c r="BR326" s="311"/>
      <c r="BS326" s="308"/>
      <c r="BT326" s="311"/>
      <c r="BU326" s="311"/>
      <c r="BV326" s="308" t="s">
        <v>23</v>
      </c>
      <c r="BW326" s="308"/>
      <c r="BX326" s="308" t="s">
        <v>2956</v>
      </c>
      <c r="BY326" s="311"/>
      <c r="BZ326" s="311"/>
      <c r="CA326" s="308" t="s">
        <v>2956</v>
      </c>
      <c r="CB326" s="312" t="str">
        <f t="shared" si="1"/>
        <v>08/06/2026</v>
      </c>
      <c r="CC326" s="313">
        <f t="shared" si="2"/>
        <v>2026</v>
      </c>
      <c r="CD326" s="314">
        <f t="shared" si="3"/>
        <v>6</v>
      </c>
      <c r="CE326" s="314">
        <f t="shared" si="4"/>
        <v>1</v>
      </c>
      <c r="CF326" s="314">
        <f t="shared" si="5"/>
        <v>1</v>
      </c>
      <c r="CG326" s="314">
        <f t="shared" si="6"/>
        <v>-5</v>
      </c>
      <c r="CH326" s="315">
        <f>VLOOKUP(CL326,'PRODUCT_COGS&amp;PRICE'!A:E,5,false)</f>
        <v>20</v>
      </c>
      <c r="CI326" s="315">
        <f t="shared" si="7"/>
        <v>-2.302</v>
      </c>
      <c r="CJ326" s="316">
        <f t="shared" si="8"/>
        <v>0</v>
      </c>
      <c r="CK326" s="316">
        <f t="shared" si="9"/>
        <v>12</v>
      </c>
      <c r="CL326" s="314" t="str">
        <f>VLOOKUP(R326,PRODUCT_MAP!A:B,2,FALSE)</f>
        <v>Lea_Bag_COCCO_PURPLE</v>
      </c>
      <c r="CM326" s="314" t="str">
        <f>VLOOKUP(R326,PRODUCT_MAP!A:E,3,FALSE)</f>
        <v>Lea Bag</v>
      </c>
    </row>
    <row r="327" ht="22.5" customHeight="1">
      <c r="A327" s="308" t="s">
        <v>5529</v>
      </c>
      <c r="B327" s="308" t="s">
        <v>5530</v>
      </c>
      <c r="C327" s="308" t="s">
        <v>2942</v>
      </c>
      <c r="D327" s="308" t="s">
        <v>5531</v>
      </c>
      <c r="E327" s="308" t="s">
        <v>3013</v>
      </c>
      <c r="F327" s="308"/>
      <c r="G327" s="308" t="s">
        <v>2946</v>
      </c>
      <c r="H327" s="308" t="s">
        <v>2947</v>
      </c>
      <c r="I327" s="308">
        <v>72.0</v>
      </c>
      <c r="J327" s="308">
        <v>3.9</v>
      </c>
      <c r="K327" s="308">
        <v>13.68</v>
      </c>
      <c r="L327" s="308">
        <v>75.9</v>
      </c>
      <c r="M327" s="308" t="s">
        <v>3094</v>
      </c>
      <c r="N327" s="308">
        <v>8.0</v>
      </c>
      <c r="O327" s="308" t="s">
        <v>2948</v>
      </c>
      <c r="P327" s="308" t="s">
        <v>5532</v>
      </c>
      <c r="Q327" s="310">
        <v>1.0</v>
      </c>
      <c r="R327" s="308" t="s">
        <v>4070</v>
      </c>
      <c r="S327" s="308">
        <v>80.0</v>
      </c>
      <c r="T327" s="311"/>
      <c r="U327" s="308" t="s">
        <v>4071</v>
      </c>
      <c r="V327" s="308" t="b">
        <v>1</v>
      </c>
      <c r="W327" s="308" t="b">
        <v>1</v>
      </c>
      <c r="X327" s="308"/>
      <c r="Y327" s="308" t="s">
        <v>5533</v>
      </c>
      <c r="Z327" s="308" t="s">
        <v>3081</v>
      </c>
      <c r="AA327" s="308" t="s">
        <v>3081</v>
      </c>
      <c r="AB327" s="308"/>
      <c r="AC327" s="308" t="s">
        <v>5534</v>
      </c>
      <c r="AD327" s="308" t="s">
        <v>3081</v>
      </c>
      <c r="AE327" s="308">
        <v>135.0</v>
      </c>
      <c r="AF327" s="308" t="s">
        <v>3082</v>
      </c>
      <c r="AG327" s="308" t="s">
        <v>2955</v>
      </c>
      <c r="AH327" s="318" t="s">
        <v>5535</v>
      </c>
      <c r="AI327" s="308" t="s">
        <v>5533</v>
      </c>
      <c r="AJ327" s="308" t="s">
        <v>3081</v>
      </c>
      <c r="AK327" s="308" t="s">
        <v>3081</v>
      </c>
      <c r="AL327" s="308"/>
      <c r="AM327" s="308" t="s">
        <v>5534</v>
      </c>
      <c r="AN327" s="308" t="s">
        <v>3081</v>
      </c>
      <c r="AO327" s="308">
        <v>135.0</v>
      </c>
      <c r="AP327" s="308" t="s">
        <v>3082</v>
      </c>
      <c r="AQ327" s="308" t="s">
        <v>2955</v>
      </c>
      <c r="AR327" s="318" t="s">
        <v>5535</v>
      </c>
      <c r="AS327" s="311"/>
      <c r="AT327" s="311"/>
      <c r="AU327" s="311"/>
      <c r="AV327" s="308" t="s">
        <v>2956</v>
      </c>
      <c r="AW327" s="308">
        <v>4.7943443022151E13</v>
      </c>
      <c r="AX327" s="310">
        <v>0.0</v>
      </c>
      <c r="AY327" s="308" t="s">
        <v>2974</v>
      </c>
      <c r="AZ327" s="308">
        <v>0.0</v>
      </c>
      <c r="BA327" s="311"/>
      <c r="BB327" s="311"/>
      <c r="BC327" s="311"/>
      <c r="BD327" s="308">
        <v>7.816168046919E12</v>
      </c>
      <c r="BE327" s="311"/>
      <c r="BF327" s="311"/>
      <c r="BG327" s="308" t="s">
        <v>2958</v>
      </c>
      <c r="BH327" s="308">
        <v>0.0</v>
      </c>
      <c r="BI327" s="308" t="s">
        <v>2959</v>
      </c>
      <c r="BJ327" s="308">
        <v>12.98</v>
      </c>
      <c r="BK327" s="311"/>
      <c r="BL327" s="311"/>
      <c r="BM327" s="311"/>
      <c r="BN327" s="311"/>
      <c r="BO327" s="311"/>
      <c r="BP327" s="311"/>
      <c r="BQ327" s="311"/>
      <c r="BR327" s="311"/>
      <c r="BS327" s="308"/>
      <c r="BT327" s="311"/>
      <c r="BU327" s="311"/>
      <c r="BV327" s="308" t="s">
        <v>3081</v>
      </c>
      <c r="BW327" s="308" t="s">
        <v>3081</v>
      </c>
      <c r="BX327" s="308" t="s">
        <v>2956</v>
      </c>
      <c r="BY327" s="311"/>
      <c r="BZ327" s="311"/>
      <c r="CA327" s="308" t="s">
        <v>2956</v>
      </c>
      <c r="CB327" s="312" t="str">
        <f t="shared" si="1"/>
        <v>08/06/2026</v>
      </c>
      <c r="CC327" s="313">
        <f t="shared" si="2"/>
        <v>2026</v>
      </c>
      <c r="CD327" s="314">
        <f t="shared" si="3"/>
        <v>6</v>
      </c>
      <c r="CE327" s="314">
        <f t="shared" si="4"/>
        <v>1</v>
      </c>
      <c r="CF327" s="314">
        <f t="shared" si="5"/>
        <v>1</v>
      </c>
      <c r="CG327" s="314">
        <f t="shared" si="6"/>
        <v>0</v>
      </c>
      <c r="CH327" s="315">
        <f>VLOOKUP(CL327,'PRODUCT_COGS&amp;PRICE'!A:E,5,false)</f>
        <v>19</v>
      </c>
      <c r="CI327" s="315">
        <f t="shared" si="7"/>
        <v>-1.6921</v>
      </c>
      <c r="CJ327" s="316">
        <f t="shared" si="8"/>
        <v>0</v>
      </c>
      <c r="CK327" s="316">
        <f t="shared" si="9"/>
        <v>8</v>
      </c>
      <c r="CL327" s="314" t="str">
        <f>VLOOKUP(R327,PRODUCT_MAP!A:B,2,FALSE)</f>
        <v>Agata_Bag_FLORAL_BORDEAUX_EMBROIDERY</v>
      </c>
      <c r="CM327" s="314" t="str">
        <f>VLOOKUP(R327,PRODUCT_MAP!A:E,3,FALSE)</f>
        <v>Agata Bag</v>
      </c>
    </row>
    <row r="328" ht="22.5" customHeight="1">
      <c r="A328" s="308" t="s">
        <v>5536</v>
      </c>
      <c r="B328" s="308" t="s">
        <v>5537</v>
      </c>
      <c r="C328" s="308" t="s">
        <v>4329</v>
      </c>
      <c r="D328" s="308" t="s">
        <v>5538</v>
      </c>
      <c r="E328" s="308" t="s">
        <v>3013</v>
      </c>
      <c r="F328" s="308"/>
      <c r="G328" s="308" t="s">
        <v>2946</v>
      </c>
      <c r="H328" s="308" t="s">
        <v>2947</v>
      </c>
      <c r="I328" s="308">
        <v>112.5</v>
      </c>
      <c r="J328" s="308">
        <v>0.0</v>
      </c>
      <c r="K328" s="308">
        <v>20.28</v>
      </c>
      <c r="L328" s="308">
        <v>112.5</v>
      </c>
      <c r="M328" s="308" t="s">
        <v>3094</v>
      </c>
      <c r="N328" s="308">
        <v>12.5</v>
      </c>
      <c r="O328" s="308" t="s">
        <v>2948</v>
      </c>
      <c r="P328" s="308" t="s">
        <v>5539</v>
      </c>
      <c r="Q328" s="310">
        <v>1.0</v>
      </c>
      <c r="R328" s="308" t="s">
        <v>474</v>
      </c>
      <c r="S328" s="308">
        <v>45.0</v>
      </c>
      <c r="T328" s="311"/>
      <c r="U328" s="308" t="s">
        <v>379</v>
      </c>
      <c r="V328" s="308" t="b">
        <v>1</v>
      </c>
      <c r="W328" s="308" t="b">
        <v>1</v>
      </c>
      <c r="X328" s="308"/>
      <c r="Y328" s="308" t="s">
        <v>5540</v>
      </c>
      <c r="Z328" s="308" t="s">
        <v>5541</v>
      </c>
      <c r="AA328" s="308" t="s">
        <v>5541</v>
      </c>
      <c r="AB328" s="308"/>
      <c r="AC328" s="308"/>
      <c r="AD328" s="308" t="s">
        <v>5542</v>
      </c>
      <c r="AE328" s="308">
        <v>20090.0</v>
      </c>
      <c r="AF328" s="308" t="s">
        <v>2954</v>
      </c>
      <c r="AG328" s="308" t="s">
        <v>2955</v>
      </c>
      <c r="AH328" s="308">
        <v>3.88491162E9</v>
      </c>
      <c r="AI328" s="308" t="s">
        <v>5540</v>
      </c>
      <c r="AJ328" s="308" t="s">
        <v>5541</v>
      </c>
      <c r="AK328" s="308" t="s">
        <v>5541</v>
      </c>
      <c r="AL328" s="308"/>
      <c r="AM328" s="308"/>
      <c r="AN328" s="308" t="s">
        <v>5542</v>
      </c>
      <c r="AO328" s="308">
        <v>20090.0</v>
      </c>
      <c r="AP328" s="308" t="s">
        <v>2954</v>
      </c>
      <c r="AQ328" s="308" t="s">
        <v>2955</v>
      </c>
      <c r="AR328" s="308">
        <v>3.88491162E9</v>
      </c>
      <c r="AS328" s="311"/>
      <c r="AT328" s="311"/>
      <c r="AU328" s="311"/>
      <c r="AV328" s="308" t="s">
        <v>2956</v>
      </c>
      <c r="AW328" s="308">
        <v>4.7942619267399E13</v>
      </c>
      <c r="AX328" s="310">
        <v>112.5</v>
      </c>
      <c r="AY328" s="308" t="s">
        <v>5290</v>
      </c>
      <c r="AZ328" s="308">
        <v>0.0</v>
      </c>
      <c r="BA328" s="311"/>
      <c r="BB328" s="311"/>
      <c r="BC328" s="311"/>
      <c r="BD328" s="308">
        <v>7.816360395079E12</v>
      </c>
      <c r="BE328" s="311"/>
      <c r="BF328" s="311"/>
      <c r="BG328" s="308" t="s">
        <v>2958</v>
      </c>
      <c r="BH328" s="308">
        <v>0.0</v>
      </c>
      <c r="BI328" s="308" t="s">
        <v>2959</v>
      </c>
      <c r="BJ328" s="308">
        <v>7.3</v>
      </c>
      <c r="BK328" s="311"/>
      <c r="BL328" s="311"/>
      <c r="BM328" s="311"/>
      <c r="BN328" s="311"/>
      <c r="BO328" s="311"/>
      <c r="BP328" s="311"/>
      <c r="BQ328" s="311"/>
      <c r="BR328" s="311"/>
      <c r="BS328" s="308"/>
      <c r="BT328" s="311"/>
      <c r="BU328" s="311"/>
      <c r="BV328" s="308" t="s">
        <v>23</v>
      </c>
      <c r="BW328" s="308" t="s">
        <v>23</v>
      </c>
      <c r="BX328" s="308" t="s">
        <v>2956</v>
      </c>
      <c r="BY328" s="311"/>
      <c r="BZ328" s="311"/>
      <c r="CA328" s="308" t="s">
        <v>2956</v>
      </c>
      <c r="CB328" s="312" t="str">
        <f t="shared" si="1"/>
        <v>08/06/2026</v>
      </c>
      <c r="CC328" s="313">
        <f t="shared" si="2"/>
        <v>2026</v>
      </c>
      <c r="CD328" s="314">
        <f t="shared" si="3"/>
        <v>6</v>
      </c>
      <c r="CE328" s="314">
        <f t="shared" si="4"/>
        <v>0</v>
      </c>
      <c r="CF328" s="314">
        <f t="shared" si="5"/>
        <v>0</v>
      </c>
      <c r="CG328" s="314">
        <f t="shared" si="6"/>
        <v>0</v>
      </c>
      <c r="CH328" s="315">
        <f>VLOOKUP(CL328,'PRODUCT_COGS&amp;PRICE'!A:E,5,false)</f>
        <v>10.24</v>
      </c>
      <c r="CI328" s="315">
        <f t="shared" si="7"/>
        <v>-4.525</v>
      </c>
      <c r="CJ328" s="316">
        <f t="shared" si="8"/>
        <v>0</v>
      </c>
      <c r="CK328" s="316">
        <f t="shared" si="9"/>
        <v>12.5</v>
      </c>
      <c r="CL328" s="314" t="str">
        <f>VLOOKUP(R328,PRODUCT_MAP!A:B,2,FALSE)</f>
        <v>Laptop_Cover_26X37_CHECKS_ORANGE</v>
      </c>
      <c r="CM328" s="314" t="str">
        <f>VLOOKUP(R328,PRODUCT_MAP!A:E,3,FALSE)</f>
        <v>Laptop Cover</v>
      </c>
    </row>
    <row r="329" ht="22.5" customHeight="1">
      <c r="A329" s="308" t="s">
        <v>5536</v>
      </c>
      <c r="B329" s="308" t="s">
        <v>5537</v>
      </c>
      <c r="C329" s="308" t="s">
        <v>2942</v>
      </c>
      <c r="D329" s="308" t="s">
        <v>5538</v>
      </c>
      <c r="E329" s="308" t="s">
        <v>3013</v>
      </c>
      <c r="F329" s="308"/>
      <c r="G329" s="308" t="s">
        <v>2946</v>
      </c>
      <c r="H329" s="308" t="s">
        <v>2947</v>
      </c>
      <c r="I329" s="308">
        <v>112.5</v>
      </c>
      <c r="J329" s="308">
        <v>0.0</v>
      </c>
      <c r="K329" s="308">
        <v>20.28</v>
      </c>
      <c r="L329" s="308">
        <v>112.5</v>
      </c>
      <c r="M329" s="308" t="s">
        <v>3094</v>
      </c>
      <c r="N329" s="308">
        <v>12.5</v>
      </c>
      <c r="O329" s="308" t="s">
        <v>2948</v>
      </c>
      <c r="P329" s="308" t="s">
        <v>5539</v>
      </c>
      <c r="Q329" s="310">
        <v>1.0</v>
      </c>
      <c r="R329" s="308" t="s">
        <v>5543</v>
      </c>
      <c r="S329" s="308">
        <v>80.0</v>
      </c>
      <c r="T329" s="311"/>
      <c r="U329" s="308" t="s">
        <v>5544</v>
      </c>
      <c r="V329" s="308" t="b">
        <v>1</v>
      </c>
      <c r="W329" s="308" t="b">
        <v>1</v>
      </c>
      <c r="X329" s="308"/>
      <c r="Y329" s="308" t="s">
        <v>5540</v>
      </c>
      <c r="Z329" s="308" t="s">
        <v>5541</v>
      </c>
      <c r="AA329" s="308" t="s">
        <v>5541</v>
      </c>
      <c r="AB329" s="308"/>
      <c r="AC329" s="308"/>
      <c r="AD329" s="308" t="s">
        <v>5542</v>
      </c>
      <c r="AE329" s="308">
        <v>20090.0</v>
      </c>
      <c r="AF329" s="308" t="s">
        <v>2954</v>
      </c>
      <c r="AG329" s="308" t="s">
        <v>2955</v>
      </c>
      <c r="AH329" s="308">
        <v>3.88491162E9</v>
      </c>
      <c r="AI329" s="308" t="s">
        <v>5540</v>
      </c>
      <c r="AJ329" s="308" t="s">
        <v>5541</v>
      </c>
      <c r="AK329" s="308" t="s">
        <v>5541</v>
      </c>
      <c r="AL329" s="308"/>
      <c r="AM329" s="308"/>
      <c r="AN329" s="308" t="s">
        <v>5542</v>
      </c>
      <c r="AO329" s="308">
        <v>20090.0</v>
      </c>
      <c r="AP329" s="308" t="s">
        <v>2954</v>
      </c>
      <c r="AQ329" s="308" t="s">
        <v>2955</v>
      </c>
      <c r="AR329" s="308">
        <v>3.88491162E9</v>
      </c>
      <c r="AS329" s="311"/>
      <c r="AT329" s="311"/>
      <c r="AU329" s="311"/>
      <c r="AV329" s="308" t="s">
        <v>2956</v>
      </c>
      <c r="AW329" s="308">
        <v>4.7942619267399E13</v>
      </c>
      <c r="AX329" s="310">
        <v>0.0</v>
      </c>
      <c r="AY329" s="308" t="s">
        <v>2974</v>
      </c>
      <c r="AZ329" s="308">
        <v>0.0</v>
      </c>
      <c r="BA329" s="311"/>
      <c r="BB329" s="311"/>
      <c r="BC329" s="311"/>
      <c r="BD329" s="308">
        <v>7.816360395079E12</v>
      </c>
      <c r="BE329" s="311"/>
      <c r="BF329" s="311"/>
      <c r="BG329" s="308" t="s">
        <v>2958</v>
      </c>
      <c r="BH329" s="308">
        <v>0.0</v>
      </c>
      <c r="BI329" s="308" t="s">
        <v>2959</v>
      </c>
      <c r="BJ329" s="308">
        <v>12.98</v>
      </c>
      <c r="BK329" s="311"/>
      <c r="BL329" s="311"/>
      <c r="BM329" s="311"/>
      <c r="BN329" s="311"/>
      <c r="BO329" s="311"/>
      <c r="BP329" s="311"/>
      <c r="BQ329" s="311"/>
      <c r="BR329" s="311"/>
      <c r="BS329" s="308"/>
      <c r="BT329" s="311"/>
      <c r="BU329" s="311"/>
      <c r="BV329" s="308" t="s">
        <v>23</v>
      </c>
      <c r="BW329" s="308" t="s">
        <v>23</v>
      </c>
      <c r="BX329" s="308" t="s">
        <v>2956</v>
      </c>
      <c r="BY329" s="311"/>
      <c r="BZ329" s="311"/>
      <c r="CA329" s="308" t="s">
        <v>2956</v>
      </c>
      <c r="CB329" s="312" t="str">
        <f t="shared" si="1"/>
        <v>08/06/2026</v>
      </c>
      <c r="CC329" s="313">
        <f t="shared" si="2"/>
        <v>2026</v>
      </c>
      <c r="CD329" s="314">
        <f t="shared" si="3"/>
        <v>6</v>
      </c>
      <c r="CE329" s="314">
        <f t="shared" si="4"/>
        <v>0</v>
      </c>
      <c r="CF329" s="314">
        <f t="shared" si="5"/>
        <v>1</v>
      </c>
      <c r="CG329" s="314">
        <f t="shared" si="6"/>
        <v>-5</v>
      </c>
      <c r="CH329" s="315">
        <f>VLOOKUP(CL329,'PRODUCT_COGS&amp;PRICE'!A:E,5,false)</f>
        <v>19</v>
      </c>
      <c r="CI329" s="315">
        <f t="shared" si="7"/>
        <v>0</v>
      </c>
      <c r="CJ329" s="316">
        <f t="shared" si="8"/>
        <v>0</v>
      </c>
      <c r="CK329" s="316">
        <f t="shared" si="9"/>
        <v>12.5</v>
      </c>
      <c r="CL329" s="314" t="str">
        <f>VLOOKUP(R329,PRODUCT_MAP!A:B,2,FALSE)</f>
        <v>Agata_Bag_FLORAL_GREY</v>
      </c>
      <c r="CM329" s="314" t="str">
        <f>VLOOKUP(R329,PRODUCT_MAP!A:E,3,FALSE)</f>
        <v>Agata Bag</v>
      </c>
    </row>
    <row r="330" ht="22.5" customHeight="1">
      <c r="A330" s="308" t="s">
        <v>5545</v>
      </c>
      <c r="B330" s="308" t="s">
        <v>5546</v>
      </c>
      <c r="C330" s="308" t="s">
        <v>2942</v>
      </c>
      <c r="D330" s="308" t="s">
        <v>5547</v>
      </c>
      <c r="E330" s="308" t="s">
        <v>3013</v>
      </c>
      <c r="F330" s="308"/>
      <c r="G330" s="308" t="s">
        <v>2965</v>
      </c>
      <c r="H330" s="308" t="s">
        <v>2947</v>
      </c>
      <c r="I330" s="308">
        <v>81.0</v>
      </c>
      <c r="J330" s="308">
        <v>0.0</v>
      </c>
      <c r="K330" s="308">
        <v>14.61</v>
      </c>
      <c r="L330" s="308">
        <v>81.0</v>
      </c>
      <c r="M330" s="308" t="s">
        <v>3221</v>
      </c>
      <c r="N330" s="308">
        <v>9.0</v>
      </c>
      <c r="O330" s="308" t="s">
        <v>2979</v>
      </c>
      <c r="P330" s="308" t="s">
        <v>5548</v>
      </c>
      <c r="Q330" s="310">
        <v>1.0</v>
      </c>
      <c r="R330" s="308" t="s">
        <v>5549</v>
      </c>
      <c r="S330" s="308">
        <v>90.0</v>
      </c>
      <c r="T330" s="311"/>
      <c r="U330" s="308" t="s">
        <v>5550</v>
      </c>
      <c r="V330" s="308" t="b">
        <v>1</v>
      </c>
      <c r="W330" s="308" t="b">
        <v>1</v>
      </c>
      <c r="X330" s="308"/>
      <c r="Y330" s="308" t="s">
        <v>5551</v>
      </c>
      <c r="Z330" s="308" t="s">
        <v>5552</v>
      </c>
      <c r="AA330" s="308" t="s">
        <v>5552</v>
      </c>
      <c r="AB330" s="308"/>
      <c r="AC330" s="308"/>
      <c r="AD330" s="308" t="s">
        <v>3269</v>
      </c>
      <c r="AE330" s="308">
        <v>20900.0</v>
      </c>
      <c r="AF330" s="308" t="s">
        <v>3270</v>
      </c>
      <c r="AG330" s="308" t="s">
        <v>2955</v>
      </c>
      <c r="AH330" s="308">
        <v>3.491402508E9</v>
      </c>
      <c r="AI330" s="308"/>
      <c r="AJ330" s="308"/>
      <c r="AK330" s="308"/>
      <c r="AL330" s="308"/>
      <c r="AM330" s="308"/>
      <c r="AN330" s="308"/>
      <c r="AO330" s="308"/>
      <c r="AP330" s="308"/>
      <c r="AQ330" s="308"/>
      <c r="AR330" s="308"/>
      <c r="AS330" s="311"/>
      <c r="AT330" s="311"/>
      <c r="AU330" s="311"/>
      <c r="AV330" s="308" t="s">
        <v>3009</v>
      </c>
      <c r="AW330" s="308">
        <v>4.7942339789127E13</v>
      </c>
      <c r="AX330" s="310">
        <v>0.0</v>
      </c>
      <c r="AY330" s="308" t="s">
        <v>2974</v>
      </c>
      <c r="AZ330" s="308">
        <v>0.0</v>
      </c>
      <c r="BA330" s="311"/>
      <c r="BB330" s="311"/>
      <c r="BC330" s="311"/>
      <c r="BD330" s="308">
        <v>7.816937079111E12</v>
      </c>
      <c r="BE330" s="311"/>
      <c r="BF330" s="311"/>
      <c r="BG330" s="308" t="s">
        <v>2958</v>
      </c>
      <c r="BH330" s="308">
        <v>0.0</v>
      </c>
      <c r="BI330" s="308" t="s">
        <v>2959</v>
      </c>
      <c r="BJ330" s="308">
        <v>14.61</v>
      </c>
      <c r="BK330" s="311"/>
      <c r="BL330" s="311"/>
      <c r="BM330" s="311"/>
      <c r="BN330" s="311"/>
      <c r="BO330" s="311"/>
      <c r="BP330" s="311"/>
      <c r="BQ330" s="311"/>
      <c r="BR330" s="311"/>
      <c r="BS330" s="308"/>
      <c r="BT330" s="311"/>
      <c r="BU330" s="311"/>
      <c r="BV330" s="308" t="s">
        <v>3271</v>
      </c>
      <c r="BW330" s="308"/>
      <c r="BX330" s="308" t="s">
        <v>3009</v>
      </c>
      <c r="BY330" s="311"/>
      <c r="BZ330" s="311"/>
      <c r="CA330" s="308" t="s">
        <v>3009</v>
      </c>
      <c r="CB330" s="312" t="str">
        <f t="shared" si="1"/>
        <v>09/06/2026</v>
      </c>
      <c r="CC330" s="313">
        <f t="shared" si="2"/>
        <v>2026</v>
      </c>
      <c r="CD330" s="314">
        <f t="shared" si="3"/>
        <v>6</v>
      </c>
      <c r="CE330" s="314">
        <f t="shared" si="4"/>
        <v>1</v>
      </c>
      <c r="CF330" s="314">
        <f t="shared" si="5"/>
        <v>1</v>
      </c>
      <c r="CG330" s="314">
        <f t="shared" si="6"/>
        <v>-5</v>
      </c>
      <c r="CH330" s="315">
        <f>VLOOKUP(CL330,'PRODUCT_COGS&amp;PRICE'!A:E,5,false)</f>
        <v>19</v>
      </c>
      <c r="CI330" s="315">
        <f t="shared" si="7"/>
        <v>-3.1769</v>
      </c>
      <c r="CJ330" s="316">
        <f t="shared" si="8"/>
        <v>0</v>
      </c>
      <c r="CK330" s="316">
        <f t="shared" si="9"/>
        <v>9</v>
      </c>
      <c r="CL330" s="314" t="str">
        <f>VLOOKUP(R330,PRODUCT_MAP!A:B,2,FALSE)</f>
        <v>Agata_Bag_ROSE_BUTTER_GREEN</v>
      </c>
      <c r="CM330" s="314" t="str">
        <f>VLOOKUP(R330,PRODUCT_MAP!A:E,3,FALSE)</f>
        <v>Agata Bag</v>
      </c>
    </row>
    <row r="331" ht="22.5" customHeight="1">
      <c r="A331" s="308" t="s">
        <v>5553</v>
      </c>
      <c r="B331" s="308" t="s">
        <v>5554</v>
      </c>
      <c r="C331" s="308" t="s">
        <v>2942</v>
      </c>
      <c r="D331" s="308" t="s">
        <v>5555</v>
      </c>
      <c r="E331" s="308" t="s">
        <v>3013</v>
      </c>
      <c r="F331" s="308"/>
      <c r="G331" s="308" t="s">
        <v>2946</v>
      </c>
      <c r="H331" s="308" t="s">
        <v>2947</v>
      </c>
      <c r="I331" s="308">
        <v>108.0</v>
      </c>
      <c r="J331" s="308">
        <v>0.0</v>
      </c>
      <c r="K331" s="308">
        <v>19.48</v>
      </c>
      <c r="L331" s="308">
        <v>108.0</v>
      </c>
      <c r="M331" s="308" t="s">
        <v>3094</v>
      </c>
      <c r="N331" s="308">
        <v>12.0</v>
      </c>
      <c r="O331" s="308" t="s">
        <v>2948</v>
      </c>
      <c r="P331" s="308" t="s">
        <v>5556</v>
      </c>
      <c r="Q331" s="310">
        <v>1.0</v>
      </c>
      <c r="R331" s="308" t="s">
        <v>569</v>
      </c>
      <c r="S331" s="308">
        <v>120.0</v>
      </c>
      <c r="T331" s="311"/>
      <c r="U331" s="308" t="s">
        <v>3375</v>
      </c>
      <c r="V331" s="308" t="b">
        <v>1</v>
      </c>
      <c r="W331" s="308" t="b">
        <v>1</v>
      </c>
      <c r="X331" s="308"/>
      <c r="Y331" s="308" t="s">
        <v>5557</v>
      </c>
      <c r="Z331" s="308" t="s">
        <v>5558</v>
      </c>
      <c r="AA331" s="308" t="s">
        <v>5559</v>
      </c>
      <c r="AB331" s="308" t="s">
        <v>5560</v>
      </c>
      <c r="AC331" s="308"/>
      <c r="AD331" s="308" t="s">
        <v>3655</v>
      </c>
      <c r="AE331" s="308">
        <v>10121.0</v>
      </c>
      <c r="AF331" s="308" t="s">
        <v>3654</v>
      </c>
      <c r="AG331" s="308" t="s">
        <v>2955</v>
      </c>
      <c r="AH331" s="308">
        <v>3.312259873E9</v>
      </c>
      <c r="AI331" s="308" t="s">
        <v>5557</v>
      </c>
      <c r="AJ331" s="308" t="s">
        <v>5558</v>
      </c>
      <c r="AK331" s="308" t="s">
        <v>5559</v>
      </c>
      <c r="AL331" s="308" t="s">
        <v>5560</v>
      </c>
      <c r="AM331" s="308"/>
      <c r="AN331" s="308" t="s">
        <v>3655</v>
      </c>
      <c r="AO331" s="308">
        <v>10121.0</v>
      </c>
      <c r="AP331" s="308" t="s">
        <v>3654</v>
      </c>
      <c r="AQ331" s="308" t="s">
        <v>2955</v>
      </c>
      <c r="AR331" s="308">
        <v>3.312259873E9</v>
      </c>
      <c r="AS331" s="311"/>
      <c r="AT331" s="311"/>
      <c r="AU331" s="311"/>
      <c r="AV331" s="308" t="s">
        <v>2956</v>
      </c>
      <c r="AW331" s="308">
        <v>4.7946153394503E13</v>
      </c>
      <c r="AX331" s="310">
        <v>0.0</v>
      </c>
      <c r="AY331" s="308" t="s">
        <v>2974</v>
      </c>
      <c r="AZ331" s="308">
        <v>0.0</v>
      </c>
      <c r="BA331" s="311"/>
      <c r="BB331" s="311"/>
      <c r="BC331" s="311"/>
      <c r="BD331" s="308">
        <v>7.817992208711E12</v>
      </c>
      <c r="BE331" s="311"/>
      <c r="BF331" s="311"/>
      <c r="BG331" s="308" t="s">
        <v>2958</v>
      </c>
      <c r="BH331" s="308">
        <v>0.0</v>
      </c>
      <c r="BI331" s="308" t="s">
        <v>2959</v>
      </c>
      <c r="BJ331" s="308">
        <v>19.48</v>
      </c>
      <c r="BK331" s="311"/>
      <c r="BL331" s="311"/>
      <c r="BM331" s="311"/>
      <c r="BN331" s="311"/>
      <c r="BO331" s="311"/>
      <c r="BP331" s="311"/>
      <c r="BQ331" s="311"/>
      <c r="BR331" s="311"/>
      <c r="BS331" s="308"/>
      <c r="BT331" s="311"/>
      <c r="BU331" s="311"/>
      <c r="BV331" s="308" t="s">
        <v>3655</v>
      </c>
      <c r="BW331" s="308" t="s">
        <v>3655</v>
      </c>
      <c r="BX331" s="308" t="s">
        <v>2956</v>
      </c>
      <c r="BY331" s="311"/>
      <c r="BZ331" s="311"/>
      <c r="CA331" s="308" t="s">
        <v>2956</v>
      </c>
      <c r="CB331" s="312" t="str">
        <f t="shared" si="1"/>
        <v>09/06/2026</v>
      </c>
      <c r="CC331" s="313">
        <f t="shared" si="2"/>
        <v>2026</v>
      </c>
      <c r="CD331" s="314">
        <f t="shared" si="3"/>
        <v>6</v>
      </c>
      <c r="CE331" s="314">
        <f t="shared" si="4"/>
        <v>1</v>
      </c>
      <c r="CF331" s="314">
        <f t="shared" si="5"/>
        <v>1</v>
      </c>
      <c r="CG331" s="314">
        <f t="shared" si="6"/>
        <v>-5</v>
      </c>
      <c r="CH331" s="315">
        <f>VLOOKUP(CL331,'PRODUCT_COGS&amp;PRICE'!A:E,5,false)</f>
        <v>20</v>
      </c>
      <c r="CI331" s="315">
        <f t="shared" si="7"/>
        <v>-2.302</v>
      </c>
      <c r="CJ331" s="316">
        <f t="shared" si="8"/>
        <v>0</v>
      </c>
      <c r="CK331" s="316">
        <f t="shared" si="9"/>
        <v>12</v>
      </c>
      <c r="CL331" s="314" t="str">
        <f>VLOOKUP(R331,PRODUCT_MAP!A:B,2,FALSE)</f>
        <v>Lea_Bag_RED_PATENT</v>
      </c>
      <c r="CM331" s="314" t="str">
        <f>VLOOKUP(R331,PRODUCT_MAP!A:E,3,FALSE)</f>
        <v>Lea Bag</v>
      </c>
    </row>
    <row r="332" ht="22.5" customHeight="1">
      <c r="A332" s="308" t="s">
        <v>5561</v>
      </c>
      <c r="B332" s="308" t="s">
        <v>5562</v>
      </c>
      <c r="C332" s="308" t="s">
        <v>2942</v>
      </c>
      <c r="D332" s="308" t="s">
        <v>5563</v>
      </c>
      <c r="E332" s="308" t="s">
        <v>3013</v>
      </c>
      <c r="F332" s="308"/>
      <c r="G332" s="308" t="s">
        <v>2946</v>
      </c>
      <c r="H332" s="308" t="s">
        <v>2947</v>
      </c>
      <c r="I332" s="308">
        <v>150.0</v>
      </c>
      <c r="J332" s="308">
        <v>0.0</v>
      </c>
      <c r="K332" s="308">
        <v>27.05</v>
      </c>
      <c r="L332" s="308">
        <v>150.0</v>
      </c>
      <c r="M332" s="308"/>
      <c r="N332" s="308">
        <v>0.0</v>
      </c>
      <c r="O332" s="308" t="s">
        <v>2948</v>
      </c>
      <c r="P332" s="308" t="s">
        <v>5564</v>
      </c>
      <c r="Q332" s="310">
        <v>1.0</v>
      </c>
      <c r="R332" s="308" t="s">
        <v>574</v>
      </c>
      <c r="S332" s="308">
        <v>150.0</v>
      </c>
      <c r="T332" s="311"/>
      <c r="U332" s="308" t="s">
        <v>181</v>
      </c>
      <c r="V332" s="308" t="b">
        <v>1</v>
      </c>
      <c r="W332" s="308" t="b">
        <v>1</v>
      </c>
      <c r="X332" s="308"/>
      <c r="Y332" s="308" t="s">
        <v>5565</v>
      </c>
      <c r="Z332" s="308" t="s">
        <v>5566</v>
      </c>
      <c r="AA332" s="308" t="s">
        <v>5567</v>
      </c>
      <c r="AB332" s="308" t="s">
        <v>5568</v>
      </c>
      <c r="AC332" s="308"/>
      <c r="AD332" s="308" t="s">
        <v>5569</v>
      </c>
      <c r="AE332" s="308">
        <v>25063.0</v>
      </c>
      <c r="AF332" s="308" t="s">
        <v>3608</v>
      </c>
      <c r="AG332" s="308" t="s">
        <v>2955</v>
      </c>
      <c r="AH332" s="308"/>
      <c r="AI332" s="308" t="s">
        <v>5565</v>
      </c>
      <c r="AJ332" s="308" t="s">
        <v>5570</v>
      </c>
      <c r="AK332" s="308" t="s">
        <v>5571</v>
      </c>
      <c r="AL332" s="308" t="s">
        <v>5572</v>
      </c>
      <c r="AM332" s="308"/>
      <c r="AN332" s="308" t="s">
        <v>5573</v>
      </c>
      <c r="AO332" s="308">
        <v>25063.0</v>
      </c>
      <c r="AP332" s="308" t="s">
        <v>3608</v>
      </c>
      <c r="AQ332" s="308" t="s">
        <v>2955</v>
      </c>
      <c r="AR332" s="318" t="s">
        <v>5574</v>
      </c>
      <c r="AS332" s="311"/>
      <c r="AT332" s="311"/>
      <c r="AU332" s="311"/>
      <c r="AV332" s="308" t="s">
        <v>2956</v>
      </c>
      <c r="AW332" s="308">
        <v>4.7946995532103E13</v>
      </c>
      <c r="AX332" s="310">
        <v>0.0</v>
      </c>
      <c r="AY332" s="308" t="s">
        <v>2974</v>
      </c>
      <c r="AZ332" s="308">
        <v>0.0</v>
      </c>
      <c r="BA332" s="311"/>
      <c r="BB332" s="311"/>
      <c r="BC332" s="311"/>
      <c r="BD332" s="308">
        <v>7.818831036743E12</v>
      </c>
      <c r="BE332" s="311"/>
      <c r="BF332" s="311"/>
      <c r="BG332" s="308" t="s">
        <v>2958</v>
      </c>
      <c r="BH332" s="308">
        <v>0.0</v>
      </c>
      <c r="BI332" s="308" t="s">
        <v>2959</v>
      </c>
      <c r="BJ332" s="308">
        <v>27.05</v>
      </c>
      <c r="BK332" s="311"/>
      <c r="BL332" s="311"/>
      <c r="BM332" s="311"/>
      <c r="BN332" s="311"/>
      <c r="BO332" s="311"/>
      <c r="BP332" s="311"/>
      <c r="BQ332" s="311"/>
      <c r="BR332" s="311"/>
      <c r="BS332" s="308"/>
      <c r="BT332" s="311"/>
      <c r="BU332" s="311"/>
      <c r="BV332" s="308" t="s">
        <v>3612</v>
      </c>
      <c r="BW332" s="308" t="s">
        <v>3612</v>
      </c>
      <c r="BX332" s="308" t="s">
        <v>2956</v>
      </c>
      <c r="BY332" s="311"/>
      <c r="BZ332" s="311"/>
      <c r="CA332" s="308" t="s">
        <v>2956</v>
      </c>
      <c r="CB332" s="312" t="str">
        <f t="shared" si="1"/>
        <v>09/06/2026</v>
      </c>
      <c r="CC332" s="313">
        <f t="shared" si="2"/>
        <v>2026</v>
      </c>
      <c r="CD332" s="314">
        <f t="shared" si="3"/>
        <v>6</v>
      </c>
      <c r="CE332" s="314">
        <f t="shared" si="4"/>
        <v>1</v>
      </c>
      <c r="CF332" s="314">
        <f t="shared" si="5"/>
        <v>1</v>
      </c>
      <c r="CG332" s="314">
        <f t="shared" si="6"/>
        <v>-5</v>
      </c>
      <c r="CH332" s="315">
        <f>VLOOKUP(CL332,'PRODUCT_COGS&amp;PRICE'!A:E,5,false)</f>
        <v>30.33</v>
      </c>
      <c r="CI332" s="315">
        <f t="shared" si="7"/>
        <v>-3.1</v>
      </c>
      <c r="CJ332" s="316">
        <f t="shared" si="8"/>
        <v>0</v>
      </c>
      <c r="CK332" s="316">
        <f t="shared" si="9"/>
        <v>0</v>
      </c>
      <c r="CL332" s="314" t="str">
        <f>VLOOKUP(R332,PRODUCT_MAP!A:B,2,FALSE)</f>
        <v>Lea_Bag_LEOPARDO_SAVANA</v>
      </c>
      <c r="CM332" s="314" t="str">
        <f>VLOOKUP(R332,PRODUCT_MAP!A:E,3,FALSE)</f>
        <v>Lea Bag</v>
      </c>
    </row>
    <row r="333" ht="22.5" customHeight="1">
      <c r="A333" s="308" t="s">
        <v>5575</v>
      </c>
      <c r="B333" s="308" t="s">
        <v>5576</v>
      </c>
      <c r="C333" s="308" t="s">
        <v>2942</v>
      </c>
      <c r="D333" s="308" t="s">
        <v>5577</v>
      </c>
      <c r="E333" s="308" t="s">
        <v>3013</v>
      </c>
      <c r="F333" s="308"/>
      <c r="G333" s="308" t="s">
        <v>2946</v>
      </c>
      <c r="H333" s="308" t="s">
        <v>2947</v>
      </c>
      <c r="I333" s="308">
        <v>108.0</v>
      </c>
      <c r="J333" s="308">
        <v>0.0</v>
      </c>
      <c r="K333" s="308">
        <v>19.48</v>
      </c>
      <c r="L333" s="308">
        <v>108.0</v>
      </c>
      <c r="M333" s="308" t="s">
        <v>3094</v>
      </c>
      <c r="N333" s="308">
        <v>12.0</v>
      </c>
      <c r="O333" s="308" t="s">
        <v>2948</v>
      </c>
      <c r="P333" s="308" t="s">
        <v>5578</v>
      </c>
      <c r="Q333" s="310">
        <v>1.0</v>
      </c>
      <c r="R333" s="308" t="s">
        <v>569</v>
      </c>
      <c r="S333" s="308">
        <v>120.0</v>
      </c>
      <c r="T333" s="311"/>
      <c r="U333" s="308" t="s">
        <v>3375</v>
      </c>
      <c r="V333" s="308" t="b">
        <v>1</v>
      </c>
      <c r="W333" s="308" t="b">
        <v>1</v>
      </c>
      <c r="X333" s="308"/>
      <c r="Y333" s="308" t="s">
        <v>5579</v>
      </c>
      <c r="Z333" s="308" t="s">
        <v>5580</v>
      </c>
      <c r="AA333" s="308" t="s">
        <v>5580</v>
      </c>
      <c r="AB333" s="308"/>
      <c r="AC333" s="308"/>
      <c r="AD333" s="308" t="s">
        <v>5581</v>
      </c>
      <c r="AE333" s="308">
        <v>20062.0</v>
      </c>
      <c r="AF333" s="308" t="s">
        <v>2954</v>
      </c>
      <c r="AG333" s="308" t="s">
        <v>2955</v>
      </c>
      <c r="AH333" s="308"/>
      <c r="AI333" s="308" t="s">
        <v>5582</v>
      </c>
      <c r="AJ333" s="308" t="s">
        <v>5583</v>
      </c>
      <c r="AK333" s="308" t="s">
        <v>5584</v>
      </c>
      <c r="AL333" s="308" t="s">
        <v>5585</v>
      </c>
      <c r="AM333" s="308"/>
      <c r="AN333" s="308" t="s">
        <v>5586</v>
      </c>
      <c r="AO333" s="308">
        <v>20062.0</v>
      </c>
      <c r="AP333" s="308" t="s">
        <v>2954</v>
      </c>
      <c r="AQ333" s="308" t="s">
        <v>2955</v>
      </c>
      <c r="AR333" s="318" t="s">
        <v>5587</v>
      </c>
      <c r="AS333" s="311"/>
      <c r="AT333" s="311"/>
      <c r="AU333" s="311"/>
      <c r="AV333" s="308" t="s">
        <v>2956</v>
      </c>
      <c r="AW333" s="308">
        <v>4.7947741823303E13</v>
      </c>
      <c r="AX333" s="310">
        <v>0.0</v>
      </c>
      <c r="AY333" s="308" t="s">
        <v>2974</v>
      </c>
      <c r="AZ333" s="308">
        <v>0.0</v>
      </c>
      <c r="BA333" s="311"/>
      <c r="BB333" s="311"/>
      <c r="BC333" s="311"/>
      <c r="BD333" s="308">
        <v>7.819273371975E12</v>
      </c>
      <c r="BE333" s="311"/>
      <c r="BF333" s="311"/>
      <c r="BG333" s="308" t="s">
        <v>2958</v>
      </c>
      <c r="BH333" s="308">
        <v>0.0</v>
      </c>
      <c r="BI333" s="308" t="s">
        <v>2959</v>
      </c>
      <c r="BJ333" s="308">
        <v>19.48</v>
      </c>
      <c r="BK333" s="311"/>
      <c r="BL333" s="311"/>
      <c r="BM333" s="311"/>
      <c r="BN333" s="311"/>
      <c r="BO333" s="311"/>
      <c r="BP333" s="311"/>
      <c r="BQ333" s="311"/>
      <c r="BR333" s="311"/>
      <c r="BS333" s="308"/>
      <c r="BT333" s="311"/>
      <c r="BU333" s="311"/>
      <c r="BV333" s="308" t="s">
        <v>23</v>
      </c>
      <c r="BW333" s="308" t="s">
        <v>23</v>
      </c>
      <c r="BX333" s="308" t="s">
        <v>2956</v>
      </c>
      <c r="BY333" s="311"/>
      <c r="BZ333" s="311"/>
      <c r="CA333" s="308" t="s">
        <v>2956</v>
      </c>
      <c r="CB333" s="312" t="str">
        <f t="shared" si="1"/>
        <v>09/06/2026</v>
      </c>
      <c r="CC333" s="313">
        <f t="shared" si="2"/>
        <v>2026</v>
      </c>
      <c r="CD333" s="314">
        <f t="shared" si="3"/>
        <v>6</v>
      </c>
      <c r="CE333" s="314">
        <f t="shared" si="4"/>
        <v>1</v>
      </c>
      <c r="CF333" s="314">
        <f t="shared" si="5"/>
        <v>1</v>
      </c>
      <c r="CG333" s="314">
        <f t="shared" si="6"/>
        <v>-5</v>
      </c>
      <c r="CH333" s="315">
        <f>VLOOKUP(CL333,'PRODUCT_COGS&amp;PRICE'!A:E,5,false)</f>
        <v>20</v>
      </c>
      <c r="CI333" s="315">
        <f t="shared" si="7"/>
        <v>-2.302</v>
      </c>
      <c r="CJ333" s="316">
        <f t="shared" si="8"/>
        <v>0</v>
      </c>
      <c r="CK333" s="316">
        <f t="shared" si="9"/>
        <v>12</v>
      </c>
      <c r="CL333" s="314" t="str">
        <f>VLOOKUP(R333,PRODUCT_MAP!A:B,2,FALSE)</f>
        <v>Lea_Bag_RED_PATENT</v>
      </c>
      <c r="CM333" s="314" t="str">
        <f>VLOOKUP(R333,PRODUCT_MAP!A:E,3,FALSE)</f>
        <v>Lea Bag</v>
      </c>
    </row>
    <row r="334" ht="22.5" customHeight="1">
      <c r="A334" s="308" t="s">
        <v>5588</v>
      </c>
      <c r="B334" s="308" t="s">
        <v>5589</v>
      </c>
      <c r="C334" s="308" t="s">
        <v>2942</v>
      </c>
      <c r="D334" s="308" t="s">
        <v>5590</v>
      </c>
      <c r="E334" s="308" t="s">
        <v>3013</v>
      </c>
      <c r="F334" s="308"/>
      <c r="G334" s="308" t="s">
        <v>2946</v>
      </c>
      <c r="H334" s="308" t="s">
        <v>2947</v>
      </c>
      <c r="I334" s="308">
        <v>90.0</v>
      </c>
      <c r="J334" s="308">
        <v>0.0</v>
      </c>
      <c r="K334" s="308">
        <v>16.23</v>
      </c>
      <c r="L334" s="308">
        <v>90.0</v>
      </c>
      <c r="M334" s="308"/>
      <c r="N334" s="308">
        <v>0.0</v>
      </c>
      <c r="O334" s="308" t="s">
        <v>2979</v>
      </c>
      <c r="P334" s="308" t="s">
        <v>5591</v>
      </c>
      <c r="Q334" s="310">
        <v>1.0</v>
      </c>
      <c r="R334" s="308" t="s">
        <v>5592</v>
      </c>
      <c r="S334" s="308">
        <v>90.0</v>
      </c>
      <c r="T334" s="311"/>
      <c r="U334" s="308" t="s">
        <v>5593</v>
      </c>
      <c r="V334" s="308" t="b">
        <v>1</v>
      </c>
      <c r="W334" s="308" t="b">
        <v>1</v>
      </c>
      <c r="X334" s="308"/>
      <c r="Y334" s="308" t="s">
        <v>5594</v>
      </c>
      <c r="Z334" s="308" t="s">
        <v>5595</v>
      </c>
      <c r="AA334" s="308" t="s">
        <v>5596</v>
      </c>
      <c r="AB334" s="308" t="s">
        <v>5597</v>
      </c>
      <c r="AC334" s="308"/>
      <c r="AD334" s="308" t="s">
        <v>23</v>
      </c>
      <c r="AE334" s="308">
        <v>20131.0</v>
      </c>
      <c r="AF334" s="308" t="s">
        <v>2954</v>
      </c>
      <c r="AG334" s="308" t="s">
        <v>2955</v>
      </c>
      <c r="AH334" s="308"/>
      <c r="AI334" s="308"/>
      <c r="AJ334" s="308"/>
      <c r="AK334" s="308"/>
      <c r="AL334" s="308"/>
      <c r="AM334" s="308"/>
      <c r="AN334" s="308"/>
      <c r="AO334" s="308"/>
      <c r="AP334" s="308"/>
      <c r="AQ334" s="308"/>
      <c r="AR334" s="308"/>
      <c r="AS334" s="311"/>
      <c r="AT334" s="311"/>
      <c r="AU334" s="311"/>
      <c r="AV334" s="308" t="s">
        <v>2956</v>
      </c>
      <c r="AW334" s="308">
        <v>4.7948200739143E13</v>
      </c>
      <c r="AX334" s="310">
        <v>0.0</v>
      </c>
      <c r="AY334" s="308" t="s">
        <v>2974</v>
      </c>
      <c r="AZ334" s="308">
        <v>0.0</v>
      </c>
      <c r="BA334" s="311"/>
      <c r="BB334" s="311"/>
      <c r="BC334" s="311"/>
      <c r="BD334" s="308">
        <v>7.819502125383E12</v>
      </c>
      <c r="BE334" s="311"/>
      <c r="BF334" s="311"/>
      <c r="BG334" s="308" t="s">
        <v>2958</v>
      </c>
      <c r="BH334" s="308">
        <v>0.0</v>
      </c>
      <c r="BI334" s="308" t="s">
        <v>2959</v>
      </c>
      <c r="BJ334" s="308">
        <v>16.23</v>
      </c>
      <c r="BK334" s="311"/>
      <c r="BL334" s="311"/>
      <c r="BM334" s="311"/>
      <c r="BN334" s="311"/>
      <c r="BO334" s="311"/>
      <c r="BP334" s="311"/>
      <c r="BQ334" s="311"/>
      <c r="BR334" s="311"/>
      <c r="BS334" s="308"/>
      <c r="BT334" s="311"/>
      <c r="BU334" s="311"/>
      <c r="BV334" s="308" t="s">
        <v>23</v>
      </c>
      <c r="BW334" s="308"/>
      <c r="BX334" s="308" t="s">
        <v>2956</v>
      </c>
      <c r="BY334" s="311"/>
      <c r="BZ334" s="311"/>
      <c r="CA334" s="308" t="s">
        <v>2956</v>
      </c>
      <c r="CB334" s="312" t="str">
        <f t="shared" si="1"/>
        <v>09/06/2026</v>
      </c>
      <c r="CC334" s="313">
        <f t="shared" si="2"/>
        <v>2026</v>
      </c>
      <c r="CD334" s="314">
        <f t="shared" si="3"/>
        <v>6</v>
      </c>
      <c r="CE334" s="314">
        <f t="shared" si="4"/>
        <v>1</v>
      </c>
      <c r="CF334" s="314">
        <f t="shared" si="5"/>
        <v>1</v>
      </c>
      <c r="CG334" s="314">
        <f t="shared" si="6"/>
        <v>-5</v>
      </c>
      <c r="CH334" s="315">
        <f>VLOOKUP(CL334,'PRODUCT_COGS&amp;PRICE'!A:E,5,false)</f>
        <v>16.5</v>
      </c>
      <c r="CI334" s="315">
        <f t="shared" si="7"/>
        <v>-1.96</v>
      </c>
      <c r="CJ334" s="316">
        <f t="shared" si="8"/>
        <v>0</v>
      </c>
      <c r="CK334" s="316">
        <f t="shared" si="9"/>
        <v>0</v>
      </c>
      <c r="CL334" s="314" t="str">
        <f>VLOOKUP(R334,PRODUCT_MAP!A:B,2,FALSE)</f>
        <v>Annie_Bag_PAILLETTES_CANDY_PINK</v>
      </c>
      <c r="CM334" s="314" t="str">
        <f>VLOOKUP(R334,PRODUCT_MAP!A:E,3,FALSE)</f>
        <v>Annie Bag</v>
      </c>
    </row>
    <row r="335" ht="22.5" customHeight="1">
      <c r="A335" s="308" t="s">
        <v>5598</v>
      </c>
      <c r="B335" s="308" t="s">
        <v>5599</v>
      </c>
      <c r="C335" s="308" t="s">
        <v>2942</v>
      </c>
      <c r="D335" s="308" t="s">
        <v>5600</v>
      </c>
      <c r="E335" s="308" t="s">
        <v>3013</v>
      </c>
      <c r="F335" s="308"/>
      <c r="G335" s="308" t="s">
        <v>2965</v>
      </c>
      <c r="H335" s="308" t="s">
        <v>2947</v>
      </c>
      <c r="I335" s="308">
        <v>150.0</v>
      </c>
      <c r="J335" s="308">
        <v>0.0</v>
      </c>
      <c r="K335" s="308">
        <v>27.05</v>
      </c>
      <c r="L335" s="308">
        <v>150.0</v>
      </c>
      <c r="M335" s="308"/>
      <c r="N335" s="308">
        <v>0.0</v>
      </c>
      <c r="O335" s="308" t="s">
        <v>2979</v>
      </c>
      <c r="P335" s="308" t="s">
        <v>5601</v>
      </c>
      <c r="Q335" s="310">
        <v>1.0</v>
      </c>
      <c r="R335" s="308" t="s">
        <v>574</v>
      </c>
      <c r="S335" s="308">
        <v>150.0</v>
      </c>
      <c r="T335" s="311"/>
      <c r="U335" s="308" t="s">
        <v>181</v>
      </c>
      <c r="V335" s="308" t="b">
        <v>1</v>
      </c>
      <c r="W335" s="308" t="b">
        <v>1</v>
      </c>
      <c r="X335" s="308"/>
      <c r="Y335" s="308" t="s">
        <v>5602</v>
      </c>
      <c r="Z335" s="308" t="s">
        <v>5603</v>
      </c>
      <c r="AA335" s="308" t="s">
        <v>5603</v>
      </c>
      <c r="AB335" s="308"/>
      <c r="AC335" s="308"/>
      <c r="AD335" s="308" t="s">
        <v>5604</v>
      </c>
      <c r="AE335" s="308">
        <v>65027.0</v>
      </c>
      <c r="AF335" s="308" t="s">
        <v>4674</v>
      </c>
      <c r="AG335" s="308" t="s">
        <v>2955</v>
      </c>
      <c r="AH335" s="308">
        <v>3.288051518E9</v>
      </c>
      <c r="AI335" s="308"/>
      <c r="AJ335" s="308"/>
      <c r="AK335" s="308"/>
      <c r="AL335" s="308"/>
      <c r="AM335" s="308"/>
      <c r="AN335" s="308"/>
      <c r="AO335" s="308"/>
      <c r="AP335" s="308"/>
      <c r="AQ335" s="308"/>
      <c r="AR335" s="308"/>
      <c r="AS335" s="311"/>
      <c r="AT335" s="311"/>
      <c r="AU335" s="311"/>
      <c r="AV335" s="308" t="s">
        <v>2956</v>
      </c>
      <c r="AW335" s="308">
        <v>4.7948278694215E13</v>
      </c>
      <c r="AX335" s="310">
        <v>0.0</v>
      </c>
      <c r="AY335" s="308" t="s">
        <v>2974</v>
      </c>
      <c r="AZ335" s="308">
        <v>0.0</v>
      </c>
      <c r="BA335" s="311"/>
      <c r="BB335" s="311"/>
      <c r="BC335" s="311"/>
      <c r="BD335" s="308">
        <v>7.819537219911E12</v>
      </c>
      <c r="BE335" s="311"/>
      <c r="BF335" s="311"/>
      <c r="BG335" s="308" t="s">
        <v>2958</v>
      </c>
      <c r="BH335" s="308">
        <v>0.0</v>
      </c>
      <c r="BI335" s="308" t="s">
        <v>2959</v>
      </c>
      <c r="BJ335" s="308">
        <v>27.05</v>
      </c>
      <c r="BK335" s="311"/>
      <c r="BL335" s="311"/>
      <c r="BM335" s="311"/>
      <c r="BN335" s="311"/>
      <c r="BO335" s="311"/>
      <c r="BP335" s="311"/>
      <c r="BQ335" s="311"/>
      <c r="BR335" s="311"/>
      <c r="BS335" s="308"/>
      <c r="BT335" s="311"/>
      <c r="BU335" s="311"/>
      <c r="BV335" s="308" t="s">
        <v>4673</v>
      </c>
      <c r="BW335" s="308"/>
      <c r="BX335" s="308" t="s">
        <v>2956</v>
      </c>
      <c r="BY335" s="311"/>
      <c r="BZ335" s="311"/>
      <c r="CA335" s="308" t="s">
        <v>2956</v>
      </c>
      <c r="CB335" s="312" t="str">
        <f t="shared" si="1"/>
        <v>09/06/2026</v>
      </c>
      <c r="CC335" s="313">
        <f t="shared" si="2"/>
        <v>2026</v>
      </c>
      <c r="CD335" s="314">
        <f t="shared" si="3"/>
        <v>6</v>
      </c>
      <c r="CE335" s="314">
        <f t="shared" si="4"/>
        <v>1</v>
      </c>
      <c r="CF335" s="314">
        <f t="shared" si="5"/>
        <v>1</v>
      </c>
      <c r="CG335" s="314">
        <f t="shared" si="6"/>
        <v>-5</v>
      </c>
      <c r="CH335" s="315">
        <f>VLOOKUP(CL335,'PRODUCT_COGS&amp;PRICE'!A:E,5,false)</f>
        <v>30.33</v>
      </c>
      <c r="CI335" s="315">
        <f t="shared" si="7"/>
        <v>-3.1</v>
      </c>
      <c r="CJ335" s="316">
        <f t="shared" si="8"/>
        <v>0</v>
      </c>
      <c r="CK335" s="316">
        <f t="shared" si="9"/>
        <v>0</v>
      </c>
      <c r="CL335" s="314" t="str">
        <f>VLOOKUP(R335,PRODUCT_MAP!A:B,2,FALSE)</f>
        <v>Lea_Bag_LEOPARDO_SAVANA</v>
      </c>
      <c r="CM335" s="314" t="str">
        <f>VLOOKUP(R335,PRODUCT_MAP!A:E,3,FALSE)</f>
        <v>Lea Bag</v>
      </c>
    </row>
    <row r="336" ht="22.5" customHeight="1">
      <c r="A336" s="308" t="s">
        <v>5605</v>
      </c>
      <c r="B336" s="308" t="s">
        <v>5606</v>
      </c>
      <c r="C336" s="308" t="s">
        <v>2942</v>
      </c>
      <c r="D336" s="308" t="s">
        <v>5607</v>
      </c>
      <c r="E336" s="308" t="s">
        <v>3013</v>
      </c>
      <c r="F336" s="308"/>
      <c r="G336" s="308" t="s">
        <v>2946</v>
      </c>
      <c r="H336" s="308" t="s">
        <v>2947</v>
      </c>
      <c r="I336" s="308">
        <v>45.0</v>
      </c>
      <c r="J336" s="308">
        <v>0.0</v>
      </c>
      <c r="K336" s="308">
        <v>8.11</v>
      </c>
      <c r="L336" s="308">
        <v>45.0</v>
      </c>
      <c r="M336" s="308" t="s">
        <v>3094</v>
      </c>
      <c r="N336" s="308">
        <v>5.0</v>
      </c>
      <c r="O336" s="308" t="s">
        <v>2979</v>
      </c>
      <c r="P336" s="308" t="s">
        <v>5608</v>
      </c>
      <c r="Q336" s="310">
        <v>1.0</v>
      </c>
      <c r="R336" s="308" t="s">
        <v>722</v>
      </c>
      <c r="S336" s="308">
        <v>50.0</v>
      </c>
      <c r="T336" s="311"/>
      <c r="U336" s="308" t="s">
        <v>4315</v>
      </c>
      <c r="V336" s="308" t="b">
        <v>1</v>
      </c>
      <c r="W336" s="308" t="b">
        <v>1</v>
      </c>
      <c r="X336" s="308"/>
      <c r="Y336" s="308" t="s">
        <v>5609</v>
      </c>
      <c r="Z336" s="308" t="s">
        <v>5610</v>
      </c>
      <c r="AA336" s="308" t="s">
        <v>5610</v>
      </c>
      <c r="AB336" s="308"/>
      <c r="AC336" s="308"/>
      <c r="AD336" s="308" t="s">
        <v>23</v>
      </c>
      <c r="AE336" s="308">
        <v>20133.0</v>
      </c>
      <c r="AF336" s="308" t="s">
        <v>2954</v>
      </c>
      <c r="AG336" s="308" t="s">
        <v>2955</v>
      </c>
      <c r="AH336" s="308">
        <v>3.275621386E9</v>
      </c>
      <c r="AI336" s="308"/>
      <c r="AJ336" s="308"/>
      <c r="AK336" s="308"/>
      <c r="AL336" s="308"/>
      <c r="AM336" s="308"/>
      <c r="AN336" s="308"/>
      <c r="AO336" s="308"/>
      <c r="AP336" s="308"/>
      <c r="AQ336" s="308"/>
      <c r="AR336" s="308"/>
      <c r="AS336" s="311"/>
      <c r="AT336" s="311"/>
      <c r="AU336" s="311"/>
      <c r="AV336" s="308" t="s">
        <v>3009</v>
      </c>
      <c r="AW336" s="308">
        <v>4.7948998967623E13</v>
      </c>
      <c r="AX336" s="310">
        <v>0.0</v>
      </c>
      <c r="AY336" s="308" t="s">
        <v>2974</v>
      </c>
      <c r="AZ336" s="308">
        <v>0.0</v>
      </c>
      <c r="BA336" s="311"/>
      <c r="BB336" s="311"/>
      <c r="BC336" s="311"/>
      <c r="BD336" s="308">
        <v>7.819885904199E12</v>
      </c>
      <c r="BE336" s="311"/>
      <c r="BF336" s="311"/>
      <c r="BG336" s="308" t="s">
        <v>2958</v>
      </c>
      <c r="BH336" s="308">
        <v>0.0</v>
      </c>
      <c r="BI336" s="308" t="s">
        <v>2959</v>
      </c>
      <c r="BJ336" s="308">
        <v>8.11</v>
      </c>
      <c r="BK336" s="311"/>
      <c r="BL336" s="311"/>
      <c r="BM336" s="311"/>
      <c r="BN336" s="311"/>
      <c r="BO336" s="311"/>
      <c r="BP336" s="311"/>
      <c r="BQ336" s="311"/>
      <c r="BR336" s="311"/>
      <c r="BS336" s="308"/>
      <c r="BT336" s="311"/>
      <c r="BU336" s="311"/>
      <c r="BV336" s="308" t="s">
        <v>23</v>
      </c>
      <c r="BW336" s="308"/>
      <c r="BX336" s="308" t="s">
        <v>3009</v>
      </c>
      <c r="BY336" s="311"/>
      <c r="BZ336" s="311"/>
      <c r="CA336" s="308" t="s">
        <v>3009</v>
      </c>
      <c r="CB336" s="312" t="str">
        <f t="shared" si="1"/>
        <v>10/06/2026</v>
      </c>
      <c r="CC336" s="313">
        <f t="shared" si="2"/>
        <v>2026</v>
      </c>
      <c r="CD336" s="314">
        <f t="shared" si="3"/>
        <v>6</v>
      </c>
      <c r="CE336" s="314">
        <f t="shared" si="4"/>
        <v>1</v>
      </c>
      <c r="CF336" s="314">
        <f t="shared" si="5"/>
        <v>1</v>
      </c>
      <c r="CG336" s="314">
        <f t="shared" si="6"/>
        <v>-5</v>
      </c>
      <c r="CH336" s="315">
        <f>VLOOKUP(CL336,'PRODUCT_COGS&amp;PRICE'!A:E,5,false)</f>
        <v>4</v>
      </c>
      <c r="CI336" s="315">
        <f t="shared" si="7"/>
        <v>-1.9205</v>
      </c>
      <c r="CJ336" s="316">
        <f t="shared" si="8"/>
        <v>0</v>
      </c>
      <c r="CK336" s="316">
        <f t="shared" si="9"/>
        <v>5</v>
      </c>
      <c r="CL336" s="314" t="str">
        <f>VLOOKUP(R336,PRODUCT_MAP!A:B,2,FALSE)</f>
        <v>Nina_Bag_Stripes_Strawberry</v>
      </c>
      <c r="CM336" s="314" t="str">
        <f>VLOOKUP(R336,PRODUCT_MAP!A:E,3,FALSE)</f>
        <v>Nina Bag</v>
      </c>
    </row>
    <row r="337" ht="22.5" customHeight="1">
      <c r="A337" s="308" t="s">
        <v>5611</v>
      </c>
      <c r="B337" s="308" t="s">
        <v>5612</v>
      </c>
      <c r="C337" s="308" t="s">
        <v>2942</v>
      </c>
      <c r="D337" s="308" t="s">
        <v>5613</v>
      </c>
      <c r="E337" s="308" t="s">
        <v>3013</v>
      </c>
      <c r="F337" s="308"/>
      <c r="G337" s="308" t="s">
        <v>2946</v>
      </c>
      <c r="H337" s="308" t="s">
        <v>2947</v>
      </c>
      <c r="I337" s="308">
        <v>108.0</v>
      </c>
      <c r="J337" s="308">
        <v>0.0</v>
      </c>
      <c r="K337" s="308">
        <v>19.48</v>
      </c>
      <c r="L337" s="308">
        <v>108.0</v>
      </c>
      <c r="M337" s="308" t="s">
        <v>3221</v>
      </c>
      <c r="N337" s="308">
        <v>12.0</v>
      </c>
      <c r="O337" s="308" t="s">
        <v>2948</v>
      </c>
      <c r="P337" s="308" t="s">
        <v>5614</v>
      </c>
      <c r="Q337" s="310">
        <v>1.0</v>
      </c>
      <c r="R337" s="308" t="s">
        <v>534</v>
      </c>
      <c r="S337" s="308">
        <v>120.0</v>
      </c>
      <c r="T337" s="311"/>
      <c r="U337" s="308" t="s">
        <v>293</v>
      </c>
      <c r="V337" s="308" t="b">
        <v>1</v>
      </c>
      <c r="W337" s="308" t="b">
        <v>1</v>
      </c>
      <c r="X337" s="308"/>
      <c r="Y337" s="308" t="s">
        <v>5615</v>
      </c>
      <c r="Z337" s="308" t="s">
        <v>5616</v>
      </c>
      <c r="AA337" s="308" t="s">
        <v>5616</v>
      </c>
      <c r="AB337" s="308"/>
      <c r="AC337" s="308"/>
      <c r="AD337" s="308" t="s">
        <v>3485</v>
      </c>
      <c r="AE337" s="308">
        <v>73100.0</v>
      </c>
      <c r="AF337" s="308" t="s">
        <v>3486</v>
      </c>
      <c r="AG337" s="308" t="s">
        <v>2955</v>
      </c>
      <c r="AH337" s="308">
        <v>3.888914553E9</v>
      </c>
      <c r="AI337" s="308" t="s">
        <v>5615</v>
      </c>
      <c r="AJ337" s="308" t="s">
        <v>5616</v>
      </c>
      <c r="AK337" s="308" t="s">
        <v>5616</v>
      </c>
      <c r="AL337" s="308"/>
      <c r="AM337" s="308"/>
      <c r="AN337" s="308" t="s">
        <v>3485</v>
      </c>
      <c r="AO337" s="308">
        <v>73100.0</v>
      </c>
      <c r="AP337" s="308" t="s">
        <v>3486</v>
      </c>
      <c r="AQ337" s="308" t="s">
        <v>2955</v>
      </c>
      <c r="AR337" s="308">
        <v>3.888914553E9</v>
      </c>
      <c r="AS337" s="311"/>
      <c r="AT337" s="311"/>
      <c r="AU337" s="311"/>
      <c r="AV337" s="308" t="s">
        <v>3009</v>
      </c>
      <c r="AW337" s="308">
        <v>4.7948048236871E13</v>
      </c>
      <c r="AX337" s="310">
        <v>0.0</v>
      </c>
      <c r="AY337" s="308" t="s">
        <v>2974</v>
      </c>
      <c r="AZ337" s="308">
        <v>0.0</v>
      </c>
      <c r="BA337" s="311"/>
      <c r="BB337" s="311"/>
      <c r="BC337" s="311"/>
      <c r="BD337" s="308">
        <v>7.820031361351E12</v>
      </c>
      <c r="BE337" s="311"/>
      <c r="BF337" s="311"/>
      <c r="BG337" s="308" t="s">
        <v>2958</v>
      </c>
      <c r="BH337" s="308">
        <v>0.0</v>
      </c>
      <c r="BI337" s="308" t="s">
        <v>2959</v>
      </c>
      <c r="BJ337" s="308">
        <v>19.48</v>
      </c>
      <c r="BK337" s="311"/>
      <c r="BL337" s="311"/>
      <c r="BM337" s="311"/>
      <c r="BN337" s="311"/>
      <c r="BO337" s="311"/>
      <c r="BP337" s="311"/>
      <c r="BQ337" s="311"/>
      <c r="BR337" s="311"/>
      <c r="BS337" s="308"/>
      <c r="BT337" s="311"/>
      <c r="BU337" s="311"/>
      <c r="BV337" s="308" t="s">
        <v>3485</v>
      </c>
      <c r="BW337" s="308" t="s">
        <v>3485</v>
      </c>
      <c r="BX337" s="308" t="s">
        <v>3009</v>
      </c>
      <c r="BY337" s="311"/>
      <c r="BZ337" s="311"/>
      <c r="CA337" s="308" t="s">
        <v>3009</v>
      </c>
      <c r="CB337" s="312" t="str">
        <f t="shared" si="1"/>
        <v>10/06/2026</v>
      </c>
      <c r="CC337" s="313">
        <f t="shared" si="2"/>
        <v>2026</v>
      </c>
      <c r="CD337" s="314">
        <f t="shared" si="3"/>
        <v>6</v>
      </c>
      <c r="CE337" s="314">
        <f t="shared" si="4"/>
        <v>1</v>
      </c>
      <c r="CF337" s="314">
        <f t="shared" si="5"/>
        <v>1</v>
      </c>
      <c r="CG337" s="314">
        <f t="shared" si="6"/>
        <v>-5</v>
      </c>
      <c r="CH337" s="315">
        <f>VLOOKUP(CL337,'PRODUCT_COGS&amp;PRICE'!A:E,5,false)</f>
        <v>20</v>
      </c>
      <c r="CI337" s="315">
        <f t="shared" si="7"/>
        <v>-4.1192</v>
      </c>
      <c r="CJ337" s="316">
        <f t="shared" si="8"/>
        <v>0</v>
      </c>
      <c r="CK337" s="316">
        <f t="shared" si="9"/>
        <v>12</v>
      </c>
      <c r="CL337" s="314" t="str">
        <f>VLOOKUP(R337,PRODUCT_MAP!A:B,2,FALSE)</f>
        <v>Lea_Bag_COCCO_PURPLE</v>
      </c>
      <c r="CM337" s="314" t="str">
        <f>VLOOKUP(R337,PRODUCT_MAP!A:E,3,FALSE)</f>
        <v>Lea Bag</v>
      </c>
    </row>
    <row r="338" ht="22.5" customHeight="1">
      <c r="A338" s="308" t="s">
        <v>5617</v>
      </c>
      <c r="B338" s="308" t="s">
        <v>5618</v>
      </c>
      <c r="C338" s="308" t="s">
        <v>2942</v>
      </c>
      <c r="D338" s="308" t="s">
        <v>5619</v>
      </c>
      <c r="E338" s="308" t="s">
        <v>3013</v>
      </c>
      <c r="F338" s="308"/>
      <c r="G338" s="308" t="s">
        <v>2946</v>
      </c>
      <c r="H338" s="308" t="s">
        <v>2947</v>
      </c>
      <c r="I338" s="308">
        <v>108.0</v>
      </c>
      <c r="J338" s="308">
        <v>0.0</v>
      </c>
      <c r="K338" s="308">
        <v>19.48</v>
      </c>
      <c r="L338" s="308">
        <v>108.0</v>
      </c>
      <c r="M338" s="308" t="s">
        <v>3094</v>
      </c>
      <c r="N338" s="308">
        <v>12.0</v>
      </c>
      <c r="O338" s="308" t="s">
        <v>2948</v>
      </c>
      <c r="P338" s="308" t="s">
        <v>5620</v>
      </c>
      <c r="Q338" s="310">
        <v>1.0</v>
      </c>
      <c r="R338" s="308" t="s">
        <v>938</v>
      </c>
      <c r="S338" s="308">
        <v>120.0</v>
      </c>
      <c r="T338" s="311"/>
      <c r="U338" s="308" t="s">
        <v>233</v>
      </c>
      <c r="V338" s="308" t="b">
        <v>1</v>
      </c>
      <c r="W338" s="308" t="b">
        <v>1</v>
      </c>
      <c r="X338" s="308"/>
      <c r="Y338" s="308" t="s">
        <v>5621</v>
      </c>
      <c r="Z338" s="308" t="s">
        <v>5622</v>
      </c>
      <c r="AA338" s="308" t="s">
        <v>5623</v>
      </c>
      <c r="AB338" s="308" t="s">
        <v>5624</v>
      </c>
      <c r="AC338" s="308"/>
      <c r="AD338" s="308" t="s">
        <v>3612</v>
      </c>
      <c r="AE338" s="308">
        <v>25134.0</v>
      </c>
      <c r="AF338" s="308" t="s">
        <v>3608</v>
      </c>
      <c r="AG338" s="308" t="s">
        <v>2955</v>
      </c>
      <c r="AH338" s="308">
        <v>3.313171138E9</v>
      </c>
      <c r="AI338" s="308" t="s">
        <v>5621</v>
      </c>
      <c r="AJ338" s="308" t="s">
        <v>5622</v>
      </c>
      <c r="AK338" s="308" t="s">
        <v>5623</v>
      </c>
      <c r="AL338" s="308" t="s">
        <v>5624</v>
      </c>
      <c r="AM338" s="308"/>
      <c r="AN338" s="308" t="s">
        <v>3612</v>
      </c>
      <c r="AO338" s="308">
        <v>25134.0</v>
      </c>
      <c r="AP338" s="308" t="s">
        <v>3608</v>
      </c>
      <c r="AQ338" s="308" t="s">
        <v>2955</v>
      </c>
      <c r="AR338" s="308">
        <v>3.313171138E9</v>
      </c>
      <c r="AS338" s="311"/>
      <c r="AT338" s="311"/>
      <c r="AU338" s="311"/>
      <c r="AV338" s="308" t="s">
        <v>3009</v>
      </c>
      <c r="AW338" s="308">
        <v>4.7949530366279E13</v>
      </c>
      <c r="AX338" s="310">
        <v>0.0</v>
      </c>
      <c r="AY338" s="308" t="s">
        <v>2974</v>
      </c>
      <c r="AZ338" s="308">
        <v>0.0</v>
      </c>
      <c r="BA338" s="311"/>
      <c r="BB338" s="311"/>
      <c r="BC338" s="311"/>
      <c r="BD338" s="308">
        <v>7.820168069447E12</v>
      </c>
      <c r="BE338" s="311"/>
      <c r="BF338" s="311"/>
      <c r="BG338" s="308" t="s">
        <v>2958</v>
      </c>
      <c r="BH338" s="308">
        <v>0.0</v>
      </c>
      <c r="BI338" s="308" t="s">
        <v>2959</v>
      </c>
      <c r="BJ338" s="308">
        <v>19.48</v>
      </c>
      <c r="BK338" s="311"/>
      <c r="BL338" s="311"/>
      <c r="BM338" s="311"/>
      <c r="BN338" s="311"/>
      <c r="BO338" s="311"/>
      <c r="BP338" s="311"/>
      <c r="BQ338" s="311"/>
      <c r="BR338" s="311"/>
      <c r="BS338" s="308"/>
      <c r="BT338" s="311"/>
      <c r="BU338" s="311"/>
      <c r="BV338" s="308" t="s">
        <v>3612</v>
      </c>
      <c r="BW338" s="308" t="s">
        <v>3612</v>
      </c>
      <c r="BX338" s="308" t="s">
        <v>3009</v>
      </c>
      <c r="BY338" s="311"/>
      <c r="BZ338" s="311"/>
      <c r="CA338" s="308" t="s">
        <v>3009</v>
      </c>
      <c r="CB338" s="312" t="str">
        <f t="shared" si="1"/>
        <v>10/06/2026</v>
      </c>
      <c r="CC338" s="313">
        <f t="shared" si="2"/>
        <v>2026</v>
      </c>
      <c r="CD338" s="314">
        <f t="shared" si="3"/>
        <v>6</v>
      </c>
      <c r="CE338" s="314">
        <f t="shared" si="4"/>
        <v>1</v>
      </c>
      <c r="CF338" s="314">
        <f t="shared" si="5"/>
        <v>1</v>
      </c>
      <c r="CG338" s="314">
        <f t="shared" si="6"/>
        <v>-5</v>
      </c>
      <c r="CH338" s="315">
        <f>VLOOKUP(CL338,'PRODUCT_COGS&amp;PRICE'!A:E,5,false)</f>
        <v>20</v>
      </c>
      <c r="CI338" s="315">
        <f t="shared" si="7"/>
        <v>-4.1192</v>
      </c>
      <c r="CJ338" s="316">
        <f t="shared" si="8"/>
        <v>0</v>
      </c>
      <c r="CK338" s="316">
        <f t="shared" si="9"/>
        <v>12</v>
      </c>
      <c r="CL338" s="314" t="str">
        <f>VLOOKUP(R338,PRODUCT_MAP!A:B,2,FALSE)</f>
        <v>Lea_Bag_TOASTED_LEATHER</v>
      </c>
      <c r="CM338" s="314" t="str">
        <f>VLOOKUP(R338,PRODUCT_MAP!A:E,3,FALSE)</f>
        <v>Lea Bag</v>
      </c>
    </row>
    <row r="339" ht="22.5" customHeight="1">
      <c r="A339" s="308" t="s">
        <v>5625</v>
      </c>
      <c r="B339" s="308" t="s">
        <v>5626</v>
      </c>
      <c r="C339" s="308" t="s">
        <v>2942</v>
      </c>
      <c r="D339" s="308" t="s">
        <v>5627</v>
      </c>
      <c r="E339" s="308" t="s">
        <v>3013</v>
      </c>
      <c r="F339" s="308"/>
      <c r="G339" s="308" t="s">
        <v>2965</v>
      </c>
      <c r="H339" s="308" t="s">
        <v>2947</v>
      </c>
      <c r="I339" s="308">
        <v>170.0</v>
      </c>
      <c r="J339" s="308">
        <v>0.0</v>
      </c>
      <c r="K339" s="308">
        <v>30.66</v>
      </c>
      <c r="L339" s="308">
        <v>170.0</v>
      </c>
      <c r="M339" s="308"/>
      <c r="N339" s="308">
        <v>0.0</v>
      </c>
      <c r="O339" s="308" t="s">
        <v>2948</v>
      </c>
      <c r="P339" s="308" t="s">
        <v>5628</v>
      </c>
      <c r="Q339" s="310">
        <v>1.0</v>
      </c>
      <c r="R339" s="308" t="s">
        <v>549</v>
      </c>
      <c r="S339" s="308">
        <v>170.0</v>
      </c>
      <c r="T339" s="311"/>
      <c r="U339" s="308" t="s">
        <v>5187</v>
      </c>
      <c r="V339" s="308" t="b">
        <v>1</v>
      </c>
      <c r="W339" s="308" t="b">
        <v>1</v>
      </c>
      <c r="X339" s="308"/>
      <c r="Y339" s="308" t="s">
        <v>5629</v>
      </c>
      <c r="Z339" s="308" t="s">
        <v>5630</v>
      </c>
      <c r="AA339" s="308" t="s">
        <v>5631</v>
      </c>
      <c r="AB339" s="308" t="s">
        <v>5632</v>
      </c>
      <c r="AC339" s="308"/>
      <c r="AD339" s="308" t="s">
        <v>3237</v>
      </c>
      <c r="AE339" s="308">
        <v>16164.0</v>
      </c>
      <c r="AF339" s="308" t="s">
        <v>3238</v>
      </c>
      <c r="AG339" s="308" t="s">
        <v>2955</v>
      </c>
      <c r="AH339" s="308">
        <v>3.386044183E9</v>
      </c>
      <c r="AI339" s="308" t="s">
        <v>5629</v>
      </c>
      <c r="AJ339" s="308" t="s">
        <v>5630</v>
      </c>
      <c r="AK339" s="308" t="s">
        <v>5631</v>
      </c>
      <c r="AL339" s="308" t="s">
        <v>5632</v>
      </c>
      <c r="AM339" s="308"/>
      <c r="AN339" s="308" t="s">
        <v>3237</v>
      </c>
      <c r="AO339" s="308">
        <v>16164.0</v>
      </c>
      <c r="AP339" s="308" t="s">
        <v>3238</v>
      </c>
      <c r="AQ339" s="308" t="s">
        <v>2955</v>
      </c>
      <c r="AR339" s="308">
        <v>3.386044183E9</v>
      </c>
      <c r="AS339" s="311"/>
      <c r="AT339" s="311"/>
      <c r="AU339" s="311"/>
      <c r="AV339" s="308" t="s">
        <v>2956</v>
      </c>
      <c r="AW339" s="308">
        <v>4.7950250148167E13</v>
      </c>
      <c r="AX339" s="310">
        <v>0.0</v>
      </c>
      <c r="AY339" s="308" t="s">
        <v>2974</v>
      </c>
      <c r="AZ339" s="308">
        <v>0.0</v>
      </c>
      <c r="BA339" s="311"/>
      <c r="BB339" s="311"/>
      <c r="BC339" s="311"/>
      <c r="BD339" s="308">
        <v>7.820684525895E12</v>
      </c>
      <c r="BE339" s="311"/>
      <c r="BF339" s="311"/>
      <c r="BG339" s="308" t="s">
        <v>2958</v>
      </c>
      <c r="BH339" s="308">
        <v>0.0</v>
      </c>
      <c r="BI339" s="308" t="s">
        <v>2959</v>
      </c>
      <c r="BJ339" s="308">
        <v>30.66</v>
      </c>
      <c r="BK339" s="311"/>
      <c r="BL339" s="311"/>
      <c r="BM339" s="311"/>
      <c r="BN339" s="311"/>
      <c r="BO339" s="311"/>
      <c r="BP339" s="311"/>
      <c r="BQ339" s="311"/>
      <c r="BR339" s="311"/>
      <c r="BS339" s="308"/>
      <c r="BT339" s="311"/>
      <c r="BU339" s="311"/>
      <c r="BV339" s="308" t="s">
        <v>3237</v>
      </c>
      <c r="BW339" s="308" t="s">
        <v>3237</v>
      </c>
      <c r="BX339" s="308" t="s">
        <v>2956</v>
      </c>
      <c r="BY339" s="311"/>
      <c r="BZ339" s="311"/>
      <c r="CA339" s="308" t="s">
        <v>2956</v>
      </c>
      <c r="CB339" s="312" t="str">
        <f t="shared" si="1"/>
        <v>10/06/2026</v>
      </c>
      <c r="CC339" s="313">
        <f t="shared" si="2"/>
        <v>2026</v>
      </c>
      <c r="CD339" s="314">
        <f t="shared" si="3"/>
        <v>6</v>
      </c>
      <c r="CE339" s="314">
        <f t="shared" si="4"/>
        <v>1</v>
      </c>
      <c r="CF339" s="314">
        <f t="shared" si="5"/>
        <v>1</v>
      </c>
      <c r="CG339" s="314">
        <f t="shared" si="6"/>
        <v>-5</v>
      </c>
      <c r="CH339" s="315">
        <f>VLOOKUP(CL339,'PRODUCT_COGS&amp;PRICE'!A:E,5,false)</f>
        <v>36</v>
      </c>
      <c r="CI339" s="315">
        <f t="shared" si="7"/>
        <v>-3.48</v>
      </c>
      <c r="CJ339" s="316">
        <f t="shared" si="8"/>
        <v>0</v>
      </c>
      <c r="CK339" s="316">
        <f t="shared" si="9"/>
        <v>0</v>
      </c>
      <c r="CL339" s="314" t="str">
        <f>VLOOKUP(R339,PRODUCT_MAP!A:B,2,FALSE)</f>
        <v>Lea_Bag_Maxi_COCCO_BLACK</v>
      </c>
      <c r="CM339" s="314" t="str">
        <f>VLOOKUP(R339,PRODUCT_MAP!A:E,3,FALSE)</f>
        <v>Lea Bag Maxi</v>
      </c>
    </row>
    <row r="340" ht="22.5" customHeight="1">
      <c r="A340" s="308" t="s">
        <v>5633</v>
      </c>
      <c r="B340" s="308" t="s">
        <v>5634</v>
      </c>
      <c r="C340" s="308" t="s">
        <v>2942</v>
      </c>
      <c r="D340" s="308" t="s">
        <v>5635</v>
      </c>
      <c r="E340" s="308" t="s">
        <v>3013</v>
      </c>
      <c r="F340" s="308"/>
      <c r="G340" s="308" t="s">
        <v>2965</v>
      </c>
      <c r="H340" s="308" t="s">
        <v>2947</v>
      </c>
      <c r="I340" s="308">
        <v>120.0</v>
      </c>
      <c r="J340" s="308">
        <v>0.0</v>
      </c>
      <c r="K340" s="308">
        <v>21.64</v>
      </c>
      <c r="L340" s="308">
        <v>120.0</v>
      </c>
      <c r="M340" s="308"/>
      <c r="N340" s="308">
        <v>0.0</v>
      </c>
      <c r="O340" s="308" t="s">
        <v>2948</v>
      </c>
      <c r="P340" s="308" t="s">
        <v>5636</v>
      </c>
      <c r="Q340" s="310">
        <v>1.0</v>
      </c>
      <c r="R340" s="308" t="s">
        <v>534</v>
      </c>
      <c r="S340" s="308">
        <v>120.0</v>
      </c>
      <c r="T340" s="311"/>
      <c r="U340" s="308" t="s">
        <v>293</v>
      </c>
      <c r="V340" s="308" t="b">
        <v>1</v>
      </c>
      <c r="W340" s="308" t="b">
        <v>1</v>
      </c>
      <c r="X340" s="308"/>
      <c r="Y340" s="308" t="s">
        <v>5637</v>
      </c>
      <c r="Z340" s="308" t="s">
        <v>5638</v>
      </c>
      <c r="AA340" s="308" t="s">
        <v>5638</v>
      </c>
      <c r="AB340" s="308"/>
      <c r="AC340" s="308"/>
      <c r="AD340" s="308" t="s">
        <v>3742</v>
      </c>
      <c r="AE340" s="308">
        <v>55100.0</v>
      </c>
      <c r="AF340" s="308" t="s">
        <v>3743</v>
      </c>
      <c r="AG340" s="308" t="s">
        <v>2955</v>
      </c>
      <c r="AH340" s="308">
        <v>3.771119747E9</v>
      </c>
      <c r="AI340" s="308" t="s">
        <v>5637</v>
      </c>
      <c r="AJ340" s="308" t="s">
        <v>5638</v>
      </c>
      <c r="AK340" s="308" t="s">
        <v>5638</v>
      </c>
      <c r="AL340" s="308"/>
      <c r="AM340" s="308"/>
      <c r="AN340" s="308" t="s">
        <v>3742</v>
      </c>
      <c r="AO340" s="308">
        <v>55100.0</v>
      </c>
      <c r="AP340" s="308" t="s">
        <v>3743</v>
      </c>
      <c r="AQ340" s="308" t="s">
        <v>2955</v>
      </c>
      <c r="AR340" s="308">
        <v>3.771119747E9</v>
      </c>
      <c r="AS340" s="311"/>
      <c r="AT340" s="311"/>
      <c r="AU340" s="311"/>
      <c r="AV340" s="308" t="s">
        <v>3009</v>
      </c>
      <c r="AW340" s="308">
        <v>4.7950413922631E13</v>
      </c>
      <c r="AX340" s="310">
        <v>0.0</v>
      </c>
      <c r="AY340" s="308" t="s">
        <v>2974</v>
      </c>
      <c r="AZ340" s="308">
        <v>0.0</v>
      </c>
      <c r="BA340" s="311"/>
      <c r="BB340" s="311"/>
      <c r="BC340" s="311"/>
      <c r="BD340" s="308">
        <v>7.820869599559E12</v>
      </c>
      <c r="BE340" s="311"/>
      <c r="BF340" s="311"/>
      <c r="BG340" s="308" t="s">
        <v>2958</v>
      </c>
      <c r="BH340" s="308">
        <v>0.0</v>
      </c>
      <c r="BI340" s="308" t="s">
        <v>2959</v>
      </c>
      <c r="BJ340" s="308">
        <v>21.64</v>
      </c>
      <c r="BK340" s="311"/>
      <c r="BL340" s="311"/>
      <c r="BM340" s="311"/>
      <c r="BN340" s="311"/>
      <c r="BO340" s="311"/>
      <c r="BP340" s="311"/>
      <c r="BQ340" s="311"/>
      <c r="BR340" s="311"/>
      <c r="BS340" s="308"/>
      <c r="BT340" s="311"/>
      <c r="BU340" s="311"/>
      <c r="BV340" s="308" t="s">
        <v>3742</v>
      </c>
      <c r="BW340" s="308" t="s">
        <v>3742</v>
      </c>
      <c r="BX340" s="308" t="s">
        <v>3009</v>
      </c>
      <c r="BY340" s="311"/>
      <c r="BZ340" s="311"/>
      <c r="CA340" s="308" t="s">
        <v>3009</v>
      </c>
      <c r="CB340" s="312" t="str">
        <f t="shared" si="1"/>
        <v>10/06/2026</v>
      </c>
      <c r="CC340" s="313">
        <f t="shared" si="2"/>
        <v>2026</v>
      </c>
      <c r="CD340" s="314">
        <f t="shared" si="3"/>
        <v>6</v>
      </c>
      <c r="CE340" s="314">
        <f t="shared" si="4"/>
        <v>1</v>
      </c>
      <c r="CF340" s="314">
        <f t="shared" si="5"/>
        <v>1</v>
      </c>
      <c r="CG340" s="314">
        <f t="shared" si="6"/>
        <v>-5</v>
      </c>
      <c r="CH340" s="315">
        <f>VLOOKUP(CL340,'PRODUCT_COGS&amp;PRICE'!A:E,5,false)</f>
        <v>20</v>
      </c>
      <c r="CI340" s="315">
        <f t="shared" si="7"/>
        <v>-4.538</v>
      </c>
      <c r="CJ340" s="316">
        <f t="shared" si="8"/>
        <v>0</v>
      </c>
      <c r="CK340" s="316">
        <f t="shared" si="9"/>
        <v>0</v>
      </c>
      <c r="CL340" s="314" t="str">
        <f>VLOOKUP(R340,PRODUCT_MAP!A:B,2,FALSE)</f>
        <v>Lea_Bag_COCCO_PURPLE</v>
      </c>
      <c r="CM340" s="314" t="str">
        <f>VLOOKUP(R340,PRODUCT_MAP!A:E,3,FALSE)</f>
        <v>Lea Bag</v>
      </c>
    </row>
    <row r="341" ht="22.5" customHeight="1">
      <c r="A341" s="308" t="s">
        <v>5639</v>
      </c>
      <c r="B341" s="308"/>
      <c r="C341" s="308" t="s">
        <v>2942</v>
      </c>
      <c r="D341" s="308" t="s">
        <v>5640</v>
      </c>
      <c r="E341" s="308" t="s">
        <v>3013</v>
      </c>
      <c r="F341" s="308"/>
      <c r="G341" s="308" t="s">
        <v>2965</v>
      </c>
      <c r="H341" s="308" t="s">
        <v>2947</v>
      </c>
      <c r="I341" s="308">
        <v>108.0</v>
      </c>
      <c r="J341" s="308">
        <v>0.0</v>
      </c>
      <c r="K341" s="308">
        <v>19.48</v>
      </c>
      <c r="L341" s="308">
        <v>108.0</v>
      </c>
      <c r="M341" s="308" t="s">
        <v>3221</v>
      </c>
      <c r="N341" s="308">
        <v>12.0</v>
      </c>
      <c r="O341" s="308" t="s">
        <v>2948</v>
      </c>
      <c r="P341" s="308" t="s">
        <v>5641</v>
      </c>
      <c r="Q341" s="310">
        <v>1.0</v>
      </c>
      <c r="R341" s="308" t="s">
        <v>938</v>
      </c>
      <c r="S341" s="308">
        <v>120.0</v>
      </c>
      <c r="T341" s="311"/>
      <c r="U341" s="308" t="s">
        <v>233</v>
      </c>
      <c r="V341" s="308" t="b">
        <v>1</v>
      </c>
      <c r="W341" s="308" t="b">
        <v>1</v>
      </c>
      <c r="X341" s="308"/>
      <c r="Y341" s="308" t="s">
        <v>5642</v>
      </c>
      <c r="Z341" s="308" t="s">
        <v>5643</v>
      </c>
      <c r="AA341" s="308" t="s">
        <v>5643</v>
      </c>
      <c r="AB341" s="308"/>
      <c r="AC341" s="308" t="s">
        <v>5644</v>
      </c>
      <c r="AD341" s="308" t="s">
        <v>5645</v>
      </c>
      <c r="AE341" s="308">
        <v>26900.0</v>
      </c>
      <c r="AF341" s="308" t="s">
        <v>5230</v>
      </c>
      <c r="AG341" s="308" t="s">
        <v>2955</v>
      </c>
      <c r="AH341" s="308">
        <v>3.39335563E9</v>
      </c>
      <c r="AI341" s="308" t="s">
        <v>5642</v>
      </c>
      <c r="AJ341" s="308" t="s">
        <v>5643</v>
      </c>
      <c r="AK341" s="308" t="s">
        <v>5643</v>
      </c>
      <c r="AL341" s="308"/>
      <c r="AM341" s="308" t="s">
        <v>5644</v>
      </c>
      <c r="AN341" s="308" t="s">
        <v>5645</v>
      </c>
      <c r="AO341" s="308">
        <v>26900.0</v>
      </c>
      <c r="AP341" s="308" t="s">
        <v>5230</v>
      </c>
      <c r="AQ341" s="308" t="s">
        <v>2955</v>
      </c>
      <c r="AR341" s="308">
        <v>3.39335563E9</v>
      </c>
      <c r="AS341" s="311"/>
      <c r="AT341" s="311"/>
      <c r="AU341" s="311"/>
      <c r="AV341" s="308" t="s">
        <v>2956</v>
      </c>
      <c r="AW341" s="308">
        <v>4.7951370125639E13</v>
      </c>
      <c r="AX341" s="310">
        <v>0.0</v>
      </c>
      <c r="AY341" s="308" t="s">
        <v>2974</v>
      </c>
      <c r="AZ341" s="308">
        <v>0.0</v>
      </c>
      <c r="BA341" s="311"/>
      <c r="BB341" s="311"/>
      <c r="BC341" s="311"/>
      <c r="BD341" s="308">
        <v>7.823415116103E12</v>
      </c>
      <c r="BE341" s="311"/>
      <c r="BF341" s="311"/>
      <c r="BG341" s="308" t="s">
        <v>2958</v>
      </c>
      <c r="BH341" s="308">
        <v>0.0</v>
      </c>
      <c r="BI341" s="308" t="s">
        <v>2959</v>
      </c>
      <c r="BJ341" s="308">
        <v>19.48</v>
      </c>
      <c r="BK341" s="311"/>
      <c r="BL341" s="311"/>
      <c r="BM341" s="311"/>
      <c r="BN341" s="311"/>
      <c r="BO341" s="311"/>
      <c r="BP341" s="311"/>
      <c r="BQ341" s="311"/>
      <c r="BR341" s="311"/>
      <c r="BS341" s="318" t="s">
        <v>5646</v>
      </c>
      <c r="BT341" s="311"/>
      <c r="BU341" s="311"/>
      <c r="BV341" s="308" t="s">
        <v>5229</v>
      </c>
      <c r="BW341" s="308" t="s">
        <v>5229</v>
      </c>
      <c r="BX341" s="308" t="s">
        <v>2956</v>
      </c>
      <c r="BY341" s="311"/>
      <c r="BZ341" s="311"/>
      <c r="CA341" s="308" t="s">
        <v>2956</v>
      </c>
      <c r="CB341" s="312" t="str">
        <f t="shared" si="1"/>
        <v>10/06/2026</v>
      </c>
      <c r="CC341" s="313">
        <f t="shared" si="2"/>
        <v>2026</v>
      </c>
      <c r="CD341" s="314">
        <f t="shared" si="3"/>
        <v>6</v>
      </c>
      <c r="CE341" s="314">
        <f t="shared" si="4"/>
        <v>1</v>
      </c>
      <c r="CF341" s="314">
        <f t="shared" si="5"/>
        <v>1</v>
      </c>
      <c r="CG341" s="314">
        <f t="shared" si="6"/>
        <v>-5</v>
      </c>
      <c r="CH341" s="315">
        <f>VLOOKUP(CL341,'PRODUCT_COGS&amp;PRICE'!A:E,5,false)</f>
        <v>20</v>
      </c>
      <c r="CI341" s="315">
        <f t="shared" si="7"/>
        <v>-2.302</v>
      </c>
      <c r="CJ341" s="316">
        <f t="shared" si="8"/>
        <v>0</v>
      </c>
      <c r="CK341" s="316">
        <f t="shared" si="9"/>
        <v>12</v>
      </c>
      <c r="CL341" s="314" t="str">
        <f>VLOOKUP(R341,PRODUCT_MAP!A:B,2,FALSE)</f>
        <v>Lea_Bag_TOASTED_LEATHER</v>
      </c>
      <c r="CM341" s="314" t="str">
        <f>VLOOKUP(R341,PRODUCT_MAP!A:E,3,FALSE)</f>
        <v>Lea Bag</v>
      </c>
    </row>
    <row r="342" ht="22.5" customHeight="1">
      <c r="A342" s="308" t="s">
        <v>5647</v>
      </c>
      <c r="B342" s="308" t="s">
        <v>5648</v>
      </c>
      <c r="C342" s="308" t="s">
        <v>2942</v>
      </c>
      <c r="D342" s="308" t="s">
        <v>5649</v>
      </c>
      <c r="E342" s="308" t="s">
        <v>3013</v>
      </c>
      <c r="F342" s="308"/>
      <c r="G342" s="308" t="s">
        <v>2946</v>
      </c>
      <c r="H342" s="308" t="s">
        <v>2947</v>
      </c>
      <c r="I342" s="308">
        <v>108.0</v>
      </c>
      <c r="J342" s="308">
        <v>0.0</v>
      </c>
      <c r="K342" s="308">
        <v>19.48</v>
      </c>
      <c r="L342" s="308">
        <v>108.0</v>
      </c>
      <c r="M342" s="308" t="s">
        <v>3094</v>
      </c>
      <c r="N342" s="308">
        <v>12.0</v>
      </c>
      <c r="O342" s="308" t="s">
        <v>2948</v>
      </c>
      <c r="P342" s="308" t="s">
        <v>5650</v>
      </c>
      <c r="Q342" s="310">
        <v>1.0</v>
      </c>
      <c r="R342" s="308" t="s">
        <v>509</v>
      </c>
      <c r="S342" s="308">
        <v>120.0</v>
      </c>
      <c r="T342" s="311"/>
      <c r="U342" s="308" t="s">
        <v>161</v>
      </c>
      <c r="V342" s="308" t="b">
        <v>1</v>
      </c>
      <c r="W342" s="308" t="b">
        <v>1</v>
      </c>
      <c r="X342" s="308"/>
      <c r="Y342" s="308" t="s">
        <v>5651</v>
      </c>
      <c r="Z342" s="308" t="s">
        <v>5652</v>
      </c>
      <c r="AA342" s="308" t="s">
        <v>5652</v>
      </c>
      <c r="AB342" s="308"/>
      <c r="AC342" s="308"/>
      <c r="AD342" s="308" t="s">
        <v>4410</v>
      </c>
      <c r="AE342" s="308">
        <v>20149.0</v>
      </c>
      <c r="AF342" s="308" t="s">
        <v>2954</v>
      </c>
      <c r="AG342" s="308" t="s">
        <v>2955</v>
      </c>
      <c r="AH342" s="308">
        <v>3.38688735E9</v>
      </c>
      <c r="AI342" s="308" t="s">
        <v>5651</v>
      </c>
      <c r="AJ342" s="308" t="s">
        <v>5652</v>
      </c>
      <c r="AK342" s="308" t="s">
        <v>5652</v>
      </c>
      <c r="AL342" s="308"/>
      <c r="AM342" s="308"/>
      <c r="AN342" s="308" t="s">
        <v>4410</v>
      </c>
      <c r="AO342" s="308">
        <v>20149.0</v>
      </c>
      <c r="AP342" s="308" t="s">
        <v>2954</v>
      </c>
      <c r="AQ342" s="308" t="s">
        <v>2955</v>
      </c>
      <c r="AR342" s="308">
        <v>3.38688735E9</v>
      </c>
      <c r="AS342" s="311"/>
      <c r="AT342" s="311"/>
      <c r="AU342" s="311"/>
      <c r="AV342" s="308" t="s">
        <v>2956</v>
      </c>
      <c r="AW342" s="308">
        <v>4.7951782084935E13</v>
      </c>
      <c r="AX342" s="310">
        <v>0.0</v>
      </c>
      <c r="AY342" s="308" t="s">
        <v>2974</v>
      </c>
      <c r="AZ342" s="308">
        <v>0.0</v>
      </c>
      <c r="BA342" s="311"/>
      <c r="BB342" s="311"/>
      <c r="BC342" s="311"/>
      <c r="BD342" s="308">
        <v>7.823619293511E12</v>
      </c>
      <c r="BE342" s="311"/>
      <c r="BF342" s="311"/>
      <c r="BG342" s="308" t="s">
        <v>2958</v>
      </c>
      <c r="BH342" s="308">
        <v>0.0</v>
      </c>
      <c r="BI342" s="308" t="s">
        <v>2959</v>
      </c>
      <c r="BJ342" s="308">
        <v>19.48</v>
      </c>
      <c r="BK342" s="311"/>
      <c r="BL342" s="311"/>
      <c r="BM342" s="311"/>
      <c r="BN342" s="311"/>
      <c r="BO342" s="311"/>
      <c r="BP342" s="311"/>
      <c r="BQ342" s="311"/>
      <c r="BR342" s="311"/>
      <c r="BS342" s="308"/>
      <c r="BT342" s="311"/>
      <c r="BU342" s="311"/>
      <c r="BV342" s="308" t="s">
        <v>23</v>
      </c>
      <c r="BW342" s="308" t="s">
        <v>23</v>
      </c>
      <c r="BX342" s="308" t="s">
        <v>2956</v>
      </c>
      <c r="BY342" s="311"/>
      <c r="BZ342" s="311"/>
      <c r="CA342" s="308" t="s">
        <v>2956</v>
      </c>
      <c r="CB342" s="312" t="str">
        <f t="shared" si="1"/>
        <v>10/06/2026</v>
      </c>
      <c r="CC342" s="313">
        <f t="shared" si="2"/>
        <v>2026</v>
      </c>
      <c r="CD342" s="314">
        <f t="shared" si="3"/>
        <v>6</v>
      </c>
      <c r="CE342" s="314">
        <f t="shared" si="4"/>
        <v>1</v>
      </c>
      <c r="CF342" s="314">
        <f t="shared" si="5"/>
        <v>1</v>
      </c>
      <c r="CG342" s="314">
        <f t="shared" si="6"/>
        <v>-5</v>
      </c>
      <c r="CH342" s="315">
        <f>VLOOKUP(CL342,'PRODUCT_COGS&amp;PRICE'!A:E,5,false)</f>
        <v>30.33</v>
      </c>
      <c r="CI342" s="315">
        <f t="shared" si="7"/>
        <v>-2.302</v>
      </c>
      <c r="CJ342" s="316">
        <f t="shared" si="8"/>
        <v>0</v>
      </c>
      <c r="CK342" s="316">
        <f t="shared" si="9"/>
        <v>12</v>
      </c>
      <c r="CL342" s="314" t="str">
        <f>VLOOKUP(R342,PRODUCT_MAP!A:B,2,FALSE)</f>
        <v>Lea_Bag_COCCO_BLACK</v>
      </c>
      <c r="CM342" s="314" t="str">
        <f>VLOOKUP(R342,PRODUCT_MAP!A:E,3,FALSE)</f>
        <v>Lea Bag</v>
      </c>
    </row>
    <row r="343" ht="22.5" customHeight="1">
      <c r="A343" s="308" t="s">
        <v>5653</v>
      </c>
      <c r="B343" s="308" t="s">
        <v>5654</v>
      </c>
      <c r="C343" s="308" t="s">
        <v>2942</v>
      </c>
      <c r="D343" s="308" t="s">
        <v>5655</v>
      </c>
      <c r="E343" s="308" t="s">
        <v>3013</v>
      </c>
      <c r="F343" s="308"/>
      <c r="G343" s="308" t="s">
        <v>2946</v>
      </c>
      <c r="H343" s="308" t="s">
        <v>2947</v>
      </c>
      <c r="I343" s="308">
        <v>72.0</v>
      </c>
      <c r="J343" s="308">
        <v>3.9</v>
      </c>
      <c r="K343" s="308">
        <v>13.68</v>
      </c>
      <c r="L343" s="308">
        <v>75.9</v>
      </c>
      <c r="M343" s="308" t="s">
        <v>3094</v>
      </c>
      <c r="N343" s="308">
        <v>8.0</v>
      </c>
      <c r="O343" s="308" t="s">
        <v>2948</v>
      </c>
      <c r="P343" s="308" t="s">
        <v>5656</v>
      </c>
      <c r="Q343" s="310">
        <v>1.0</v>
      </c>
      <c r="R343" s="308" t="s">
        <v>4015</v>
      </c>
      <c r="S343" s="308">
        <v>80.0</v>
      </c>
      <c r="T343" s="311"/>
      <c r="U343" s="308" t="s">
        <v>5093</v>
      </c>
      <c r="V343" s="308" t="b">
        <v>1</v>
      </c>
      <c r="W343" s="308" t="b">
        <v>1</v>
      </c>
      <c r="X343" s="308"/>
      <c r="Y343" s="308" t="s">
        <v>5657</v>
      </c>
      <c r="Z343" s="308" t="s">
        <v>5658</v>
      </c>
      <c r="AA343" s="308" t="s">
        <v>5658</v>
      </c>
      <c r="AB343" s="308"/>
      <c r="AC343" s="308"/>
      <c r="AD343" s="308" t="s">
        <v>5659</v>
      </c>
      <c r="AE343" s="308">
        <v>9038.0</v>
      </c>
      <c r="AF343" s="308" t="s">
        <v>3415</v>
      </c>
      <c r="AG343" s="308" t="s">
        <v>2955</v>
      </c>
      <c r="AH343" s="308"/>
      <c r="AI343" s="308" t="s">
        <v>5660</v>
      </c>
      <c r="AJ343" s="308" t="s">
        <v>5661</v>
      </c>
      <c r="AK343" s="308" t="s">
        <v>5661</v>
      </c>
      <c r="AL343" s="308"/>
      <c r="AM343" s="308" t="s">
        <v>5662</v>
      </c>
      <c r="AN343" s="308" t="s">
        <v>5659</v>
      </c>
      <c r="AO343" s="308">
        <v>9038.0</v>
      </c>
      <c r="AP343" s="308" t="s">
        <v>5663</v>
      </c>
      <c r="AQ343" s="308" t="s">
        <v>2955</v>
      </c>
      <c r="AR343" s="308">
        <v>3.473297593E9</v>
      </c>
      <c r="AS343" s="311"/>
      <c r="AT343" s="311"/>
      <c r="AU343" s="311"/>
      <c r="AV343" s="308" t="s">
        <v>2956</v>
      </c>
      <c r="AW343" s="308">
        <v>4.7952322462023E13</v>
      </c>
      <c r="AX343" s="310">
        <v>0.0</v>
      </c>
      <c r="AY343" s="308" t="s">
        <v>2974</v>
      </c>
      <c r="AZ343" s="308">
        <v>0.0</v>
      </c>
      <c r="BA343" s="311"/>
      <c r="BB343" s="311"/>
      <c r="BC343" s="311"/>
      <c r="BD343" s="308">
        <v>7.824295756103E12</v>
      </c>
      <c r="BE343" s="311"/>
      <c r="BF343" s="311"/>
      <c r="BG343" s="308" t="s">
        <v>2958</v>
      </c>
      <c r="BH343" s="308">
        <v>0.0</v>
      </c>
      <c r="BI343" s="308" t="s">
        <v>2959</v>
      </c>
      <c r="BJ343" s="308">
        <v>12.98</v>
      </c>
      <c r="BK343" s="311"/>
      <c r="BL343" s="311"/>
      <c r="BM343" s="311"/>
      <c r="BN343" s="311"/>
      <c r="BO343" s="311"/>
      <c r="BP343" s="311"/>
      <c r="BQ343" s="311"/>
      <c r="BR343" s="311"/>
      <c r="BS343" s="308"/>
      <c r="BT343" s="311"/>
      <c r="BU343" s="311"/>
      <c r="BV343" s="308" t="s">
        <v>3414</v>
      </c>
      <c r="BW343" s="308" t="s">
        <v>5664</v>
      </c>
      <c r="BX343" s="308" t="s">
        <v>2956</v>
      </c>
      <c r="BY343" s="311"/>
      <c r="BZ343" s="311"/>
      <c r="CA343" s="308" t="s">
        <v>2956</v>
      </c>
      <c r="CB343" s="312" t="str">
        <f t="shared" si="1"/>
        <v>10/06/2026</v>
      </c>
      <c r="CC343" s="313">
        <f t="shared" si="2"/>
        <v>2026</v>
      </c>
      <c r="CD343" s="314">
        <f t="shared" si="3"/>
        <v>6</v>
      </c>
      <c r="CE343" s="314">
        <f t="shared" si="4"/>
        <v>1</v>
      </c>
      <c r="CF343" s="314">
        <f t="shared" si="5"/>
        <v>1</v>
      </c>
      <c r="CG343" s="314">
        <f t="shared" si="6"/>
        <v>0</v>
      </c>
      <c r="CH343" s="315">
        <f>VLOOKUP(CL343,'PRODUCT_COGS&amp;PRICE'!A:E,5,false)</f>
        <v>19</v>
      </c>
      <c r="CI343" s="315">
        <f t="shared" si="7"/>
        <v>-1.6921</v>
      </c>
      <c r="CJ343" s="316">
        <f t="shared" si="8"/>
        <v>0</v>
      </c>
      <c r="CK343" s="316">
        <f t="shared" si="9"/>
        <v>8</v>
      </c>
      <c r="CL343" s="314" t="str">
        <f>VLOOKUP(R343,PRODUCT_MAP!A:B,2,FALSE)</f>
        <v>Agata_Bag_ROSE_PINK</v>
      </c>
      <c r="CM343" s="314" t="str">
        <f>VLOOKUP(R343,PRODUCT_MAP!A:E,3,FALSE)</f>
        <v>Agata Bag</v>
      </c>
    </row>
    <row r="344" ht="22.5" customHeight="1">
      <c r="A344" s="308" t="s">
        <v>5665</v>
      </c>
      <c r="B344" s="308" t="s">
        <v>5666</v>
      </c>
      <c r="C344" s="308" t="s">
        <v>2942</v>
      </c>
      <c r="D344" s="308" t="s">
        <v>5667</v>
      </c>
      <c r="E344" s="308" t="s">
        <v>3013</v>
      </c>
      <c r="F344" s="308"/>
      <c r="G344" s="308" t="s">
        <v>2946</v>
      </c>
      <c r="H344" s="308" t="s">
        <v>2947</v>
      </c>
      <c r="I344" s="308">
        <v>81.0</v>
      </c>
      <c r="J344" s="308">
        <v>3.9</v>
      </c>
      <c r="K344" s="308">
        <v>15.31</v>
      </c>
      <c r="L344" s="308">
        <v>84.9</v>
      </c>
      <c r="M344" s="308" t="s">
        <v>3094</v>
      </c>
      <c r="N344" s="308">
        <v>9.0</v>
      </c>
      <c r="O344" s="308" t="s">
        <v>2948</v>
      </c>
      <c r="P344" s="308" t="s">
        <v>5668</v>
      </c>
      <c r="Q344" s="310">
        <v>1.0</v>
      </c>
      <c r="R344" s="308" t="s">
        <v>4958</v>
      </c>
      <c r="S344" s="308">
        <v>90.0</v>
      </c>
      <c r="T344" s="311"/>
      <c r="U344" s="308" t="s">
        <v>4959</v>
      </c>
      <c r="V344" s="308" t="b">
        <v>1</v>
      </c>
      <c r="W344" s="308" t="b">
        <v>1</v>
      </c>
      <c r="X344" s="308"/>
      <c r="Y344" s="308" t="s">
        <v>5669</v>
      </c>
      <c r="Z344" s="308" t="s">
        <v>5670</v>
      </c>
      <c r="AA344" s="308" t="s">
        <v>5670</v>
      </c>
      <c r="AB344" s="308"/>
      <c r="AC344" s="308"/>
      <c r="AD344" s="308" t="s">
        <v>5671</v>
      </c>
      <c r="AE344" s="308">
        <v>31010.0</v>
      </c>
      <c r="AF344" s="308" t="s">
        <v>2995</v>
      </c>
      <c r="AG344" s="308" t="s">
        <v>2955</v>
      </c>
      <c r="AH344" s="308"/>
      <c r="AI344" s="308" t="s">
        <v>5669</v>
      </c>
      <c r="AJ344" s="308" t="s">
        <v>5672</v>
      </c>
      <c r="AK344" s="308" t="s">
        <v>5673</v>
      </c>
      <c r="AL344" s="308">
        <v>25.0</v>
      </c>
      <c r="AM344" s="308"/>
      <c r="AN344" s="308" t="s">
        <v>5671</v>
      </c>
      <c r="AO344" s="308">
        <v>31010.0</v>
      </c>
      <c r="AP344" s="308" t="s">
        <v>2995</v>
      </c>
      <c r="AQ344" s="308" t="s">
        <v>2955</v>
      </c>
      <c r="AR344" s="308">
        <v>3.334951983E9</v>
      </c>
      <c r="AS344" s="311"/>
      <c r="AT344" s="311"/>
      <c r="AU344" s="311"/>
      <c r="AV344" s="308" t="s">
        <v>2956</v>
      </c>
      <c r="AW344" s="308">
        <v>4.7952531456327E13</v>
      </c>
      <c r="AX344" s="310">
        <v>0.0</v>
      </c>
      <c r="AY344" s="308" t="s">
        <v>2974</v>
      </c>
      <c r="AZ344" s="308">
        <v>0.0</v>
      </c>
      <c r="BA344" s="311"/>
      <c r="BB344" s="311"/>
      <c r="BC344" s="311"/>
      <c r="BD344" s="308">
        <v>7.824422535495E12</v>
      </c>
      <c r="BE344" s="311"/>
      <c r="BF344" s="311"/>
      <c r="BG344" s="308" t="s">
        <v>2958</v>
      </c>
      <c r="BH344" s="308">
        <v>0.0</v>
      </c>
      <c r="BI344" s="308" t="s">
        <v>2959</v>
      </c>
      <c r="BJ344" s="308">
        <v>14.61</v>
      </c>
      <c r="BK344" s="311"/>
      <c r="BL344" s="311"/>
      <c r="BM344" s="311"/>
      <c r="BN344" s="311"/>
      <c r="BO344" s="311"/>
      <c r="BP344" s="311"/>
      <c r="BQ344" s="311"/>
      <c r="BR344" s="311"/>
      <c r="BS344" s="308"/>
      <c r="BT344" s="311"/>
      <c r="BU344" s="311"/>
      <c r="BV344" s="308" t="s">
        <v>2994</v>
      </c>
      <c r="BW344" s="308" t="s">
        <v>2994</v>
      </c>
      <c r="BX344" s="308" t="s">
        <v>2956</v>
      </c>
      <c r="BY344" s="311"/>
      <c r="BZ344" s="311"/>
      <c r="CA344" s="308" t="s">
        <v>2956</v>
      </c>
      <c r="CB344" s="312" t="str">
        <f t="shared" si="1"/>
        <v>10/06/2026</v>
      </c>
      <c r="CC344" s="313">
        <f t="shared" si="2"/>
        <v>2026</v>
      </c>
      <c r="CD344" s="314">
        <f t="shared" si="3"/>
        <v>6</v>
      </c>
      <c r="CE344" s="314">
        <f t="shared" si="4"/>
        <v>1</v>
      </c>
      <c r="CF344" s="314">
        <f t="shared" si="5"/>
        <v>1</v>
      </c>
      <c r="CG344" s="314">
        <f t="shared" si="6"/>
        <v>0</v>
      </c>
      <c r="CH344" s="315">
        <f>VLOOKUP(CL344,'PRODUCT_COGS&amp;PRICE'!A:E,5,false)</f>
        <v>16.5</v>
      </c>
      <c r="CI344" s="315">
        <f t="shared" si="7"/>
        <v>-1.8631</v>
      </c>
      <c r="CJ344" s="316">
        <f t="shared" si="8"/>
        <v>0</v>
      </c>
      <c r="CK344" s="316">
        <f t="shared" si="9"/>
        <v>9</v>
      </c>
      <c r="CL344" s="314" t="str">
        <f>VLOOKUP(R344,PRODUCT_MAP!A:B,2,FALSE)</f>
        <v>Annie_Bag_BLUE</v>
      </c>
      <c r="CM344" s="314" t="str">
        <f>VLOOKUP(R344,PRODUCT_MAP!A:E,3,FALSE)</f>
        <v>Annie Bag</v>
      </c>
    </row>
    <row r="345" ht="22.5" customHeight="1">
      <c r="A345" s="308" t="s">
        <v>5674</v>
      </c>
      <c r="B345" s="308" t="s">
        <v>5675</v>
      </c>
      <c r="C345" s="308" t="s">
        <v>2942</v>
      </c>
      <c r="D345" s="308" t="s">
        <v>5676</v>
      </c>
      <c r="E345" s="308" t="s">
        <v>3013</v>
      </c>
      <c r="F345" s="308"/>
      <c r="G345" s="308" t="s">
        <v>2946</v>
      </c>
      <c r="H345" s="308" t="s">
        <v>2947</v>
      </c>
      <c r="I345" s="308">
        <v>81.0</v>
      </c>
      <c r="J345" s="308">
        <v>3.9</v>
      </c>
      <c r="K345" s="308">
        <v>15.31</v>
      </c>
      <c r="L345" s="308">
        <v>84.9</v>
      </c>
      <c r="M345" s="308" t="s">
        <v>3094</v>
      </c>
      <c r="N345" s="308">
        <v>9.0</v>
      </c>
      <c r="O345" s="308" t="s">
        <v>2948</v>
      </c>
      <c r="P345" s="308" t="s">
        <v>5677</v>
      </c>
      <c r="Q345" s="310">
        <v>1.0</v>
      </c>
      <c r="R345" s="308" t="s">
        <v>5039</v>
      </c>
      <c r="S345" s="308">
        <v>90.0</v>
      </c>
      <c r="T345" s="311"/>
      <c r="U345" s="308" t="s">
        <v>5040</v>
      </c>
      <c r="V345" s="308" t="b">
        <v>1</v>
      </c>
      <c r="W345" s="308" t="b">
        <v>1</v>
      </c>
      <c r="X345" s="308"/>
      <c r="Y345" s="308" t="s">
        <v>5678</v>
      </c>
      <c r="Z345" s="308" t="s">
        <v>5679</v>
      </c>
      <c r="AA345" s="308" t="s">
        <v>5679</v>
      </c>
      <c r="AB345" s="308"/>
      <c r="AC345" s="308"/>
      <c r="AD345" s="308" t="s">
        <v>5680</v>
      </c>
      <c r="AE345" s="308">
        <v>7010.0</v>
      </c>
      <c r="AF345" s="308" t="s">
        <v>4434</v>
      </c>
      <c r="AG345" s="308" t="s">
        <v>2955</v>
      </c>
      <c r="AH345" s="308"/>
      <c r="AI345" s="308" t="s">
        <v>5681</v>
      </c>
      <c r="AJ345" s="308" t="s">
        <v>5679</v>
      </c>
      <c r="AK345" s="308" t="s">
        <v>5679</v>
      </c>
      <c r="AL345" s="308"/>
      <c r="AM345" s="308"/>
      <c r="AN345" s="308" t="s">
        <v>5680</v>
      </c>
      <c r="AO345" s="308">
        <v>7010.0</v>
      </c>
      <c r="AP345" s="308" t="s">
        <v>4434</v>
      </c>
      <c r="AQ345" s="308" t="s">
        <v>2955</v>
      </c>
      <c r="AR345" s="308">
        <v>3.420826227E9</v>
      </c>
      <c r="AS345" s="311"/>
      <c r="AT345" s="311"/>
      <c r="AU345" s="311"/>
      <c r="AV345" s="308" t="s">
        <v>2956</v>
      </c>
      <c r="AW345" s="308">
        <v>4.7953716805959E13</v>
      </c>
      <c r="AX345" s="310">
        <v>0.0</v>
      </c>
      <c r="AY345" s="308" t="s">
        <v>2974</v>
      </c>
      <c r="AZ345" s="308">
        <v>0.0</v>
      </c>
      <c r="BA345" s="311"/>
      <c r="BB345" s="311"/>
      <c r="BC345" s="311"/>
      <c r="BD345" s="308">
        <v>7.825185866055E12</v>
      </c>
      <c r="BE345" s="311"/>
      <c r="BF345" s="311"/>
      <c r="BG345" s="308" t="s">
        <v>2958</v>
      </c>
      <c r="BH345" s="308">
        <v>0.0</v>
      </c>
      <c r="BI345" s="308" t="s">
        <v>2959</v>
      </c>
      <c r="BJ345" s="308">
        <v>14.61</v>
      </c>
      <c r="BK345" s="311"/>
      <c r="BL345" s="311"/>
      <c r="BM345" s="311"/>
      <c r="BN345" s="311"/>
      <c r="BO345" s="311"/>
      <c r="BP345" s="311"/>
      <c r="BQ345" s="311"/>
      <c r="BR345" s="311"/>
      <c r="BS345" s="308"/>
      <c r="BT345" s="311"/>
      <c r="BU345" s="311"/>
      <c r="BV345" s="308" t="s">
        <v>4438</v>
      </c>
      <c r="BW345" s="308" t="s">
        <v>4438</v>
      </c>
      <c r="BX345" s="308" t="s">
        <v>2956</v>
      </c>
      <c r="BY345" s="311"/>
      <c r="BZ345" s="311"/>
      <c r="CA345" s="308" t="s">
        <v>2956</v>
      </c>
      <c r="CB345" s="312" t="str">
        <f t="shared" si="1"/>
        <v>11/06/2026</v>
      </c>
      <c r="CC345" s="313">
        <f t="shared" si="2"/>
        <v>2026</v>
      </c>
      <c r="CD345" s="314">
        <f t="shared" si="3"/>
        <v>6</v>
      </c>
      <c r="CE345" s="314">
        <f t="shared" si="4"/>
        <v>1</v>
      </c>
      <c r="CF345" s="314">
        <f t="shared" si="5"/>
        <v>1</v>
      </c>
      <c r="CG345" s="314">
        <f t="shared" si="6"/>
        <v>0</v>
      </c>
      <c r="CH345" s="315">
        <f>VLOOKUP(CL345,'PRODUCT_COGS&amp;PRICE'!A:E,5,false)</f>
        <v>16.5</v>
      </c>
      <c r="CI345" s="315">
        <f t="shared" si="7"/>
        <v>-1.8631</v>
      </c>
      <c r="CJ345" s="316">
        <f t="shared" si="8"/>
        <v>0</v>
      </c>
      <c r="CK345" s="316">
        <f t="shared" si="9"/>
        <v>9</v>
      </c>
      <c r="CL345" s="314" t="str">
        <f>VLOOKUP(R345,PRODUCT_MAP!A:B,2,FALSE)</f>
        <v>Annie_Bag_PAILLETTES_LIGHT_BLUE</v>
      </c>
      <c r="CM345" s="314" t="str">
        <f>VLOOKUP(R345,PRODUCT_MAP!A:E,3,FALSE)</f>
        <v>Annie Bag paillettes</v>
      </c>
    </row>
    <row r="346" ht="22.5" customHeight="1">
      <c r="A346" s="308" t="s">
        <v>5682</v>
      </c>
      <c r="B346" s="308" t="s">
        <v>5683</v>
      </c>
      <c r="C346" s="308" t="s">
        <v>2942</v>
      </c>
      <c r="D346" s="308" t="s">
        <v>5684</v>
      </c>
      <c r="E346" s="308" t="s">
        <v>3013</v>
      </c>
      <c r="F346" s="308"/>
      <c r="G346" s="308" t="s">
        <v>2965</v>
      </c>
      <c r="H346" s="308" t="s">
        <v>2947</v>
      </c>
      <c r="I346" s="308">
        <v>170.0</v>
      </c>
      <c r="J346" s="308">
        <v>0.0</v>
      </c>
      <c r="K346" s="308">
        <v>30.66</v>
      </c>
      <c r="L346" s="308">
        <v>170.0</v>
      </c>
      <c r="M346" s="308"/>
      <c r="N346" s="308">
        <v>0.0</v>
      </c>
      <c r="O346" s="308" t="s">
        <v>2948</v>
      </c>
      <c r="P346" s="308" t="s">
        <v>5685</v>
      </c>
      <c r="Q346" s="310">
        <v>1.0</v>
      </c>
      <c r="R346" s="308" t="s">
        <v>549</v>
      </c>
      <c r="S346" s="308">
        <v>170.0</v>
      </c>
      <c r="T346" s="311"/>
      <c r="U346" s="308" t="s">
        <v>5187</v>
      </c>
      <c r="V346" s="308" t="b">
        <v>1</v>
      </c>
      <c r="W346" s="308" t="b">
        <v>1</v>
      </c>
      <c r="X346" s="308"/>
      <c r="Y346" s="308" t="s">
        <v>5686</v>
      </c>
      <c r="Z346" s="308" t="s">
        <v>5687</v>
      </c>
      <c r="AA346" s="308" t="s">
        <v>5687</v>
      </c>
      <c r="AB346" s="308"/>
      <c r="AC346" s="308"/>
      <c r="AD346" s="308" t="s">
        <v>5688</v>
      </c>
      <c r="AE346" s="308">
        <v>33028.0</v>
      </c>
      <c r="AF346" s="308" t="s">
        <v>3951</v>
      </c>
      <c r="AG346" s="308" t="s">
        <v>2955</v>
      </c>
      <c r="AH346" s="308">
        <v>3.471075983E9</v>
      </c>
      <c r="AI346" s="308" t="s">
        <v>5686</v>
      </c>
      <c r="AJ346" s="308" t="s">
        <v>5687</v>
      </c>
      <c r="AK346" s="308" t="s">
        <v>5687</v>
      </c>
      <c r="AL346" s="308"/>
      <c r="AM346" s="308"/>
      <c r="AN346" s="308" t="s">
        <v>5688</v>
      </c>
      <c r="AO346" s="308">
        <v>33028.0</v>
      </c>
      <c r="AP346" s="308" t="s">
        <v>3951</v>
      </c>
      <c r="AQ346" s="308" t="s">
        <v>2955</v>
      </c>
      <c r="AR346" s="308">
        <v>3.471075983E9</v>
      </c>
      <c r="AS346" s="311"/>
      <c r="AT346" s="311"/>
      <c r="AU346" s="311"/>
      <c r="AV346" s="308" t="s">
        <v>3009</v>
      </c>
      <c r="AW346" s="308">
        <v>4.7953960599879E13</v>
      </c>
      <c r="AX346" s="310">
        <v>0.0</v>
      </c>
      <c r="AY346" s="308" t="s">
        <v>2974</v>
      </c>
      <c r="AZ346" s="308">
        <v>0.0</v>
      </c>
      <c r="BA346" s="311"/>
      <c r="BB346" s="311"/>
      <c r="BC346" s="311"/>
      <c r="BD346" s="308">
        <v>7.825377460551E12</v>
      </c>
      <c r="BE346" s="311"/>
      <c r="BF346" s="311"/>
      <c r="BG346" s="308" t="s">
        <v>2958</v>
      </c>
      <c r="BH346" s="308">
        <v>0.0</v>
      </c>
      <c r="BI346" s="308" t="s">
        <v>2959</v>
      </c>
      <c r="BJ346" s="308">
        <v>30.66</v>
      </c>
      <c r="BK346" s="311"/>
      <c r="BL346" s="311"/>
      <c r="BM346" s="311"/>
      <c r="BN346" s="311"/>
      <c r="BO346" s="311"/>
      <c r="BP346" s="311"/>
      <c r="BQ346" s="311"/>
      <c r="BR346" s="311"/>
      <c r="BS346" s="318" t="s">
        <v>5689</v>
      </c>
      <c r="BT346" s="311"/>
      <c r="BU346" s="311"/>
      <c r="BV346" s="308" t="s">
        <v>3955</v>
      </c>
      <c r="BW346" s="308" t="s">
        <v>3955</v>
      </c>
      <c r="BX346" s="308" t="s">
        <v>3009</v>
      </c>
      <c r="BY346" s="311"/>
      <c r="BZ346" s="311"/>
      <c r="CA346" s="308" t="s">
        <v>3009</v>
      </c>
      <c r="CB346" s="312" t="str">
        <f t="shared" si="1"/>
        <v>11/06/2026</v>
      </c>
      <c r="CC346" s="313">
        <f t="shared" si="2"/>
        <v>2026</v>
      </c>
      <c r="CD346" s="314">
        <f t="shared" si="3"/>
        <v>6</v>
      </c>
      <c r="CE346" s="314">
        <f t="shared" si="4"/>
        <v>1</v>
      </c>
      <c r="CF346" s="314">
        <f t="shared" si="5"/>
        <v>1</v>
      </c>
      <c r="CG346" s="314">
        <f t="shared" si="6"/>
        <v>-5</v>
      </c>
      <c r="CH346" s="315">
        <f>VLOOKUP(CL346,'PRODUCT_COGS&amp;PRICE'!A:E,5,false)</f>
        <v>36</v>
      </c>
      <c r="CI346" s="315">
        <f t="shared" si="7"/>
        <v>-6.283</v>
      </c>
      <c r="CJ346" s="316">
        <f t="shared" si="8"/>
        <v>0</v>
      </c>
      <c r="CK346" s="316">
        <f t="shared" si="9"/>
        <v>0</v>
      </c>
      <c r="CL346" s="314" t="str">
        <f>VLOOKUP(R346,PRODUCT_MAP!A:B,2,FALSE)</f>
        <v>Lea_Bag_Maxi_COCCO_BLACK</v>
      </c>
      <c r="CM346" s="314" t="str">
        <f>VLOOKUP(R346,PRODUCT_MAP!A:E,3,FALSE)</f>
        <v>Lea Bag Maxi</v>
      </c>
    </row>
    <row r="347" ht="22.5" customHeight="1">
      <c r="A347" s="308" t="s">
        <v>5690</v>
      </c>
      <c r="B347" s="308" t="s">
        <v>5691</v>
      </c>
      <c r="C347" s="308" t="s">
        <v>2942</v>
      </c>
      <c r="D347" s="308" t="s">
        <v>5692</v>
      </c>
      <c r="E347" s="308" t="s">
        <v>3013</v>
      </c>
      <c r="F347" s="308"/>
      <c r="G347" s="308" t="s">
        <v>2946</v>
      </c>
      <c r="H347" s="308" t="s">
        <v>2947</v>
      </c>
      <c r="I347" s="308">
        <v>63.0</v>
      </c>
      <c r="J347" s="308">
        <v>3.9</v>
      </c>
      <c r="K347" s="308">
        <v>12.06</v>
      </c>
      <c r="L347" s="308">
        <v>66.9</v>
      </c>
      <c r="M347" s="308" t="s">
        <v>3221</v>
      </c>
      <c r="N347" s="308">
        <v>7.0</v>
      </c>
      <c r="O347" s="308" t="s">
        <v>2948</v>
      </c>
      <c r="P347" s="308" t="s">
        <v>5693</v>
      </c>
      <c r="Q347" s="310">
        <v>1.0</v>
      </c>
      <c r="R347" s="308" t="s">
        <v>677</v>
      </c>
      <c r="S347" s="308">
        <v>70.0</v>
      </c>
      <c r="T347" s="311"/>
      <c r="U347" s="308" t="s">
        <v>323</v>
      </c>
      <c r="V347" s="308" t="b">
        <v>1</v>
      </c>
      <c r="W347" s="308" t="b">
        <v>1</v>
      </c>
      <c r="X347" s="308"/>
      <c r="Y347" s="308" t="s">
        <v>5694</v>
      </c>
      <c r="Z347" s="308" t="s">
        <v>5695</v>
      </c>
      <c r="AA347" s="308" t="s">
        <v>5695</v>
      </c>
      <c r="AB347" s="308"/>
      <c r="AC347" s="308"/>
      <c r="AD347" s="308" t="s">
        <v>23</v>
      </c>
      <c r="AE347" s="308">
        <v>20123.0</v>
      </c>
      <c r="AF347" s="308" t="s">
        <v>2954</v>
      </c>
      <c r="AG347" s="308" t="s">
        <v>2955</v>
      </c>
      <c r="AH347" s="308"/>
      <c r="AI347" s="308" t="s">
        <v>5694</v>
      </c>
      <c r="AJ347" s="308" t="s">
        <v>5696</v>
      </c>
      <c r="AK347" s="308" t="s">
        <v>5696</v>
      </c>
      <c r="AL347" s="308"/>
      <c r="AM347" s="308"/>
      <c r="AN347" s="308" t="s">
        <v>3049</v>
      </c>
      <c r="AO347" s="308">
        <v>41124.0</v>
      </c>
      <c r="AP347" s="308" t="s">
        <v>3047</v>
      </c>
      <c r="AQ347" s="308" t="s">
        <v>2955</v>
      </c>
      <c r="AR347" s="308">
        <v>3.466991902E9</v>
      </c>
      <c r="AS347" s="311"/>
      <c r="AT347" s="311"/>
      <c r="AU347" s="311"/>
      <c r="AV347" s="308" t="s">
        <v>2956</v>
      </c>
      <c r="AW347" s="308">
        <v>4.7954191384903E13</v>
      </c>
      <c r="AX347" s="310">
        <v>0.0</v>
      </c>
      <c r="AY347" s="308" t="s">
        <v>5290</v>
      </c>
      <c r="AZ347" s="308">
        <v>0.0</v>
      </c>
      <c r="BA347" s="311"/>
      <c r="BB347" s="311"/>
      <c r="BC347" s="311"/>
      <c r="BD347" s="308">
        <v>7.825536254279E12</v>
      </c>
      <c r="BE347" s="311"/>
      <c r="BF347" s="311"/>
      <c r="BG347" s="308" t="s">
        <v>2958</v>
      </c>
      <c r="BH347" s="308">
        <v>0.0</v>
      </c>
      <c r="BI347" s="308" t="s">
        <v>2959</v>
      </c>
      <c r="BJ347" s="308">
        <v>11.36</v>
      </c>
      <c r="BK347" s="311"/>
      <c r="BL347" s="311"/>
      <c r="BM347" s="311"/>
      <c r="BN347" s="311"/>
      <c r="BO347" s="311"/>
      <c r="BP347" s="311"/>
      <c r="BQ347" s="311"/>
      <c r="BR347" s="311"/>
      <c r="BS347" s="308"/>
      <c r="BT347" s="311"/>
      <c r="BU347" s="311"/>
      <c r="BV347" s="308" t="s">
        <v>23</v>
      </c>
      <c r="BW347" s="308" t="s">
        <v>3049</v>
      </c>
      <c r="BX347" s="308" t="s">
        <v>2956</v>
      </c>
      <c r="BY347" s="311"/>
      <c r="BZ347" s="311"/>
      <c r="CA347" s="308" t="s">
        <v>2956</v>
      </c>
      <c r="CB347" s="312" t="str">
        <f t="shared" si="1"/>
        <v>11/06/2026</v>
      </c>
      <c r="CC347" s="313">
        <f t="shared" si="2"/>
        <v>2026</v>
      </c>
      <c r="CD347" s="314">
        <f t="shared" si="3"/>
        <v>6</v>
      </c>
      <c r="CE347" s="314">
        <f t="shared" si="4"/>
        <v>1</v>
      </c>
      <c r="CF347" s="314">
        <f t="shared" si="5"/>
        <v>1</v>
      </c>
      <c r="CG347" s="314">
        <f t="shared" si="6"/>
        <v>0</v>
      </c>
      <c r="CH347" s="315">
        <f>VLOOKUP(CL347,'PRODUCT_COGS&amp;PRICE'!A:E,5,false)</f>
        <v>14.58</v>
      </c>
      <c r="CI347" s="315">
        <f t="shared" si="7"/>
        <v>-1.5211</v>
      </c>
      <c r="CJ347" s="316">
        <f t="shared" si="8"/>
        <v>0</v>
      </c>
      <c r="CK347" s="316">
        <f t="shared" si="9"/>
        <v>7</v>
      </c>
      <c r="CL347" s="314" t="str">
        <f>VLOOKUP(R347,PRODUCT_MAP!A:B,2,FALSE)</f>
        <v>Nina_Bag_Maxi_STRIPES_JUNGLE_GREEN</v>
      </c>
      <c r="CM347" s="314" t="str">
        <f>VLOOKUP(R347,PRODUCT_MAP!A:E,3,FALSE)</f>
        <v>Nina Bag</v>
      </c>
    </row>
    <row r="348" ht="22.5" customHeight="1">
      <c r="A348" s="308" t="s">
        <v>5697</v>
      </c>
      <c r="B348" s="308" t="s">
        <v>5698</v>
      </c>
      <c r="C348" s="308" t="s">
        <v>2962</v>
      </c>
      <c r="D348" s="308" t="s">
        <v>5699</v>
      </c>
      <c r="E348" s="308" t="s">
        <v>3013</v>
      </c>
      <c r="F348" s="308"/>
      <c r="G348" s="308" t="s">
        <v>2965</v>
      </c>
      <c r="H348" s="308" t="s">
        <v>2947</v>
      </c>
      <c r="I348" s="308">
        <v>90.0</v>
      </c>
      <c r="J348" s="308">
        <v>3.9</v>
      </c>
      <c r="K348" s="308">
        <v>16.93</v>
      </c>
      <c r="L348" s="308">
        <v>93.9</v>
      </c>
      <c r="M348" s="308"/>
      <c r="N348" s="308">
        <v>0.0</v>
      </c>
      <c r="O348" s="308" t="s">
        <v>2948</v>
      </c>
      <c r="P348" s="308" t="s">
        <v>5700</v>
      </c>
      <c r="Q348" s="310">
        <v>1.0</v>
      </c>
      <c r="R348" s="308" t="s">
        <v>5701</v>
      </c>
      <c r="S348" s="308">
        <v>90.0</v>
      </c>
      <c r="T348" s="311"/>
      <c r="U348" s="308" t="s">
        <v>5702</v>
      </c>
      <c r="V348" s="308" t="b">
        <v>1</v>
      </c>
      <c r="W348" s="308" t="b">
        <v>1</v>
      </c>
      <c r="X348" s="308"/>
      <c r="Y348" s="308" t="s">
        <v>5703</v>
      </c>
      <c r="Z348" s="308" t="s">
        <v>5704</v>
      </c>
      <c r="AA348" s="308" t="s">
        <v>5704</v>
      </c>
      <c r="AB348" s="308"/>
      <c r="AC348" s="308"/>
      <c r="AD348" s="308" t="s">
        <v>5705</v>
      </c>
      <c r="AE348" s="308">
        <v>62010.0</v>
      </c>
      <c r="AF348" s="308" t="s">
        <v>3369</v>
      </c>
      <c r="AG348" s="308" t="s">
        <v>2955</v>
      </c>
      <c r="AH348" s="308">
        <v>3.806827808E9</v>
      </c>
      <c r="AI348" s="308" t="s">
        <v>5703</v>
      </c>
      <c r="AJ348" s="308" t="s">
        <v>5704</v>
      </c>
      <c r="AK348" s="308" t="s">
        <v>5704</v>
      </c>
      <c r="AL348" s="308"/>
      <c r="AM348" s="308"/>
      <c r="AN348" s="308" t="s">
        <v>5705</v>
      </c>
      <c r="AO348" s="308">
        <v>62010.0</v>
      </c>
      <c r="AP348" s="308" t="s">
        <v>3369</v>
      </c>
      <c r="AQ348" s="308" t="s">
        <v>2955</v>
      </c>
      <c r="AR348" s="308">
        <v>3.806827808E9</v>
      </c>
      <c r="AS348" s="311"/>
      <c r="AT348" s="311"/>
      <c r="AU348" s="311"/>
      <c r="AV348" s="308" t="s">
        <v>2956</v>
      </c>
      <c r="AW348" s="308">
        <v>4.7956656881991E13</v>
      </c>
      <c r="AX348" s="310">
        <v>90.0</v>
      </c>
      <c r="AY348" s="308" t="s">
        <v>2974</v>
      </c>
      <c r="AZ348" s="308">
        <v>0.0</v>
      </c>
      <c r="BA348" s="311"/>
      <c r="BB348" s="311"/>
      <c r="BC348" s="311"/>
      <c r="BD348" s="308">
        <v>7.828037828935E12</v>
      </c>
      <c r="BE348" s="311"/>
      <c r="BF348" s="311"/>
      <c r="BG348" s="308" t="s">
        <v>2958</v>
      </c>
      <c r="BH348" s="308">
        <v>0.0</v>
      </c>
      <c r="BI348" s="308" t="s">
        <v>2959</v>
      </c>
      <c r="BJ348" s="308">
        <v>16.23</v>
      </c>
      <c r="BK348" s="311"/>
      <c r="BL348" s="311"/>
      <c r="BM348" s="311"/>
      <c r="BN348" s="311"/>
      <c r="BO348" s="311"/>
      <c r="BP348" s="311"/>
      <c r="BQ348" s="311"/>
      <c r="BR348" s="311"/>
      <c r="BS348" s="308"/>
      <c r="BT348" s="311"/>
      <c r="BU348" s="311"/>
      <c r="BV348" s="308" t="s">
        <v>3370</v>
      </c>
      <c r="BW348" s="308" t="s">
        <v>3370</v>
      </c>
      <c r="BX348" s="308" t="s">
        <v>2956</v>
      </c>
      <c r="BY348" s="311"/>
      <c r="BZ348" s="311"/>
      <c r="CA348" s="308" t="s">
        <v>2956</v>
      </c>
      <c r="CB348" s="312" t="str">
        <f t="shared" si="1"/>
        <v>11/06/2026</v>
      </c>
      <c r="CC348" s="313">
        <f t="shared" si="2"/>
        <v>2026</v>
      </c>
      <c r="CD348" s="314">
        <f t="shared" si="3"/>
        <v>6</v>
      </c>
      <c r="CE348" s="314">
        <f t="shared" si="4"/>
        <v>1</v>
      </c>
      <c r="CF348" s="314">
        <f t="shared" si="5"/>
        <v>1</v>
      </c>
      <c r="CG348" s="314">
        <f t="shared" si="6"/>
        <v>0</v>
      </c>
      <c r="CH348" s="315">
        <f>VLOOKUP(CL348,'PRODUCT_COGS&amp;PRICE'!A:E,5,false)</f>
        <v>19</v>
      </c>
      <c r="CI348" s="315">
        <f t="shared" si="7"/>
        <v>-2.0341</v>
      </c>
      <c r="CJ348" s="316">
        <f t="shared" si="8"/>
        <v>0</v>
      </c>
      <c r="CK348" s="316">
        <f t="shared" si="9"/>
        <v>0</v>
      </c>
      <c r="CL348" s="314" t="str">
        <f>VLOOKUP(R348,PRODUCT_MAP!A:B,2,FALSE)</f>
        <v>Agata_Bag_FLORAL_DUSTY_PINK_EMBROIDERY</v>
      </c>
      <c r="CM348" s="314" t="str">
        <f>VLOOKUP(R348,PRODUCT_MAP!A:E,3,FALSE)</f>
        <v>Agata Bag</v>
      </c>
    </row>
    <row r="349" ht="22.5" customHeight="1">
      <c r="A349" s="308" t="s">
        <v>5706</v>
      </c>
      <c r="B349" s="308" t="s">
        <v>5707</v>
      </c>
      <c r="C349" s="308" t="s">
        <v>2942</v>
      </c>
      <c r="D349" s="308" t="s">
        <v>5708</v>
      </c>
      <c r="E349" s="308" t="s">
        <v>3013</v>
      </c>
      <c r="F349" s="308"/>
      <c r="G349" s="308" t="s">
        <v>2946</v>
      </c>
      <c r="H349" s="308" t="s">
        <v>2947</v>
      </c>
      <c r="I349" s="308">
        <v>18.0</v>
      </c>
      <c r="J349" s="308">
        <v>3.9</v>
      </c>
      <c r="K349" s="308">
        <v>3.95</v>
      </c>
      <c r="L349" s="308">
        <v>21.9</v>
      </c>
      <c r="M349" s="308"/>
      <c r="N349" s="308">
        <v>0.0</v>
      </c>
      <c r="O349" s="308" t="s">
        <v>2948</v>
      </c>
      <c r="P349" s="308" t="s">
        <v>5709</v>
      </c>
      <c r="Q349" s="310">
        <v>1.0</v>
      </c>
      <c r="R349" s="308" t="s">
        <v>750</v>
      </c>
      <c r="S349" s="308">
        <v>18.0</v>
      </c>
      <c r="T349" s="311"/>
      <c r="U349" s="308" t="s">
        <v>354</v>
      </c>
      <c r="V349" s="308" t="b">
        <v>1</v>
      </c>
      <c r="W349" s="308" t="b">
        <v>1</v>
      </c>
      <c r="X349" s="308"/>
      <c r="Y349" s="308" t="s">
        <v>5710</v>
      </c>
      <c r="Z349" s="308" t="s">
        <v>5711</v>
      </c>
      <c r="AA349" s="308" t="s">
        <v>5711</v>
      </c>
      <c r="AB349" s="308"/>
      <c r="AC349" s="308"/>
      <c r="AD349" s="308" t="s">
        <v>23</v>
      </c>
      <c r="AE349" s="308">
        <v>20124.0</v>
      </c>
      <c r="AF349" s="308" t="s">
        <v>2954</v>
      </c>
      <c r="AG349" s="308" t="s">
        <v>2955</v>
      </c>
      <c r="AH349" s="308"/>
      <c r="AI349" s="308" t="s">
        <v>5710</v>
      </c>
      <c r="AJ349" s="308" t="s">
        <v>5711</v>
      </c>
      <c r="AK349" s="308" t="s">
        <v>5711</v>
      </c>
      <c r="AL349" s="308"/>
      <c r="AM349" s="308"/>
      <c r="AN349" s="308" t="s">
        <v>23</v>
      </c>
      <c r="AO349" s="308">
        <v>20124.0</v>
      </c>
      <c r="AP349" s="308" t="s">
        <v>2954</v>
      </c>
      <c r="AQ349" s="308" t="s">
        <v>2955</v>
      </c>
      <c r="AR349" s="308">
        <v>3.206487191E9</v>
      </c>
      <c r="AS349" s="311"/>
      <c r="AT349" s="311"/>
      <c r="AU349" s="311"/>
      <c r="AV349" s="308" t="s">
        <v>2956</v>
      </c>
      <c r="AW349" s="308">
        <v>4.7956833632583E13</v>
      </c>
      <c r="AX349" s="310">
        <v>0.0</v>
      </c>
      <c r="AY349" s="308" t="s">
        <v>5290</v>
      </c>
      <c r="AZ349" s="308">
        <v>0.0</v>
      </c>
      <c r="BA349" s="311"/>
      <c r="BB349" s="311"/>
      <c r="BC349" s="311"/>
      <c r="BD349" s="308">
        <v>7.828309180743E12</v>
      </c>
      <c r="BE349" s="311"/>
      <c r="BF349" s="311"/>
      <c r="BG349" s="308" t="s">
        <v>2958</v>
      </c>
      <c r="BH349" s="308">
        <v>0.0</v>
      </c>
      <c r="BI349" s="308" t="s">
        <v>2959</v>
      </c>
      <c r="BJ349" s="308">
        <v>3.25</v>
      </c>
      <c r="BK349" s="311"/>
      <c r="BL349" s="311"/>
      <c r="BM349" s="311"/>
      <c r="BN349" s="311"/>
      <c r="BO349" s="311"/>
      <c r="BP349" s="311"/>
      <c r="BQ349" s="311"/>
      <c r="BR349" s="311"/>
      <c r="BS349" s="308"/>
      <c r="BT349" s="311"/>
      <c r="BU349" s="311"/>
      <c r="BV349" s="308" t="s">
        <v>23</v>
      </c>
      <c r="BW349" s="308" t="s">
        <v>23</v>
      </c>
      <c r="BX349" s="308" t="s">
        <v>2956</v>
      </c>
      <c r="BY349" s="311"/>
      <c r="BZ349" s="311"/>
      <c r="CA349" s="308" t="s">
        <v>2956</v>
      </c>
      <c r="CB349" s="312" t="str">
        <f t="shared" si="1"/>
        <v>11/06/2026</v>
      </c>
      <c r="CC349" s="313">
        <f t="shared" si="2"/>
        <v>2026</v>
      </c>
      <c r="CD349" s="314">
        <f t="shared" si="3"/>
        <v>6</v>
      </c>
      <c r="CE349" s="314">
        <f t="shared" si="4"/>
        <v>1</v>
      </c>
      <c r="CF349" s="314">
        <f t="shared" si="5"/>
        <v>1</v>
      </c>
      <c r="CG349" s="314">
        <f t="shared" si="6"/>
        <v>0</v>
      </c>
      <c r="CH349" s="315">
        <f>VLOOKUP(CL349,'PRODUCT_COGS&amp;PRICE'!A:E,5,false)</f>
        <v>2.89</v>
      </c>
      <c r="CI349" s="315">
        <f t="shared" si="7"/>
        <v>-0.6661</v>
      </c>
      <c r="CJ349" s="316">
        <f t="shared" si="8"/>
        <v>0</v>
      </c>
      <c r="CK349" s="316">
        <f t="shared" si="9"/>
        <v>0</v>
      </c>
      <c r="CL349" s="314" t="str">
        <f>VLOOKUP(R349,PRODUCT_MAP!A:B,2,FALSE)</f>
        <v>Sunglass_Cover_18X9_STRIPES_LIME_PINK</v>
      </c>
      <c r="CM349" s="314" t="str">
        <f>VLOOKUP(R349,PRODUCT_MAP!A:E,3,FALSE)</f>
        <v>Sunglass Cover</v>
      </c>
    </row>
    <row r="350" ht="22.5" customHeight="1">
      <c r="A350" s="308" t="s">
        <v>5712</v>
      </c>
      <c r="B350" s="308" t="s">
        <v>5713</v>
      </c>
      <c r="C350" s="308" t="s">
        <v>2942</v>
      </c>
      <c r="D350" s="308" t="s">
        <v>5714</v>
      </c>
      <c r="E350" s="308" t="s">
        <v>3013</v>
      </c>
      <c r="F350" s="308"/>
      <c r="G350" s="308" t="s">
        <v>2946</v>
      </c>
      <c r="H350" s="308" t="s">
        <v>2947</v>
      </c>
      <c r="I350" s="308">
        <v>90.0</v>
      </c>
      <c r="J350" s="308">
        <v>3.9</v>
      </c>
      <c r="K350" s="308">
        <v>16.93</v>
      </c>
      <c r="L350" s="308">
        <v>93.9</v>
      </c>
      <c r="M350" s="308"/>
      <c r="N350" s="308">
        <v>0.0</v>
      </c>
      <c r="O350" s="308" t="s">
        <v>2948</v>
      </c>
      <c r="P350" s="308" t="s">
        <v>5715</v>
      </c>
      <c r="Q350" s="310">
        <v>1.0</v>
      </c>
      <c r="R350" s="308" t="s">
        <v>4211</v>
      </c>
      <c r="S350" s="308">
        <v>90.0</v>
      </c>
      <c r="T350" s="311"/>
      <c r="U350" s="308" t="s">
        <v>4212</v>
      </c>
      <c r="V350" s="308" t="b">
        <v>1</v>
      </c>
      <c r="W350" s="308" t="b">
        <v>1</v>
      </c>
      <c r="X350" s="308"/>
      <c r="Y350" s="308" t="s">
        <v>5716</v>
      </c>
      <c r="Z350" s="308" t="s">
        <v>5717</v>
      </c>
      <c r="AA350" s="308" t="s">
        <v>5717</v>
      </c>
      <c r="AB350" s="308"/>
      <c r="AC350" s="308"/>
      <c r="AD350" s="308" t="s">
        <v>5718</v>
      </c>
      <c r="AE350" s="308">
        <v>84124.0</v>
      </c>
      <c r="AF350" s="308" t="s">
        <v>5719</v>
      </c>
      <c r="AG350" s="308" t="s">
        <v>2955</v>
      </c>
      <c r="AH350" s="308"/>
      <c r="AI350" s="308" t="s">
        <v>5716</v>
      </c>
      <c r="AJ350" s="308" t="s">
        <v>5720</v>
      </c>
      <c r="AK350" s="308" t="s">
        <v>5720</v>
      </c>
      <c r="AL350" s="308"/>
      <c r="AM350" s="308"/>
      <c r="AN350" s="308" t="s">
        <v>5718</v>
      </c>
      <c r="AO350" s="308">
        <v>84124.0</v>
      </c>
      <c r="AP350" s="308" t="s">
        <v>5719</v>
      </c>
      <c r="AQ350" s="308" t="s">
        <v>2955</v>
      </c>
      <c r="AR350" s="308">
        <v>3.296162854E9</v>
      </c>
      <c r="AS350" s="311"/>
      <c r="AT350" s="311"/>
      <c r="AU350" s="311"/>
      <c r="AV350" s="308" t="s">
        <v>2956</v>
      </c>
      <c r="AW350" s="308">
        <v>4.7958177186119E13</v>
      </c>
      <c r="AX350" s="310">
        <v>0.0</v>
      </c>
      <c r="AY350" s="308" t="s">
        <v>2974</v>
      </c>
      <c r="AZ350" s="308">
        <v>0.0</v>
      </c>
      <c r="BA350" s="311"/>
      <c r="BB350" s="311"/>
      <c r="BC350" s="311"/>
      <c r="BD350" s="308">
        <v>7.830416490823E12</v>
      </c>
      <c r="BE350" s="311"/>
      <c r="BF350" s="311"/>
      <c r="BG350" s="308" t="s">
        <v>2958</v>
      </c>
      <c r="BH350" s="308">
        <v>0.0</v>
      </c>
      <c r="BI350" s="308" t="s">
        <v>2959</v>
      </c>
      <c r="BJ350" s="308">
        <v>16.23</v>
      </c>
      <c r="BK350" s="311"/>
      <c r="BL350" s="311"/>
      <c r="BM350" s="311"/>
      <c r="BN350" s="311"/>
      <c r="BO350" s="311"/>
      <c r="BP350" s="311"/>
      <c r="BQ350" s="311"/>
      <c r="BR350" s="311"/>
      <c r="BS350" s="308"/>
      <c r="BT350" s="311"/>
      <c r="BU350" s="311"/>
      <c r="BV350" s="308" t="s">
        <v>5718</v>
      </c>
      <c r="BW350" s="308" t="s">
        <v>5718</v>
      </c>
      <c r="BX350" s="308" t="s">
        <v>2956</v>
      </c>
      <c r="BY350" s="311"/>
      <c r="BZ350" s="311"/>
      <c r="CA350" s="308" t="s">
        <v>2956</v>
      </c>
      <c r="CB350" s="312" t="str">
        <f t="shared" si="1"/>
        <v>12/06/2026</v>
      </c>
      <c r="CC350" s="313">
        <f t="shared" si="2"/>
        <v>2026</v>
      </c>
      <c r="CD350" s="314">
        <f t="shared" si="3"/>
        <v>6</v>
      </c>
      <c r="CE350" s="314">
        <f t="shared" si="4"/>
        <v>1</v>
      </c>
      <c r="CF350" s="314">
        <f t="shared" si="5"/>
        <v>1</v>
      </c>
      <c r="CG350" s="314">
        <f t="shared" si="6"/>
        <v>0</v>
      </c>
      <c r="CH350" s="315">
        <f>VLOOKUP(CL350,'PRODUCT_COGS&amp;PRICE'!A:E,5,false)</f>
        <v>16.5</v>
      </c>
      <c r="CI350" s="315">
        <f t="shared" si="7"/>
        <v>-2.0341</v>
      </c>
      <c r="CJ350" s="316">
        <f t="shared" si="8"/>
        <v>0</v>
      </c>
      <c r="CK350" s="316">
        <f t="shared" si="9"/>
        <v>0</v>
      </c>
      <c r="CL350" s="314" t="str">
        <f>VLOOKUP(R350,PRODUCT_MAP!A:B,2,FALSE)</f>
        <v>Annie_Bag_PAILLETTES_PINK</v>
      </c>
      <c r="CM350" s="314" t="str">
        <f>VLOOKUP(R350,PRODUCT_MAP!A:E,3,FALSE)</f>
        <v>Annie Bag paillettes</v>
      </c>
    </row>
    <row r="351" ht="22.5" customHeight="1">
      <c r="A351" s="308" t="s">
        <v>5721</v>
      </c>
      <c r="B351" s="308" t="s">
        <v>5722</v>
      </c>
      <c r="C351" s="308" t="s">
        <v>2942</v>
      </c>
      <c r="D351" s="308" t="s">
        <v>5723</v>
      </c>
      <c r="E351" s="308" t="s">
        <v>3013</v>
      </c>
      <c r="F351" s="308"/>
      <c r="G351" s="308" t="s">
        <v>2946</v>
      </c>
      <c r="H351" s="308" t="s">
        <v>2947</v>
      </c>
      <c r="I351" s="308">
        <v>153.0</v>
      </c>
      <c r="J351" s="308">
        <v>0.0</v>
      </c>
      <c r="K351" s="308">
        <v>27.59</v>
      </c>
      <c r="L351" s="308">
        <v>153.0</v>
      </c>
      <c r="M351" s="308" t="s">
        <v>3094</v>
      </c>
      <c r="N351" s="308">
        <v>17.0</v>
      </c>
      <c r="O351" s="308" t="s">
        <v>2948</v>
      </c>
      <c r="P351" s="308" t="s">
        <v>5724</v>
      </c>
      <c r="Q351" s="310">
        <v>1.0</v>
      </c>
      <c r="R351" s="308" t="s">
        <v>554</v>
      </c>
      <c r="S351" s="308">
        <v>170.0</v>
      </c>
      <c r="T351" s="311"/>
      <c r="U351" s="308" t="s">
        <v>296</v>
      </c>
      <c r="V351" s="308" t="b">
        <v>1</v>
      </c>
      <c r="W351" s="308" t="b">
        <v>1</v>
      </c>
      <c r="X351" s="308"/>
      <c r="Y351" s="308" t="s">
        <v>5725</v>
      </c>
      <c r="Z351" s="308" t="s">
        <v>5726</v>
      </c>
      <c r="AA351" s="308" t="s">
        <v>5726</v>
      </c>
      <c r="AB351" s="308"/>
      <c r="AC351" s="308"/>
      <c r="AD351" s="308" t="s">
        <v>5727</v>
      </c>
      <c r="AE351" s="308">
        <v>41012.0</v>
      </c>
      <c r="AF351" s="308" t="s">
        <v>3047</v>
      </c>
      <c r="AG351" s="308" t="s">
        <v>2955</v>
      </c>
      <c r="AH351" s="308">
        <v>3.483465842E9</v>
      </c>
      <c r="AI351" s="308" t="s">
        <v>5725</v>
      </c>
      <c r="AJ351" s="308" t="s">
        <v>5726</v>
      </c>
      <c r="AK351" s="308" t="s">
        <v>5726</v>
      </c>
      <c r="AL351" s="308"/>
      <c r="AM351" s="308"/>
      <c r="AN351" s="308" t="s">
        <v>5727</v>
      </c>
      <c r="AO351" s="308">
        <v>41012.0</v>
      </c>
      <c r="AP351" s="308" t="s">
        <v>3047</v>
      </c>
      <c r="AQ351" s="308" t="s">
        <v>2955</v>
      </c>
      <c r="AR351" s="308">
        <v>3.483465842E9</v>
      </c>
      <c r="AS351" s="311"/>
      <c r="AT351" s="311"/>
      <c r="AU351" s="311"/>
      <c r="AV351" s="308" t="s">
        <v>2956</v>
      </c>
      <c r="AW351" s="308">
        <v>4.7947697389895E13</v>
      </c>
      <c r="AX351" s="310">
        <v>0.0</v>
      </c>
      <c r="AY351" s="308" t="s">
        <v>2974</v>
      </c>
      <c r="AZ351" s="308">
        <v>0.0</v>
      </c>
      <c r="BA351" s="311"/>
      <c r="BB351" s="311"/>
      <c r="BC351" s="311"/>
      <c r="BD351" s="308">
        <v>7.830430089543E12</v>
      </c>
      <c r="BE351" s="311"/>
      <c r="BF351" s="311"/>
      <c r="BG351" s="308" t="s">
        <v>2958</v>
      </c>
      <c r="BH351" s="308">
        <v>0.0</v>
      </c>
      <c r="BI351" s="308" t="s">
        <v>2959</v>
      </c>
      <c r="BJ351" s="308">
        <v>27.59</v>
      </c>
      <c r="BK351" s="311"/>
      <c r="BL351" s="311"/>
      <c r="BM351" s="311"/>
      <c r="BN351" s="311"/>
      <c r="BO351" s="311"/>
      <c r="BP351" s="311"/>
      <c r="BQ351" s="311"/>
      <c r="BR351" s="311"/>
      <c r="BS351" s="308"/>
      <c r="BT351" s="311"/>
      <c r="BU351" s="311"/>
      <c r="BV351" s="308" t="s">
        <v>3049</v>
      </c>
      <c r="BW351" s="308" t="s">
        <v>3049</v>
      </c>
      <c r="BX351" s="308" t="s">
        <v>2956</v>
      </c>
      <c r="BY351" s="311"/>
      <c r="BZ351" s="311"/>
      <c r="CA351" s="308" t="s">
        <v>2956</v>
      </c>
      <c r="CB351" s="312" t="str">
        <f t="shared" si="1"/>
        <v>12/06/2026</v>
      </c>
      <c r="CC351" s="313">
        <f t="shared" si="2"/>
        <v>2026</v>
      </c>
      <c r="CD351" s="314">
        <f t="shared" si="3"/>
        <v>6</v>
      </c>
      <c r="CE351" s="314">
        <f t="shared" si="4"/>
        <v>1</v>
      </c>
      <c r="CF351" s="314">
        <f t="shared" si="5"/>
        <v>1</v>
      </c>
      <c r="CG351" s="314">
        <f t="shared" si="6"/>
        <v>-5</v>
      </c>
      <c r="CH351" s="315">
        <f>VLOOKUP(CL351,'PRODUCT_COGS&amp;PRICE'!A:E,5,false)</f>
        <v>25</v>
      </c>
      <c r="CI351" s="315">
        <f t="shared" si="7"/>
        <v>-3.157</v>
      </c>
      <c r="CJ351" s="316">
        <f t="shared" si="8"/>
        <v>0</v>
      </c>
      <c r="CK351" s="316">
        <f t="shared" si="9"/>
        <v>17</v>
      </c>
      <c r="CL351" s="314" t="str">
        <f>VLOOKUP(R351,PRODUCT_MAP!A:B,2,FALSE)</f>
        <v>Lea_Bag_Maxi_COCCO_CHOCOLATE</v>
      </c>
      <c r="CM351" s="314" t="str">
        <f>VLOOKUP(R351,PRODUCT_MAP!A:E,3,FALSE)</f>
        <v>Lea Bag Maxi</v>
      </c>
    </row>
    <row r="352" ht="22.5" customHeight="1">
      <c r="A352" s="308" t="s">
        <v>5728</v>
      </c>
      <c r="B352" s="308" t="s">
        <v>5729</v>
      </c>
      <c r="C352" s="308" t="s">
        <v>2942</v>
      </c>
      <c r="D352" s="308" t="s">
        <v>5730</v>
      </c>
      <c r="E352" s="308" t="s">
        <v>3013</v>
      </c>
      <c r="F352" s="308"/>
      <c r="G352" s="308" t="s">
        <v>2946</v>
      </c>
      <c r="H352" s="308" t="s">
        <v>2947</v>
      </c>
      <c r="I352" s="308">
        <v>108.0</v>
      </c>
      <c r="J352" s="308">
        <v>0.0</v>
      </c>
      <c r="K352" s="308">
        <v>19.48</v>
      </c>
      <c r="L352" s="308">
        <v>108.0</v>
      </c>
      <c r="M352" s="308" t="s">
        <v>3094</v>
      </c>
      <c r="N352" s="308">
        <v>12.0</v>
      </c>
      <c r="O352" s="308" t="s">
        <v>2948</v>
      </c>
      <c r="P352" s="308" t="s">
        <v>5731</v>
      </c>
      <c r="Q352" s="310">
        <v>1.0</v>
      </c>
      <c r="R352" s="308" t="s">
        <v>524</v>
      </c>
      <c r="S352" s="308">
        <v>120.0</v>
      </c>
      <c r="T352" s="311"/>
      <c r="U352" s="308" t="s">
        <v>300</v>
      </c>
      <c r="V352" s="308" t="b">
        <v>1</v>
      </c>
      <c r="W352" s="308" t="b">
        <v>1</v>
      </c>
      <c r="X352" s="308"/>
      <c r="Y352" s="308" t="s">
        <v>5732</v>
      </c>
      <c r="Z352" s="308" t="s">
        <v>5733</v>
      </c>
      <c r="AA352" s="308" t="s">
        <v>5733</v>
      </c>
      <c r="AB352" s="308"/>
      <c r="AC352" s="308"/>
      <c r="AD352" s="308" t="s">
        <v>3081</v>
      </c>
      <c r="AE352" s="308">
        <v>191.0</v>
      </c>
      <c r="AF352" s="308" t="s">
        <v>3082</v>
      </c>
      <c r="AG352" s="308" t="s">
        <v>2955</v>
      </c>
      <c r="AH352" s="308">
        <v>3.334907872E9</v>
      </c>
      <c r="AI352" s="308" t="s">
        <v>5732</v>
      </c>
      <c r="AJ352" s="308" t="s">
        <v>5733</v>
      </c>
      <c r="AK352" s="308" t="s">
        <v>5733</v>
      </c>
      <c r="AL352" s="308"/>
      <c r="AM352" s="308"/>
      <c r="AN352" s="308" t="s">
        <v>3081</v>
      </c>
      <c r="AO352" s="308">
        <v>191.0</v>
      </c>
      <c r="AP352" s="308" t="s">
        <v>3082</v>
      </c>
      <c r="AQ352" s="308" t="s">
        <v>2955</v>
      </c>
      <c r="AR352" s="308">
        <v>3.334907872E9</v>
      </c>
      <c r="AS352" s="311"/>
      <c r="AT352" s="311"/>
      <c r="AU352" s="311"/>
      <c r="AV352" s="308" t="s">
        <v>3009</v>
      </c>
      <c r="AW352" s="308">
        <v>4.7959171531079E13</v>
      </c>
      <c r="AX352" s="310">
        <v>0.0</v>
      </c>
      <c r="AY352" s="308" t="s">
        <v>2974</v>
      </c>
      <c r="AZ352" s="308">
        <v>0.0</v>
      </c>
      <c r="BA352" s="311"/>
      <c r="BB352" s="311"/>
      <c r="BC352" s="311"/>
      <c r="BD352" s="308">
        <v>7.831314497863E12</v>
      </c>
      <c r="BE352" s="311"/>
      <c r="BF352" s="311"/>
      <c r="BG352" s="308" t="s">
        <v>2958</v>
      </c>
      <c r="BH352" s="308">
        <v>0.0</v>
      </c>
      <c r="BI352" s="308" t="s">
        <v>2959</v>
      </c>
      <c r="BJ352" s="308">
        <v>19.48</v>
      </c>
      <c r="BK352" s="311"/>
      <c r="BL352" s="311"/>
      <c r="BM352" s="311"/>
      <c r="BN352" s="311"/>
      <c r="BO352" s="311"/>
      <c r="BP352" s="311"/>
      <c r="BQ352" s="311"/>
      <c r="BR352" s="311"/>
      <c r="BS352" s="308"/>
      <c r="BT352" s="311"/>
      <c r="BU352" s="311"/>
      <c r="BV352" s="308" t="s">
        <v>3081</v>
      </c>
      <c r="BW352" s="308" t="s">
        <v>3081</v>
      </c>
      <c r="BX352" s="308" t="s">
        <v>3009</v>
      </c>
      <c r="BY352" s="311"/>
      <c r="BZ352" s="311"/>
      <c r="CA352" s="308" t="s">
        <v>3009</v>
      </c>
      <c r="CB352" s="312" t="str">
        <f t="shared" si="1"/>
        <v>12/06/2026</v>
      </c>
      <c r="CC352" s="313">
        <f t="shared" si="2"/>
        <v>2026</v>
      </c>
      <c r="CD352" s="314">
        <f t="shared" si="3"/>
        <v>6</v>
      </c>
      <c r="CE352" s="314">
        <f t="shared" si="4"/>
        <v>1</v>
      </c>
      <c r="CF352" s="314">
        <f t="shared" si="5"/>
        <v>1</v>
      </c>
      <c r="CG352" s="314">
        <f t="shared" si="6"/>
        <v>-5</v>
      </c>
      <c r="CH352" s="315">
        <f>VLOOKUP(CL352,'PRODUCT_COGS&amp;PRICE'!A:E,5,false)</f>
        <v>20</v>
      </c>
      <c r="CI352" s="315">
        <f t="shared" si="7"/>
        <v>-4.1192</v>
      </c>
      <c r="CJ352" s="316">
        <f t="shared" si="8"/>
        <v>0</v>
      </c>
      <c r="CK352" s="316">
        <f t="shared" si="9"/>
        <v>12</v>
      </c>
      <c r="CL352" s="314" t="str">
        <f>VLOOKUP(R352,PRODUCT_MAP!A:B,2,FALSE)</f>
        <v>Lea_Bag_COCCO_GREEN</v>
      </c>
      <c r="CM352" s="314" t="str">
        <f>VLOOKUP(R352,PRODUCT_MAP!A:E,3,FALSE)</f>
        <v>Lea Bag</v>
      </c>
    </row>
    <row r="353" ht="22.5" customHeight="1">
      <c r="A353" s="308" t="s">
        <v>5734</v>
      </c>
      <c r="B353" s="308" t="s">
        <v>5735</v>
      </c>
      <c r="C353" s="308" t="s">
        <v>2942</v>
      </c>
      <c r="D353" s="308" t="s">
        <v>5736</v>
      </c>
      <c r="E353" s="308" t="s">
        <v>3013</v>
      </c>
      <c r="F353" s="308"/>
      <c r="G353" s="308" t="s">
        <v>2946</v>
      </c>
      <c r="H353" s="308" t="s">
        <v>2947</v>
      </c>
      <c r="I353" s="308">
        <v>175.0</v>
      </c>
      <c r="J353" s="308">
        <v>0.0</v>
      </c>
      <c r="K353" s="308">
        <v>31.56</v>
      </c>
      <c r="L353" s="308">
        <v>175.0</v>
      </c>
      <c r="M353" s="308"/>
      <c r="N353" s="308">
        <v>0.0</v>
      </c>
      <c r="O353" s="308" t="s">
        <v>2948</v>
      </c>
      <c r="P353" s="308" t="s">
        <v>5737</v>
      </c>
      <c r="Q353" s="310">
        <v>1.0</v>
      </c>
      <c r="R353" s="308" t="s">
        <v>783</v>
      </c>
      <c r="S353" s="308">
        <v>175.0</v>
      </c>
      <c r="T353" s="311"/>
      <c r="U353" s="308" t="s">
        <v>249</v>
      </c>
      <c r="V353" s="308" t="b">
        <v>1</v>
      </c>
      <c r="W353" s="308" t="b">
        <v>1</v>
      </c>
      <c r="X353" s="308"/>
      <c r="Y353" s="308" t="s">
        <v>5738</v>
      </c>
      <c r="Z353" s="308" t="s">
        <v>5739</v>
      </c>
      <c r="AA353" s="308" t="s">
        <v>5739</v>
      </c>
      <c r="AB353" s="308"/>
      <c r="AC353" s="308"/>
      <c r="AD353" s="308" t="s">
        <v>5740</v>
      </c>
      <c r="AE353" s="308">
        <v>95021.0</v>
      </c>
      <c r="AF353" s="308" t="s">
        <v>5001</v>
      </c>
      <c r="AG353" s="308" t="s">
        <v>2955</v>
      </c>
      <c r="AH353" s="308"/>
      <c r="AI353" s="308" t="s">
        <v>5741</v>
      </c>
      <c r="AJ353" s="308" t="s">
        <v>5742</v>
      </c>
      <c r="AK353" s="308" t="s">
        <v>5743</v>
      </c>
      <c r="AL353" s="308" t="s">
        <v>5744</v>
      </c>
      <c r="AM353" s="308" t="s">
        <v>5745</v>
      </c>
      <c r="AN353" s="308" t="s">
        <v>5740</v>
      </c>
      <c r="AO353" s="308">
        <v>95021.0</v>
      </c>
      <c r="AP353" s="308" t="s">
        <v>5001</v>
      </c>
      <c r="AQ353" s="308" t="s">
        <v>2955</v>
      </c>
      <c r="AR353" s="308">
        <v>3.478086427E9</v>
      </c>
      <c r="AS353" s="311"/>
      <c r="AT353" s="311"/>
      <c r="AU353" s="311"/>
      <c r="AV353" s="308" t="s">
        <v>2956</v>
      </c>
      <c r="AW353" s="308">
        <v>4.7966307156295E13</v>
      </c>
      <c r="AX353" s="310">
        <v>0.0</v>
      </c>
      <c r="AY353" s="308" t="s">
        <v>2974</v>
      </c>
      <c r="AZ353" s="308">
        <v>0.0</v>
      </c>
      <c r="BA353" s="311"/>
      <c r="BB353" s="311"/>
      <c r="BC353" s="311"/>
      <c r="BD353" s="308">
        <v>7.835810693447E12</v>
      </c>
      <c r="BE353" s="311"/>
      <c r="BF353" s="311"/>
      <c r="BG353" s="308" t="s">
        <v>2958</v>
      </c>
      <c r="BH353" s="308">
        <v>0.0</v>
      </c>
      <c r="BI353" s="308" t="s">
        <v>2959</v>
      </c>
      <c r="BJ353" s="308">
        <v>31.56</v>
      </c>
      <c r="BK353" s="311"/>
      <c r="BL353" s="311"/>
      <c r="BM353" s="311"/>
      <c r="BN353" s="311"/>
      <c r="BO353" s="311"/>
      <c r="BP353" s="311"/>
      <c r="BQ353" s="311"/>
      <c r="BR353" s="311"/>
      <c r="BS353" s="308"/>
      <c r="BT353" s="311"/>
      <c r="BU353" s="311"/>
      <c r="BV353" s="308" t="s">
        <v>5002</v>
      </c>
      <c r="BW353" s="308" t="s">
        <v>5002</v>
      </c>
      <c r="BX353" s="308" t="s">
        <v>2956</v>
      </c>
      <c r="BY353" s="311"/>
      <c r="BZ353" s="311"/>
      <c r="CA353" s="308" t="s">
        <v>2956</v>
      </c>
      <c r="CB353" s="312" t="str">
        <f t="shared" si="1"/>
        <v>13/06/2026</v>
      </c>
      <c r="CC353" s="313">
        <f t="shared" si="2"/>
        <v>2026</v>
      </c>
      <c r="CD353" s="314">
        <f t="shared" si="3"/>
        <v>6</v>
      </c>
      <c r="CE353" s="314">
        <f t="shared" si="4"/>
        <v>1</v>
      </c>
      <c r="CF353" s="314">
        <f t="shared" si="5"/>
        <v>1</v>
      </c>
      <c r="CG353" s="314">
        <f t="shared" si="6"/>
        <v>-5</v>
      </c>
      <c r="CH353" s="315">
        <f>VLOOKUP(CL353,'PRODUCT_COGS&amp;PRICE'!A:E,5,false)</f>
        <v>52.5</v>
      </c>
      <c r="CI353" s="315">
        <f t="shared" si="7"/>
        <v>-3.575</v>
      </c>
      <c r="CJ353" s="316">
        <f t="shared" si="8"/>
        <v>0</v>
      </c>
      <c r="CK353" s="316">
        <f t="shared" si="9"/>
        <v>0</v>
      </c>
      <c r="CL353" s="314" t="str">
        <f>VLOOKUP(R353,PRODUCT_MAP!A:B,2,FALSE)</f>
        <v>Valentina_Bag_RED</v>
      </c>
      <c r="CM353" s="314" t="str">
        <f>VLOOKUP(R353,PRODUCT_MAP!A:E,3,FALSE)</f>
        <v>Valentina Bag</v>
      </c>
    </row>
    <row r="354" ht="22.5" customHeight="1">
      <c r="A354" s="308" t="s">
        <v>5746</v>
      </c>
      <c r="B354" s="308" t="s">
        <v>5747</v>
      </c>
      <c r="C354" s="308" t="s">
        <v>2942</v>
      </c>
      <c r="D354" s="308" t="s">
        <v>5748</v>
      </c>
      <c r="E354" s="308" t="s">
        <v>3013</v>
      </c>
      <c r="F354" s="308"/>
      <c r="G354" s="308" t="s">
        <v>2965</v>
      </c>
      <c r="H354" s="308" t="s">
        <v>2947</v>
      </c>
      <c r="I354" s="308">
        <v>80.0</v>
      </c>
      <c r="J354" s="308">
        <v>3.9</v>
      </c>
      <c r="K354" s="308">
        <v>15.13</v>
      </c>
      <c r="L354" s="308">
        <v>83.9</v>
      </c>
      <c r="M354" s="308"/>
      <c r="N354" s="308">
        <v>0.0</v>
      </c>
      <c r="O354" s="308" t="s">
        <v>2948</v>
      </c>
      <c r="P354" s="308" t="s">
        <v>5749</v>
      </c>
      <c r="Q354" s="310">
        <v>1.0</v>
      </c>
      <c r="R354" s="308" t="s">
        <v>5390</v>
      </c>
      <c r="S354" s="308">
        <v>80.0</v>
      </c>
      <c r="T354" s="311"/>
      <c r="U354" s="308" t="s">
        <v>5391</v>
      </c>
      <c r="V354" s="308" t="b">
        <v>1</v>
      </c>
      <c r="W354" s="308" t="b">
        <v>1</v>
      </c>
      <c r="X354" s="308"/>
      <c r="Y354" s="308" t="s">
        <v>5750</v>
      </c>
      <c r="Z354" s="308" t="s">
        <v>5751</v>
      </c>
      <c r="AA354" s="308" t="s">
        <v>5751</v>
      </c>
      <c r="AB354" s="308"/>
      <c r="AC354" s="308"/>
      <c r="AD354" s="308" t="s">
        <v>5229</v>
      </c>
      <c r="AE354" s="308">
        <v>26900.0</v>
      </c>
      <c r="AF354" s="308" t="s">
        <v>5230</v>
      </c>
      <c r="AG354" s="308" t="s">
        <v>2955</v>
      </c>
      <c r="AH354" s="308"/>
      <c r="AI354" s="308" t="s">
        <v>5752</v>
      </c>
      <c r="AJ354" s="308" t="s">
        <v>5751</v>
      </c>
      <c r="AK354" s="308" t="s">
        <v>5751</v>
      </c>
      <c r="AL354" s="308"/>
      <c r="AM354" s="308"/>
      <c r="AN354" s="308" t="s">
        <v>5229</v>
      </c>
      <c r="AO354" s="308">
        <v>26900.0</v>
      </c>
      <c r="AP354" s="308" t="s">
        <v>5230</v>
      </c>
      <c r="AQ354" s="308" t="s">
        <v>2955</v>
      </c>
      <c r="AR354" s="308">
        <v>3.497963629E9</v>
      </c>
      <c r="AS354" s="311"/>
      <c r="AT354" s="311"/>
      <c r="AU354" s="311"/>
      <c r="AV354" s="308" t="s">
        <v>2956</v>
      </c>
      <c r="AW354" s="308">
        <v>4.7969823818055E13</v>
      </c>
      <c r="AX354" s="310">
        <v>0.0</v>
      </c>
      <c r="AY354" s="308" t="s">
        <v>2974</v>
      </c>
      <c r="AZ354" s="308">
        <v>0.0</v>
      </c>
      <c r="BA354" s="311"/>
      <c r="BB354" s="311"/>
      <c r="BC354" s="311"/>
      <c r="BD354" s="308">
        <v>7.837180789063E12</v>
      </c>
      <c r="BE354" s="311"/>
      <c r="BF354" s="311"/>
      <c r="BG354" s="308" t="s">
        <v>2958</v>
      </c>
      <c r="BH354" s="308">
        <v>0.0</v>
      </c>
      <c r="BI354" s="308" t="s">
        <v>2959</v>
      </c>
      <c r="BJ354" s="308">
        <v>14.43</v>
      </c>
      <c r="BK354" s="311"/>
      <c r="BL354" s="311"/>
      <c r="BM354" s="311"/>
      <c r="BN354" s="311"/>
      <c r="BO354" s="311"/>
      <c r="BP354" s="311"/>
      <c r="BQ354" s="311"/>
      <c r="BR354" s="311"/>
      <c r="BS354" s="308"/>
      <c r="BT354" s="311"/>
      <c r="BU354" s="311"/>
      <c r="BV354" s="308" t="s">
        <v>5229</v>
      </c>
      <c r="BW354" s="308" t="s">
        <v>5229</v>
      </c>
      <c r="BX354" s="308" t="s">
        <v>2956</v>
      </c>
      <c r="BY354" s="311"/>
      <c r="BZ354" s="311"/>
      <c r="CA354" s="308" t="s">
        <v>2956</v>
      </c>
      <c r="CB354" s="312" t="str">
        <f t="shared" si="1"/>
        <v>14/06/2026</v>
      </c>
      <c r="CC354" s="313">
        <f t="shared" si="2"/>
        <v>2026</v>
      </c>
      <c r="CD354" s="314">
        <f t="shared" si="3"/>
        <v>6</v>
      </c>
      <c r="CE354" s="314">
        <f t="shared" si="4"/>
        <v>1</v>
      </c>
      <c r="CF354" s="314">
        <f t="shared" si="5"/>
        <v>1</v>
      </c>
      <c r="CG354" s="314">
        <f t="shared" si="6"/>
        <v>0</v>
      </c>
      <c r="CH354" s="315">
        <f>VLOOKUP(CL354,'PRODUCT_COGS&amp;PRICE'!A:E,5,false)</f>
        <v>19</v>
      </c>
      <c r="CI354" s="315">
        <f t="shared" si="7"/>
        <v>-1.8441</v>
      </c>
      <c r="CJ354" s="316">
        <f t="shared" si="8"/>
        <v>0</v>
      </c>
      <c r="CK354" s="316">
        <f t="shared" si="9"/>
        <v>0</v>
      </c>
      <c r="CL354" s="314" t="str">
        <f>VLOOKUP(R354,PRODUCT_MAP!A:B,2,FALSE)</f>
        <v>Agata_Bag_ROSE_BUTTER</v>
      </c>
      <c r="CM354" s="314" t="str">
        <f>VLOOKUP(R354,PRODUCT_MAP!A:E,3,FALSE)</f>
        <v>Agata Bag</v>
      </c>
    </row>
    <row r="355" ht="22.5" customHeight="1">
      <c r="A355" s="308" t="s">
        <v>5753</v>
      </c>
      <c r="B355" s="308" t="s">
        <v>5754</v>
      </c>
      <c r="C355" s="308" t="s">
        <v>2942</v>
      </c>
      <c r="D355" s="308" t="s">
        <v>5755</v>
      </c>
      <c r="E355" s="308" t="s">
        <v>3013</v>
      </c>
      <c r="F355" s="308"/>
      <c r="G355" s="308" t="s">
        <v>2965</v>
      </c>
      <c r="H355" s="308" t="s">
        <v>2947</v>
      </c>
      <c r="I355" s="308">
        <v>160.0</v>
      </c>
      <c r="J355" s="308">
        <v>0.0</v>
      </c>
      <c r="K355" s="308">
        <v>28.86</v>
      </c>
      <c r="L355" s="308">
        <v>160.0</v>
      </c>
      <c r="M355" s="308"/>
      <c r="N355" s="308">
        <v>0.0</v>
      </c>
      <c r="O355" s="308" t="s">
        <v>2948</v>
      </c>
      <c r="P355" s="308" t="s">
        <v>5756</v>
      </c>
      <c r="Q355" s="310">
        <v>1.0</v>
      </c>
      <c r="R355" s="308" t="s">
        <v>4070</v>
      </c>
      <c r="S355" s="308">
        <v>80.0</v>
      </c>
      <c r="T355" s="311"/>
      <c r="U355" s="308" t="s">
        <v>4071</v>
      </c>
      <c r="V355" s="308" t="b">
        <v>1</v>
      </c>
      <c r="W355" s="308" t="b">
        <v>1</v>
      </c>
      <c r="X355" s="308"/>
      <c r="Y355" s="308" t="s">
        <v>5757</v>
      </c>
      <c r="Z355" s="308" t="s">
        <v>5758</v>
      </c>
      <c r="AA355" s="308" t="s">
        <v>5758</v>
      </c>
      <c r="AB355" s="308"/>
      <c r="AC355" s="308"/>
      <c r="AD355" s="308" t="s">
        <v>23</v>
      </c>
      <c r="AE355" s="308">
        <v>20123.0</v>
      </c>
      <c r="AF355" s="308" t="s">
        <v>2954</v>
      </c>
      <c r="AG355" s="308" t="s">
        <v>2955</v>
      </c>
      <c r="AH355" s="308"/>
      <c r="AI355" s="308" t="s">
        <v>5757</v>
      </c>
      <c r="AJ355" s="308" t="s">
        <v>5758</v>
      </c>
      <c r="AK355" s="308" t="s">
        <v>5758</v>
      </c>
      <c r="AL355" s="308"/>
      <c r="AM355" s="308"/>
      <c r="AN355" s="308" t="s">
        <v>3217</v>
      </c>
      <c r="AO355" s="308">
        <v>20145.0</v>
      </c>
      <c r="AP355" s="308" t="s">
        <v>2954</v>
      </c>
      <c r="AQ355" s="308" t="s">
        <v>2955</v>
      </c>
      <c r="AR355" s="308">
        <v>3.454694253E9</v>
      </c>
      <c r="AS355" s="311"/>
      <c r="AT355" s="311"/>
      <c r="AU355" s="311"/>
      <c r="AV355" s="308" t="s">
        <v>2956</v>
      </c>
      <c r="AW355" s="308">
        <v>4.7970159624519E13</v>
      </c>
      <c r="AX355" s="310">
        <v>0.0</v>
      </c>
      <c r="AY355" s="308" t="s">
        <v>2974</v>
      </c>
      <c r="AZ355" s="308">
        <v>0.0</v>
      </c>
      <c r="BA355" s="311"/>
      <c r="BB355" s="311"/>
      <c r="BC355" s="311"/>
      <c r="BD355" s="308">
        <v>7.837350199623E12</v>
      </c>
      <c r="BE355" s="311"/>
      <c r="BF355" s="311"/>
      <c r="BG355" s="308" t="s">
        <v>2958</v>
      </c>
      <c r="BH355" s="308">
        <v>0.0</v>
      </c>
      <c r="BI355" s="308" t="s">
        <v>2959</v>
      </c>
      <c r="BJ355" s="308">
        <v>14.43</v>
      </c>
      <c r="BK355" s="311"/>
      <c r="BL355" s="311"/>
      <c r="BM355" s="311"/>
      <c r="BN355" s="311"/>
      <c r="BO355" s="311"/>
      <c r="BP355" s="311"/>
      <c r="BQ355" s="311"/>
      <c r="BR355" s="311"/>
      <c r="BS355" s="308"/>
      <c r="BT355" s="311"/>
      <c r="BU355" s="311"/>
      <c r="BV355" s="308" t="s">
        <v>23</v>
      </c>
      <c r="BW355" s="308" t="s">
        <v>23</v>
      </c>
      <c r="BX355" s="308" t="s">
        <v>2956</v>
      </c>
      <c r="BY355" s="311"/>
      <c r="BZ355" s="311"/>
      <c r="CA355" s="308" t="s">
        <v>2956</v>
      </c>
      <c r="CB355" s="312" t="str">
        <f t="shared" si="1"/>
        <v>14/06/2026</v>
      </c>
      <c r="CC355" s="313">
        <f t="shared" si="2"/>
        <v>2026</v>
      </c>
      <c r="CD355" s="314">
        <f t="shared" si="3"/>
        <v>6</v>
      </c>
      <c r="CE355" s="314">
        <f t="shared" si="4"/>
        <v>1</v>
      </c>
      <c r="CF355" s="314">
        <f t="shared" si="5"/>
        <v>1</v>
      </c>
      <c r="CG355" s="314">
        <f t="shared" si="6"/>
        <v>-5</v>
      </c>
      <c r="CH355" s="315">
        <f>VLOOKUP(CL355,'PRODUCT_COGS&amp;PRICE'!A:E,5,false)</f>
        <v>19</v>
      </c>
      <c r="CI355" s="315">
        <f t="shared" si="7"/>
        <v>-6.33</v>
      </c>
      <c r="CJ355" s="316">
        <f t="shared" si="8"/>
        <v>0</v>
      </c>
      <c r="CK355" s="316">
        <f t="shared" si="9"/>
        <v>0</v>
      </c>
      <c r="CL355" s="314" t="str">
        <f>VLOOKUP(R355,PRODUCT_MAP!A:B,2,FALSE)</f>
        <v>Agata_Bag_FLORAL_BORDEAUX_EMBROIDERY</v>
      </c>
      <c r="CM355" s="314" t="str">
        <f>VLOOKUP(R355,PRODUCT_MAP!A:E,3,FALSE)</f>
        <v>Agata Bag</v>
      </c>
    </row>
    <row r="356" ht="22.5" customHeight="1">
      <c r="A356" s="308" t="s">
        <v>5753</v>
      </c>
      <c r="B356" s="308" t="s">
        <v>5754</v>
      </c>
      <c r="C356" s="308" t="s">
        <v>2942</v>
      </c>
      <c r="D356" s="308" t="s">
        <v>5755</v>
      </c>
      <c r="E356" s="308" t="s">
        <v>3013</v>
      </c>
      <c r="F356" s="308"/>
      <c r="G356" s="308" t="s">
        <v>2965</v>
      </c>
      <c r="H356" s="308" t="s">
        <v>2947</v>
      </c>
      <c r="I356" s="308">
        <v>160.0</v>
      </c>
      <c r="J356" s="308">
        <v>0.0</v>
      </c>
      <c r="K356" s="308">
        <v>28.86</v>
      </c>
      <c r="L356" s="308">
        <v>160.0</v>
      </c>
      <c r="M356" s="308"/>
      <c r="N356" s="308">
        <v>0.0</v>
      </c>
      <c r="O356" s="308" t="s">
        <v>2948</v>
      </c>
      <c r="P356" s="308" t="s">
        <v>5756</v>
      </c>
      <c r="Q356" s="310">
        <v>1.0</v>
      </c>
      <c r="R356" s="308" t="s">
        <v>5543</v>
      </c>
      <c r="S356" s="308">
        <v>80.0</v>
      </c>
      <c r="T356" s="311"/>
      <c r="U356" s="308" t="s">
        <v>5544</v>
      </c>
      <c r="V356" s="308" t="b">
        <v>1</v>
      </c>
      <c r="W356" s="308" t="b">
        <v>1</v>
      </c>
      <c r="X356" s="308"/>
      <c r="Y356" s="308" t="s">
        <v>5757</v>
      </c>
      <c r="Z356" s="308" t="s">
        <v>5758</v>
      </c>
      <c r="AA356" s="308" t="s">
        <v>5758</v>
      </c>
      <c r="AB356" s="308"/>
      <c r="AC356" s="308"/>
      <c r="AD356" s="308" t="s">
        <v>23</v>
      </c>
      <c r="AE356" s="308">
        <v>20123.0</v>
      </c>
      <c r="AF356" s="308" t="s">
        <v>2954</v>
      </c>
      <c r="AG356" s="308" t="s">
        <v>2955</v>
      </c>
      <c r="AH356" s="308"/>
      <c r="AI356" s="308" t="s">
        <v>5757</v>
      </c>
      <c r="AJ356" s="308" t="s">
        <v>5758</v>
      </c>
      <c r="AK356" s="308" t="s">
        <v>5758</v>
      </c>
      <c r="AL356" s="308"/>
      <c r="AM356" s="308"/>
      <c r="AN356" s="308" t="s">
        <v>3217</v>
      </c>
      <c r="AO356" s="308">
        <v>20145.0</v>
      </c>
      <c r="AP356" s="308" t="s">
        <v>2954</v>
      </c>
      <c r="AQ356" s="308" t="s">
        <v>2955</v>
      </c>
      <c r="AR356" s="308">
        <v>3.454694253E9</v>
      </c>
      <c r="AS356" s="311"/>
      <c r="AT356" s="311"/>
      <c r="AU356" s="311"/>
      <c r="AV356" s="308" t="s">
        <v>2956</v>
      </c>
      <c r="AW356" s="308">
        <v>4.7970159624519E13</v>
      </c>
      <c r="AX356" s="310">
        <v>0.0</v>
      </c>
      <c r="AY356" s="308" t="s">
        <v>2974</v>
      </c>
      <c r="AZ356" s="308">
        <v>0.0</v>
      </c>
      <c r="BA356" s="311"/>
      <c r="BB356" s="311"/>
      <c r="BC356" s="311"/>
      <c r="BD356" s="308">
        <v>7.837350199623E12</v>
      </c>
      <c r="BE356" s="311"/>
      <c r="BF356" s="311"/>
      <c r="BG356" s="308" t="s">
        <v>2958</v>
      </c>
      <c r="BH356" s="308">
        <v>0.0</v>
      </c>
      <c r="BI356" s="308" t="s">
        <v>2959</v>
      </c>
      <c r="BJ356" s="308">
        <v>14.43</v>
      </c>
      <c r="BK356" s="311"/>
      <c r="BL356" s="311"/>
      <c r="BM356" s="311"/>
      <c r="BN356" s="311"/>
      <c r="BO356" s="311"/>
      <c r="BP356" s="311"/>
      <c r="BQ356" s="311"/>
      <c r="BR356" s="311"/>
      <c r="BS356" s="308"/>
      <c r="BT356" s="311"/>
      <c r="BU356" s="311"/>
      <c r="BV356" s="308" t="s">
        <v>23</v>
      </c>
      <c r="BW356" s="308" t="s">
        <v>23</v>
      </c>
      <c r="BX356" s="308" t="s">
        <v>2956</v>
      </c>
      <c r="BY356" s="311"/>
      <c r="BZ356" s="311"/>
      <c r="CA356" s="308" t="s">
        <v>2956</v>
      </c>
      <c r="CB356" s="312" t="str">
        <f t="shared" si="1"/>
        <v>14/06/2026</v>
      </c>
      <c r="CC356" s="313">
        <f t="shared" si="2"/>
        <v>2026</v>
      </c>
      <c r="CD356" s="314">
        <f t="shared" si="3"/>
        <v>6</v>
      </c>
      <c r="CE356" s="314">
        <f t="shared" si="4"/>
        <v>0</v>
      </c>
      <c r="CF356" s="314">
        <f t="shared" si="5"/>
        <v>1</v>
      </c>
      <c r="CG356" s="314">
        <f t="shared" si="6"/>
        <v>-5</v>
      </c>
      <c r="CH356" s="315">
        <f>VLOOKUP(CL356,'PRODUCT_COGS&amp;PRICE'!A:E,5,false)</f>
        <v>19</v>
      </c>
      <c r="CI356" s="315">
        <f t="shared" si="7"/>
        <v>0</v>
      </c>
      <c r="CJ356" s="316">
        <f t="shared" si="8"/>
        <v>0</v>
      </c>
      <c r="CK356" s="316">
        <f t="shared" si="9"/>
        <v>0</v>
      </c>
      <c r="CL356" s="314" t="str">
        <f>VLOOKUP(R356,PRODUCT_MAP!A:B,2,FALSE)</f>
        <v>Agata_Bag_FLORAL_GREY</v>
      </c>
      <c r="CM356" s="314" t="str">
        <f>VLOOKUP(R356,PRODUCT_MAP!A:E,3,FALSE)</f>
        <v>Agata Bag</v>
      </c>
    </row>
    <row r="357" ht="22.5" customHeight="1">
      <c r="A357" s="308" t="s">
        <v>5759</v>
      </c>
      <c r="B357" s="308" t="s">
        <v>5760</v>
      </c>
      <c r="C357" s="308" t="s">
        <v>2942</v>
      </c>
      <c r="D357" s="308" t="s">
        <v>5761</v>
      </c>
      <c r="E357" s="308" t="s">
        <v>3013</v>
      </c>
      <c r="F357" s="308"/>
      <c r="G357" s="308" t="s">
        <v>2946</v>
      </c>
      <c r="H357" s="308" t="s">
        <v>2947</v>
      </c>
      <c r="I357" s="308">
        <v>170.0</v>
      </c>
      <c r="J357" s="308">
        <v>0.0</v>
      </c>
      <c r="K357" s="308">
        <v>30.66</v>
      </c>
      <c r="L357" s="308">
        <v>170.0</v>
      </c>
      <c r="M357" s="308"/>
      <c r="N357" s="308">
        <v>0.0</v>
      </c>
      <c r="O357" s="308" t="s">
        <v>2948</v>
      </c>
      <c r="P357" s="308" t="s">
        <v>5762</v>
      </c>
      <c r="Q357" s="310">
        <v>1.0</v>
      </c>
      <c r="R357" s="308" t="s">
        <v>554</v>
      </c>
      <c r="S357" s="308">
        <v>170.0</v>
      </c>
      <c r="T357" s="311"/>
      <c r="U357" s="308" t="s">
        <v>296</v>
      </c>
      <c r="V357" s="308" t="b">
        <v>1</v>
      </c>
      <c r="W357" s="308" t="b">
        <v>1</v>
      </c>
      <c r="X357" s="308"/>
      <c r="Y357" s="308" t="s">
        <v>5763</v>
      </c>
      <c r="Z357" s="308" t="s">
        <v>5764</v>
      </c>
      <c r="AA357" s="308" t="s">
        <v>5764</v>
      </c>
      <c r="AB357" s="308"/>
      <c r="AC357" s="308"/>
      <c r="AD357" s="308" t="s">
        <v>23</v>
      </c>
      <c r="AE357" s="308">
        <v>20154.0</v>
      </c>
      <c r="AF357" s="308" t="s">
        <v>2954</v>
      </c>
      <c r="AG357" s="308" t="s">
        <v>2955</v>
      </c>
      <c r="AH357" s="308"/>
      <c r="AI357" s="308" t="s">
        <v>5763</v>
      </c>
      <c r="AJ357" s="308" t="s">
        <v>5765</v>
      </c>
      <c r="AK357" s="308" t="s">
        <v>5766</v>
      </c>
      <c r="AL357" s="308" t="s">
        <v>5767</v>
      </c>
      <c r="AM357" s="308"/>
      <c r="AN357" s="308" t="s">
        <v>23</v>
      </c>
      <c r="AO357" s="308">
        <v>20154.0</v>
      </c>
      <c r="AP357" s="308" t="s">
        <v>2954</v>
      </c>
      <c r="AQ357" s="308" t="s">
        <v>2955</v>
      </c>
      <c r="AR357" s="308">
        <v>3.473284438E9</v>
      </c>
      <c r="AS357" s="311"/>
      <c r="AT357" s="311"/>
      <c r="AU357" s="311"/>
      <c r="AV357" s="308" t="s">
        <v>2956</v>
      </c>
      <c r="AW357" s="308">
        <v>4.7889910563143E13</v>
      </c>
      <c r="AX357" s="310">
        <v>0.0</v>
      </c>
      <c r="AY357" s="308" t="s">
        <v>2974</v>
      </c>
      <c r="AZ357" s="308">
        <v>0.0</v>
      </c>
      <c r="BA357" s="311"/>
      <c r="BB357" s="311"/>
      <c r="BC357" s="311"/>
      <c r="BD357" s="308">
        <v>7.837682630983E12</v>
      </c>
      <c r="BE357" s="311"/>
      <c r="BF357" s="311"/>
      <c r="BG357" s="308" t="s">
        <v>2958</v>
      </c>
      <c r="BH357" s="308">
        <v>0.0</v>
      </c>
      <c r="BI357" s="308" t="s">
        <v>2959</v>
      </c>
      <c r="BJ357" s="308">
        <v>30.66</v>
      </c>
      <c r="BK357" s="311"/>
      <c r="BL357" s="311"/>
      <c r="BM357" s="311"/>
      <c r="BN357" s="311"/>
      <c r="BO357" s="311"/>
      <c r="BP357" s="311"/>
      <c r="BQ357" s="311"/>
      <c r="BR357" s="311"/>
      <c r="BS357" s="308"/>
      <c r="BT357" s="311"/>
      <c r="BU357" s="311"/>
      <c r="BV357" s="308" t="s">
        <v>23</v>
      </c>
      <c r="BW357" s="308" t="s">
        <v>23</v>
      </c>
      <c r="BX357" s="308" t="s">
        <v>2956</v>
      </c>
      <c r="BY357" s="311"/>
      <c r="BZ357" s="311"/>
      <c r="CA357" s="308" t="s">
        <v>2956</v>
      </c>
      <c r="CB357" s="312" t="str">
        <f t="shared" si="1"/>
        <v>14/06/2026</v>
      </c>
      <c r="CC357" s="313">
        <f t="shared" si="2"/>
        <v>2026</v>
      </c>
      <c r="CD357" s="314">
        <f t="shared" si="3"/>
        <v>6</v>
      </c>
      <c r="CE357" s="314">
        <f t="shared" si="4"/>
        <v>1</v>
      </c>
      <c r="CF357" s="314">
        <f t="shared" si="5"/>
        <v>1</v>
      </c>
      <c r="CG357" s="314">
        <f t="shared" si="6"/>
        <v>-5</v>
      </c>
      <c r="CH357" s="315">
        <f>VLOOKUP(CL357,'PRODUCT_COGS&amp;PRICE'!A:E,5,false)</f>
        <v>25</v>
      </c>
      <c r="CI357" s="315">
        <f t="shared" si="7"/>
        <v>-3.48</v>
      </c>
      <c r="CJ357" s="316">
        <f t="shared" si="8"/>
        <v>0</v>
      </c>
      <c r="CK357" s="316">
        <f t="shared" si="9"/>
        <v>0</v>
      </c>
      <c r="CL357" s="314" t="str">
        <f>VLOOKUP(R357,PRODUCT_MAP!A:B,2,FALSE)</f>
        <v>Lea_Bag_Maxi_COCCO_CHOCOLATE</v>
      </c>
      <c r="CM357" s="314" t="str">
        <f>VLOOKUP(R357,PRODUCT_MAP!A:E,3,FALSE)</f>
        <v>Lea Bag Maxi</v>
      </c>
    </row>
    <row r="358" ht="22.5" customHeight="1">
      <c r="A358" s="308" t="s">
        <v>5768</v>
      </c>
      <c r="B358" s="308" t="s">
        <v>5769</v>
      </c>
      <c r="C358" s="308" t="s">
        <v>2942</v>
      </c>
      <c r="D358" s="308" t="s">
        <v>5770</v>
      </c>
      <c r="E358" s="308" t="s">
        <v>3013</v>
      </c>
      <c r="F358" s="308"/>
      <c r="G358" s="308" t="s">
        <v>2965</v>
      </c>
      <c r="H358" s="308" t="s">
        <v>2947</v>
      </c>
      <c r="I358" s="308">
        <v>120.0</v>
      </c>
      <c r="J358" s="308">
        <v>0.0</v>
      </c>
      <c r="K358" s="308">
        <v>21.64</v>
      </c>
      <c r="L358" s="308">
        <v>120.0</v>
      </c>
      <c r="M358" s="308"/>
      <c r="N358" s="308">
        <v>0.0</v>
      </c>
      <c r="O358" s="308" t="s">
        <v>2948</v>
      </c>
      <c r="P358" s="308" t="s">
        <v>5771</v>
      </c>
      <c r="Q358" s="310">
        <v>1.0</v>
      </c>
      <c r="R358" s="308" t="s">
        <v>909</v>
      </c>
      <c r="S358" s="308">
        <v>120.0</v>
      </c>
      <c r="T358" s="311"/>
      <c r="U358" s="308" t="s">
        <v>289</v>
      </c>
      <c r="V358" s="308" t="b">
        <v>1</v>
      </c>
      <c r="W358" s="308" t="b">
        <v>1</v>
      </c>
      <c r="X358" s="308"/>
      <c r="Y358" s="308" t="s">
        <v>5772</v>
      </c>
      <c r="Z358" s="308" t="s">
        <v>5773</v>
      </c>
      <c r="AA358" s="308" t="s">
        <v>5773</v>
      </c>
      <c r="AB358" s="308"/>
      <c r="AC358" s="308"/>
      <c r="AD358" s="308" t="s">
        <v>3142</v>
      </c>
      <c r="AE358" s="308">
        <v>39100.0</v>
      </c>
      <c r="AF358" s="308" t="s">
        <v>3141</v>
      </c>
      <c r="AG358" s="308" t="s">
        <v>2955</v>
      </c>
      <c r="AH358" s="308"/>
      <c r="AI358" s="308" t="s">
        <v>5772</v>
      </c>
      <c r="AJ358" s="308" t="s">
        <v>5774</v>
      </c>
      <c r="AK358" s="308" t="s">
        <v>5774</v>
      </c>
      <c r="AL358" s="308"/>
      <c r="AM358" s="308"/>
      <c r="AN358" s="308" t="s">
        <v>3142</v>
      </c>
      <c r="AO358" s="308">
        <v>39100.0</v>
      </c>
      <c r="AP358" s="308" t="s">
        <v>3141</v>
      </c>
      <c r="AQ358" s="308" t="s">
        <v>2955</v>
      </c>
      <c r="AR358" s="318" t="s">
        <v>5775</v>
      </c>
      <c r="AS358" s="311"/>
      <c r="AT358" s="311"/>
      <c r="AU358" s="311"/>
      <c r="AV358" s="308" t="s">
        <v>2956</v>
      </c>
      <c r="AW358" s="308">
        <v>4.7971013853511E13</v>
      </c>
      <c r="AX358" s="310">
        <v>0.0</v>
      </c>
      <c r="AY358" s="308" t="s">
        <v>2974</v>
      </c>
      <c r="AZ358" s="308">
        <v>0.0</v>
      </c>
      <c r="BA358" s="311"/>
      <c r="BB358" s="311"/>
      <c r="BC358" s="311"/>
      <c r="BD358" s="308">
        <v>7.837826974023E12</v>
      </c>
      <c r="BE358" s="311"/>
      <c r="BF358" s="311"/>
      <c r="BG358" s="308" t="s">
        <v>2958</v>
      </c>
      <c r="BH358" s="308">
        <v>0.0</v>
      </c>
      <c r="BI358" s="308" t="s">
        <v>2959</v>
      </c>
      <c r="BJ358" s="308">
        <v>21.64</v>
      </c>
      <c r="BK358" s="311"/>
      <c r="BL358" s="311"/>
      <c r="BM358" s="311"/>
      <c r="BN358" s="311"/>
      <c r="BO358" s="311"/>
      <c r="BP358" s="311"/>
      <c r="BQ358" s="311"/>
      <c r="BR358" s="311"/>
      <c r="BS358" s="308"/>
      <c r="BT358" s="311"/>
      <c r="BU358" s="311"/>
      <c r="BV358" s="308" t="s">
        <v>3142</v>
      </c>
      <c r="BW358" s="308" t="s">
        <v>3142</v>
      </c>
      <c r="BX358" s="308" t="s">
        <v>2956</v>
      </c>
      <c r="BY358" s="311"/>
      <c r="BZ358" s="311"/>
      <c r="CA358" s="308" t="s">
        <v>2956</v>
      </c>
      <c r="CB358" s="312" t="str">
        <f t="shared" si="1"/>
        <v>14/06/2026</v>
      </c>
      <c r="CC358" s="313">
        <f t="shared" si="2"/>
        <v>2026</v>
      </c>
      <c r="CD358" s="314">
        <f t="shared" si="3"/>
        <v>6</v>
      </c>
      <c r="CE358" s="314">
        <f t="shared" si="4"/>
        <v>1</v>
      </c>
      <c r="CF358" s="314">
        <f t="shared" si="5"/>
        <v>1</v>
      </c>
      <c r="CG358" s="314">
        <f t="shared" si="6"/>
        <v>-5</v>
      </c>
      <c r="CH358" s="315">
        <f>VLOOKUP(CL358,'PRODUCT_COGS&amp;PRICE'!A:E,5,false)</f>
        <v>20</v>
      </c>
      <c r="CI358" s="315">
        <f t="shared" si="7"/>
        <v>-2.53</v>
      </c>
      <c r="CJ358" s="316">
        <f t="shared" si="8"/>
        <v>0</v>
      </c>
      <c r="CK358" s="316">
        <f t="shared" si="9"/>
        <v>0</v>
      </c>
      <c r="CL358" s="314" t="str">
        <f>VLOOKUP(R358,PRODUCT_MAP!A:B,2,FALSE)</f>
        <v>Lea_Bag_COCCO_ORANGE</v>
      </c>
      <c r="CM358" s="314" t="str">
        <f>VLOOKUP(R358,PRODUCT_MAP!A:E,3,FALSE)</f>
        <v>Lea Bag</v>
      </c>
    </row>
    <row r="359" ht="22.5" customHeight="1">
      <c r="A359" s="308" t="s">
        <v>5776</v>
      </c>
      <c r="B359" s="308" t="s">
        <v>5777</v>
      </c>
      <c r="C359" s="308" t="s">
        <v>2942</v>
      </c>
      <c r="D359" s="308" t="s">
        <v>5778</v>
      </c>
      <c r="E359" s="308" t="s">
        <v>3013</v>
      </c>
      <c r="F359" s="308"/>
      <c r="G359" s="308" t="s">
        <v>2965</v>
      </c>
      <c r="H359" s="308" t="s">
        <v>2947</v>
      </c>
      <c r="I359" s="308">
        <v>162.0</v>
      </c>
      <c r="J359" s="308">
        <v>0.0</v>
      </c>
      <c r="K359" s="308">
        <v>29.22</v>
      </c>
      <c r="L359" s="308">
        <v>162.0</v>
      </c>
      <c r="M359" s="308" t="s">
        <v>3221</v>
      </c>
      <c r="N359" s="308">
        <v>18.0</v>
      </c>
      <c r="O359" s="308" t="s">
        <v>2948</v>
      </c>
      <c r="P359" s="308" t="s">
        <v>5779</v>
      </c>
      <c r="Q359" s="310">
        <v>1.0</v>
      </c>
      <c r="R359" s="308" t="s">
        <v>4964</v>
      </c>
      <c r="S359" s="308">
        <v>90.0</v>
      </c>
      <c r="T359" s="311"/>
      <c r="U359" s="308" t="s">
        <v>4965</v>
      </c>
      <c r="V359" s="308" t="b">
        <v>1</v>
      </c>
      <c r="W359" s="308" t="b">
        <v>1</v>
      </c>
      <c r="X359" s="308"/>
      <c r="Y359" s="308" t="s">
        <v>5780</v>
      </c>
      <c r="Z359" s="308" t="s">
        <v>5781</v>
      </c>
      <c r="AA359" s="308" t="s">
        <v>5781</v>
      </c>
      <c r="AB359" s="308"/>
      <c r="AC359" s="308"/>
      <c r="AD359" s="308" t="s">
        <v>23</v>
      </c>
      <c r="AE359" s="308">
        <v>20145.0</v>
      </c>
      <c r="AF359" s="308" t="s">
        <v>2954</v>
      </c>
      <c r="AG359" s="308" t="s">
        <v>2955</v>
      </c>
      <c r="AH359" s="308">
        <v>3.343476019E9</v>
      </c>
      <c r="AI359" s="308" t="s">
        <v>5780</v>
      </c>
      <c r="AJ359" s="308" t="s">
        <v>5781</v>
      </c>
      <c r="AK359" s="308" t="s">
        <v>5781</v>
      </c>
      <c r="AL359" s="308"/>
      <c r="AM359" s="308"/>
      <c r="AN359" s="308" t="s">
        <v>23</v>
      </c>
      <c r="AO359" s="308">
        <v>20145.0</v>
      </c>
      <c r="AP359" s="308" t="s">
        <v>2954</v>
      </c>
      <c r="AQ359" s="308" t="s">
        <v>2955</v>
      </c>
      <c r="AR359" s="308">
        <v>3.343476019E9</v>
      </c>
      <c r="AS359" s="311"/>
      <c r="AT359" s="311"/>
      <c r="AU359" s="311"/>
      <c r="AV359" s="308" t="s">
        <v>2956</v>
      </c>
      <c r="AW359" s="308">
        <v>4.7971607773511E13</v>
      </c>
      <c r="AX359" s="310">
        <v>0.0</v>
      </c>
      <c r="AY359" s="308" t="s">
        <v>2974</v>
      </c>
      <c r="AZ359" s="308">
        <v>0.0</v>
      </c>
      <c r="BA359" s="311"/>
      <c r="BB359" s="311"/>
      <c r="BC359" s="311"/>
      <c r="BD359" s="308">
        <v>7.838151934279E12</v>
      </c>
      <c r="BE359" s="311"/>
      <c r="BF359" s="311"/>
      <c r="BG359" s="308" t="s">
        <v>2958</v>
      </c>
      <c r="BH359" s="308">
        <v>0.0</v>
      </c>
      <c r="BI359" s="308" t="s">
        <v>2959</v>
      </c>
      <c r="BJ359" s="308">
        <v>14.61</v>
      </c>
      <c r="BK359" s="311"/>
      <c r="BL359" s="311"/>
      <c r="BM359" s="311"/>
      <c r="BN359" s="311"/>
      <c r="BO359" s="311"/>
      <c r="BP359" s="311"/>
      <c r="BQ359" s="311"/>
      <c r="BR359" s="311"/>
      <c r="BS359" s="308"/>
      <c r="BT359" s="311"/>
      <c r="BU359" s="311"/>
      <c r="BV359" s="308" t="s">
        <v>23</v>
      </c>
      <c r="BW359" s="308" t="s">
        <v>23</v>
      </c>
      <c r="BX359" s="308" t="s">
        <v>2956</v>
      </c>
      <c r="BY359" s="311"/>
      <c r="BZ359" s="311"/>
      <c r="CA359" s="308" t="s">
        <v>2956</v>
      </c>
      <c r="CB359" s="312" t="str">
        <f t="shared" si="1"/>
        <v>14/06/2026</v>
      </c>
      <c r="CC359" s="313">
        <f t="shared" si="2"/>
        <v>2026</v>
      </c>
      <c r="CD359" s="314">
        <f t="shared" si="3"/>
        <v>6</v>
      </c>
      <c r="CE359" s="314">
        <f t="shared" si="4"/>
        <v>1</v>
      </c>
      <c r="CF359" s="314">
        <f t="shared" si="5"/>
        <v>1</v>
      </c>
      <c r="CG359" s="314">
        <f t="shared" si="6"/>
        <v>-5</v>
      </c>
      <c r="CH359" s="315">
        <f>VLOOKUP(CL359,'PRODUCT_COGS&amp;PRICE'!A:E,5,false)</f>
        <v>16.5</v>
      </c>
      <c r="CI359" s="315">
        <f t="shared" si="7"/>
        <v>-6.406</v>
      </c>
      <c r="CJ359" s="316">
        <f t="shared" si="8"/>
        <v>0</v>
      </c>
      <c r="CK359" s="316">
        <f t="shared" si="9"/>
        <v>18</v>
      </c>
      <c r="CL359" s="314" t="str">
        <f>VLOOKUP(R359,PRODUCT_MAP!A:B,2,FALSE)</f>
        <v>Annie_Bag_PEARL_GREY</v>
      </c>
      <c r="CM359" s="314" t="str">
        <f>VLOOKUP(R359,PRODUCT_MAP!A:E,3,FALSE)</f>
        <v/>
      </c>
    </row>
    <row r="360" ht="22.5" customHeight="1">
      <c r="A360" s="308" t="s">
        <v>5776</v>
      </c>
      <c r="B360" s="308" t="s">
        <v>5777</v>
      </c>
      <c r="C360" s="308" t="s">
        <v>2942</v>
      </c>
      <c r="D360" s="308" t="s">
        <v>5778</v>
      </c>
      <c r="E360" s="308" t="s">
        <v>3013</v>
      </c>
      <c r="F360" s="308"/>
      <c r="G360" s="308" t="s">
        <v>2965</v>
      </c>
      <c r="H360" s="308" t="s">
        <v>2947</v>
      </c>
      <c r="I360" s="308">
        <v>162.0</v>
      </c>
      <c r="J360" s="308">
        <v>0.0</v>
      </c>
      <c r="K360" s="308">
        <v>29.22</v>
      </c>
      <c r="L360" s="308">
        <v>162.0</v>
      </c>
      <c r="M360" s="308" t="s">
        <v>3221</v>
      </c>
      <c r="N360" s="308">
        <v>18.0</v>
      </c>
      <c r="O360" s="308" t="s">
        <v>2948</v>
      </c>
      <c r="P360" s="308" t="s">
        <v>5779</v>
      </c>
      <c r="Q360" s="310">
        <v>1.0</v>
      </c>
      <c r="R360" s="308" t="s">
        <v>5039</v>
      </c>
      <c r="S360" s="308">
        <v>90.0</v>
      </c>
      <c r="T360" s="311"/>
      <c r="U360" s="308" t="s">
        <v>5040</v>
      </c>
      <c r="V360" s="308" t="b">
        <v>1</v>
      </c>
      <c r="W360" s="308" t="b">
        <v>1</v>
      </c>
      <c r="X360" s="308"/>
      <c r="Y360" s="308" t="s">
        <v>5780</v>
      </c>
      <c r="Z360" s="308" t="s">
        <v>5781</v>
      </c>
      <c r="AA360" s="308" t="s">
        <v>5781</v>
      </c>
      <c r="AB360" s="308"/>
      <c r="AC360" s="308"/>
      <c r="AD360" s="308" t="s">
        <v>23</v>
      </c>
      <c r="AE360" s="308">
        <v>20145.0</v>
      </c>
      <c r="AF360" s="308" t="s">
        <v>2954</v>
      </c>
      <c r="AG360" s="308" t="s">
        <v>2955</v>
      </c>
      <c r="AH360" s="308">
        <v>3.343476019E9</v>
      </c>
      <c r="AI360" s="308" t="s">
        <v>5780</v>
      </c>
      <c r="AJ360" s="308" t="s">
        <v>5781</v>
      </c>
      <c r="AK360" s="308" t="s">
        <v>5781</v>
      </c>
      <c r="AL360" s="308"/>
      <c r="AM360" s="308"/>
      <c r="AN360" s="308" t="s">
        <v>23</v>
      </c>
      <c r="AO360" s="308">
        <v>20145.0</v>
      </c>
      <c r="AP360" s="308" t="s">
        <v>2954</v>
      </c>
      <c r="AQ360" s="308" t="s">
        <v>2955</v>
      </c>
      <c r="AR360" s="308">
        <v>3.343476019E9</v>
      </c>
      <c r="AS360" s="311"/>
      <c r="AT360" s="311"/>
      <c r="AU360" s="311"/>
      <c r="AV360" s="308" t="s">
        <v>2956</v>
      </c>
      <c r="AW360" s="308">
        <v>4.7971607773511E13</v>
      </c>
      <c r="AX360" s="310">
        <v>0.0</v>
      </c>
      <c r="AY360" s="308" t="s">
        <v>2974</v>
      </c>
      <c r="AZ360" s="308">
        <v>0.0</v>
      </c>
      <c r="BA360" s="311"/>
      <c r="BB360" s="311"/>
      <c r="BC360" s="311"/>
      <c r="BD360" s="308">
        <v>7.838151934279E12</v>
      </c>
      <c r="BE360" s="311"/>
      <c r="BF360" s="311"/>
      <c r="BG360" s="308" t="s">
        <v>2958</v>
      </c>
      <c r="BH360" s="308">
        <v>0.0</v>
      </c>
      <c r="BI360" s="308" t="s">
        <v>2959</v>
      </c>
      <c r="BJ360" s="308">
        <v>14.61</v>
      </c>
      <c r="BK360" s="311"/>
      <c r="BL360" s="311"/>
      <c r="BM360" s="311"/>
      <c r="BN360" s="311"/>
      <c r="BO360" s="311"/>
      <c r="BP360" s="311"/>
      <c r="BQ360" s="311"/>
      <c r="BR360" s="311"/>
      <c r="BS360" s="308"/>
      <c r="BT360" s="311"/>
      <c r="BU360" s="311"/>
      <c r="BV360" s="308" t="s">
        <v>23</v>
      </c>
      <c r="BW360" s="308" t="s">
        <v>23</v>
      </c>
      <c r="BX360" s="308" t="s">
        <v>2956</v>
      </c>
      <c r="BY360" s="311"/>
      <c r="BZ360" s="311"/>
      <c r="CA360" s="308" t="s">
        <v>2956</v>
      </c>
      <c r="CB360" s="312" t="str">
        <f t="shared" si="1"/>
        <v>14/06/2026</v>
      </c>
      <c r="CC360" s="313">
        <f t="shared" si="2"/>
        <v>2026</v>
      </c>
      <c r="CD360" s="314">
        <f t="shared" si="3"/>
        <v>6</v>
      </c>
      <c r="CE360" s="314">
        <f t="shared" si="4"/>
        <v>0</v>
      </c>
      <c r="CF360" s="314">
        <f t="shared" si="5"/>
        <v>1</v>
      </c>
      <c r="CG360" s="314">
        <f t="shared" si="6"/>
        <v>-5</v>
      </c>
      <c r="CH360" s="315">
        <f>VLOOKUP(CL360,'PRODUCT_COGS&amp;PRICE'!A:E,5,false)</f>
        <v>16.5</v>
      </c>
      <c r="CI360" s="315">
        <f t="shared" si="7"/>
        <v>0</v>
      </c>
      <c r="CJ360" s="316">
        <f t="shared" si="8"/>
        <v>0</v>
      </c>
      <c r="CK360" s="316">
        <f t="shared" si="9"/>
        <v>18</v>
      </c>
      <c r="CL360" s="314" t="str">
        <f>VLOOKUP(R360,PRODUCT_MAP!A:B,2,FALSE)</f>
        <v>Annie_Bag_PAILLETTES_LIGHT_BLUE</v>
      </c>
      <c r="CM360" s="314" t="str">
        <f>VLOOKUP(R360,PRODUCT_MAP!A:E,3,FALSE)</f>
        <v>Annie Bag paillettes</v>
      </c>
    </row>
    <row r="361" ht="22.5" customHeight="1">
      <c r="A361" s="308" t="s">
        <v>5782</v>
      </c>
      <c r="B361" s="308" t="s">
        <v>5783</v>
      </c>
      <c r="C361" s="308" t="s">
        <v>2942</v>
      </c>
      <c r="D361" s="308" t="s">
        <v>5784</v>
      </c>
      <c r="E361" s="308" t="s">
        <v>3013</v>
      </c>
      <c r="F361" s="308"/>
      <c r="G361" s="308" t="s">
        <v>2946</v>
      </c>
      <c r="H361" s="308" t="s">
        <v>2947</v>
      </c>
      <c r="I361" s="308">
        <v>108.0</v>
      </c>
      <c r="J361" s="308">
        <v>0.0</v>
      </c>
      <c r="K361" s="308">
        <v>19.48</v>
      </c>
      <c r="L361" s="308">
        <v>108.0</v>
      </c>
      <c r="M361" s="308" t="s">
        <v>3094</v>
      </c>
      <c r="N361" s="308">
        <v>12.0</v>
      </c>
      <c r="O361" s="308" t="s">
        <v>2948</v>
      </c>
      <c r="P361" s="308" t="s">
        <v>5785</v>
      </c>
      <c r="Q361" s="310">
        <v>1.0</v>
      </c>
      <c r="R361" s="308" t="s">
        <v>579</v>
      </c>
      <c r="S361" s="308">
        <v>120.0</v>
      </c>
      <c r="T361" s="311"/>
      <c r="U361" s="308" t="s">
        <v>239</v>
      </c>
      <c r="V361" s="308" t="b">
        <v>1</v>
      </c>
      <c r="W361" s="308" t="b">
        <v>1</v>
      </c>
      <c r="X361" s="308"/>
      <c r="Y361" s="308" t="s">
        <v>5786</v>
      </c>
      <c r="Z361" s="308" t="s">
        <v>5787</v>
      </c>
      <c r="AA361" s="308" t="s">
        <v>5787</v>
      </c>
      <c r="AB361" s="308"/>
      <c r="AC361" s="308"/>
      <c r="AD361" s="308" t="s">
        <v>23</v>
      </c>
      <c r="AE361" s="308">
        <v>20131.0</v>
      </c>
      <c r="AF361" s="308" t="s">
        <v>2954</v>
      </c>
      <c r="AG361" s="308" t="s">
        <v>2955</v>
      </c>
      <c r="AH361" s="308">
        <v>3.33562261E9</v>
      </c>
      <c r="AI361" s="308" t="s">
        <v>5786</v>
      </c>
      <c r="AJ361" s="308" t="s">
        <v>5787</v>
      </c>
      <c r="AK361" s="308" t="s">
        <v>5787</v>
      </c>
      <c r="AL361" s="308"/>
      <c r="AM361" s="308"/>
      <c r="AN361" s="308" t="s">
        <v>23</v>
      </c>
      <c r="AO361" s="308">
        <v>20131.0</v>
      </c>
      <c r="AP361" s="308" t="s">
        <v>2954</v>
      </c>
      <c r="AQ361" s="308" t="s">
        <v>2955</v>
      </c>
      <c r="AR361" s="308">
        <v>3.33562261E9</v>
      </c>
      <c r="AS361" s="311"/>
      <c r="AT361" s="311"/>
      <c r="AU361" s="311"/>
      <c r="AV361" s="308" t="s">
        <v>3009</v>
      </c>
      <c r="AW361" s="308">
        <v>4.7974563610951E13</v>
      </c>
      <c r="AX361" s="310">
        <v>0.0</v>
      </c>
      <c r="AY361" s="308" t="s">
        <v>2974</v>
      </c>
      <c r="AZ361" s="308">
        <v>0.0</v>
      </c>
      <c r="BA361" s="311"/>
      <c r="BB361" s="311"/>
      <c r="BC361" s="311"/>
      <c r="BD361" s="308">
        <v>7.839640682823E12</v>
      </c>
      <c r="BE361" s="311"/>
      <c r="BF361" s="311"/>
      <c r="BG361" s="308" t="s">
        <v>2958</v>
      </c>
      <c r="BH361" s="308">
        <v>0.0</v>
      </c>
      <c r="BI361" s="308" t="s">
        <v>2959</v>
      </c>
      <c r="BJ361" s="308">
        <v>19.48</v>
      </c>
      <c r="BK361" s="311"/>
      <c r="BL361" s="311"/>
      <c r="BM361" s="311"/>
      <c r="BN361" s="311"/>
      <c r="BO361" s="311"/>
      <c r="BP361" s="311"/>
      <c r="BQ361" s="311"/>
      <c r="BR361" s="311"/>
      <c r="BS361" s="308"/>
      <c r="BT361" s="311"/>
      <c r="BU361" s="311"/>
      <c r="BV361" s="308" t="s">
        <v>23</v>
      </c>
      <c r="BW361" s="308" t="s">
        <v>23</v>
      </c>
      <c r="BX361" s="308" t="s">
        <v>3009</v>
      </c>
      <c r="BY361" s="311"/>
      <c r="BZ361" s="311"/>
      <c r="CA361" s="308" t="s">
        <v>3009</v>
      </c>
      <c r="CB361" s="312" t="str">
        <f t="shared" si="1"/>
        <v>15/06/2026</v>
      </c>
      <c r="CC361" s="313">
        <f t="shared" si="2"/>
        <v>2026</v>
      </c>
      <c r="CD361" s="314">
        <f t="shared" si="3"/>
        <v>6</v>
      </c>
      <c r="CE361" s="314">
        <f t="shared" si="4"/>
        <v>1</v>
      </c>
      <c r="CF361" s="314">
        <f t="shared" si="5"/>
        <v>1</v>
      </c>
      <c r="CG361" s="314">
        <f t="shared" si="6"/>
        <v>-5</v>
      </c>
      <c r="CH361" s="315">
        <f>VLOOKUP(CL361,'PRODUCT_COGS&amp;PRICE'!A:E,5,false)</f>
        <v>20</v>
      </c>
      <c r="CI361" s="315">
        <f t="shared" si="7"/>
        <v>-4.1192</v>
      </c>
      <c r="CJ361" s="316">
        <f t="shared" si="8"/>
        <v>0</v>
      </c>
      <c r="CK361" s="316">
        <f t="shared" si="9"/>
        <v>12</v>
      </c>
      <c r="CL361" s="314" t="str">
        <f>VLOOKUP(R361,PRODUCT_MAP!A:B,2,FALSE)</f>
        <v>Lea_Bag_VERNICE_PURPLE_PATENT</v>
      </c>
      <c r="CM361" s="314" t="str">
        <f>VLOOKUP(R361,PRODUCT_MAP!A:E,3,FALSE)</f>
        <v>Lea Bag</v>
      </c>
    </row>
    <row r="362" ht="22.5" customHeight="1">
      <c r="A362" s="308" t="s">
        <v>5788</v>
      </c>
      <c r="B362" s="308" t="s">
        <v>5789</v>
      </c>
      <c r="C362" s="308" t="s">
        <v>2942</v>
      </c>
      <c r="D362" s="308" t="s">
        <v>5790</v>
      </c>
      <c r="E362" s="308" t="s">
        <v>3013</v>
      </c>
      <c r="F362" s="308"/>
      <c r="G362" s="308" t="s">
        <v>2946</v>
      </c>
      <c r="H362" s="308" t="s">
        <v>2947</v>
      </c>
      <c r="I362" s="308">
        <v>40.5</v>
      </c>
      <c r="J362" s="308">
        <v>3.9</v>
      </c>
      <c r="K362" s="308">
        <v>8.0</v>
      </c>
      <c r="L362" s="308">
        <v>44.4</v>
      </c>
      <c r="M362" s="308" t="s">
        <v>3221</v>
      </c>
      <c r="N362" s="308">
        <v>4.5</v>
      </c>
      <c r="O362" s="308" t="s">
        <v>2948</v>
      </c>
      <c r="P362" s="308" t="s">
        <v>5791</v>
      </c>
      <c r="Q362" s="310">
        <v>1.0</v>
      </c>
      <c r="R362" s="308" t="s">
        <v>503</v>
      </c>
      <c r="S362" s="308">
        <v>45.0</v>
      </c>
      <c r="T362" s="311"/>
      <c r="U362" s="308" t="s">
        <v>371</v>
      </c>
      <c r="V362" s="308" t="b">
        <v>1</v>
      </c>
      <c r="W362" s="308" t="b">
        <v>1</v>
      </c>
      <c r="X362" s="308"/>
      <c r="Y362" s="308" t="s">
        <v>5792</v>
      </c>
      <c r="Z362" s="308" t="s">
        <v>5793</v>
      </c>
      <c r="AA362" s="308" t="s">
        <v>5794</v>
      </c>
      <c r="AB362" s="308" t="s">
        <v>5795</v>
      </c>
      <c r="AC362" s="308"/>
      <c r="AD362" s="308" t="s">
        <v>3037</v>
      </c>
      <c r="AE362" s="308">
        <v>35030.0</v>
      </c>
      <c r="AF362" s="308" t="s">
        <v>3038</v>
      </c>
      <c r="AG362" s="308" t="s">
        <v>2955</v>
      </c>
      <c r="AH362" s="308">
        <v>3.49534612E9</v>
      </c>
      <c r="AI362" s="308" t="s">
        <v>5792</v>
      </c>
      <c r="AJ362" s="308" t="s">
        <v>5793</v>
      </c>
      <c r="AK362" s="308" t="s">
        <v>5794</v>
      </c>
      <c r="AL362" s="308" t="s">
        <v>5795</v>
      </c>
      <c r="AM362" s="308"/>
      <c r="AN362" s="308" t="s">
        <v>3037</v>
      </c>
      <c r="AO362" s="308">
        <v>35030.0</v>
      </c>
      <c r="AP362" s="308" t="s">
        <v>3038</v>
      </c>
      <c r="AQ362" s="308" t="s">
        <v>2955</v>
      </c>
      <c r="AR362" s="308">
        <v>3.49534612E9</v>
      </c>
      <c r="AS362" s="311"/>
      <c r="AT362" s="311"/>
      <c r="AU362" s="311"/>
      <c r="AV362" s="308" t="s">
        <v>2956</v>
      </c>
      <c r="AW362" s="308">
        <v>4.7975511523655E13</v>
      </c>
      <c r="AX362" s="310">
        <v>0.0</v>
      </c>
      <c r="AY362" s="308" t="s">
        <v>5290</v>
      </c>
      <c r="AZ362" s="308">
        <v>0.0</v>
      </c>
      <c r="BA362" s="311"/>
      <c r="BB362" s="311"/>
      <c r="BC362" s="311"/>
      <c r="BD362" s="308">
        <v>7.840312492359E12</v>
      </c>
      <c r="BE362" s="311"/>
      <c r="BF362" s="311"/>
      <c r="BG362" s="308" t="s">
        <v>2958</v>
      </c>
      <c r="BH362" s="308">
        <v>0.0</v>
      </c>
      <c r="BI362" s="308" t="s">
        <v>2959</v>
      </c>
      <c r="BJ362" s="308">
        <v>7.3</v>
      </c>
      <c r="BK362" s="311"/>
      <c r="BL362" s="311"/>
      <c r="BM362" s="311"/>
      <c r="BN362" s="311"/>
      <c r="BO362" s="311"/>
      <c r="BP362" s="311"/>
      <c r="BQ362" s="311"/>
      <c r="BR362" s="311"/>
      <c r="BS362" s="308"/>
      <c r="BT362" s="311"/>
      <c r="BU362" s="311"/>
      <c r="BV362" s="308" t="s">
        <v>3039</v>
      </c>
      <c r="BW362" s="308" t="s">
        <v>3039</v>
      </c>
      <c r="BX362" s="308" t="s">
        <v>2956</v>
      </c>
      <c r="BY362" s="311"/>
      <c r="BZ362" s="311"/>
      <c r="CA362" s="308" t="s">
        <v>2956</v>
      </c>
      <c r="CB362" s="312" t="str">
        <f t="shared" si="1"/>
        <v>15/06/2026</v>
      </c>
      <c r="CC362" s="313">
        <f t="shared" si="2"/>
        <v>2026</v>
      </c>
      <c r="CD362" s="314">
        <f t="shared" si="3"/>
        <v>6</v>
      </c>
      <c r="CE362" s="314">
        <f t="shared" si="4"/>
        <v>1</v>
      </c>
      <c r="CF362" s="314">
        <f t="shared" si="5"/>
        <v>1</v>
      </c>
      <c r="CG362" s="314">
        <f t="shared" si="6"/>
        <v>0</v>
      </c>
      <c r="CH362" s="315">
        <f>VLOOKUP(CL362,'PRODUCT_COGS&amp;PRICE'!A:E,5,false)</f>
        <v>10.24</v>
      </c>
      <c r="CI362" s="315">
        <f t="shared" si="7"/>
        <v>-1.0936</v>
      </c>
      <c r="CJ362" s="316">
        <f t="shared" si="8"/>
        <v>0</v>
      </c>
      <c r="CK362" s="316">
        <f t="shared" si="9"/>
        <v>4.5</v>
      </c>
      <c r="CL362" s="314" t="str">
        <f>VLOOKUP(R362,PRODUCT_MAP!A:B,2,FALSE)</f>
        <v>Laptop_Cover_26X37_STRIPES_RED</v>
      </c>
      <c r="CM362" s="314" t="str">
        <f>VLOOKUP(R362,PRODUCT_MAP!A:E,3,FALSE)</f>
        <v>Laptop Cover</v>
      </c>
    </row>
    <row r="363" ht="22.5" customHeight="1">
      <c r="A363" s="308" t="s">
        <v>5796</v>
      </c>
      <c r="B363" s="308" t="s">
        <v>5797</v>
      </c>
      <c r="C363" s="308" t="s">
        <v>2942</v>
      </c>
      <c r="D363" s="308" t="s">
        <v>5798</v>
      </c>
      <c r="E363" s="308" t="s">
        <v>3013</v>
      </c>
      <c r="F363" s="308"/>
      <c r="G363" s="308" t="s">
        <v>2946</v>
      </c>
      <c r="H363" s="308" t="s">
        <v>2947</v>
      </c>
      <c r="I363" s="308">
        <v>81.0</v>
      </c>
      <c r="J363" s="308">
        <v>3.9</v>
      </c>
      <c r="K363" s="308">
        <v>15.31</v>
      </c>
      <c r="L363" s="308">
        <v>84.9</v>
      </c>
      <c r="M363" s="308" t="s">
        <v>3094</v>
      </c>
      <c r="N363" s="308">
        <v>9.0</v>
      </c>
      <c r="O363" s="308" t="s">
        <v>2948</v>
      </c>
      <c r="P363" s="308" t="s">
        <v>5799</v>
      </c>
      <c r="Q363" s="310">
        <v>1.0</v>
      </c>
      <c r="R363" s="308" t="s">
        <v>4958</v>
      </c>
      <c r="S363" s="308">
        <v>90.0</v>
      </c>
      <c r="T363" s="311"/>
      <c r="U363" s="308" t="s">
        <v>4959</v>
      </c>
      <c r="V363" s="308" t="b">
        <v>1</v>
      </c>
      <c r="W363" s="308" t="b">
        <v>1</v>
      </c>
      <c r="X363" s="308"/>
      <c r="Y363" s="308" t="s">
        <v>5800</v>
      </c>
      <c r="Z363" s="308" t="s">
        <v>5801</v>
      </c>
      <c r="AA363" s="308" t="s">
        <v>5801</v>
      </c>
      <c r="AB363" s="308"/>
      <c r="AC363" s="308"/>
      <c r="AD363" s="308" t="s">
        <v>23</v>
      </c>
      <c r="AE363" s="308">
        <v>20121.0</v>
      </c>
      <c r="AF363" s="308" t="s">
        <v>2954</v>
      </c>
      <c r="AG363" s="308" t="s">
        <v>2955</v>
      </c>
      <c r="AH363" s="308">
        <v>3.334603545E9</v>
      </c>
      <c r="AI363" s="308" t="s">
        <v>5800</v>
      </c>
      <c r="AJ363" s="308" t="s">
        <v>5801</v>
      </c>
      <c r="AK363" s="308" t="s">
        <v>5801</v>
      </c>
      <c r="AL363" s="308"/>
      <c r="AM363" s="308"/>
      <c r="AN363" s="308" t="s">
        <v>23</v>
      </c>
      <c r="AO363" s="308">
        <v>20121.0</v>
      </c>
      <c r="AP363" s="308" t="s">
        <v>2954</v>
      </c>
      <c r="AQ363" s="308" t="s">
        <v>2955</v>
      </c>
      <c r="AR363" s="308">
        <v>3.334603545E9</v>
      </c>
      <c r="AS363" s="311"/>
      <c r="AT363" s="311"/>
      <c r="AU363" s="311"/>
      <c r="AV363" s="308" t="s">
        <v>2956</v>
      </c>
      <c r="AW363" s="308">
        <v>4.7975781990727E13</v>
      </c>
      <c r="AX363" s="310">
        <v>0.0</v>
      </c>
      <c r="AY363" s="308" t="s">
        <v>2974</v>
      </c>
      <c r="AZ363" s="308">
        <v>0.0</v>
      </c>
      <c r="BA363" s="311"/>
      <c r="BB363" s="311"/>
      <c r="BC363" s="311"/>
      <c r="BD363" s="308">
        <v>7.841282916679E12</v>
      </c>
      <c r="BE363" s="311"/>
      <c r="BF363" s="311"/>
      <c r="BG363" s="308" t="s">
        <v>2958</v>
      </c>
      <c r="BH363" s="308">
        <v>0.0</v>
      </c>
      <c r="BI363" s="308" t="s">
        <v>2959</v>
      </c>
      <c r="BJ363" s="308">
        <v>14.61</v>
      </c>
      <c r="BK363" s="311"/>
      <c r="BL363" s="311"/>
      <c r="BM363" s="311"/>
      <c r="BN363" s="311"/>
      <c r="BO363" s="311"/>
      <c r="BP363" s="311"/>
      <c r="BQ363" s="311"/>
      <c r="BR363" s="311"/>
      <c r="BS363" s="308"/>
      <c r="BT363" s="311"/>
      <c r="BU363" s="311"/>
      <c r="BV363" s="308" t="s">
        <v>23</v>
      </c>
      <c r="BW363" s="308" t="s">
        <v>23</v>
      </c>
      <c r="BX363" s="308" t="s">
        <v>2956</v>
      </c>
      <c r="BY363" s="311"/>
      <c r="BZ363" s="311"/>
      <c r="CA363" s="308" t="s">
        <v>2956</v>
      </c>
      <c r="CB363" s="312" t="str">
        <f t="shared" si="1"/>
        <v>15/06/2026</v>
      </c>
      <c r="CC363" s="313">
        <f t="shared" si="2"/>
        <v>2026</v>
      </c>
      <c r="CD363" s="314">
        <f t="shared" si="3"/>
        <v>6</v>
      </c>
      <c r="CE363" s="314">
        <f t="shared" si="4"/>
        <v>1</v>
      </c>
      <c r="CF363" s="314">
        <f t="shared" si="5"/>
        <v>1</v>
      </c>
      <c r="CG363" s="314">
        <f t="shared" si="6"/>
        <v>0</v>
      </c>
      <c r="CH363" s="315">
        <f>VLOOKUP(CL363,'PRODUCT_COGS&amp;PRICE'!A:E,5,false)</f>
        <v>16.5</v>
      </c>
      <c r="CI363" s="315">
        <f t="shared" si="7"/>
        <v>-1.8631</v>
      </c>
      <c r="CJ363" s="316">
        <f t="shared" si="8"/>
        <v>0</v>
      </c>
      <c r="CK363" s="316">
        <f t="shared" si="9"/>
        <v>9</v>
      </c>
      <c r="CL363" s="314" t="str">
        <f>VLOOKUP(R363,PRODUCT_MAP!A:B,2,FALSE)</f>
        <v>Annie_Bag_BLUE</v>
      </c>
      <c r="CM363" s="314" t="str">
        <f>VLOOKUP(R363,PRODUCT_MAP!A:E,3,FALSE)</f>
        <v>Annie Bag</v>
      </c>
    </row>
    <row r="364" ht="22.5" customHeight="1">
      <c r="A364" s="308" t="s">
        <v>5802</v>
      </c>
      <c r="B364" s="308" t="s">
        <v>5803</v>
      </c>
      <c r="C364" s="308" t="s">
        <v>2942</v>
      </c>
      <c r="D364" s="308" t="s">
        <v>5804</v>
      </c>
      <c r="E364" s="308" t="s">
        <v>3013</v>
      </c>
      <c r="F364" s="308"/>
      <c r="G364" s="308" t="s">
        <v>2946</v>
      </c>
      <c r="H364" s="308" t="s">
        <v>2947</v>
      </c>
      <c r="I364" s="308">
        <v>50.0</v>
      </c>
      <c r="J364" s="308">
        <v>3.9</v>
      </c>
      <c r="K364" s="308">
        <v>9.72</v>
      </c>
      <c r="L364" s="308">
        <v>53.9</v>
      </c>
      <c r="M364" s="308"/>
      <c r="N364" s="308">
        <v>0.0</v>
      </c>
      <c r="O364" s="308" t="s">
        <v>2948</v>
      </c>
      <c r="P364" s="308" t="s">
        <v>5805</v>
      </c>
      <c r="Q364" s="310">
        <v>1.0</v>
      </c>
      <c r="R364" s="308" t="s">
        <v>702</v>
      </c>
      <c r="S364" s="308">
        <v>50.0</v>
      </c>
      <c r="T364" s="311"/>
      <c r="U364" s="308" t="s">
        <v>49</v>
      </c>
      <c r="V364" s="308" t="b">
        <v>1</v>
      </c>
      <c r="W364" s="308" t="b">
        <v>1</v>
      </c>
      <c r="X364" s="308"/>
      <c r="Y364" s="308" t="s">
        <v>5806</v>
      </c>
      <c r="Z364" s="308" t="s">
        <v>5807</v>
      </c>
      <c r="AA364" s="308" t="s">
        <v>5807</v>
      </c>
      <c r="AB364" s="308"/>
      <c r="AC364" s="308"/>
      <c r="AD364" s="308" t="s">
        <v>5808</v>
      </c>
      <c r="AE364" s="308">
        <v>48015.0</v>
      </c>
      <c r="AF364" s="308" t="s">
        <v>5809</v>
      </c>
      <c r="AG364" s="308" t="s">
        <v>2955</v>
      </c>
      <c r="AH364" s="308">
        <v>3.312262472E9</v>
      </c>
      <c r="AI364" s="308" t="s">
        <v>5806</v>
      </c>
      <c r="AJ364" s="308" t="s">
        <v>5807</v>
      </c>
      <c r="AK364" s="308" t="s">
        <v>5807</v>
      </c>
      <c r="AL364" s="308"/>
      <c r="AM364" s="308"/>
      <c r="AN364" s="308" t="s">
        <v>5808</v>
      </c>
      <c r="AO364" s="308">
        <v>48015.0</v>
      </c>
      <c r="AP364" s="308" t="s">
        <v>5809</v>
      </c>
      <c r="AQ364" s="308" t="s">
        <v>2955</v>
      </c>
      <c r="AR364" s="308">
        <v>3.312262472E9</v>
      </c>
      <c r="AS364" s="311"/>
      <c r="AT364" s="311"/>
      <c r="AU364" s="311"/>
      <c r="AV364" s="308" t="s">
        <v>3009</v>
      </c>
      <c r="AW364" s="308">
        <v>4.7975111393607E13</v>
      </c>
      <c r="AX364" s="310">
        <v>0.0</v>
      </c>
      <c r="AY364" s="308" t="s">
        <v>2974</v>
      </c>
      <c r="AZ364" s="308">
        <v>0.0</v>
      </c>
      <c r="BA364" s="311"/>
      <c r="BB364" s="311"/>
      <c r="BC364" s="311"/>
      <c r="BD364" s="308">
        <v>7.848339603783E12</v>
      </c>
      <c r="BE364" s="311"/>
      <c r="BF364" s="311"/>
      <c r="BG364" s="308" t="s">
        <v>2958</v>
      </c>
      <c r="BH364" s="308">
        <v>0.0</v>
      </c>
      <c r="BI364" s="308" t="s">
        <v>2959</v>
      </c>
      <c r="BJ364" s="308">
        <v>9.02</v>
      </c>
      <c r="BK364" s="311"/>
      <c r="BL364" s="311"/>
      <c r="BM364" s="311"/>
      <c r="BN364" s="311"/>
      <c r="BO364" s="311"/>
      <c r="BP364" s="311"/>
      <c r="BQ364" s="311"/>
      <c r="BR364" s="311"/>
      <c r="BS364" s="308"/>
      <c r="BT364" s="311"/>
      <c r="BU364" s="311"/>
      <c r="BV364" s="308" t="s">
        <v>5810</v>
      </c>
      <c r="BW364" s="308" t="s">
        <v>5810</v>
      </c>
      <c r="BX364" s="308" t="s">
        <v>3009</v>
      </c>
      <c r="BY364" s="311"/>
      <c r="BZ364" s="311"/>
      <c r="CA364" s="308" t="s">
        <v>3009</v>
      </c>
      <c r="CB364" s="312" t="str">
        <f t="shared" si="1"/>
        <v>16/06/2026</v>
      </c>
      <c r="CC364" s="313">
        <f t="shared" si="2"/>
        <v>2026</v>
      </c>
      <c r="CD364" s="314">
        <f t="shared" si="3"/>
        <v>6</v>
      </c>
      <c r="CE364" s="314">
        <f t="shared" si="4"/>
        <v>1</v>
      </c>
      <c r="CF364" s="314">
        <f t="shared" si="5"/>
        <v>1</v>
      </c>
      <c r="CG364" s="314">
        <f t="shared" si="6"/>
        <v>0</v>
      </c>
      <c r="CH364" s="315">
        <f>VLOOKUP(CL364,'PRODUCT_COGS&amp;PRICE'!A:E,5,false)</f>
        <v>10.71</v>
      </c>
      <c r="CI364" s="315">
        <f t="shared" si="7"/>
        <v>-2.23111</v>
      </c>
      <c r="CJ364" s="316">
        <f t="shared" si="8"/>
        <v>0</v>
      </c>
      <c r="CK364" s="316">
        <f t="shared" si="9"/>
        <v>0</v>
      </c>
      <c r="CL364" s="314" t="str">
        <f>VLOOKUP(R364,PRODUCT_MAP!A:B,2,FALSE)</f>
        <v>Nina_Bag_STRIPES_PETROL_BLUE</v>
      </c>
      <c r="CM364" s="314" t="str">
        <f>VLOOKUP(R364,PRODUCT_MAP!A:E,3,FALSE)</f>
        <v>Nina Bag</v>
      </c>
    </row>
    <row r="365" ht="22.5" customHeight="1">
      <c r="A365" s="308" t="s">
        <v>5811</v>
      </c>
      <c r="B365" s="308" t="s">
        <v>5812</v>
      </c>
      <c r="C365" s="308" t="s">
        <v>2942</v>
      </c>
      <c r="D365" s="308" t="s">
        <v>5813</v>
      </c>
      <c r="E365" s="308" t="s">
        <v>3013</v>
      </c>
      <c r="F365" s="308"/>
      <c r="G365" s="308" t="s">
        <v>2946</v>
      </c>
      <c r="H365" s="308" t="s">
        <v>2947</v>
      </c>
      <c r="I365" s="308">
        <v>108.0</v>
      </c>
      <c r="J365" s="308">
        <v>0.0</v>
      </c>
      <c r="K365" s="308">
        <v>19.48</v>
      </c>
      <c r="L365" s="308">
        <v>108.0</v>
      </c>
      <c r="M365" s="308" t="s">
        <v>3094</v>
      </c>
      <c r="N365" s="308">
        <v>12.0</v>
      </c>
      <c r="O365" s="308" t="s">
        <v>2948</v>
      </c>
      <c r="P365" s="308" t="s">
        <v>5814</v>
      </c>
      <c r="Q365" s="310">
        <v>1.0</v>
      </c>
      <c r="R365" s="308" t="s">
        <v>524</v>
      </c>
      <c r="S365" s="308">
        <v>120.0</v>
      </c>
      <c r="T365" s="311"/>
      <c r="U365" s="308" t="s">
        <v>300</v>
      </c>
      <c r="V365" s="308" t="b">
        <v>1</v>
      </c>
      <c r="W365" s="308" t="b">
        <v>1</v>
      </c>
      <c r="X365" s="308"/>
      <c r="Y365" s="308" t="s">
        <v>5815</v>
      </c>
      <c r="Z365" s="308" t="s">
        <v>5816</v>
      </c>
      <c r="AA365" s="308" t="s">
        <v>5816</v>
      </c>
      <c r="AB365" s="308"/>
      <c r="AC365" s="308"/>
      <c r="AD365" s="308" t="s">
        <v>23</v>
      </c>
      <c r="AE365" s="308">
        <v>20158.0</v>
      </c>
      <c r="AF365" s="308" t="s">
        <v>2954</v>
      </c>
      <c r="AG365" s="308" t="s">
        <v>2955</v>
      </c>
      <c r="AH365" s="308"/>
      <c r="AI365" s="308" t="s">
        <v>5815</v>
      </c>
      <c r="AJ365" s="308" t="s">
        <v>5816</v>
      </c>
      <c r="AK365" s="308" t="s">
        <v>5816</v>
      </c>
      <c r="AL365" s="308"/>
      <c r="AM365" s="308"/>
      <c r="AN365" s="308" t="s">
        <v>23</v>
      </c>
      <c r="AO365" s="308">
        <v>20158.0</v>
      </c>
      <c r="AP365" s="308" t="s">
        <v>2954</v>
      </c>
      <c r="AQ365" s="308" t="s">
        <v>2955</v>
      </c>
      <c r="AR365" s="308">
        <v>3.382363635E9</v>
      </c>
      <c r="AS365" s="311"/>
      <c r="AT365" s="311"/>
      <c r="AU365" s="311"/>
      <c r="AV365" s="308" t="s">
        <v>2956</v>
      </c>
      <c r="AW365" s="308">
        <v>4.7979381621063E13</v>
      </c>
      <c r="AX365" s="310">
        <v>0.0</v>
      </c>
      <c r="AY365" s="308" t="s">
        <v>2974</v>
      </c>
      <c r="AZ365" s="308">
        <v>0.0</v>
      </c>
      <c r="BA365" s="311"/>
      <c r="BB365" s="311"/>
      <c r="BC365" s="311"/>
      <c r="BD365" s="308">
        <v>7.848871264583E12</v>
      </c>
      <c r="BE365" s="311"/>
      <c r="BF365" s="311"/>
      <c r="BG365" s="308" t="s">
        <v>2958</v>
      </c>
      <c r="BH365" s="308">
        <v>0.0</v>
      </c>
      <c r="BI365" s="308" t="s">
        <v>2959</v>
      </c>
      <c r="BJ365" s="308">
        <v>19.48</v>
      </c>
      <c r="BK365" s="311"/>
      <c r="BL365" s="311"/>
      <c r="BM365" s="311"/>
      <c r="BN365" s="311"/>
      <c r="BO365" s="311"/>
      <c r="BP365" s="311"/>
      <c r="BQ365" s="311"/>
      <c r="BR365" s="311"/>
      <c r="BS365" s="308"/>
      <c r="BT365" s="311"/>
      <c r="BU365" s="311"/>
      <c r="BV365" s="308" t="s">
        <v>23</v>
      </c>
      <c r="BW365" s="308" t="s">
        <v>23</v>
      </c>
      <c r="BX365" s="308" t="s">
        <v>2956</v>
      </c>
      <c r="BY365" s="311"/>
      <c r="BZ365" s="311"/>
      <c r="CA365" s="308" t="s">
        <v>2956</v>
      </c>
      <c r="CB365" s="312" t="str">
        <f t="shared" si="1"/>
        <v>16/06/2026</v>
      </c>
      <c r="CC365" s="313">
        <f t="shared" si="2"/>
        <v>2026</v>
      </c>
      <c r="CD365" s="314">
        <f t="shared" si="3"/>
        <v>6</v>
      </c>
      <c r="CE365" s="314">
        <f t="shared" si="4"/>
        <v>1</v>
      </c>
      <c r="CF365" s="314">
        <f t="shared" si="5"/>
        <v>1</v>
      </c>
      <c r="CG365" s="314">
        <f t="shared" si="6"/>
        <v>-5</v>
      </c>
      <c r="CH365" s="315">
        <f>VLOOKUP(CL365,'PRODUCT_COGS&amp;PRICE'!A:E,5,false)</f>
        <v>20</v>
      </c>
      <c r="CI365" s="315">
        <f t="shared" si="7"/>
        <v>-2.302</v>
      </c>
      <c r="CJ365" s="316">
        <f t="shared" si="8"/>
        <v>0</v>
      </c>
      <c r="CK365" s="316">
        <f t="shared" si="9"/>
        <v>12</v>
      </c>
      <c r="CL365" s="314" t="str">
        <f>VLOOKUP(R365,PRODUCT_MAP!A:B,2,FALSE)</f>
        <v>Lea_Bag_COCCO_GREEN</v>
      </c>
      <c r="CM365" s="314" t="str">
        <f>VLOOKUP(R365,PRODUCT_MAP!A:E,3,FALSE)</f>
        <v>Lea Bag</v>
      </c>
    </row>
    <row r="366" ht="22.5" customHeight="1">
      <c r="A366" s="308" t="s">
        <v>5817</v>
      </c>
      <c r="B366" s="308" t="s">
        <v>5818</v>
      </c>
      <c r="C366" s="308" t="s">
        <v>2942</v>
      </c>
      <c r="D366" s="308" t="s">
        <v>5819</v>
      </c>
      <c r="E366" s="308" t="s">
        <v>3013</v>
      </c>
      <c r="F366" s="308"/>
      <c r="G366" s="308" t="s">
        <v>2946</v>
      </c>
      <c r="H366" s="308" t="s">
        <v>2947</v>
      </c>
      <c r="I366" s="308">
        <v>80.0</v>
      </c>
      <c r="J366" s="308">
        <v>3.9</v>
      </c>
      <c r="K366" s="308">
        <v>15.13</v>
      </c>
      <c r="L366" s="308">
        <v>83.9</v>
      </c>
      <c r="M366" s="308"/>
      <c r="N366" s="308">
        <v>0.0</v>
      </c>
      <c r="O366" s="308" t="s">
        <v>2948</v>
      </c>
      <c r="P366" s="308" t="s">
        <v>5820</v>
      </c>
      <c r="Q366" s="310">
        <v>1.0</v>
      </c>
      <c r="R366" s="308" t="s">
        <v>5821</v>
      </c>
      <c r="S366" s="308">
        <v>80.0</v>
      </c>
      <c r="T366" s="311"/>
      <c r="U366" s="308" t="s">
        <v>5822</v>
      </c>
      <c r="V366" s="308" t="b">
        <v>1</v>
      </c>
      <c r="W366" s="308" t="b">
        <v>1</v>
      </c>
      <c r="X366" s="308"/>
      <c r="Y366" s="308" t="s">
        <v>5823</v>
      </c>
      <c r="Z366" s="308" t="s">
        <v>5824</v>
      </c>
      <c r="AA366" s="308" t="s">
        <v>5825</v>
      </c>
      <c r="AB366" s="308" t="s">
        <v>5825</v>
      </c>
      <c r="AC366" s="308"/>
      <c r="AD366" s="308" t="s">
        <v>5826</v>
      </c>
      <c r="AE366" s="308">
        <v>23900.0</v>
      </c>
      <c r="AF366" s="308" t="s">
        <v>5827</v>
      </c>
      <c r="AG366" s="308" t="s">
        <v>2955</v>
      </c>
      <c r="AH366" s="308">
        <v>3.341200924E9</v>
      </c>
      <c r="AI366" s="308" t="s">
        <v>5823</v>
      </c>
      <c r="AJ366" s="308" t="s">
        <v>5824</v>
      </c>
      <c r="AK366" s="308" t="s">
        <v>5825</v>
      </c>
      <c r="AL366" s="308" t="s">
        <v>5825</v>
      </c>
      <c r="AM366" s="308"/>
      <c r="AN366" s="308" t="s">
        <v>5826</v>
      </c>
      <c r="AO366" s="308">
        <v>23900.0</v>
      </c>
      <c r="AP366" s="308" t="s">
        <v>5827</v>
      </c>
      <c r="AQ366" s="308" t="s">
        <v>2955</v>
      </c>
      <c r="AR366" s="308">
        <v>3.341200924E9</v>
      </c>
      <c r="AS366" s="311"/>
      <c r="AT366" s="311"/>
      <c r="AU366" s="311"/>
      <c r="AV366" s="308" t="s">
        <v>3009</v>
      </c>
      <c r="AW366" s="308">
        <v>4.7980167856455E13</v>
      </c>
      <c r="AX366" s="310">
        <v>0.0</v>
      </c>
      <c r="AY366" s="308" t="s">
        <v>2974</v>
      </c>
      <c r="AZ366" s="308">
        <v>0.0</v>
      </c>
      <c r="BA366" s="311"/>
      <c r="BB366" s="311"/>
      <c r="BC366" s="311"/>
      <c r="BD366" s="308">
        <v>7.849320448327E12</v>
      </c>
      <c r="BE366" s="311"/>
      <c r="BF366" s="311"/>
      <c r="BG366" s="308" t="s">
        <v>2958</v>
      </c>
      <c r="BH366" s="308">
        <v>0.0</v>
      </c>
      <c r="BI366" s="308" t="s">
        <v>2959</v>
      </c>
      <c r="BJ366" s="308">
        <v>14.43</v>
      </c>
      <c r="BK366" s="311"/>
      <c r="BL366" s="311"/>
      <c r="BM366" s="311"/>
      <c r="BN366" s="311"/>
      <c r="BO366" s="311"/>
      <c r="BP366" s="311"/>
      <c r="BQ366" s="311"/>
      <c r="BR366" s="311"/>
      <c r="BS366" s="308"/>
      <c r="BT366" s="311"/>
      <c r="BU366" s="311"/>
      <c r="BV366" s="308" t="s">
        <v>5826</v>
      </c>
      <c r="BW366" s="308" t="s">
        <v>5826</v>
      </c>
      <c r="BX366" s="308" t="s">
        <v>3009</v>
      </c>
      <c r="BY366" s="311"/>
      <c r="BZ366" s="311"/>
      <c r="CA366" s="308" t="s">
        <v>3009</v>
      </c>
      <c r="CB366" s="312" t="str">
        <f t="shared" si="1"/>
        <v>16/06/2026</v>
      </c>
      <c r="CC366" s="313">
        <f t="shared" si="2"/>
        <v>2026</v>
      </c>
      <c r="CD366" s="314">
        <f t="shared" si="3"/>
        <v>6</v>
      </c>
      <c r="CE366" s="314">
        <f t="shared" si="4"/>
        <v>1</v>
      </c>
      <c r="CF366" s="314">
        <f t="shared" si="5"/>
        <v>1</v>
      </c>
      <c r="CG366" s="314">
        <f t="shared" si="6"/>
        <v>0</v>
      </c>
      <c r="CH366" s="315">
        <f>VLOOKUP(CL366,'PRODUCT_COGS&amp;PRICE'!A:E,5,false)</f>
        <v>19</v>
      </c>
      <c r="CI366" s="315">
        <f t="shared" si="7"/>
        <v>-3.27811</v>
      </c>
      <c r="CJ366" s="316">
        <f t="shared" si="8"/>
        <v>0</v>
      </c>
      <c r="CK366" s="316">
        <f t="shared" si="9"/>
        <v>0</v>
      </c>
      <c r="CL366" s="314" t="str">
        <f>VLOOKUP(R366,PRODUCT_MAP!A:B,2,FALSE)</f>
        <v>Agata_Bag_FLORAL_LIGHT_BLUE</v>
      </c>
      <c r="CM366" s="314" t="str">
        <f>VLOOKUP(R366,PRODUCT_MAP!A:E,3,FALSE)</f>
        <v>Agata Bag</v>
      </c>
    </row>
    <row r="367" ht="22.5" customHeight="1">
      <c r="A367" s="308" t="s">
        <v>5828</v>
      </c>
      <c r="B367" s="308" t="s">
        <v>5829</v>
      </c>
      <c r="C367" s="308" t="s">
        <v>2942</v>
      </c>
      <c r="D367" s="308" t="s">
        <v>5830</v>
      </c>
      <c r="E367" s="308" t="s">
        <v>2944</v>
      </c>
      <c r="F367" s="308" t="s">
        <v>5831</v>
      </c>
      <c r="G367" s="308" t="s">
        <v>2965</v>
      </c>
      <c r="H367" s="308" t="s">
        <v>2947</v>
      </c>
      <c r="I367" s="308">
        <v>225.0</v>
      </c>
      <c r="J367" s="308">
        <v>0.0</v>
      </c>
      <c r="K367" s="308">
        <v>40.57</v>
      </c>
      <c r="L367" s="308">
        <v>225.0</v>
      </c>
      <c r="M367" s="308" t="s">
        <v>3221</v>
      </c>
      <c r="N367" s="308">
        <v>25.0</v>
      </c>
      <c r="O367" s="308" t="s">
        <v>2979</v>
      </c>
      <c r="P367" s="308" t="s">
        <v>5832</v>
      </c>
      <c r="Q367" s="310">
        <v>1.0</v>
      </c>
      <c r="R367" s="308" t="s">
        <v>5821</v>
      </c>
      <c r="S367" s="308">
        <v>80.0</v>
      </c>
      <c r="T367" s="311"/>
      <c r="U367" s="308" t="s">
        <v>5822</v>
      </c>
      <c r="V367" s="308" t="b">
        <v>1</v>
      </c>
      <c r="W367" s="308" t="b">
        <v>1</v>
      </c>
      <c r="X367" s="308" t="s">
        <v>2944</v>
      </c>
      <c r="Y367" s="308" t="s">
        <v>5833</v>
      </c>
      <c r="Z367" s="308" t="s">
        <v>5834</v>
      </c>
      <c r="AA367" s="308" t="s">
        <v>5834</v>
      </c>
      <c r="AB367" s="308"/>
      <c r="AC367" s="308"/>
      <c r="AD367" s="308" t="s">
        <v>23</v>
      </c>
      <c r="AE367" s="308">
        <v>20124.0</v>
      </c>
      <c r="AF367" s="308" t="s">
        <v>2954</v>
      </c>
      <c r="AG367" s="308" t="s">
        <v>2955</v>
      </c>
      <c r="AH367" s="308"/>
      <c r="AI367" s="308"/>
      <c r="AJ367" s="308"/>
      <c r="AK367" s="308"/>
      <c r="AL367" s="308"/>
      <c r="AM367" s="308"/>
      <c r="AN367" s="308"/>
      <c r="AO367" s="308"/>
      <c r="AP367" s="308"/>
      <c r="AQ367" s="308"/>
      <c r="AR367" s="308"/>
      <c r="AS367" s="311"/>
      <c r="AT367" s="311"/>
      <c r="AU367" s="311"/>
      <c r="AV367" s="308" t="s">
        <v>2956</v>
      </c>
      <c r="AW367" s="308">
        <v>4.7980641026375E13</v>
      </c>
      <c r="AX367" s="310">
        <v>0.0</v>
      </c>
      <c r="AY367" s="308" t="s">
        <v>2974</v>
      </c>
      <c r="AZ367" s="308">
        <v>0.0</v>
      </c>
      <c r="BA367" s="311"/>
      <c r="BB367" s="311"/>
      <c r="BC367" s="311"/>
      <c r="BD367" s="308">
        <v>7.849977708871E12</v>
      </c>
      <c r="BE367" s="311"/>
      <c r="BF367" s="311"/>
      <c r="BG367" s="308" t="s">
        <v>3640</v>
      </c>
      <c r="BH367" s="308">
        <v>0.0</v>
      </c>
      <c r="BI367" s="308" t="s">
        <v>2959</v>
      </c>
      <c r="BJ367" s="308">
        <v>12.98</v>
      </c>
      <c r="BK367" s="311"/>
      <c r="BL367" s="311"/>
      <c r="BM367" s="311"/>
      <c r="BN367" s="311"/>
      <c r="BO367" s="311"/>
      <c r="BP367" s="311"/>
      <c r="BQ367" s="311"/>
      <c r="BR367" s="311"/>
      <c r="BS367" s="308"/>
      <c r="BT367" s="311"/>
      <c r="BU367" s="311"/>
      <c r="BV367" s="308" t="s">
        <v>23</v>
      </c>
      <c r="BW367" s="308"/>
      <c r="BX367" s="308" t="s">
        <v>2956</v>
      </c>
      <c r="BY367" s="311"/>
      <c r="BZ367" s="311"/>
      <c r="CA367" s="308" t="s">
        <v>2956</v>
      </c>
      <c r="CB367" s="312" t="str">
        <f t="shared" si="1"/>
        <v>16/06/2026</v>
      </c>
      <c r="CC367" s="313">
        <f t="shared" si="2"/>
        <v>2026</v>
      </c>
      <c r="CD367" s="314">
        <f t="shared" si="3"/>
        <v>6</v>
      </c>
      <c r="CE367" s="314">
        <f t="shared" si="4"/>
        <v>1</v>
      </c>
      <c r="CF367" s="314">
        <f t="shared" si="5"/>
        <v>1</v>
      </c>
      <c r="CG367" s="314">
        <f t="shared" si="6"/>
        <v>-5</v>
      </c>
      <c r="CH367" s="315">
        <f>VLOOKUP(CL367,'PRODUCT_COGS&amp;PRICE'!A:E,5,false)</f>
        <v>19</v>
      </c>
      <c r="CI367" s="315">
        <f t="shared" si="7"/>
        <v>-8.8</v>
      </c>
      <c r="CJ367" s="316">
        <f t="shared" si="8"/>
        <v>0</v>
      </c>
      <c r="CK367" s="316">
        <f t="shared" si="9"/>
        <v>25</v>
      </c>
      <c r="CL367" s="314" t="str">
        <f>VLOOKUP(R367,PRODUCT_MAP!A:B,2,FALSE)</f>
        <v>Agata_Bag_FLORAL_LIGHT_BLUE</v>
      </c>
      <c r="CM367" s="314" t="str">
        <f>VLOOKUP(R367,PRODUCT_MAP!A:E,3,FALSE)</f>
        <v>Agata Bag</v>
      </c>
    </row>
    <row r="368" ht="22.5" customHeight="1">
      <c r="A368" s="308" t="s">
        <v>5828</v>
      </c>
      <c r="B368" s="308" t="s">
        <v>5829</v>
      </c>
      <c r="C368" s="308" t="s">
        <v>2942</v>
      </c>
      <c r="D368" s="308" t="s">
        <v>5830</v>
      </c>
      <c r="E368" s="308" t="s">
        <v>2944</v>
      </c>
      <c r="F368" s="308" t="s">
        <v>5831</v>
      </c>
      <c r="G368" s="308" t="s">
        <v>2965</v>
      </c>
      <c r="H368" s="308" t="s">
        <v>2947</v>
      </c>
      <c r="I368" s="308">
        <v>225.0</v>
      </c>
      <c r="J368" s="308">
        <v>0.0</v>
      </c>
      <c r="K368" s="308">
        <v>40.57</v>
      </c>
      <c r="L368" s="308">
        <v>225.0</v>
      </c>
      <c r="M368" s="308" t="s">
        <v>3221</v>
      </c>
      <c r="N368" s="308">
        <v>25.0</v>
      </c>
      <c r="O368" s="308" t="s">
        <v>2979</v>
      </c>
      <c r="P368" s="308" t="s">
        <v>5832</v>
      </c>
      <c r="Q368" s="310">
        <v>1.0</v>
      </c>
      <c r="R368" s="308" t="s">
        <v>554</v>
      </c>
      <c r="S368" s="308">
        <v>170.0</v>
      </c>
      <c r="T368" s="311"/>
      <c r="U368" s="308" t="s">
        <v>296</v>
      </c>
      <c r="V368" s="308" t="b">
        <v>1</v>
      </c>
      <c r="W368" s="308" t="b">
        <v>1</v>
      </c>
      <c r="X368" s="308" t="s">
        <v>2944</v>
      </c>
      <c r="Y368" s="308" t="s">
        <v>5833</v>
      </c>
      <c r="Z368" s="308" t="s">
        <v>5834</v>
      </c>
      <c r="AA368" s="308" t="s">
        <v>5834</v>
      </c>
      <c r="AB368" s="308"/>
      <c r="AC368" s="308"/>
      <c r="AD368" s="308" t="s">
        <v>23</v>
      </c>
      <c r="AE368" s="308">
        <v>20124.0</v>
      </c>
      <c r="AF368" s="308" t="s">
        <v>2954</v>
      </c>
      <c r="AG368" s="308" t="s">
        <v>2955</v>
      </c>
      <c r="AH368" s="308"/>
      <c r="AI368" s="308"/>
      <c r="AJ368" s="308"/>
      <c r="AK368" s="308"/>
      <c r="AL368" s="308"/>
      <c r="AM368" s="308"/>
      <c r="AN368" s="308"/>
      <c r="AO368" s="308"/>
      <c r="AP368" s="308"/>
      <c r="AQ368" s="308"/>
      <c r="AR368" s="308"/>
      <c r="AS368" s="311"/>
      <c r="AT368" s="311"/>
      <c r="AU368" s="311"/>
      <c r="AV368" s="308" t="s">
        <v>2956</v>
      </c>
      <c r="AW368" s="308">
        <v>4.7980641026375E13</v>
      </c>
      <c r="AX368" s="310">
        <v>0.0</v>
      </c>
      <c r="AY368" s="308" t="s">
        <v>2974</v>
      </c>
      <c r="AZ368" s="308">
        <v>0.0</v>
      </c>
      <c r="BA368" s="311"/>
      <c r="BB368" s="311"/>
      <c r="BC368" s="311"/>
      <c r="BD368" s="308">
        <v>7.849977708871E12</v>
      </c>
      <c r="BE368" s="311"/>
      <c r="BF368" s="311"/>
      <c r="BG368" s="308" t="s">
        <v>3640</v>
      </c>
      <c r="BH368" s="308">
        <v>0.0</v>
      </c>
      <c r="BI368" s="308" t="s">
        <v>2959</v>
      </c>
      <c r="BJ368" s="308">
        <v>27.59</v>
      </c>
      <c r="BK368" s="311"/>
      <c r="BL368" s="311"/>
      <c r="BM368" s="311"/>
      <c r="BN368" s="311"/>
      <c r="BO368" s="311"/>
      <c r="BP368" s="311"/>
      <c r="BQ368" s="311"/>
      <c r="BR368" s="311"/>
      <c r="BS368" s="308"/>
      <c r="BT368" s="311"/>
      <c r="BU368" s="311"/>
      <c r="BV368" s="308" t="s">
        <v>23</v>
      </c>
      <c r="BW368" s="308"/>
      <c r="BX368" s="308" t="s">
        <v>2956</v>
      </c>
      <c r="BY368" s="311"/>
      <c r="BZ368" s="311"/>
      <c r="CA368" s="308" t="s">
        <v>2956</v>
      </c>
      <c r="CB368" s="312" t="str">
        <f t="shared" si="1"/>
        <v>16/06/2026</v>
      </c>
      <c r="CC368" s="313">
        <f t="shared" si="2"/>
        <v>2026</v>
      </c>
      <c r="CD368" s="314">
        <f t="shared" si="3"/>
        <v>6</v>
      </c>
      <c r="CE368" s="314">
        <f t="shared" si="4"/>
        <v>0</v>
      </c>
      <c r="CF368" s="314">
        <f t="shared" si="5"/>
        <v>1</v>
      </c>
      <c r="CG368" s="314">
        <f t="shared" si="6"/>
        <v>-5</v>
      </c>
      <c r="CH368" s="315">
        <f>VLOOKUP(CL368,'PRODUCT_COGS&amp;PRICE'!A:E,5,false)</f>
        <v>25</v>
      </c>
      <c r="CI368" s="315">
        <f t="shared" si="7"/>
        <v>0</v>
      </c>
      <c r="CJ368" s="316">
        <f t="shared" si="8"/>
        <v>0</v>
      </c>
      <c r="CK368" s="316">
        <f t="shared" si="9"/>
        <v>25</v>
      </c>
      <c r="CL368" s="314" t="str">
        <f>VLOOKUP(R368,PRODUCT_MAP!A:B,2,FALSE)</f>
        <v>Lea_Bag_Maxi_COCCO_CHOCOLATE</v>
      </c>
      <c r="CM368" s="314" t="str">
        <f>VLOOKUP(R368,PRODUCT_MAP!A:E,3,FALSE)</f>
        <v>Lea Bag Maxi</v>
      </c>
    </row>
    <row r="369" ht="22.5" customHeight="1">
      <c r="A369" s="308" t="s">
        <v>5835</v>
      </c>
      <c r="B369" s="308" t="s">
        <v>5836</v>
      </c>
      <c r="C369" s="308" t="s">
        <v>2942</v>
      </c>
      <c r="D369" s="308" t="s">
        <v>5837</v>
      </c>
      <c r="E369" s="308" t="s">
        <v>3013</v>
      </c>
      <c r="F369" s="308"/>
      <c r="G369" s="308" t="s">
        <v>2946</v>
      </c>
      <c r="H369" s="308" t="s">
        <v>2947</v>
      </c>
      <c r="I369" s="308">
        <v>72.0</v>
      </c>
      <c r="J369" s="308">
        <v>0.0</v>
      </c>
      <c r="K369" s="308">
        <v>12.98</v>
      </c>
      <c r="L369" s="308">
        <v>72.0</v>
      </c>
      <c r="M369" s="308" t="s">
        <v>3094</v>
      </c>
      <c r="N369" s="308">
        <v>8.0</v>
      </c>
      <c r="O369" s="308" t="s">
        <v>2979</v>
      </c>
      <c r="P369" s="308" t="s">
        <v>5837</v>
      </c>
      <c r="Q369" s="310">
        <v>1.0</v>
      </c>
      <c r="R369" s="308" t="s">
        <v>4015</v>
      </c>
      <c r="S369" s="308">
        <v>80.0</v>
      </c>
      <c r="T369" s="311"/>
      <c r="U369" s="308" t="s">
        <v>5093</v>
      </c>
      <c r="V369" s="308" t="b">
        <v>1</v>
      </c>
      <c r="W369" s="308" t="b">
        <v>1</v>
      </c>
      <c r="X369" s="308"/>
      <c r="Y369" s="308" t="s">
        <v>5838</v>
      </c>
      <c r="Z369" s="308" t="s">
        <v>5839</v>
      </c>
      <c r="AA369" s="308" t="s">
        <v>5839</v>
      </c>
      <c r="AB369" s="308"/>
      <c r="AC369" s="308"/>
      <c r="AD369" s="308" t="s">
        <v>5840</v>
      </c>
      <c r="AE369" s="308">
        <v>40022.0</v>
      </c>
      <c r="AF369" s="308" t="s">
        <v>3069</v>
      </c>
      <c r="AG369" s="308" t="s">
        <v>2955</v>
      </c>
      <c r="AH369" s="308"/>
      <c r="AI369" s="308"/>
      <c r="AJ369" s="308"/>
      <c r="AK369" s="308"/>
      <c r="AL369" s="308"/>
      <c r="AM369" s="308"/>
      <c r="AN369" s="308"/>
      <c r="AO369" s="308"/>
      <c r="AP369" s="308"/>
      <c r="AQ369" s="308"/>
      <c r="AR369" s="308"/>
      <c r="AS369" s="311"/>
      <c r="AT369" s="311"/>
      <c r="AU369" s="311"/>
      <c r="AV369" s="308" t="s">
        <v>3009</v>
      </c>
      <c r="AW369" s="308">
        <v>4.7982393819463E13</v>
      </c>
      <c r="AX369" s="310">
        <v>0.0</v>
      </c>
      <c r="AY369" s="308" t="s">
        <v>2974</v>
      </c>
      <c r="AZ369" s="308">
        <v>0.0</v>
      </c>
      <c r="BA369" s="311"/>
      <c r="BB369" s="311"/>
      <c r="BC369" s="311"/>
      <c r="BD369" s="308">
        <v>7.855561736519E12</v>
      </c>
      <c r="BE369" s="311"/>
      <c r="BF369" s="311"/>
      <c r="BG369" s="308" t="s">
        <v>2958</v>
      </c>
      <c r="BH369" s="308">
        <v>0.0</v>
      </c>
      <c r="BI369" s="308" t="s">
        <v>2959</v>
      </c>
      <c r="BJ369" s="308">
        <v>12.98</v>
      </c>
      <c r="BK369" s="311"/>
      <c r="BL369" s="311"/>
      <c r="BM369" s="311"/>
      <c r="BN369" s="311"/>
      <c r="BO369" s="311"/>
      <c r="BP369" s="311"/>
      <c r="BQ369" s="311"/>
      <c r="BR369" s="311"/>
      <c r="BS369" s="308"/>
      <c r="BT369" s="311"/>
      <c r="BU369" s="311"/>
      <c r="BV369" s="308" t="s">
        <v>3068</v>
      </c>
      <c r="BW369" s="308"/>
      <c r="BX369" s="308" t="s">
        <v>3009</v>
      </c>
      <c r="BY369" s="311"/>
      <c r="BZ369" s="311"/>
      <c r="CA369" s="308" t="s">
        <v>3009</v>
      </c>
      <c r="CB369" s="312" t="str">
        <f t="shared" si="1"/>
        <v>17/06/2026</v>
      </c>
      <c r="CC369" s="313">
        <f t="shared" si="2"/>
        <v>2026</v>
      </c>
      <c r="CD369" s="314">
        <f t="shared" si="3"/>
        <v>6</v>
      </c>
      <c r="CE369" s="314">
        <f t="shared" si="4"/>
        <v>1</v>
      </c>
      <c r="CF369" s="314">
        <f t="shared" si="5"/>
        <v>1</v>
      </c>
      <c r="CG369" s="314">
        <f t="shared" si="6"/>
        <v>-5</v>
      </c>
      <c r="CH369" s="315">
        <f>VLOOKUP(CL369,'PRODUCT_COGS&amp;PRICE'!A:E,5,false)</f>
        <v>19</v>
      </c>
      <c r="CI369" s="315">
        <f t="shared" si="7"/>
        <v>-2.8628</v>
      </c>
      <c r="CJ369" s="316">
        <f t="shared" si="8"/>
        <v>0</v>
      </c>
      <c r="CK369" s="316">
        <f t="shared" si="9"/>
        <v>8</v>
      </c>
      <c r="CL369" s="314" t="str">
        <f>VLOOKUP(R369,PRODUCT_MAP!A:B,2,FALSE)</f>
        <v>Agata_Bag_ROSE_PINK</v>
      </c>
      <c r="CM369" s="314" t="str">
        <f>VLOOKUP(R369,PRODUCT_MAP!A:E,3,FALSE)</f>
        <v>Agata Bag</v>
      </c>
    </row>
    <row r="370" ht="22.5" customHeight="1">
      <c r="A370" s="308" t="s">
        <v>5841</v>
      </c>
      <c r="B370" s="308" t="s">
        <v>5842</v>
      </c>
      <c r="C370" s="308" t="s">
        <v>2942</v>
      </c>
      <c r="D370" s="308" t="s">
        <v>5843</v>
      </c>
      <c r="E370" s="308" t="s">
        <v>3013</v>
      </c>
      <c r="F370" s="308"/>
      <c r="G370" s="308" t="s">
        <v>2946</v>
      </c>
      <c r="H370" s="308" t="s">
        <v>2947</v>
      </c>
      <c r="I370" s="308">
        <v>80.0</v>
      </c>
      <c r="J370" s="308">
        <v>0.0</v>
      </c>
      <c r="K370" s="308">
        <v>14.43</v>
      </c>
      <c r="L370" s="308">
        <v>80.0</v>
      </c>
      <c r="M370" s="308" t="s">
        <v>5844</v>
      </c>
      <c r="N370" s="308">
        <v>0.0</v>
      </c>
      <c r="O370" s="308" t="s">
        <v>2979</v>
      </c>
      <c r="P370" s="308" t="s">
        <v>5845</v>
      </c>
      <c r="Q370" s="310">
        <v>1.0</v>
      </c>
      <c r="R370" s="308" t="s">
        <v>3920</v>
      </c>
      <c r="S370" s="308">
        <v>80.0</v>
      </c>
      <c r="T370" s="311"/>
      <c r="U370" s="308" t="s">
        <v>4985</v>
      </c>
      <c r="V370" s="308" t="b">
        <v>1</v>
      </c>
      <c r="W370" s="308" t="b">
        <v>1</v>
      </c>
      <c r="X370" s="308"/>
      <c r="Y370" s="308" t="s">
        <v>5846</v>
      </c>
      <c r="Z370" s="308" t="s">
        <v>5847</v>
      </c>
      <c r="AA370" s="308" t="s">
        <v>5847</v>
      </c>
      <c r="AB370" s="308"/>
      <c r="AC370" s="308"/>
      <c r="AD370" s="308" t="s">
        <v>3549</v>
      </c>
      <c r="AE370" s="308">
        <v>50125.0</v>
      </c>
      <c r="AF370" s="308" t="s">
        <v>3550</v>
      </c>
      <c r="AG370" s="308" t="s">
        <v>2955</v>
      </c>
      <c r="AH370" s="308"/>
      <c r="AI370" s="308"/>
      <c r="AJ370" s="308"/>
      <c r="AK370" s="308"/>
      <c r="AL370" s="308"/>
      <c r="AM370" s="308"/>
      <c r="AN370" s="308"/>
      <c r="AO370" s="308"/>
      <c r="AP370" s="308"/>
      <c r="AQ370" s="308"/>
      <c r="AR370" s="308"/>
      <c r="AS370" s="311"/>
      <c r="AT370" s="311"/>
      <c r="AU370" s="311"/>
      <c r="AV370" s="308" t="s">
        <v>3009</v>
      </c>
      <c r="AW370" s="308">
        <v>4.7983216329031E13</v>
      </c>
      <c r="AX370" s="310">
        <v>0.0</v>
      </c>
      <c r="AY370" s="308" t="s">
        <v>2974</v>
      </c>
      <c r="AZ370" s="308">
        <v>0.0</v>
      </c>
      <c r="BA370" s="311"/>
      <c r="BB370" s="311"/>
      <c r="BC370" s="311"/>
      <c r="BD370" s="308">
        <v>7.855929491783E12</v>
      </c>
      <c r="BE370" s="311"/>
      <c r="BF370" s="311"/>
      <c r="BG370" s="308" t="s">
        <v>2958</v>
      </c>
      <c r="BH370" s="308">
        <v>0.0</v>
      </c>
      <c r="BI370" s="308" t="s">
        <v>2959</v>
      </c>
      <c r="BJ370" s="308">
        <v>14.43</v>
      </c>
      <c r="BK370" s="311"/>
      <c r="BL370" s="311"/>
      <c r="BM370" s="311"/>
      <c r="BN370" s="311"/>
      <c r="BO370" s="311"/>
      <c r="BP370" s="311"/>
      <c r="BQ370" s="311"/>
      <c r="BR370" s="311"/>
      <c r="BS370" s="308"/>
      <c r="BT370" s="311"/>
      <c r="BU370" s="311"/>
      <c r="BV370" s="308" t="s">
        <v>3549</v>
      </c>
      <c r="BW370" s="308"/>
      <c r="BX370" s="308" t="s">
        <v>3009</v>
      </c>
      <c r="BY370" s="311"/>
      <c r="BZ370" s="311"/>
      <c r="CA370" s="308" t="s">
        <v>3009</v>
      </c>
      <c r="CB370" s="312" t="str">
        <f t="shared" si="1"/>
        <v>17/06/2026</v>
      </c>
      <c r="CC370" s="313">
        <f t="shared" si="2"/>
        <v>2026</v>
      </c>
      <c r="CD370" s="314">
        <f t="shared" si="3"/>
        <v>6</v>
      </c>
      <c r="CE370" s="314">
        <f t="shared" si="4"/>
        <v>1</v>
      </c>
      <c r="CF370" s="314">
        <f t="shared" si="5"/>
        <v>1</v>
      </c>
      <c r="CG370" s="314">
        <f t="shared" si="6"/>
        <v>-5</v>
      </c>
      <c r="CH370" s="315">
        <f>VLOOKUP(CL370,'PRODUCT_COGS&amp;PRICE'!A:E,5,false)</f>
        <v>19</v>
      </c>
      <c r="CI370" s="315">
        <f t="shared" si="7"/>
        <v>-3.142</v>
      </c>
      <c r="CJ370" s="316">
        <f t="shared" si="8"/>
        <v>0</v>
      </c>
      <c r="CK370" s="316">
        <f t="shared" si="9"/>
        <v>0</v>
      </c>
      <c r="CL370" s="314" t="str">
        <f>VLOOKUP(R370,PRODUCT_MAP!A:B,2,FALSE)</f>
        <v>Agata_Bag_FLORAL_GREEN_EMBROIDERY</v>
      </c>
      <c r="CM370" s="314" t="str">
        <f>VLOOKUP(R370,PRODUCT_MAP!A:E,3,FALSE)</f>
        <v>Agata Bag</v>
      </c>
    </row>
    <row r="371" ht="22.5" customHeight="1">
      <c r="A371" s="308" t="s">
        <v>5848</v>
      </c>
      <c r="B371" s="308" t="s">
        <v>5849</v>
      </c>
      <c r="C371" s="308" t="s">
        <v>2942</v>
      </c>
      <c r="D371" s="308" t="s">
        <v>5850</v>
      </c>
      <c r="E371" s="308" t="s">
        <v>3013</v>
      </c>
      <c r="F371" s="308"/>
      <c r="G371" s="308" t="s">
        <v>2965</v>
      </c>
      <c r="H371" s="308" t="s">
        <v>2947</v>
      </c>
      <c r="I371" s="308">
        <v>90.0</v>
      </c>
      <c r="J371" s="308">
        <v>0.0</v>
      </c>
      <c r="K371" s="308">
        <v>16.23</v>
      </c>
      <c r="L371" s="308">
        <v>90.0</v>
      </c>
      <c r="M371" s="308"/>
      <c r="N371" s="308">
        <v>0.0</v>
      </c>
      <c r="O371" s="308" t="s">
        <v>2979</v>
      </c>
      <c r="P371" s="308" t="s">
        <v>5851</v>
      </c>
      <c r="Q371" s="310">
        <v>1.0</v>
      </c>
      <c r="R371" s="308" t="s">
        <v>5852</v>
      </c>
      <c r="S371" s="308">
        <v>90.0</v>
      </c>
      <c r="T371" s="311"/>
      <c r="U371" s="308" t="s">
        <v>4221</v>
      </c>
      <c r="V371" s="308" t="b">
        <v>1</v>
      </c>
      <c r="W371" s="308" t="b">
        <v>1</v>
      </c>
      <c r="X371" s="308"/>
      <c r="Y371" s="308" t="s">
        <v>5853</v>
      </c>
      <c r="Z371" s="308" t="s">
        <v>5854</v>
      </c>
      <c r="AA371" s="308" t="s">
        <v>5854</v>
      </c>
      <c r="AB371" s="308"/>
      <c r="AC371" s="308"/>
      <c r="AD371" s="308" t="s">
        <v>23</v>
      </c>
      <c r="AE371" s="308">
        <v>20134.0</v>
      </c>
      <c r="AF371" s="308" t="s">
        <v>2954</v>
      </c>
      <c r="AG371" s="308" t="s">
        <v>2955</v>
      </c>
      <c r="AH371" s="308"/>
      <c r="AI371" s="308"/>
      <c r="AJ371" s="308"/>
      <c r="AK371" s="308"/>
      <c r="AL371" s="308"/>
      <c r="AM371" s="308"/>
      <c r="AN371" s="308"/>
      <c r="AO371" s="308"/>
      <c r="AP371" s="308"/>
      <c r="AQ371" s="308"/>
      <c r="AR371" s="308"/>
      <c r="AS371" s="311"/>
      <c r="AT371" s="311"/>
      <c r="AU371" s="311"/>
      <c r="AV371" s="308" t="s">
        <v>2956</v>
      </c>
      <c r="AW371" s="308">
        <v>4.7983928049991E13</v>
      </c>
      <c r="AX371" s="310">
        <v>0.0</v>
      </c>
      <c r="AY371" s="308" t="s">
        <v>2974</v>
      </c>
      <c r="AZ371" s="308">
        <v>0.0</v>
      </c>
      <c r="BA371" s="311"/>
      <c r="BB371" s="311"/>
      <c r="BC371" s="311"/>
      <c r="BD371" s="308">
        <v>7.856297181511E12</v>
      </c>
      <c r="BE371" s="311"/>
      <c r="BF371" s="311"/>
      <c r="BG371" s="308" t="s">
        <v>2958</v>
      </c>
      <c r="BH371" s="308">
        <v>0.0</v>
      </c>
      <c r="BI371" s="308" t="s">
        <v>2959</v>
      </c>
      <c r="BJ371" s="308">
        <v>16.23</v>
      </c>
      <c r="BK371" s="311"/>
      <c r="BL371" s="311"/>
      <c r="BM371" s="311"/>
      <c r="BN371" s="311"/>
      <c r="BO371" s="311"/>
      <c r="BP371" s="311"/>
      <c r="BQ371" s="311"/>
      <c r="BR371" s="311"/>
      <c r="BS371" s="308"/>
      <c r="BT371" s="311"/>
      <c r="BU371" s="311"/>
      <c r="BV371" s="308" t="s">
        <v>23</v>
      </c>
      <c r="BW371" s="308"/>
      <c r="BX371" s="308" t="s">
        <v>2956</v>
      </c>
      <c r="BY371" s="311"/>
      <c r="BZ371" s="311"/>
      <c r="CA371" s="308" t="s">
        <v>2956</v>
      </c>
      <c r="CB371" s="312" t="str">
        <f t="shared" si="1"/>
        <v>17/06/2026</v>
      </c>
      <c r="CC371" s="313">
        <f t="shared" si="2"/>
        <v>2026</v>
      </c>
      <c r="CD371" s="314">
        <f t="shared" si="3"/>
        <v>6</v>
      </c>
      <c r="CE371" s="314">
        <f t="shared" si="4"/>
        <v>1</v>
      </c>
      <c r="CF371" s="314">
        <f t="shared" si="5"/>
        <v>1</v>
      </c>
      <c r="CG371" s="314">
        <f t="shared" si="6"/>
        <v>-5</v>
      </c>
      <c r="CH371" s="315">
        <f>VLOOKUP(CL371,'PRODUCT_COGS&amp;PRICE'!A:E,5,false)</f>
        <v>16.5</v>
      </c>
      <c r="CI371" s="315">
        <f t="shared" si="7"/>
        <v>-1.96</v>
      </c>
      <c r="CJ371" s="316">
        <f t="shared" si="8"/>
        <v>0</v>
      </c>
      <c r="CK371" s="316">
        <f t="shared" si="9"/>
        <v>0</v>
      </c>
      <c r="CL371" s="314" t="str">
        <f>VLOOKUP(R371,PRODUCT_MAP!A:B,2,FALSE)</f>
        <v>Annie_Bag_PAILLETTES_NUDE</v>
      </c>
      <c r="CM371" s="314" t="str">
        <f>VLOOKUP(R371,PRODUCT_MAP!A:E,3,FALSE)</f>
        <v>Agata Bag</v>
      </c>
    </row>
    <row r="372" ht="22.5" customHeight="1">
      <c r="A372" s="308" t="s">
        <v>5855</v>
      </c>
      <c r="B372" s="308" t="s">
        <v>5856</v>
      </c>
      <c r="C372" s="308" t="s">
        <v>2942</v>
      </c>
      <c r="D372" s="308" t="s">
        <v>5857</v>
      </c>
      <c r="E372" s="308" t="s">
        <v>3013</v>
      </c>
      <c r="F372" s="308"/>
      <c r="G372" s="308" t="s">
        <v>2946</v>
      </c>
      <c r="H372" s="308" t="s">
        <v>2947</v>
      </c>
      <c r="I372" s="308">
        <v>261.0</v>
      </c>
      <c r="J372" s="308">
        <v>0.0</v>
      </c>
      <c r="K372" s="308">
        <v>47.07</v>
      </c>
      <c r="L372" s="308">
        <v>261.0</v>
      </c>
      <c r="M372" s="308" t="s">
        <v>3094</v>
      </c>
      <c r="N372" s="308">
        <v>29.0</v>
      </c>
      <c r="O372" s="308" t="s">
        <v>2948</v>
      </c>
      <c r="P372" s="308" t="s">
        <v>5858</v>
      </c>
      <c r="Q372" s="310">
        <v>1.0</v>
      </c>
      <c r="R372" s="308" t="s">
        <v>554</v>
      </c>
      <c r="S372" s="308">
        <v>170.0</v>
      </c>
      <c r="T372" s="311"/>
      <c r="U372" s="308" t="s">
        <v>296</v>
      </c>
      <c r="V372" s="308" t="b">
        <v>1</v>
      </c>
      <c r="W372" s="308" t="b">
        <v>1</v>
      </c>
      <c r="X372" s="308"/>
      <c r="Y372" s="308" t="s">
        <v>5859</v>
      </c>
      <c r="Z372" s="308" t="s">
        <v>5860</v>
      </c>
      <c r="AA372" s="308" t="s">
        <v>5860</v>
      </c>
      <c r="AB372" s="308"/>
      <c r="AC372" s="308"/>
      <c r="AD372" s="308" t="s">
        <v>5861</v>
      </c>
      <c r="AE372" s="308">
        <v>61043.0</v>
      </c>
      <c r="AF372" s="308" t="s">
        <v>5862</v>
      </c>
      <c r="AG372" s="308" t="s">
        <v>2955</v>
      </c>
      <c r="AH372" s="308">
        <v>3.394615788E9</v>
      </c>
      <c r="AI372" s="308" t="s">
        <v>5859</v>
      </c>
      <c r="AJ372" s="308" t="s">
        <v>5860</v>
      </c>
      <c r="AK372" s="308" t="s">
        <v>5860</v>
      </c>
      <c r="AL372" s="308"/>
      <c r="AM372" s="308"/>
      <c r="AN372" s="308" t="s">
        <v>5861</v>
      </c>
      <c r="AO372" s="308">
        <v>61043.0</v>
      </c>
      <c r="AP372" s="308" t="s">
        <v>5862</v>
      </c>
      <c r="AQ372" s="308" t="s">
        <v>2955</v>
      </c>
      <c r="AR372" s="308">
        <v>3.394615788E9</v>
      </c>
      <c r="AS372" s="311"/>
      <c r="AT372" s="311"/>
      <c r="AU372" s="311"/>
      <c r="AV372" s="308" t="s">
        <v>3009</v>
      </c>
      <c r="AW372" s="308">
        <v>4.7984401383751E13</v>
      </c>
      <c r="AX372" s="310">
        <v>0.0</v>
      </c>
      <c r="AY372" s="308" t="s">
        <v>2974</v>
      </c>
      <c r="AZ372" s="308">
        <v>0.0</v>
      </c>
      <c r="BA372" s="311"/>
      <c r="BB372" s="311"/>
      <c r="BC372" s="311"/>
      <c r="BD372" s="308">
        <v>7.856537370951E12</v>
      </c>
      <c r="BE372" s="311"/>
      <c r="BF372" s="311"/>
      <c r="BG372" s="308" t="s">
        <v>2958</v>
      </c>
      <c r="BH372" s="308">
        <v>0.0</v>
      </c>
      <c r="BI372" s="308" t="s">
        <v>2959</v>
      </c>
      <c r="BJ372" s="308">
        <v>27.59</v>
      </c>
      <c r="BK372" s="311"/>
      <c r="BL372" s="311"/>
      <c r="BM372" s="311"/>
      <c r="BN372" s="311"/>
      <c r="BO372" s="311"/>
      <c r="BP372" s="311"/>
      <c r="BQ372" s="311"/>
      <c r="BR372" s="311"/>
      <c r="BS372" s="308"/>
      <c r="BT372" s="311"/>
      <c r="BU372" s="311"/>
      <c r="BV372" s="308" t="s">
        <v>5863</v>
      </c>
      <c r="BW372" s="308" t="s">
        <v>5863</v>
      </c>
      <c r="BX372" s="308" t="s">
        <v>3009</v>
      </c>
      <c r="BY372" s="311"/>
      <c r="BZ372" s="311"/>
      <c r="CA372" s="308" t="s">
        <v>3009</v>
      </c>
      <c r="CB372" s="312" t="str">
        <f t="shared" si="1"/>
        <v>17/06/2026</v>
      </c>
      <c r="CC372" s="313">
        <f t="shared" si="2"/>
        <v>2026</v>
      </c>
      <c r="CD372" s="314">
        <f t="shared" si="3"/>
        <v>6</v>
      </c>
      <c r="CE372" s="314">
        <f t="shared" si="4"/>
        <v>1</v>
      </c>
      <c r="CF372" s="314">
        <f t="shared" si="5"/>
        <v>1</v>
      </c>
      <c r="CG372" s="314">
        <f t="shared" si="6"/>
        <v>-5</v>
      </c>
      <c r="CH372" s="315">
        <f>VLOOKUP(CL372,'PRODUCT_COGS&amp;PRICE'!A:E,5,false)</f>
        <v>25</v>
      </c>
      <c r="CI372" s="315">
        <f t="shared" si="7"/>
        <v>-18.5678</v>
      </c>
      <c r="CJ372" s="316">
        <f t="shared" si="8"/>
        <v>0</v>
      </c>
      <c r="CK372" s="316">
        <f t="shared" si="9"/>
        <v>29</v>
      </c>
      <c r="CL372" s="314" t="str">
        <f>VLOOKUP(R372,PRODUCT_MAP!A:B,2,FALSE)</f>
        <v>Lea_Bag_Maxi_COCCO_CHOCOLATE</v>
      </c>
      <c r="CM372" s="314" t="str">
        <f>VLOOKUP(R372,PRODUCT_MAP!A:E,3,FALSE)</f>
        <v>Lea Bag Maxi</v>
      </c>
    </row>
    <row r="373" ht="22.5" customHeight="1">
      <c r="A373" s="308" t="s">
        <v>5855</v>
      </c>
      <c r="B373" s="308" t="s">
        <v>5856</v>
      </c>
      <c r="C373" s="308" t="s">
        <v>2942</v>
      </c>
      <c r="D373" s="308" t="s">
        <v>5857</v>
      </c>
      <c r="E373" s="308" t="s">
        <v>3013</v>
      </c>
      <c r="F373" s="308"/>
      <c r="G373" s="308" t="s">
        <v>2946</v>
      </c>
      <c r="H373" s="308" t="s">
        <v>2947</v>
      </c>
      <c r="I373" s="308">
        <v>261.0</v>
      </c>
      <c r="J373" s="308">
        <v>0.0</v>
      </c>
      <c r="K373" s="308">
        <v>47.07</v>
      </c>
      <c r="L373" s="308">
        <v>261.0</v>
      </c>
      <c r="M373" s="308" t="s">
        <v>3094</v>
      </c>
      <c r="N373" s="308">
        <v>29.0</v>
      </c>
      <c r="O373" s="308" t="s">
        <v>2948</v>
      </c>
      <c r="P373" s="308" t="s">
        <v>5858</v>
      </c>
      <c r="Q373" s="310">
        <v>1.0</v>
      </c>
      <c r="R373" s="308" t="s">
        <v>569</v>
      </c>
      <c r="S373" s="308">
        <v>120.0</v>
      </c>
      <c r="T373" s="311"/>
      <c r="U373" s="308" t="s">
        <v>3375</v>
      </c>
      <c r="V373" s="308" t="b">
        <v>1</v>
      </c>
      <c r="W373" s="308" t="b">
        <v>1</v>
      </c>
      <c r="X373" s="308"/>
      <c r="Y373" s="308" t="s">
        <v>5859</v>
      </c>
      <c r="Z373" s="308" t="s">
        <v>5860</v>
      </c>
      <c r="AA373" s="308" t="s">
        <v>5860</v>
      </c>
      <c r="AB373" s="308"/>
      <c r="AC373" s="308"/>
      <c r="AD373" s="308" t="s">
        <v>5861</v>
      </c>
      <c r="AE373" s="308">
        <v>61043.0</v>
      </c>
      <c r="AF373" s="308" t="s">
        <v>5862</v>
      </c>
      <c r="AG373" s="308" t="s">
        <v>2955</v>
      </c>
      <c r="AH373" s="308">
        <v>3.394615788E9</v>
      </c>
      <c r="AI373" s="308" t="s">
        <v>5859</v>
      </c>
      <c r="AJ373" s="308" t="s">
        <v>5860</v>
      </c>
      <c r="AK373" s="308" t="s">
        <v>5860</v>
      </c>
      <c r="AL373" s="308"/>
      <c r="AM373" s="308"/>
      <c r="AN373" s="308" t="s">
        <v>5861</v>
      </c>
      <c r="AO373" s="308">
        <v>61043.0</v>
      </c>
      <c r="AP373" s="308" t="s">
        <v>5862</v>
      </c>
      <c r="AQ373" s="308" t="s">
        <v>2955</v>
      </c>
      <c r="AR373" s="308">
        <v>3.394615788E9</v>
      </c>
      <c r="AS373" s="311"/>
      <c r="AT373" s="311"/>
      <c r="AU373" s="311"/>
      <c r="AV373" s="308" t="s">
        <v>3009</v>
      </c>
      <c r="AW373" s="308">
        <v>4.7984401383751E13</v>
      </c>
      <c r="AX373" s="310">
        <v>0.0</v>
      </c>
      <c r="AY373" s="308" t="s">
        <v>2974</v>
      </c>
      <c r="AZ373" s="308">
        <v>0.0</v>
      </c>
      <c r="BA373" s="311"/>
      <c r="BB373" s="311"/>
      <c r="BC373" s="311"/>
      <c r="BD373" s="308">
        <v>7.856537370951E12</v>
      </c>
      <c r="BE373" s="311"/>
      <c r="BF373" s="311"/>
      <c r="BG373" s="308" t="s">
        <v>2958</v>
      </c>
      <c r="BH373" s="308">
        <v>0.0</v>
      </c>
      <c r="BI373" s="308" t="s">
        <v>2959</v>
      </c>
      <c r="BJ373" s="308">
        <v>19.48</v>
      </c>
      <c r="BK373" s="311"/>
      <c r="BL373" s="311"/>
      <c r="BM373" s="311"/>
      <c r="BN373" s="311"/>
      <c r="BO373" s="311"/>
      <c r="BP373" s="311"/>
      <c r="BQ373" s="311"/>
      <c r="BR373" s="311"/>
      <c r="BS373" s="308"/>
      <c r="BT373" s="311"/>
      <c r="BU373" s="311"/>
      <c r="BV373" s="308" t="s">
        <v>5863</v>
      </c>
      <c r="BW373" s="308" t="s">
        <v>5863</v>
      </c>
      <c r="BX373" s="308" t="s">
        <v>3009</v>
      </c>
      <c r="BY373" s="311"/>
      <c r="BZ373" s="311"/>
      <c r="CA373" s="308" t="s">
        <v>3009</v>
      </c>
      <c r="CB373" s="312" t="str">
        <f t="shared" si="1"/>
        <v>17/06/2026</v>
      </c>
      <c r="CC373" s="313">
        <f t="shared" si="2"/>
        <v>2026</v>
      </c>
      <c r="CD373" s="314">
        <f t="shared" si="3"/>
        <v>6</v>
      </c>
      <c r="CE373" s="314">
        <f t="shared" si="4"/>
        <v>0</v>
      </c>
      <c r="CF373" s="314">
        <f t="shared" si="5"/>
        <v>1</v>
      </c>
      <c r="CG373" s="314">
        <f t="shared" si="6"/>
        <v>-5</v>
      </c>
      <c r="CH373" s="315">
        <f>VLOOKUP(CL373,'PRODUCT_COGS&amp;PRICE'!A:E,5,false)</f>
        <v>20</v>
      </c>
      <c r="CI373" s="315">
        <f t="shared" si="7"/>
        <v>0</v>
      </c>
      <c r="CJ373" s="316">
        <f t="shared" si="8"/>
        <v>0</v>
      </c>
      <c r="CK373" s="316">
        <f t="shared" si="9"/>
        <v>29</v>
      </c>
      <c r="CL373" s="314" t="str">
        <f>VLOOKUP(R373,PRODUCT_MAP!A:B,2,FALSE)</f>
        <v>Lea_Bag_RED_PATENT</v>
      </c>
      <c r="CM373" s="314" t="str">
        <f>VLOOKUP(R373,PRODUCT_MAP!A:E,3,FALSE)</f>
        <v>Lea Bag</v>
      </c>
    </row>
    <row r="374" ht="22.5" customHeight="1">
      <c r="A374" s="308" t="s">
        <v>5864</v>
      </c>
      <c r="B374" s="308" t="s">
        <v>4348</v>
      </c>
      <c r="C374" s="308" t="s">
        <v>2942</v>
      </c>
      <c r="D374" s="308" t="s">
        <v>5865</v>
      </c>
      <c r="E374" s="308" t="s">
        <v>3013</v>
      </c>
      <c r="F374" s="308"/>
      <c r="G374" s="308" t="s">
        <v>2946</v>
      </c>
      <c r="H374" s="308" t="s">
        <v>2947</v>
      </c>
      <c r="I374" s="308">
        <v>120.0</v>
      </c>
      <c r="J374" s="308">
        <v>0.0</v>
      </c>
      <c r="K374" s="308">
        <v>21.64</v>
      </c>
      <c r="L374" s="308">
        <v>120.0</v>
      </c>
      <c r="M374" s="308"/>
      <c r="N374" s="308">
        <v>0.0</v>
      </c>
      <c r="O374" s="308" t="s">
        <v>2948</v>
      </c>
      <c r="P374" s="308" t="s">
        <v>5866</v>
      </c>
      <c r="Q374" s="310">
        <v>1.0</v>
      </c>
      <c r="R374" s="308" t="s">
        <v>534</v>
      </c>
      <c r="S374" s="308">
        <v>120.0</v>
      </c>
      <c r="T374" s="311"/>
      <c r="U374" s="308" t="s">
        <v>293</v>
      </c>
      <c r="V374" s="308" t="b">
        <v>1</v>
      </c>
      <c r="W374" s="308" t="b">
        <v>1</v>
      </c>
      <c r="X374" s="308"/>
      <c r="Y374" s="308" t="s">
        <v>4351</v>
      </c>
      <c r="Z374" s="308" t="s">
        <v>4352</v>
      </c>
      <c r="AA374" s="308" t="s">
        <v>4352</v>
      </c>
      <c r="AB374" s="308"/>
      <c r="AC374" s="308"/>
      <c r="AD374" s="308" t="s">
        <v>23</v>
      </c>
      <c r="AE374" s="308">
        <v>20141.0</v>
      </c>
      <c r="AF374" s="308" t="s">
        <v>2954</v>
      </c>
      <c r="AG374" s="308" t="s">
        <v>2955</v>
      </c>
      <c r="AH374" s="308">
        <v>3.335861377E9</v>
      </c>
      <c r="AI374" s="308" t="s">
        <v>4351</v>
      </c>
      <c r="AJ374" s="308" t="s">
        <v>4352</v>
      </c>
      <c r="AK374" s="308" t="s">
        <v>4352</v>
      </c>
      <c r="AL374" s="308"/>
      <c r="AM374" s="308"/>
      <c r="AN374" s="308" t="s">
        <v>23</v>
      </c>
      <c r="AO374" s="308">
        <v>20141.0</v>
      </c>
      <c r="AP374" s="308" t="s">
        <v>2954</v>
      </c>
      <c r="AQ374" s="308" t="s">
        <v>2955</v>
      </c>
      <c r="AR374" s="308">
        <v>3.335861377E9</v>
      </c>
      <c r="AS374" s="311"/>
      <c r="AT374" s="311"/>
      <c r="AU374" s="311"/>
      <c r="AV374" s="308" t="s">
        <v>3009</v>
      </c>
      <c r="AW374" s="308">
        <v>4.7947324817735E13</v>
      </c>
      <c r="AX374" s="310">
        <v>0.0</v>
      </c>
      <c r="AY374" s="308" t="s">
        <v>2974</v>
      </c>
      <c r="AZ374" s="308">
        <v>0.0</v>
      </c>
      <c r="BA374" s="311"/>
      <c r="BB374" s="311"/>
      <c r="BC374" s="311"/>
      <c r="BD374" s="308">
        <v>7.856731291975E12</v>
      </c>
      <c r="BE374" s="311"/>
      <c r="BF374" s="311"/>
      <c r="BG374" s="308" t="s">
        <v>2958</v>
      </c>
      <c r="BH374" s="308">
        <v>0.0</v>
      </c>
      <c r="BI374" s="308" t="s">
        <v>2959</v>
      </c>
      <c r="BJ374" s="308">
        <v>21.64</v>
      </c>
      <c r="BK374" s="311"/>
      <c r="BL374" s="311"/>
      <c r="BM374" s="311"/>
      <c r="BN374" s="311"/>
      <c r="BO374" s="311"/>
      <c r="BP374" s="311"/>
      <c r="BQ374" s="311"/>
      <c r="BR374" s="311"/>
      <c r="BS374" s="308"/>
      <c r="BT374" s="311"/>
      <c r="BU374" s="311"/>
      <c r="BV374" s="308" t="s">
        <v>23</v>
      </c>
      <c r="BW374" s="308" t="s">
        <v>23</v>
      </c>
      <c r="BX374" s="308" t="s">
        <v>3009</v>
      </c>
      <c r="BY374" s="311"/>
      <c r="BZ374" s="311"/>
      <c r="CA374" s="308" t="s">
        <v>3009</v>
      </c>
      <c r="CB374" s="312" t="str">
        <f t="shared" si="1"/>
        <v>17/06/2026</v>
      </c>
      <c r="CC374" s="313">
        <f t="shared" si="2"/>
        <v>2026</v>
      </c>
      <c r="CD374" s="314">
        <f t="shared" si="3"/>
        <v>6</v>
      </c>
      <c r="CE374" s="314">
        <f t="shared" si="4"/>
        <v>1</v>
      </c>
      <c r="CF374" s="314">
        <f t="shared" si="5"/>
        <v>1</v>
      </c>
      <c r="CG374" s="314">
        <f t="shared" si="6"/>
        <v>-5</v>
      </c>
      <c r="CH374" s="315">
        <f>VLOOKUP(CL374,'PRODUCT_COGS&amp;PRICE'!A:E,5,false)</f>
        <v>20</v>
      </c>
      <c r="CI374" s="315">
        <f t="shared" si="7"/>
        <v>-4.538</v>
      </c>
      <c r="CJ374" s="316">
        <f t="shared" si="8"/>
        <v>0</v>
      </c>
      <c r="CK374" s="316">
        <f t="shared" si="9"/>
        <v>0</v>
      </c>
      <c r="CL374" s="314" t="str">
        <f>VLOOKUP(R374,PRODUCT_MAP!A:B,2,FALSE)</f>
        <v>Lea_Bag_COCCO_PURPLE</v>
      </c>
      <c r="CM374" s="314" t="str">
        <f>VLOOKUP(R374,PRODUCT_MAP!A:E,3,FALSE)</f>
        <v>Lea Bag</v>
      </c>
    </row>
    <row r="375" ht="22.5" customHeight="1">
      <c r="A375" s="308" t="s">
        <v>5867</v>
      </c>
      <c r="B375" s="308" t="s">
        <v>5868</v>
      </c>
      <c r="C375" s="308" t="s">
        <v>2942</v>
      </c>
      <c r="D375" s="308" t="s">
        <v>5869</v>
      </c>
      <c r="E375" s="308" t="s">
        <v>3013</v>
      </c>
      <c r="F375" s="308"/>
      <c r="G375" s="308" t="s">
        <v>2946</v>
      </c>
      <c r="H375" s="308" t="s">
        <v>2947</v>
      </c>
      <c r="I375" s="308">
        <v>81.0</v>
      </c>
      <c r="J375" s="308">
        <v>0.0</v>
      </c>
      <c r="K375" s="308">
        <v>14.61</v>
      </c>
      <c r="L375" s="308">
        <v>81.0</v>
      </c>
      <c r="M375" s="308" t="s">
        <v>3094</v>
      </c>
      <c r="N375" s="308">
        <v>9.0</v>
      </c>
      <c r="O375" s="308" t="s">
        <v>2979</v>
      </c>
      <c r="P375" s="308" t="s">
        <v>5870</v>
      </c>
      <c r="Q375" s="310">
        <v>1.0</v>
      </c>
      <c r="R375" s="308" t="s">
        <v>5871</v>
      </c>
      <c r="S375" s="308">
        <v>90.0</v>
      </c>
      <c r="T375" s="311"/>
      <c r="U375" s="308" t="s">
        <v>5593</v>
      </c>
      <c r="V375" s="308" t="b">
        <v>1</v>
      </c>
      <c r="W375" s="308" t="b">
        <v>1</v>
      </c>
      <c r="X375" s="308"/>
      <c r="Y375" s="308" t="s">
        <v>5872</v>
      </c>
      <c r="Z375" s="308" t="s">
        <v>5873</v>
      </c>
      <c r="AA375" s="308" t="s">
        <v>5873</v>
      </c>
      <c r="AB375" s="308"/>
      <c r="AC375" s="308"/>
      <c r="AD375" s="308" t="s">
        <v>23</v>
      </c>
      <c r="AE375" s="308">
        <v>20123.0</v>
      </c>
      <c r="AF375" s="308" t="s">
        <v>2954</v>
      </c>
      <c r="AG375" s="308" t="s">
        <v>2955</v>
      </c>
      <c r="AH375" s="308"/>
      <c r="AI375" s="308"/>
      <c r="AJ375" s="308"/>
      <c r="AK375" s="308"/>
      <c r="AL375" s="308"/>
      <c r="AM375" s="308"/>
      <c r="AN375" s="308"/>
      <c r="AO375" s="308"/>
      <c r="AP375" s="308"/>
      <c r="AQ375" s="308"/>
      <c r="AR375" s="308"/>
      <c r="AS375" s="311"/>
      <c r="AT375" s="311"/>
      <c r="AU375" s="311"/>
      <c r="AV375" s="308" t="s">
        <v>2956</v>
      </c>
      <c r="AW375" s="308">
        <v>4.7984656613703E13</v>
      </c>
      <c r="AX375" s="310">
        <v>0.0</v>
      </c>
      <c r="AY375" s="308" t="s">
        <v>2974</v>
      </c>
      <c r="AZ375" s="308">
        <v>0.0</v>
      </c>
      <c r="BA375" s="311"/>
      <c r="BB375" s="311"/>
      <c r="BC375" s="311"/>
      <c r="BD375" s="308">
        <v>7.856739352903E12</v>
      </c>
      <c r="BE375" s="311"/>
      <c r="BF375" s="311"/>
      <c r="BG375" s="308" t="s">
        <v>2958</v>
      </c>
      <c r="BH375" s="308">
        <v>0.0</v>
      </c>
      <c r="BI375" s="308" t="s">
        <v>2959</v>
      </c>
      <c r="BJ375" s="308">
        <v>14.61</v>
      </c>
      <c r="BK375" s="311"/>
      <c r="BL375" s="311"/>
      <c r="BM375" s="311"/>
      <c r="BN375" s="311"/>
      <c r="BO375" s="311"/>
      <c r="BP375" s="311"/>
      <c r="BQ375" s="311"/>
      <c r="BR375" s="311"/>
      <c r="BS375" s="308"/>
      <c r="BT375" s="311"/>
      <c r="BU375" s="311"/>
      <c r="BV375" s="308" t="s">
        <v>23</v>
      </c>
      <c r="BW375" s="308"/>
      <c r="BX375" s="308" t="s">
        <v>2956</v>
      </c>
      <c r="BY375" s="311"/>
      <c r="BZ375" s="311"/>
      <c r="CA375" s="308" t="s">
        <v>2956</v>
      </c>
      <c r="CB375" s="312" t="str">
        <f t="shared" si="1"/>
        <v>17/06/2026</v>
      </c>
      <c r="CC375" s="313">
        <f t="shared" si="2"/>
        <v>2026</v>
      </c>
      <c r="CD375" s="314">
        <f t="shared" si="3"/>
        <v>6</v>
      </c>
      <c r="CE375" s="314">
        <f t="shared" si="4"/>
        <v>1</v>
      </c>
      <c r="CF375" s="314">
        <f t="shared" si="5"/>
        <v>1</v>
      </c>
      <c r="CG375" s="314">
        <f t="shared" si="6"/>
        <v>-5</v>
      </c>
      <c r="CH375" s="315">
        <f>VLOOKUP(CL375,'PRODUCT_COGS&amp;PRICE'!A:E,5,false)</f>
        <v>16.5</v>
      </c>
      <c r="CI375" s="315">
        <f t="shared" si="7"/>
        <v>-1.789</v>
      </c>
      <c r="CJ375" s="316">
        <f t="shared" si="8"/>
        <v>0</v>
      </c>
      <c r="CK375" s="316">
        <f t="shared" si="9"/>
        <v>9</v>
      </c>
      <c r="CL375" s="314" t="str">
        <f>VLOOKUP(R375,PRODUCT_MAP!A:B,2,FALSE)</f>
        <v>Annie_Bag_PAILLETTES_CANDY_PINK</v>
      </c>
      <c r="CM375" s="314" t="str">
        <f>VLOOKUP(R375,PRODUCT_MAP!A:E,3,FALSE)</f>
        <v>Annie Bag</v>
      </c>
    </row>
    <row r="376" ht="22.5" customHeight="1">
      <c r="A376" s="308" t="s">
        <v>5874</v>
      </c>
      <c r="B376" s="308" t="s">
        <v>5875</v>
      </c>
      <c r="C376" s="308" t="s">
        <v>2942</v>
      </c>
      <c r="D376" s="308" t="s">
        <v>5876</v>
      </c>
      <c r="E376" s="308" t="s">
        <v>3013</v>
      </c>
      <c r="F376" s="308"/>
      <c r="G376" s="308" t="s">
        <v>2946</v>
      </c>
      <c r="H376" s="308" t="s">
        <v>2947</v>
      </c>
      <c r="I376" s="308">
        <v>108.0</v>
      </c>
      <c r="J376" s="308">
        <v>0.0</v>
      </c>
      <c r="K376" s="308">
        <v>19.48</v>
      </c>
      <c r="L376" s="308">
        <v>108.0</v>
      </c>
      <c r="M376" s="308" t="s">
        <v>3094</v>
      </c>
      <c r="N376" s="308">
        <v>12.0</v>
      </c>
      <c r="O376" s="308" t="s">
        <v>2979</v>
      </c>
      <c r="P376" s="308" t="s">
        <v>5877</v>
      </c>
      <c r="Q376" s="310">
        <v>1.0</v>
      </c>
      <c r="R376" s="308" t="s">
        <v>524</v>
      </c>
      <c r="S376" s="308">
        <v>120.0</v>
      </c>
      <c r="T376" s="311"/>
      <c r="U376" s="308" t="s">
        <v>300</v>
      </c>
      <c r="V376" s="308" t="b">
        <v>1</v>
      </c>
      <c r="W376" s="308" t="b">
        <v>1</v>
      </c>
      <c r="X376" s="308"/>
      <c r="Y376" s="308" t="s">
        <v>5878</v>
      </c>
      <c r="Z376" s="308" t="s">
        <v>5879</v>
      </c>
      <c r="AA376" s="308" t="s">
        <v>5879</v>
      </c>
      <c r="AB376" s="308"/>
      <c r="AC376" s="308"/>
      <c r="AD376" s="308" t="s">
        <v>23</v>
      </c>
      <c r="AE376" s="308">
        <v>20131.0</v>
      </c>
      <c r="AF376" s="308" t="s">
        <v>2954</v>
      </c>
      <c r="AG376" s="308" t="s">
        <v>2955</v>
      </c>
      <c r="AH376" s="308">
        <v>3.458945648E9</v>
      </c>
      <c r="AI376" s="308"/>
      <c r="AJ376" s="308"/>
      <c r="AK376" s="308"/>
      <c r="AL376" s="308"/>
      <c r="AM376" s="308"/>
      <c r="AN376" s="308"/>
      <c r="AO376" s="308"/>
      <c r="AP376" s="308"/>
      <c r="AQ376" s="308"/>
      <c r="AR376" s="308"/>
      <c r="AS376" s="311"/>
      <c r="AT376" s="311"/>
      <c r="AU376" s="311"/>
      <c r="AV376" s="308" t="s">
        <v>3009</v>
      </c>
      <c r="AW376" s="308">
        <v>4.7986660475207E13</v>
      </c>
      <c r="AX376" s="310">
        <v>0.0</v>
      </c>
      <c r="AY376" s="308" t="s">
        <v>2974</v>
      </c>
      <c r="AZ376" s="308">
        <v>0.0</v>
      </c>
      <c r="BA376" s="311"/>
      <c r="BB376" s="311"/>
      <c r="BC376" s="311"/>
      <c r="BD376" s="308">
        <v>7.865250644295E12</v>
      </c>
      <c r="BE376" s="311"/>
      <c r="BF376" s="311"/>
      <c r="BG376" s="308" t="s">
        <v>2958</v>
      </c>
      <c r="BH376" s="308">
        <v>0.0</v>
      </c>
      <c r="BI376" s="308" t="s">
        <v>2959</v>
      </c>
      <c r="BJ376" s="308">
        <v>19.48</v>
      </c>
      <c r="BK376" s="311"/>
      <c r="BL376" s="311"/>
      <c r="BM376" s="311"/>
      <c r="BN376" s="311"/>
      <c r="BO376" s="311"/>
      <c r="BP376" s="311"/>
      <c r="BQ376" s="311"/>
      <c r="BR376" s="311"/>
      <c r="BS376" s="308"/>
      <c r="BT376" s="311"/>
      <c r="BU376" s="311"/>
      <c r="BV376" s="308" t="s">
        <v>23</v>
      </c>
      <c r="BW376" s="308"/>
      <c r="BX376" s="308" t="s">
        <v>3009</v>
      </c>
      <c r="BY376" s="311"/>
      <c r="BZ376" s="311"/>
      <c r="CA376" s="308" t="s">
        <v>3009</v>
      </c>
      <c r="CB376" s="312" t="str">
        <f t="shared" si="1"/>
        <v>17/06/2026</v>
      </c>
      <c r="CC376" s="313">
        <f t="shared" si="2"/>
        <v>2026</v>
      </c>
      <c r="CD376" s="314">
        <f t="shared" si="3"/>
        <v>6</v>
      </c>
      <c r="CE376" s="314">
        <f t="shared" si="4"/>
        <v>1</v>
      </c>
      <c r="CF376" s="314">
        <f t="shared" si="5"/>
        <v>1</v>
      </c>
      <c r="CG376" s="314">
        <f t="shared" si="6"/>
        <v>-5</v>
      </c>
      <c r="CH376" s="315">
        <f>VLOOKUP(CL376,'PRODUCT_COGS&amp;PRICE'!A:E,5,false)</f>
        <v>20</v>
      </c>
      <c r="CI376" s="315">
        <f t="shared" si="7"/>
        <v>-4.1192</v>
      </c>
      <c r="CJ376" s="316">
        <f t="shared" si="8"/>
        <v>0</v>
      </c>
      <c r="CK376" s="316">
        <f t="shared" si="9"/>
        <v>12</v>
      </c>
      <c r="CL376" s="314" t="str">
        <f>VLOOKUP(R376,PRODUCT_MAP!A:B,2,FALSE)</f>
        <v>Lea_Bag_COCCO_GREEN</v>
      </c>
      <c r="CM376" s="314" t="str">
        <f>VLOOKUP(R376,PRODUCT_MAP!A:E,3,FALSE)</f>
        <v>Lea Bag</v>
      </c>
    </row>
    <row r="377" ht="22.5" customHeight="1">
      <c r="A377" s="308" t="s">
        <v>5880</v>
      </c>
      <c r="B377" s="308" t="s">
        <v>5881</v>
      </c>
      <c r="C377" s="308" t="s">
        <v>2942</v>
      </c>
      <c r="D377" s="308" t="s">
        <v>5882</v>
      </c>
      <c r="E377" s="308" t="s">
        <v>3013</v>
      </c>
      <c r="F377" s="308"/>
      <c r="G377" s="308" t="s">
        <v>2946</v>
      </c>
      <c r="H377" s="308" t="s">
        <v>2947</v>
      </c>
      <c r="I377" s="308">
        <v>63.0</v>
      </c>
      <c r="J377" s="308">
        <v>3.9</v>
      </c>
      <c r="K377" s="308">
        <v>12.06</v>
      </c>
      <c r="L377" s="308">
        <v>66.9</v>
      </c>
      <c r="M377" s="308" t="s">
        <v>3221</v>
      </c>
      <c r="N377" s="308">
        <v>7.0</v>
      </c>
      <c r="O377" s="308" t="s">
        <v>2948</v>
      </c>
      <c r="P377" s="308" t="s">
        <v>5883</v>
      </c>
      <c r="Q377" s="310">
        <v>1.0</v>
      </c>
      <c r="R377" s="308" t="s">
        <v>677</v>
      </c>
      <c r="S377" s="308">
        <v>70.0</v>
      </c>
      <c r="T377" s="311"/>
      <c r="U377" s="308" t="s">
        <v>323</v>
      </c>
      <c r="V377" s="308" t="b">
        <v>1</v>
      </c>
      <c r="W377" s="308" t="b">
        <v>1</v>
      </c>
      <c r="X377" s="308"/>
      <c r="Y377" s="308" t="s">
        <v>5884</v>
      </c>
      <c r="Z377" s="308" t="s">
        <v>5885</v>
      </c>
      <c r="AA377" s="308" t="s">
        <v>5885</v>
      </c>
      <c r="AB377" s="308"/>
      <c r="AC377" s="308"/>
      <c r="AD377" s="308" t="s">
        <v>3533</v>
      </c>
      <c r="AE377" s="308">
        <v>24126.0</v>
      </c>
      <c r="AF377" s="308" t="s">
        <v>3528</v>
      </c>
      <c r="AG377" s="308" t="s">
        <v>2955</v>
      </c>
      <c r="AH377" s="308"/>
      <c r="AI377" s="308" t="s">
        <v>5884</v>
      </c>
      <c r="AJ377" s="308" t="s">
        <v>5886</v>
      </c>
      <c r="AK377" s="308" t="s">
        <v>5886</v>
      </c>
      <c r="AL377" s="308"/>
      <c r="AM377" s="308"/>
      <c r="AN377" s="308" t="s">
        <v>3533</v>
      </c>
      <c r="AO377" s="308">
        <v>24128.0</v>
      </c>
      <c r="AP377" s="308" t="s">
        <v>3528</v>
      </c>
      <c r="AQ377" s="308" t="s">
        <v>2955</v>
      </c>
      <c r="AR377" s="308">
        <v>3.662828232E9</v>
      </c>
      <c r="AS377" s="311"/>
      <c r="AT377" s="311"/>
      <c r="AU377" s="311"/>
      <c r="AV377" s="308" t="s">
        <v>2956</v>
      </c>
      <c r="AW377" s="308">
        <v>4.7979640783175E13</v>
      </c>
      <c r="AX377" s="310">
        <v>0.0</v>
      </c>
      <c r="AY377" s="308" t="s">
        <v>5290</v>
      </c>
      <c r="AZ377" s="308">
        <v>0.0</v>
      </c>
      <c r="BA377" s="311"/>
      <c r="BB377" s="311"/>
      <c r="BC377" s="311"/>
      <c r="BD377" s="308">
        <v>7.865688195399E12</v>
      </c>
      <c r="BE377" s="311"/>
      <c r="BF377" s="311"/>
      <c r="BG377" s="308" t="s">
        <v>2958</v>
      </c>
      <c r="BH377" s="308">
        <v>0.0</v>
      </c>
      <c r="BI377" s="308" t="s">
        <v>2959</v>
      </c>
      <c r="BJ377" s="308">
        <v>11.36</v>
      </c>
      <c r="BK377" s="311"/>
      <c r="BL377" s="311"/>
      <c r="BM377" s="311"/>
      <c r="BN377" s="311"/>
      <c r="BO377" s="311"/>
      <c r="BP377" s="311"/>
      <c r="BQ377" s="311"/>
      <c r="BR377" s="311"/>
      <c r="BS377" s="308"/>
      <c r="BT377" s="311"/>
      <c r="BU377" s="311"/>
      <c r="BV377" s="308" t="s">
        <v>3533</v>
      </c>
      <c r="BW377" s="308" t="s">
        <v>3533</v>
      </c>
      <c r="BX377" s="308" t="s">
        <v>2956</v>
      </c>
      <c r="BY377" s="311"/>
      <c r="BZ377" s="311"/>
      <c r="CA377" s="308" t="s">
        <v>2956</v>
      </c>
      <c r="CB377" s="312" t="str">
        <f t="shared" si="1"/>
        <v>17/06/2026</v>
      </c>
      <c r="CC377" s="313">
        <f t="shared" si="2"/>
        <v>2026</v>
      </c>
      <c r="CD377" s="314">
        <f t="shared" si="3"/>
        <v>6</v>
      </c>
      <c r="CE377" s="314">
        <f t="shared" si="4"/>
        <v>1</v>
      </c>
      <c r="CF377" s="314">
        <f t="shared" si="5"/>
        <v>1</v>
      </c>
      <c r="CG377" s="314">
        <f t="shared" si="6"/>
        <v>0</v>
      </c>
      <c r="CH377" s="315">
        <f>VLOOKUP(CL377,'PRODUCT_COGS&amp;PRICE'!A:E,5,false)</f>
        <v>14.58</v>
      </c>
      <c r="CI377" s="315">
        <f t="shared" si="7"/>
        <v>-1.5211</v>
      </c>
      <c r="CJ377" s="316">
        <f t="shared" si="8"/>
        <v>0</v>
      </c>
      <c r="CK377" s="316">
        <f t="shared" si="9"/>
        <v>7</v>
      </c>
      <c r="CL377" s="314" t="str">
        <f>VLOOKUP(R377,PRODUCT_MAP!A:B,2,FALSE)</f>
        <v>Nina_Bag_Maxi_STRIPES_JUNGLE_GREEN</v>
      </c>
      <c r="CM377" s="314" t="str">
        <f>VLOOKUP(R377,PRODUCT_MAP!A:E,3,FALSE)</f>
        <v>Nina Bag</v>
      </c>
    </row>
    <row r="378" ht="22.5" customHeight="1">
      <c r="A378" s="308" t="s">
        <v>5887</v>
      </c>
      <c r="B378" s="308" t="s">
        <v>5888</v>
      </c>
      <c r="C378" s="308" t="s">
        <v>2942</v>
      </c>
      <c r="D378" s="308" t="s">
        <v>5889</v>
      </c>
      <c r="E378" s="308" t="s">
        <v>3013</v>
      </c>
      <c r="F378" s="308"/>
      <c r="G378" s="308" t="s">
        <v>2946</v>
      </c>
      <c r="H378" s="308" t="s">
        <v>2947</v>
      </c>
      <c r="I378" s="308">
        <v>108.0</v>
      </c>
      <c r="J378" s="308">
        <v>0.0</v>
      </c>
      <c r="K378" s="308">
        <v>19.48</v>
      </c>
      <c r="L378" s="308">
        <v>108.0</v>
      </c>
      <c r="M378" s="308" t="s">
        <v>3094</v>
      </c>
      <c r="N378" s="308">
        <v>12.0</v>
      </c>
      <c r="O378" s="308" t="s">
        <v>2948</v>
      </c>
      <c r="P378" s="308" t="s">
        <v>5890</v>
      </c>
      <c r="Q378" s="310">
        <v>1.0</v>
      </c>
      <c r="R378" s="308" t="s">
        <v>509</v>
      </c>
      <c r="S378" s="308">
        <v>120.0</v>
      </c>
      <c r="T378" s="311"/>
      <c r="U378" s="308" t="s">
        <v>161</v>
      </c>
      <c r="V378" s="308" t="b">
        <v>1</v>
      </c>
      <c r="W378" s="308" t="b">
        <v>1</v>
      </c>
      <c r="X378" s="308"/>
      <c r="Y378" s="308" t="s">
        <v>5891</v>
      </c>
      <c r="Z378" s="308" t="s">
        <v>5892</v>
      </c>
      <c r="AA378" s="308" t="s">
        <v>5892</v>
      </c>
      <c r="AB378" s="308"/>
      <c r="AC378" s="308"/>
      <c r="AD378" s="308" t="s">
        <v>5893</v>
      </c>
      <c r="AE378" s="308">
        <v>23026.0</v>
      </c>
      <c r="AF378" s="308" t="s">
        <v>5894</v>
      </c>
      <c r="AG378" s="308" t="s">
        <v>2955</v>
      </c>
      <c r="AH378" s="308">
        <v>3.343792739E9</v>
      </c>
      <c r="AI378" s="308" t="s">
        <v>5891</v>
      </c>
      <c r="AJ378" s="308" t="s">
        <v>5892</v>
      </c>
      <c r="AK378" s="308" t="s">
        <v>5892</v>
      </c>
      <c r="AL378" s="308"/>
      <c r="AM378" s="308"/>
      <c r="AN378" s="308" t="s">
        <v>5893</v>
      </c>
      <c r="AO378" s="308">
        <v>23026.0</v>
      </c>
      <c r="AP378" s="308" t="s">
        <v>5894</v>
      </c>
      <c r="AQ378" s="308" t="s">
        <v>2955</v>
      </c>
      <c r="AR378" s="308">
        <v>3.343792739E9</v>
      </c>
      <c r="AS378" s="311"/>
      <c r="AT378" s="311"/>
      <c r="AU378" s="311"/>
      <c r="AV378" s="308" t="s">
        <v>3009</v>
      </c>
      <c r="AW378" s="308">
        <v>4.7986304287047E13</v>
      </c>
      <c r="AX378" s="310">
        <v>0.0</v>
      </c>
      <c r="AY378" s="308" t="s">
        <v>2974</v>
      </c>
      <c r="AZ378" s="308">
        <v>0.0</v>
      </c>
      <c r="BA378" s="311"/>
      <c r="BB378" s="311"/>
      <c r="BC378" s="311"/>
      <c r="BD378" s="308">
        <v>7.865711755591E12</v>
      </c>
      <c r="BE378" s="311"/>
      <c r="BF378" s="311"/>
      <c r="BG378" s="308" t="s">
        <v>2958</v>
      </c>
      <c r="BH378" s="308">
        <v>0.0</v>
      </c>
      <c r="BI378" s="308" t="s">
        <v>2959</v>
      </c>
      <c r="BJ378" s="308">
        <v>19.48</v>
      </c>
      <c r="BK378" s="311"/>
      <c r="BL378" s="311"/>
      <c r="BM378" s="311"/>
      <c r="BN378" s="311"/>
      <c r="BO378" s="311"/>
      <c r="BP378" s="311"/>
      <c r="BQ378" s="311"/>
      <c r="BR378" s="311"/>
      <c r="BS378" s="308"/>
      <c r="BT378" s="311"/>
      <c r="BU378" s="311"/>
      <c r="BV378" s="308" t="s">
        <v>5895</v>
      </c>
      <c r="BW378" s="308" t="s">
        <v>5895</v>
      </c>
      <c r="BX378" s="308" t="s">
        <v>3009</v>
      </c>
      <c r="BY378" s="311"/>
      <c r="BZ378" s="311"/>
      <c r="CA378" s="308" t="s">
        <v>3009</v>
      </c>
      <c r="CB378" s="312" t="str">
        <f t="shared" si="1"/>
        <v>17/06/2026</v>
      </c>
      <c r="CC378" s="313">
        <f t="shared" si="2"/>
        <v>2026</v>
      </c>
      <c r="CD378" s="314">
        <f t="shared" si="3"/>
        <v>6</v>
      </c>
      <c r="CE378" s="314">
        <f t="shared" si="4"/>
        <v>1</v>
      </c>
      <c r="CF378" s="314">
        <f t="shared" si="5"/>
        <v>1</v>
      </c>
      <c r="CG378" s="314">
        <f t="shared" si="6"/>
        <v>-5</v>
      </c>
      <c r="CH378" s="315">
        <f>VLOOKUP(CL378,'PRODUCT_COGS&amp;PRICE'!A:E,5,false)</f>
        <v>30.33</v>
      </c>
      <c r="CI378" s="315">
        <f t="shared" si="7"/>
        <v>-4.1192</v>
      </c>
      <c r="CJ378" s="316">
        <f t="shared" si="8"/>
        <v>0</v>
      </c>
      <c r="CK378" s="316">
        <f t="shared" si="9"/>
        <v>12</v>
      </c>
      <c r="CL378" s="314" t="str">
        <f>VLOOKUP(R378,PRODUCT_MAP!A:B,2,FALSE)</f>
        <v>Lea_Bag_COCCO_BLACK</v>
      </c>
      <c r="CM378" s="314" t="str">
        <f>VLOOKUP(R378,PRODUCT_MAP!A:E,3,FALSE)</f>
        <v>Lea Bag</v>
      </c>
    </row>
    <row r="379" ht="22.5" customHeight="1">
      <c r="A379" s="308" t="s">
        <v>5896</v>
      </c>
      <c r="B379" s="308" t="s">
        <v>5897</v>
      </c>
      <c r="C379" s="308" t="s">
        <v>2942</v>
      </c>
      <c r="D379" s="308" t="s">
        <v>5898</v>
      </c>
      <c r="E379" s="308" t="s">
        <v>3013</v>
      </c>
      <c r="F379" s="308"/>
      <c r="G379" s="308" t="s">
        <v>2946</v>
      </c>
      <c r="H379" s="308" t="s">
        <v>2947</v>
      </c>
      <c r="I379" s="308">
        <v>90.0</v>
      </c>
      <c r="J379" s="308">
        <v>3.9</v>
      </c>
      <c r="K379" s="308">
        <v>16.93</v>
      </c>
      <c r="L379" s="308">
        <v>93.9</v>
      </c>
      <c r="M379" s="308" t="s">
        <v>3221</v>
      </c>
      <c r="N379" s="308">
        <v>10.0</v>
      </c>
      <c r="O379" s="308" t="s">
        <v>2948</v>
      </c>
      <c r="P379" s="308" t="s">
        <v>5899</v>
      </c>
      <c r="Q379" s="310">
        <v>1.0</v>
      </c>
      <c r="R379" s="308" t="s">
        <v>5900</v>
      </c>
      <c r="S379" s="308">
        <v>100.0</v>
      </c>
      <c r="T379" s="311"/>
      <c r="U379" s="308" t="s">
        <v>4267</v>
      </c>
      <c r="V379" s="308" t="b">
        <v>1</v>
      </c>
      <c r="W379" s="308" t="b">
        <v>1</v>
      </c>
      <c r="X379" s="308"/>
      <c r="Y379" s="308" t="s">
        <v>5901</v>
      </c>
      <c r="Z379" s="308" t="s">
        <v>5902</v>
      </c>
      <c r="AA379" s="308" t="s">
        <v>5903</v>
      </c>
      <c r="AB379" s="308" t="s">
        <v>5904</v>
      </c>
      <c r="AC379" s="308"/>
      <c r="AD379" s="308" t="s">
        <v>5905</v>
      </c>
      <c r="AE379" s="308">
        <v>46.0</v>
      </c>
      <c r="AF379" s="308" t="s">
        <v>3082</v>
      </c>
      <c r="AG379" s="308" t="s">
        <v>2955</v>
      </c>
      <c r="AH379" s="308">
        <v>3.382671906E9</v>
      </c>
      <c r="AI379" s="308" t="s">
        <v>5901</v>
      </c>
      <c r="AJ379" s="308" t="s">
        <v>5902</v>
      </c>
      <c r="AK379" s="308" t="s">
        <v>5903</v>
      </c>
      <c r="AL379" s="308" t="s">
        <v>5904</v>
      </c>
      <c r="AM379" s="308"/>
      <c r="AN379" s="308" t="s">
        <v>5905</v>
      </c>
      <c r="AO379" s="308">
        <v>46.0</v>
      </c>
      <c r="AP379" s="308" t="s">
        <v>3082</v>
      </c>
      <c r="AQ379" s="308" t="s">
        <v>2955</v>
      </c>
      <c r="AR379" s="308">
        <v>3.382671906E9</v>
      </c>
      <c r="AS379" s="311"/>
      <c r="AT379" s="311"/>
      <c r="AU379" s="311"/>
      <c r="AV379" s="308" t="s">
        <v>2956</v>
      </c>
      <c r="AW379" s="308">
        <v>4.7985803690311E13</v>
      </c>
      <c r="AX379" s="310">
        <v>0.0</v>
      </c>
      <c r="AY379" s="308" t="s">
        <v>2974</v>
      </c>
      <c r="AZ379" s="308">
        <v>0.0</v>
      </c>
      <c r="BA379" s="311"/>
      <c r="BB379" s="311"/>
      <c r="BC379" s="311"/>
      <c r="BD379" s="308">
        <v>7.865807667527E12</v>
      </c>
      <c r="BE379" s="311"/>
      <c r="BF379" s="311"/>
      <c r="BG379" s="308" t="s">
        <v>2958</v>
      </c>
      <c r="BH379" s="308">
        <v>0.0</v>
      </c>
      <c r="BI379" s="308" t="s">
        <v>2959</v>
      </c>
      <c r="BJ379" s="308">
        <v>16.23</v>
      </c>
      <c r="BK379" s="311"/>
      <c r="BL379" s="311"/>
      <c r="BM379" s="311"/>
      <c r="BN379" s="311"/>
      <c r="BO379" s="311"/>
      <c r="BP379" s="311"/>
      <c r="BQ379" s="311"/>
      <c r="BR379" s="311"/>
      <c r="BS379" s="308"/>
      <c r="BT379" s="311"/>
      <c r="BU379" s="311"/>
      <c r="BV379" s="308" t="s">
        <v>3081</v>
      </c>
      <c r="BW379" s="308" t="s">
        <v>3081</v>
      </c>
      <c r="BX379" s="308" t="s">
        <v>2956</v>
      </c>
      <c r="BY379" s="311"/>
      <c r="BZ379" s="311"/>
      <c r="CA379" s="308" t="s">
        <v>2956</v>
      </c>
      <c r="CB379" s="312" t="str">
        <f t="shared" si="1"/>
        <v>18/06/2026</v>
      </c>
      <c r="CC379" s="313">
        <f t="shared" si="2"/>
        <v>2026</v>
      </c>
      <c r="CD379" s="314">
        <f t="shared" si="3"/>
        <v>6</v>
      </c>
      <c r="CE379" s="314">
        <f t="shared" si="4"/>
        <v>1</v>
      </c>
      <c r="CF379" s="314">
        <f t="shared" si="5"/>
        <v>1</v>
      </c>
      <c r="CG379" s="314">
        <f t="shared" si="6"/>
        <v>0</v>
      </c>
      <c r="CH379" s="315">
        <f>VLOOKUP(CL379,'PRODUCT_COGS&amp;PRICE'!A:E,5,false)</f>
        <v>16.5</v>
      </c>
      <c r="CI379" s="315">
        <f t="shared" si="7"/>
        <v>-2.0341</v>
      </c>
      <c r="CJ379" s="316">
        <f t="shared" si="8"/>
        <v>0</v>
      </c>
      <c r="CK379" s="316">
        <f t="shared" si="9"/>
        <v>10</v>
      </c>
      <c r="CL379" s="314" t="str">
        <f>VLOOKUP(R379,PRODUCT_MAP!A:B,2,FALSE)</f>
        <v>Annie_Bag_PAILLETTES_NUDE</v>
      </c>
      <c r="CM379" s="314" t="str">
        <f>VLOOKUP(R379,PRODUCT_MAP!A:E,3,FALSE)</f>
        <v/>
      </c>
    </row>
    <row r="380" ht="22.5" customHeight="1">
      <c r="A380" s="308" t="s">
        <v>5906</v>
      </c>
      <c r="B380" s="308" t="s">
        <v>5907</v>
      </c>
      <c r="C380" s="308" t="s">
        <v>2942</v>
      </c>
      <c r="D380" s="308" t="s">
        <v>5908</v>
      </c>
      <c r="E380" s="308" t="s">
        <v>3013</v>
      </c>
      <c r="F380" s="308"/>
      <c r="G380" s="308" t="s">
        <v>2946</v>
      </c>
      <c r="H380" s="308" t="s">
        <v>2947</v>
      </c>
      <c r="I380" s="308">
        <v>120.0</v>
      </c>
      <c r="J380" s="308">
        <v>0.0</v>
      </c>
      <c r="K380" s="308">
        <v>21.64</v>
      </c>
      <c r="L380" s="308">
        <v>120.0</v>
      </c>
      <c r="M380" s="308"/>
      <c r="N380" s="308">
        <v>0.0</v>
      </c>
      <c r="O380" s="308" t="s">
        <v>2948</v>
      </c>
      <c r="P380" s="308" t="s">
        <v>5908</v>
      </c>
      <c r="Q380" s="310">
        <v>1.0</v>
      </c>
      <c r="R380" s="308" t="s">
        <v>519</v>
      </c>
      <c r="S380" s="308">
        <v>120.0</v>
      </c>
      <c r="T380" s="311"/>
      <c r="U380" s="308" t="s">
        <v>291</v>
      </c>
      <c r="V380" s="308" t="b">
        <v>1</v>
      </c>
      <c r="W380" s="308" t="b">
        <v>1</v>
      </c>
      <c r="X380" s="308"/>
      <c r="Y380" s="308" t="s">
        <v>5909</v>
      </c>
      <c r="Z380" s="308" t="s">
        <v>5910</v>
      </c>
      <c r="AA380" s="308" t="s">
        <v>5911</v>
      </c>
      <c r="AB380" s="308" t="s">
        <v>5912</v>
      </c>
      <c r="AC380" s="308" t="s">
        <v>5913</v>
      </c>
      <c r="AD380" s="308" t="s">
        <v>3612</v>
      </c>
      <c r="AE380" s="308">
        <v>25121.0</v>
      </c>
      <c r="AF380" s="308" t="s">
        <v>3608</v>
      </c>
      <c r="AG380" s="308" t="s">
        <v>2955</v>
      </c>
      <c r="AH380" s="308">
        <v>3.333893005E9</v>
      </c>
      <c r="AI380" s="308" t="s">
        <v>5909</v>
      </c>
      <c r="AJ380" s="308" t="s">
        <v>5910</v>
      </c>
      <c r="AK380" s="308" t="s">
        <v>5911</v>
      </c>
      <c r="AL380" s="308" t="s">
        <v>5912</v>
      </c>
      <c r="AM380" s="308" t="s">
        <v>5913</v>
      </c>
      <c r="AN380" s="308" t="s">
        <v>3612</v>
      </c>
      <c r="AO380" s="308">
        <v>25121.0</v>
      </c>
      <c r="AP380" s="308" t="s">
        <v>3608</v>
      </c>
      <c r="AQ380" s="308" t="s">
        <v>2955</v>
      </c>
      <c r="AR380" s="308">
        <v>3.333893005E9</v>
      </c>
      <c r="AS380" s="311"/>
      <c r="AT380" s="311"/>
      <c r="AU380" s="311"/>
      <c r="AV380" s="308" t="s">
        <v>3009</v>
      </c>
      <c r="AW380" s="308">
        <v>4.7986737152327E13</v>
      </c>
      <c r="AX380" s="310">
        <v>0.0</v>
      </c>
      <c r="AY380" s="308" t="s">
        <v>2974</v>
      </c>
      <c r="AZ380" s="308">
        <v>0.0</v>
      </c>
      <c r="BA380" s="311"/>
      <c r="BB380" s="311"/>
      <c r="BC380" s="311"/>
      <c r="BD380" s="308">
        <v>7.867329839431E12</v>
      </c>
      <c r="BE380" s="311"/>
      <c r="BF380" s="311"/>
      <c r="BG380" s="308" t="s">
        <v>2958</v>
      </c>
      <c r="BH380" s="308">
        <v>0.0</v>
      </c>
      <c r="BI380" s="308" t="s">
        <v>2959</v>
      </c>
      <c r="BJ380" s="308">
        <v>21.64</v>
      </c>
      <c r="BK380" s="311"/>
      <c r="BL380" s="311"/>
      <c r="BM380" s="311"/>
      <c r="BN380" s="311"/>
      <c r="BO380" s="311"/>
      <c r="BP380" s="311"/>
      <c r="BQ380" s="311"/>
      <c r="BR380" s="311"/>
      <c r="BS380" s="308"/>
      <c r="BT380" s="311"/>
      <c r="BU380" s="311"/>
      <c r="BV380" s="308" t="s">
        <v>3612</v>
      </c>
      <c r="BW380" s="308" t="s">
        <v>3612</v>
      </c>
      <c r="BX380" s="308" t="s">
        <v>3009</v>
      </c>
      <c r="BY380" s="311"/>
      <c r="BZ380" s="311"/>
      <c r="CA380" s="308" t="s">
        <v>3009</v>
      </c>
      <c r="CB380" s="312" t="str">
        <f t="shared" si="1"/>
        <v>18/06/2026</v>
      </c>
      <c r="CC380" s="313">
        <f t="shared" si="2"/>
        <v>2026</v>
      </c>
      <c r="CD380" s="314">
        <f t="shared" si="3"/>
        <v>6</v>
      </c>
      <c r="CE380" s="314">
        <f t="shared" si="4"/>
        <v>1</v>
      </c>
      <c r="CF380" s="314">
        <f t="shared" si="5"/>
        <v>1</v>
      </c>
      <c r="CG380" s="314">
        <f t="shared" si="6"/>
        <v>-5</v>
      </c>
      <c r="CH380" s="315">
        <f>VLOOKUP(CL380,'PRODUCT_COGS&amp;PRICE'!A:E,5,false)</f>
        <v>20</v>
      </c>
      <c r="CI380" s="315">
        <f t="shared" si="7"/>
        <v>-4.538</v>
      </c>
      <c r="CJ380" s="316">
        <f t="shared" si="8"/>
        <v>0</v>
      </c>
      <c r="CK380" s="316">
        <f t="shared" si="9"/>
        <v>0</v>
      </c>
      <c r="CL380" s="314" t="str">
        <f>VLOOKUP(R380,PRODUCT_MAP!A:B,2,FALSE)</f>
        <v>Lea_Bag_COCCO_BEIGE</v>
      </c>
      <c r="CM380" s="314" t="str">
        <f>VLOOKUP(R380,PRODUCT_MAP!A:E,3,FALSE)</f>
        <v>Lea Bag</v>
      </c>
    </row>
    <row r="381" ht="22.5" customHeight="1">
      <c r="A381" s="308" t="s">
        <v>5914</v>
      </c>
      <c r="B381" s="308" t="s">
        <v>5915</v>
      </c>
      <c r="C381" s="308" t="s">
        <v>2942</v>
      </c>
      <c r="D381" s="308" t="s">
        <v>5916</v>
      </c>
      <c r="E381" s="308" t="s">
        <v>3013</v>
      </c>
      <c r="F381" s="308"/>
      <c r="G381" s="308" t="s">
        <v>2946</v>
      </c>
      <c r="H381" s="308" t="s">
        <v>2947</v>
      </c>
      <c r="I381" s="308">
        <v>90.0</v>
      </c>
      <c r="J381" s="308">
        <v>3.9</v>
      </c>
      <c r="K381" s="308">
        <v>16.93</v>
      </c>
      <c r="L381" s="308">
        <v>93.9</v>
      </c>
      <c r="M381" s="308"/>
      <c r="N381" s="308">
        <v>0.0</v>
      </c>
      <c r="O381" s="308" t="s">
        <v>2948</v>
      </c>
      <c r="P381" s="308" t="s">
        <v>5917</v>
      </c>
      <c r="Q381" s="310">
        <v>1.0</v>
      </c>
      <c r="R381" s="308" t="s">
        <v>5852</v>
      </c>
      <c r="S381" s="308">
        <v>90.0</v>
      </c>
      <c r="T381" s="311"/>
      <c r="U381" s="308" t="s">
        <v>4221</v>
      </c>
      <c r="V381" s="308" t="b">
        <v>1</v>
      </c>
      <c r="W381" s="308" t="b">
        <v>1</v>
      </c>
      <c r="X381" s="308"/>
      <c r="Y381" s="308" t="s">
        <v>5918</v>
      </c>
      <c r="Z381" s="308" t="s">
        <v>5919</v>
      </c>
      <c r="AA381" s="308" t="s">
        <v>5919</v>
      </c>
      <c r="AB381" s="308"/>
      <c r="AC381" s="308"/>
      <c r="AD381" s="308" t="s">
        <v>3344</v>
      </c>
      <c r="AE381" s="308">
        <v>19123.0</v>
      </c>
      <c r="AF381" s="308" t="s">
        <v>3343</v>
      </c>
      <c r="AG381" s="308" t="s">
        <v>2955</v>
      </c>
      <c r="AH381" s="308">
        <v>3.428683305E9</v>
      </c>
      <c r="AI381" s="308" t="s">
        <v>5918</v>
      </c>
      <c r="AJ381" s="308" t="s">
        <v>5919</v>
      </c>
      <c r="AK381" s="308" t="s">
        <v>5919</v>
      </c>
      <c r="AL381" s="308"/>
      <c r="AM381" s="308"/>
      <c r="AN381" s="308" t="s">
        <v>3344</v>
      </c>
      <c r="AO381" s="308">
        <v>19123.0</v>
      </c>
      <c r="AP381" s="308" t="s">
        <v>3343</v>
      </c>
      <c r="AQ381" s="308" t="s">
        <v>2955</v>
      </c>
      <c r="AR381" s="308">
        <v>3.428683305E9</v>
      </c>
      <c r="AS381" s="311"/>
      <c r="AT381" s="311"/>
      <c r="AU381" s="311"/>
      <c r="AV381" s="308" t="s">
        <v>3009</v>
      </c>
      <c r="AW381" s="308">
        <v>4.7989738602823E13</v>
      </c>
      <c r="AX381" s="310">
        <v>0.0</v>
      </c>
      <c r="AY381" s="308" t="s">
        <v>2974</v>
      </c>
      <c r="AZ381" s="308">
        <v>0.0</v>
      </c>
      <c r="BA381" s="311"/>
      <c r="BB381" s="311"/>
      <c r="BC381" s="311"/>
      <c r="BD381" s="308">
        <v>7.867609350471E12</v>
      </c>
      <c r="BE381" s="311"/>
      <c r="BF381" s="311"/>
      <c r="BG381" s="308" t="s">
        <v>2958</v>
      </c>
      <c r="BH381" s="308">
        <v>0.0</v>
      </c>
      <c r="BI381" s="308" t="s">
        <v>2959</v>
      </c>
      <c r="BJ381" s="308">
        <v>16.23</v>
      </c>
      <c r="BK381" s="311"/>
      <c r="BL381" s="311"/>
      <c r="BM381" s="311"/>
      <c r="BN381" s="311"/>
      <c r="BO381" s="311"/>
      <c r="BP381" s="311"/>
      <c r="BQ381" s="311"/>
      <c r="BR381" s="311"/>
      <c r="BS381" s="318" t="s">
        <v>5920</v>
      </c>
      <c r="BT381" s="311"/>
      <c r="BU381" s="311"/>
      <c r="BV381" s="308" t="s">
        <v>3344</v>
      </c>
      <c r="BW381" s="308" t="s">
        <v>3344</v>
      </c>
      <c r="BX381" s="308" t="s">
        <v>3009</v>
      </c>
      <c r="BY381" s="311"/>
      <c r="BZ381" s="311"/>
      <c r="CA381" s="308" t="s">
        <v>3009</v>
      </c>
      <c r="CB381" s="312" t="str">
        <f t="shared" si="1"/>
        <v>18/06/2026</v>
      </c>
      <c r="CC381" s="313">
        <f t="shared" si="2"/>
        <v>2026</v>
      </c>
      <c r="CD381" s="314">
        <f t="shared" si="3"/>
        <v>6</v>
      </c>
      <c r="CE381" s="314">
        <f t="shared" si="4"/>
        <v>1</v>
      </c>
      <c r="CF381" s="314">
        <f t="shared" si="5"/>
        <v>1</v>
      </c>
      <c r="CG381" s="314">
        <f t="shared" si="6"/>
        <v>0</v>
      </c>
      <c r="CH381" s="315">
        <f>VLOOKUP(CL381,'PRODUCT_COGS&amp;PRICE'!A:E,5,false)</f>
        <v>16.5</v>
      </c>
      <c r="CI381" s="315">
        <f t="shared" si="7"/>
        <v>-3.62711</v>
      </c>
      <c r="CJ381" s="316">
        <f t="shared" si="8"/>
        <v>0</v>
      </c>
      <c r="CK381" s="316">
        <f t="shared" si="9"/>
        <v>0</v>
      </c>
      <c r="CL381" s="314" t="str">
        <f>VLOOKUP(R381,PRODUCT_MAP!A:B,2,FALSE)</f>
        <v>Annie_Bag_PAILLETTES_NUDE</v>
      </c>
      <c r="CM381" s="314" t="str">
        <f>VLOOKUP(R381,PRODUCT_MAP!A:E,3,FALSE)</f>
        <v>Agata Bag</v>
      </c>
    </row>
    <row r="382" ht="22.5" customHeight="1">
      <c r="A382" s="308" t="s">
        <v>5921</v>
      </c>
      <c r="B382" s="308" t="s">
        <v>5922</v>
      </c>
      <c r="C382" s="308" t="s">
        <v>2942</v>
      </c>
      <c r="D382" s="308" t="s">
        <v>5923</v>
      </c>
      <c r="E382" s="308" t="s">
        <v>3013</v>
      </c>
      <c r="F382" s="308"/>
      <c r="G382" s="308" t="s">
        <v>2946</v>
      </c>
      <c r="H382" s="308" t="s">
        <v>2947</v>
      </c>
      <c r="I382" s="308">
        <v>72.0</v>
      </c>
      <c r="J382" s="308">
        <v>3.9</v>
      </c>
      <c r="K382" s="308">
        <v>13.68</v>
      </c>
      <c r="L382" s="308">
        <v>75.9</v>
      </c>
      <c r="M382" s="308" t="s">
        <v>3094</v>
      </c>
      <c r="N382" s="308">
        <v>8.0</v>
      </c>
      <c r="O382" s="308" t="s">
        <v>2948</v>
      </c>
      <c r="P382" s="308" t="s">
        <v>5924</v>
      </c>
      <c r="Q382" s="310">
        <v>1.0</v>
      </c>
      <c r="R382" s="308" t="s">
        <v>4367</v>
      </c>
      <c r="S382" s="308">
        <v>80.0</v>
      </c>
      <c r="T382" s="311"/>
      <c r="U382" s="308" t="s">
        <v>5295</v>
      </c>
      <c r="V382" s="308" t="b">
        <v>1</v>
      </c>
      <c r="W382" s="308" t="b">
        <v>1</v>
      </c>
      <c r="X382" s="308"/>
      <c r="Y382" s="308" t="s">
        <v>5925</v>
      </c>
      <c r="Z382" s="308" t="s">
        <v>5926</v>
      </c>
      <c r="AA382" s="308" t="s">
        <v>5926</v>
      </c>
      <c r="AB382" s="308"/>
      <c r="AC382" s="308"/>
      <c r="AD382" s="308" t="s">
        <v>5927</v>
      </c>
      <c r="AE382" s="308">
        <v>31020.0</v>
      </c>
      <c r="AF382" s="308" t="s">
        <v>2995</v>
      </c>
      <c r="AG382" s="308" t="s">
        <v>2955</v>
      </c>
      <c r="AH382" s="308">
        <v>3.4817174E9</v>
      </c>
      <c r="AI382" s="308" t="s">
        <v>5925</v>
      </c>
      <c r="AJ382" s="308" t="s">
        <v>5926</v>
      </c>
      <c r="AK382" s="308" t="s">
        <v>5926</v>
      </c>
      <c r="AL382" s="308"/>
      <c r="AM382" s="308"/>
      <c r="AN382" s="308" t="s">
        <v>5927</v>
      </c>
      <c r="AO382" s="308">
        <v>31020.0</v>
      </c>
      <c r="AP382" s="308" t="s">
        <v>2995</v>
      </c>
      <c r="AQ382" s="308" t="s">
        <v>2955</v>
      </c>
      <c r="AR382" s="308">
        <v>3.4817174E9</v>
      </c>
      <c r="AS382" s="311"/>
      <c r="AT382" s="311"/>
      <c r="AU382" s="311"/>
      <c r="AV382" s="308" t="s">
        <v>3009</v>
      </c>
      <c r="AW382" s="308">
        <v>4.7990864445767E13</v>
      </c>
      <c r="AX382" s="310">
        <v>0.0</v>
      </c>
      <c r="AY382" s="308" t="s">
        <v>2974</v>
      </c>
      <c r="AZ382" s="308">
        <v>0.0</v>
      </c>
      <c r="BA382" s="311"/>
      <c r="BB382" s="311"/>
      <c r="BC382" s="311"/>
      <c r="BD382" s="308">
        <v>7.868487336263E12</v>
      </c>
      <c r="BE382" s="311"/>
      <c r="BF382" s="311"/>
      <c r="BG382" s="308" t="s">
        <v>2958</v>
      </c>
      <c r="BH382" s="308">
        <v>0.0</v>
      </c>
      <c r="BI382" s="308" t="s">
        <v>2959</v>
      </c>
      <c r="BJ382" s="308">
        <v>12.98</v>
      </c>
      <c r="BK382" s="311"/>
      <c r="BL382" s="311"/>
      <c r="BM382" s="311"/>
      <c r="BN382" s="311"/>
      <c r="BO382" s="311"/>
      <c r="BP382" s="311"/>
      <c r="BQ382" s="311"/>
      <c r="BR382" s="311"/>
      <c r="BS382" s="308"/>
      <c r="BT382" s="311"/>
      <c r="BU382" s="311"/>
      <c r="BV382" s="308" t="s">
        <v>2994</v>
      </c>
      <c r="BW382" s="308" t="s">
        <v>2994</v>
      </c>
      <c r="BX382" s="308" t="s">
        <v>3009</v>
      </c>
      <c r="BY382" s="311"/>
      <c r="BZ382" s="311"/>
      <c r="CA382" s="308" t="s">
        <v>3009</v>
      </c>
      <c r="CB382" s="312" t="str">
        <f t="shared" si="1"/>
        <v>18/06/2026</v>
      </c>
      <c r="CC382" s="313">
        <f t="shared" si="2"/>
        <v>2026</v>
      </c>
      <c r="CD382" s="314">
        <f t="shared" si="3"/>
        <v>6</v>
      </c>
      <c r="CE382" s="314">
        <f t="shared" si="4"/>
        <v>1</v>
      </c>
      <c r="CF382" s="314">
        <f t="shared" si="5"/>
        <v>1</v>
      </c>
      <c r="CG382" s="314">
        <f t="shared" si="6"/>
        <v>0</v>
      </c>
      <c r="CH382" s="315">
        <f>VLOOKUP(CL382,'PRODUCT_COGS&amp;PRICE'!A:E,5,false)</f>
        <v>19</v>
      </c>
      <c r="CI382" s="315">
        <f t="shared" si="7"/>
        <v>-2.99891</v>
      </c>
      <c r="CJ382" s="316">
        <f t="shared" si="8"/>
        <v>0</v>
      </c>
      <c r="CK382" s="316">
        <f t="shared" si="9"/>
        <v>8</v>
      </c>
      <c r="CL382" s="314" t="str">
        <f>VLOOKUP(R382,PRODUCT_MAP!A:B,2,FALSE)</f>
        <v>Agata_Bag_ROSE_BLUE</v>
      </c>
      <c r="CM382" s="314" t="str">
        <f>VLOOKUP(R382,PRODUCT_MAP!A:E,3,FALSE)</f>
        <v>Agata Bag</v>
      </c>
    </row>
    <row r="383" ht="22.5" customHeight="1">
      <c r="A383" s="308" t="s">
        <v>5928</v>
      </c>
      <c r="B383" s="308" t="s">
        <v>5929</v>
      </c>
      <c r="C383" s="308" t="s">
        <v>4329</v>
      </c>
      <c r="D383" s="308" t="s">
        <v>5930</v>
      </c>
      <c r="E383" s="308" t="s">
        <v>3013</v>
      </c>
      <c r="F383" s="308"/>
      <c r="G383" s="308" t="s">
        <v>2946</v>
      </c>
      <c r="H383" s="308" t="s">
        <v>2947</v>
      </c>
      <c r="I383" s="308">
        <v>108.0</v>
      </c>
      <c r="J383" s="308">
        <v>0.0</v>
      </c>
      <c r="K383" s="308">
        <v>19.48</v>
      </c>
      <c r="L383" s="308">
        <v>108.0</v>
      </c>
      <c r="M383" s="308" t="s">
        <v>3094</v>
      </c>
      <c r="N383" s="308">
        <v>12.0</v>
      </c>
      <c r="O383" s="308" t="s">
        <v>2948</v>
      </c>
      <c r="P383" s="308" t="s">
        <v>5931</v>
      </c>
      <c r="Q383" s="310">
        <v>1.0</v>
      </c>
      <c r="R383" s="308" t="s">
        <v>590</v>
      </c>
      <c r="S383" s="308">
        <v>120.0</v>
      </c>
      <c r="T383" s="311"/>
      <c r="U383" s="308" t="s">
        <v>5932</v>
      </c>
      <c r="V383" s="308" t="b">
        <v>1</v>
      </c>
      <c r="W383" s="308" t="b">
        <v>1</v>
      </c>
      <c r="X383" s="308"/>
      <c r="Y383" s="308" t="s">
        <v>5933</v>
      </c>
      <c r="Z383" s="308" t="s">
        <v>5934</v>
      </c>
      <c r="AA383" s="308" t="s">
        <v>5935</v>
      </c>
      <c r="AB383" s="308" t="s">
        <v>5936</v>
      </c>
      <c r="AC383" s="308"/>
      <c r="AD383" s="308" t="s">
        <v>23</v>
      </c>
      <c r="AE383" s="308">
        <v>20131.0</v>
      </c>
      <c r="AF383" s="308" t="s">
        <v>2954</v>
      </c>
      <c r="AG383" s="308" t="s">
        <v>2955</v>
      </c>
      <c r="AH383" s="318" t="s">
        <v>5937</v>
      </c>
      <c r="AI383" s="308" t="s">
        <v>5933</v>
      </c>
      <c r="AJ383" s="308" t="s">
        <v>5934</v>
      </c>
      <c r="AK383" s="308" t="s">
        <v>5935</v>
      </c>
      <c r="AL383" s="308" t="s">
        <v>5936</v>
      </c>
      <c r="AM383" s="308"/>
      <c r="AN383" s="308" t="s">
        <v>23</v>
      </c>
      <c r="AO383" s="308">
        <v>20131.0</v>
      </c>
      <c r="AP383" s="308" t="s">
        <v>2954</v>
      </c>
      <c r="AQ383" s="308" t="s">
        <v>2955</v>
      </c>
      <c r="AR383" s="318" t="s">
        <v>5937</v>
      </c>
      <c r="AS383" s="311"/>
      <c r="AT383" s="311"/>
      <c r="AU383" s="311"/>
      <c r="AV383" s="308" t="s">
        <v>2956</v>
      </c>
      <c r="AW383" s="308">
        <v>4.7993326338375E13</v>
      </c>
      <c r="AX383" s="310">
        <v>108.0</v>
      </c>
      <c r="AY383" s="308" t="s">
        <v>2974</v>
      </c>
      <c r="AZ383" s="308">
        <v>0.0</v>
      </c>
      <c r="BA383" s="311"/>
      <c r="BB383" s="311"/>
      <c r="BC383" s="311"/>
      <c r="BD383" s="308">
        <v>7.869668262215E12</v>
      </c>
      <c r="BE383" s="311"/>
      <c r="BF383" s="311"/>
      <c r="BG383" s="308" t="s">
        <v>2958</v>
      </c>
      <c r="BH383" s="308">
        <v>0.0</v>
      </c>
      <c r="BI383" s="308" t="s">
        <v>2959</v>
      </c>
      <c r="BJ383" s="308">
        <v>19.48</v>
      </c>
      <c r="BK383" s="311"/>
      <c r="BL383" s="311"/>
      <c r="BM383" s="311"/>
      <c r="BN383" s="311"/>
      <c r="BO383" s="311"/>
      <c r="BP383" s="311"/>
      <c r="BQ383" s="311"/>
      <c r="BR383" s="311"/>
      <c r="BS383" s="308"/>
      <c r="BT383" s="311"/>
      <c r="BU383" s="311"/>
      <c r="BV383" s="308" t="s">
        <v>23</v>
      </c>
      <c r="BW383" s="308" t="s">
        <v>23</v>
      </c>
      <c r="BX383" s="308" t="s">
        <v>2956</v>
      </c>
      <c r="BY383" s="311"/>
      <c r="BZ383" s="311"/>
      <c r="CA383" s="308" t="s">
        <v>2956</v>
      </c>
      <c r="CB383" s="312" t="str">
        <f t="shared" si="1"/>
        <v>19/06/2026</v>
      </c>
      <c r="CC383" s="313">
        <f t="shared" si="2"/>
        <v>2026</v>
      </c>
      <c r="CD383" s="314">
        <f t="shared" si="3"/>
        <v>6</v>
      </c>
      <c r="CE383" s="314">
        <f t="shared" si="4"/>
        <v>0</v>
      </c>
      <c r="CF383" s="314">
        <f t="shared" si="5"/>
        <v>0</v>
      </c>
      <c r="CG383" s="314">
        <f t="shared" si="6"/>
        <v>0</v>
      </c>
      <c r="CH383" s="315">
        <f>VLOOKUP(CL383,'PRODUCT_COGS&amp;PRICE'!A:E,5,false)</f>
        <v>26</v>
      </c>
      <c r="CI383" s="315">
        <f t="shared" si="7"/>
        <v>-2.302</v>
      </c>
      <c r="CJ383" s="316">
        <f t="shared" si="8"/>
        <v>0</v>
      </c>
      <c r="CK383" s="316">
        <f t="shared" si="9"/>
        <v>12</v>
      </c>
      <c r="CL383" s="314" t="str">
        <f>VLOOKUP(R383,PRODUCT_MAP!A:B,2,FALSE)</f>
        <v>Maria_Bag_BURRO_PIERCING</v>
      </c>
      <c r="CM383" s="314" t="str">
        <f>VLOOKUP(R383,PRODUCT_MAP!A:E,3,FALSE)</f>
        <v>Maria bag</v>
      </c>
    </row>
    <row r="384" ht="22.5" customHeight="1">
      <c r="A384" s="308" t="s">
        <v>5938</v>
      </c>
      <c r="B384" s="308" t="s">
        <v>5939</v>
      </c>
      <c r="C384" s="308" t="s">
        <v>2942</v>
      </c>
      <c r="D384" s="308" t="s">
        <v>5940</v>
      </c>
      <c r="E384" s="308" t="s">
        <v>3013</v>
      </c>
      <c r="F384" s="308"/>
      <c r="G384" s="308" t="s">
        <v>2946</v>
      </c>
      <c r="H384" s="308" t="s">
        <v>2947</v>
      </c>
      <c r="I384" s="308">
        <v>85.5</v>
      </c>
      <c r="J384" s="308">
        <v>3.9</v>
      </c>
      <c r="K384" s="308">
        <v>16.11</v>
      </c>
      <c r="L384" s="308">
        <v>89.4</v>
      </c>
      <c r="M384" s="308" t="s">
        <v>3094</v>
      </c>
      <c r="N384" s="308">
        <v>9.5</v>
      </c>
      <c r="O384" s="308" t="s">
        <v>2948</v>
      </c>
      <c r="P384" s="308" t="s">
        <v>5941</v>
      </c>
      <c r="Q384" s="310">
        <v>1.0</v>
      </c>
      <c r="R384" s="308" t="s">
        <v>485</v>
      </c>
      <c r="S384" s="308">
        <v>45.0</v>
      </c>
      <c r="T384" s="311"/>
      <c r="U384" s="308" t="s">
        <v>377</v>
      </c>
      <c r="V384" s="308" t="b">
        <v>1</v>
      </c>
      <c r="W384" s="308" t="b">
        <v>1</v>
      </c>
      <c r="X384" s="308"/>
      <c r="Y384" s="308" t="s">
        <v>5942</v>
      </c>
      <c r="Z384" s="308" t="s">
        <v>5943</v>
      </c>
      <c r="AA384" s="308" t="s">
        <v>5943</v>
      </c>
      <c r="AB384" s="308"/>
      <c r="AC384" s="308"/>
      <c r="AD384" s="308" t="s">
        <v>23</v>
      </c>
      <c r="AE384" s="308">
        <v>20133.0</v>
      </c>
      <c r="AF384" s="308" t="s">
        <v>2954</v>
      </c>
      <c r="AG384" s="308" t="s">
        <v>2955</v>
      </c>
      <c r="AH384" s="308"/>
      <c r="AI384" s="308" t="s">
        <v>5942</v>
      </c>
      <c r="AJ384" s="308" t="s">
        <v>5944</v>
      </c>
      <c r="AK384" s="308" t="s">
        <v>5943</v>
      </c>
      <c r="AL384" s="308" t="s">
        <v>5945</v>
      </c>
      <c r="AM384" s="308"/>
      <c r="AN384" s="308" t="s">
        <v>23</v>
      </c>
      <c r="AO384" s="308">
        <v>20133.0</v>
      </c>
      <c r="AP384" s="308" t="s">
        <v>2954</v>
      </c>
      <c r="AQ384" s="308" t="s">
        <v>2955</v>
      </c>
      <c r="AR384" s="308">
        <v>3.93347026176E11</v>
      </c>
      <c r="AS384" s="311"/>
      <c r="AT384" s="311"/>
      <c r="AU384" s="311"/>
      <c r="AV384" s="308" t="s">
        <v>2956</v>
      </c>
      <c r="AW384" s="308">
        <v>4.7993467732295E13</v>
      </c>
      <c r="AX384" s="310">
        <v>0.0</v>
      </c>
      <c r="AY384" s="308" t="s">
        <v>5290</v>
      </c>
      <c r="AZ384" s="308">
        <v>0.0</v>
      </c>
      <c r="BA384" s="311"/>
      <c r="BB384" s="311"/>
      <c r="BC384" s="311"/>
      <c r="BD384" s="308">
        <v>7.869738713415E12</v>
      </c>
      <c r="BE384" s="311"/>
      <c r="BF384" s="311"/>
      <c r="BG384" s="308" t="s">
        <v>2958</v>
      </c>
      <c r="BH384" s="308">
        <v>0.0</v>
      </c>
      <c r="BI384" s="308" t="s">
        <v>2959</v>
      </c>
      <c r="BJ384" s="308">
        <v>7.3</v>
      </c>
      <c r="BK384" s="311"/>
      <c r="BL384" s="311"/>
      <c r="BM384" s="311"/>
      <c r="BN384" s="311"/>
      <c r="BO384" s="311"/>
      <c r="BP384" s="311"/>
      <c r="BQ384" s="311"/>
      <c r="BR384" s="311"/>
      <c r="BS384" s="308"/>
      <c r="BT384" s="311"/>
      <c r="BU384" s="311"/>
      <c r="BV384" s="308" t="s">
        <v>23</v>
      </c>
      <c r="BW384" s="308" t="s">
        <v>23</v>
      </c>
      <c r="BX384" s="308" t="s">
        <v>2956</v>
      </c>
      <c r="BY384" s="311"/>
      <c r="BZ384" s="311"/>
      <c r="CA384" s="308" t="s">
        <v>2956</v>
      </c>
      <c r="CB384" s="312" t="str">
        <f t="shared" si="1"/>
        <v>19/06/2026</v>
      </c>
      <c r="CC384" s="313">
        <f t="shared" si="2"/>
        <v>2026</v>
      </c>
      <c r="CD384" s="314">
        <f t="shared" si="3"/>
        <v>6</v>
      </c>
      <c r="CE384" s="314">
        <f t="shared" si="4"/>
        <v>1</v>
      </c>
      <c r="CF384" s="314">
        <f t="shared" si="5"/>
        <v>1</v>
      </c>
      <c r="CG384" s="314">
        <f t="shared" si="6"/>
        <v>0</v>
      </c>
      <c r="CH384" s="315">
        <f>VLOOKUP(CL384,'PRODUCT_COGS&amp;PRICE'!A:E,5,false)</f>
        <v>10.24</v>
      </c>
      <c r="CI384" s="315">
        <f t="shared" si="7"/>
        <v>-3.6472</v>
      </c>
      <c r="CJ384" s="316">
        <f t="shared" si="8"/>
        <v>0</v>
      </c>
      <c r="CK384" s="316">
        <f t="shared" si="9"/>
        <v>9.5</v>
      </c>
      <c r="CL384" s="314" t="str">
        <f>VLOOKUP(R384,PRODUCT_MAP!A:B,2,FALSE)</f>
        <v>Laptop_Cover_26X37_STRIPES_FOREST_GREEN</v>
      </c>
      <c r="CM384" s="314" t="str">
        <f>VLOOKUP(R384,PRODUCT_MAP!A:E,3,FALSE)</f>
        <v>Laptop Cover</v>
      </c>
    </row>
    <row r="385" ht="22.5" customHeight="1">
      <c r="A385" s="308" t="s">
        <v>5938</v>
      </c>
      <c r="B385" s="308" t="s">
        <v>5939</v>
      </c>
      <c r="C385" s="308" t="s">
        <v>2942</v>
      </c>
      <c r="D385" s="308" t="s">
        <v>5940</v>
      </c>
      <c r="E385" s="308" t="s">
        <v>3013</v>
      </c>
      <c r="F385" s="308"/>
      <c r="G385" s="308" t="s">
        <v>2946</v>
      </c>
      <c r="H385" s="308" t="s">
        <v>2947</v>
      </c>
      <c r="I385" s="308">
        <v>85.5</v>
      </c>
      <c r="J385" s="308">
        <v>3.9</v>
      </c>
      <c r="K385" s="308">
        <v>16.11</v>
      </c>
      <c r="L385" s="308">
        <v>89.4</v>
      </c>
      <c r="M385" s="308" t="s">
        <v>3094</v>
      </c>
      <c r="N385" s="308">
        <v>9.5</v>
      </c>
      <c r="O385" s="308" t="s">
        <v>2948</v>
      </c>
      <c r="P385" s="308" t="s">
        <v>5941</v>
      </c>
      <c r="Q385" s="310">
        <v>1.0</v>
      </c>
      <c r="R385" s="308" t="s">
        <v>662</v>
      </c>
      <c r="S385" s="308">
        <v>50.0</v>
      </c>
      <c r="T385" s="311"/>
      <c r="U385" s="308" t="s">
        <v>314</v>
      </c>
      <c r="V385" s="308" t="b">
        <v>1</v>
      </c>
      <c r="W385" s="308" t="b">
        <v>1</v>
      </c>
      <c r="X385" s="308"/>
      <c r="Y385" s="308" t="s">
        <v>5942</v>
      </c>
      <c r="Z385" s="308" t="s">
        <v>5943</v>
      </c>
      <c r="AA385" s="308" t="s">
        <v>5943</v>
      </c>
      <c r="AB385" s="308"/>
      <c r="AC385" s="308"/>
      <c r="AD385" s="308" t="s">
        <v>23</v>
      </c>
      <c r="AE385" s="308">
        <v>20133.0</v>
      </c>
      <c r="AF385" s="308" t="s">
        <v>2954</v>
      </c>
      <c r="AG385" s="308" t="s">
        <v>2955</v>
      </c>
      <c r="AH385" s="308"/>
      <c r="AI385" s="308" t="s">
        <v>5942</v>
      </c>
      <c r="AJ385" s="308" t="s">
        <v>5944</v>
      </c>
      <c r="AK385" s="308" t="s">
        <v>5943</v>
      </c>
      <c r="AL385" s="308" t="s">
        <v>5945</v>
      </c>
      <c r="AM385" s="308"/>
      <c r="AN385" s="308" t="s">
        <v>23</v>
      </c>
      <c r="AO385" s="308">
        <v>20133.0</v>
      </c>
      <c r="AP385" s="308" t="s">
        <v>2954</v>
      </c>
      <c r="AQ385" s="308" t="s">
        <v>2955</v>
      </c>
      <c r="AR385" s="308">
        <v>3.93347026176E11</v>
      </c>
      <c r="AS385" s="311"/>
      <c r="AT385" s="311"/>
      <c r="AU385" s="311"/>
      <c r="AV385" s="308" t="s">
        <v>2956</v>
      </c>
      <c r="AW385" s="308">
        <v>4.7993467732295E13</v>
      </c>
      <c r="AX385" s="310">
        <v>0.0</v>
      </c>
      <c r="AY385" s="308" t="s">
        <v>5290</v>
      </c>
      <c r="AZ385" s="308">
        <v>0.0</v>
      </c>
      <c r="BA385" s="311"/>
      <c r="BB385" s="311"/>
      <c r="BC385" s="311"/>
      <c r="BD385" s="308">
        <v>7.869738713415E12</v>
      </c>
      <c r="BE385" s="311"/>
      <c r="BF385" s="311"/>
      <c r="BG385" s="308" t="s">
        <v>2958</v>
      </c>
      <c r="BH385" s="308">
        <v>0.0</v>
      </c>
      <c r="BI385" s="308" t="s">
        <v>2959</v>
      </c>
      <c r="BJ385" s="308">
        <v>8.11</v>
      </c>
      <c r="BK385" s="311"/>
      <c r="BL385" s="311"/>
      <c r="BM385" s="311"/>
      <c r="BN385" s="311"/>
      <c r="BO385" s="311"/>
      <c r="BP385" s="311"/>
      <c r="BQ385" s="311"/>
      <c r="BR385" s="311"/>
      <c r="BS385" s="308"/>
      <c r="BT385" s="311"/>
      <c r="BU385" s="311"/>
      <c r="BV385" s="308" t="s">
        <v>23</v>
      </c>
      <c r="BW385" s="308" t="s">
        <v>23</v>
      </c>
      <c r="BX385" s="308" t="s">
        <v>2956</v>
      </c>
      <c r="BY385" s="311"/>
      <c r="BZ385" s="311"/>
      <c r="CA385" s="308" t="s">
        <v>2956</v>
      </c>
      <c r="CB385" s="312" t="str">
        <f t="shared" si="1"/>
        <v>19/06/2026</v>
      </c>
      <c r="CC385" s="313">
        <f t="shared" si="2"/>
        <v>2026</v>
      </c>
      <c r="CD385" s="314">
        <f t="shared" si="3"/>
        <v>6</v>
      </c>
      <c r="CE385" s="314">
        <f t="shared" si="4"/>
        <v>0</v>
      </c>
      <c r="CF385" s="314">
        <f t="shared" si="5"/>
        <v>1</v>
      </c>
      <c r="CG385" s="314">
        <f t="shared" si="6"/>
        <v>0</v>
      </c>
      <c r="CH385" s="315">
        <f>VLOOKUP(CL385,'PRODUCT_COGS&amp;PRICE'!A:E,5,false)</f>
        <v>10.71</v>
      </c>
      <c r="CI385" s="315">
        <f t="shared" si="7"/>
        <v>0</v>
      </c>
      <c r="CJ385" s="316">
        <f t="shared" si="8"/>
        <v>0</v>
      </c>
      <c r="CK385" s="316">
        <f t="shared" si="9"/>
        <v>9.5</v>
      </c>
      <c r="CL385" s="314" t="str">
        <f>VLOOKUP(R385,PRODUCT_MAP!A:B,2,FALSE)</f>
        <v>Nina_Bag_STRIPES_AZURE_RED</v>
      </c>
      <c r="CM385" s="314" t="str">
        <f>VLOOKUP(R385,PRODUCT_MAP!A:E,3,FALSE)</f>
        <v>Nina Bag</v>
      </c>
    </row>
    <row r="386" ht="22.5" customHeight="1">
      <c r="A386" s="308" t="s">
        <v>5946</v>
      </c>
      <c r="B386" s="308" t="s">
        <v>5947</v>
      </c>
      <c r="C386" s="308" t="s">
        <v>2942</v>
      </c>
      <c r="D386" s="308" t="s">
        <v>5948</v>
      </c>
      <c r="E386" s="308" t="s">
        <v>3013</v>
      </c>
      <c r="F386" s="308"/>
      <c r="G386" s="308" t="s">
        <v>2946</v>
      </c>
      <c r="H386" s="308" t="s">
        <v>2947</v>
      </c>
      <c r="I386" s="308">
        <v>50.0</v>
      </c>
      <c r="J386" s="308">
        <v>3.9</v>
      </c>
      <c r="K386" s="308">
        <v>9.72</v>
      </c>
      <c r="L386" s="308">
        <v>53.9</v>
      </c>
      <c r="M386" s="308"/>
      <c r="N386" s="308">
        <v>0.0</v>
      </c>
      <c r="O386" s="308" t="s">
        <v>2948</v>
      </c>
      <c r="P386" s="308" t="s">
        <v>5949</v>
      </c>
      <c r="Q386" s="310">
        <v>1.0</v>
      </c>
      <c r="R386" s="308" t="s">
        <v>702</v>
      </c>
      <c r="S386" s="308">
        <v>50.0</v>
      </c>
      <c r="T386" s="311"/>
      <c r="U386" s="308" t="s">
        <v>49</v>
      </c>
      <c r="V386" s="308" t="b">
        <v>1</v>
      </c>
      <c r="W386" s="308" t="b">
        <v>1</v>
      </c>
      <c r="X386" s="308"/>
      <c r="Y386" s="308" t="s">
        <v>5950</v>
      </c>
      <c r="Z386" s="308" t="s">
        <v>5951</v>
      </c>
      <c r="AA386" s="308" t="s">
        <v>5951</v>
      </c>
      <c r="AB386" s="308"/>
      <c r="AC386" s="308"/>
      <c r="AD386" s="308" t="s">
        <v>3081</v>
      </c>
      <c r="AE386" s="308">
        <v>198.0</v>
      </c>
      <c r="AF386" s="308" t="s">
        <v>3082</v>
      </c>
      <c r="AG386" s="308" t="s">
        <v>2955</v>
      </c>
      <c r="AH386" s="308"/>
      <c r="AI386" s="308" t="s">
        <v>5952</v>
      </c>
      <c r="AJ386" s="308" t="s">
        <v>5953</v>
      </c>
      <c r="AK386" s="308" t="s">
        <v>5953</v>
      </c>
      <c r="AL386" s="308"/>
      <c r="AM386" s="308"/>
      <c r="AN386" s="308" t="s">
        <v>3081</v>
      </c>
      <c r="AO386" s="308">
        <v>199.0</v>
      </c>
      <c r="AP386" s="308" t="s">
        <v>3082</v>
      </c>
      <c r="AQ386" s="308" t="s">
        <v>2955</v>
      </c>
      <c r="AR386" s="308">
        <v>3.347739419E9</v>
      </c>
      <c r="AS386" s="311"/>
      <c r="AT386" s="311"/>
      <c r="AU386" s="311"/>
      <c r="AV386" s="308" t="s">
        <v>2956</v>
      </c>
      <c r="AW386" s="308">
        <v>4.7993487884615E13</v>
      </c>
      <c r="AX386" s="310">
        <v>0.0</v>
      </c>
      <c r="AY386" s="308" t="s">
        <v>2974</v>
      </c>
      <c r="AZ386" s="308">
        <v>0.0</v>
      </c>
      <c r="BA386" s="311"/>
      <c r="BB386" s="311"/>
      <c r="BC386" s="311"/>
      <c r="BD386" s="308">
        <v>7.869750935879E12</v>
      </c>
      <c r="BE386" s="311"/>
      <c r="BF386" s="311"/>
      <c r="BG386" s="308" t="s">
        <v>2958</v>
      </c>
      <c r="BH386" s="308">
        <v>0.0</v>
      </c>
      <c r="BI386" s="308" t="s">
        <v>2959</v>
      </c>
      <c r="BJ386" s="308">
        <v>9.02</v>
      </c>
      <c r="BK386" s="311"/>
      <c r="BL386" s="311"/>
      <c r="BM386" s="311"/>
      <c r="BN386" s="311"/>
      <c r="BO386" s="311"/>
      <c r="BP386" s="311"/>
      <c r="BQ386" s="311"/>
      <c r="BR386" s="311"/>
      <c r="BS386" s="308"/>
      <c r="BT386" s="311"/>
      <c r="BU386" s="311"/>
      <c r="BV386" s="308" t="s">
        <v>3081</v>
      </c>
      <c r="BW386" s="308" t="s">
        <v>3081</v>
      </c>
      <c r="BX386" s="308" t="s">
        <v>2956</v>
      </c>
      <c r="BY386" s="311"/>
      <c r="BZ386" s="311"/>
      <c r="CA386" s="308" t="s">
        <v>2956</v>
      </c>
      <c r="CB386" s="312" t="str">
        <f t="shared" si="1"/>
        <v>19/06/2026</v>
      </c>
      <c r="CC386" s="313">
        <f t="shared" si="2"/>
        <v>2026</v>
      </c>
      <c r="CD386" s="314">
        <f t="shared" si="3"/>
        <v>6</v>
      </c>
      <c r="CE386" s="314">
        <f t="shared" si="4"/>
        <v>1</v>
      </c>
      <c r="CF386" s="314">
        <f t="shared" si="5"/>
        <v>1</v>
      </c>
      <c r="CG386" s="314">
        <f t="shared" si="6"/>
        <v>0</v>
      </c>
      <c r="CH386" s="315">
        <f>VLOOKUP(CL386,'PRODUCT_COGS&amp;PRICE'!A:E,5,false)</f>
        <v>10.71</v>
      </c>
      <c r="CI386" s="315">
        <f t="shared" si="7"/>
        <v>-1.2741</v>
      </c>
      <c r="CJ386" s="316">
        <f t="shared" si="8"/>
        <v>0</v>
      </c>
      <c r="CK386" s="316">
        <f t="shared" si="9"/>
        <v>0</v>
      </c>
      <c r="CL386" s="314" t="str">
        <f>VLOOKUP(R386,PRODUCT_MAP!A:B,2,FALSE)</f>
        <v>Nina_Bag_STRIPES_PETROL_BLUE</v>
      </c>
      <c r="CM386" s="314" t="str">
        <f>VLOOKUP(R386,PRODUCT_MAP!A:E,3,FALSE)</f>
        <v>Nina Bag</v>
      </c>
    </row>
    <row r="387" ht="22.5" customHeight="1">
      <c r="A387" s="308" t="s">
        <v>5954</v>
      </c>
      <c r="B387" s="308" t="s">
        <v>5955</v>
      </c>
      <c r="C387" s="308" t="s">
        <v>2942</v>
      </c>
      <c r="D387" s="308" t="s">
        <v>5956</v>
      </c>
      <c r="E387" s="308" t="s">
        <v>3013</v>
      </c>
      <c r="F387" s="308"/>
      <c r="G387" s="308" t="s">
        <v>2946</v>
      </c>
      <c r="H387" s="308" t="s">
        <v>2947</v>
      </c>
      <c r="I387" s="308">
        <v>90.0</v>
      </c>
      <c r="J387" s="308">
        <v>3.9</v>
      </c>
      <c r="K387" s="308">
        <v>16.93</v>
      </c>
      <c r="L387" s="308">
        <v>93.9</v>
      </c>
      <c r="M387" s="308"/>
      <c r="N387" s="308">
        <v>0.0</v>
      </c>
      <c r="O387" s="308" t="s">
        <v>2948</v>
      </c>
      <c r="P387" s="308" t="s">
        <v>5957</v>
      </c>
      <c r="Q387" s="310">
        <v>1.0</v>
      </c>
      <c r="R387" s="308" t="s">
        <v>5852</v>
      </c>
      <c r="S387" s="308">
        <v>90.0</v>
      </c>
      <c r="T387" s="311"/>
      <c r="U387" s="308" t="s">
        <v>4221</v>
      </c>
      <c r="V387" s="308" t="b">
        <v>1</v>
      </c>
      <c r="W387" s="308" t="b">
        <v>1</v>
      </c>
      <c r="X387" s="308"/>
      <c r="Y387" s="308" t="s">
        <v>5958</v>
      </c>
      <c r="Z387" s="308" t="s">
        <v>5959</v>
      </c>
      <c r="AA387" s="308" t="s">
        <v>5959</v>
      </c>
      <c r="AB387" s="308"/>
      <c r="AC387" s="308"/>
      <c r="AD387" s="308" t="s">
        <v>4438</v>
      </c>
      <c r="AE387" s="308">
        <v>7100.0</v>
      </c>
      <c r="AF387" s="308" t="s">
        <v>4434</v>
      </c>
      <c r="AG387" s="308" t="s">
        <v>2955</v>
      </c>
      <c r="AH387" s="308">
        <v>3.409260375E9</v>
      </c>
      <c r="AI387" s="308" t="s">
        <v>5958</v>
      </c>
      <c r="AJ387" s="308" t="s">
        <v>5959</v>
      </c>
      <c r="AK387" s="308" t="s">
        <v>5959</v>
      </c>
      <c r="AL387" s="308"/>
      <c r="AM387" s="308"/>
      <c r="AN387" s="308" t="s">
        <v>4438</v>
      </c>
      <c r="AO387" s="308">
        <v>7100.0</v>
      </c>
      <c r="AP387" s="308" t="s">
        <v>4434</v>
      </c>
      <c r="AQ387" s="308" t="s">
        <v>2955</v>
      </c>
      <c r="AR387" s="308">
        <v>3.409260375E9</v>
      </c>
      <c r="AS387" s="311"/>
      <c r="AT387" s="311"/>
      <c r="AU387" s="311"/>
      <c r="AV387" s="308" t="s">
        <v>2956</v>
      </c>
      <c r="AW387" s="308">
        <v>4.7993430016327E13</v>
      </c>
      <c r="AX387" s="310">
        <v>0.0</v>
      </c>
      <c r="AY387" s="308" t="s">
        <v>2974</v>
      </c>
      <c r="AZ387" s="308">
        <v>0.0</v>
      </c>
      <c r="BA387" s="311"/>
      <c r="BB387" s="311"/>
      <c r="BC387" s="311"/>
      <c r="BD387" s="308">
        <v>7.869808902471E12</v>
      </c>
      <c r="BE387" s="311"/>
      <c r="BF387" s="311"/>
      <c r="BG387" s="308" t="s">
        <v>2958</v>
      </c>
      <c r="BH387" s="308">
        <v>0.0</v>
      </c>
      <c r="BI387" s="308" t="s">
        <v>2959</v>
      </c>
      <c r="BJ387" s="308">
        <v>16.23</v>
      </c>
      <c r="BK387" s="311"/>
      <c r="BL387" s="311"/>
      <c r="BM387" s="311"/>
      <c r="BN387" s="311"/>
      <c r="BO387" s="311"/>
      <c r="BP387" s="311"/>
      <c r="BQ387" s="311"/>
      <c r="BR387" s="311"/>
      <c r="BS387" s="308"/>
      <c r="BT387" s="311"/>
      <c r="BU387" s="311"/>
      <c r="BV387" s="308" t="s">
        <v>4438</v>
      </c>
      <c r="BW387" s="308" t="s">
        <v>4438</v>
      </c>
      <c r="BX387" s="308" t="s">
        <v>2956</v>
      </c>
      <c r="BY387" s="311"/>
      <c r="BZ387" s="311"/>
      <c r="CA387" s="308" t="s">
        <v>2956</v>
      </c>
      <c r="CB387" s="312" t="str">
        <f t="shared" si="1"/>
        <v>19/06/2026</v>
      </c>
      <c r="CC387" s="313">
        <f t="shared" si="2"/>
        <v>2026</v>
      </c>
      <c r="CD387" s="314">
        <f t="shared" si="3"/>
        <v>6</v>
      </c>
      <c r="CE387" s="314">
        <f t="shared" si="4"/>
        <v>1</v>
      </c>
      <c r="CF387" s="314">
        <f t="shared" si="5"/>
        <v>1</v>
      </c>
      <c r="CG387" s="314">
        <f t="shared" si="6"/>
        <v>0</v>
      </c>
      <c r="CH387" s="315">
        <f>VLOOKUP(CL387,'PRODUCT_COGS&amp;PRICE'!A:E,5,false)</f>
        <v>16.5</v>
      </c>
      <c r="CI387" s="315">
        <f t="shared" si="7"/>
        <v>-2.0341</v>
      </c>
      <c r="CJ387" s="316">
        <f t="shared" si="8"/>
        <v>0</v>
      </c>
      <c r="CK387" s="316">
        <f t="shared" si="9"/>
        <v>0</v>
      </c>
      <c r="CL387" s="314" t="str">
        <f>VLOOKUP(R387,PRODUCT_MAP!A:B,2,FALSE)</f>
        <v>Annie_Bag_PAILLETTES_NUDE</v>
      </c>
      <c r="CM387" s="314" t="str">
        <f>VLOOKUP(R387,PRODUCT_MAP!A:E,3,FALSE)</f>
        <v>Agata Bag</v>
      </c>
    </row>
    <row r="388" ht="22.5" customHeight="1">
      <c r="A388" s="308" t="s">
        <v>5960</v>
      </c>
      <c r="B388" s="308" t="s">
        <v>5961</v>
      </c>
      <c r="C388" s="308" t="s">
        <v>2942</v>
      </c>
      <c r="D388" s="308" t="s">
        <v>5962</v>
      </c>
      <c r="E388" s="308" t="s">
        <v>3013</v>
      </c>
      <c r="F388" s="308"/>
      <c r="G388" s="308" t="s">
        <v>2965</v>
      </c>
      <c r="H388" s="308" t="s">
        <v>2947</v>
      </c>
      <c r="I388" s="308">
        <v>120.0</v>
      </c>
      <c r="J388" s="308">
        <v>0.0</v>
      </c>
      <c r="K388" s="308">
        <v>21.64</v>
      </c>
      <c r="L388" s="308">
        <v>120.0</v>
      </c>
      <c r="M388" s="308"/>
      <c r="N388" s="308">
        <v>0.0</v>
      </c>
      <c r="O388" s="308" t="s">
        <v>2948</v>
      </c>
      <c r="P388" s="308" t="s">
        <v>5962</v>
      </c>
      <c r="Q388" s="310">
        <v>1.0</v>
      </c>
      <c r="R388" s="308" t="s">
        <v>5963</v>
      </c>
      <c r="S388" s="308">
        <v>120.0</v>
      </c>
      <c r="T388" s="311"/>
      <c r="U388" s="308" t="s">
        <v>189</v>
      </c>
      <c r="V388" s="308" t="b">
        <v>1</v>
      </c>
      <c r="W388" s="308" t="b">
        <v>1</v>
      </c>
      <c r="X388" s="308"/>
      <c r="Y388" s="308" t="s">
        <v>5964</v>
      </c>
      <c r="Z388" s="308" t="s">
        <v>5965</v>
      </c>
      <c r="AA388" s="308" t="s">
        <v>5965</v>
      </c>
      <c r="AB388" s="308"/>
      <c r="AC388" s="308"/>
      <c r="AD388" s="308" t="s">
        <v>5966</v>
      </c>
      <c r="AE388" s="308">
        <v>55016.0</v>
      </c>
      <c r="AF388" s="308" t="s">
        <v>3743</v>
      </c>
      <c r="AG388" s="308" t="s">
        <v>2955</v>
      </c>
      <c r="AH388" s="308">
        <v>3.313127048E9</v>
      </c>
      <c r="AI388" s="308" t="s">
        <v>5964</v>
      </c>
      <c r="AJ388" s="308" t="s">
        <v>5965</v>
      </c>
      <c r="AK388" s="308" t="s">
        <v>5965</v>
      </c>
      <c r="AL388" s="308"/>
      <c r="AM388" s="308"/>
      <c r="AN388" s="308" t="s">
        <v>5966</v>
      </c>
      <c r="AO388" s="308">
        <v>55016.0</v>
      </c>
      <c r="AP388" s="308" t="s">
        <v>3743</v>
      </c>
      <c r="AQ388" s="308" t="s">
        <v>2955</v>
      </c>
      <c r="AR388" s="308">
        <v>3.313127048E9</v>
      </c>
      <c r="AS388" s="311"/>
      <c r="AT388" s="311"/>
      <c r="AU388" s="311"/>
      <c r="AV388" s="308" t="s">
        <v>3009</v>
      </c>
      <c r="AW388" s="308">
        <v>4.7993886081351E13</v>
      </c>
      <c r="AX388" s="310">
        <v>0.0</v>
      </c>
      <c r="AY388" s="308" t="s">
        <v>2974</v>
      </c>
      <c r="AZ388" s="308">
        <v>0.0</v>
      </c>
      <c r="BA388" s="311"/>
      <c r="BB388" s="311"/>
      <c r="BC388" s="311"/>
      <c r="BD388" s="308">
        <v>7.870541824327E12</v>
      </c>
      <c r="BE388" s="311"/>
      <c r="BF388" s="311"/>
      <c r="BG388" s="308" t="s">
        <v>2958</v>
      </c>
      <c r="BH388" s="308">
        <v>0.0</v>
      </c>
      <c r="BI388" s="308" t="s">
        <v>2959</v>
      </c>
      <c r="BJ388" s="308">
        <v>21.64</v>
      </c>
      <c r="BK388" s="311"/>
      <c r="BL388" s="311"/>
      <c r="BM388" s="311"/>
      <c r="BN388" s="311"/>
      <c r="BO388" s="311"/>
      <c r="BP388" s="311"/>
      <c r="BQ388" s="311"/>
      <c r="BR388" s="311"/>
      <c r="BS388" s="308"/>
      <c r="BT388" s="311"/>
      <c r="BU388" s="311"/>
      <c r="BV388" s="308" t="s">
        <v>3742</v>
      </c>
      <c r="BW388" s="308" t="s">
        <v>3742</v>
      </c>
      <c r="BX388" s="308" t="s">
        <v>3009</v>
      </c>
      <c r="BY388" s="311"/>
      <c r="BZ388" s="311"/>
      <c r="CA388" s="308" t="s">
        <v>3009</v>
      </c>
      <c r="CB388" s="312" t="str">
        <f t="shared" si="1"/>
        <v>19/06/2026</v>
      </c>
      <c r="CC388" s="313">
        <f t="shared" si="2"/>
        <v>2026</v>
      </c>
      <c r="CD388" s="314">
        <f t="shared" si="3"/>
        <v>6</v>
      </c>
      <c r="CE388" s="314">
        <f t="shared" si="4"/>
        <v>1</v>
      </c>
      <c r="CF388" s="314">
        <f t="shared" si="5"/>
        <v>1</v>
      </c>
      <c r="CG388" s="314">
        <f t="shared" si="6"/>
        <v>-5</v>
      </c>
      <c r="CH388" s="315">
        <f>VLOOKUP(CL388,'PRODUCT_COGS&amp;PRICE'!A:E,5,false)</f>
        <v>30</v>
      </c>
      <c r="CI388" s="315">
        <f t="shared" si="7"/>
        <v>-4.538</v>
      </c>
      <c r="CJ388" s="316">
        <f t="shared" si="8"/>
        <v>0</v>
      </c>
      <c r="CK388" s="316">
        <f t="shared" si="9"/>
        <v>0</v>
      </c>
      <c r="CL388" s="314" t="str">
        <f>VLOOKUP(R388,PRODUCT_MAP!A:B,2,FALSE)</f>
        <v>Lea_Bag_GREEN_MILITARY</v>
      </c>
      <c r="CM388" s="314" t="str">
        <f>VLOOKUP(R388,PRODUCT_MAP!A:E,3,FALSE)</f>
        <v>Lea Bag</v>
      </c>
    </row>
    <row r="389" ht="22.5" customHeight="1">
      <c r="A389" s="308" t="s">
        <v>5967</v>
      </c>
      <c r="B389" s="308" t="s">
        <v>5968</v>
      </c>
      <c r="C389" s="308" t="s">
        <v>2942</v>
      </c>
      <c r="D389" s="308" t="s">
        <v>5969</v>
      </c>
      <c r="E389" s="308" t="s">
        <v>3013</v>
      </c>
      <c r="F389" s="308"/>
      <c r="G389" s="308" t="s">
        <v>2946</v>
      </c>
      <c r="H389" s="308" t="s">
        <v>2947</v>
      </c>
      <c r="I389" s="308">
        <v>108.0</v>
      </c>
      <c r="J389" s="308">
        <v>0.0</v>
      </c>
      <c r="K389" s="308">
        <v>19.48</v>
      </c>
      <c r="L389" s="308">
        <v>108.0</v>
      </c>
      <c r="M389" s="308" t="s">
        <v>3094</v>
      </c>
      <c r="N389" s="308">
        <v>12.0</v>
      </c>
      <c r="O389" s="308" t="s">
        <v>2948</v>
      </c>
      <c r="P389" s="308" t="s">
        <v>5970</v>
      </c>
      <c r="Q389" s="310">
        <v>1.0</v>
      </c>
      <c r="R389" s="308" t="s">
        <v>569</v>
      </c>
      <c r="S389" s="308">
        <v>120.0</v>
      </c>
      <c r="T389" s="311"/>
      <c r="U389" s="308" t="s">
        <v>3375</v>
      </c>
      <c r="V389" s="308" t="b">
        <v>1</v>
      </c>
      <c r="W389" s="308" t="b">
        <v>1</v>
      </c>
      <c r="X389" s="308"/>
      <c r="Y389" s="308" t="s">
        <v>5971</v>
      </c>
      <c r="Z389" s="308" t="s">
        <v>5972</v>
      </c>
      <c r="AA389" s="308" t="s">
        <v>5972</v>
      </c>
      <c r="AB389" s="308"/>
      <c r="AC389" s="308"/>
      <c r="AD389" s="308" t="s">
        <v>4846</v>
      </c>
      <c r="AE389" s="308">
        <v>26100.0</v>
      </c>
      <c r="AF389" s="308" t="s">
        <v>4845</v>
      </c>
      <c r="AG389" s="308" t="s">
        <v>2955</v>
      </c>
      <c r="AH389" s="308">
        <v>3.287525086E9</v>
      </c>
      <c r="AI389" s="308" t="s">
        <v>5971</v>
      </c>
      <c r="AJ389" s="308" t="s">
        <v>5972</v>
      </c>
      <c r="AK389" s="308" t="s">
        <v>5972</v>
      </c>
      <c r="AL389" s="308"/>
      <c r="AM389" s="308"/>
      <c r="AN389" s="308" t="s">
        <v>4846</v>
      </c>
      <c r="AO389" s="308">
        <v>26100.0</v>
      </c>
      <c r="AP389" s="308" t="s">
        <v>4845</v>
      </c>
      <c r="AQ389" s="308" t="s">
        <v>2955</v>
      </c>
      <c r="AR389" s="308">
        <v>3.287525086E9</v>
      </c>
      <c r="AS389" s="311"/>
      <c r="AT389" s="311"/>
      <c r="AU389" s="311"/>
      <c r="AV389" s="308" t="s">
        <v>2956</v>
      </c>
      <c r="AW389" s="308">
        <v>4.7996013183303E13</v>
      </c>
      <c r="AX389" s="310">
        <v>0.0</v>
      </c>
      <c r="AY389" s="308" t="s">
        <v>2974</v>
      </c>
      <c r="AZ389" s="308">
        <v>0.0</v>
      </c>
      <c r="BA389" s="311"/>
      <c r="BB389" s="311"/>
      <c r="BC389" s="311"/>
      <c r="BD389" s="308">
        <v>7.871086330183E12</v>
      </c>
      <c r="BE389" s="311"/>
      <c r="BF389" s="311"/>
      <c r="BG389" s="308" t="s">
        <v>2958</v>
      </c>
      <c r="BH389" s="308">
        <v>0.0</v>
      </c>
      <c r="BI389" s="308" t="s">
        <v>2959</v>
      </c>
      <c r="BJ389" s="308">
        <v>19.48</v>
      </c>
      <c r="BK389" s="311"/>
      <c r="BL389" s="311"/>
      <c r="BM389" s="311"/>
      <c r="BN389" s="311"/>
      <c r="BO389" s="311"/>
      <c r="BP389" s="311"/>
      <c r="BQ389" s="311"/>
      <c r="BR389" s="311"/>
      <c r="BS389" s="308"/>
      <c r="BT389" s="311"/>
      <c r="BU389" s="311"/>
      <c r="BV389" s="308" t="s">
        <v>4846</v>
      </c>
      <c r="BW389" s="308" t="s">
        <v>4846</v>
      </c>
      <c r="BX389" s="308" t="s">
        <v>2956</v>
      </c>
      <c r="BY389" s="311"/>
      <c r="BZ389" s="311"/>
      <c r="CA389" s="308" t="s">
        <v>2956</v>
      </c>
      <c r="CB389" s="312" t="str">
        <f t="shared" si="1"/>
        <v>19/06/2026</v>
      </c>
      <c r="CC389" s="313">
        <f t="shared" si="2"/>
        <v>2026</v>
      </c>
      <c r="CD389" s="314">
        <f t="shared" si="3"/>
        <v>6</v>
      </c>
      <c r="CE389" s="314">
        <f t="shared" si="4"/>
        <v>1</v>
      </c>
      <c r="CF389" s="314">
        <f t="shared" si="5"/>
        <v>1</v>
      </c>
      <c r="CG389" s="314">
        <f t="shared" si="6"/>
        <v>-5</v>
      </c>
      <c r="CH389" s="315">
        <f>VLOOKUP(CL389,'PRODUCT_COGS&amp;PRICE'!A:E,5,false)</f>
        <v>20</v>
      </c>
      <c r="CI389" s="315">
        <f t="shared" si="7"/>
        <v>-2.302</v>
      </c>
      <c r="CJ389" s="316">
        <f t="shared" si="8"/>
        <v>0</v>
      </c>
      <c r="CK389" s="316">
        <f t="shared" si="9"/>
        <v>12</v>
      </c>
      <c r="CL389" s="314" t="str">
        <f>VLOOKUP(R389,PRODUCT_MAP!A:B,2,FALSE)</f>
        <v>Lea_Bag_RED_PATENT</v>
      </c>
      <c r="CM389" s="314" t="str">
        <f>VLOOKUP(R389,PRODUCT_MAP!A:E,3,FALSE)</f>
        <v>Lea Bag</v>
      </c>
    </row>
    <row r="390" ht="22.5" customHeight="1">
      <c r="A390" s="308" t="s">
        <v>5973</v>
      </c>
      <c r="B390" s="308" t="s">
        <v>5974</v>
      </c>
      <c r="C390" s="308" t="s">
        <v>2942</v>
      </c>
      <c r="D390" s="308" t="s">
        <v>5975</v>
      </c>
      <c r="E390" s="308" t="s">
        <v>3013</v>
      </c>
      <c r="F390" s="308"/>
      <c r="G390" s="308" t="s">
        <v>2946</v>
      </c>
      <c r="H390" s="308" t="s">
        <v>2947</v>
      </c>
      <c r="I390" s="308">
        <v>100.0</v>
      </c>
      <c r="J390" s="308">
        <v>0.0</v>
      </c>
      <c r="K390" s="308">
        <v>18.03</v>
      </c>
      <c r="L390" s="308">
        <v>100.0</v>
      </c>
      <c r="M390" s="308"/>
      <c r="N390" s="308">
        <v>0.0</v>
      </c>
      <c r="O390" s="308" t="s">
        <v>2948</v>
      </c>
      <c r="P390" s="308" t="s">
        <v>5976</v>
      </c>
      <c r="Q390" s="310">
        <v>1.0</v>
      </c>
      <c r="R390" s="308" t="s">
        <v>5900</v>
      </c>
      <c r="S390" s="308">
        <v>100.0</v>
      </c>
      <c r="T390" s="311"/>
      <c r="U390" s="308" t="s">
        <v>4267</v>
      </c>
      <c r="V390" s="308" t="b">
        <v>1</v>
      </c>
      <c r="W390" s="308" t="b">
        <v>1</v>
      </c>
      <c r="X390" s="308"/>
      <c r="Y390" s="308" t="s">
        <v>5977</v>
      </c>
      <c r="Z390" s="308" t="s">
        <v>5978</v>
      </c>
      <c r="AA390" s="308" t="s">
        <v>5979</v>
      </c>
      <c r="AB390" s="308" t="s">
        <v>5980</v>
      </c>
      <c r="AC390" s="308"/>
      <c r="AD390" s="308" t="s">
        <v>23</v>
      </c>
      <c r="AE390" s="308">
        <v>20123.0</v>
      </c>
      <c r="AF390" s="308" t="s">
        <v>2954</v>
      </c>
      <c r="AG390" s="308" t="s">
        <v>2955</v>
      </c>
      <c r="AH390" s="308"/>
      <c r="AI390" s="308" t="s">
        <v>5981</v>
      </c>
      <c r="AJ390" s="308" t="s">
        <v>5982</v>
      </c>
      <c r="AK390" s="308" t="s">
        <v>5983</v>
      </c>
      <c r="AL390" s="308" t="s">
        <v>5984</v>
      </c>
      <c r="AM390" s="308"/>
      <c r="AN390" s="308" t="s">
        <v>23</v>
      </c>
      <c r="AO390" s="308">
        <v>20123.0</v>
      </c>
      <c r="AP390" s="308" t="s">
        <v>2954</v>
      </c>
      <c r="AQ390" s="308" t="s">
        <v>2955</v>
      </c>
      <c r="AR390" s="308">
        <v>3.899632426E9</v>
      </c>
      <c r="AS390" s="311"/>
      <c r="AT390" s="311"/>
      <c r="AU390" s="311"/>
      <c r="AV390" s="308" t="s">
        <v>2956</v>
      </c>
      <c r="AW390" s="308">
        <v>4.7997644603719E13</v>
      </c>
      <c r="AX390" s="310">
        <v>0.0</v>
      </c>
      <c r="AY390" s="308" t="s">
        <v>2974</v>
      </c>
      <c r="AZ390" s="308">
        <v>0.0</v>
      </c>
      <c r="BA390" s="311"/>
      <c r="BB390" s="311"/>
      <c r="BC390" s="311"/>
      <c r="BD390" s="308">
        <v>7.871768887623E12</v>
      </c>
      <c r="BE390" s="311"/>
      <c r="BF390" s="311"/>
      <c r="BG390" s="308" t="s">
        <v>2958</v>
      </c>
      <c r="BH390" s="308">
        <v>0.0</v>
      </c>
      <c r="BI390" s="308" t="s">
        <v>2959</v>
      </c>
      <c r="BJ390" s="308">
        <v>18.03</v>
      </c>
      <c r="BK390" s="311"/>
      <c r="BL390" s="311"/>
      <c r="BM390" s="311"/>
      <c r="BN390" s="311"/>
      <c r="BO390" s="311"/>
      <c r="BP390" s="311"/>
      <c r="BQ390" s="311"/>
      <c r="BR390" s="311"/>
      <c r="BS390" s="308"/>
      <c r="BT390" s="311"/>
      <c r="BU390" s="311"/>
      <c r="BV390" s="308" t="s">
        <v>23</v>
      </c>
      <c r="BW390" s="308" t="s">
        <v>23</v>
      </c>
      <c r="BX390" s="308" t="s">
        <v>2956</v>
      </c>
      <c r="BY390" s="311"/>
      <c r="BZ390" s="311"/>
      <c r="CA390" s="308" t="s">
        <v>2956</v>
      </c>
      <c r="CB390" s="312" t="str">
        <f t="shared" si="1"/>
        <v>20/06/2026</v>
      </c>
      <c r="CC390" s="313">
        <f t="shared" si="2"/>
        <v>2026</v>
      </c>
      <c r="CD390" s="314">
        <f t="shared" si="3"/>
        <v>6</v>
      </c>
      <c r="CE390" s="314">
        <f t="shared" si="4"/>
        <v>1</v>
      </c>
      <c r="CF390" s="314">
        <f t="shared" si="5"/>
        <v>1</v>
      </c>
      <c r="CG390" s="314">
        <f t="shared" si="6"/>
        <v>-5</v>
      </c>
      <c r="CH390" s="315">
        <f>VLOOKUP(CL390,'PRODUCT_COGS&amp;PRICE'!A:E,5,false)</f>
        <v>16.5</v>
      </c>
      <c r="CI390" s="315">
        <f t="shared" si="7"/>
        <v>-2.15</v>
      </c>
      <c r="CJ390" s="316">
        <f t="shared" si="8"/>
        <v>0</v>
      </c>
      <c r="CK390" s="316">
        <f t="shared" si="9"/>
        <v>0</v>
      </c>
      <c r="CL390" s="314" t="str">
        <f>VLOOKUP(R390,PRODUCT_MAP!A:B,2,FALSE)</f>
        <v>Annie_Bag_PAILLETTES_NUDE</v>
      </c>
      <c r="CM390" s="314" t="str">
        <f>VLOOKUP(R390,PRODUCT_MAP!A:E,3,FALSE)</f>
        <v/>
      </c>
    </row>
    <row r="391" ht="22.5" customHeight="1">
      <c r="A391" s="308" t="s">
        <v>5985</v>
      </c>
      <c r="B391" s="308" t="s">
        <v>5986</v>
      </c>
      <c r="C391" s="308" t="s">
        <v>2942</v>
      </c>
      <c r="D391" s="308" t="s">
        <v>5987</v>
      </c>
      <c r="E391" s="308" t="s">
        <v>3013</v>
      </c>
      <c r="F391" s="308"/>
      <c r="G391" s="308" t="s">
        <v>2946</v>
      </c>
      <c r="H391" s="308" t="s">
        <v>2947</v>
      </c>
      <c r="I391" s="308">
        <v>90.0</v>
      </c>
      <c r="J391" s="308">
        <v>3.9</v>
      </c>
      <c r="K391" s="308">
        <v>16.92</v>
      </c>
      <c r="L391" s="308">
        <v>93.9</v>
      </c>
      <c r="M391" s="308" t="s">
        <v>3094</v>
      </c>
      <c r="N391" s="308">
        <v>10.0</v>
      </c>
      <c r="O391" s="308" t="s">
        <v>2948</v>
      </c>
      <c r="P391" s="308" t="s">
        <v>5988</v>
      </c>
      <c r="Q391" s="310">
        <v>1.0</v>
      </c>
      <c r="R391" s="308" t="s">
        <v>662</v>
      </c>
      <c r="S391" s="308">
        <v>50.0</v>
      </c>
      <c r="T391" s="311"/>
      <c r="U391" s="308" t="s">
        <v>314</v>
      </c>
      <c r="V391" s="308" t="b">
        <v>1</v>
      </c>
      <c r="W391" s="308" t="b">
        <v>1</v>
      </c>
      <c r="X391" s="308"/>
      <c r="Y391" s="308" t="s">
        <v>5989</v>
      </c>
      <c r="Z391" s="308" t="s">
        <v>5990</v>
      </c>
      <c r="AA391" s="308" t="s">
        <v>5990</v>
      </c>
      <c r="AB391" s="308"/>
      <c r="AC391" s="308"/>
      <c r="AD391" s="308" t="s">
        <v>5991</v>
      </c>
      <c r="AE391" s="308">
        <v>86015.0</v>
      </c>
      <c r="AF391" s="308" t="s">
        <v>5992</v>
      </c>
      <c r="AG391" s="308" t="s">
        <v>2955</v>
      </c>
      <c r="AH391" s="308">
        <v>3.279425022E9</v>
      </c>
      <c r="AI391" s="308" t="s">
        <v>5989</v>
      </c>
      <c r="AJ391" s="308" t="s">
        <v>5990</v>
      </c>
      <c r="AK391" s="308" t="s">
        <v>5990</v>
      </c>
      <c r="AL391" s="308"/>
      <c r="AM391" s="308"/>
      <c r="AN391" s="308" t="s">
        <v>5991</v>
      </c>
      <c r="AO391" s="308">
        <v>86015.0</v>
      </c>
      <c r="AP391" s="308" t="s">
        <v>5992</v>
      </c>
      <c r="AQ391" s="308" t="s">
        <v>2955</v>
      </c>
      <c r="AR391" s="308">
        <v>3.279425022E9</v>
      </c>
      <c r="AS391" s="311"/>
      <c r="AT391" s="311"/>
      <c r="AU391" s="311"/>
      <c r="AV391" s="308" t="s">
        <v>3009</v>
      </c>
      <c r="AW391" s="308">
        <v>4.7998565777735E13</v>
      </c>
      <c r="AX391" s="310">
        <v>0.0</v>
      </c>
      <c r="AY391" s="308" t="s">
        <v>5290</v>
      </c>
      <c r="AZ391" s="308">
        <v>0.0</v>
      </c>
      <c r="BA391" s="311"/>
      <c r="BB391" s="311"/>
      <c r="BC391" s="311"/>
      <c r="BD391" s="308">
        <v>7.873872396615E12</v>
      </c>
      <c r="BE391" s="311"/>
      <c r="BF391" s="311"/>
      <c r="BG391" s="308" t="s">
        <v>2958</v>
      </c>
      <c r="BH391" s="308">
        <v>0.0</v>
      </c>
      <c r="BI391" s="308" t="s">
        <v>2959</v>
      </c>
      <c r="BJ391" s="308">
        <v>8.11</v>
      </c>
      <c r="BK391" s="311"/>
      <c r="BL391" s="311"/>
      <c r="BM391" s="311"/>
      <c r="BN391" s="311"/>
      <c r="BO391" s="311"/>
      <c r="BP391" s="311"/>
      <c r="BQ391" s="311"/>
      <c r="BR391" s="311"/>
      <c r="BS391" s="308"/>
      <c r="BT391" s="311"/>
      <c r="BU391" s="311"/>
      <c r="BV391" s="308" t="s">
        <v>5993</v>
      </c>
      <c r="BW391" s="308" t="s">
        <v>5993</v>
      </c>
      <c r="BX391" s="308" t="s">
        <v>3009</v>
      </c>
      <c r="BY391" s="311"/>
      <c r="BZ391" s="311"/>
      <c r="CA391" s="308" t="s">
        <v>3009</v>
      </c>
      <c r="CB391" s="312" t="str">
        <f t="shared" si="1"/>
        <v>21/06/2026</v>
      </c>
      <c r="CC391" s="313">
        <f t="shared" si="2"/>
        <v>2026</v>
      </c>
      <c r="CD391" s="314">
        <f t="shared" si="3"/>
        <v>6</v>
      </c>
      <c r="CE391" s="314">
        <f t="shared" si="4"/>
        <v>1</v>
      </c>
      <c r="CF391" s="314">
        <f t="shared" si="5"/>
        <v>1</v>
      </c>
      <c r="CG391" s="314">
        <f t="shared" si="6"/>
        <v>0</v>
      </c>
      <c r="CH391" s="315">
        <f>VLOOKUP(CL391,'PRODUCT_COGS&amp;PRICE'!A:E,5,false)</f>
        <v>10.71</v>
      </c>
      <c r="CI391" s="315">
        <f t="shared" si="7"/>
        <v>-6.90422</v>
      </c>
      <c r="CJ391" s="316">
        <f t="shared" si="8"/>
        <v>0</v>
      </c>
      <c r="CK391" s="316">
        <f t="shared" si="9"/>
        <v>10</v>
      </c>
      <c r="CL391" s="314" t="str">
        <f>VLOOKUP(R391,PRODUCT_MAP!A:B,2,FALSE)</f>
        <v>Nina_Bag_STRIPES_AZURE_RED</v>
      </c>
      <c r="CM391" s="314" t="str">
        <f>VLOOKUP(R391,PRODUCT_MAP!A:E,3,FALSE)</f>
        <v>Nina Bag</v>
      </c>
    </row>
    <row r="392" ht="22.5" customHeight="1">
      <c r="A392" s="308" t="s">
        <v>5985</v>
      </c>
      <c r="B392" s="308" t="s">
        <v>5986</v>
      </c>
      <c r="C392" s="308" t="s">
        <v>2942</v>
      </c>
      <c r="D392" s="308" t="s">
        <v>5987</v>
      </c>
      <c r="E392" s="308" t="s">
        <v>3013</v>
      </c>
      <c r="F392" s="308"/>
      <c r="G392" s="308" t="s">
        <v>2946</v>
      </c>
      <c r="H392" s="308" t="s">
        <v>2947</v>
      </c>
      <c r="I392" s="308">
        <v>90.0</v>
      </c>
      <c r="J392" s="308">
        <v>3.9</v>
      </c>
      <c r="K392" s="308">
        <v>16.92</v>
      </c>
      <c r="L392" s="308">
        <v>93.9</v>
      </c>
      <c r="M392" s="308" t="s">
        <v>3094</v>
      </c>
      <c r="N392" s="308">
        <v>10.0</v>
      </c>
      <c r="O392" s="308" t="s">
        <v>2948</v>
      </c>
      <c r="P392" s="308" t="s">
        <v>5988</v>
      </c>
      <c r="Q392" s="310">
        <v>1.0</v>
      </c>
      <c r="R392" s="308" t="s">
        <v>697</v>
      </c>
      <c r="S392" s="308">
        <v>50.0</v>
      </c>
      <c r="T392" s="311"/>
      <c r="U392" s="308" t="s">
        <v>312</v>
      </c>
      <c r="V392" s="308" t="b">
        <v>1</v>
      </c>
      <c r="W392" s="308" t="b">
        <v>1</v>
      </c>
      <c r="X392" s="308"/>
      <c r="Y392" s="308" t="s">
        <v>5989</v>
      </c>
      <c r="Z392" s="308" t="s">
        <v>5990</v>
      </c>
      <c r="AA392" s="308" t="s">
        <v>5990</v>
      </c>
      <c r="AB392" s="308"/>
      <c r="AC392" s="308"/>
      <c r="AD392" s="308" t="s">
        <v>5991</v>
      </c>
      <c r="AE392" s="308">
        <v>86015.0</v>
      </c>
      <c r="AF392" s="308" t="s">
        <v>5992</v>
      </c>
      <c r="AG392" s="308" t="s">
        <v>2955</v>
      </c>
      <c r="AH392" s="308">
        <v>3.279425022E9</v>
      </c>
      <c r="AI392" s="308" t="s">
        <v>5989</v>
      </c>
      <c r="AJ392" s="308" t="s">
        <v>5990</v>
      </c>
      <c r="AK392" s="308" t="s">
        <v>5990</v>
      </c>
      <c r="AL392" s="308"/>
      <c r="AM392" s="308"/>
      <c r="AN392" s="308" t="s">
        <v>5991</v>
      </c>
      <c r="AO392" s="308">
        <v>86015.0</v>
      </c>
      <c r="AP392" s="308" t="s">
        <v>5992</v>
      </c>
      <c r="AQ392" s="308" t="s">
        <v>2955</v>
      </c>
      <c r="AR392" s="308">
        <v>3.279425022E9</v>
      </c>
      <c r="AS392" s="311"/>
      <c r="AT392" s="311"/>
      <c r="AU392" s="311"/>
      <c r="AV392" s="308" t="s">
        <v>3009</v>
      </c>
      <c r="AW392" s="308">
        <v>4.7998565777735E13</v>
      </c>
      <c r="AX392" s="310">
        <v>0.0</v>
      </c>
      <c r="AY392" s="308" t="s">
        <v>5290</v>
      </c>
      <c r="AZ392" s="308">
        <v>0.0</v>
      </c>
      <c r="BA392" s="311"/>
      <c r="BB392" s="311"/>
      <c r="BC392" s="311"/>
      <c r="BD392" s="308">
        <v>7.873872396615E12</v>
      </c>
      <c r="BE392" s="311"/>
      <c r="BF392" s="311"/>
      <c r="BG392" s="308" t="s">
        <v>2958</v>
      </c>
      <c r="BH392" s="308">
        <v>0.0</v>
      </c>
      <c r="BI392" s="308" t="s">
        <v>2959</v>
      </c>
      <c r="BJ392" s="308">
        <v>8.11</v>
      </c>
      <c r="BK392" s="311"/>
      <c r="BL392" s="311"/>
      <c r="BM392" s="311"/>
      <c r="BN392" s="311"/>
      <c r="BO392" s="311"/>
      <c r="BP392" s="311"/>
      <c r="BQ392" s="311"/>
      <c r="BR392" s="311"/>
      <c r="BS392" s="308"/>
      <c r="BT392" s="311"/>
      <c r="BU392" s="311"/>
      <c r="BV392" s="308" t="s">
        <v>5993</v>
      </c>
      <c r="BW392" s="308" t="s">
        <v>5993</v>
      </c>
      <c r="BX392" s="308" t="s">
        <v>3009</v>
      </c>
      <c r="BY392" s="311"/>
      <c r="BZ392" s="311"/>
      <c r="CA392" s="308" t="s">
        <v>3009</v>
      </c>
      <c r="CB392" s="312" t="str">
        <f t="shared" si="1"/>
        <v>21/06/2026</v>
      </c>
      <c r="CC392" s="313">
        <f t="shared" si="2"/>
        <v>2026</v>
      </c>
      <c r="CD392" s="314">
        <f t="shared" si="3"/>
        <v>6</v>
      </c>
      <c r="CE392" s="314">
        <f t="shared" si="4"/>
        <v>0</v>
      </c>
      <c r="CF392" s="314">
        <f t="shared" si="5"/>
        <v>1</v>
      </c>
      <c r="CG392" s="314">
        <f t="shared" si="6"/>
        <v>0</v>
      </c>
      <c r="CH392" s="315">
        <f>VLOOKUP(CL392,'PRODUCT_COGS&amp;PRICE'!A:E,5,false)</f>
        <v>10.71</v>
      </c>
      <c r="CI392" s="315">
        <f t="shared" si="7"/>
        <v>0</v>
      </c>
      <c r="CJ392" s="316">
        <f t="shared" si="8"/>
        <v>0</v>
      </c>
      <c r="CK392" s="316">
        <f t="shared" si="9"/>
        <v>10</v>
      </c>
      <c r="CL392" s="314" t="str">
        <f>VLOOKUP(R392,PRODUCT_MAP!A:B,2,FALSE)</f>
        <v>Nina_Bag_STRIPES_ORANGE_RED</v>
      </c>
      <c r="CM392" s="314" t="str">
        <f>VLOOKUP(R392,PRODUCT_MAP!A:E,3,FALSE)</f>
        <v>Nina Bag</v>
      </c>
    </row>
    <row r="393" ht="22.5" customHeight="1">
      <c r="A393" s="308" t="s">
        <v>5994</v>
      </c>
      <c r="B393" s="308" t="s">
        <v>5995</v>
      </c>
      <c r="C393" s="308" t="s">
        <v>2942</v>
      </c>
      <c r="D393" s="308" t="s">
        <v>5996</v>
      </c>
      <c r="E393" s="308" t="s">
        <v>3013</v>
      </c>
      <c r="F393" s="308"/>
      <c r="G393" s="308" t="s">
        <v>2946</v>
      </c>
      <c r="H393" s="308" t="s">
        <v>2947</v>
      </c>
      <c r="I393" s="308">
        <v>90.0</v>
      </c>
      <c r="J393" s="308">
        <v>3.9</v>
      </c>
      <c r="K393" s="308">
        <v>16.93</v>
      </c>
      <c r="L393" s="308">
        <v>93.9</v>
      </c>
      <c r="M393" s="308" t="s">
        <v>3094</v>
      </c>
      <c r="N393" s="308">
        <v>10.0</v>
      </c>
      <c r="O393" s="308" t="s">
        <v>2948</v>
      </c>
      <c r="P393" s="308" t="s">
        <v>5997</v>
      </c>
      <c r="Q393" s="310">
        <v>1.0</v>
      </c>
      <c r="R393" s="308" t="s">
        <v>5900</v>
      </c>
      <c r="S393" s="308">
        <v>100.0</v>
      </c>
      <c r="T393" s="311"/>
      <c r="U393" s="308" t="s">
        <v>4267</v>
      </c>
      <c r="V393" s="308" t="b">
        <v>1</v>
      </c>
      <c r="W393" s="308" t="b">
        <v>1</v>
      </c>
      <c r="X393" s="308"/>
      <c r="Y393" s="308" t="s">
        <v>5998</v>
      </c>
      <c r="Z393" s="308" t="s">
        <v>5999</v>
      </c>
      <c r="AA393" s="308" t="s">
        <v>5999</v>
      </c>
      <c r="AB393" s="308"/>
      <c r="AC393" s="308"/>
      <c r="AD393" s="308" t="s">
        <v>3081</v>
      </c>
      <c r="AE393" s="308">
        <v>159.0</v>
      </c>
      <c r="AF393" s="308" t="s">
        <v>3082</v>
      </c>
      <c r="AG393" s="308" t="s">
        <v>2955</v>
      </c>
      <c r="AH393" s="308"/>
      <c r="AI393" s="308" t="s">
        <v>5998</v>
      </c>
      <c r="AJ393" s="308" t="s">
        <v>6000</v>
      </c>
      <c r="AK393" s="308" t="s">
        <v>5999</v>
      </c>
      <c r="AL393" s="308" t="s">
        <v>6001</v>
      </c>
      <c r="AM393" s="308"/>
      <c r="AN393" s="308" t="s">
        <v>3081</v>
      </c>
      <c r="AO393" s="308">
        <v>159.0</v>
      </c>
      <c r="AP393" s="308" t="s">
        <v>3082</v>
      </c>
      <c r="AQ393" s="308" t="s">
        <v>2955</v>
      </c>
      <c r="AR393" s="308">
        <v>3.93930726357E11</v>
      </c>
      <c r="AS393" s="311"/>
      <c r="AT393" s="311"/>
      <c r="AU393" s="311"/>
      <c r="AV393" s="308" t="s">
        <v>2956</v>
      </c>
      <c r="AW393" s="308">
        <v>4.8002494071111E13</v>
      </c>
      <c r="AX393" s="310">
        <v>0.0</v>
      </c>
      <c r="AY393" s="308" t="s">
        <v>2974</v>
      </c>
      <c r="AZ393" s="308">
        <v>0.0</v>
      </c>
      <c r="BA393" s="311"/>
      <c r="BB393" s="311"/>
      <c r="BC393" s="311"/>
      <c r="BD393" s="308">
        <v>7.874171339079E12</v>
      </c>
      <c r="BE393" s="311"/>
      <c r="BF393" s="311"/>
      <c r="BG393" s="308" t="s">
        <v>2958</v>
      </c>
      <c r="BH393" s="308">
        <v>0.0</v>
      </c>
      <c r="BI393" s="308" t="s">
        <v>2959</v>
      </c>
      <c r="BJ393" s="308">
        <v>16.23</v>
      </c>
      <c r="BK393" s="311"/>
      <c r="BL393" s="311"/>
      <c r="BM393" s="311"/>
      <c r="BN393" s="311"/>
      <c r="BO393" s="311"/>
      <c r="BP393" s="311"/>
      <c r="BQ393" s="311"/>
      <c r="BR393" s="311"/>
      <c r="BS393" s="308"/>
      <c r="BT393" s="311"/>
      <c r="BU393" s="311"/>
      <c r="BV393" s="308" t="s">
        <v>3081</v>
      </c>
      <c r="BW393" s="308" t="s">
        <v>3081</v>
      </c>
      <c r="BX393" s="308" t="s">
        <v>2956</v>
      </c>
      <c r="BY393" s="311"/>
      <c r="BZ393" s="311"/>
      <c r="CA393" s="308" t="s">
        <v>2956</v>
      </c>
      <c r="CB393" s="312" t="str">
        <f t="shared" si="1"/>
        <v>21/06/2026</v>
      </c>
      <c r="CC393" s="313">
        <f t="shared" si="2"/>
        <v>2026</v>
      </c>
      <c r="CD393" s="314">
        <f t="shared" si="3"/>
        <v>6</v>
      </c>
      <c r="CE393" s="314">
        <f t="shared" si="4"/>
        <v>1</v>
      </c>
      <c r="CF393" s="314">
        <f t="shared" si="5"/>
        <v>1</v>
      </c>
      <c r="CG393" s="314">
        <f t="shared" si="6"/>
        <v>0</v>
      </c>
      <c r="CH393" s="315">
        <f>VLOOKUP(CL393,'PRODUCT_COGS&amp;PRICE'!A:E,5,false)</f>
        <v>16.5</v>
      </c>
      <c r="CI393" s="315">
        <f t="shared" si="7"/>
        <v>-2.0341</v>
      </c>
      <c r="CJ393" s="316">
        <f t="shared" si="8"/>
        <v>0</v>
      </c>
      <c r="CK393" s="316">
        <f t="shared" si="9"/>
        <v>10</v>
      </c>
      <c r="CL393" s="314" t="str">
        <f>VLOOKUP(R393,PRODUCT_MAP!A:B,2,FALSE)</f>
        <v>Annie_Bag_PAILLETTES_NUDE</v>
      </c>
      <c r="CM393" s="314" t="str">
        <f>VLOOKUP(R393,PRODUCT_MAP!A:E,3,FALSE)</f>
        <v/>
      </c>
    </row>
    <row r="394" ht="22.5" customHeight="1">
      <c r="A394" s="308" t="s">
        <v>6002</v>
      </c>
      <c r="B394" s="308" t="s">
        <v>6003</v>
      </c>
      <c r="C394" s="308" t="s">
        <v>2942</v>
      </c>
      <c r="D394" s="308" t="s">
        <v>6004</v>
      </c>
      <c r="E394" s="308" t="s">
        <v>3013</v>
      </c>
      <c r="F394" s="308"/>
      <c r="G394" s="308" t="s">
        <v>2946</v>
      </c>
      <c r="H394" s="308" t="s">
        <v>2947</v>
      </c>
      <c r="I394" s="308">
        <v>81.0</v>
      </c>
      <c r="J394" s="308">
        <v>3.9</v>
      </c>
      <c r="K394" s="308">
        <v>15.31</v>
      </c>
      <c r="L394" s="308">
        <v>84.9</v>
      </c>
      <c r="M394" s="308" t="s">
        <v>3094</v>
      </c>
      <c r="N394" s="308">
        <v>9.0</v>
      </c>
      <c r="O394" s="308" t="s">
        <v>2948</v>
      </c>
      <c r="P394" s="308" t="s">
        <v>6005</v>
      </c>
      <c r="Q394" s="310">
        <v>1.0</v>
      </c>
      <c r="R394" s="308" t="s">
        <v>4697</v>
      </c>
      <c r="S394" s="308">
        <v>90.0</v>
      </c>
      <c r="T394" s="311"/>
      <c r="U394" s="308" t="s">
        <v>4937</v>
      </c>
      <c r="V394" s="308" t="b">
        <v>1</v>
      </c>
      <c r="W394" s="308" t="b">
        <v>1</v>
      </c>
      <c r="X394" s="308"/>
      <c r="Y394" s="308" t="s">
        <v>6006</v>
      </c>
      <c r="Z394" s="308" t="s">
        <v>6007</v>
      </c>
      <c r="AA394" s="308" t="s">
        <v>6007</v>
      </c>
      <c r="AB394" s="308"/>
      <c r="AC394" s="308"/>
      <c r="AD394" s="308" t="s">
        <v>3228</v>
      </c>
      <c r="AE394" s="308">
        <v>90144.0</v>
      </c>
      <c r="AF394" s="308" t="s">
        <v>3227</v>
      </c>
      <c r="AG394" s="308" t="s">
        <v>2955</v>
      </c>
      <c r="AH394" s="308">
        <v>3.275509547E9</v>
      </c>
      <c r="AI394" s="308" t="s">
        <v>6006</v>
      </c>
      <c r="AJ394" s="308" t="s">
        <v>6007</v>
      </c>
      <c r="AK394" s="308" t="s">
        <v>6007</v>
      </c>
      <c r="AL394" s="308"/>
      <c r="AM394" s="308"/>
      <c r="AN394" s="308" t="s">
        <v>3228</v>
      </c>
      <c r="AO394" s="308">
        <v>90144.0</v>
      </c>
      <c r="AP394" s="308" t="s">
        <v>3227</v>
      </c>
      <c r="AQ394" s="308" t="s">
        <v>2955</v>
      </c>
      <c r="AR394" s="308">
        <v>3.275509547E9</v>
      </c>
      <c r="AS394" s="311"/>
      <c r="AT394" s="311"/>
      <c r="AU394" s="311"/>
      <c r="AV394" s="308" t="s">
        <v>3009</v>
      </c>
      <c r="AW394" s="308">
        <v>4.8004655677767E13</v>
      </c>
      <c r="AX394" s="310">
        <v>0.0</v>
      </c>
      <c r="AY394" s="308" t="s">
        <v>2974</v>
      </c>
      <c r="AZ394" s="308">
        <v>0.0</v>
      </c>
      <c r="BA394" s="311"/>
      <c r="BB394" s="311"/>
      <c r="BC394" s="311"/>
      <c r="BD394" s="308">
        <v>7.875302097223E12</v>
      </c>
      <c r="BE394" s="311"/>
      <c r="BF394" s="311"/>
      <c r="BG394" s="308" t="s">
        <v>2958</v>
      </c>
      <c r="BH394" s="308">
        <v>0.0</v>
      </c>
      <c r="BI394" s="308" t="s">
        <v>2959</v>
      </c>
      <c r="BJ394" s="308">
        <v>14.61</v>
      </c>
      <c r="BK394" s="311"/>
      <c r="BL394" s="311"/>
      <c r="BM394" s="311"/>
      <c r="BN394" s="311"/>
      <c r="BO394" s="311"/>
      <c r="BP394" s="311"/>
      <c r="BQ394" s="311"/>
      <c r="BR394" s="311"/>
      <c r="BS394" s="308"/>
      <c r="BT394" s="311"/>
      <c r="BU394" s="311"/>
      <c r="BV394" s="308" t="s">
        <v>3228</v>
      </c>
      <c r="BW394" s="308" t="s">
        <v>3228</v>
      </c>
      <c r="BX394" s="308" t="s">
        <v>3009</v>
      </c>
      <c r="BY394" s="311"/>
      <c r="BZ394" s="311"/>
      <c r="CA394" s="308" t="s">
        <v>3009</v>
      </c>
      <c r="CB394" s="312" t="str">
        <f t="shared" si="1"/>
        <v>21/06/2026</v>
      </c>
      <c r="CC394" s="313">
        <f t="shared" si="2"/>
        <v>2026</v>
      </c>
      <c r="CD394" s="314">
        <f t="shared" si="3"/>
        <v>6</v>
      </c>
      <c r="CE394" s="314">
        <f t="shared" si="4"/>
        <v>1</v>
      </c>
      <c r="CF394" s="314">
        <f t="shared" si="5"/>
        <v>1</v>
      </c>
      <c r="CG394" s="314">
        <f t="shared" si="6"/>
        <v>0</v>
      </c>
      <c r="CH394" s="315">
        <f>VLOOKUP(CL394,'PRODUCT_COGS&amp;PRICE'!A:E,5,false)</f>
        <v>16.5</v>
      </c>
      <c r="CI394" s="315">
        <f t="shared" si="7"/>
        <v>-3.31301</v>
      </c>
      <c r="CJ394" s="316">
        <f t="shared" si="8"/>
        <v>0</v>
      </c>
      <c r="CK394" s="316">
        <f t="shared" si="9"/>
        <v>9</v>
      </c>
      <c r="CL394" s="314" t="str">
        <f>VLOOKUP(R394,PRODUCT_MAP!A:B,2,FALSE)</f>
        <v>Annie_Bag_PINK</v>
      </c>
      <c r="CM394" s="314" t="str">
        <f>VLOOKUP(R394,PRODUCT_MAP!A:E,3,FALSE)</f>
        <v/>
      </c>
    </row>
    <row r="395" ht="22.5" customHeight="1">
      <c r="A395" s="308" t="s">
        <v>6008</v>
      </c>
      <c r="B395" s="308" t="s">
        <v>6009</v>
      </c>
      <c r="C395" s="308" t="s">
        <v>2942</v>
      </c>
      <c r="D395" s="308" t="s">
        <v>6010</v>
      </c>
      <c r="E395" s="308" t="s">
        <v>3013</v>
      </c>
      <c r="F395" s="308"/>
      <c r="G395" s="308" t="s">
        <v>2965</v>
      </c>
      <c r="H395" s="308" t="s">
        <v>2947</v>
      </c>
      <c r="I395" s="308">
        <v>90.0</v>
      </c>
      <c r="J395" s="308">
        <v>3.9</v>
      </c>
      <c r="K395" s="308">
        <v>16.93</v>
      </c>
      <c r="L395" s="308">
        <v>93.9</v>
      </c>
      <c r="M395" s="308"/>
      <c r="N395" s="308">
        <v>0.0</v>
      </c>
      <c r="O395" s="308" t="s">
        <v>2948</v>
      </c>
      <c r="P395" s="308" t="s">
        <v>6011</v>
      </c>
      <c r="Q395" s="310">
        <v>1.0</v>
      </c>
      <c r="R395" s="308" t="s">
        <v>6012</v>
      </c>
      <c r="S395" s="308">
        <v>90.0</v>
      </c>
      <c r="T395" s="311"/>
      <c r="U395" s="308" t="s">
        <v>6013</v>
      </c>
      <c r="V395" s="308" t="b">
        <v>1</v>
      </c>
      <c r="W395" s="308" t="b">
        <v>1</v>
      </c>
      <c r="X395" s="308"/>
      <c r="Y395" s="308" t="s">
        <v>6014</v>
      </c>
      <c r="Z395" s="308" t="s">
        <v>6015</v>
      </c>
      <c r="AA395" s="308" t="s">
        <v>6015</v>
      </c>
      <c r="AB395" s="308"/>
      <c r="AC395" s="308"/>
      <c r="AD395" s="308" t="s">
        <v>3081</v>
      </c>
      <c r="AE395" s="308">
        <v>151.0</v>
      </c>
      <c r="AF395" s="308" t="s">
        <v>3082</v>
      </c>
      <c r="AG395" s="308" t="s">
        <v>2955</v>
      </c>
      <c r="AH395" s="308">
        <v>3.478684639E9</v>
      </c>
      <c r="AI395" s="308" t="s">
        <v>6014</v>
      </c>
      <c r="AJ395" s="308" t="s">
        <v>6015</v>
      </c>
      <c r="AK395" s="308" t="s">
        <v>6015</v>
      </c>
      <c r="AL395" s="308"/>
      <c r="AM395" s="308"/>
      <c r="AN395" s="308" t="s">
        <v>3081</v>
      </c>
      <c r="AO395" s="308">
        <v>151.0</v>
      </c>
      <c r="AP395" s="308" t="s">
        <v>3082</v>
      </c>
      <c r="AQ395" s="308" t="s">
        <v>2955</v>
      </c>
      <c r="AR395" s="308">
        <v>3.478684639E9</v>
      </c>
      <c r="AS395" s="311"/>
      <c r="AT395" s="311"/>
      <c r="AU395" s="311"/>
      <c r="AV395" s="308" t="s">
        <v>3009</v>
      </c>
      <c r="AW395" s="308">
        <v>4.8005134090567E13</v>
      </c>
      <c r="AX395" s="310">
        <v>0.0</v>
      </c>
      <c r="AY395" s="308" t="s">
        <v>2974</v>
      </c>
      <c r="AZ395" s="308">
        <v>0.0</v>
      </c>
      <c r="BA395" s="311"/>
      <c r="BB395" s="311"/>
      <c r="BC395" s="311"/>
      <c r="BD395" s="308">
        <v>7.875647373639E12</v>
      </c>
      <c r="BE395" s="311"/>
      <c r="BF395" s="311"/>
      <c r="BG395" s="308" t="s">
        <v>2958</v>
      </c>
      <c r="BH395" s="308">
        <v>0.0</v>
      </c>
      <c r="BI395" s="308" t="s">
        <v>2959</v>
      </c>
      <c r="BJ395" s="308">
        <v>16.23</v>
      </c>
      <c r="BK395" s="311"/>
      <c r="BL395" s="311"/>
      <c r="BM395" s="311"/>
      <c r="BN395" s="311"/>
      <c r="BO395" s="311"/>
      <c r="BP395" s="311"/>
      <c r="BQ395" s="311"/>
      <c r="BR395" s="311"/>
      <c r="BS395" s="308"/>
      <c r="BT395" s="311"/>
      <c r="BU395" s="311"/>
      <c r="BV395" s="308" t="s">
        <v>3081</v>
      </c>
      <c r="BW395" s="308" t="s">
        <v>3081</v>
      </c>
      <c r="BX395" s="308" t="s">
        <v>3009</v>
      </c>
      <c r="BY395" s="311"/>
      <c r="BZ395" s="311"/>
      <c r="CA395" s="308" t="s">
        <v>3009</v>
      </c>
      <c r="CB395" s="312" t="str">
        <f t="shared" si="1"/>
        <v>21/06/2026</v>
      </c>
      <c r="CC395" s="313">
        <f t="shared" si="2"/>
        <v>2026</v>
      </c>
      <c r="CD395" s="314">
        <f t="shared" si="3"/>
        <v>6</v>
      </c>
      <c r="CE395" s="314">
        <f t="shared" si="4"/>
        <v>1</v>
      </c>
      <c r="CF395" s="314">
        <f t="shared" si="5"/>
        <v>1</v>
      </c>
      <c r="CG395" s="314">
        <f t="shared" si="6"/>
        <v>0</v>
      </c>
      <c r="CH395" s="315">
        <f>VLOOKUP(CL395,'PRODUCT_COGS&amp;PRICE'!A:E,5,false)</f>
        <v>19</v>
      </c>
      <c r="CI395" s="315">
        <f t="shared" si="7"/>
        <v>-3.62711</v>
      </c>
      <c r="CJ395" s="316">
        <f t="shared" si="8"/>
        <v>0</v>
      </c>
      <c r="CK395" s="316">
        <f t="shared" si="9"/>
        <v>0</v>
      </c>
      <c r="CL395" s="314" t="str">
        <f>VLOOKUP(R395,PRODUCT_MAP!A:B,2,FALSE)</f>
        <v>Agata_Bag_FLORAL_LIGHT_GREY</v>
      </c>
      <c r="CM395" s="314" t="str">
        <f>VLOOKUP(R395,PRODUCT_MAP!A:E,3,FALSE)</f>
        <v>Agata Bag</v>
      </c>
    </row>
    <row r="396" ht="22.5" customHeight="1">
      <c r="A396" s="308" t="s">
        <v>6016</v>
      </c>
      <c r="B396" s="308" t="s">
        <v>6017</v>
      </c>
      <c r="C396" s="308" t="s">
        <v>2942</v>
      </c>
      <c r="D396" s="308" t="s">
        <v>6018</v>
      </c>
      <c r="E396" s="308" t="s">
        <v>3013</v>
      </c>
      <c r="F396" s="308"/>
      <c r="G396" s="308" t="s">
        <v>2946</v>
      </c>
      <c r="H396" s="308" t="s">
        <v>2947</v>
      </c>
      <c r="I396" s="308">
        <v>108.0</v>
      </c>
      <c r="J396" s="308">
        <v>0.0</v>
      </c>
      <c r="K396" s="308">
        <v>19.48</v>
      </c>
      <c r="L396" s="308">
        <v>108.0</v>
      </c>
      <c r="M396" s="308" t="s">
        <v>3094</v>
      </c>
      <c r="N396" s="308">
        <v>12.0</v>
      </c>
      <c r="O396" s="308" t="s">
        <v>2948</v>
      </c>
      <c r="P396" s="308" t="s">
        <v>6019</v>
      </c>
      <c r="Q396" s="310">
        <v>1.0</v>
      </c>
      <c r="R396" s="308" t="s">
        <v>509</v>
      </c>
      <c r="S396" s="308">
        <v>120.0</v>
      </c>
      <c r="T396" s="311"/>
      <c r="U396" s="308" t="s">
        <v>161</v>
      </c>
      <c r="V396" s="308" t="b">
        <v>1</v>
      </c>
      <c r="W396" s="308" t="b">
        <v>1</v>
      </c>
      <c r="X396" s="308"/>
      <c r="Y396" s="308" t="s">
        <v>6020</v>
      </c>
      <c r="Z396" s="308" t="s">
        <v>6021</v>
      </c>
      <c r="AA396" s="308" t="s">
        <v>6021</v>
      </c>
      <c r="AB396" s="308"/>
      <c r="AC396" s="308"/>
      <c r="AD396" s="308" t="s">
        <v>6022</v>
      </c>
      <c r="AE396" s="308">
        <v>26839.0</v>
      </c>
      <c r="AF396" s="308" t="s">
        <v>5230</v>
      </c>
      <c r="AG396" s="308" t="s">
        <v>2955</v>
      </c>
      <c r="AH396" s="308">
        <v>3.386941077E9</v>
      </c>
      <c r="AI396" s="308" t="s">
        <v>6020</v>
      </c>
      <c r="AJ396" s="308" t="s">
        <v>6021</v>
      </c>
      <c r="AK396" s="308" t="s">
        <v>6021</v>
      </c>
      <c r="AL396" s="308"/>
      <c r="AM396" s="308"/>
      <c r="AN396" s="308" t="s">
        <v>6022</v>
      </c>
      <c r="AO396" s="308">
        <v>26839.0</v>
      </c>
      <c r="AP396" s="308" t="s">
        <v>5230</v>
      </c>
      <c r="AQ396" s="308" t="s">
        <v>2955</v>
      </c>
      <c r="AR396" s="308">
        <v>3.386941077E9</v>
      </c>
      <c r="AS396" s="311"/>
      <c r="AT396" s="311"/>
      <c r="AU396" s="311"/>
      <c r="AV396" s="308" t="s">
        <v>2956</v>
      </c>
      <c r="AW396" s="308">
        <v>4.8006831898951E13</v>
      </c>
      <c r="AX396" s="310">
        <v>0.0</v>
      </c>
      <c r="AY396" s="308" t="s">
        <v>2974</v>
      </c>
      <c r="AZ396" s="308">
        <v>0.0</v>
      </c>
      <c r="BA396" s="311"/>
      <c r="BB396" s="311"/>
      <c r="BC396" s="311"/>
      <c r="BD396" s="308">
        <v>7.876565696839E12</v>
      </c>
      <c r="BE396" s="311"/>
      <c r="BF396" s="311"/>
      <c r="BG396" s="308" t="s">
        <v>2958</v>
      </c>
      <c r="BH396" s="308">
        <v>0.0</v>
      </c>
      <c r="BI396" s="308" t="s">
        <v>2959</v>
      </c>
      <c r="BJ396" s="308">
        <v>19.48</v>
      </c>
      <c r="BK396" s="311"/>
      <c r="BL396" s="311"/>
      <c r="BM396" s="311"/>
      <c r="BN396" s="311"/>
      <c r="BO396" s="311"/>
      <c r="BP396" s="311"/>
      <c r="BQ396" s="311"/>
      <c r="BR396" s="311"/>
      <c r="BS396" s="308"/>
      <c r="BT396" s="311"/>
      <c r="BU396" s="311"/>
      <c r="BV396" s="308" t="s">
        <v>5229</v>
      </c>
      <c r="BW396" s="308" t="s">
        <v>5229</v>
      </c>
      <c r="BX396" s="308" t="s">
        <v>2956</v>
      </c>
      <c r="BY396" s="311"/>
      <c r="BZ396" s="311"/>
      <c r="CA396" s="308" t="s">
        <v>2956</v>
      </c>
      <c r="CB396" s="312" t="str">
        <f t="shared" si="1"/>
        <v>22/06/2026</v>
      </c>
      <c r="CC396" s="313">
        <f t="shared" si="2"/>
        <v>2026</v>
      </c>
      <c r="CD396" s="314">
        <f t="shared" si="3"/>
        <v>6</v>
      </c>
      <c r="CE396" s="314">
        <f t="shared" si="4"/>
        <v>1</v>
      </c>
      <c r="CF396" s="314">
        <f t="shared" si="5"/>
        <v>1</v>
      </c>
      <c r="CG396" s="314">
        <f t="shared" si="6"/>
        <v>-5</v>
      </c>
      <c r="CH396" s="315">
        <f>VLOOKUP(CL396,'PRODUCT_COGS&amp;PRICE'!A:E,5,false)</f>
        <v>30.33</v>
      </c>
      <c r="CI396" s="315">
        <f t="shared" si="7"/>
        <v>-2.302</v>
      </c>
      <c r="CJ396" s="316">
        <f t="shared" si="8"/>
        <v>0</v>
      </c>
      <c r="CK396" s="316">
        <f t="shared" si="9"/>
        <v>12</v>
      </c>
      <c r="CL396" s="314" t="str">
        <f>VLOOKUP(R396,PRODUCT_MAP!A:B,2,FALSE)</f>
        <v>Lea_Bag_COCCO_BLACK</v>
      </c>
      <c r="CM396" s="314" t="str">
        <f>VLOOKUP(R396,PRODUCT_MAP!A:E,3,FALSE)</f>
        <v>Lea Bag</v>
      </c>
    </row>
    <row r="397" ht="22.5" customHeight="1">
      <c r="A397" s="308" t="s">
        <v>6023</v>
      </c>
      <c r="B397" s="308" t="s">
        <v>6024</v>
      </c>
      <c r="C397" s="308" t="s">
        <v>2942</v>
      </c>
      <c r="D397" s="308" t="s">
        <v>6025</v>
      </c>
      <c r="E397" s="308" t="s">
        <v>3013</v>
      </c>
      <c r="F397" s="308"/>
      <c r="G397" s="308" t="s">
        <v>2946</v>
      </c>
      <c r="H397" s="308" t="s">
        <v>2947</v>
      </c>
      <c r="I397" s="308">
        <v>81.0</v>
      </c>
      <c r="J397" s="308">
        <v>3.9</v>
      </c>
      <c r="K397" s="308">
        <v>15.31</v>
      </c>
      <c r="L397" s="308">
        <v>84.9</v>
      </c>
      <c r="M397" s="308" t="s">
        <v>3094</v>
      </c>
      <c r="N397" s="308">
        <v>9.0</v>
      </c>
      <c r="O397" s="308" t="s">
        <v>2948</v>
      </c>
      <c r="P397" s="308" t="s">
        <v>6026</v>
      </c>
      <c r="Q397" s="310">
        <v>1.0</v>
      </c>
      <c r="R397" s="308" t="s">
        <v>6027</v>
      </c>
      <c r="S397" s="308">
        <v>90.0</v>
      </c>
      <c r="T397" s="311"/>
      <c r="U397" s="308" t="s">
        <v>6028</v>
      </c>
      <c r="V397" s="308" t="b">
        <v>1</v>
      </c>
      <c r="W397" s="308" t="b">
        <v>1</v>
      </c>
      <c r="X397" s="308"/>
      <c r="Y397" s="308" t="s">
        <v>6029</v>
      </c>
      <c r="Z397" s="308" t="s">
        <v>6030</v>
      </c>
      <c r="AA397" s="308" t="s">
        <v>6030</v>
      </c>
      <c r="AB397" s="308"/>
      <c r="AC397" s="308"/>
      <c r="AD397" s="308" t="s">
        <v>6031</v>
      </c>
      <c r="AE397" s="308">
        <v>34139.0</v>
      </c>
      <c r="AF397" s="308" t="s">
        <v>6032</v>
      </c>
      <c r="AG397" s="308" t="s">
        <v>2955</v>
      </c>
      <c r="AH397" s="308">
        <v>3.47325479E9</v>
      </c>
      <c r="AI397" s="308" t="s">
        <v>6029</v>
      </c>
      <c r="AJ397" s="308" t="s">
        <v>6030</v>
      </c>
      <c r="AK397" s="308" t="s">
        <v>6030</v>
      </c>
      <c r="AL397" s="308"/>
      <c r="AM397" s="308"/>
      <c r="AN397" s="308" t="s">
        <v>6031</v>
      </c>
      <c r="AO397" s="308">
        <v>34139.0</v>
      </c>
      <c r="AP397" s="308" t="s">
        <v>6032</v>
      </c>
      <c r="AQ397" s="308" t="s">
        <v>2955</v>
      </c>
      <c r="AR397" s="308">
        <v>3.47325479E9</v>
      </c>
      <c r="AS397" s="311"/>
      <c r="AT397" s="311"/>
      <c r="AU397" s="311"/>
      <c r="AV397" s="308" t="s">
        <v>3009</v>
      </c>
      <c r="AW397" s="308">
        <v>4.8007468450119E13</v>
      </c>
      <c r="AX397" s="310">
        <v>0.0</v>
      </c>
      <c r="AY397" s="308" t="s">
        <v>2974</v>
      </c>
      <c r="AZ397" s="308">
        <v>0.0</v>
      </c>
      <c r="BA397" s="311"/>
      <c r="BB397" s="311"/>
      <c r="BC397" s="311"/>
      <c r="BD397" s="308">
        <v>7.876890362183E12</v>
      </c>
      <c r="BE397" s="311"/>
      <c r="BF397" s="311"/>
      <c r="BG397" s="308" t="s">
        <v>2958</v>
      </c>
      <c r="BH397" s="308">
        <v>0.0</v>
      </c>
      <c r="BI397" s="308" t="s">
        <v>2959</v>
      </c>
      <c r="BJ397" s="308">
        <v>14.61</v>
      </c>
      <c r="BK397" s="311"/>
      <c r="BL397" s="311"/>
      <c r="BM397" s="311"/>
      <c r="BN397" s="311"/>
      <c r="BO397" s="311"/>
      <c r="BP397" s="311"/>
      <c r="BQ397" s="311"/>
      <c r="BR397" s="311"/>
      <c r="BS397" s="308"/>
      <c r="BT397" s="311"/>
      <c r="BU397" s="311"/>
      <c r="BV397" s="308" t="s">
        <v>6031</v>
      </c>
      <c r="BW397" s="308" t="s">
        <v>6031</v>
      </c>
      <c r="BX397" s="308" t="s">
        <v>3009</v>
      </c>
      <c r="BY397" s="311"/>
      <c r="BZ397" s="311"/>
      <c r="CA397" s="308" t="s">
        <v>3009</v>
      </c>
      <c r="CB397" s="312" t="str">
        <f t="shared" si="1"/>
        <v>22/06/2026</v>
      </c>
      <c r="CC397" s="313">
        <f t="shared" si="2"/>
        <v>2026</v>
      </c>
      <c r="CD397" s="314">
        <f t="shared" si="3"/>
        <v>6</v>
      </c>
      <c r="CE397" s="314">
        <f t="shared" si="4"/>
        <v>1</v>
      </c>
      <c r="CF397" s="314">
        <f t="shared" si="5"/>
        <v>1</v>
      </c>
      <c r="CG397" s="314">
        <f t="shared" si="6"/>
        <v>0</v>
      </c>
      <c r="CH397" s="315">
        <f>VLOOKUP(CL397,'PRODUCT_COGS&amp;PRICE'!A:E,5,false)</f>
        <v>16.5</v>
      </c>
      <c r="CI397" s="315">
        <f t="shared" si="7"/>
        <v>-3.31301</v>
      </c>
      <c r="CJ397" s="316">
        <f t="shared" si="8"/>
        <v>0</v>
      </c>
      <c r="CK397" s="316">
        <f t="shared" si="9"/>
        <v>9</v>
      </c>
      <c r="CL397" s="314" t="str">
        <f>VLOOKUP(R397,PRODUCT_MAP!A:B,2,FALSE)</f>
        <v>Annie_Bag_BROWN</v>
      </c>
      <c r="CM397" s="314" t="str">
        <f>VLOOKUP(R397,PRODUCT_MAP!A:E,3,FALSE)</f>
        <v>Annie Bag Silk</v>
      </c>
    </row>
    <row r="398" ht="22.5" customHeight="1">
      <c r="A398" s="308" t="s">
        <v>6033</v>
      </c>
      <c r="B398" s="308" t="s">
        <v>6034</v>
      </c>
      <c r="C398" s="308" t="s">
        <v>2942</v>
      </c>
      <c r="D398" s="308" t="s">
        <v>6035</v>
      </c>
      <c r="E398" s="308" t="s">
        <v>3013</v>
      </c>
      <c r="F398" s="308"/>
      <c r="G398" s="308" t="s">
        <v>2946</v>
      </c>
      <c r="H398" s="308" t="s">
        <v>2947</v>
      </c>
      <c r="I398" s="308">
        <v>80.0</v>
      </c>
      <c r="J398" s="308">
        <v>0.0</v>
      </c>
      <c r="K398" s="308">
        <v>14.43</v>
      </c>
      <c r="L398" s="308">
        <v>80.0</v>
      </c>
      <c r="M398" s="308"/>
      <c r="N398" s="308">
        <v>0.0</v>
      </c>
      <c r="O398" s="308" t="s">
        <v>2979</v>
      </c>
      <c r="P398" s="308" t="s">
        <v>6035</v>
      </c>
      <c r="Q398" s="310">
        <v>1.0</v>
      </c>
      <c r="R398" s="308" t="s">
        <v>5821</v>
      </c>
      <c r="S398" s="308">
        <v>80.0</v>
      </c>
      <c r="T398" s="311"/>
      <c r="U398" s="308" t="s">
        <v>5822</v>
      </c>
      <c r="V398" s="308" t="b">
        <v>1</v>
      </c>
      <c r="W398" s="308" t="b">
        <v>1</v>
      </c>
      <c r="X398" s="308"/>
      <c r="Y398" s="308" t="s">
        <v>6036</v>
      </c>
      <c r="Z398" s="308" t="s">
        <v>6037</v>
      </c>
      <c r="AA398" s="308" t="s">
        <v>6037</v>
      </c>
      <c r="AB398" s="308"/>
      <c r="AC398" s="308"/>
      <c r="AD398" s="308" t="s">
        <v>4506</v>
      </c>
      <c r="AE398" s="308">
        <v>20026.0</v>
      </c>
      <c r="AF398" s="308" t="s">
        <v>2954</v>
      </c>
      <c r="AG398" s="308" t="s">
        <v>2955</v>
      </c>
      <c r="AH398" s="308">
        <v>3.343930353E9</v>
      </c>
      <c r="AI398" s="308"/>
      <c r="AJ398" s="308"/>
      <c r="AK398" s="308"/>
      <c r="AL398" s="308"/>
      <c r="AM398" s="308"/>
      <c r="AN398" s="308"/>
      <c r="AO398" s="308"/>
      <c r="AP398" s="308"/>
      <c r="AQ398" s="308"/>
      <c r="AR398" s="308"/>
      <c r="AS398" s="311"/>
      <c r="AT398" s="311"/>
      <c r="AU398" s="311"/>
      <c r="AV398" s="308" t="s">
        <v>3009</v>
      </c>
      <c r="AW398" s="308">
        <v>4.8007608598855E13</v>
      </c>
      <c r="AX398" s="310">
        <v>0.0</v>
      </c>
      <c r="AY398" s="308" t="s">
        <v>2974</v>
      </c>
      <c r="AZ398" s="308">
        <v>0.0</v>
      </c>
      <c r="BA398" s="311"/>
      <c r="BB398" s="311"/>
      <c r="BC398" s="311"/>
      <c r="BD398" s="308">
        <v>7.876973494599E12</v>
      </c>
      <c r="BE398" s="311"/>
      <c r="BF398" s="311"/>
      <c r="BG398" s="308" t="s">
        <v>2958</v>
      </c>
      <c r="BH398" s="308">
        <v>0.0</v>
      </c>
      <c r="BI398" s="308" t="s">
        <v>2959</v>
      </c>
      <c r="BJ398" s="308">
        <v>14.43</v>
      </c>
      <c r="BK398" s="311"/>
      <c r="BL398" s="311"/>
      <c r="BM398" s="311"/>
      <c r="BN398" s="311"/>
      <c r="BO398" s="311"/>
      <c r="BP398" s="311"/>
      <c r="BQ398" s="311"/>
      <c r="BR398" s="311"/>
      <c r="BS398" s="308"/>
      <c r="BT398" s="311"/>
      <c r="BU398" s="311"/>
      <c r="BV398" s="308" t="s">
        <v>23</v>
      </c>
      <c r="BW398" s="308"/>
      <c r="BX398" s="308" t="s">
        <v>3009</v>
      </c>
      <c r="BY398" s="311"/>
      <c r="BZ398" s="311"/>
      <c r="CA398" s="308" t="s">
        <v>3009</v>
      </c>
      <c r="CB398" s="312" t="str">
        <f t="shared" si="1"/>
        <v>22/06/2026</v>
      </c>
      <c r="CC398" s="313">
        <f t="shared" si="2"/>
        <v>2026</v>
      </c>
      <c r="CD398" s="314">
        <f t="shared" si="3"/>
        <v>6</v>
      </c>
      <c r="CE398" s="314">
        <f t="shared" si="4"/>
        <v>1</v>
      </c>
      <c r="CF398" s="314">
        <f t="shared" si="5"/>
        <v>1</v>
      </c>
      <c r="CG398" s="314">
        <f t="shared" si="6"/>
        <v>-5</v>
      </c>
      <c r="CH398" s="315">
        <f>VLOOKUP(CL398,'PRODUCT_COGS&amp;PRICE'!A:E,5,false)</f>
        <v>19</v>
      </c>
      <c r="CI398" s="315">
        <f t="shared" si="7"/>
        <v>-3.142</v>
      </c>
      <c r="CJ398" s="316">
        <f t="shared" si="8"/>
        <v>0</v>
      </c>
      <c r="CK398" s="316">
        <f t="shared" si="9"/>
        <v>0</v>
      </c>
      <c r="CL398" s="314" t="str">
        <f>VLOOKUP(R398,PRODUCT_MAP!A:B,2,FALSE)</f>
        <v>Agata_Bag_FLORAL_LIGHT_BLUE</v>
      </c>
      <c r="CM398" s="314" t="str">
        <f>VLOOKUP(R398,PRODUCT_MAP!A:E,3,FALSE)</f>
        <v>Agata Bag</v>
      </c>
    </row>
    <row r="399" ht="22.5" customHeight="1">
      <c r="A399" s="308" t="s">
        <v>6038</v>
      </c>
      <c r="B399" s="308" t="s">
        <v>6039</v>
      </c>
      <c r="C399" s="308" t="s">
        <v>2942</v>
      </c>
      <c r="D399" s="308" t="s">
        <v>6040</v>
      </c>
      <c r="E399" s="308" t="s">
        <v>3013</v>
      </c>
      <c r="F399" s="308"/>
      <c r="G399" s="308" t="s">
        <v>2946</v>
      </c>
      <c r="H399" s="308" t="s">
        <v>2947</v>
      </c>
      <c r="I399" s="308">
        <v>81.0</v>
      </c>
      <c r="J399" s="308">
        <v>3.9</v>
      </c>
      <c r="K399" s="308">
        <v>15.31</v>
      </c>
      <c r="L399" s="308">
        <v>84.9</v>
      </c>
      <c r="M399" s="308" t="s">
        <v>3094</v>
      </c>
      <c r="N399" s="308">
        <v>9.0</v>
      </c>
      <c r="O399" s="308" t="s">
        <v>2948</v>
      </c>
      <c r="P399" s="308" t="s">
        <v>6041</v>
      </c>
      <c r="Q399" s="310">
        <v>1.0</v>
      </c>
      <c r="R399" s="308" t="s">
        <v>4697</v>
      </c>
      <c r="S399" s="308">
        <v>90.0</v>
      </c>
      <c r="T399" s="311"/>
      <c r="U399" s="308" t="s">
        <v>4937</v>
      </c>
      <c r="V399" s="308" t="b">
        <v>1</v>
      </c>
      <c r="W399" s="308" t="b">
        <v>1</v>
      </c>
      <c r="X399" s="308"/>
      <c r="Y399" s="308" t="s">
        <v>6042</v>
      </c>
      <c r="Z399" s="308" t="s">
        <v>6043</v>
      </c>
      <c r="AA399" s="308" t="s">
        <v>6043</v>
      </c>
      <c r="AB399" s="308"/>
      <c r="AC399" s="308"/>
      <c r="AD399" s="308" t="s">
        <v>6044</v>
      </c>
      <c r="AE399" s="308">
        <v>41043.0</v>
      </c>
      <c r="AF399" s="308" t="s">
        <v>3047</v>
      </c>
      <c r="AG399" s="308" t="s">
        <v>2955</v>
      </c>
      <c r="AH399" s="318" t="s">
        <v>6045</v>
      </c>
      <c r="AI399" s="308" t="s">
        <v>6042</v>
      </c>
      <c r="AJ399" s="308" t="s">
        <v>6043</v>
      </c>
      <c r="AK399" s="308" t="s">
        <v>6043</v>
      </c>
      <c r="AL399" s="308"/>
      <c r="AM399" s="308"/>
      <c r="AN399" s="308" t="s">
        <v>6044</v>
      </c>
      <c r="AO399" s="308">
        <v>41043.0</v>
      </c>
      <c r="AP399" s="308" t="s">
        <v>3047</v>
      </c>
      <c r="AQ399" s="308" t="s">
        <v>2955</v>
      </c>
      <c r="AR399" s="318" t="s">
        <v>6045</v>
      </c>
      <c r="AS399" s="311"/>
      <c r="AT399" s="311"/>
      <c r="AU399" s="311"/>
      <c r="AV399" s="308" t="s">
        <v>3009</v>
      </c>
      <c r="AW399" s="308">
        <v>4.8008185053511E13</v>
      </c>
      <c r="AX399" s="310">
        <v>0.0</v>
      </c>
      <c r="AY399" s="308" t="s">
        <v>2974</v>
      </c>
      <c r="AZ399" s="308">
        <v>0.0</v>
      </c>
      <c r="BA399" s="311"/>
      <c r="BB399" s="311"/>
      <c r="BC399" s="311"/>
      <c r="BD399" s="308">
        <v>7.877789811015E12</v>
      </c>
      <c r="BE399" s="311"/>
      <c r="BF399" s="311"/>
      <c r="BG399" s="308" t="s">
        <v>2958</v>
      </c>
      <c r="BH399" s="308">
        <v>0.0</v>
      </c>
      <c r="BI399" s="308" t="s">
        <v>2959</v>
      </c>
      <c r="BJ399" s="308">
        <v>14.61</v>
      </c>
      <c r="BK399" s="311"/>
      <c r="BL399" s="311"/>
      <c r="BM399" s="311"/>
      <c r="BN399" s="311"/>
      <c r="BO399" s="311"/>
      <c r="BP399" s="311"/>
      <c r="BQ399" s="311"/>
      <c r="BR399" s="311"/>
      <c r="BS399" s="308"/>
      <c r="BT399" s="311"/>
      <c r="BU399" s="311"/>
      <c r="BV399" s="308" t="s">
        <v>3049</v>
      </c>
      <c r="BW399" s="308" t="s">
        <v>3049</v>
      </c>
      <c r="BX399" s="308" t="s">
        <v>3009</v>
      </c>
      <c r="BY399" s="311"/>
      <c r="BZ399" s="311"/>
      <c r="CA399" s="308" t="s">
        <v>3009</v>
      </c>
      <c r="CB399" s="312" t="str">
        <f t="shared" si="1"/>
        <v>22/06/2026</v>
      </c>
      <c r="CC399" s="313">
        <f t="shared" si="2"/>
        <v>2026</v>
      </c>
      <c r="CD399" s="314">
        <f t="shared" si="3"/>
        <v>6</v>
      </c>
      <c r="CE399" s="314">
        <f t="shared" si="4"/>
        <v>1</v>
      </c>
      <c r="CF399" s="314">
        <f t="shared" si="5"/>
        <v>1</v>
      </c>
      <c r="CG399" s="314">
        <f t="shared" si="6"/>
        <v>0</v>
      </c>
      <c r="CH399" s="315">
        <f>VLOOKUP(CL399,'PRODUCT_COGS&amp;PRICE'!A:E,5,false)</f>
        <v>16.5</v>
      </c>
      <c r="CI399" s="315">
        <f t="shared" si="7"/>
        <v>-3.31301</v>
      </c>
      <c r="CJ399" s="316">
        <f t="shared" si="8"/>
        <v>0</v>
      </c>
      <c r="CK399" s="316">
        <f t="shared" si="9"/>
        <v>9</v>
      </c>
      <c r="CL399" s="314" t="str">
        <f>VLOOKUP(R399,PRODUCT_MAP!A:B,2,FALSE)</f>
        <v>Annie_Bag_PINK</v>
      </c>
      <c r="CM399" s="314" t="str">
        <f>VLOOKUP(R399,PRODUCT_MAP!A:E,3,FALSE)</f>
        <v/>
      </c>
    </row>
    <row r="400" ht="22.5" customHeight="1">
      <c r="A400" s="308" t="s">
        <v>6046</v>
      </c>
      <c r="B400" s="308" t="s">
        <v>6047</v>
      </c>
      <c r="C400" s="308" t="s">
        <v>2942</v>
      </c>
      <c r="D400" s="308" t="s">
        <v>6048</v>
      </c>
      <c r="E400" s="308" t="s">
        <v>3013</v>
      </c>
      <c r="F400" s="308"/>
      <c r="G400" s="308" t="s">
        <v>2946</v>
      </c>
      <c r="H400" s="308" t="s">
        <v>2947</v>
      </c>
      <c r="I400" s="308">
        <v>90.0</v>
      </c>
      <c r="J400" s="308">
        <v>3.9</v>
      </c>
      <c r="K400" s="308">
        <v>16.93</v>
      </c>
      <c r="L400" s="308">
        <v>93.9</v>
      </c>
      <c r="M400" s="308"/>
      <c r="N400" s="308">
        <v>0.0</v>
      </c>
      <c r="O400" s="308" t="s">
        <v>2948</v>
      </c>
      <c r="P400" s="308" t="s">
        <v>6049</v>
      </c>
      <c r="Q400" s="310">
        <v>1.0</v>
      </c>
      <c r="R400" s="308" t="s">
        <v>5852</v>
      </c>
      <c r="S400" s="308">
        <v>90.0</v>
      </c>
      <c r="T400" s="311"/>
      <c r="U400" s="308" t="s">
        <v>4221</v>
      </c>
      <c r="V400" s="308" t="b">
        <v>1</v>
      </c>
      <c r="W400" s="308" t="b">
        <v>1</v>
      </c>
      <c r="X400" s="308"/>
      <c r="Y400" s="308" t="s">
        <v>6050</v>
      </c>
      <c r="Z400" s="308" t="s">
        <v>6051</v>
      </c>
      <c r="AA400" s="308" t="s">
        <v>6051</v>
      </c>
      <c r="AB400" s="308"/>
      <c r="AC400" s="308"/>
      <c r="AD400" s="308" t="s">
        <v>23</v>
      </c>
      <c r="AE400" s="308">
        <v>20148.0</v>
      </c>
      <c r="AF400" s="308" t="s">
        <v>2954</v>
      </c>
      <c r="AG400" s="308" t="s">
        <v>2955</v>
      </c>
      <c r="AH400" s="308"/>
      <c r="AI400" s="308" t="s">
        <v>6050</v>
      </c>
      <c r="AJ400" s="308" t="s">
        <v>6051</v>
      </c>
      <c r="AK400" s="308" t="s">
        <v>6051</v>
      </c>
      <c r="AL400" s="308"/>
      <c r="AM400" s="308"/>
      <c r="AN400" s="308" t="s">
        <v>23</v>
      </c>
      <c r="AO400" s="308">
        <v>20148.0</v>
      </c>
      <c r="AP400" s="308" t="s">
        <v>2954</v>
      </c>
      <c r="AQ400" s="308" t="s">
        <v>2955</v>
      </c>
      <c r="AR400" s="308">
        <v>3.663676784E9</v>
      </c>
      <c r="AS400" s="311"/>
      <c r="AT400" s="311"/>
      <c r="AU400" s="311"/>
      <c r="AV400" s="308" t="s">
        <v>2956</v>
      </c>
      <c r="AW400" s="308">
        <v>4.8009559310663E13</v>
      </c>
      <c r="AX400" s="310">
        <v>0.0</v>
      </c>
      <c r="AY400" s="308" t="s">
        <v>2974</v>
      </c>
      <c r="AZ400" s="308">
        <v>0.0</v>
      </c>
      <c r="BA400" s="311"/>
      <c r="BB400" s="311"/>
      <c r="BC400" s="311"/>
      <c r="BD400" s="308">
        <v>7.878003327303E12</v>
      </c>
      <c r="BE400" s="311"/>
      <c r="BF400" s="311"/>
      <c r="BG400" s="308" t="s">
        <v>2958</v>
      </c>
      <c r="BH400" s="308">
        <v>0.0</v>
      </c>
      <c r="BI400" s="308" t="s">
        <v>2959</v>
      </c>
      <c r="BJ400" s="308">
        <v>16.23</v>
      </c>
      <c r="BK400" s="311"/>
      <c r="BL400" s="311"/>
      <c r="BM400" s="311"/>
      <c r="BN400" s="311"/>
      <c r="BO400" s="311"/>
      <c r="BP400" s="311"/>
      <c r="BQ400" s="311"/>
      <c r="BR400" s="311"/>
      <c r="BS400" s="308"/>
      <c r="BT400" s="311"/>
      <c r="BU400" s="311"/>
      <c r="BV400" s="308" t="s">
        <v>23</v>
      </c>
      <c r="BW400" s="308" t="s">
        <v>23</v>
      </c>
      <c r="BX400" s="308" t="s">
        <v>2956</v>
      </c>
      <c r="BY400" s="311"/>
      <c r="BZ400" s="311"/>
      <c r="CA400" s="308" t="s">
        <v>2956</v>
      </c>
      <c r="CB400" s="312" t="str">
        <f t="shared" si="1"/>
        <v>22/06/2026</v>
      </c>
      <c r="CC400" s="313">
        <f t="shared" si="2"/>
        <v>2026</v>
      </c>
      <c r="CD400" s="314">
        <f t="shared" si="3"/>
        <v>6</v>
      </c>
      <c r="CE400" s="314">
        <f t="shared" si="4"/>
        <v>1</v>
      </c>
      <c r="CF400" s="314">
        <f t="shared" si="5"/>
        <v>1</v>
      </c>
      <c r="CG400" s="314">
        <f t="shared" si="6"/>
        <v>0</v>
      </c>
      <c r="CH400" s="315">
        <f>VLOOKUP(CL400,'PRODUCT_COGS&amp;PRICE'!A:E,5,false)</f>
        <v>16.5</v>
      </c>
      <c r="CI400" s="315">
        <f t="shared" si="7"/>
        <v>-2.0341</v>
      </c>
      <c r="CJ400" s="316">
        <f t="shared" si="8"/>
        <v>0</v>
      </c>
      <c r="CK400" s="316">
        <f t="shared" si="9"/>
        <v>0</v>
      </c>
      <c r="CL400" s="314" t="str">
        <f>VLOOKUP(R400,PRODUCT_MAP!A:B,2,FALSE)</f>
        <v>Annie_Bag_PAILLETTES_NUDE</v>
      </c>
      <c r="CM400" s="314" t="str">
        <f>VLOOKUP(R400,PRODUCT_MAP!A:E,3,FALSE)</f>
        <v>Agata Bag</v>
      </c>
    </row>
    <row r="401" ht="22.5" customHeight="1">
      <c r="A401" s="308" t="s">
        <v>6052</v>
      </c>
      <c r="B401" s="308" t="s">
        <v>6053</v>
      </c>
      <c r="C401" s="308" t="s">
        <v>2942</v>
      </c>
      <c r="D401" s="308" t="s">
        <v>6054</v>
      </c>
      <c r="E401" s="308" t="s">
        <v>3013</v>
      </c>
      <c r="F401" s="308"/>
      <c r="G401" s="308" t="s">
        <v>2965</v>
      </c>
      <c r="H401" s="308" t="s">
        <v>2947</v>
      </c>
      <c r="I401" s="308">
        <v>120.0</v>
      </c>
      <c r="J401" s="308">
        <v>0.0</v>
      </c>
      <c r="K401" s="308">
        <v>21.64</v>
      </c>
      <c r="L401" s="308">
        <v>120.0</v>
      </c>
      <c r="M401" s="308"/>
      <c r="N401" s="308">
        <v>0.0</v>
      </c>
      <c r="O401" s="308" t="s">
        <v>2948</v>
      </c>
      <c r="P401" s="308" t="s">
        <v>6055</v>
      </c>
      <c r="Q401" s="310">
        <v>1.0</v>
      </c>
      <c r="R401" s="308" t="s">
        <v>524</v>
      </c>
      <c r="S401" s="308">
        <v>120.0</v>
      </c>
      <c r="T401" s="311"/>
      <c r="U401" s="308" t="s">
        <v>300</v>
      </c>
      <c r="V401" s="308" t="b">
        <v>1</v>
      </c>
      <c r="W401" s="308" t="b">
        <v>1</v>
      </c>
      <c r="X401" s="308"/>
      <c r="Y401" s="308" t="s">
        <v>6056</v>
      </c>
      <c r="Z401" s="308" t="s">
        <v>6057</v>
      </c>
      <c r="AA401" s="308" t="s">
        <v>6058</v>
      </c>
      <c r="AB401" s="308" t="s">
        <v>6059</v>
      </c>
      <c r="AC401" s="308" t="s">
        <v>6060</v>
      </c>
      <c r="AD401" s="308" t="s">
        <v>6061</v>
      </c>
      <c r="AE401" s="308">
        <v>40023.0</v>
      </c>
      <c r="AF401" s="308" t="s">
        <v>3069</v>
      </c>
      <c r="AG401" s="308" t="s">
        <v>2955</v>
      </c>
      <c r="AH401" s="308">
        <v>3.48114391E9</v>
      </c>
      <c r="AI401" s="308" t="s">
        <v>6056</v>
      </c>
      <c r="AJ401" s="308" t="s">
        <v>6057</v>
      </c>
      <c r="AK401" s="308" t="s">
        <v>6058</v>
      </c>
      <c r="AL401" s="308" t="s">
        <v>6059</v>
      </c>
      <c r="AM401" s="308" t="s">
        <v>6060</v>
      </c>
      <c r="AN401" s="308" t="s">
        <v>6061</v>
      </c>
      <c r="AO401" s="308">
        <v>40023.0</v>
      </c>
      <c r="AP401" s="308" t="s">
        <v>3069</v>
      </c>
      <c r="AQ401" s="308" t="s">
        <v>2955</v>
      </c>
      <c r="AR401" s="308">
        <v>3.48114391E9</v>
      </c>
      <c r="AS401" s="311"/>
      <c r="AT401" s="311"/>
      <c r="AU401" s="311"/>
      <c r="AV401" s="308" t="s">
        <v>2956</v>
      </c>
      <c r="AW401" s="308">
        <v>4.8009572614471E13</v>
      </c>
      <c r="AX401" s="310">
        <v>0.0</v>
      </c>
      <c r="AY401" s="308" t="s">
        <v>2974</v>
      </c>
      <c r="AZ401" s="308">
        <v>0.0</v>
      </c>
      <c r="BA401" s="311"/>
      <c r="BB401" s="311"/>
      <c r="BC401" s="311"/>
      <c r="BD401" s="308">
        <v>7.878012698951E12</v>
      </c>
      <c r="BE401" s="311"/>
      <c r="BF401" s="311"/>
      <c r="BG401" s="308" t="s">
        <v>2958</v>
      </c>
      <c r="BH401" s="308">
        <v>0.0</v>
      </c>
      <c r="BI401" s="308" t="s">
        <v>2959</v>
      </c>
      <c r="BJ401" s="308">
        <v>21.64</v>
      </c>
      <c r="BK401" s="311"/>
      <c r="BL401" s="311"/>
      <c r="BM401" s="311"/>
      <c r="BN401" s="311"/>
      <c r="BO401" s="311"/>
      <c r="BP401" s="311"/>
      <c r="BQ401" s="311"/>
      <c r="BR401" s="311"/>
      <c r="BS401" s="308"/>
      <c r="BT401" s="311"/>
      <c r="BU401" s="311"/>
      <c r="BV401" s="308" t="s">
        <v>3068</v>
      </c>
      <c r="BW401" s="308" t="s">
        <v>3068</v>
      </c>
      <c r="BX401" s="308" t="s">
        <v>2956</v>
      </c>
      <c r="BY401" s="311"/>
      <c r="BZ401" s="311"/>
      <c r="CA401" s="308" t="s">
        <v>2956</v>
      </c>
      <c r="CB401" s="312" t="str">
        <f t="shared" si="1"/>
        <v>22/06/2026</v>
      </c>
      <c r="CC401" s="313">
        <f t="shared" si="2"/>
        <v>2026</v>
      </c>
      <c r="CD401" s="314">
        <f t="shared" si="3"/>
        <v>6</v>
      </c>
      <c r="CE401" s="314">
        <f t="shared" si="4"/>
        <v>1</v>
      </c>
      <c r="CF401" s="314">
        <f t="shared" si="5"/>
        <v>1</v>
      </c>
      <c r="CG401" s="314">
        <f t="shared" si="6"/>
        <v>-5</v>
      </c>
      <c r="CH401" s="315">
        <f>VLOOKUP(CL401,'PRODUCT_COGS&amp;PRICE'!A:E,5,false)</f>
        <v>20</v>
      </c>
      <c r="CI401" s="315">
        <f t="shared" si="7"/>
        <v>-2.53</v>
      </c>
      <c r="CJ401" s="316">
        <f t="shared" si="8"/>
        <v>0</v>
      </c>
      <c r="CK401" s="316">
        <f t="shared" si="9"/>
        <v>0</v>
      </c>
      <c r="CL401" s="314" t="str">
        <f>VLOOKUP(R401,PRODUCT_MAP!A:B,2,FALSE)</f>
        <v>Lea_Bag_COCCO_GREEN</v>
      </c>
      <c r="CM401" s="314" t="str">
        <f>VLOOKUP(R401,PRODUCT_MAP!A:E,3,FALSE)</f>
        <v>Lea Bag</v>
      </c>
    </row>
    <row r="402" ht="22.5" customHeight="1">
      <c r="A402" s="308" t="s">
        <v>6062</v>
      </c>
      <c r="B402" s="308" t="s">
        <v>6063</v>
      </c>
      <c r="C402" s="308" t="s">
        <v>2942</v>
      </c>
      <c r="D402" s="308" t="s">
        <v>6064</v>
      </c>
      <c r="E402" s="308" t="s">
        <v>3013</v>
      </c>
      <c r="F402" s="308"/>
      <c r="G402" s="308" t="s">
        <v>2946</v>
      </c>
      <c r="H402" s="308" t="s">
        <v>2947</v>
      </c>
      <c r="I402" s="308">
        <v>81.0</v>
      </c>
      <c r="J402" s="308">
        <v>3.9</v>
      </c>
      <c r="K402" s="308">
        <v>15.31</v>
      </c>
      <c r="L402" s="308">
        <v>84.9</v>
      </c>
      <c r="M402" s="308" t="s">
        <v>3094</v>
      </c>
      <c r="N402" s="308">
        <v>9.0</v>
      </c>
      <c r="O402" s="308" t="s">
        <v>2948</v>
      </c>
      <c r="P402" s="308" t="s">
        <v>6065</v>
      </c>
      <c r="Q402" s="310">
        <v>1.0</v>
      </c>
      <c r="R402" s="308" t="s">
        <v>6066</v>
      </c>
      <c r="S402" s="308">
        <v>90.0</v>
      </c>
      <c r="T402" s="311"/>
      <c r="U402" s="308" t="s">
        <v>6067</v>
      </c>
      <c r="V402" s="308" t="b">
        <v>1</v>
      </c>
      <c r="W402" s="308" t="b">
        <v>1</v>
      </c>
      <c r="X402" s="308"/>
      <c r="Y402" s="308" t="s">
        <v>6068</v>
      </c>
      <c r="Z402" s="308" t="s">
        <v>6069</v>
      </c>
      <c r="AA402" s="308" t="s">
        <v>6069</v>
      </c>
      <c r="AB402" s="308"/>
      <c r="AC402" s="308"/>
      <c r="AD402" s="308" t="s">
        <v>6070</v>
      </c>
      <c r="AE402" s="308">
        <v>46036.0</v>
      </c>
      <c r="AF402" s="308" t="s">
        <v>5331</v>
      </c>
      <c r="AG402" s="308" t="s">
        <v>2955</v>
      </c>
      <c r="AH402" s="308"/>
      <c r="AI402" s="308" t="s">
        <v>6068</v>
      </c>
      <c r="AJ402" s="308" t="s">
        <v>6069</v>
      </c>
      <c r="AK402" s="308" t="s">
        <v>6069</v>
      </c>
      <c r="AL402" s="308"/>
      <c r="AM402" s="308"/>
      <c r="AN402" s="308" t="s">
        <v>6071</v>
      </c>
      <c r="AO402" s="308">
        <v>46036.0</v>
      </c>
      <c r="AP402" s="308" t="s">
        <v>5331</v>
      </c>
      <c r="AQ402" s="308" t="s">
        <v>2955</v>
      </c>
      <c r="AR402" s="308">
        <v>3.779504986E9</v>
      </c>
      <c r="AS402" s="311"/>
      <c r="AT402" s="311"/>
      <c r="AU402" s="311"/>
      <c r="AV402" s="308" t="s">
        <v>2956</v>
      </c>
      <c r="AW402" s="308">
        <v>4.8010166075719E13</v>
      </c>
      <c r="AX402" s="310">
        <v>0.0</v>
      </c>
      <c r="AY402" s="308" t="s">
        <v>2974</v>
      </c>
      <c r="AZ402" s="308">
        <v>0.0</v>
      </c>
      <c r="BA402" s="311"/>
      <c r="BB402" s="311"/>
      <c r="BC402" s="311"/>
      <c r="BD402" s="308">
        <v>7.878270583111E12</v>
      </c>
      <c r="BE402" s="311"/>
      <c r="BF402" s="311"/>
      <c r="BG402" s="308" t="s">
        <v>2958</v>
      </c>
      <c r="BH402" s="308">
        <v>0.0</v>
      </c>
      <c r="BI402" s="308" t="s">
        <v>2959</v>
      </c>
      <c r="BJ402" s="308">
        <v>14.61</v>
      </c>
      <c r="BK402" s="311"/>
      <c r="BL402" s="311"/>
      <c r="BM402" s="311"/>
      <c r="BN402" s="311"/>
      <c r="BO402" s="311"/>
      <c r="BP402" s="311"/>
      <c r="BQ402" s="311"/>
      <c r="BR402" s="311"/>
      <c r="BS402" s="308"/>
      <c r="BT402" s="311"/>
      <c r="BU402" s="311"/>
      <c r="BV402" s="308" t="s">
        <v>5332</v>
      </c>
      <c r="BW402" s="308" t="s">
        <v>5332</v>
      </c>
      <c r="BX402" s="308" t="s">
        <v>2956</v>
      </c>
      <c r="BY402" s="311"/>
      <c r="BZ402" s="311"/>
      <c r="CA402" s="308" t="s">
        <v>2956</v>
      </c>
      <c r="CB402" s="312" t="str">
        <f t="shared" si="1"/>
        <v>22/06/2026</v>
      </c>
      <c r="CC402" s="313">
        <f t="shared" si="2"/>
        <v>2026</v>
      </c>
      <c r="CD402" s="314">
        <f t="shared" si="3"/>
        <v>6</v>
      </c>
      <c r="CE402" s="314">
        <f t="shared" si="4"/>
        <v>1</v>
      </c>
      <c r="CF402" s="314">
        <f t="shared" si="5"/>
        <v>1</v>
      </c>
      <c r="CG402" s="314">
        <f t="shared" si="6"/>
        <v>0</v>
      </c>
      <c r="CH402" s="315">
        <f>VLOOKUP(CL402,'PRODUCT_COGS&amp;PRICE'!A:E,5,false)</f>
        <v>19</v>
      </c>
      <c r="CI402" s="315">
        <f t="shared" si="7"/>
        <v>-1.8631</v>
      </c>
      <c r="CJ402" s="316">
        <f t="shared" si="8"/>
        <v>0</v>
      </c>
      <c r="CK402" s="316">
        <f t="shared" si="9"/>
        <v>9</v>
      </c>
      <c r="CL402" s="314" t="str">
        <f>VLOOKUP(R402,PRODUCT_MAP!A:B,2,FALSE)</f>
        <v>Agata_Bag_ROSE_BLUE</v>
      </c>
      <c r="CM402" s="314" t="str">
        <f>VLOOKUP(R402,PRODUCT_MAP!A:E,3,FALSE)</f>
        <v>Agata Bag</v>
      </c>
    </row>
    <row r="403" ht="22.5" customHeight="1">
      <c r="A403" s="308" t="s">
        <v>6072</v>
      </c>
      <c r="B403" s="308" t="s">
        <v>6073</v>
      </c>
      <c r="C403" s="308" t="s">
        <v>2942</v>
      </c>
      <c r="D403" s="308" t="s">
        <v>6074</v>
      </c>
      <c r="E403" s="308" t="s">
        <v>3013</v>
      </c>
      <c r="F403" s="308"/>
      <c r="G403" s="308" t="s">
        <v>2965</v>
      </c>
      <c r="H403" s="308" t="s">
        <v>2947</v>
      </c>
      <c r="I403" s="308">
        <v>120.0</v>
      </c>
      <c r="J403" s="308">
        <v>0.0</v>
      </c>
      <c r="K403" s="308">
        <v>21.64</v>
      </c>
      <c r="L403" s="308">
        <v>120.0</v>
      </c>
      <c r="M403" s="308"/>
      <c r="N403" s="308">
        <v>0.0</v>
      </c>
      <c r="O403" s="308" t="s">
        <v>2948</v>
      </c>
      <c r="P403" s="308" t="s">
        <v>6075</v>
      </c>
      <c r="Q403" s="310">
        <v>1.0</v>
      </c>
      <c r="R403" s="308" t="s">
        <v>524</v>
      </c>
      <c r="S403" s="308">
        <v>120.0</v>
      </c>
      <c r="T403" s="311"/>
      <c r="U403" s="308" t="s">
        <v>300</v>
      </c>
      <c r="V403" s="308" t="b">
        <v>1</v>
      </c>
      <c r="W403" s="308" t="b">
        <v>1</v>
      </c>
      <c r="X403" s="308"/>
      <c r="Y403" s="308" t="s">
        <v>6076</v>
      </c>
      <c r="Z403" s="308" t="s">
        <v>6077</v>
      </c>
      <c r="AA403" s="308" t="s">
        <v>6077</v>
      </c>
      <c r="AB403" s="308"/>
      <c r="AC403" s="308"/>
      <c r="AD403" s="308" t="s">
        <v>6078</v>
      </c>
      <c r="AE403" s="308">
        <v>38071.0</v>
      </c>
      <c r="AF403" s="308" t="s">
        <v>3666</v>
      </c>
      <c r="AG403" s="308" t="s">
        <v>2955</v>
      </c>
      <c r="AH403" s="308"/>
      <c r="AI403" s="308" t="s">
        <v>6079</v>
      </c>
      <c r="AJ403" s="308" t="s">
        <v>6080</v>
      </c>
      <c r="AK403" s="308" t="s">
        <v>6080</v>
      </c>
      <c r="AL403" s="308"/>
      <c r="AM403" s="308"/>
      <c r="AN403" s="308" t="s">
        <v>3217</v>
      </c>
      <c r="AO403" s="308">
        <v>20146.0</v>
      </c>
      <c r="AP403" s="308" t="s">
        <v>2954</v>
      </c>
      <c r="AQ403" s="308" t="s">
        <v>2955</v>
      </c>
      <c r="AR403" s="318" t="s">
        <v>6081</v>
      </c>
      <c r="AS403" s="311"/>
      <c r="AT403" s="311"/>
      <c r="AU403" s="311"/>
      <c r="AV403" s="308" t="s">
        <v>2956</v>
      </c>
      <c r="AW403" s="308">
        <v>4.8012154863943E13</v>
      </c>
      <c r="AX403" s="310">
        <v>0.0</v>
      </c>
      <c r="AY403" s="308" t="s">
        <v>2974</v>
      </c>
      <c r="AZ403" s="308">
        <v>0.0</v>
      </c>
      <c r="BA403" s="311"/>
      <c r="BB403" s="311"/>
      <c r="BC403" s="311"/>
      <c r="BD403" s="308">
        <v>7.879049707847E12</v>
      </c>
      <c r="BE403" s="311"/>
      <c r="BF403" s="311"/>
      <c r="BG403" s="308" t="s">
        <v>2958</v>
      </c>
      <c r="BH403" s="308">
        <v>0.0</v>
      </c>
      <c r="BI403" s="308" t="s">
        <v>2959</v>
      </c>
      <c r="BJ403" s="308">
        <v>21.64</v>
      </c>
      <c r="BK403" s="311"/>
      <c r="BL403" s="311"/>
      <c r="BM403" s="311"/>
      <c r="BN403" s="311"/>
      <c r="BO403" s="311"/>
      <c r="BP403" s="311"/>
      <c r="BQ403" s="311"/>
      <c r="BR403" s="311"/>
      <c r="BS403" s="308"/>
      <c r="BT403" s="311"/>
      <c r="BU403" s="311"/>
      <c r="BV403" s="308" t="s">
        <v>3665</v>
      </c>
      <c r="BW403" s="308" t="s">
        <v>23</v>
      </c>
      <c r="BX403" s="308" t="s">
        <v>2956</v>
      </c>
      <c r="BY403" s="311"/>
      <c r="BZ403" s="311"/>
      <c r="CA403" s="308" t="s">
        <v>2956</v>
      </c>
      <c r="CB403" s="312" t="str">
        <f t="shared" si="1"/>
        <v>23/06/2026</v>
      </c>
      <c r="CC403" s="313">
        <f t="shared" si="2"/>
        <v>2026</v>
      </c>
      <c r="CD403" s="314">
        <f t="shared" si="3"/>
        <v>6</v>
      </c>
      <c r="CE403" s="314">
        <f t="shared" si="4"/>
        <v>1</v>
      </c>
      <c r="CF403" s="314">
        <f t="shared" si="5"/>
        <v>1</v>
      </c>
      <c r="CG403" s="314">
        <f t="shared" si="6"/>
        <v>-5</v>
      </c>
      <c r="CH403" s="315">
        <f>VLOOKUP(CL403,'PRODUCT_COGS&amp;PRICE'!A:E,5,false)</f>
        <v>20</v>
      </c>
      <c r="CI403" s="315">
        <f t="shared" si="7"/>
        <v>-2.53</v>
      </c>
      <c r="CJ403" s="316">
        <f t="shared" si="8"/>
        <v>0</v>
      </c>
      <c r="CK403" s="316">
        <f t="shared" si="9"/>
        <v>0</v>
      </c>
      <c r="CL403" s="314" t="str">
        <f>VLOOKUP(R403,PRODUCT_MAP!A:B,2,FALSE)</f>
        <v>Lea_Bag_COCCO_GREEN</v>
      </c>
      <c r="CM403" s="314" t="str">
        <f>VLOOKUP(R403,PRODUCT_MAP!A:E,3,FALSE)</f>
        <v>Lea Bag</v>
      </c>
    </row>
    <row r="404" ht="22.5" customHeight="1">
      <c r="A404" s="308" t="s">
        <v>6082</v>
      </c>
      <c r="B404" s="308" t="s">
        <v>6083</v>
      </c>
      <c r="C404" s="308" t="s">
        <v>2942</v>
      </c>
      <c r="D404" s="308" t="s">
        <v>6084</v>
      </c>
      <c r="E404" s="308" t="s">
        <v>3013</v>
      </c>
      <c r="F404" s="308"/>
      <c r="G404" s="308" t="s">
        <v>2946</v>
      </c>
      <c r="H404" s="308" t="s">
        <v>2947</v>
      </c>
      <c r="I404" s="308">
        <v>198.0</v>
      </c>
      <c r="J404" s="308">
        <v>0.0</v>
      </c>
      <c r="K404" s="308">
        <v>35.71</v>
      </c>
      <c r="L404" s="308">
        <v>198.0</v>
      </c>
      <c r="M404" s="308" t="s">
        <v>3094</v>
      </c>
      <c r="N404" s="308">
        <v>22.0</v>
      </c>
      <c r="O404" s="308" t="s">
        <v>2948</v>
      </c>
      <c r="P404" s="308" t="s">
        <v>6085</v>
      </c>
      <c r="Q404" s="310">
        <v>1.0</v>
      </c>
      <c r="R404" s="308" t="s">
        <v>590</v>
      </c>
      <c r="S404" s="308">
        <v>120.0</v>
      </c>
      <c r="T404" s="311"/>
      <c r="U404" s="308" t="s">
        <v>5932</v>
      </c>
      <c r="V404" s="308" t="b">
        <v>1</v>
      </c>
      <c r="W404" s="308" t="b">
        <v>1</v>
      </c>
      <c r="X404" s="308"/>
      <c r="Y404" s="308" t="s">
        <v>6086</v>
      </c>
      <c r="Z404" s="308" t="s">
        <v>6087</v>
      </c>
      <c r="AA404" s="308" t="s">
        <v>6087</v>
      </c>
      <c r="AB404" s="308"/>
      <c r="AC404" s="308"/>
      <c r="AD404" s="308" t="s">
        <v>3081</v>
      </c>
      <c r="AE404" s="308">
        <v>148.0</v>
      </c>
      <c r="AF404" s="308" t="s">
        <v>3082</v>
      </c>
      <c r="AG404" s="308" t="s">
        <v>2955</v>
      </c>
      <c r="AH404" s="318" t="s">
        <v>6088</v>
      </c>
      <c r="AI404" s="308" t="s">
        <v>6086</v>
      </c>
      <c r="AJ404" s="308" t="s">
        <v>6087</v>
      </c>
      <c r="AK404" s="308" t="s">
        <v>6087</v>
      </c>
      <c r="AL404" s="308"/>
      <c r="AM404" s="308"/>
      <c r="AN404" s="308" t="s">
        <v>3081</v>
      </c>
      <c r="AO404" s="308">
        <v>148.0</v>
      </c>
      <c r="AP404" s="308" t="s">
        <v>3082</v>
      </c>
      <c r="AQ404" s="308" t="s">
        <v>2955</v>
      </c>
      <c r="AR404" s="318" t="s">
        <v>6088</v>
      </c>
      <c r="AS404" s="311"/>
      <c r="AT404" s="311"/>
      <c r="AU404" s="311"/>
      <c r="AV404" s="308" t="s">
        <v>3009</v>
      </c>
      <c r="AW404" s="308">
        <v>4.8012658508103E13</v>
      </c>
      <c r="AX404" s="310">
        <v>0.0</v>
      </c>
      <c r="AY404" s="308" t="s">
        <v>2974</v>
      </c>
      <c r="AZ404" s="308">
        <v>0.0</v>
      </c>
      <c r="BA404" s="311"/>
      <c r="BB404" s="311"/>
      <c r="BC404" s="311"/>
      <c r="BD404" s="308">
        <v>7.879289241927E12</v>
      </c>
      <c r="BE404" s="311"/>
      <c r="BF404" s="311"/>
      <c r="BG404" s="308" t="s">
        <v>2958</v>
      </c>
      <c r="BH404" s="308">
        <v>0.0</v>
      </c>
      <c r="BI404" s="308" t="s">
        <v>2959</v>
      </c>
      <c r="BJ404" s="308">
        <v>19.48</v>
      </c>
      <c r="BK404" s="311"/>
      <c r="BL404" s="311"/>
      <c r="BM404" s="311"/>
      <c r="BN404" s="311"/>
      <c r="BO404" s="311"/>
      <c r="BP404" s="311"/>
      <c r="BQ404" s="311"/>
      <c r="BR404" s="311"/>
      <c r="BS404" s="308"/>
      <c r="BT404" s="311"/>
      <c r="BU404" s="311"/>
      <c r="BV404" s="308" t="s">
        <v>3081</v>
      </c>
      <c r="BW404" s="308" t="s">
        <v>3081</v>
      </c>
      <c r="BX404" s="308" t="s">
        <v>3009</v>
      </c>
      <c r="BY404" s="311"/>
      <c r="BZ404" s="311"/>
      <c r="CA404" s="308" t="s">
        <v>3009</v>
      </c>
      <c r="CB404" s="312" t="str">
        <f t="shared" si="1"/>
        <v>23/06/2026</v>
      </c>
      <c r="CC404" s="313">
        <f t="shared" si="2"/>
        <v>2026</v>
      </c>
      <c r="CD404" s="314">
        <f t="shared" si="3"/>
        <v>6</v>
      </c>
      <c r="CE404" s="314">
        <f t="shared" si="4"/>
        <v>1</v>
      </c>
      <c r="CF404" s="314">
        <f t="shared" si="5"/>
        <v>1</v>
      </c>
      <c r="CG404" s="314">
        <f t="shared" si="6"/>
        <v>-5</v>
      </c>
      <c r="CH404" s="315">
        <f>VLOOKUP(CL404,'PRODUCT_COGS&amp;PRICE'!A:E,5,false)</f>
        <v>26</v>
      </c>
      <c r="CI404" s="315">
        <f t="shared" si="7"/>
        <v>-14.1704</v>
      </c>
      <c r="CJ404" s="316">
        <f t="shared" si="8"/>
        <v>0</v>
      </c>
      <c r="CK404" s="316">
        <f t="shared" si="9"/>
        <v>22</v>
      </c>
      <c r="CL404" s="314" t="str">
        <f>VLOOKUP(R404,PRODUCT_MAP!A:B,2,FALSE)</f>
        <v>Maria_Bag_BURRO_PIERCING</v>
      </c>
      <c r="CM404" s="314" t="str">
        <f>VLOOKUP(R404,PRODUCT_MAP!A:E,3,FALSE)</f>
        <v>Maria bag</v>
      </c>
    </row>
    <row r="405" ht="22.5" customHeight="1">
      <c r="A405" s="308" t="s">
        <v>6082</v>
      </c>
      <c r="B405" s="308" t="s">
        <v>6083</v>
      </c>
      <c r="C405" s="308" t="s">
        <v>2942</v>
      </c>
      <c r="D405" s="308" t="s">
        <v>6084</v>
      </c>
      <c r="E405" s="308" t="s">
        <v>3013</v>
      </c>
      <c r="F405" s="308"/>
      <c r="G405" s="308" t="s">
        <v>2946</v>
      </c>
      <c r="H405" s="308" t="s">
        <v>2947</v>
      </c>
      <c r="I405" s="308">
        <v>198.0</v>
      </c>
      <c r="J405" s="308">
        <v>0.0</v>
      </c>
      <c r="K405" s="308">
        <v>35.71</v>
      </c>
      <c r="L405" s="308">
        <v>198.0</v>
      </c>
      <c r="M405" s="308" t="s">
        <v>3094</v>
      </c>
      <c r="N405" s="308">
        <v>22.0</v>
      </c>
      <c r="O405" s="308" t="s">
        <v>2948</v>
      </c>
      <c r="P405" s="308" t="s">
        <v>6085</v>
      </c>
      <c r="Q405" s="310">
        <v>1.0</v>
      </c>
      <c r="R405" s="308" t="s">
        <v>5900</v>
      </c>
      <c r="S405" s="308">
        <v>100.0</v>
      </c>
      <c r="T405" s="311"/>
      <c r="U405" s="308" t="s">
        <v>4267</v>
      </c>
      <c r="V405" s="308" t="b">
        <v>1</v>
      </c>
      <c r="W405" s="308" t="b">
        <v>1</v>
      </c>
      <c r="X405" s="308"/>
      <c r="Y405" s="308" t="s">
        <v>6086</v>
      </c>
      <c r="Z405" s="308" t="s">
        <v>6087</v>
      </c>
      <c r="AA405" s="308" t="s">
        <v>6087</v>
      </c>
      <c r="AB405" s="308"/>
      <c r="AC405" s="308"/>
      <c r="AD405" s="308" t="s">
        <v>3081</v>
      </c>
      <c r="AE405" s="308">
        <v>148.0</v>
      </c>
      <c r="AF405" s="308" t="s">
        <v>3082</v>
      </c>
      <c r="AG405" s="308" t="s">
        <v>2955</v>
      </c>
      <c r="AH405" s="318" t="s">
        <v>6088</v>
      </c>
      <c r="AI405" s="308" t="s">
        <v>6086</v>
      </c>
      <c r="AJ405" s="308" t="s">
        <v>6087</v>
      </c>
      <c r="AK405" s="308" t="s">
        <v>6087</v>
      </c>
      <c r="AL405" s="308"/>
      <c r="AM405" s="308"/>
      <c r="AN405" s="308" t="s">
        <v>3081</v>
      </c>
      <c r="AO405" s="308">
        <v>148.0</v>
      </c>
      <c r="AP405" s="308" t="s">
        <v>3082</v>
      </c>
      <c r="AQ405" s="308" t="s">
        <v>2955</v>
      </c>
      <c r="AR405" s="318" t="s">
        <v>6088</v>
      </c>
      <c r="AS405" s="311"/>
      <c r="AT405" s="311"/>
      <c r="AU405" s="311"/>
      <c r="AV405" s="308" t="s">
        <v>3009</v>
      </c>
      <c r="AW405" s="308">
        <v>4.8012658508103E13</v>
      </c>
      <c r="AX405" s="310">
        <v>0.0</v>
      </c>
      <c r="AY405" s="308" t="s">
        <v>2974</v>
      </c>
      <c r="AZ405" s="308">
        <v>0.0</v>
      </c>
      <c r="BA405" s="311"/>
      <c r="BB405" s="311"/>
      <c r="BC405" s="311"/>
      <c r="BD405" s="308">
        <v>7.879289241927E12</v>
      </c>
      <c r="BE405" s="311"/>
      <c r="BF405" s="311"/>
      <c r="BG405" s="308" t="s">
        <v>2958</v>
      </c>
      <c r="BH405" s="308">
        <v>0.0</v>
      </c>
      <c r="BI405" s="308" t="s">
        <v>2959</v>
      </c>
      <c r="BJ405" s="308">
        <v>16.23</v>
      </c>
      <c r="BK405" s="311"/>
      <c r="BL405" s="311"/>
      <c r="BM405" s="311"/>
      <c r="BN405" s="311"/>
      <c r="BO405" s="311"/>
      <c r="BP405" s="311"/>
      <c r="BQ405" s="311"/>
      <c r="BR405" s="311"/>
      <c r="BS405" s="308"/>
      <c r="BT405" s="311"/>
      <c r="BU405" s="311"/>
      <c r="BV405" s="308" t="s">
        <v>3081</v>
      </c>
      <c r="BW405" s="308" t="s">
        <v>3081</v>
      </c>
      <c r="BX405" s="308" t="s">
        <v>3009</v>
      </c>
      <c r="BY405" s="311"/>
      <c r="BZ405" s="311"/>
      <c r="CA405" s="308" t="s">
        <v>3009</v>
      </c>
      <c r="CB405" s="312" t="str">
        <f t="shared" si="1"/>
        <v>23/06/2026</v>
      </c>
      <c r="CC405" s="313">
        <f t="shared" si="2"/>
        <v>2026</v>
      </c>
      <c r="CD405" s="314">
        <f t="shared" si="3"/>
        <v>6</v>
      </c>
      <c r="CE405" s="314">
        <f t="shared" si="4"/>
        <v>0</v>
      </c>
      <c r="CF405" s="314">
        <f t="shared" si="5"/>
        <v>1</v>
      </c>
      <c r="CG405" s="314">
        <f t="shared" si="6"/>
        <v>-5</v>
      </c>
      <c r="CH405" s="315">
        <f>VLOOKUP(CL405,'PRODUCT_COGS&amp;PRICE'!A:E,5,false)</f>
        <v>16.5</v>
      </c>
      <c r="CI405" s="315">
        <f t="shared" si="7"/>
        <v>0</v>
      </c>
      <c r="CJ405" s="316">
        <f t="shared" si="8"/>
        <v>0</v>
      </c>
      <c r="CK405" s="316">
        <f t="shared" si="9"/>
        <v>22</v>
      </c>
      <c r="CL405" s="314" t="str">
        <f>VLOOKUP(R405,PRODUCT_MAP!A:B,2,FALSE)</f>
        <v>Annie_Bag_PAILLETTES_NUDE</v>
      </c>
      <c r="CM405" s="314" t="str">
        <f>VLOOKUP(R405,PRODUCT_MAP!A:E,3,FALSE)</f>
        <v/>
      </c>
    </row>
    <row r="406" ht="22.5" customHeight="1">
      <c r="A406" s="308" t="s">
        <v>6089</v>
      </c>
      <c r="B406" s="308" t="s">
        <v>6090</v>
      </c>
      <c r="C406" s="308" t="s">
        <v>2942</v>
      </c>
      <c r="D406" s="308" t="s">
        <v>6091</v>
      </c>
      <c r="E406" s="308" t="s">
        <v>3013</v>
      </c>
      <c r="F406" s="308"/>
      <c r="G406" s="308" t="s">
        <v>2946</v>
      </c>
      <c r="H406" s="308" t="s">
        <v>2947</v>
      </c>
      <c r="I406" s="308">
        <v>14.4</v>
      </c>
      <c r="J406" s="308">
        <v>3.9</v>
      </c>
      <c r="K406" s="308">
        <v>3.3</v>
      </c>
      <c r="L406" s="308">
        <v>18.3</v>
      </c>
      <c r="M406" s="308" t="s">
        <v>3094</v>
      </c>
      <c r="N406" s="308">
        <v>1.6</v>
      </c>
      <c r="O406" s="308" t="s">
        <v>2948</v>
      </c>
      <c r="P406" s="308" t="s">
        <v>6092</v>
      </c>
      <c r="Q406" s="310">
        <v>1.0</v>
      </c>
      <c r="R406" s="308" t="s">
        <v>641</v>
      </c>
      <c r="S406" s="308">
        <v>16.0</v>
      </c>
      <c r="T406" s="311"/>
      <c r="U406" s="308" t="s">
        <v>645</v>
      </c>
      <c r="V406" s="308" t="b">
        <v>1</v>
      </c>
      <c r="W406" s="308" t="b">
        <v>1</v>
      </c>
      <c r="X406" s="308"/>
      <c r="Y406" s="308" t="s">
        <v>6093</v>
      </c>
      <c r="Z406" s="308" t="s">
        <v>6094</v>
      </c>
      <c r="AA406" s="308" t="s">
        <v>6094</v>
      </c>
      <c r="AB406" s="308"/>
      <c r="AC406" s="308"/>
      <c r="AD406" s="308" t="s">
        <v>3081</v>
      </c>
      <c r="AE406" s="308">
        <v>168.0</v>
      </c>
      <c r="AF406" s="308" t="s">
        <v>3082</v>
      </c>
      <c r="AG406" s="308" t="s">
        <v>2955</v>
      </c>
      <c r="AH406" s="308"/>
      <c r="AI406" s="308" t="s">
        <v>6095</v>
      </c>
      <c r="AJ406" s="308" t="s">
        <v>6094</v>
      </c>
      <c r="AK406" s="308" t="s">
        <v>6094</v>
      </c>
      <c r="AL406" s="308"/>
      <c r="AM406" s="308"/>
      <c r="AN406" s="308" t="s">
        <v>3081</v>
      </c>
      <c r="AO406" s="308">
        <v>168.0</v>
      </c>
      <c r="AP406" s="308" t="s">
        <v>3082</v>
      </c>
      <c r="AQ406" s="308" t="s">
        <v>2955</v>
      </c>
      <c r="AR406" s="308">
        <v>3.383663639E9</v>
      </c>
      <c r="AS406" s="311"/>
      <c r="AT406" s="311"/>
      <c r="AU406" s="311"/>
      <c r="AV406" s="308" t="s">
        <v>2956</v>
      </c>
      <c r="AW406" s="308">
        <v>4.8012137103687E13</v>
      </c>
      <c r="AX406" s="310">
        <v>0.0</v>
      </c>
      <c r="AY406" s="308" t="s">
        <v>5290</v>
      </c>
      <c r="AZ406" s="308">
        <v>0.0</v>
      </c>
      <c r="BA406" s="311"/>
      <c r="BB406" s="311"/>
      <c r="BC406" s="311"/>
      <c r="BD406" s="308">
        <v>7.880043626823E12</v>
      </c>
      <c r="BE406" s="311"/>
      <c r="BF406" s="311"/>
      <c r="BG406" s="308" t="s">
        <v>2958</v>
      </c>
      <c r="BH406" s="308">
        <v>0.0</v>
      </c>
      <c r="BI406" s="308" t="s">
        <v>2959</v>
      </c>
      <c r="BJ406" s="308">
        <v>2.6</v>
      </c>
      <c r="BK406" s="311"/>
      <c r="BL406" s="311"/>
      <c r="BM406" s="311"/>
      <c r="BN406" s="311"/>
      <c r="BO406" s="311"/>
      <c r="BP406" s="311"/>
      <c r="BQ406" s="311"/>
      <c r="BR406" s="311"/>
      <c r="BS406" s="308"/>
      <c r="BT406" s="311"/>
      <c r="BU406" s="311"/>
      <c r="BV406" s="308" t="s">
        <v>3081</v>
      </c>
      <c r="BW406" s="308" t="s">
        <v>3081</v>
      </c>
      <c r="BX406" s="308" t="s">
        <v>2956</v>
      </c>
      <c r="BY406" s="311"/>
      <c r="BZ406" s="311"/>
      <c r="CA406" s="308" t="s">
        <v>2956</v>
      </c>
      <c r="CB406" s="312" t="str">
        <f t="shared" si="1"/>
        <v>23/06/2026</v>
      </c>
      <c r="CC406" s="313">
        <f t="shared" si="2"/>
        <v>2026</v>
      </c>
      <c r="CD406" s="314">
        <f t="shared" si="3"/>
        <v>6</v>
      </c>
      <c r="CE406" s="314">
        <f t="shared" si="4"/>
        <v>1</v>
      </c>
      <c r="CF406" s="314">
        <f t="shared" si="5"/>
        <v>1</v>
      </c>
      <c r="CG406" s="314">
        <f t="shared" si="6"/>
        <v>0</v>
      </c>
      <c r="CH406" s="315">
        <f>VLOOKUP(CL406,'PRODUCT_COGS&amp;PRICE'!A:E,5,false)</f>
        <v>2.54</v>
      </c>
      <c r="CI406" s="315">
        <f t="shared" si="7"/>
        <v>-0.5977</v>
      </c>
      <c r="CJ406" s="316">
        <f t="shared" si="8"/>
        <v>0</v>
      </c>
      <c r="CK406" s="316">
        <f t="shared" si="9"/>
        <v>1.6</v>
      </c>
      <c r="CL406" s="314" t="str">
        <f>VLOOKUP(R406,PRODUCT_MAP!A:B,2,FALSE)</f>
        <v>Airpod_Cover_9X11_STRIPES_RED</v>
      </c>
      <c r="CM406" s="314" t="str">
        <f>VLOOKUP(R406,PRODUCT_MAP!A:E,3,FALSE)</f>
        <v>Airpod Cover</v>
      </c>
    </row>
    <row r="407" ht="22.5" customHeight="1">
      <c r="A407" s="308" t="s">
        <v>6096</v>
      </c>
      <c r="B407" s="308" t="s">
        <v>6097</v>
      </c>
      <c r="C407" s="308" t="s">
        <v>2942</v>
      </c>
      <c r="D407" s="308" t="s">
        <v>6098</v>
      </c>
      <c r="E407" s="308" t="s">
        <v>3013</v>
      </c>
      <c r="F407" s="308"/>
      <c r="G407" s="308" t="s">
        <v>2946</v>
      </c>
      <c r="H407" s="308" t="s">
        <v>2947</v>
      </c>
      <c r="I407" s="308">
        <v>108.0</v>
      </c>
      <c r="J407" s="308">
        <v>0.0</v>
      </c>
      <c r="K407" s="308">
        <v>19.48</v>
      </c>
      <c r="L407" s="308">
        <v>108.0</v>
      </c>
      <c r="M407" s="308" t="s">
        <v>3094</v>
      </c>
      <c r="N407" s="308">
        <v>12.0</v>
      </c>
      <c r="O407" s="308" t="s">
        <v>2948</v>
      </c>
      <c r="P407" s="308" t="s">
        <v>6099</v>
      </c>
      <c r="Q407" s="310">
        <v>1.0</v>
      </c>
      <c r="R407" s="308" t="s">
        <v>534</v>
      </c>
      <c r="S407" s="308">
        <v>120.0</v>
      </c>
      <c r="T407" s="311"/>
      <c r="U407" s="308" t="s">
        <v>293</v>
      </c>
      <c r="V407" s="308" t="b">
        <v>1</v>
      </c>
      <c r="W407" s="308" t="b">
        <v>1</v>
      </c>
      <c r="X407" s="308"/>
      <c r="Y407" s="308" t="s">
        <v>6100</v>
      </c>
      <c r="Z407" s="308" t="s">
        <v>6101</v>
      </c>
      <c r="AA407" s="308" t="s">
        <v>6101</v>
      </c>
      <c r="AB407" s="308"/>
      <c r="AC407" s="308"/>
      <c r="AD407" s="308" t="s">
        <v>6102</v>
      </c>
      <c r="AE407" s="308">
        <v>70032.0</v>
      </c>
      <c r="AF407" s="308" t="s">
        <v>4103</v>
      </c>
      <c r="AG407" s="308" t="s">
        <v>2955</v>
      </c>
      <c r="AH407" s="308"/>
      <c r="AI407" s="308" t="s">
        <v>6100</v>
      </c>
      <c r="AJ407" s="308" t="s">
        <v>6103</v>
      </c>
      <c r="AK407" s="308" t="s">
        <v>6103</v>
      </c>
      <c r="AL407" s="308"/>
      <c r="AM407" s="308"/>
      <c r="AN407" s="308" t="s">
        <v>6104</v>
      </c>
      <c r="AO407" s="308">
        <v>70127.0</v>
      </c>
      <c r="AP407" s="308" t="s">
        <v>4103</v>
      </c>
      <c r="AQ407" s="308" t="s">
        <v>2955</v>
      </c>
      <c r="AR407" s="308">
        <v>3.389863251E9</v>
      </c>
      <c r="AS407" s="311"/>
      <c r="AT407" s="311"/>
      <c r="AU407" s="311"/>
      <c r="AV407" s="308" t="s">
        <v>2956</v>
      </c>
      <c r="AW407" s="308">
        <v>4.8015388115271E13</v>
      </c>
      <c r="AX407" s="310">
        <v>0.0</v>
      </c>
      <c r="AY407" s="308" t="s">
        <v>2974</v>
      </c>
      <c r="AZ407" s="308">
        <v>0.0</v>
      </c>
      <c r="BA407" s="311"/>
      <c r="BB407" s="311"/>
      <c r="BC407" s="311"/>
      <c r="BD407" s="308">
        <v>7.881615212871E12</v>
      </c>
      <c r="BE407" s="311"/>
      <c r="BF407" s="311"/>
      <c r="BG407" s="308" t="s">
        <v>2958</v>
      </c>
      <c r="BH407" s="308">
        <v>0.0</v>
      </c>
      <c r="BI407" s="308" t="s">
        <v>2959</v>
      </c>
      <c r="BJ407" s="308">
        <v>19.48</v>
      </c>
      <c r="BK407" s="311"/>
      <c r="BL407" s="311"/>
      <c r="BM407" s="311"/>
      <c r="BN407" s="311"/>
      <c r="BO407" s="311"/>
      <c r="BP407" s="311"/>
      <c r="BQ407" s="311"/>
      <c r="BR407" s="311"/>
      <c r="BS407" s="308"/>
      <c r="BT407" s="311"/>
      <c r="BU407" s="311"/>
      <c r="BV407" s="308" t="s">
        <v>4102</v>
      </c>
      <c r="BW407" s="308" t="s">
        <v>4102</v>
      </c>
      <c r="BX407" s="308" t="s">
        <v>2956</v>
      </c>
      <c r="BY407" s="311"/>
      <c r="BZ407" s="311"/>
      <c r="CA407" s="308" t="s">
        <v>2956</v>
      </c>
      <c r="CB407" s="312" t="str">
        <f t="shared" si="1"/>
        <v>23/06/2026</v>
      </c>
      <c r="CC407" s="313">
        <f t="shared" si="2"/>
        <v>2026</v>
      </c>
      <c r="CD407" s="314">
        <f t="shared" si="3"/>
        <v>6</v>
      </c>
      <c r="CE407" s="314">
        <f t="shared" si="4"/>
        <v>1</v>
      </c>
      <c r="CF407" s="314">
        <f t="shared" si="5"/>
        <v>1</v>
      </c>
      <c r="CG407" s="314">
        <f t="shared" si="6"/>
        <v>-5</v>
      </c>
      <c r="CH407" s="315">
        <f>VLOOKUP(CL407,'PRODUCT_COGS&amp;PRICE'!A:E,5,false)</f>
        <v>20</v>
      </c>
      <c r="CI407" s="315">
        <f t="shared" si="7"/>
        <v>-2.302</v>
      </c>
      <c r="CJ407" s="316">
        <f t="shared" si="8"/>
        <v>0</v>
      </c>
      <c r="CK407" s="316">
        <f t="shared" si="9"/>
        <v>12</v>
      </c>
      <c r="CL407" s="314" t="str">
        <f>VLOOKUP(R407,PRODUCT_MAP!A:B,2,FALSE)</f>
        <v>Lea_Bag_COCCO_PURPLE</v>
      </c>
      <c r="CM407" s="314" t="str">
        <f>VLOOKUP(R407,PRODUCT_MAP!A:E,3,FALSE)</f>
        <v>Lea Bag</v>
      </c>
    </row>
    <row r="408" ht="22.5" customHeight="1">
      <c r="A408" s="308" t="s">
        <v>6105</v>
      </c>
      <c r="B408" s="308" t="s">
        <v>6106</v>
      </c>
      <c r="C408" s="308" t="s">
        <v>2942</v>
      </c>
      <c r="D408" s="308" t="s">
        <v>6107</v>
      </c>
      <c r="E408" s="308" t="s">
        <v>3013</v>
      </c>
      <c r="F408" s="308"/>
      <c r="G408" s="308" t="s">
        <v>2946</v>
      </c>
      <c r="H408" s="308" t="s">
        <v>2947</v>
      </c>
      <c r="I408" s="308">
        <v>108.0</v>
      </c>
      <c r="J408" s="308">
        <v>0.0</v>
      </c>
      <c r="K408" s="308">
        <v>19.48</v>
      </c>
      <c r="L408" s="308">
        <v>108.0</v>
      </c>
      <c r="M408" s="308" t="s">
        <v>3094</v>
      </c>
      <c r="N408" s="308">
        <v>12.0</v>
      </c>
      <c r="O408" s="308" t="s">
        <v>2948</v>
      </c>
      <c r="P408" s="308" t="s">
        <v>6108</v>
      </c>
      <c r="Q408" s="310">
        <v>1.0</v>
      </c>
      <c r="R408" s="308" t="s">
        <v>514</v>
      </c>
      <c r="S408" s="308">
        <v>120.0</v>
      </c>
      <c r="T408" s="311"/>
      <c r="U408" s="308" t="s">
        <v>202</v>
      </c>
      <c r="V408" s="308" t="b">
        <v>1</v>
      </c>
      <c r="W408" s="308" t="b">
        <v>1</v>
      </c>
      <c r="X408" s="308"/>
      <c r="Y408" s="308" t="s">
        <v>6109</v>
      </c>
      <c r="Z408" s="308" t="s">
        <v>6110</v>
      </c>
      <c r="AA408" s="308" t="s">
        <v>6110</v>
      </c>
      <c r="AB408" s="308"/>
      <c r="AC408" s="308"/>
      <c r="AD408" s="308" t="s">
        <v>3575</v>
      </c>
      <c r="AE408" s="308">
        <v>30174.0</v>
      </c>
      <c r="AF408" s="308" t="s">
        <v>3576</v>
      </c>
      <c r="AG408" s="308" t="s">
        <v>2955</v>
      </c>
      <c r="AH408" s="308"/>
      <c r="AI408" s="308" t="s">
        <v>6109</v>
      </c>
      <c r="AJ408" s="308" t="s">
        <v>6111</v>
      </c>
      <c r="AK408" s="308" t="s">
        <v>6112</v>
      </c>
      <c r="AL408" s="308" t="s">
        <v>6113</v>
      </c>
      <c r="AM408" s="308"/>
      <c r="AN408" s="308" t="s">
        <v>6114</v>
      </c>
      <c r="AO408" s="308">
        <v>30174.0</v>
      </c>
      <c r="AP408" s="308" t="s">
        <v>3576</v>
      </c>
      <c r="AQ408" s="308" t="s">
        <v>2955</v>
      </c>
      <c r="AR408" s="308">
        <v>3.275429736E9</v>
      </c>
      <c r="AS408" s="311"/>
      <c r="AT408" s="311"/>
      <c r="AU408" s="311"/>
      <c r="AV408" s="308" t="s">
        <v>2956</v>
      </c>
      <c r="AW408" s="308">
        <v>4.8015765012807E13</v>
      </c>
      <c r="AX408" s="310">
        <v>0.0</v>
      </c>
      <c r="AY408" s="308" t="s">
        <v>2974</v>
      </c>
      <c r="AZ408" s="308">
        <v>0.0</v>
      </c>
      <c r="BA408" s="311"/>
      <c r="BB408" s="311"/>
      <c r="BC408" s="311"/>
      <c r="BD408" s="308">
        <v>7.881775939911E12</v>
      </c>
      <c r="BE408" s="311"/>
      <c r="BF408" s="311"/>
      <c r="BG408" s="308" t="s">
        <v>2958</v>
      </c>
      <c r="BH408" s="308">
        <v>0.0</v>
      </c>
      <c r="BI408" s="308" t="s">
        <v>2959</v>
      </c>
      <c r="BJ408" s="308">
        <v>19.48</v>
      </c>
      <c r="BK408" s="311"/>
      <c r="BL408" s="311"/>
      <c r="BM408" s="311"/>
      <c r="BN408" s="311"/>
      <c r="BO408" s="311"/>
      <c r="BP408" s="311"/>
      <c r="BQ408" s="311"/>
      <c r="BR408" s="311"/>
      <c r="BS408" s="308"/>
      <c r="BT408" s="311"/>
      <c r="BU408" s="311"/>
      <c r="BV408" s="308" t="s">
        <v>3578</v>
      </c>
      <c r="BW408" s="308" t="s">
        <v>3578</v>
      </c>
      <c r="BX408" s="308" t="s">
        <v>2956</v>
      </c>
      <c r="BY408" s="311"/>
      <c r="BZ408" s="311"/>
      <c r="CA408" s="308" t="s">
        <v>2956</v>
      </c>
      <c r="CB408" s="312" t="str">
        <f t="shared" si="1"/>
        <v>23/06/2026</v>
      </c>
      <c r="CC408" s="313">
        <f t="shared" si="2"/>
        <v>2026</v>
      </c>
      <c r="CD408" s="314">
        <f t="shared" si="3"/>
        <v>6</v>
      </c>
      <c r="CE408" s="314">
        <f t="shared" si="4"/>
        <v>1</v>
      </c>
      <c r="CF408" s="314">
        <f t="shared" si="5"/>
        <v>1</v>
      </c>
      <c r="CG408" s="314">
        <f t="shared" si="6"/>
        <v>-5</v>
      </c>
      <c r="CH408" s="315">
        <f>VLOOKUP(CL408,'PRODUCT_COGS&amp;PRICE'!A:E,5,false)</f>
        <v>32.08</v>
      </c>
      <c r="CI408" s="315">
        <f t="shared" si="7"/>
        <v>-2.302</v>
      </c>
      <c r="CJ408" s="316">
        <f t="shared" si="8"/>
        <v>0</v>
      </c>
      <c r="CK408" s="316">
        <f t="shared" si="9"/>
        <v>12</v>
      </c>
      <c r="CL408" s="314" t="str">
        <f>VLOOKUP(R408,PRODUCT_MAP!A:B,2,FALSE)</f>
        <v>Lea_Bag_BLACK</v>
      </c>
      <c r="CM408" s="314" t="str">
        <f>VLOOKUP(R408,PRODUCT_MAP!A:E,3,FALSE)</f>
        <v>Lea Bag</v>
      </c>
    </row>
    <row r="409" ht="22.5" customHeight="1">
      <c r="A409" s="308" t="s">
        <v>6115</v>
      </c>
      <c r="B409" s="308" t="s">
        <v>6116</v>
      </c>
      <c r="C409" s="308" t="s">
        <v>2942</v>
      </c>
      <c r="D409" s="308" t="s">
        <v>6117</v>
      </c>
      <c r="E409" s="308" t="s">
        <v>3013</v>
      </c>
      <c r="F409" s="308"/>
      <c r="G409" s="308" t="s">
        <v>2946</v>
      </c>
      <c r="H409" s="308" t="s">
        <v>2947</v>
      </c>
      <c r="I409" s="308">
        <v>90.0</v>
      </c>
      <c r="J409" s="308">
        <v>3.9</v>
      </c>
      <c r="K409" s="308">
        <v>16.93</v>
      </c>
      <c r="L409" s="308">
        <v>93.9</v>
      </c>
      <c r="M409" s="308"/>
      <c r="N409" s="308">
        <v>0.0</v>
      </c>
      <c r="O409" s="308" t="s">
        <v>2948</v>
      </c>
      <c r="P409" s="308" t="s">
        <v>6118</v>
      </c>
      <c r="Q409" s="310">
        <v>1.0</v>
      </c>
      <c r="R409" s="308" t="s">
        <v>5852</v>
      </c>
      <c r="S409" s="308">
        <v>90.0</v>
      </c>
      <c r="T409" s="311"/>
      <c r="U409" s="308" t="s">
        <v>4221</v>
      </c>
      <c r="V409" s="308" t="b">
        <v>1</v>
      </c>
      <c r="W409" s="308" t="b">
        <v>1</v>
      </c>
      <c r="X409" s="308"/>
      <c r="Y409" s="308" t="s">
        <v>6119</v>
      </c>
      <c r="Z409" s="308" t="s">
        <v>6120</v>
      </c>
      <c r="AA409" s="308" t="s">
        <v>6120</v>
      </c>
      <c r="AB409" s="308"/>
      <c r="AC409" s="308"/>
      <c r="AD409" s="308" t="s">
        <v>6121</v>
      </c>
      <c r="AE409" s="308">
        <v>10091.0</v>
      </c>
      <c r="AF409" s="308" t="s">
        <v>3654</v>
      </c>
      <c r="AG409" s="308" t="s">
        <v>2955</v>
      </c>
      <c r="AH409" s="308"/>
      <c r="AI409" s="308" t="s">
        <v>6122</v>
      </c>
      <c r="AJ409" s="308" t="s">
        <v>6123</v>
      </c>
      <c r="AK409" s="308" t="s">
        <v>6123</v>
      </c>
      <c r="AL409" s="308"/>
      <c r="AM409" s="308"/>
      <c r="AN409" s="308" t="s">
        <v>6124</v>
      </c>
      <c r="AO409" s="308">
        <v>12051.0</v>
      </c>
      <c r="AP409" s="308" t="s">
        <v>3293</v>
      </c>
      <c r="AQ409" s="308" t="s">
        <v>2955</v>
      </c>
      <c r="AR409" s="308">
        <v>3.392910685E9</v>
      </c>
      <c r="AS409" s="311"/>
      <c r="AT409" s="311"/>
      <c r="AU409" s="311"/>
      <c r="AV409" s="308" t="s">
        <v>2956</v>
      </c>
      <c r="AW409" s="308">
        <v>4.8015863546183E13</v>
      </c>
      <c r="AX409" s="310">
        <v>0.0</v>
      </c>
      <c r="AY409" s="308" t="s">
        <v>2974</v>
      </c>
      <c r="AZ409" s="308">
        <v>0.0</v>
      </c>
      <c r="BA409" s="311"/>
      <c r="BB409" s="311"/>
      <c r="BC409" s="311"/>
      <c r="BD409" s="308">
        <v>7.881825878343E12</v>
      </c>
      <c r="BE409" s="311"/>
      <c r="BF409" s="311"/>
      <c r="BG409" s="308" t="s">
        <v>2958</v>
      </c>
      <c r="BH409" s="308">
        <v>0.0</v>
      </c>
      <c r="BI409" s="308" t="s">
        <v>2959</v>
      </c>
      <c r="BJ409" s="308">
        <v>16.23</v>
      </c>
      <c r="BK409" s="311"/>
      <c r="BL409" s="311"/>
      <c r="BM409" s="311"/>
      <c r="BN409" s="311"/>
      <c r="BO409" s="311"/>
      <c r="BP409" s="311"/>
      <c r="BQ409" s="311"/>
      <c r="BR409" s="311"/>
      <c r="BS409" s="308"/>
      <c r="BT409" s="311"/>
      <c r="BU409" s="311"/>
      <c r="BV409" s="308" t="s">
        <v>3655</v>
      </c>
      <c r="BW409" s="308" t="s">
        <v>3294</v>
      </c>
      <c r="BX409" s="308" t="s">
        <v>2956</v>
      </c>
      <c r="BY409" s="311"/>
      <c r="BZ409" s="311"/>
      <c r="CA409" s="308" t="s">
        <v>2956</v>
      </c>
      <c r="CB409" s="312" t="str">
        <f t="shared" si="1"/>
        <v>23/06/2026</v>
      </c>
      <c r="CC409" s="313">
        <f t="shared" si="2"/>
        <v>2026</v>
      </c>
      <c r="CD409" s="314">
        <f t="shared" si="3"/>
        <v>6</v>
      </c>
      <c r="CE409" s="314">
        <f t="shared" si="4"/>
        <v>1</v>
      </c>
      <c r="CF409" s="314">
        <f t="shared" si="5"/>
        <v>1</v>
      </c>
      <c r="CG409" s="314">
        <f t="shared" si="6"/>
        <v>0</v>
      </c>
      <c r="CH409" s="315">
        <f>VLOOKUP(CL409,'PRODUCT_COGS&amp;PRICE'!A:E,5,false)</f>
        <v>16.5</v>
      </c>
      <c r="CI409" s="315">
        <f t="shared" si="7"/>
        <v>-2.0341</v>
      </c>
      <c r="CJ409" s="316">
        <f t="shared" si="8"/>
        <v>0</v>
      </c>
      <c r="CK409" s="316">
        <f t="shared" si="9"/>
        <v>0</v>
      </c>
      <c r="CL409" s="314" t="str">
        <f>VLOOKUP(R409,PRODUCT_MAP!A:B,2,FALSE)</f>
        <v>Annie_Bag_PAILLETTES_NUDE</v>
      </c>
      <c r="CM409" s="314" t="str">
        <f>VLOOKUP(R409,PRODUCT_MAP!A:E,3,FALSE)</f>
        <v>Agata Bag</v>
      </c>
    </row>
    <row r="410" ht="22.5" customHeight="1">
      <c r="A410" s="308" t="s">
        <v>6125</v>
      </c>
      <c r="B410" s="308" t="s">
        <v>6126</v>
      </c>
      <c r="C410" s="308" t="s">
        <v>2942</v>
      </c>
      <c r="D410" s="308" t="s">
        <v>6127</v>
      </c>
      <c r="E410" s="308" t="s">
        <v>3013</v>
      </c>
      <c r="F410" s="308"/>
      <c r="G410" s="308" t="s">
        <v>2946</v>
      </c>
      <c r="H410" s="308" t="s">
        <v>2947</v>
      </c>
      <c r="I410" s="308">
        <v>81.0</v>
      </c>
      <c r="J410" s="308">
        <v>3.9</v>
      </c>
      <c r="K410" s="308">
        <v>15.31</v>
      </c>
      <c r="L410" s="308">
        <v>84.9</v>
      </c>
      <c r="M410" s="308" t="s">
        <v>3094</v>
      </c>
      <c r="N410" s="308">
        <v>9.0</v>
      </c>
      <c r="O410" s="308" t="s">
        <v>2948</v>
      </c>
      <c r="P410" s="308" t="s">
        <v>6128</v>
      </c>
      <c r="Q410" s="310">
        <v>1.0</v>
      </c>
      <c r="R410" s="308" t="s">
        <v>5852</v>
      </c>
      <c r="S410" s="308">
        <v>90.0</v>
      </c>
      <c r="T410" s="311"/>
      <c r="U410" s="308" t="s">
        <v>4221</v>
      </c>
      <c r="V410" s="308" t="b">
        <v>1</v>
      </c>
      <c r="W410" s="308" t="b">
        <v>1</v>
      </c>
      <c r="X410" s="308"/>
      <c r="Y410" s="308" t="s">
        <v>6129</v>
      </c>
      <c r="Z410" s="308" t="s">
        <v>6130</v>
      </c>
      <c r="AA410" s="308" t="s">
        <v>6130</v>
      </c>
      <c r="AB410" s="308"/>
      <c r="AC410" s="308"/>
      <c r="AD410" s="308" t="s">
        <v>3081</v>
      </c>
      <c r="AE410" s="308">
        <v>195.0</v>
      </c>
      <c r="AF410" s="308" t="s">
        <v>3082</v>
      </c>
      <c r="AG410" s="308" t="s">
        <v>2955</v>
      </c>
      <c r="AH410" s="308"/>
      <c r="AI410" s="308" t="s">
        <v>6129</v>
      </c>
      <c r="AJ410" s="308" t="s">
        <v>6131</v>
      </c>
      <c r="AK410" s="308" t="s">
        <v>6131</v>
      </c>
      <c r="AL410" s="308"/>
      <c r="AM410" s="308"/>
      <c r="AN410" s="308" t="s">
        <v>3081</v>
      </c>
      <c r="AO410" s="308">
        <v>141.0</v>
      </c>
      <c r="AP410" s="308" t="s">
        <v>3082</v>
      </c>
      <c r="AQ410" s="308" t="s">
        <v>2955</v>
      </c>
      <c r="AR410" s="308">
        <v>3.206169685E9</v>
      </c>
      <c r="AS410" s="311"/>
      <c r="AT410" s="311"/>
      <c r="AU410" s="311"/>
      <c r="AV410" s="308" t="s">
        <v>2956</v>
      </c>
      <c r="AW410" s="308">
        <v>4.8014778302791E13</v>
      </c>
      <c r="AX410" s="310">
        <v>0.0</v>
      </c>
      <c r="AY410" s="308" t="s">
        <v>2974</v>
      </c>
      <c r="AZ410" s="308">
        <v>0.0</v>
      </c>
      <c r="BA410" s="311"/>
      <c r="BB410" s="311"/>
      <c r="BC410" s="311"/>
      <c r="BD410" s="308">
        <v>7.881870082375E12</v>
      </c>
      <c r="BE410" s="311"/>
      <c r="BF410" s="311"/>
      <c r="BG410" s="308" t="s">
        <v>2958</v>
      </c>
      <c r="BH410" s="308">
        <v>0.0</v>
      </c>
      <c r="BI410" s="308" t="s">
        <v>2959</v>
      </c>
      <c r="BJ410" s="308">
        <v>14.61</v>
      </c>
      <c r="BK410" s="311"/>
      <c r="BL410" s="311"/>
      <c r="BM410" s="311"/>
      <c r="BN410" s="311"/>
      <c r="BO410" s="311"/>
      <c r="BP410" s="311"/>
      <c r="BQ410" s="311"/>
      <c r="BR410" s="311"/>
      <c r="BS410" s="308"/>
      <c r="BT410" s="311"/>
      <c r="BU410" s="311"/>
      <c r="BV410" s="308" t="s">
        <v>3081</v>
      </c>
      <c r="BW410" s="308" t="s">
        <v>3081</v>
      </c>
      <c r="BX410" s="308" t="s">
        <v>2956</v>
      </c>
      <c r="BY410" s="311"/>
      <c r="BZ410" s="311"/>
      <c r="CA410" s="308" t="s">
        <v>2956</v>
      </c>
      <c r="CB410" s="312" t="str">
        <f t="shared" si="1"/>
        <v>23/06/2026</v>
      </c>
      <c r="CC410" s="313">
        <f t="shared" si="2"/>
        <v>2026</v>
      </c>
      <c r="CD410" s="314">
        <f t="shared" si="3"/>
        <v>6</v>
      </c>
      <c r="CE410" s="314">
        <f t="shared" si="4"/>
        <v>1</v>
      </c>
      <c r="CF410" s="314">
        <f t="shared" si="5"/>
        <v>1</v>
      </c>
      <c r="CG410" s="314">
        <f t="shared" si="6"/>
        <v>0</v>
      </c>
      <c r="CH410" s="315">
        <f>VLOOKUP(CL410,'PRODUCT_COGS&amp;PRICE'!A:E,5,false)</f>
        <v>16.5</v>
      </c>
      <c r="CI410" s="315">
        <f t="shared" si="7"/>
        <v>-1.8631</v>
      </c>
      <c r="CJ410" s="316">
        <f t="shared" si="8"/>
        <v>0</v>
      </c>
      <c r="CK410" s="316">
        <f t="shared" si="9"/>
        <v>9</v>
      </c>
      <c r="CL410" s="314" t="str">
        <f>VLOOKUP(R410,PRODUCT_MAP!A:B,2,FALSE)</f>
        <v>Annie_Bag_PAILLETTES_NUDE</v>
      </c>
      <c r="CM410" s="314" t="str">
        <f>VLOOKUP(R410,PRODUCT_MAP!A:E,3,FALSE)</f>
        <v>Agata Bag</v>
      </c>
    </row>
    <row r="411" ht="22.5" customHeight="1">
      <c r="A411" s="308" t="s">
        <v>6132</v>
      </c>
      <c r="B411" s="308" t="s">
        <v>6133</v>
      </c>
      <c r="C411" s="308" t="s">
        <v>2942</v>
      </c>
      <c r="D411" s="308" t="s">
        <v>6134</v>
      </c>
      <c r="E411" s="308" t="s">
        <v>3013</v>
      </c>
      <c r="F411" s="308"/>
      <c r="G411" s="308" t="s">
        <v>2946</v>
      </c>
      <c r="H411" s="308" t="s">
        <v>2947</v>
      </c>
      <c r="I411" s="308">
        <v>45.0</v>
      </c>
      <c r="J411" s="308">
        <v>3.9</v>
      </c>
      <c r="K411" s="308">
        <v>8.81</v>
      </c>
      <c r="L411" s="308">
        <v>48.9</v>
      </c>
      <c r="M411" s="308" t="s">
        <v>3094</v>
      </c>
      <c r="N411" s="308">
        <v>5.0</v>
      </c>
      <c r="O411" s="308" t="s">
        <v>2948</v>
      </c>
      <c r="P411" s="308" t="s">
        <v>6135</v>
      </c>
      <c r="Q411" s="310">
        <v>1.0</v>
      </c>
      <c r="R411" s="308" t="s">
        <v>702</v>
      </c>
      <c r="S411" s="308">
        <v>50.0</v>
      </c>
      <c r="T411" s="311"/>
      <c r="U411" s="308" t="s">
        <v>49</v>
      </c>
      <c r="V411" s="308" t="b">
        <v>1</v>
      </c>
      <c r="W411" s="308" t="b">
        <v>1</v>
      </c>
      <c r="X411" s="308"/>
      <c r="Y411" s="308" t="s">
        <v>6136</v>
      </c>
      <c r="Z411" s="308" t="s">
        <v>6137</v>
      </c>
      <c r="AA411" s="308" t="s">
        <v>4577</v>
      </c>
      <c r="AB411" s="308" t="s">
        <v>6138</v>
      </c>
      <c r="AC411" s="308"/>
      <c r="AD411" s="308" t="s">
        <v>6139</v>
      </c>
      <c r="AE411" s="308">
        <v>67035.0</v>
      </c>
      <c r="AF411" s="308" t="s">
        <v>3776</v>
      </c>
      <c r="AG411" s="308" t="s">
        <v>2955</v>
      </c>
      <c r="AH411" s="308"/>
      <c r="AI411" s="308" t="s">
        <v>6136</v>
      </c>
      <c r="AJ411" s="308" t="s">
        <v>6140</v>
      </c>
      <c r="AK411" s="308" t="s">
        <v>6140</v>
      </c>
      <c r="AL411" s="308"/>
      <c r="AM411" s="308"/>
      <c r="AN411" s="308" t="s">
        <v>6141</v>
      </c>
      <c r="AO411" s="308">
        <v>67035.0</v>
      </c>
      <c r="AP411" s="308" t="s">
        <v>3776</v>
      </c>
      <c r="AQ411" s="308" t="s">
        <v>2955</v>
      </c>
      <c r="AR411" s="308">
        <v>3.480542573E9</v>
      </c>
      <c r="AS411" s="311"/>
      <c r="AT411" s="311"/>
      <c r="AU411" s="311"/>
      <c r="AV411" s="308" t="s">
        <v>2956</v>
      </c>
      <c r="AW411" s="308">
        <v>4.8017186750791E13</v>
      </c>
      <c r="AX411" s="310">
        <v>0.0</v>
      </c>
      <c r="AY411" s="308" t="s">
        <v>2974</v>
      </c>
      <c r="AZ411" s="308">
        <v>0.0</v>
      </c>
      <c r="BA411" s="311"/>
      <c r="BB411" s="311"/>
      <c r="BC411" s="311"/>
      <c r="BD411" s="308">
        <v>7.882341744967E12</v>
      </c>
      <c r="BE411" s="311"/>
      <c r="BF411" s="311"/>
      <c r="BG411" s="308" t="s">
        <v>2958</v>
      </c>
      <c r="BH411" s="308">
        <v>0.0</v>
      </c>
      <c r="BI411" s="308" t="s">
        <v>2959</v>
      </c>
      <c r="BJ411" s="308">
        <v>8.11</v>
      </c>
      <c r="BK411" s="311"/>
      <c r="BL411" s="311"/>
      <c r="BM411" s="311"/>
      <c r="BN411" s="311"/>
      <c r="BO411" s="311"/>
      <c r="BP411" s="311"/>
      <c r="BQ411" s="311"/>
      <c r="BR411" s="311"/>
      <c r="BS411" s="308"/>
      <c r="BT411" s="311"/>
      <c r="BU411" s="311"/>
      <c r="BV411" s="308" t="s">
        <v>3775</v>
      </c>
      <c r="BW411" s="308" t="s">
        <v>3775</v>
      </c>
      <c r="BX411" s="308" t="s">
        <v>2956</v>
      </c>
      <c r="BY411" s="311"/>
      <c r="BZ411" s="311"/>
      <c r="CA411" s="308" t="s">
        <v>2956</v>
      </c>
      <c r="CB411" s="312" t="str">
        <f t="shared" si="1"/>
        <v>24/06/2026</v>
      </c>
      <c r="CC411" s="313">
        <f t="shared" si="2"/>
        <v>2026</v>
      </c>
      <c r="CD411" s="314">
        <f t="shared" si="3"/>
        <v>6</v>
      </c>
      <c r="CE411" s="314">
        <f t="shared" si="4"/>
        <v>1</v>
      </c>
      <c r="CF411" s="314">
        <f t="shared" si="5"/>
        <v>1</v>
      </c>
      <c r="CG411" s="314">
        <f t="shared" si="6"/>
        <v>0</v>
      </c>
      <c r="CH411" s="315">
        <f>VLOOKUP(CL411,'PRODUCT_COGS&amp;PRICE'!A:E,5,false)</f>
        <v>10.71</v>
      </c>
      <c r="CI411" s="315">
        <f t="shared" si="7"/>
        <v>-1.1791</v>
      </c>
      <c r="CJ411" s="316">
        <f t="shared" si="8"/>
        <v>0</v>
      </c>
      <c r="CK411" s="316">
        <f t="shared" si="9"/>
        <v>5</v>
      </c>
      <c r="CL411" s="314" t="str">
        <f>VLOOKUP(R411,PRODUCT_MAP!A:B,2,FALSE)</f>
        <v>Nina_Bag_STRIPES_PETROL_BLUE</v>
      </c>
      <c r="CM411" s="314" t="str">
        <f>VLOOKUP(R411,PRODUCT_MAP!A:E,3,FALSE)</f>
        <v>Nina Bag</v>
      </c>
    </row>
    <row r="412" ht="22.5" customHeight="1">
      <c r="A412" s="308" t="s">
        <v>6142</v>
      </c>
      <c r="B412" s="308" t="s">
        <v>6143</v>
      </c>
      <c r="C412" s="308" t="s">
        <v>2942</v>
      </c>
      <c r="D412" s="308" t="s">
        <v>6144</v>
      </c>
      <c r="E412" s="308" t="s">
        <v>3013</v>
      </c>
      <c r="F412" s="308"/>
      <c r="G412" s="308" t="s">
        <v>2946</v>
      </c>
      <c r="H412" s="308" t="s">
        <v>2947</v>
      </c>
      <c r="I412" s="308">
        <v>81.0</v>
      </c>
      <c r="J412" s="308">
        <v>3.9</v>
      </c>
      <c r="K412" s="308">
        <v>15.31</v>
      </c>
      <c r="L412" s="308">
        <v>84.9</v>
      </c>
      <c r="M412" s="308" t="s">
        <v>3094</v>
      </c>
      <c r="N412" s="308">
        <v>9.0</v>
      </c>
      <c r="O412" s="308" t="s">
        <v>2948</v>
      </c>
      <c r="P412" s="308" t="s">
        <v>6145</v>
      </c>
      <c r="Q412" s="310">
        <v>1.0</v>
      </c>
      <c r="R412" s="308" t="s">
        <v>6027</v>
      </c>
      <c r="S412" s="308">
        <v>90.0</v>
      </c>
      <c r="T412" s="311"/>
      <c r="U412" s="308" t="s">
        <v>6028</v>
      </c>
      <c r="V412" s="308" t="b">
        <v>1</v>
      </c>
      <c r="W412" s="308" t="b">
        <v>1</v>
      </c>
      <c r="X412" s="308"/>
      <c r="Y412" s="308" t="s">
        <v>6146</v>
      </c>
      <c r="Z412" s="308" t="s">
        <v>6147</v>
      </c>
      <c r="AA412" s="308" t="s">
        <v>6147</v>
      </c>
      <c r="AB412" s="308"/>
      <c r="AC412" s="308"/>
      <c r="AD412" s="308" t="s">
        <v>6148</v>
      </c>
      <c r="AE412" s="308">
        <v>70029.0</v>
      </c>
      <c r="AF412" s="308" t="s">
        <v>4103</v>
      </c>
      <c r="AG412" s="308" t="s">
        <v>2955</v>
      </c>
      <c r="AH412" s="308"/>
      <c r="AI412" s="308" t="s">
        <v>6146</v>
      </c>
      <c r="AJ412" s="308" t="s">
        <v>6149</v>
      </c>
      <c r="AK412" s="308" t="s">
        <v>6150</v>
      </c>
      <c r="AL412" s="308" t="s">
        <v>6151</v>
      </c>
      <c r="AM412" s="308"/>
      <c r="AN412" s="308" t="s">
        <v>6152</v>
      </c>
      <c r="AO412" s="308">
        <v>70029.0</v>
      </c>
      <c r="AP412" s="308" t="s">
        <v>4103</v>
      </c>
      <c r="AQ412" s="308" t="s">
        <v>2955</v>
      </c>
      <c r="AR412" s="308">
        <v>3.80109497E9</v>
      </c>
      <c r="AS412" s="311"/>
      <c r="AT412" s="311"/>
      <c r="AU412" s="311"/>
      <c r="AV412" s="308" t="s">
        <v>2956</v>
      </c>
      <c r="AW412" s="308">
        <v>4.8017272176967E13</v>
      </c>
      <c r="AX412" s="310">
        <v>0.0</v>
      </c>
      <c r="AY412" s="308" t="s">
        <v>2974</v>
      </c>
      <c r="AZ412" s="308">
        <v>0.0</v>
      </c>
      <c r="BA412" s="311"/>
      <c r="BB412" s="311"/>
      <c r="BC412" s="311"/>
      <c r="BD412" s="308">
        <v>7.882367533383E12</v>
      </c>
      <c r="BE412" s="311"/>
      <c r="BF412" s="311"/>
      <c r="BG412" s="308" t="s">
        <v>2958</v>
      </c>
      <c r="BH412" s="308">
        <v>0.0</v>
      </c>
      <c r="BI412" s="308" t="s">
        <v>2959</v>
      </c>
      <c r="BJ412" s="308">
        <v>14.61</v>
      </c>
      <c r="BK412" s="311"/>
      <c r="BL412" s="311"/>
      <c r="BM412" s="311"/>
      <c r="BN412" s="311"/>
      <c r="BO412" s="311"/>
      <c r="BP412" s="311"/>
      <c r="BQ412" s="311"/>
      <c r="BR412" s="311"/>
      <c r="BS412" s="308"/>
      <c r="BT412" s="311"/>
      <c r="BU412" s="311"/>
      <c r="BV412" s="308" t="s">
        <v>4102</v>
      </c>
      <c r="BW412" s="308" t="s">
        <v>4102</v>
      </c>
      <c r="BX412" s="308" t="s">
        <v>2956</v>
      </c>
      <c r="BY412" s="311"/>
      <c r="BZ412" s="311"/>
      <c r="CA412" s="308" t="s">
        <v>2956</v>
      </c>
      <c r="CB412" s="312" t="str">
        <f t="shared" si="1"/>
        <v>24/06/2026</v>
      </c>
      <c r="CC412" s="313">
        <f t="shared" si="2"/>
        <v>2026</v>
      </c>
      <c r="CD412" s="314">
        <f t="shared" si="3"/>
        <v>6</v>
      </c>
      <c r="CE412" s="314">
        <f t="shared" si="4"/>
        <v>1</v>
      </c>
      <c r="CF412" s="314">
        <f t="shared" si="5"/>
        <v>1</v>
      </c>
      <c r="CG412" s="314">
        <f t="shared" si="6"/>
        <v>0</v>
      </c>
      <c r="CH412" s="315">
        <f>VLOOKUP(CL412,'PRODUCT_COGS&amp;PRICE'!A:E,5,false)</f>
        <v>16.5</v>
      </c>
      <c r="CI412" s="315">
        <f t="shared" si="7"/>
        <v>-1.8631</v>
      </c>
      <c r="CJ412" s="316">
        <f t="shared" si="8"/>
        <v>0</v>
      </c>
      <c r="CK412" s="316">
        <f t="shared" si="9"/>
        <v>9</v>
      </c>
      <c r="CL412" s="314" t="str">
        <f>VLOOKUP(R412,PRODUCT_MAP!A:B,2,FALSE)</f>
        <v>Annie_Bag_BROWN</v>
      </c>
      <c r="CM412" s="314" t="str">
        <f>VLOOKUP(R412,PRODUCT_MAP!A:E,3,FALSE)</f>
        <v>Annie Bag Silk</v>
      </c>
    </row>
    <row r="413" ht="22.5" customHeight="1">
      <c r="A413" s="308" t="s">
        <v>6153</v>
      </c>
      <c r="B413" s="308" t="s">
        <v>6154</v>
      </c>
      <c r="C413" s="308" t="s">
        <v>2942</v>
      </c>
      <c r="D413" s="308" t="s">
        <v>6155</v>
      </c>
      <c r="E413" s="308" t="s">
        <v>3013</v>
      </c>
      <c r="F413" s="308"/>
      <c r="G413" s="308" t="s">
        <v>2965</v>
      </c>
      <c r="H413" s="308" t="s">
        <v>2947</v>
      </c>
      <c r="I413" s="308">
        <v>90.0</v>
      </c>
      <c r="J413" s="308">
        <v>0.0</v>
      </c>
      <c r="K413" s="308">
        <v>16.23</v>
      </c>
      <c r="L413" s="308">
        <v>90.0</v>
      </c>
      <c r="M413" s="308"/>
      <c r="N413" s="308">
        <v>0.0</v>
      </c>
      <c r="O413" s="308" t="s">
        <v>2979</v>
      </c>
      <c r="P413" s="308" t="s">
        <v>6156</v>
      </c>
      <c r="Q413" s="310">
        <v>1.0</v>
      </c>
      <c r="R413" s="308" t="s">
        <v>4697</v>
      </c>
      <c r="S413" s="308">
        <v>90.0</v>
      </c>
      <c r="T413" s="311"/>
      <c r="U413" s="308" t="s">
        <v>4937</v>
      </c>
      <c r="V413" s="308" t="b">
        <v>1</v>
      </c>
      <c r="W413" s="308" t="b">
        <v>1</v>
      </c>
      <c r="X413" s="308"/>
      <c r="Y413" s="308" t="s">
        <v>6157</v>
      </c>
      <c r="Z413" s="308" t="s">
        <v>6158</v>
      </c>
      <c r="AA413" s="308" t="s">
        <v>6159</v>
      </c>
      <c r="AB413" s="308" t="s">
        <v>6160</v>
      </c>
      <c r="AC413" s="308"/>
      <c r="AD413" s="308" t="s">
        <v>23</v>
      </c>
      <c r="AE413" s="308">
        <v>20121.0</v>
      </c>
      <c r="AF413" s="308" t="s">
        <v>2954</v>
      </c>
      <c r="AG413" s="308" t="s">
        <v>2955</v>
      </c>
      <c r="AH413" s="308">
        <v>3.342343314E9</v>
      </c>
      <c r="AI413" s="308"/>
      <c r="AJ413" s="308"/>
      <c r="AK413" s="308"/>
      <c r="AL413" s="308"/>
      <c r="AM413" s="308"/>
      <c r="AN413" s="308"/>
      <c r="AO413" s="308"/>
      <c r="AP413" s="308"/>
      <c r="AQ413" s="308"/>
      <c r="AR413" s="308"/>
      <c r="AS413" s="311"/>
      <c r="AT413" s="311"/>
      <c r="AU413" s="311"/>
      <c r="AV413" s="308" t="s">
        <v>3009</v>
      </c>
      <c r="AW413" s="308">
        <v>4.8017567088967E13</v>
      </c>
      <c r="AX413" s="310">
        <v>0.0</v>
      </c>
      <c r="AY413" s="308" t="s">
        <v>2974</v>
      </c>
      <c r="AZ413" s="308">
        <v>0.0</v>
      </c>
      <c r="BA413" s="311"/>
      <c r="BB413" s="311"/>
      <c r="BC413" s="311"/>
      <c r="BD413" s="308">
        <v>7.882512695623E12</v>
      </c>
      <c r="BE413" s="311"/>
      <c r="BF413" s="311"/>
      <c r="BG413" s="308" t="s">
        <v>2958</v>
      </c>
      <c r="BH413" s="308">
        <v>0.0</v>
      </c>
      <c r="BI413" s="308" t="s">
        <v>2959</v>
      </c>
      <c r="BJ413" s="308">
        <v>16.23</v>
      </c>
      <c r="BK413" s="311"/>
      <c r="BL413" s="311"/>
      <c r="BM413" s="311"/>
      <c r="BN413" s="311"/>
      <c r="BO413" s="311"/>
      <c r="BP413" s="311"/>
      <c r="BQ413" s="311"/>
      <c r="BR413" s="311"/>
      <c r="BS413" s="308"/>
      <c r="BT413" s="311"/>
      <c r="BU413" s="311"/>
      <c r="BV413" s="308" t="s">
        <v>23</v>
      </c>
      <c r="BW413" s="308"/>
      <c r="BX413" s="308" t="s">
        <v>3009</v>
      </c>
      <c r="BY413" s="311"/>
      <c r="BZ413" s="311"/>
      <c r="CA413" s="308" t="s">
        <v>3009</v>
      </c>
      <c r="CB413" s="312" t="str">
        <f t="shared" si="1"/>
        <v>24/06/2026</v>
      </c>
      <c r="CC413" s="313">
        <f t="shared" si="2"/>
        <v>2026</v>
      </c>
      <c r="CD413" s="314">
        <f t="shared" si="3"/>
        <v>6</v>
      </c>
      <c r="CE413" s="314">
        <f t="shared" si="4"/>
        <v>1</v>
      </c>
      <c r="CF413" s="314">
        <f t="shared" si="5"/>
        <v>1</v>
      </c>
      <c r="CG413" s="314">
        <f t="shared" si="6"/>
        <v>-5</v>
      </c>
      <c r="CH413" s="315">
        <f>VLOOKUP(CL413,'PRODUCT_COGS&amp;PRICE'!A:E,5,false)</f>
        <v>16.5</v>
      </c>
      <c r="CI413" s="315">
        <f t="shared" si="7"/>
        <v>-3.491</v>
      </c>
      <c r="CJ413" s="316">
        <f t="shared" si="8"/>
        <v>0</v>
      </c>
      <c r="CK413" s="316">
        <f t="shared" si="9"/>
        <v>0</v>
      </c>
      <c r="CL413" s="314" t="str">
        <f>VLOOKUP(R413,PRODUCT_MAP!A:B,2,FALSE)</f>
        <v>Annie_Bag_PINK</v>
      </c>
      <c r="CM413" s="314" t="str">
        <f>VLOOKUP(R413,PRODUCT_MAP!A:E,3,FALSE)</f>
        <v/>
      </c>
    </row>
    <row r="414" ht="22.5" customHeight="1">
      <c r="A414" s="308" t="s">
        <v>6161</v>
      </c>
      <c r="B414" s="308" t="s">
        <v>6162</v>
      </c>
      <c r="C414" s="308" t="s">
        <v>2942</v>
      </c>
      <c r="D414" s="308" t="s">
        <v>6163</v>
      </c>
      <c r="E414" s="308" t="s">
        <v>3013</v>
      </c>
      <c r="F414" s="308"/>
      <c r="G414" s="308" t="s">
        <v>2965</v>
      </c>
      <c r="H414" s="308" t="s">
        <v>2947</v>
      </c>
      <c r="I414" s="308">
        <v>170.0</v>
      </c>
      <c r="J414" s="308">
        <v>0.0</v>
      </c>
      <c r="K414" s="308">
        <v>30.66</v>
      </c>
      <c r="L414" s="308">
        <v>170.0</v>
      </c>
      <c r="M414" s="308"/>
      <c r="N414" s="308">
        <v>0.0</v>
      </c>
      <c r="O414" s="308" t="s">
        <v>2948</v>
      </c>
      <c r="P414" s="308" t="s">
        <v>6164</v>
      </c>
      <c r="Q414" s="310">
        <v>1.0</v>
      </c>
      <c r="R414" s="308" t="s">
        <v>549</v>
      </c>
      <c r="S414" s="308">
        <v>170.0</v>
      </c>
      <c r="T414" s="311"/>
      <c r="U414" s="308" t="s">
        <v>5187</v>
      </c>
      <c r="V414" s="308" t="b">
        <v>1</v>
      </c>
      <c r="W414" s="308" t="b">
        <v>1</v>
      </c>
      <c r="X414" s="308"/>
      <c r="Y414" s="308" t="s">
        <v>6165</v>
      </c>
      <c r="Z414" s="308" t="s">
        <v>6166</v>
      </c>
      <c r="AA414" s="308" t="s">
        <v>6166</v>
      </c>
      <c r="AB414" s="308"/>
      <c r="AC414" s="308"/>
      <c r="AD414" s="308" t="s">
        <v>6167</v>
      </c>
      <c r="AE414" s="308">
        <v>20813.0</v>
      </c>
      <c r="AF414" s="308" t="s">
        <v>3270</v>
      </c>
      <c r="AG414" s="308" t="s">
        <v>2955</v>
      </c>
      <c r="AH414" s="308">
        <v>3.493241978E9</v>
      </c>
      <c r="AI414" s="308" t="s">
        <v>6165</v>
      </c>
      <c r="AJ414" s="308" t="s">
        <v>6166</v>
      </c>
      <c r="AK414" s="308" t="s">
        <v>6166</v>
      </c>
      <c r="AL414" s="308"/>
      <c r="AM414" s="308"/>
      <c r="AN414" s="308" t="s">
        <v>6167</v>
      </c>
      <c r="AO414" s="308">
        <v>20813.0</v>
      </c>
      <c r="AP414" s="308" t="s">
        <v>3270</v>
      </c>
      <c r="AQ414" s="308" t="s">
        <v>2955</v>
      </c>
      <c r="AR414" s="308">
        <v>3.493241978E9</v>
      </c>
      <c r="AS414" s="311"/>
      <c r="AT414" s="311"/>
      <c r="AU414" s="311"/>
      <c r="AV414" s="308" t="s">
        <v>3009</v>
      </c>
      <c r="AW414" s="308">
        <v>4.8017900241223E13</v>
      </c>
      <c r="AX414" s="310">
        <v>0.0</v>
      </c>
      <c r="AY414" s="308" t="s">
        <v>2974</v>
      </c>
      <c r="AZ414" s="308">
        <v>0.0</v>
      </c>
      <c r="BA414" s="311"/>
      <c r="BB414" s="311"/>
      <c r="BC414" s="311"/>
      <c r="BD414" s="308">
        <v>7.882688364871E12</v>
      </c>
      <c r="BE414" s="311"/>
      <c r="BF414" s="311"/>
      <c r="BG414" s="308" t="s">
        <v>2958</v>
      </c>
      <c r="BH414" s="308">
        <v>0.0</v>
      </c>
      <c r="BI414" s="308" t="s">
        <v>2959</v>
      </c>
      <c r="BJ414" s="308">
        <v>30.66</v>
      </c>
      <c r="BK414" s="311"/>
      <c r="BL414" s="311"/>
      <c r="BM414" s="311"/>
      <c r="BN414" s="311"/>
      <c r="BO414" s="311"/>
      <c r="BP414" s="311"/>
      <c r="BQ414" s="311"/>
      <c r="BR414" s="311"/>
      <c r="BS414" s="308"/>
      <c r="BT414" s="311"/>
      <c r="BU414" s="311"/>
      <c r="BV414" s="308" t="s">
        <v>3271</v>
      </c>
      <c r="BW414" s="308" t="s">
        <v>3271</v>
      </c>
      <c r="BX414" s="308" t="s">
        <v>3009</v>
      </c>
      <c r="BY414" s="311"/>
      <c r="BZ414" s="311"/>
      <c r="CA414" s="308" t="s">
        <v>3009</v>
      </c>
      <c r="CB414" s="312" t="str">
        <f t="shared" si="1"/>
        <v>24/06/2026</v>
      </c>
      <c r="CC414" s="313">
        <f t="shared" si="2"/>
        <v>2026</v>
      </c>
      <c r="CD414" s="314">
        <f t="shared" si="3"/>
        <v>6</v>
      </c>
      <c r="CE414" s="314">
        <f t="shared" si="4"/>
        <v>1</v>
      </c>
      <c r="CF414" s="314">
        <f t="shared" si="5"/>
        <v>1</v>
      </c>
      <c r="CG414" s="314">
        <f t="shared" si="6"/>
        <v>-5</v>
      </c>
      <c r="CH414" s="315">
        <f>VLOOKUP(CL414,'PRODUCT_COGS&amp;PRICE'!A:E,5,false)</f>
        <v>36</v>
      </c>
      <c r="CI414" s="315">
        <f t="shared" si="7"/>
        <v>-6.283</v>
      </c>
      <c r="CJ414" s="316">
        <f t="shared" si="8"/>
        <v>0</v>
      </c>
      <c r="CK414" s="316">
        <f t="shared" si="9"/>
        <v>0</v>
      </c>
      <c r="CL414" s="314" t="str">
        <f>VLOOKUP(R414,PRODUCT_MAP!A:B,2,FALSE)</f>
        <v>Lea_Bag_Maxi_COCCO_BLACK</v>
      </c>
      <c r="CM414" s="314" t="str">
        <f>VLOOKUP(R414,PRODUCT_MAP!A:E,3,FALSE)</f>
        <v>Lea Bag Maxi</v>
      </c>
    </row>
    <row r="415" ht="22.5" customHeight="1">
      <c r="A415" s="308" t="s">
        <v>6168</v>
      </c>
      <c r="B415" s="308" t="s">
        <v>6169</v>
      </c>
      <c r="C415" s="308" t="s">
        <v>2942</v>
      </c>
      <c r="D415" s="308" t="s">
        <v>6170</v>
      </c>
      <c r="E415" s="308" t="s">
        <v>3013</v>
      </c>
      <c r="F415" s="308"/>
      <c r="G415" s="308" t="s">
        <v>2946</v>
      </c>
      <c r="H415" s="308" t="s">
        <v>2947</v>
      </c>
      <c r="I415" s="308">
        <v>72.0</v>
      </c>
      <c r="J415" s="308">
        <v>0.0</v>
      </c>
      <c r="K415" s="308">
        <v>12.98</v>
      </c>
      <c r="L415" s="308">
        <v>72.0</v>
      </c>
      <c r="M415" s="308" t="s">
        <v>3094</v>
      </c>
      <c r="N415" s="308">
        <v>8.0</v>
      </c>
      <c r="O415" s="308" t="s">
        <v>2979</v>
      </c>
      <c r="P415" s="308" t="s">
        <v>6171</v>
      </c>
      <c r="Q415" s="310">
        <v>1.0</v>
      </c>
      <c r="R415" s="308" t="s">
        <v>6172</v>
      </c>
      <c r="S415" s="308">
        <v>80.0</v>
      </c>
      <c r="T415" s="311"/>
      <c r="U415" s="308" t="s">
        <v>6173</v>
      </c>
      <c r="V415" s="308" t="b">
        <v>1</v>
      </c>
      <c r="W415" s="308" t="b">
        <v>1</v>
      </c>
      <c r="X415" s="308"/>
      <c r="Y415" s="308" t="s">
        <v>6174</v>
      </c>
      <c r="Z415" s="308" t="s">
        <v>6175</v>
      </c>
      <c r="AA415" s="308" t="s">
        <v>6175</v>
      </c>
      <c r="AB415" s="308"/>
      <c r="AC415" s="308"/>
      <c r="AD415" s="308" t="s">
        <v>23</v>
      </c>
      <c r="AE415" s="308">
        <v>20131.0</v>
      </c>
      <c r="AF415" s="308" t="s">
        <v>2954</v>
      </c>
      <c r="AG415" s="308" t="s">
        <v>2955</v>
      </c>
      <c r="AH415" s="308"/>
      <c r="AI415" s="308"/>
      <c r="AJ415" s="308"/>
      <c r="AK415" s="308"/>
      <c r="AL415" s="308"/>
      <c r="AM415" s="308"/>
      <c r="AN415" s="308"/>
      <c r="AO415" s="308"/>
      <c r="AP415" s="308"/>
      <c r="AQ415" s="308"/>
      <c r="AR415" s="308"/>
      <c r="AS415" s="311"/>
      <c r="AT415" s="311"/>
      <c r="AU415" s="311"/>
      <c r="AV415" s="308" t="s">
        <v>2956</v>
      </c>
      <c r="AW415" s="308">
        <v>4.8017899553095E13</v>
      </c>
      <c r="AX415" s="310">
        <v>0.0</v>
      </c>
      <c r="AY415" s="308" t="s">
        <v>2974</v>
      </c>
      <c r="AZ415" s="308">
        <v>0.0</v>
      </c>
      <c r="BA415" s="311"/>
      <c r="BB415" s="311"/>
      <c r="BC415" s="311"/>
      <c r="BD415" s="308">
        <v>7.882730766663E12</v>
      </c>
      <c r="BE415" s="311"/>
      <c r="BF415" s="311"/>
      <c r="BG415" s="308" t="s">
        <v>2958</v>
      </c>
      <c r="BH415" s="308">
        <v>0.0</v>
      </c>
      <c r="BI415" s="308" t="s">
        <v>2959</v>
      </c>
      <c r="BJ415" s="308">
        <v>12.98</v>
      </c>
      <c r="BK415" s="311"/>
      <c r="BL415" s="311"/>
      <c r="BM415" s="311"/>
      <c r="BN415" s="311"/>
      <c r="BO415" s="311"/>
      <c r="BP415" s="311"/>
      <c r="BQ415" s="311"/>
      <c r="BR415" s="311"/>
      <c r="BS415" s="308"/>
      <c r="BT415" s="311"/>
      <c r="BU415" s="311"/>
      <c r="BV415" s="308" t="s">
        <v>23</v>
      </c>
      <c r="BW415" s="308"/>
      <c r="BX415" s="308" t="s">
        <v>2956</v>
      </c>
      <c r="BY415" s="311"/>
      <c r="BZ415" s="311"/>
      <c r="CA415" s="308" t="s">
        <v>2956</v>
      </c>
      <c r="CB415" s="312" t="str">
        <f t="shared" si="1"/>
        <v>24/06/2026</v>
      </c>
      <c r="CC415" s="313">
        <f t="shared" si="2"/>
        <v>2026</v>
      </c>
      <c r="CD415" s="314">
        <f t="shared" si="3"/>
        <v>6</v>
      </c>
      <c r="CE415" s="314">
        <f t="shared" si="4"/>
        <v>1</v>
      </c>
      <c r="CF415" s="314">
        <f t="shared" si="5"/>
        <v>1</v>
      </c>
      <c r="CG415" s="314">
        <f t="shared" si="6"/>
        <v>-5</v>
      </c>
      <c r="CH415" s="315">
        <f>VLOOKUP(CL415,'PRODUCT_COGS&amp;PRICE'!A:E,5,false)</f>
        <v>19</v>
      </c>
      <c r="CI415" s="315">
        <f t="shared" si="7"/>
        <v>-1.618</v>
      </c>
      <c r="CJ415" s="316">
        <f t="shared" si="8"/>
        <v>0</v>
      </c>
      <c r="CK415" s="316">
        <f t="shared" si="9"/>
        <v>8</v>
      </c>
      <c r="CL415" s="314" t="str">
        <f>VLOOKUP(R415,PRODUCT_MAP!A:B,2,FALSE)</f>
        <v>Agata_Bag_FLORAL_LIGHT_GREY</v>
      </c>
      <c r="CM415" s="314" t="str">
        <f>VLOOKUP(R415,PRODUCT_MAP!A:E,3,FALSE)</f>
        <v>Agata Bag</v>
      </c>
    </row>
    <row r="416" ht="22.5" customHeight="1">
      <c r="A416" s="308" t="s">
        <v>6176</v>
      </c>
      <c r="B416" s="308" t="s">
        <v>6177</v>
      </c>
      <c r="C416" s="308" t="s">
        <v>2942</v>
      </c>
      <c r="D416" s="308" t="s">
        <v>6178</v>
      </c>
      <c r="E416" s="308" t="s">
        <v>3013</v>
      </c>
      <c r="F416" s="308"/>
      <c r="G416" s="308" t="s">
        <v>2946</v>
      </c>
      <c r="H416" s="308" t="s">
        <v>2947</v>
      </c>
      <c r="I416" s="308">
        <v>45.0</v>
      </c>
      <c r="J416" s="308">
        <v>3.9</v>
      </c>
      <c r="K416" s="308">
        <v>8.81</v>
      </c>
      <c r="L416" s="308">
        <v>48.9</v>
      </c>
      <c r="M416" s="308" t="s">
        <v>3094</v>
      </c>
      <c r="N416" s="308">
        <v>5.0</v>
      </c>
      <c r="O416" s="308" t="s">
        <v>2948</v>
      </c>
      <c r="P416" s="308" t="s">
        <v>6179</v>
      </c>
      <c r="Q416" s="310">
        <v>1.0</v>
      </c>
      <c r="R416" s="308" t="s">
        <v>702</v>
      </c>
      <c r="S416" s="308">
        <v>50.0</v>
      </c>
      <c r="T416" s="311"/>
      <c r="U416" s="308" t="s">
        <v>49</v>
      </c>
      <c r="V416" s="308" t="b">
        <v>1</v>
      </c>
      <c r="W416" s="308" t="b">
        <v>1</v>
      </c>
      <c r="X416" s="308"/>
      <c r="Y416" s="308" t="s">
        <v>6180</v>
      </c>
      <c r="Z416" s="308" t="s">
        <v>6181</v>
      </c>
      <c r="AA416" s="308" t="s">
        <v>6181</v>
      </c>
      <c r="AB416" s="308"/>
      <c r="AC416" s="308"/>
      <c r="AD416" s="308" t="s">
        <v>6182</v>
      </c>
      <c r="AE416" s="308">
        <v>58100.0</v>
      </c>
      <c r="AF416" s="308" t="s">
        <v>6183</v>
      </c>
      <c r="AG416" s="308" t="s">
        <v>2955</v>
      </c>
      <c r="AH416" s="308">
        <v>3.480160936E9</v>
      </c>
      <c r="AI416" s="308" t="s">
        <v>6180</v>
      </c>
      <c r="AJ416" s="308" t="s">
        <v>6181</v>
      </c>
      <c r="AK416" s="308" t="s">
        <v>6181</v>
      </c>
      <c r="AL416" s="308"/>
      <c r="AM416" s="308"/>
      <c r="AN416" s="308" t="s">
        <v>6182</v>
      </c>
      <c r="AO416" s="308">
        <v>58100.0</v>
      </c>
      <c r="AP416" s="308" t="s">
        <v>6183</v>
      </c>
      <c r="AQ416" s="308" t="s">
        <v>2955</v>
      </c>
      <c r="AR416" s="308">
        <v>3.480160936E9</v>
      </c>
      <c r="AS416" s="311"/>
      <c r="AT416" s="311"/>
      <c r="AU416" s="311"/>
      <c r="AV416" s="308" t="s">
        <v>2956</v>
      </c>
      <c r="AW416" s="308">
        <v>4.8017984422215E13</v>
      </c>
      <c r="AX416" s="310">
        <v>0.0</v>
      </c>
      <c r="AY416" s="308" t="s">
        <v>2974</v>
      </c>
      <c r="AZ416" s="308">
        <v>0.0</v>
      </c>
      <c r="BA416" s="311"/>
      <c r="BB416" s="311"/>
      <c r="BC416" s="311"/>
      <c r="BD416" s="308">
        <v>7.882749247815E12</v>
      </c>
      <c r="BE416" s="311"/>
      <c r="BF416" s="311"/>
      <c r="BG416" s="308" t="s">
        <v>2958</v>
      </c>
      <c r="BH416" s="308">
        <v>0.0</v>
      </c>
      <c r="BI416" s="308" t="s">
        <v>2959</v>
      </c>
      <c r="BJ416" s="308">
        <v>8.11</v>
      </c>
      <c r="BK416" s="311"/>
      <c r="BL416" s="311"/>
      <c r="BM416" s="311"/>
      <c r="BN416" s="311"/>
      <c r="BO416" s="311"/>
      <c r="BP416" s="311"/>
      <c r="BQ416" s="311"/>
      <c r="BR416" s="311"/>
      <c r="BS416" s="308"/>
      <c r="BT416" s="311"/>
      <c r="BU416" s="311"/>
      <c r="BV416" s="308" t="s">
        <v>6182</v>
      </c>
      <c r="BW416" s="308" t="s">
        <v>6182</v>
      </c>
      <c r="BX416" s="308" t="s">
        <v>2956</v>
      </c>
      <c r="BY416" s="311"/>
      <c r="BZ416" s="311"/>
      <c r="CA416" s="308" t="s">
        <v>2956</v>
      </c>
      <c r="CB416" s="312" t="str">
        <f t="shared" si="1"/>
        <v>24/06/2026</v>
      </c>
      <c r="CC416" s="313">
        <f t="shared" si="2"/>
        <v>2026</v>
      </c>
      <c r="CD416" s="314">
        <f t="shared" si="3"/>
        <v>6</v>
      </c>
      <c r="CE416" s="314">
        <f t="shared" si="4"/>
        <v>1</v>
      </c>
      <c r="CF416" s="314">
        <f t="shared" si="5"/>
        <v>1</v>
      </c>
      <c r="CG416" s="314">
        <f t="shared" si="6"/>
        <v>0</v>
      </c>
      <c r="CH416" s="315">
        <f>VLOOKUP(CL416,'PRODUCT_COGS&amp;PRICE'!A:E,5,false)</f>
        <v>10.71</v>
      </c>
      <c r="CI416" s="315">
        <f t="shared" si="7"/>
        <v>-1.1791</v>
      </c>
      <c r="CJ416" s="316">
        <f t="shared" si="8"/>
        <v>0</v>
      </c>
      <c r="CK416" s="316">
        <f t="shared" si="9"/>
        <v>5</v>
      </c>
      <c r="CL416" s="314" t="str">
        <f>VLOOKUP(R416,PRODUCT_MAP!A:B,2,FALSE)</f>
        <v>Nina_Bag_STRIPES_PETROL_BLUE</v>
      </c>
      <c r="CM416" s="314" t="str">
        <f>VLOOKUP(R416,PRODUCT_MAP!A:E,3,FALSE)</f>
        <v>Nina Bag</v>
      </c>
    </row>
    <row r="417" ht="22.5" customHeight="1">
      <c r="A417" s="308" t="s">
        <v>6184</v>
      </c>
      <c r="B417" s="308"/>
      <c r="C417" s="308" t="s">
        <v>2942</v>
      </c>
      <c r="D417" s="308" t="s">
        <v>6185</v>
      </c>
      <c r="E417" s="308" t="s">
        <v>3013</v>
      </c>
      <c r="F417" s="308"/>
      <c r="G417" s="308" t="s">
        <v>2965</v>
      </c>
      <c r="H417" s="308" t="s">
        <v>2947</v>
      </c>
      <c r="I417" s="308">
        <v>90.0</v>
      </c>
      <c r="J417" s="308">
        <v>3.9</v>
      </c>
      <c r="K417" s="308">
        <v>16.93</v>
      </c>
      <c r="L417" s="308">
        <v>93.9</v>
      </c>
      <c r="M417" s="308"/>
      <c r="N417" s="308">
        <v>0.0</v>
      </c>
      <c r="O417" s="308" t="s">
        <v>2948</v>
      </c>
      <c r="P417" s="308" t="s">
        <v>6186</v>
      </c>
      <c r="Q417" s="310">
        <v>1.0</v>
      </c>
      <c r="R417" s="308" t="s">
        <v>6187</v>
      </c>
      <c r="S417" s="308">
        <v>90.0</v>
      </c>
      <c r="T417" s="311"/>
      <c r="U417" s="308" t="s">
        <v>6188</v>
      </c>
      <c r="V417" s="308" t="b">
        <v>1</v>
      </c>
      <c r="W417" s="308" t="b">
        <v>1</v>
      </c>
      <c r="X417" s="308"/>
      <c r="Y417" s="308" t="s">
        <v>6189</v>
      </c>
      <c r="Z417" s="308" t="s">
        <v>6190</v>
      </c>
      <c r="AA417" s="308" t="s">
        <v>6190</v>
      </c>
      <c r="AB417" s="308"/>
      <c r="AC417" s="308"/>
      <c r="AD417" s="308" t="s">
        <v>6191</v>
      </c>
      <c r="AE417" s="308">
        <v>41026.0</v>
      </c>
      <c r="AF417" s="308" t="s">
        <v>3047</v>
      </c>
      <c r="AG417" s="308" t="s">
        <v>2955</v>
      </c>
      <c r="AH417" s="308"/>
      <c r="AI417" s="308" t="s">
        <v>6189</v>
      </c>
      <c r="AJ417" s="308" t="s">
        <v>6192</v>
      </c>
      <c r="AK417" s="308" t="s">
        <v>6192</v>
      </c>
      <c r="AL417" s="308"/>
      <c r="AM417" s="308"/>
      <c r="AN417" s="308" t="s">
        <v>6191</v>
      </c>
      <c r="AO417" s="308">
        <v>41026.0</v>
      </c>
      <c r="AP417" s="308" t="s">
        <v>3047</v>
      </c>
      <c r="AQ417" s="308" t="s">
        <v>2955</v>
      </c>
      <c r="AR417" s="308">
        <v>3.382335359E9</v>
      </c>
      <c r="AS417" s="311"/>
      <c r="AT417" s="311"/>
      <c r="AU417" s="311"/>
      <c r="AV417" s="308" t="s">
        <v>2956</v>
      </c>
      <c r="AW417" s="308">
        <v>4.8018963169607E13</v>
      </c>
      <c r="AX417" s="310">
        <v>0.0</v>
      </c>
      <c r="AY417" s="308" t="s">
        <v>2974</v>
      </c>
      <c r="AZ417" s="308">
        <v>0.0</v>
      </c>
      <c r="BA417" s="311"/>
      <c r="BB417" s="311"/>
      <c r="BC417" s="311"/>
      <c r="BD417" s="308">
        <v>7.883265638727E12</v>
      </c>
      <c r="BE417" s="311"/>
      <c r="BF417" s="311"/>
      <c r="BG417" s="308" t="s">
        <v>2958</v>
      </c>
      <c r="BH417" s="308">
        <v>0.0</v>
      </c>
      <c r="BI417" s="308" t="s">
        <v>2959</v>
      </c>
      <c r="BJ417" s="308">
        <v>16.23</v>
      </c>
      <c r="BK417" s="311"/>
      <c r="BL417" s="311"/>
      <c r="BM417" s="311"/>
      <c r="BN417" s="311"/>
      <c r="BO417" s="311"/>
      <c r="BP417" s="311"/>
      <c r="BQ417" s="311"/>
      <c r="BR417" s="311"/>
      <c r="BS417" s="318" t="s">
        <v>6193</v>
      </c>
      <c r="BT417" s="311"/>
      <c r="BU417" s="311"/>
      <c r="BV417" s="308" t="s">
        <v>3049</v>
      </c>
      <c r="BW417" s="308" t="s">
        <v>3049</v>
      </c>
      <c r="BX417" s="308" t="s">
        <v>2956</v>
      </c>
      <c r="BY417" s="311"/>
      <c r="BZ417" s="311"/>
      <c r="CA417" s="308" t="s">
        <v>2956</v>
      </c>
      <c r="CB417" s="312" t="str">
        <f t="shared" si="1"/>
        <v>24/06/2026</v>
      </c>
      <c r="CC417" s="313">
        <f t="shared" si="2"/>
        <v>2026</v>
      </c>
      <c r="CD417" s="314">
        <f t="shared" si="3"/>
        <v>6</v>
      </c>
      <c r="CE417" s="314">
        <f t="shared" si="4"/>
        <v>1</v>
      </c>
      <c r="CF417" s="314">
        <f t="shared" si="5"/>
        <v>1</v>
      </c>
      <c r="CG417" s="314">
        <f t="shared" si="6"/>
        <v>0</v>
      </c>
      <c r="CH417" s="315">
        <f>VLOOKUP(CL417,'PRODUCT_COGS&amp;PRICE'!A:E,5,false)</f>
        <v>16.5</v>
      </c>
      <c r="CI417" s="315">
        <f t="shared" si="7"/>
        <v>-2.0341</v>
      </c>
      <c r="CJ417" s="316">
        <f t="shared" si="8"/>
        <v>0</v>
      </c>
      <c r="CK417" s="316">
        <f t="shared" si="9"/>
        <v>0</v>
      </c>
      <c r="CL417" s="314" t="str">
        <f>VLOOKUP(R417,PRODUCT_MAP!A:B,2,FALSE)</f>
        <v>Annie_Bag_PAILLETTES_PURPLE</v>
      </c>
      <c r="CM417" s="314" t="str">
        <f>VLOOKUP(R417,PRODUCT_MAP!A:E,3,FALSE)</f>
        <v>Annie Bag</v>
      </c>
    </row>
    <row r="418" ht="22.5" customHeight="1">
      <c r="A418" s="308" t="s">
        <v>6194</v>
      </c>
      <c r="B418" s="308" t="s">
        <v>6195</v>
      </c>
      <c r="C418" s="308" t="s">
        <v>2942</v>
      </c>
      <c r="D418" s="308" t="s">
        <v>6196</v>
      </c>
      <c r="E418" s="308" t="s">
        <v>3013</v>
      </c>
      <c r="F418" s="308"/>
      <c r="G418" s="308" t="s">
        <v>2946</v>
      </c>
      <c r="H418" s="308" t="s">
        <v>2947</v>
      </c>
      <c r="I418" s="308">
        <v>108.0</v>
      </c>
      <c r="J418" s="308">
        <v>0.0</v>
      </c>
      <c r="K418" s="308">
        <v>19.48</v>
      </c>
      <c r="L418" s="308">
        <v>108.0</v>
      </c>
      <c r="M418" s="308" t="s">
        <v>3094</v>
      </c>
      <c r="N418" s="308">
        <v>12.0</v>
      </c>
      <c r="O418" s="308" t="s">
        <v>2948</v>
      </c>
      <c r="P418" s="308" t="s">
        <v>6197</v>
      </c>
      <c r="Q418" s="310">
        <v>1.0</v>
      </c>
      <c r="R418" s="308" t="s">
        <v>524</v>
      </c>
      <c r="S418" s="308">
        <v>120.0</v>
      </c>
      <c r="T418" s="311"/>
      <c r="U418" s="308" t="s">
        <v>300</v>
      </c>
      <c r="V418" s="308" t="b">
        <v>1</v>
      </c>
      <c r="W418" s="308" t="b">
        <v>1</v>
      </c>
      <c r="X418" s="308"/>
      <c r="Y418" s="308" t="s">
        <v>6198</v>
      </c>
      <c r="Z418" s="308" t="s">
        <v>6199</v>
      </c>
      <c r="AA418" s="308" t="s">
        <v>6199</v>
      </c>
      <c r="AB418" s="308"/>
      <c r="AC418" s="308"/>
      <c r="AD418" s="308" t="s">
        <v>4561</v>
      </c>
      <c r="AE418" s="308">
        <v>20007.0</v>
      </c>
      <c r="AF418" s="308" t="s">
        <v>2954</v>
      </c>
      <c r="AG418" s="308" t="s">
        <v>2955</v>
      </c>
      <c r="AH418" s="308">
        <v>3.339610191E9</v>
      </c>
      <c r="AI418" s="308" t="s">
        <v>6198</v>
      </c>
      <c r="AJ418" s="308" t="s">
        <v>6199</v>
      </c>
      <c r="AK418" s="308" t="s">
        <v>6199</v>
      </c>
      <c r="AL418" s="308"/>
      <c r="AM418" s="308"/>
      <c r="AN418" s="308" t="s">
        <v>4561</v>
      </c>
      <c r="AO418" s="308">
        <v>20007.0</v>
      </c>
      <c r="AP418" s="308" t="s">
        <v>2954</v>
      </c>
      <c r="AQ418" s="308" t="s">
        <v>2955</v>
      </c>
      <c r="AR418" s="308">
        <v>3.339610191E9</v>
      </c>
      <c r="AS418" s="311"/>
      <c r="AT418" s="311"/>
      <c r="AU418" s="311"/>
      <c r="AV418" s="308" t="s">
        <v>3009</v>
      </c>
      <c r="AW418" s="308">
        <v>4.8019148112199E13</v>
      </c>
      <c r="AX418" s="310">
        <v>0.0</v>
      </c>
      <c r="AY418" s="308" t="s">
        <v>2974</v>
      </c>
      <c r="AZ418" s="308">
        <v>0.0</v>
      </c>
      <c r="BA418" s="311"/>
      <c r="BB418" s="311"/>
      <c r="BC418" s="311"/>
      <c r="BD418" s="308">
        <v>7.883358372167E12</v>
      </c>
      <c r="BE418" s="311"/>
      <c r="BF418" s="311"/>
      <c r="BG418" s="308" t="s">
        <v>2958</v>
      </c>
      <c r="BH418" s="308">
        <v>0.0</v>
      </c>
      <c r="BI418" s="308" t="s">
        <v>2959</v>
      </c>
      <c r="BJ418" s="308">
        <v>19.48</v>
      </c>
      <c r="BK418" s="311"/>
      <c r="BL418" s="311"/>
      <c r="BM418" s="311"/>
      <c r="BN418" s="311"/>
      <c r="BO418" s="311"/>
      <c r="BP418" s="311"/>
      <c r="BQ418" s="311"/>
      <c r="BR418" s="311"/>
      <c r="BS418" s="308"/>
      <c r="BT418" s="311"/>
      <c r="BU418" s="311"/>
      <c r="BV418" s="308" t="s">
        <v>23</v>
      </c>
      <c r="BW418" s="308" t="s">
        <v>23</v>
      </c>
      <c r="BX418" s="308" t="s">
        <v>3009</v>
      </c>
      <c r="BY418" s="311"/>
      <c r="BZ418" s="311"/>
      <c r="CA418" s="308" t="s">
        <v>3009</v>
      </c>
      <c r="CB418" s="312" t="str">
        <f t="shared" si="1"/>
        <v>24/06/2026</v>
      </c>
      <c r="CC418" s="313">
        <f t="shared" si="2"/>
        <v>2026</v>
      </c>
      <c r="CD418" s="314">
        <f t="shared" si="3"/>
        <v>6</v>
      </c>
      <c r="CE418" s="314">
        <f t="shared" si="4"/>
        <v>1</v>
      </c>
      <c r="CF418" s="314">
        <f t="shared" si="5"/>
        <v>1</v>
      </c>
      <c r="CG418" s="314">
        <f t="shared" si="6"/>
        <v>-5</v>
      </c>
      <c r="CH418" s="315">
        <f>VLOOKUP(CL418,'PRODUCT_COGS&amp;PRICE'!A:E,5,false)</f>
        <v>20</v>
      </c>
      <c r="CI418" s="315">
        <f t="shared" si="7"/>
        <v>-4.1192</v>
      </c>
      <c r="CJ418" s="316">
        <f t="shared" si="8"/>
        <v>0</v>
      </c>
      <c r="CK418" s="316">
        <f t="shared" si="9"/>
        <v>12</v>
      </c>
      <c r="CL418" s="314" t="str">
        <f>VLOOKUP(R418,PRODUCT_MAP!A:B,2,FALSE)</f>
        <v>Lea_Bag_COCCO_GREEN</v>
      </c>
      <c r="CM418" s="314" t="str">
        <f>VLOOKUP(R418,PRODUCT_MAP!A:E,3,FALSE)</f>
        <v>Lea Bag</v>
      </c>
    </row>
    <row r="419" ht="22.5" customHeight="1">
      <c r="A419" s="308" t="s">
        <v>6200</v>
      </c>
      <c r="B419" s="308" t="s">
        <v>6201</v>
      </c>
      <c r="C419" s="308" t="s">
        <v>2942</v>
      </c>
      <c r="D419" s="308" t="s">
        <v>6202</v>
      </c>
      <c r="E419" s="308" t="s">
        <v>3013</v>
      </c>
      <c r="F419" s="308"/>
      <c r="G419" s="308" t="s">
        <v>2946</v>
      </c>
      <c r="H419" s="308" t="s">
        <v>2947</v>
      </c>
      <c r="I419" s="308">
        <v>135.0</v>
      </c>
      <c r="J419" s="308">
        <v>0.0</v>
      </c>
      <c r="K419" s="308">
        <v>24.34</v>
      </c>
      <c r="L419" s="308">
        <v>135.0</v>
      </c>
      <c r="M419" s="308" t="s">
        <v>3094</v>
      </c>
      <c r="N419" s="308">
        <v>15.0</v>
      </c>
      <c r="O419" s="308" t="s">
        <v>2948</v>
      </c>
      <c r="P419" s="308" t="s">
        <v>6203</v>
      </c>
      <c r="Q419" s="310">
        <v>1.0</v>
      </c>
      <c r="R419" s="308" t="s">
        <v>574</v>
      </c>
      <c r="S419" s="308">
        <v>150.0</v>
      </c>
      <c r="T419" s="311"/>
      <c r="U419" s="308" t="s">
        <v>181</v>
      </c>
      <c r="V419" s="308" t="b">
        <v>1</v>
      </c>
      <c r="W419" s="308" t="b">
        <v>1</v>
      </c>
      <c r="X419" s="308"/>
      <c r="Y419" s="308" t="s">
        <v>6204</v>
      </c>
      <c r="Z419" s="308" t="s">
        <v>6205</v>
      </c>
      <c r="AA419" s="308" t="s">
        <v>6206</v>
      </c>
      <c r="AB419" s="308" t="s">
        <v>6207</v>
      </c>
      <c r="AC419" s="308"/>
      <c r="AD419" s="308" t="s">
        <v>6208</v>
      </c>
      <c r="AE419" s="308">
        <v>51035.0</v>
      </c>
      <c r="AF419" s="308" t="s">
        <v>6209</v>
      </c>
      <c r="AG419" s="308" t="s">
        <v>2955</v>
      </c>
      <c r="AH419" s="308">
        <v>3.291970448E9</v>
      </c>
      <c r="AI419" s="308" t="s">
        <v>6204</v>
      </c>
      <c r="AJ419" s="308" t="s">
        <v>6205</v>
      </c>
      <c r="AK419" s="308" t="s">
        <v>6206</v>
      </c>
      <c r="AL419" s="308" t="s">
        <v>6207</v>
      </c>
      <c r="AM419" s="308"/>
      <c r="AN419" s="308" t="s">
        <v>6208</v>
      </c>
      <c r="AO419" s="308">
        <v>51035.0</v>
      </c>
      <c r="AP419" s="308" t="s">
        <v>6209</v>
      </c>
      <c r="AQ419" s="308" t="s">
        <v>2955</v>
      </c>
      <c r="AR419" s="308">
        <v>3.291970448E9</v>
      </c>
      <c r="AS419" s="311"/>
      <c r="AT419" s="311"/>
      <c r="AU419" s="311"/>
      <c r="AV419" s="308" t="s">
        <v>3009</v>
      </c>
      <c r="AW419" s="308">
        <v>4.8023723901255E13</v>
      </c>
      <c r="AX419" s="310">
        <v>0.0</v>
      </c>
      <c r="AY419" s="308" t="s">
        <v>2974</v>
      </c>
      <c r="AZ419" s="308">
        <v>0.0</v>
      </c>
      <c r="BA419" s="311"/>
      <c r="BB419" s="311"/>
      <c r="BC419" s="311"/>
      <c r="BD419" s="308">
        <v>7.886027751751E12</v>
      </c>
      <c r="BE419" s="311"/>
      <c r="BF419" s="311"/>
      <c r="BG419" s="308" t="s">
        <v>2958</v>
      </c>
      <c r="BH419" s="308">
        <v>0.0</v>
      </c>
      <c r="BI419" s="308" t="s">
        <v>2959</v>
      </c>
      <c r="BJ419" s="308">
        <v>24.34</v>
      </c>
      <c r="BK419" s="311"/>
      <c r="BL419" s="311"/>
      <c r="BM419" s="311"/>
      <c r="BN419" s="311"/>
      <c r="BO419" s="311"/>
      <c r="BP419" s="311"/>
      <c r="BQ419" s="311"/>
      <c r="BR419" s="311"/>
      <c r="BS419" s="308"/>
      <c r="BT419" s="311"/>
      <c r="BU419" s="311"/>
      <c r="BV419" s="308" t="s">
        <v>6210</v>
      </c>
      <c r="BW419" s="308" t="s">
        <v>6210</v>
      </c>
      <c r="BX419" s="308" t="s">
        <v>3009</v>
      </c>
      <c r="BY419" s="311"/>
      <c r="BZ419" s="311"/>
      <c r="CA419" s="308" t="s">
        <v>3009</v>
      </c>
      <c r="CB419" s="312" t="str">
        <f t="shared" si="1"/>
        <v>25/06/2026</v>
      </c>
      <c r="CC419" s="313">
        <f t="shared" si="2"/>
        <v>2026</v>
      </c>
      <c r="CD419" s="314">
        <f t="shared" si="3"/>
        <v>6</v>
      </c>
      <c r="CE419" s="314">
        <f t="shared" si="4"/>
        <v>1</v>
      </c>
      <c r="CF419" s="314">
        <f t="shared" si="5"/>
        <v>1</v>
      </c>
      <c r="CG419" s="314">
        <f t="shared" si="6"/>
        <v>-5</v>
      </c>
      <c r="CH419" s="315">
        <f>VLOOKUP(CL419,'PRODUCT_COGS&amp;PRICE'!A:E,5,false)</f>
        <v>30.33</v>
      </c>
      <c r="CI419" s="315">
        <f t="shared" si="7"/>
        <v>-5.0615</v>
      </c>
      <c r="CJ419" s="316">
        <f t="shared" si="8"/>
        <v>0</v>
      </c>
      <c r="CK419" s="316">
        <f t="shared" si="9"/>
        <v>15</v>
      </c>
      <c r="CL419" s="314" t="str">
        <f>VLOOKUP(R419,PRODUCT_MAP!A:B,2,FALSE)</f>
        <v>Lea_Bag_LEOPARDO_SAVANA</v>
      </c>
      <c r="CM419" s="314" t="str">
        <f>VLOOKUP(R419,PRODUCT_MAP!A:E,3,FALSE)</f>
        <v>Lea Bag</v>
      </c>
    </row>
    <row r="420" ht="22.5" customHeight="1">
      <c r="A420" s="308" t="s">
        <v>6211</v>
      </c>
      <c r="B420" s="308" t="s">
        <v>6212</v>
      </c>
      <c r="C420" s="308" t="s">
        <v>2942</v>
      </c>
      <c r="D420" s="308" t="s">
        <v>6213</v>
      </c>
      <c r="E420" s="308" t="s">
        <v>3013</v>
      </c>
      <c r="F420" s="308"/>
      <c r="G420" s="308" t="s">
        <v>2946</v>
      </c>
      <c r="H420" s="308" t="s">
        <v>2947</v>
      </c>
      <c r="I420" s="308">
        <v>120.0</v>
      </c>
      <c r="J420" s="308">
        <v>0.0</v>
      </c>
      <c r="K420" s="308">
        <v>21.64</v>
      </c>
      <c r="L420" s="308">
        <v>120.0</v>
      </c>
      <c r="M420" s="308"/>
      <c r="N420" s="308">
        <v>0.0</v>
      </c>
      <c r="O420" s="308" t="s">
        <v>2948</v>
      </c>
      <c r="P420" s="308" t="s">
        <v>6214</v>
      </c>
      <c r="Q420" s="310">
        <v>1.0</v>
      </c>
      <c r="R420" s="308" t="s">
        <v>607</v>
      </c>
      <c r="S420" s="308">
        <v>120.0</v>
      </c>
      <c r="T420" s="311"/>
      <c r="U420" s="308" t="s">
        <v>207</v>
      </c>
      <c r="V420" s="308" t="b">
        <v>1</v>
      </c>
      <c r="W420" s="308" t="b">
        <v>1</v>
      </c>
      <c r="X420" s="308"/>
      <c r="Y420" s="308" t="s">
        <v>6215</v>
      </c>
      <c r="Z420" s="308" t="s">
        <v>6216</v>
      </c>
      <c r="AA420" s="308" t="s">
        <v>6216</v>
      </c>
      <c r="AB420" s="308"/>
      <c r="AC420" s="308"/>
      <c r="AD420" s="308" t="s">
        <v>23</v>
      </c>
      <c r="AE420" s="308">
        <v>20159.0</v>
      </c>
      <c r="AF420" s="308" t="s">
        <v>2954</v>
      </c>
      <c r="AG420" s="308" t="s">
        <v>2955</v>
      </c>
      <c r="AH420" s="308"/>
      <c r="AI420" s="308" t="s">
        <v>6215</v>
      </c>
      <c r="AJ420" s="308" t="s">
        <v>6217</v>
      </c>
      <c r="AK420" s="308" t="s">
        <v>6217</v>
      </c>
      <c r="AL420" s="308"/>
      <c r="AM420" s="308"/>
      <c r="AN420" s="308" t="s">
        <v>23</v>
      </c>
      <c r="AO420" s="308">
        <v>20159.0</v>
      </c>
      <c r="AP420" s="308" t="s">
        <v>2954</v>
      </c>
      <c r="AQ420" s="308" t="s">
        <v>2955</v>
      </c>
      <c r="AR420" s="308">
        <v>3.38143248E9</v>
      </c>
      <c r="AS420" s="311"/>
      <c r="AT420" s="311"/>
      <c r="AU420" s="311"/>
      <c r="AV420" s="308" t="s">
        <v>2956</v>
      </c>
      <c r="AW420" s="308">
        <v>4.8024063017287E13</v>
      </c>
      <c r="AX420" s="310">
        <v>0.0</v>
      </c>
      <c r="AY420" s="308" t="s">
        <v>2974</v>
      </c>
      <c r="AZ420" s="308">
        <v>0.0</v>
      </c>
      <c r="BA420" s="311"/>
      <c r="BB420" s="311"/>
      <c r="BC420" s="311"/>
      <c r="BD420" s="308">
        <v>7.886197915975E12</v>
      </c>
      <c r="BE420" s="311"/>
      <c r="BF420" s="311"/>
      <c r="BG420" s="308" t="s">
        <v>2958</v>
      </c>
      <c r="BH420" s="308">
        <v>0.0</v>
      </c>
      <c r="BI420" s="308" t="s">
        <v>2959</v>
      </c>
      <c r="BJ420" s="308">
        <v>21.64</v>
      </c>
      <c r="BK420" s="311"/>
      <c r="BL420" s="311"/>
      <c r="BM420" s="311"/>
      <c r="BN420" s="311"/>
      <c r="BO420" s="311"/>
      <c r="BP420" s="311"/>
      <c r="BQ420" s="311"/>
      <c r="BR420" s="311"/>
      <c r="BS420" s="308"/>
      <c r="BT420" s="311"/>
      <c r="BU420" s="311"/>
      <c r="BV420" s="308" t="s">
        <v>23</v>
      </c>
      <c r="BW420" s="308" t="s">
        <v>23</v>
      </c>
      <c r="BX420" s="308" t="s">
        <v>2956</v>
      </c>
      <c r="BY420" s="311"/>
      <c r="BZ420" s="311"/>
      <c r="CA420" s="308" t="s">
        <v>2956</v>
      </c>
      <c r="CB420" s="312" t="str">
        <f t="shared" si="1"/>
        <v>25/06/2026</v>
      </c>
      <c r="CC420" s="313">
        <f t="shared" si="2"/>
        <v>2026</v>
      </c>
      <c r="CD420" s="314">
        <f t="shared" si="3"/>
        <v>6</v>
      </c>
      <c r="CE420" s="314">
        <f t="shared" si="4"/>
        <v>1</v>
      </c>
      <c r="CF420" s="314">
        <f t="shared" si="5"/>
        <v>1</v>
      </c>
      <c r="CG420" s="314">
        <f t="shared" si="6"/>
        <v>-5</v>
      </c>
      <c r="CH420" s="315">
        <f>VLOOKUP(CL420,'PRODUCT_COGS&amp;PRICE'!A:E,5,false)</f>
        <v>26</v>
      </c>
      <c r="CI420" s="315">
        <f t="shared" si="7"/>
        <v>-2.53</v>
      </c>
      <c r="CJ420" s="316">
        <f t="shared" si="8"/>
        <v>0</v>
      </c>
      <c r="CK420" s="316">
        <f t="shared" si="9"/>
        <v>0</v>
      </c>
      <c r="CL420" s="314" t="str">
        <f>VLOOKUP(R420,PRODUCT_MAP!A:B,2,FALSE)</f>
        <v>Maria_Bag_RED_PIERCING</v>
      </c>
      <c r="CM420" s="314" t="str">
        <f>VLOOKUP(R420,PRODUCT_MAP!A:E,3,FALSE)</f>
        <v>Maria Bag</v>
      </c>
    </row>
    <row r="421" ht="22.5" customHeight="1">
      <c r="A421" s="308" t="s">
        <v>6218</v>
      </c>
      <c r="B421" s="308" t="s">
        <v>6219</v>
      </c>
      <c r="C421" s="308" t="s">
        <v>2942</v>
      </c>
      <c r="D421" s="308" t="s">
        <v>6220</v>
      </c>
      <c r="E421" s="308" t="s">
        <v>3013</v>
      </c>
      <c r="F421" s="308"/>
      <c r="G421" s="308" t="s">
        <v>2946</v>
      </c>
      <c r="H421" s="308" t="s">
        <v>2947</v>
      </c>
      <c r="I421" s="308">
        <v>135.0</v>
      </c>
      <c r="J421" s="308">
        <v>0.0</v>
      </c>
      <c r="K421" s="308">
        <v>24.34</v>
      </c>
      <c r="L421" s="308">
        <v>135.0</v>
      </c>
      <c r="M421" s="308" t="s">
        <v>3094</v>
      </c>
      <c r="N421" s="308">
        <v>15.0</v>
      </c>
      <c r="O421" s="308" t="s">
        <v>2948</v>
      </c>
      <c r="P421" s="308" t="s">
        <v>6221</v>
      </c>
      <c r="Q421" s="310">
        <v>1.0</v>
      </c>
      <c r="R421" s="308" t="s">
        <v>702</v>
      </c>
      <c r="S421" s="308">
        <v>50.0</v>
      </c>
      <c r="T421" s="311"/>
      <c r="U421" s="308" t="s">
        <v>49</v>
      </c>
      <c r="V421" s="308" t="b">
        <v>1</v>
      </c>
      <c r="W421" s="308" t="b">
        <v>1</v>
      </c>
      <c r="X421" s="308"/>
      <c r="Y421" s="308" t="s">
        <v>5594</v>
      </c>
      <c r="Z421" s="308" t="s">
        <v>5595</v>
      </c>
      <c r="AA421" s="308" t="s">
        <v>5596</v>
      </c>
      <c r="AB421" s="308" t="s">
        <v>5597</v>
      </c>
      <c r="AC421" s="308" t="s">
        <v>6222</v>
      </c>
      <c r="AD421" s="308" t="s">
        <v>23</v>
      </c>
      <c r="AE421" s="308">
        <v>20131.0</v>
      </c>
      <c r="AF421" s="308" t="s">
        <v>2954</v>
      </c>
      <c r="AG421" s="308" t="s">
        <v>2955</v>
      </c>
      <c r="AH421" s="308"/>
      <c r="AI421" s="308" t="s">
        <v>5594</v>
      </c>
      <c r="AJ421" s="308" t="s">
        <v>6223</v>
      </c>
      <c r="AK421" s="308" t="s">
        <v>6223</v>
      </c>
      <c r="AL421" s="308"/>
      <c r="AM421" s="308" t="s">
        <v>6222</v>
      </c>
      <c r="AN421" s="308" t="s">
        <v>23</v>
      </c>
      <c r="AO421" s="308">
        <v>20123.0</v>
      </c>
      <c r="AP421" s="308" t="s">
        <v>2954</v>
      </c>
      <c r="AQ421" s="308" t="s">
        <v>2955</v>
      </c>
      <c r="AR421" s="308">
        <v>3.466915473E9</v>
      </c>
      <c r="AS421" s="311"/>
      <c r="AT421" s="311"/>
      <c r="AU421" s="311"/>
      <c r="AV421" s="308" t="s">
        <v>2956</v>
      </c>
      <c r="AW421" s="308">
        <v>4.8025444516167E13</v>
      </c>
      <c r="AX421" s="310">
        <v>0.0</v>
      </c>
      <c r="AY421" s="308" t="s">
        <v>2974</v>
      </c>
      <c r="AZ421" s="308">
        <v>0.0</v>
      </c>
      <c r="BA421" s="311"/>
      <c r="BB421" s="311"/>
      <c r="BC421" s="311"/>
      <c r="BD421" s="308">
        <v>7.886905049415E12</v>
      </c>
      <c r="BE421" s="311"/>
      <c r="BF421" s="311"/>
      <c r="BG421" s="308" t="s">
        <v>2958</v>
      </c>
      <c r="BH421" s="308">
        <v>0.0</v>
      </c>
      <c r="BI421" s="308" t="s">
        <v>2959</v>
      </c>
      <c r="BJ421" s="308">
        <v>8.11</v>
      </c>
      <c r="BK421" s="311"/>
      <c r="BL421" s="311"/>
      <c r="BM421" s="311"/>
      <c r="BN421" s="311"/>
      <c r="BO421" s="311"/>
      <c r="BP421" s="311"/>
      <c r="BQ421" s="311"/>
      <c r="BR421" s="311"/>
      <c r="BS421" s="308"/>
      <c r="BT421" s="311"/>
      <c r="BU421" s="311"/>
      <c r="BV421" s="308" t="s">
        <v>23</v>
      </c>
      <c r="BW421" s="308" t="s">
        <v>23</v>
      </c>
      <c r="BX421" s="308" t="s">
        <v>2956</v>
      </c>
      <c r="BY421" s="311"/>
      <c r="BZ421" s="311"/>
      <c r="CA421" s="308" t="s">
        <v>2956</v>
      </c>
      <c r="CB421" s="312" t="str">
        <f t="shared" si="1"/>
        <v>25/06/2026</v>
      </c>
      <c r="CC421" s="313">
        <f t="shared" si="2"/>
        <v>2026</v>
      </c>
      <c r="CD421" s="314">
        <f t="shared" si="3"/>
        <v>6</v>
      </c>
      <c r="CE421" s="314">
        <f t="shared" si="4"/>
        <v>1</v>
      </c>
      <c r="CF421" s="314">
        <f t="shared" si="5"/>
        <v>1</v>
      </c>
      <c r="CG421" s="314">
        <f t="shared" si="6"/>
        <v>-5</v>
      </c>
      <c r="CH421" s="315">
        <f>VLOOKUP(CL421,'PRODUCT_COGS&amp;PRICE'!A:E,5,false)</f>
        <v>10.71</v>
      </c>
      <c r="CI421" s="315">
        <f t="shared" si="7"/>
        <v>-5.38</v>
      </c>
      <c r="CJ421" s="316">
        <f t="shared" si="8"/>
        <v>0</v>
      </c>
      <c r="CK421" s="316">
        <f t="shared" si="9"/>
        <v>15</v>
      </c>
      <c r="CL421" s="314" t="str">
        <f>VLOOKUP(R421,PRODUCT_MAP!A:B,2,FALSE)</f>
        <v>Nina_Bag_STRIPES_PETROL_BLUE</v>
      </c>
      <c r="CM421" s="314" t="str">
        <f>VLOOKUP(R421,PRODUCT_MAP!A:E,3,FALSE)</f>
        <v>Nina Bag</v>
      </c>
    </row>
    <row r="422" ht="22.5" customHeight="1">
      <c r="A422" s="308" t="s">
        <v>6218</v>
      </c>
      <c r="B422" s="308" t="s">
        <v>6219</v>
      </c>
      <c r="C422" s="308" t="s">
        <v>2942</v>
      </c>
      <c r="D422" s="308" t="s">
        <v>6220</v>
      </c>
      <c r="E422" s="308" t="s">
        <v>3013</v>
      </c>
      <c r="F422" s="308"/>
      <c r="G422" s="308" t="s">
        <v>2946</v>
      </c>
      <c r="H422" s="308" t="s">
        <v>2947</v>
      </c>
      <c r="I422" s="308">
        <v>135.0</v>
      </c>
      <c r="J422" s="308">
        <v>0.0</v>
      </c>
      <c r="K422" s="308">
        <v>24.34</v>
      </c>
      <c r="L422" s="308">
        <v>135.0</v>
      </c>
      <c r="M422" s="308" t="s">
        <v>3094</v>
      </c>
      <c r="N422" s="308">
        <v>15.0</v>
      </c>
      <c r="O422" s="308" t="s">
        <v>2948</v>
      </c>
      <c r="P422" s="308" t="s">
        <v>6221</v>
      </c>
      <c r="Q422" s="310">
        <v>2.0</v>
      </c>
      <c r="R422" s="308" t="s">
        <v>717</v>
      </c>
      <c r="S422" s="308">
        <v>50.0</v>
      </c>
      <c r="T422" s="311"/>
      <c r="U422" s="308" t="s">
        <v>215</v>
      </c>
      <c r="V422" s="308" t="b">
        <v>1</v>
      </c>
      <c r="W422" s="308" t="b">
        <v>1</v>
      </c>
      <c r="X422" s="308"/>
      <c r="Y422" s="308" t="s">
        <v>5594</v>
      </c>
      <c r="Z422" s="308" t="s">
        <v>5595</v>
      </c>
      <c r="AA422" s="308" t="s">
        <v>5596</v>
      </c>
      <c r="AB422" s="308" t="s">
        <v>5597</v>
      </c>
      <c r="AC422" s="308" t="s">
        <v>6222</v>
      </c>
      <c r="AD422" s="308" t="s">
        <v>23</v>
      </c>
      <c r="AE422" s="308">
        <v>20131.0</v>
      </c>
      <c r="AF422" s="308" t="s">
        <v>2954</v>
      </c>
      <c r="AG422" s="308" t="s">
        <v>2955</v>
      </c>
      <c r="AH422" s="308"/>
      <c r="AI422" s="308" t="s">
        <v>5594</v>
      </c>
      <c r="AJ422" s="308" t="s">
        <v>6223</v>
      </c>
      <c r="AK422" s="308" t="s">
        <v>6223</v>
      </c>
      <c r="AL422" s="308"/>
      <c r="AM422" s="308" t="s">
        <v>6222</v>
      </c>
      <c r="AN422" s="308" t="s">
        <v>23</v>
      </c>
      <c r="AO422" s="308">
        <v>20123.0</v>
      </c>
      <c r="AP422" s="308" t="s">
        <v>2954</v>
      </c>
      <c r="AQ422" s="308" t="s">
        <v>2955</v>
      </c>
      <c r="AR422" s="308">
        <v>3.466915473E9</v>
      </c>
      <c r="AS422" s="311"/>
      <c r="AT422" s="311"/>
      <c r="AU422" s="311"/>
      <c r="AV422" s="308" t="s">
        <v>2956</v>
      </c>
      <c r="AW422" s="308">
        <v>4.8025444516167E13</v>
      </c>
      <c r="AX422" s="310">
        <v>0.0</v>
      </c>
      <c r="AY422" s="308" t="s">
        <v>2974</v>
      </c>
      <c r="AZ422" s="308">
        <v>0.0</v>
      </c>
      <c r="BA422" s="311"/>
      <c r="BB422" s="311"/>
      <c r="BC422" s="311"/>
      <c r="BD422" s="308">
        <v>7.886905049415E12</v>
      </c>
      <c r="BE422" s="311"/>
      <c r="BF422" s="311"/>
      <c r="BG422" s="308" t="s">
        <v>2958</v>
      </c>
      <c r="BH422" s="308">
        <v>0.0</v>
      </c>
      <c r="BI422" s="308" t="s">
        <v>2959</v>
      </c>
      <c r="BJ422" s="308">
        <v>16.23</v>
      </c>
      <c r="BK422" s="311"/>
      <c r="BL422" s="311"/>
      <c r="BM422" s="311"/>
      <c r="BN422" s="311"/>
      <c r="BO422" s="311"/>
      <c r="BP422" s="311"/>
      <c r="BQ422" s="311"/>
      <c r="BR422" s="311"/>
      <c r="BS422" s="308"/>
      <c r="BT422" s="311"/>
      <c r="BU422" s="311"/>
      <c r="BV422" s="308" t="s">
        <v>23</v>
      </c>
      <c r="BW422" s="308" t="s">
        <v>23</v>
      </c>
      <c r="BX422" s="308" t="s">
        <v>2956</v>
      </c>
      <c r="BY422" s="311"/>
      <c r="BZ422" s="311"/>
      <c r="CA422" s="308" t="s">
        <v>2956</v>
      </c>
      <c r="CB422" s="312" t="str">
        <f t="shared" si="1"/>
        <v>25/06/2026</v>
      </c>
      <c r="CC422" s="313">
        <f t="shared" si="2"/>
        <v>2026</v>
      </c>
      <c r="CD422" s="314">
        <f t="shared" si="3"/>
        <v>6</v>
      </c>
      <c r="CE422" s="314">
        <f t="shared" si="4"/>
        <v>0</v>
      </c>
      <c r="CF422" s="314">
        <f t="shared" si="5"/>
        <v>2</v>
      </c>
      <c r="CG422" s="314">
        <f t="shared" si="6"/>
        <v>-5</v>
      </c>
      <c r="CH422" s="315">
        <f>VLOOKUP(CL422,'PRODUCT_COGS&amp;PRICE'!A:E,5,false)</f>
        <v>4</v>
      </c>
      <c r="CI422" s="315">
        <f t="shared" si="7"/>
        <v>0</v>
      </c>
      <c r="CJ422" s="316">
        <f t="shared" si="8"/>
        <v>0</v>
      </c>
      <c r="CK422" s="316">
        <f t="shared" si="9"/>
        <v>15</v>
      </c>
      <c r="CL422" s="314" t="str">
        <f>VLOOKUP(R422,PRODUCT_MAP!A:B,2,FALSE)</f>
        <v>Nina_Bag_PEACH</v>
      </c>
      <c r="CM422" s="314" t="str">
        <f>VLOOKUP(R422,PRODUCT_MAP!A:E,3,FALSE)</f>
        <v>Nina Bag</v>
      </c>
    </row>
    <row r="423" ht="22.5" customHeight="1">
      <c r="A423" s="308" t="s">
        <v>6224</v>
      </c>
      <c r="B423" s="308" t="s">
        <v>6225</v>
      </c>
      <c r="C423" s="308" t="s">
        <v>2942</v>
      </c>
      <c r="D423" s="308" t="s">
        <v>6226</v>
      </c>
      <c r="E423" s="308" t="s">
        <v>3013</v>
      </c>
      <c r="F423" s="308"/>
      <c r="G423" s="308" t="s">
        <v>2946</v>
      </c>
      <c r="H423" s="308" t="s">
        <v>2947</v>
      </c>
      <c r="I423" s="308">
        <v>81.0</v>
      </c>
      <c r="J423" s="308">
        <v>3.9</v>
      </c>
      <c r="K423" s="308">
        <v>15.31</v>
      </c>
      <c r="L423" s="308">
        <v>84.9</v>
      </c>
      <c r="M423" s="308" t="s">
        <v>3094</v>
      </c>
      <c r="N423" s="308">
        <v>9.0</v>
      </c>
      <c r="O423" s="308" t="s">
        <v>2948</v>
      </c>
      <c r="P423" s="308" t="s">
        <v>6227</v>
      </c>
      <c r="Q423" s="310">
        <v>1.0</v>
      </c>
      <c r="R423" s="308" t="s">
        <v>5852</v>
      </c>
      <c r="S423" s="308">
        <v>90.0</v>
      </c>
      <c r="T423" s="311"/>
      <c r="U423" s="308" t="s">
        <v>4221</v>
      </c>
      <c r="V423" s="308" t="b">
        <v>1</v>
      </c>
      <c r="W423" s="308" t="b">
        <v>1</v>
      </c>
      <c r="X423" s="308"/>
      <c r="Y423" s="308" t="s">
        <v>6228</v>
      </c>
      <c r="Z423" s="308" t="s">
        <v>6229</v>
      </c>
      <c r="AA423" s="308" t="s">
        <v>6229</v>
      </c>
      <c r="AB423" s="308"/>
      <c r="AC423" s="308"/>
      <c r="AD423" s="308" t="s">
        <v>6230</v>
      </c>
      <c r="AE423" s="308">
        <v>43014.0</v>
      </c>
      <c r="AF423" s="308" t="s">
        <v>4554</v>
      </c>
      <c r="AG423" s="308" t="s">
        <v>2955</v>
      </c>
      <c r="AH423" s="308"/>
      <c r="AI423" s="308" t="s">
        <v>6228</v>
      </c>
      <c r="AJ423" s="308" t="s">
        <v>6231</v>
      </c>
      <c r="AK423" s="308" t="s">
        <v>6231</v>
      </c>
      <c r="AL423" s="308"/>
      <c r="AM423" s="308"/>
      <c r="AN423" s="308" t="s">
        <v>6232</v>
      </c>
      <c r="AO423" s="308">
        <v>43014.0</v>
      </c>
      <c r="AP423" s="308" t="s">
        <v>4554</v>
      </c>
      <c r="AQ423" s="308" t="s">
        <v>2955</v>
      </c>
      <c r="AR423" s="308">
        <v>3.48597562E9</v>
      </c>
      <c r="AS423" s="311"/>
      <c r="AT423" s="311"/>
      <c r="AU423" s="311"/>
      <c r="AV423" s="308" t="s">
        <v>2956</v>
      </c>
      <c r="AW423" s="308">
        <v>4.8023988011335E13</v>
      </c>
      <c r="AX423" s="310">
        <v>0.0</v>
      </c>
      <c r="AY423" s="308" t="s">
        <v>2974</v>
      </c>
      <c r="AZ423" s="308">
        <v>0.0</v>
      </c>
      <c r="BA423" s="311"/>
      <c r="BB423" s="311"/>
      <c r="BC423" s="311"/>
      <c r="BD423" s="308">
        <v>7.886947483975E12</v>
      </c>
      <c r="BE423" s="311"/>
      <c r="BF423" s="311"/>
      <c r="BG423" s="308" t="s">
        <v>2958</v>
      </c>
      <c r="BH423" s="308">
        <v>0.0</v>
      </c>
      <c r="BI423" s="308" t="s">
        <v>2959</v>
      </c>
      <c r="BJ423" s="308">
        <v>14.61</v>
      </c>
      <c r="BK423" s="311"/>
      <c r="BL423" s="311"/>
      <c r="BM423" s="311"/>
      <c r="BN423" s="311"/>
      <c r="BO423" s="311"/>
      <c r="BP423" s="311"/>
      <c r="BQ423" s="311"/>
      <c r="BR423" s="311"/>
      <c r="BS423" s="308"/>
      <c r="BT423" s="311"/>
      <c r="BU423" s="311"/>
      <c r="BV423" s="308" t="s">
        <v>4553</v>
      </c>
      <c r="BW423" s="308" t="s">
        <v>4553</v>
      </c>
      <c r="BX423" s="308" t="s">
        <v>2956</v>
      </c>
      <c r="BY423" s="311"/>
      <c r="BZ423" s="311"/>
      <c r="CA423" s="308" t="s">
        <v>2956</v>
      </c>
      <c r="CB423" s="312" t="str">
        <f t="shared" si="1"/>
        <v>25/06/2026</v>
      </c>
      <c r="CC423" s="313">
        <f t="shared" si="2"/>
        <v>2026</v>
      </c>
      <c r="CD423" s="314">
        <f t="shared" si="3"/>
        <v>6</v>
      </c>
      <c r="CE423" s="314">
        <f t="shared" si="4"/>
        <v>1</v>
      </c>
      <c r="CF423" s="314">
        <f t="shared" si="5"/>
        <v>1</v>
      </c>
      <c r="CG423" s="314">
        <f t="shared" si="6"/>
        <v>0</v>
      </c>
      <c r="CH423" s="315">
        <f>VLOOKUP(CL423,'PRODUCT_COGS&amp;PRICE'!A:E,5,false)</f>
        <v>16.5</v>
      </c>
      <c r="CI423" s="315">
        <f t="shared" si="7"/>
        <v>-1.8631</v>
      </c>
      <c r="CJ423" s="316">
        <f t="shared" si="8"/>
        <v>0</v>
      </c>
      <c r="CK423" s="316">
        <f t="shared" si="9"/>
        <v>9</v>
      </c>
      <c r="CL423" s="314" t="str">
        <f>VLOOKUP(R423,PRODUCT_MAP!A:B,2,FALSE)</f>
        <v>Annie_Bag_PAILLETTES_NUDE</v>
      </c>
      <c r="CM423" s="314" t="str">
        <f>VLOOKUP(R423,PRODUCT_MAP!A:E,3,FALSE)</f>
        <v>Agata Bag</v>
      </c>
    </row>
    <row r="424" ht="22.5" customHeight="1">
      <c r="A424" s="308" t="s">
        <v>6233</v>
      </c>
      <c r="B424" s="308" t="s">
        <v>6234</v>
      </c>
      <c r="C424" s="308" t="s">
        <v>2942</v>
      </c>
      <c r="D424" s="308" t="s">
        <v>6235</v>
      </c>
      <c r="E424" s="308" t="s">
        <v>3013</v>
      </c>
      <c r="F424" s="308"/>
      <c r="G424" s="308" t="s">
        <v>2946</v>
      </c>
      <c r="H424" s="308" t="s">
        <v>2947</v>
      </c>
      <c r="I424" s="308">
        <v>81.0</v>
      </c>
      <c r="J424" s="308">
        <v>0.0</v>
      </c>
      <c r="K424" s="308">
        <v>14.61</v>
      </c>
      <c r="L424" s="308">
        <v>81.0</v>
      </c>
      <c r="M424" s="308" t="s">
        <v>3094</v>
      </c>
      <c r="N424" s="308">
        <v>9.0</v>
      </c>
      <c r="O424" s="308" t="s">
        <v>2979</v>
      </c>
      <c r="P424" s="308" t="s">
        <v>6236</v>
      </c>
      <c r="Q424" s="310">
        <v>1.0</v>
      </c>
      <c r="R424" s="308" t="s">
        <v>5852</v>
      </c>
      <c r="S424" s="308">
        <v>90.0</v>
      </c>
      <c r="T424" s="311"/>
      <c r="U424" s="308" t="s">
        <v>4221</v>
      </c>
      <c r="V424" s="308" t="b">
        <v>1</v>
      </c>
      <c r="W424" s="308" t="b">
        <v>1</v>
      </c>
      <c r="X424" s="308"/>
      <c r="Y424" s="308" t="s">
        <v>6237</v>
      </c>
      <c r="Z424" s="308" t="s">
        <v>6238</v>
      </c>
      <c r="AA424" s="308" t="s">
        <v>6238</v>
      </c>
      <c r="AB424" s="308"/>
      <c r="AC424" s="308"/>
      <c r="AD424" s="308" t="s">
        <v>4737</v>
      </c>
      <c r="AE424" s="308" t="s">
        <v>6239</v>
      </c>
      <c r="AF424" s="308" t="s">
        <v>4739</v>
      </c>
      <c r="AG424" s="308" t="s">
        <v>4740</v>
      </c>
      <c r="AH424" s="308"/>
      <c r="AI424" s="308"/>
      <c r="AJ424" s="308"/>
      <c r="AK424" s="308"/>
      <c r="AL424" s="308"/>
      <c r="AM424" s="308"/>
      <c r="AN424" s="308"/>
      <c r="AO424" s="308"/>
      <c r="AP424" s="308"/>
      <c r="AQ424" s="308"/>
      <c r="AR424" s="308"/>
      <c r="AS424" s="311"/>
      <c r="AT424" s="311"/>
      <c r="AU424" s="311"/>
      <c r="AV424" s="308" t="s">
        <v>2956</v>
      </c>
      <c r="AW424" s="308">
        <v>4.8025974014279E13</v>
      </c>
      <c r="AX424" s="310">
        <v>0.0</v>
      </c>
      <c r="AY424" s="308" t="s">
        <v>2974</v>
      </c>
      <c r="AZ424" s="308">
        <v>0.0</v>
      </c>
      <c r="BA424" s="311"/>
      <c r="BB424" s="311"/>
      <c r="BC424" s="311"/>
      <c r="BD424" s="308">
        <v>7.887190131015E12</v>
      </c>
      <c r="BE424" s="311"/>
      <c r="BF424" s="311"/>
      <c r="BG424" s="308" t="s">
        <v>2958</v>
      </c>
      <c r="BH424" s="308">
        <v>0.0</v>
      </c>
      <c r="BI424" s="308" t="s">
        <v>2959</v>
      </c>
      <c r="BJ424" s="308">
        <v>14.61</v>
      </c>
      <c r="BK424" s="311"/>
      <c r="BL424" s="311"/>
      <c r="BM424" s="311"/>
      <c r="BN424" s="311"/>
      <c r="BO424" s="311"/>
      <c r="BP424" s="311"/>
      <c r="BQ424" s="311"/>
      <c r="BR424" s="311"/>
      <c r="BS424" s="308"/>
      <c r="BT424" s="311"/>
      <c r="BU424" s="311"/>
      <c r="BV424" s="308" t="s">
        <v>4742</v>
      </c>
      <c r="BW424" s="308"/>
      <c r="BX424" s="308" t="s">
        <v>2956</v>
      </c>
      <c r="BY424" s="311"/>
      <c r="BZ424" s="311"/>
      <c r="CA424" s="308" t="s">
        <v>2956</v>
      </c>
      <c r="CB424" s="312" t="str">
        <f t="shared" si="1"/>
        <v>25/06/2026</v>
      </c>
      <c r="CC424" s="313">
        <f t="shared" si="2"/>
        <v>2026</v>
      </c>
      <c r="CD424" s="314">
        <f t="shared" si="3"/>
        <v>6</v>
      </c>
      <c r="CE424" s="314">
        <f t="shared" si="4"/>
        <v>1</v>
      </c>
      <c r="CF424" s="314">
        <f t="shared" si="5"/>
        <v>1</v>
      </c>
      <c r="CG424" s="314">
        <f t="shared" si="6"/>
        <v>-5</v>
      </c>
      <c r="CH424" s="315">
        <f>VLOOKUP(CL424,'PRODUCT_COGS&amp;PRICE'!A:E,5,false)</f>
        <v>16.5</v>
      </c>
      <c r="CI424" s="315">
        <f t="shared" si="7"/>
        <v>-1.789</v>
      </c>
      <c r="CJ424" s="316">
        <f t="shared" si="8"/>
        <v>0</v>
      </c>
      <c r="CK424" s="316">
        <f t="shared" si="9"/>
        <v>9</v>
      </c>
      <c r="CL424" s="314" t="str">
        <f>VLOOKUP(R424,PRODUCT_MAP!A:B,2,FALSE)</f>
        <v>Annie_Bag_PAILLETTES_NUDE</v>
      </c>
      <c r="CM424" s="314" t="str">
        <f>VLOOKUP(R424,PRODUCT_MAP!A:E,3,FALSE)</f>
        <v>Agata Bag</v>
      </c>
    </row>
    <row r="425" ht="22.5" customHeight="1">
      <c r="A425" s="308" t="s">
        <v>6240</v>
      </c>
      <c r="B425" s="308" t="s">
        <v>6241</v>
      </c>
      <c r="C425" s="308" t="s">
        <v>2942</v>
      </c>
      <c r="D425" s="308" t="s">
        <v>6242</v>
      </c>
      <c r="E425" s="308" t="s">
        <v>3013</v>
      </c>
      <c r="F425" s="308"/>
      <c r="G425" s="308" t="s">
        <v>2946</v>
      </c>
      <c r="H425" s="308" t="s">
        <v>2947</v>
      </c>
      <c r="I425" s="308">
        <v>108.0</v>
      </c>
      <c r="J425" s="308">
        <v>0.0</v>
      </c>
      <c r="K425" s="308">
        <v>19.48</v>
      </c>
      <c r="L425" s="308">
        <v>108.0</v>
      </c>
      <c r="M425" s="308" t="s">
        <v>3094</v>
      </c>
      <c r="N425" s="308">
        <v>12.0</v>
      </c>
      <c r="O425" s="308" t="s">
        <v>2948</v>
      </c>
      <c r="P425" s="308" t="s">
        <v>6243</v>
      </c>
      <c r="Q425" s="310">
        <v>1.0</v>
      </c>
      <c r="R425" s="308" t="s">
        <v>601</v>
      </c>
      <c r="S425" s="308">
        <v>120.0</v>
      </c>
      <c r="T425" s="311"/>
      <c r="U425" s="308" t="s">
        <v>605</v>
      </c>
      <c r="V425" s="308" t="b">
        <v>1</v>
      </c>
      <c r="W425" s="308" t="b">
        <v>1</v>
      </c>
      <c r="X425" s="308"/>
      <c r="Y425" s="308" t="s">
        <v>6244</v>
      </c>
      <c r="Z425" s="308" t="s">
        <v>6245</v>
      </c>
      <c r="AA425" s="308" t="s">
        <v>6245</v>
      </c>
      <c r="AB425" s="308"/>
      <c r="AC425" s="308" t="s">
        <v>6246</v>
      </c>
      <c r="AD425" s="308" t="s">
        <v>6247</v>
      </c>
      <c r="AE425" s="308">
        <v>24040.0</v>
      </c>
      <c r="AF425" s="308" t="s">
        <v>3528</v>
      </c>
      <c r="AG425" s="308" t="s">
        <v>2955</v>
      </c>
      <c r="AH425" s="308"/>
      <c r="AI425" s="308" t="s">
        <v>6244</v>
      </c>
      <c r="AJ425" s="308" t="s">
        <v>6248</v>
      </c>
      <c r="AK425" s="308" t="s">
        <v>6248</v>
      </c>
      <c r="AL425" s="308"/>
      <c r="AM425" s="308" t="s">
        <v>6246</v>
      </c>
      <c r="AN425" s="308" t="s">
        <v>3533</v>
      </c>
      <c r="AO425" s="308">
        <v>24124.0</v>
      </c>
      <c r="AP425" s="308" t="s">
        <v>3528</v>
      </c>
      <c r="AQ425" s="308" t="s">
        <v>2955</v>
      </c>
      <c r="AR425" s="308">
        <v>3.467906169E9</v>
      </c>
      <c r="AS425" s="311"/>
      <c r="AT425" s="311"/>
      <c r="AU425" s="311"/>
      <c r="AV425" s="308" t="s">
        <v>2956</v>
      </c>
      <c r="AW425" s="308">
        <v>4.8026000032071E13</v>
      </c>
      <c r="AX425" s="310">
        <v>0.0</v>
      </c>
      <c r="AY425" s="308" t="s">
        <v>2974</v>
      </c>
      <c r="AZ425" s="308">
        <v>0.0</v>
      </c>
      <c r="BA425" s="311"/>
      <c r="BB425" s="311"/>
      <c r="BC425" s="311"/>
      <c r="BD425" s="308">
        <v>7.887191540039E12</v>
      </c>
      <c r="BE425" s="311"/>
      <c r="BF425" s="311"/>
      <c r="BG425" s="308" t="s">
        <v>2958</v>
      </c>
      <c r="BH425" s="308">
        <v>0.0</v>
      </c>
      <c r="BI425" s="308" t="s">
        <v>2959</v>
      </c>
      <c r="BJ425" s="308">
        <v>19.48</v>
      </c>
      <c r="BK425" s="311"/>
      <c r="BL425" s="311"/>
      <c r="BM425" s="311"/>
      <c r="BN425" s="311"/>
      <c r="BO425" s="311"/>
      <c r="BP425" s="311"/>
      <c r="BQ425" s="311"/>
      <c r="BR425" s="311"/>
      <c r="BS425" s="308"/>
      <c r="BT425" s="311"/>
      <c r="BU425" s="311"/>
      <c r="BV425" s="308" t="s">
        <v>3533</v>
      </c>
      <c r="BW425" s="308" t="s">
        <v>3533</v>
      </c>
      <c r="BX425" s="308" t="s">
        <v>2956</v>
      </c>
      <c r="BY425" s="311"/>
      <c r="BZ425" s="311"/>
      <c r="CA425" s="308" t="s">
        <v>2956</v>
      </c>
      <c r="CB425" s="312" t="str">
        <f t="shared" si="1"/>
        <v>25/06/2026</v>
      </c>
      <c r="CC425" s="313">
        <f t="shared" si="2"/>
        <v>2026</v>
      </c>
      <c r="CD425" s="314">
        <f t="shared" si="3"/>
        <v>6</v>
      </c>
      <c r="CE425" s="314">
        <f t="shared" si="4"/>
        <v>1</v>
      </c>
      <c r="CF425" s="314">
        <f t="shared" si="5"/>
        <v>1</v>
      </c>
      <c r="CG425" s="314">
        <f t="shared" si="6"/>
        <v>-5</v>
      </c>
      <c r="CH425" s="315">
        <f>VLOOKUP(CL425,'PRODUCT_COGS&amp;PRICE'!A:E,5,false)</f>
        <v>26</v>
      </c>
      <c r="CI425" s="315">
        <f t="shared" si="7"/>
        <v>-2.302</v>
      </c>
      <c r="CJ425" s="316">
        <f t="shared" si="8"/>
        <v>0</v>
      </c>
      <c r="CK425" s="316">
        <f t="shared" si="9"/>
        <v>12</v>
      </c>
      <c r="CL425" s="314" t="str">
        <f>VLOOKUP(R425,PRODUCT_MAP!A:B,2,FALSE)</f>
        <v>Maria_Bag_ICE_BLUE_PIERCING</v>
      </c>
      <c r="CM425" s="314" t="str">
        <f>VLOOKUP(R425,PRODUCT_MAP!A:E,3,FALSE)</f>
        <v>Maria Bag</v>
      </c>
    </row>
    <row r="426" ht="22.5" customHeight="1">
      <c r="A426" s="308" t="s">
        <v>6249</v>
      </c>
      <c r="B426" s="308" t="s">
        <v>6250</v>
      </c>
      <c r="C426" s="308" t="s">
        <v>2942</v>
      </c>
      <c r="D426" s="308" t="s">
        <v>6251</v>
      </c>
      <c r="E426" s="308" t="s">
        <v>3013</v>
      </c>
      <c r="F426" s="308"/>
      <c r="G426" s="308" t="s">
        <v>2946</v>
      </c>
      <c r="H426" s="308" t="s">
        <v>2947</v>
      </c>
      <c r="I426" s="308">
        <v>110.16</v>
      </c>
      <c r="J426" s="308">
        <v>15.38</v>
      </c>
      <c r="K426" s="308">
        <v>22.63</v>
      </c>
      <c r="L426" s="308">
        <v>125.54</v>
      </c>
      <c r="M426" s="308" t="s">
        <v>3094</v>
      </c>
      <c r="N426" s="308">
        <v>12.24</v>
      </c>
      <c r="O426" s="308" t="s">
        <v>3298</v>
      </c>
      <c r="P426" s="308" t="s">
        <v>6251</v>
      </c>
      <c r="Q426" s="310">
        <v>1.0</v>
      </c>
      <c r="R426" s="308" t="s">
        <v>509</v>
      </c>
      <c r="S426" s="308">
        <v>122.4</v>
      </c>
      <c r="T426" s="311"/>
      <c r="U426" s="308" t="s">
        <v>161</v>
      </c>
      <c r="V426" s="308" t="b">
        <v>1</v>
      </c>
      <c r="W426" s="308" t="b">
        <v>1</v>
      </c>
      <c r="X426" s="308"/>
      <c r="Y426" s="308" t="s">
        <v>6252</v>
      </c>
      <c r="Z426" s="308" t="s">
        <v>6253</v>
      </c>
      <c r="AA426" s="308" t="s">
        <v>6253</v>
      </c>
      <c r="AB426" s="308"/>
      <c r="AC426" s="308"/>
      <c r="AD426" s="308" t="s">
        <v>6254</v>
      </c>
      <c r="AE426" s="308">
        <v>1653.0</v>
      </c>
      <c r="AF426" s="308"/>
      <c r="AG426" s="308" t="s">
        <v>6255</v>
      </c>
      <c r="AH426" s="318" t="s">
        <v>6256</v>
      </c>
      <c r="AI426" s="308" t="s">
        <v>6252</v>
      </c>
      <c r="AJ426" s="308" t="s">
        <v>6253</v>
      </c>
      <c r="AK426" s="308" t="s">
        <v>6253</v>
      </c>
      <c r="AL426" s="308"/>
      <c r="AM426" s="308"/>
      <c r="AN426" s="308" t="s">
        <v>6254</v>
      </c>
      <c r="AO426" s="308">
        <v>1653.0</v>
      </c>
      <c r="AP426" s="308"/>
      <c r="AQ426" s="308" t="s">
        <v>6255</v>
      </c>
      <c r="AR426" s="318" t="s">
        <v>6256</v>
      </c>
      <c r="AS426" s="311"/>
      <c r="AT426" s="311"/>
      <c r="AU426" s="311"/>
      <c r="AV426" s="308" t="s">
        <v>3009</v>
      </c>
      <c r="AW426" s="308">
        <v>4.8027382776135E13</v>
      </c>
      <c r="AX426" s="310">
        <v>0.0</v>
      </c>
      <c r="AY426" s="308" t="s">
        <v>2974</v>
      </c>
      <c r="AZ426" s="308">
        <v>0.0</v>
      </c>
      <c r="BA426" s="311"/>
      <c r="BB426" s="311"/>
      <c r="BC426" s="311"/>
      <c r="BD426" s="308">
        <v>7.888163668295E12</v>
      </c>
      <c r="BE426" s="311"/>
      <c r="BF426" s="311"/>
      <c r="BG426" s="308" t="s">
        <v>2958</v>
      </c>
      <c r="BH426" s="308">
        <v>0.0</v>
      </c>
      <c r="BI426" s="308" t="s">
        <v>2959</v>
      </c>
      <c r="BJ426" s="308">
        <v>19.86</v>
      </c>
      <c r="BK426" s="311"/>
      <c r="BL426" s="311"/>
      <c r="BM426" s="311"/>
      <c r="BN426" s="311"/>
      <c r="BO426" s="311"/>
      <c r="BP426" s="311"/>
      <c r="BQ426" s="311"/>
      <c r="BR426" s="311"/>
      <c r="BS426" s="308"/>
      <c r="BT426" s="311"/>
      <c r="BU426" s="311"/>
      <c r="BV426" s="308"/>
      <c r="BW426" s="308"/>
      <c r="BX426" s="308" t="s">
        <v>3009</v>
      </c>
      <c r="BY426" s="311"/>
      <c r="BZ426" s="311"/>
      <c r="CA426" s="308" t="s">
        <v>3009</v>
      </c>
      <c r="CB426" s="312" t="str">
        <f t="shared" si="1"/>
        <v>26/06/2026</v>
      </c>
      <c r="CC426" s="313">
        <f t="shared" si="2"/>
        <v>2026</v>
      </c>
      <c r="CD426" s="314">
        <f t="shared" si="3"/>
        <v>6</v>
      </c>
      <c r="CE426" s="314">
        <f t="shared" si="4"/>
        <v>1</v>
      </c>
      <c r="CF426" s="314">
        <f t="shared" si="5"/>
        <v>1</v>
      </c>
      <c r="CG426" s="314">
        <f t="shared" si="6"/>
        <v>0</v>
      </c>
      <c r="CH426" s="315">
        <f>VLOOKUP(CL426,'PRODUCT_COGS&amp;PRICE'!A:E,5,false)</f>
        <v>30.33</v>
      </c>
      <c r="CI426" s="315">
        <f t="shared" si="7"/>
        <v>-4.731346</v>
      </c>
      <c r="CJ426" s="316">
        <f t="shared" si="8"/>
        <v>0</v>
      </c>
      <c r="CK426" s="316">
        <f t="shared" si="9"/>
        <v>12.24</v>
      </c>
      <c r="CL426" s="314" t="str">
        <f>VLOOKUP(R426,PRODUCT_MAP!A:B,2,FALSE)</f>
        <v>Lea_Bag_COCCO_BLACK</v>
      </c>
      <c r="CM426" s="314" t="str">
        <f>VLOOKUP(R426,PRODUCT_MAP!A:E,3,FALSE)</f>
        <v>Lea Bag</v>
      </c>
    </row>
    <row r="427" ht="22.5" customHeight="1">
      <c r="A427" s="308" t="s">
        <v>6257</v>
      </c>
      <c r="B427" s="308" t="s">
        <v>6258</v>
      </c>
      <c r="C427" s="308" t="s">
        <v>2942</v>
      </c>
      <c r="D427" s="308" t="s">
        <v>6259</v>
      </c>
      <c r="E427" s="308" t="s">
        <v>3013</v>
      </c>
      <c r="F427" s="308"/>
      <c r="G427" s="308" t="s">
        <v>2965</v>
      </c>
      <c r="H427" s="308" t="s">
        <v>2947</v>
      </c>
      <c r="I427" s="308">
        <v>120.0</v>
      </c>
      <c r="J427" s="308">
        <v>0.0</v>
      </c>
      <c r="K427" s="308">
        <v>21.64</v>
      </c>
      <c r="L427" s="308">
        <v>120.0</v>
      </c>
      <c r="M427" s="308"/>
      <c r="N427" s="308">
        <v>0.0</v>
      </c>
      <c r="O427" s="308" t="s">
        <v>2948</v>
      </c>
      <c r="P427" s="308" t="s">
        <v>6260</v>
      </c>
      <c r="Q427" s="310">
        <v>1.0</v>
      </c>
      <c r="R427" s="308" t="s">
        <v>569</v>
      </c>
      <c r="S427" s="308">
        <v>120.0</v>
      </c>
      <c r="T427" s="311"/>
      <c r="U427" s="308" t="s">
        <v>3375</v>
      </c>
      <c r="V427" s="308" t="b">
        <v>1</v>
      </c>
      <c r="W427" s="308" t="b">
        <v>1</v>
      </c>
      <c r="X427" s="308"/>
      <c r="Y427" s="308" t="s">
        <v>6261</v>
      </c>
      <c r="Z427" s="308" t="s">
        <v>6262</v>
      </c>
      <c r="AA427" s="308" t="s">
        <v>6262</v>
      </c>
      <c r="AB427" s="308"/>
      <c r="AC427" s="308"/>
      <c r="AD427" s="308" t="s">
        <v>6263</v>
      </c>
      <c r="AE427" s="308">
        <v>3020.0</v>
      </c>
      <c r="AF427" s="308" t="s">
        <v>4861</v>
      </c>
      <c r="AG427" s="308" t="s">
        <v>2955</v>
      </c>
      <c r="AH427" s="308">
        <v>3.333341681E9</v>
      </c>
      <c r="AI427" s="308" t="s">
        <v>6261</v>
      </c>
      <c r="AJ427" s="308" t="s">
        <v>6262</v>
      </c>
      <c r="AK427" s="308" t="s">
        <v>6262</v>
      </c>
      <c r="AL427" s="308"/>
      <c r="AM427" s="308"/>
      <c r="AN427" s="308" t="s">
        <v>6263</v>
      </c>
      <c r="AO427" s="308">
        <v>3020.0</v>
      </c>
      <c r="AP427" s="308" t="s">
        <v>4861</v>
      </c>
      <c r="AQ427" s="308" t="s">
        <v>2955</v>
      </c>
      <c r="AR427" s="308">
        <v>3.333341681E9</v>
      </c>
      <c r="AS427" s="311"/>
      <c r="AT427" s="311"/>
      <c r="AU427" s="311"/>
      <c r="AV427" s="308" t="s">
        <v>3009</v>
      </c>
      <c r="AW427" s="308">
        <v>4.8027562541383E13</v>
      </c>
      <c r="AX427" s="310">
        <v>0.0</v>
      </c>
      <c r="AY427" s="308" t="s">
        <v>2974</v>
      </c>
      <c r="AZ427" s="308">
        <v>0.0</v>
      </c>
      <c r="BA427" s="311"/>
      <c r="BB427" s="311"/>
      <c r="BC427" s="311"/>
      <c r="BD427" s="308">
        <v>7.888262627655E12</v>
      </c>
      <c r="BE427" s="311"/>
      <c r="BF427" s="311"/>
      <c r="BG427" s="308" t="s">
        <v>2958</v>
      </c>
      <c r="BH427" s="308">
        <v>0.0</v>
      </c>
      <c r="BI427" s="308" t="s">
        <v>2959</v>
      </c>
      <c r="BJ427" s="308">
        <v>21.64</v>
      </c>
      <c r="BK427" s="311"/>
      <c r="BL427" s="311"/>
      <c r="BM427" s="311"/>
      <c r="BN427" s="311"/>
      <c r="BO427" s="311"/>
      <c r="BP427" s="311"/>
      <c r="BQ427" s="311"/>
      <c r="BR427" s="311"/>
      <c r="BS427" s="308"/>
      <c r="BT427" s="311"/>
      <c r="BU427" s="311"/>
      <c r="BV427" s="308" t="s">
        <v>6264</v>
      </c>
      <c r="BW427" s="308" t="s">
        <v>6264</v>
      </c>
      <c r="BX427" s="308" t="s">
        <v>3009</v>
      </c>
      <c r="BY427" s="311"/>
      <c r="BZ427" s="311"/>
      <c r="CA427" s="308" t="s">
        <v>3009</v>
      </c>
      <c r="CB427" s="312" t="str">
        <f t="shared" si="1"/>
        <v>26/06/2026</v>
      </c>
      <c r="CC427" s="313">
        <f t="shared" si="2"/>
        <v>2026</v>
      </c>
      <c r="CD427" s="314">
        <f t="shared" si="3"/>
        <v>6</v>
      </c>
      <c r="CE427" s="314">
        <f t="shared" si="4"/>
        <v>1</v>
      </c>
      <c r="CF427" s="314">
        <f t="shared" si="5"/>
        <v>1</v>
      </c>
      <c r="CG427" s="314">
        <f t="shared" si="6"/>
        <v>-5</v>
      </c>
      <c r="CH427" s="315">
        <f>VLOOKUP(CL427,'PRODUCT_COGS&amp;PRICE'!A:E,5,false)</f>
        <v>20</v>
      </c>
      <c r="CI427" s="315">
        <f t="shared" si="7"/>
        <v>-4.538</v>
      </c>
      <c r="CJ427" s="316">
        <f t="shared" si="8"/>
        <v>0</v>
      </c>
      <c r="CK427" s="316">
        <f t="shared" si="9"/>
        <v>0</v>
      </c>
      <c r="CL427" s="314" t="str">
        <f>VLOOKUP(R427,PRODUCT_MAP!A:B,2,FALSE)</f>
        <v>Lea_Bag_RED_PATENT</v>
      </c>
      <c r="CM427" s="314" t="str">
        <f>VLOOKUP(R427,PRODUCT_MAP!A:E,3,FALSE)</f>
        <v>Lea Bag</v>
      </c>
    </row>
    <row r="428" ht="22.5" customHeight="1">
      <c r="A428" s="308" t="s">
        <v>6265</v>
      </c>
      <c r="B428" s="308" t="s">
        <v>6266</v>
      </c>
      <c r="C428" s="308" t="s">
        <v>2942</v>
      </c>
      <c r="D428" s="308" t="s">
        <v>6267</v>
      </c>
      <c r="E428" s="308" t="s">
        <v>3013</v>
      </c>
      <c r="F428" s="308"/>
      <c r="G428" s="308" t="s">
        <v>2946</v>
      </c>
      <c r="H428" s="308" t="s">
        <v>2947</v>
      </c>
      <c r="I428" s="308">
        <v>108.0</v>
      </c>
      <c r="J428" s="308">
        <v>0.0</v>
      </c>
      <c r="K428" s="308">
        <v>19.48</v>
      </c>
      <c r="L428" s="308">
        <v>108.0</v>
      </c>
      <c r="M428" s="308" t="s">
        <v>3094</v>
      </c>
      <c r="N428" s="308">
        <v>12.0</v>
      </c>
      <c r="O428" s="308" t="s">
        <v>2948</v>
      </c>
      <c r="P428" s="308" t="s">
        <v>6268</v>
      </c>
      <c r="Q428" s="310">
        <v>1.0</v>
      </c>
      <c r="R428" s="308" t="s">
        <v>595</v>
      </c>
      <c r="S428" s="308">
        <v>120.0</v>
      </c>
      <c r="T428" s="311"/>
      <c r="U428" s="308" t="s">
        <v>599</v>
      </c>
      <c r="V428" s="308" t="b">
        <v>1</v>
      </c>
      <c r="W428" s="308" t="b">
        <v>1</v>
      </c>
      <c r="X428" s="308"/>
      <c r="Y428" s="308" t="s">
        <v>6269</v>
      </c>
      <c r="Z428" s="308" t="s">
        <v>6270</v>
      </c>
      <c r="AA428" s="308" t="s">
        <v>6270</v>
      </c>
      <c r="AB428" s="308"/>
      <c r="AC428" s="308" t="s">
        <v>6271</v>
      </c>
      <c r="AD428" s="308" t="s">
        <v>6272</v>
      </c>
      <c r="AE428" s="308">
        <v>27038.0</v>
      </c>
      <c r="AF428" s="308" t="s">
        <v>3477</v>
      </c>
      <c r="AG428" s="308" t="s">
        <v>2955</v>
      </c>
      <c r="AH428" s="308"/>
      <c r="AI428" s="308" t="s">
        <v>6269</v>
      </c>
      <c r="AJ428" s="308" t="s">
        <v>6273</v>
      </c>
      <c r="AK428" s="308" t="s">
        <v>6273</v>
      </c>
      <c r="AL428" s="308"/>
      <c r="AM428" s="308" t="s">
        <v>6271</v>
      </c>
      <c r="AN428" s="308" t="s">
        <v>6274</v>
      </c>
      <c r="AO428" s="308">
        <v>27029.0</v>
      </c>
      <c r="AP428" s="308" t="s">
        <v>3477</v>
      </c>
      <c r="AQ428" s="308" t="s">
        <v>2955</v>
      </c>
      <c r="AR428" s="308">
        <v>3.393886487E9</v>
      </c>
      <c r="AS428" s="311"/>
      <c r="AT428" s="311"/>
      <c r="AU428" s="311"/>
      <c r="AV428" s="308" t="s">
        <v>2956</v>
      </c>
      <c r="AW428" s="308">
        <v>4.8028130345287E13</v>
      </c>
      <c r="AX428" s="310">
        <v>0.0</v>
      </c>
      <c r="AY428" s="308" t="s">
        <v>2974</v>
      </c>
      <c r="AZ428" s="308">
        <v>0.0</v>
      </c>
      <c r="BA428" s="311"/>
      <c r="BB428" s="311"/>
      <c r="BC428" s="311"/>
      <c r="BD428" s="308">
        <v>7.888556917063E12</v>
      </c>
      <c r="BE428" s="311"/>
      <c r="BF428" s="311"/>
      <c r="BG428" s="308" t="s">
        <v>2958</v>
      </c>
      <c r="BH428" s="308">
        <v>0.0</v>
      </c>
      <c r="BI428" s="308" t="s">
        <v>2959</v>
      </c>
      <c r="BJ428" s="308">
        <v>19.48</v>
      </c>
      <c r="BK428" s="311"/>
      <c r="BL428" s="311"/>
      <c r="BM428" s="311"/>
      <c r="BN428" s="311"/>
      <c r="BO428" s="311"/>
      <c r="BP428" s="311"/>
      <c r="BQ428" s="311"/>
      <c r="BR428" s="311"/>
      <c r="BS428" s="308"/>
      <c r="BT428" s="311"/>
      <c r="BU428" s="311"/>
      <c r="BV428" s="308" t="s">
        <v>3476</v>
      </c>
      <c r="BW428" s="308" t="s">
        <v>3476</v>
      </c>
      <c r="BX428" s="308" t="s">
        <v>2956</v>
      </c>
      <c r="BY428" s="311"/>
      <c r="BZ428" s="311"/>
      <c r="CA428" s="308" t="s">
        <v>2956</v>
      </c>
      <c r="CB428" s="312" t="str">
        <f t="shared" si="1"/>
        <v>26/06/2026</v>
      </c>
      <c r="CC428" s="313">
        <f t="shared" si="2"/>
        <v>2026</v>
      </c>
      <c r="CD428" s="314">
        <f t="shared" si="3"/>
        <v>6</v>
      </c>
      <c r="CE428" s="314">
        <f t="shared" si="4"/>
        <v>1</v>
      </c>
      <c r="CF428" s="314">
        <f t="shared" si="5"/>
        <v>1</v>
      </c>
      <c r="CG428" s="314">
        <f t="shared" si="6"/>
        <v>-5</v>
      </c>
      <c r="CH428" s="315">
        <f>VLOOKUP(CL428,'PRODUCT_COGS&amp;PRICE'!A:E,5,false)</f>
        <v>26</v>
      </c>
      <c r="CI428" s="315">
        <f t="shared" si="7"/>
        <v>-2.302</v>
      </c>
      <c r="CJ428" s="316">
        <f t="shared" si="8"/>
        <v>0</v>
      </c>
      <c r="CK428" s="316">
        <f t="shared" si="9"/>
        <v>12</v>
      </c>
      <c r="CL428" s="314" t="str">
        <f>VLOOKUP(R428,PRODUCT_MAP!A:B,2,FALSE)</f>
        <v>Maria_Bag_GREEN_PIERCING</v>
      </c>
      <c r="CM428" s="314" t="str">
        <f>VLOOKUP(R428,PRODUCT_MAP!A:E,3,FALSE)</f>
        <v>Maria Bag</v>
      </c>
    </row>
    <row r="429" ht="22.5" customHeight="1">
      <c r="A429" s="308" t="s">
        <v>6275</v>
      </c>
      <c r="B429" s="308" t="s">
        <v>6276</v>
      </c>
      <c r="C429" s="308" t="s">
        <v>2942</v>
      </c>
      <c r="D429" s="308" t="s">
        <v>6277</v>
      </c>
      <c r="E429" s="308" t="s">
        <v>3013</v>
      </c>
      <c r="F429" s="308"/>
      <c r="G429" s="308" t="s">
        <v>2965</v>
      </c>
      <c r="H429" s="308" t="s">
        <v>2947</v>
      </c>
      <c r="I429" s="308">
        <v>120.0</v>
      </c>
      <c r="J429" s="308">
        <v>0.0</v>
      </c>
      <c r="K429" s="308">
        <v>21.64</v>
      </c>
      <c r="L429" s="308">
        <v>120.0</v>
      </c>
      <c r="M429" s="308"/>
      <c r="N429" s="308">
        <v>0.0</v>
      </c>
      <c r="O429" s="308" t="s">
        <v>2948</v>
      </c>
      <c r="P429" s="308" t="s">
        <v>6278</v>
      </c>
      <c r="Q429" s="310">
        <v>1.0</v>
      </c>
      <c r="R429" s="308" t="s">
        <v>519</v>
      </c>
      <c r="S429" s="308">
        <v>120.0</v>
      </c>
      <c r="T429" s="311"/>
      <c r="U429" s="308" t="s">
        <v>291</v>
      </c>
      <c r="V429" s="308" t="b">
        <v>1</v>
      </c>
      <c r="W429" s="308" t="b">
        <v>1</v>
      </c>
      <c r="X429" s="308"/>
      <c r="Y429" s="308" t="s">
        <v>6279</v>
      </c>
      <c r="Z429" s="308" t="s">
        <v>6280</v>
      </c>
      <c r="AA429" s="308" t="s">
        <v>6280</v>
      </c>
      <c r="AB429" s="308"/>
      <c r="AC429" s="308"/>
      <c r="AD429" s="308" t="s">
        <v>3549</v>
      </c>
      <c r="AE429" s="308">
        <v>50129.0</v>
      </c>
      <c r="AF429" s="308" t="s">
        <v>3550</v>
      </c>
      <c r="AG429" s="308" t="s">
        <v>2955</v>
      </c>
      <c r="AH429" s="308"/>
      <c r="AI429" s="308" t="s">
        <v>6281</v>
      </c>
      <c r="AJ429" s="308" t="s">
        <v>6282</v>
      </c>
      <c r="AK429" s="308" t="s">
        <v>6282</v>
      </c>
      <c r="AL429" s="308"/>
      <c r="AM429" s="308"/>
      <c r="AN429" s="308" t="s">
        <v>3549</v>
      </c>
      <c r="AO429" s="308">
        <v>50129.0</v>
      </c>
      <c r="AP429" s="308" t="s">
        <v>3550</v>
      </c>
      <c r="AQ429" s="308" t="s">
        <v>2955</v>
      </c>
      <c r="AR429" s="308">
        <v>3.771200623E9</v>
      </c>
      <c r="AS429" s="311"/>
      <c r="AT429" s="311"/>
      <c r="AU429" s="311"/>
      <c r="AV429" s="308" t="s">
        <v>2956</v>
      </c>
      <c r="AW429" s="308">
        <v>4.8028457173319E13</v>
      </c>
      <c r="AX429" s="310">
        <v>0.0</v>
      </c>
      <c r="AY429" s="308" t="s">
        <v>2974</v>
      </c>
      <c r="AZ429" s="308">
        <v>0.0</v>
      </c>
      <c r="BA429" s="311"/>
      <c r="BB429" s="311"/>
      <c r="BC429" s="311"/>
      <c r="BD429" s="308">
        <v>7.888734454087E12</v>
      </c>
      <c r="BE429" s="311"/>
      <c r="BF429" s="311"/>
      <c r="BG429" s="308" t="s">
        <v>2958</v>
      </c>
      <c r="BH429" s="308">
        <v>0.0</v>
      </c>
      <c r="BI429" s="308" t="s">
        <v>2959</v>
      </c>
      <c r="BJ429" s="308">
        <v>21.64</v>
      </c>
      <c r="BK429" s="311"/>
      <c r="BL429" s="311"/>
      <c r="BM429" s="311"/>
      <c r="BN429" s="311"/>
      <c r="BO429" s="311"/>
      <c r="BP429" s="311"/>
      <c r="BQ429" s="311"/>
      <c r="BR429" s="311"/>
      <c r="BS429" s="308"/>
      <c r="BT429" s="311"/>
      <c r="BU429" s="311"/>
      <c r="BV429" s="308" t="s">
        <v>3549</v>
      </c>
      <c r="BW429" s="308" t="s">
        <v>3549</v>
      </c>
      <c r="BX429" s="308" t="s">
        <v>2956</v>
      </c>
      <c r="BY429" s="311"/>
      <c r="BZ429" s="311"/>
      <c r="CA429" s="308" t="s">
        <v>2956</v>
      </c>
      <c r="CB429" s="312" t="str">
        <f t="shared" si="1"/>
        <v>26/06/2026</v>
      </c>
      <c r="CC429" s="313">
        <f t="shared" si="2"/>
        <v>2026</v>
      </c>
      <c r="CD429" s="314">
        <f t="shared" si="3"/>
        <v>6</v>
      </c>
      <c r="CE429" s="314">
        <f t="shared" si="4"/>
        <v>1</v>
      </c>
      <c r="CF429" s="314">
        <f t="shared" si="5"/>
        <v>1</v>
      </c>
      <c r="CG429" s="314">
        <f t="shared" si="6"/>
        <v>-5</v>
      </c>
      <c r="CH429" s="315">
        <f>VLOOKUP(CL429,'PRODUCT_COGS&amp;PRICE'!A:E,5,false)</f>
        <v>20</v>
      </c>
      <c r="CI429" s="315">
        <f t="shared" si="7"/>
        <v>-2.53</v>
      </c>
      <c r="CJ429" s="316">
        <f t="shared" si="8"/>
        <v>0</v>
      </c>
      <c r="CK429" s="316">
        <f t="shared" si="9"/>
        <v>0</v>
      </c>
      <c r="CL429" s="314" t="str">
        <f>VLOOKUP(R429,PRODUCT_MAP!A:B,2,FALSE)</f>
        <v>Lea_Bag_COCCO_BEIGE</v>
      </c>
      <c r="CM429" s="314" t="str">
        <f>VLOOKUP(R429,PRODUCT_MAP!A:E,3,FALSE)</f>
        <v>Lea Bag</v>
      </c>
    </row>
    <row r="430" ht="22.5" customHeight="1">
      <c r="A430" s="308" t="s">
        <v>6283</v>
      </c>
      <c r="B430" s="308" t="s">
        <v>6284</v>
      </c>
      <c r="C430" s="308" t="s">
        <v>2942</v>
      </c>
      <c r="D430" s="308" t="s">
        <v>6285</v>
      </c>
      <c r="E430" s="308" t="s">
        <v>3013</v>
      </c>
      <c r="F430" s="308"/>
      <c r="G430" s="308" t="s">
        <v>2946</v>
      </c>
      <c r="H430" s="308" t="s">
        <v>2947</v>
      </c>
      <c r="I430" s="308">
        <v>150.0</v>
      </c>
      <c r="J430" s="308">
        <v>0.0</v>
      </c>
      <c r="K430" s="308">
        <v>27.05</v>
      </c>
      <c r="L430" s="308">
        <v>150.0</v>
      </c>
      <c r="M430" s="308"/>
      <c r="N430" s="308">
        <v>0.0</v>
      </c>
      <c r="O430" s="308" t="s">
        <v>2948</v>
      </c>
      <c r="P430" s="308" t="s">
        <v>6286</v>
      </c>
      <c r="Q430" s="310">
        <v>1.0</v>
      </c>
      <c r="R430" s="308" t="s">
        <v>574</v>
      </c>
      <c r="S430" s="308">
        <v>150.0</v>
      </c>
      <c r="T430" s="311"/>
      <c r="U430" s="308" t="s">
        <v>181</v>
      </c>
      <c r="V430" s="308" t="b">
        <v>1</v>
      </c>
      <c r="W430" s="308" t="b">
        <v>1</v>
      </c>
      <c r="X430" s="308"/>
      <c r="Y430" s="308" t="s">
        <v>6287</v>
      </c>
      <c r="Z430" s="308" t="s">
        <v>6288</v>
      </c>
      <c r="AA430" s="308" t="s">
        <v>6288</v>
      </c>
      <c r="AB430" s="308"/>
      <c r="AC430" s="308"/>
      <c r="AD430" s="308" t="s">
        <v>3081</v>
      </c>
      <c r="AE430" s="308">
        <v>136.0</v>
      </c>
      <c r="AF430" s="308" t="s">
        <v>3082</v>
      </c>
      <c r="AG430" s="308" t="s">
        <v>2955</v>
      </c>
      <c r="AH430" s="308">
        <v>3.66360336E9</v>
      </c>
      <c r="AI430" s="308" t="s">
        <v>6287</v>
      </c>
      <c r="AJ430" s="308" t="s">
        <v>6289</v>
      </c>
      <c r="AK430" s="308" t="s">
        <v>6290</v>
      </c>
      <c r="AL430" s="308" t="s">
        <v>6291</v>
      </c>
      <c r="AM430" s="308"/>
      <c r="AN430" s="308" t="s">
        <v>23</v>
      </c>
      <c r="AO430" s="308">
        <v>20135.0</v>
      </c>
      <c r="AP430" s="308" t="s">
        <v>2954</v>
      </c>
      <c r="AQ430" s="308" t="s">
        <v>2955</v>
      </c>
      <c r="AR430" s="318" t="s">
        <v>6292</v>
      </c>
      <c r="AS430" s="311"/>
      <c r="AT430" s="311"/>
      <c r="AU430" s="311"/>
      <c r="AV430" s="308" t="s">
        <v>3009</v>
      </c>
      <c r="AW430" s="308">
        <v>4.8029339451719E13</v>
      </c>
      <c r="AX430" s="310">
        <v>0.0</v>
      </c>
      <c r="AY430" s="308" t="s">
        <v>2974</v>
      </c>
      <c r="AZ430" s="308">
        <v>0.0</v>
      </c>
      <c r="BA430" s="311"/>
      <c r="BB430" s="311"/>
      <c r="BC430" s="311"/>
      <c r="BD430" s="308">
        <v>7.889176461639E12</v>
      </c>
      <c r="BE430" s="311"/>
      <c r="BF430" s="311"/>
      <c r="BG430" s="308" t="s">
        <v>2958</v>
      </c>
      <c r="BH430" s="308">
        <v>0.0</v>
      </c>
      <c r="BI430" s="308" t="s">
        <v>2959</v>
      </c>
      <c r="BJ430" s="308">
        <v>27.05</v>
      </c>
      <c r="BK430" s="311"/>
      <c r="BL430" s="311"/>
      <c r="BM430" s="311"/>
      <c r="BN430" s="311"/>
      <c r="BO430" s="311"/>
      <c r="BP430" s="311"/>
      <c r="BQ430" s="311"/>
      <c r="BR430" s="311"/>
      <c r="BS430" s="308"/>
      <c r="BT430" s="311"/>
      <c r="BU430" s="311"/>
      <c r="BV430" s="308" t="s">
        <v>3081</v>
      </c>
      <c r="BW430" s="308" t="s">
        <v>23</v>
      </c>
      <c r="BX430" s="308" t="s">
        <v>3009</v>
      </c>
      <c r="BY430" s="311"/>
      <c r="BZ430" s="311"/>
      <c r="CA430" s="308" t="s">
        <v>3009</v>
      </c>
      <c r="CB430" s="312" t="str">
        <f t="shared" si="1"/>
        <v>26/06/2026</v>
      </c>
      <c r="CC430" s="313">
        <f t="shared" si="2"/>
        <v>2026</v>
      </c>
      <c r="CD430" s="314">
        <f t="shared" si="3"/>
        <v>6</v>
      </c>
      <c r="CE430" s="314">
        <f t="shared" si="4"/>
        <v>1</v>
      </c>
      <c r="CF430" s="314">
        <f t="shared" si="5"/>
        <v>1</v>
      </c>
      <c r="CG430" s="314">
        <f t="shared" si="6"/>
        <v>-5</v>
      </c>
      <c r="CH430" s="315">
        <f>VLOOKUP(CL430,'PRODUCT_COGS&amp;PRICE'!A:E,5,false)</f>
        <v>30.33</v>
      </c>
      <c r="CI430" s="315">
        <f t="shared" si="7"/>
        <v>-5.585</v>
      </c>
      <c r="CJ430" s="316">
        <f t="shared" si="8"/>
        <v>0</v>
      </c>
      <c r="CK430" s="316">
        <f t="shared" si="9"/>
        <v>0</v>
      </c>
      <c r="CL430" s="314" t="str">
        <f>VLOOKUP(R430,PRODUCT_MAP!A:B,2,FALSE)</f>
        <v>Lea_Bag_LEOPARDO_SAVANA</v>
      </c>
      <c r="CM430" s="314" t="str">
        <f>VLOOKUP(R430,PRODUCT_MAP!A:E,3,FALSE)</f>
        <v>Lea Bag</v>
      </c>
    </row>
    <row r="431" ht="22.5" customHeight="1">
      <c r="A431" s="308" t="s">
        <v>6293</v>
      </c>
      <c r="B431" s="308" t="s">
        <v>6294</v>
      </c>
      <c r="C431" s="308" t="s">
        <v>2942</v>
      </c>
      <c r="D431" s="308" t="s">
        <v>6295</v>
      </c>
      <c r="E431" s="308" t="s">
        <v>3013</v>
      </c>
      <c r="F431" s="308"/>
      <c r="G431" s="308" t="s">
        <v>2946</v>
      </c>
      <c r="H431" s="308" t="s">
        <v>2947</v>
      </c>
      <c r="I431" s="308">
        <v>18.0</v>
      </c>
      <c r="J431" s="308">
        <v>3.9</v>
      </c>
      <c r="K431" s="308">
        <v>3.95</v>
      </c>
      <c r="L431" s="308">
        <v>21.9</v>
      </c>
      <c r="M431" s="308"/>
      <c r="N431" s="308">
        <v>0.0</v>
      </c>
      <c r="O431" s="308" t="s">
        <v>2948</v>
      </c>
      <c r="P431" s="308" t="s">
        <v>6296</v>
      </c>
      <c r="Q431" s="310">
        <v>1.0</v>
      </c>
      <c r="R431" s="308" t="s">
        <v>750</v>
      </c>
      <c r="S431" s="308">
        <v>18.0</v>
      </c>
      <c r="T431" s="311"/>
      <c r="U431" s="308" t="s">
        <v>754</v>
      </c>
      <c r="V431" s="308" t="b">
        <v>1</v>
      </c>
      <c r="W431" s="308" t="b">
        <v>1</v>
      </c>
      <c r="X431" s="308"/>
      <c r="Y431" s="308" t="s">
        <v>6297</v>
      </c>
      <c r="Z431" s="308" t="s">
        <v>6298</v>
      </c>
      <c r="AA431" s="308" t="s">
        <v>6298</v>
      </c>
      <c r="AB431" s="308"/>
      <c r="AC431" s="308"/>
      <c r="AD431" s="308" t="s">
        <v>23</v>
      </c>
      <c r="AE431" s="308">
        <v>20144.0</v>
      </c>
      <c r="AF431" s="308" t="s">
        <v>2954</v>
      </c>
      <c r="AG431" s="308" t="s">
        <v>2955</v>
      </c>
      <c r="AH431" s="308">
        <v>3.92353513E9</v>
      </c>
      <c r="AI431" s="308" t="s">
        <v>6299</v>
      </c>
      <c r="AJ431" s="308" t="s">
        <v>6298</v>
      </c>
      <c r="AK431" s="308" t="s">
        <v>6298</v>
      </c>
      <c r="AL431" s="308"/>
      <c r="AM431" s="308"/>
      <c r="AN431" s="308" t="s">
        <v>23</v>
      </c>
      <c r="AO431" s="308">
        <v>20144.0</v>
      </c>
      <c r="AP431" s="308" t="s">
        <v>2954</v>
      </c>
      <c r="AQ431" s="308" t="s">
        <v>2955</v>
      </c>
      <c r="AR431" s="308">
        <v>3.92353513E9</v>
      </c>
      <c r="AS431" s="311"/>
      <c r="AT431" s="311"/>
      <c r="AU431" s="311"/>
      <c r="AV431" s="308" t="s">
        <v>2956</v>
      </c>
      <c r="AW431" s="308">
        <v>4.8029530751303E13</v>
      </c>
      <c r="AX431" s="310">
        <v>0.0</v>
      </c>
      <c r="AY431" s="308" t="s">
        <v>5290</v>
      </c>
      <c r="AZ431" s="308">
        <v>0.0</v>
      </c>
      <c r="BA431" s="311"/>
      <c r="BB431" s="311"/>
      <c r="BC431" s="311"/>
      <c r="BD431" s="308">
        <v>7.889260904775E12</v>
      </c>
      <c r="BE431" s="311"/>
      <c r="BF431" s="311"/>
      <c r="BG431" s="308" t="s">
        <v>2958</v>
      </c>
      <c r="BH431" s="308">
        <v>0.0</v>
      </c>
      <c r="BI431" s="308" t="s">
        <v>2959</v>
      </c>
      <c r="BJ431" s="308">
        <v>3.25</v>
      </c>
      <c r="BK431" s="311"/>
      <c r="BL431" s="311"/>
      <c r="BM431" s="311"/>
      <c r="BN431" s="311"/>
      <c r="BO431" s="311"/>
      <c r="BP431" s="311"/>
      <c r="BQ431" s="311"/>
      <c r="BR431" s="311"/>
      <c r="BS431" s="318" t="s">
        <v>6300</v>
      </c>
      <c r="BT431" s="311"/>
      <c r="BU431" s="311"/>
      <c r="BV431" s="308" t="s">
        <v>23</v>
      </c>
      <c r="BW431" s="308" t="s">
        <v>23</v>
      </c>
      <c r="BX431" s="308" t="s">
        <v>2956</v>
      </c>
      <c r="BY431" s="311"/>
      <c r="BZ431" s="311"/>
      <c r="CA431" s="308" t="s">
        <v>2956</v>
      </c>
      <c r="CB431" s="312" t="str">
        <f t="shared" si="1"/>
        <v>26/06/2026</v>
      </c>
      <c r="CC431" s="313">
        <f t="shared" si="2"/>
        <v>2026</v>
      </c>
      <c r="CD431" s="314">
        <f t="shared" si="3"/>
        <v>6</v>
      </c>
      <c r="CE431" s="314">
        <f t="shared" si="4"/>
        <v>1</v>
      </c>
      <c r="CF431" s="314">
        <f t="shared" si="5"/>
        <v>1</v>
      </c>
      <c r="CG431" s="314">
        <f t="shared" si="6"/>
        <v>0</v>
      </c>
      <c r="CH431" s="315">
        <f>VLOOKUP(CL431,'PRODUCT_COGS&amp;PRICE'!A:E,5,false)</f>
        <v>2.89</v>
      </c>
      <c r="CI431" s="315">
        <f t="shared" si="7"/>
        <v>-0.6661</v>
      </c>
      <c r="CJ431" s="316">
        <f t="shared" si="8"/>
        <v>0</v>
      </c>
      <c r="CK431" s="316">
        <f t="shared" si="9"/>
        <v>0</v>
      </c>
      <c r="CL431" s="314" t="str">
        <f>VLOOKUP(R431,PRODUCT_MAP!A:B,2,FALSE)</f>
        <v>Sunglass_Cover_18X9_STRIPES_LIME_PINK</v>
      </c>
      <c r="CM431" s="314" t="str">
        <f>VLOOKUP(R431,PRODUCT_MAP!A:E,3,FALSE)</f>
        <v>Sunglass Cover</v>
      </c>
    </row>
    <row r="432" ht="22.5" customHeight="1">
      <c r="A432" s="308" t="s">
        <v>6301</v>
      </c>
      <c r="B432" s="308" t="s">
        <v>6302</v>
      </c>
      <c r="C432" s="308" t="s">
        <v>2942</v>
      </c>
      <c r="D432" s="308" t="s">
        <v>6303</v>
      </c>
      <c r="E432" s="308" t="s">
        <v>3013</v>
      </c>
      <c r="F432" s="308"/>
      <c r="G432" s="308" t="s">
        <v>2946</v>
      </c>
      <c r="H432" s="308" t="s">
        <v>2947</v>
      </c>
      <c r="I432" s="308">
        <v>93.6</v>
      </c>
      <c r="J432" s="308">
        <v>3.9</v>
      </c>
      <c r="K432" s="308">
        <v>17.58</v>
      </c>
      <c r="L432" s="308">
        <v>97.5</v>
      </c>
      <c r="M432" s="308" t="s">
        <v>3094</v>
      </c>
      <c r="N432" s="308">
        <v>10.4</v>
      </c>
      <c r="O432" s="308" t="s">
        <v>2948</v>
      </c>
      <c r="P432" s="308" t="s">
        <v>6304</v>
      </c>
      <c r="Q432" s="310">
        <v>1.0</v>
      </c>
      <c r="R432" s="308" t="s">
        <v>444</v>
      </c>
      <c r="S432" s="308">
        <v>14.0</v>
      </c>
      <c r="T432" s="311"/>
      <c r="U432" s="308" t="s">
        <v>448</v>
      </c>
      <c r="V432" s="308" t="b">
        <v>1</v>
      </c>
      <c r="W432" s="308" t="b">
        <v>1</v>
      </c>
      <c r="X432" s="308"/>
      <c r="Y432" s="308" t="s">
        <v>6305</v>
      </c>
      <c r="Z432" s="308" t="s">
        <v>6306</v>
      </c>
      <c r="AA432" s="308" t="s">
        <v>6306</v>
      </c>
      <c r="AB432" s="308"/>
      <c r="AC432" s="308"/>
      <c r="AD432" s="308" t="s">
        <v>3208</v>
      </c>
      <c r="AE432" s="308">
        <v>21100.0</v>
      </c>
      <c r="AF432" s="308" t="s">
        <v>3206</v>
      </c>
      <c r="AG432" s="308" t="s">
        <v>2955</v>
      </c>
      <c r="AH432" s="308"/>
      <c r="AI432" s="308" t="s">
        <v>6305</v>
      </c>
      <c r="AJ432" s="308" t="s">
        <v>6307</v>
      </c>
      <c r="AK432" s="308" t="s">
        <v>6308</v>
      </c>
      <c r="AL432" s="308" t="s">
        <v>6309</v>
      </c>
      <c r="AM432" s="308"/>
      <c r="AN432" s="308" t="s">
        <v>3208</v>
      </c>
      <c r="AO432" s="308">
        <v>21100.0</v>
      </c>
      <c r="AP432" s="308" t="s">
        <v>3206</v>
      </c>
      <c r="AQ432" s="308" t="s">
        <v>2955</v>
      </c>
      <c r="AR432" s="308">
        <v>3.471218526E9</v>
      </c>
      <c r="AS432" s="311"/>
      <c r="AT432" s="311"/>
      <c r="AU432" s="311"/>
      <c r="AV432" s="308" t="s">
        <v>2956</v>
      </c>
      <c r="AW432" s="308">
        <v>4.8029611852103E13</v>
      </c>
      <c r="AX432" s="310">
        <v>0.0</v>
      </c>
      <c r="AY432" s="308" t="s">
        <v>5290</v>
      </c>
      <c r="AZ432" s="308">
        <v>0.0</v>
      </c>
      <c r="BA432" s="311"/>
      <c r="BB432" s="311"/>
      <c r="BC432" s="311"/>
      <c r="BD432" s="308">
        <v>7.889307074887E12</v>
      </c>
      <c r="BE432" s="311"/>
      <c r="BF432" s="311"/>
      <c r="BG432" s="308" t="s">
        <v>2958</v>
      </c>
      <c r="BH432" s="308">
        <v>0.0</v>
      </c>
      <c r="BI432" s="308" t="s">
        <v>2959</v>
      </c>
      <c r="BJ432" s="308">
        <v>2.27</v>
      </c>
      <c r="BK432" s="311"/>
      <c r="BL432" s="311"/>
      <c r="BM432" s="311"/>
      <c r="BN432" s="311"/>
      <c r="BO432" s="311"/>
      <c r="BP432" s="311"/>
      <c r="BQ432" s="311"/>
      <c r="BR432" s="311"/>
      <c r="BS432" s="308"/>
      <c r="BT432" s="311"/>
      <c r="BU432" s="311"/>
      <c r="BV432" s="308" t="s">
        <v>3208</v>
      </c>
      <c r="BW432" s="308" t="s">
        <v>3208</v>
      </c>
      <c r="BX432" s="308" t="s">
        <v>2956</v>
      </c>
      <c r="BY432" s="311"/>
      <c r="BZ432" s="311"/>
      <c r="CA432" s="308" t="s">
        <v>2956</v>
      </c>
      <c r="CB432" s="312" t="str">
        <f t="shared" si="1"/>
        <v>26/06/2026</v>
      </c>
      <c r="CC432" s="313">
        <f t="shared" si="2"/>
        <v>2026</v>
      </c>
      <c r="CD432" s="314">
        <f t="shared" si="3"/>
        <v>6</v>
      </c>
      <c r="CE432" s="314">
        <f t="shared" si="4"/>
        <v>1</v>
      </c>
      <c r="CF432" s="314">
        <f t="shared" si="5"/>
        <v>1</v>
      </c>
      <c r="CG432" s="314">
        <f t="shared" si="6"/>
        <v>0</v>
      </c>
      <c r="CH432" s="315">
        <f>VLOOKUP(CL432,'PRODUCT_COGS&amp;PRICE'!A:E,5,false)</f>
        <v>2.48</v>
      </c>
      <c r="CI432" s="315">
        <f t="shared" si="7"/>
        <v>-3.955</v>
      </c>
      <c r="CJ432" s="316">
        <f t="shared" si="8"/>
        <v>0</v>
      </c>
      <c r="CK432" s="316">
        <f t="shared" si="9"/>
        <v>10.4</v>
      </c>
      <c r="CL432" s="314" t="str">
        <f>VLOOKUP(R432,PRODUCT_MAP!A:B,2,FALSE)</f>
        <v>Airpod_Cover_7X9_CHECKS_FOREST_GREEN</v>
      </c>
      <c r="CM432" s="314" t="str">
        <f>VLOOKUP(R432,PRODUCT_MAP!A:E,3,FALSE)</f>
        <v>Airpod Cover</v>
      </c>
    </row>
    <row r="433" ht="22.5" customHeight="1">
      <c r="A433" s="308" t="s">
        <v>6301</v>
      </c>
      <c r="B433" s="308" t="s">
        <v>6302</v>
      </c>
      <c r="C433" s="308" t="s">
        <v>2942</v>
      </c>
      <c r="D433" s="308" t="s">
        <v>6303</v>
      </c>
      <c r="E433" s="308" t="s">
        <v>3013</v>
      </c>
      <c r="F433" s="308"/>
      <c r="G433" s="308" t="s">
        <v>2946</v>
      </c>
      <c r="H433" s="308" t="s">
        <v>2947</v>
      </c>
      <c r="I433" s="308">
        <v>93.6</v>
      </c>
      <c r="J433" s="308">
        <v>3.9</v>
      </c>
      <c r="K433" s="308">
        <v>17.58</v>
      </c>
      <c r="L433" s="308">
        <v>97.5</v>
      </c>
      <c r="M433" s="308" t="s">
        <v>3094</v>
      </c>
      <c r="N433" s="308">
        <v>10.4</v>
      </c>
      <c r="O433" s="308" t="s">
        <v>2948</v>
      </c>
      <c r="P433" s="308" t="s">
        <v>6304</v>
      </c>
      <c r="Q433" s="310">
        <v>1.0</v>
      </c>
      <c r="R433" s="308" t="s">
        <v>4964</v>
      </c>
      <c r="S433" s="308">
        <v>90.0</v>
      </c>
      <c r="T433" s="311"/>
      <c r="U433" s="308" t="s">
        <v>4965</v>
      </c>
      <c r="V433" s="308" t="b">
        <v>1</v>
      </c>
      <c r="W433" s="308" t="b">
        <v>1</v>
      </c>
      <c r="X433" s="308"/>
      <c r="Y433" s="308" t="s">
        <v>6305</v>
      </c>
      <c r="Z433" s="308" t="s">
        <v>6306</v>
      </c>
      <c r="AA433" s="308" t="s">
        <v>6306</v>
      </c>
      <c r="AB433" s="308"/>
      <c r="AC433" s="308"/>
      <c r="AD433" s="308" t="s">
        <v>3208</v>
      </c>
      <c r="AE433" s="308">
        <v>21100.0</v>
      </c>
      <c r="AF433" s="308" t="s">
        <v>3206</v>
      </c>
      <c r="AG433" s="308" t="s">
        <v>2955</v>
      </c>
      <c r="AH433" s="308"/>
      <c r="AI433" s="308" t="s">
        <v>6305</v>
      </c>
      <c r="AJ433" s="308" t="s">
        <v>6307</v>
      </c>
      <c r="AK433" s="308" t="s">
        <v>6308</v>
      </c>
      <c r="AL433" s="308" t="s">
        <v>6309</v>
      </c>
      <c r="AM433" s="308"/>
      <c r="AN433" s="308" t="s">
        <v>3208</v>
      </c>
      <c r="AO433" s="308">
        <v>21100.0</v>
      </c>
      <c r="AP433" s="308" t="s">
        <v>3206</v>
      </c>
      <c r="AQ433" s="308" t="s">
        <v>2955</v>
      </c>
      <c r="AR433" s="308">
        <v>3.471218526E9</v>
      </c>
      <c r="AS433" s="311"/>
      <c r="AT433" s="311"/>
      <c r="AU433" s="311"/>
      <c r="AV433" s="308" t="s">
        <v>2956</v>
      </c>
      <c r="AW433" s="308">
        <v>4.8029611852103E13</v>
      </c>
      <c r="AX433" s="310">
        <v>0.0</v>
      </c>
      <c r="AY433" s="308" t="s">
        <v>2974</v>
      </c>
      <c r="AZ433" s="308">
        <v>0.0</v>
      </c>
      <c r="BA433" s="311"/>
      <c r="BB433" s="311"/>
      <c r="BC433" s="311"/>
      <c r="BD433" s="308">
        <v>7.889307074887E12</v>
      </c>
      <c r="BE433" s="311"/>
      <c r="BF433" s="311"/>
      <c r="BG433" s="308" t="s">
        <v>2958</v>
      </c>
      <c r="BH433" s="308">
        <v>0.0</v>
      </c>
      <c r="BI433" s="308" t="s">
        <v>2959</v>
      </c>
      <c r="BJ433" s="308">
        <v>14.61</v>
      </c>
      <c r="BK433" s="311"/>
      <c r="BL433" s="311"/>
      <c r="BM433" s="311"/>
      <c r="BN433" s="311"/>
      <c r="BO433" s="311"/>
      <c r="BP433" s="311"/>
      <c r="BQ433" s="311"/>
      <c r="BR433" s="311"/>
      <c r="BS433" s="308"/>
      <c r="BT433" s="311"/>
      <c r="BU433" s="311"/>
      <c r="BV433" s="308" t="s">
        <v>3208</v>
      </c>
      <c r="BW433" s="308" t="s">
        <v>3208</v>
      </c>
      <c r="BX433" s="308" t="s">
        <v>2956</v>
      </c>
      <c r="BY433" s="311"/>
      <c r="BZ433" s="311"/>
      <c r="CA433" s="308" t="s">
        <v>2956</v>
      </c>
      <c r="CB433" s="312" t="str">
        <f t="shared" si="1"/>
        <v>26/06/2026</v>
      </c>
      <c r="CC433" s="313">
        <f t="shared" si="2"/>
        <v>2026</v>
      </c>
      <c r="CD433" s="314">
        <f t="shared" si="3"/>
        <v>6</v>
      </c>
      <c r="CE433" s="314">
        <f t="shared" si="4"/>
        <v>0</v>
      </c>
      <c r="CF433" s="314">
        <f t="shared" si="5"/>
        <v>1</v>
      </c>
      <c r="CG433" s="314">
        <f t="shared" si="6"/>
        <v>0</v>
      </c>
      <c r="CH433" s="315">
        <f>VLOOKUP(CL433,'PRODUCT_COGS&amp;PRICE'!A:E,5,false)</f>
        <v>16.5</v>
      </c>
      <c r="CI433" s="315">
        <f t="shared" si="7"/>
        <v>0</v>
      </c>
      <c r="CJ433" s="316">
        <f t="shared" si="8"/>
        <v>0</v>
      </c>
      <c r="CK433" s="316">
        <f t="shared" si="9"/>
        <v>10.4</v>
      </c>
      <c r="CL433" s="314" t="str">
        <f>VLOOKUP(R433,PRODUCT_MAP!A:B,2,FALSE)</f>
        <v>Annie_Bag_PEARL_GREY</v>
      </c>
      <c r="CM433" s="314" t="str">
        <f>VLOOKUP(R433,PRODUCT_MAP!A:E,3,FALSE)</f>
        <v/>
      </c>
    </row>
    <row r="434" ht="22.5" customHeight="1">
      <c r="A434" s="308" t="s">
        <v>6310</v>
      </c>
      <c r="B434" s="308" t="s">
        <v>6311</v>
      </c>
      <c r="C434" s="308" t="s">
        <v>2942</v>
      </c>
      <c r="D434" s="308" t="s">
        <v>6312</v>
      </c>
      <c r="E434" s="308" t="s">
        <v>3013</v>
      </c>
      <c r="F434" s="308"/>
      <c r="G434" s="308" t="s">
        <v>2946</v>
      </c>
      <c r="H434" s="308" t="s">
        <v>2947</v>
      </c>
      <c r="I434" s="308">
        <v>108.0</v>
      </c>
      <c r="J434" s="308">
        <v>0.0</v>
      </c>
      <c r="K434" s="308">
        <v>19.48</v>
      </c>
      <c r="L434" s="308">
        <v>108.0</v>
      </c>
      <c r="M434" s="308" t="s">
        <v>3094</v>
      </c>
      <c r="N434" s="308">
        <v>12.0</v>
      </c>
      <c r="O434" s="308" t="s">
        <v>2948</v>
      </c>
      <c r="P434" s="308" t="s">
        <v>6313</v>
      </c>
      <c r="Q434" s="310">
        <v>1.0</v>
      </c>
      <c r="R434" s="308" t="s">
        <v>590</v>
      </c>
      <c r="S434" s="308">
        <v>120.0</v>
      </c>
      <c r="T434" s="311"/>
      <c r="U434" s="308" t="s">
        <v>5932</v>
      </c>
      <c r="V434" s="308" t="b">
        <v>1</v>
      </c>
      <c r="W434" s="308" t="b">
        <v>1</v>
      </c>
      <c r="X434" s="308"/>
      <c r="Y434" s="308" t="s">
        <v>6314</v>
      </c>
      <c r="Z434" s="308" t="s">
        <v>6315</v>
      </c>
      <c r="AA434" s="308" t="s">
        <v>6316</v>
      </c>
      <c r="AB434" s="308">
        <v>10.0</v>
      </c>
      <c r="AC434" s="308"/>
      <c r="AD434" s="308" t="s">
        <v>6317</v>
      </c>
      <c r="AE434" s="308">
        <v>25027.0</v>
      </c>
      <c r="AF434" s="308" t="s">
        <v>3608</v>
      </c>
      <c r="AG434" s="308" t="s">
        <v>2955</v>
      </c>
      <c r="AH434" s="308"/>
      <c r="AI434" s="308" t="s">
        <v>6314</v>
      </c>
      <c r="AJ434" s="308" t="s">
        <v>6318</v>
      </c>
      <c r="AK434" s="308" t="s">
        <v>6316</v>
      </c>
      <c r="AL434" s="319">
        <v>46366.0</v>
      </c>
      <c r="AM434" s="308"/>
      <c r="AN434" s="308" t="s">
        <v>6317</v>
      </c>
      <c r="AO434" s="308">
        <v>25027.0</v>
      </c>
      <c r="AP434" s="308" t="s">
        <v>3608</v>
      </c>
      <c r="AQ434" s="308" t="s">
        <v>2955</v>
      </c>
      <c r="AR434" s="308">
        <v>3.331878763E9</v>
      </c>
      <c r="AS434" s="311"/>
      <c r="AT434" s="311"/>
      <c r="AU434" s="311"/>
      <c r="AV434" s="308" t="s">
        <v>2956</v>
      </c>
      <c r="AW434" s="308">
        <v>4.8032669237575E13</v>
      </c>
      <c r="AX434" s="310">
        <v>0.0</v>
      </c>
      <c r="AY434" s="308" t="s">
        <v>2974</v>
      </c>
      <c r="AZ434" s="308">
        <v>0.0</v>
      </c>
      <c r="BA434" s="311"/>
      <c r="BB434" s="311"/>
      <c r="BC434" s="311"/>
      <c r="BD434" s="308">
        <v>7.890987417927E12</v>
      </c>
      <c r="BE434" s="311"/>
      <c r="BF434" s="311"/>
      <c r="BG434" s="308" t="s">
        <v>2958</v>
      </c>
      <c r="BH434" s="308">
        <v>0.0</v>
      </c>
      <c r="BI434" s="308" t="s">
        <v>2959</v>
      </c>
      <c r="BJ434" s="308">
        <v>19.48</v>
      </c>
      <c r="BK434" s="311"/>
      <c r="BL434" s="311"/>
      <c r="BM434" s="311"/>
      <c r="BN434" s="311"/>
      <c r="BO434" s="311"/>
      <c r="BP434" s="311"/>
      <c r="BQ434" s="311"/>
      <c r="BR434" s="311"/>
      <c r="BS434" s="308"/>
      <c r="BT434" s="311"/>
      <c r="BU434" s="311"/>
      <c r="BV434" s="308" t="s">
        <v>3612</v>
      </c>
      <c r="BW434" s="308" t="s">
        <v>3612</v>
      </c>
      <c r="BX434" s="308" t="s">
        <v>2956</v>
      </c>
      <c r="BY434" s="311"/>
      <c r="BZ434" s="311"/>
      <c r="CA434" s="308" t="s">
        <v>2956</v>
      </c>
      <c r="CB434" s="312" t="str">
        <f t="shared" si="1"/>
        <v>27/06/2026</v>
      </c>
      <c r="CC434" s="313">
        <f t="shared" si="2"/>
        <v>2026</v>
      </c>
      <c r="CD434" s="314">
        <f t="shared" si="3"/>
        <v>6</v>
      </c>
      <c r="CE434" s="314">
        <f t="shared" si="4"/>
        <v>1</v>
      </c>
      <c r="CF434" s="314">
        <f t="shared" si="5"/>
        <v>1</v>
      </c>
      <c r="CG434" s="314">
        <f t="shared" si="6"/>
        <v>-5</v>
      </c>
      <c r="CH434" s="315">
        <f>VLOOKUP(CL434,'PRODUCT_COGS&amp;PRICE'!A:E,5,false)</f>
        <v>26</v>
      </c>
      <c r="CI434" s="315">
        <f t="shared" si="7"/>
        <v>-2.302</v>
      </c>
      <c r="CJ434" s="316">
        <f t="shared" si="8"/>
        <v>0</v>
      </c>
      <c r="CK434" s="316">
        <f t="shared" si="9"/>
        <v>12</v>
      </c>
      <c r="CL434" s="314" t="str">
        <f>VLOOKUP(R434,PRODUCT_MAP!A:B,2,FALSE)</f>
        <v>Maria_Bag_BURRO_PIERCING</v>
      </c>
      <c r="CM434" s="314" t="str">
        <f>VLOOKUP(R434,PRODUCT_MAP!A:E,3,FALSE)</f>
        <v>Maria bag</v>
      </c>
    </row>
    <row r="435" ht="22.5" customHeight="1">
      <c r="A435" s="308" t="s">
        <v>6319</v>
      </c>
      <c r="B435" s="308" t="s">
        <v>6320</v>
      </c>
      <c r="C435" s="308" t="s">
        <v>2942</v>
      </c>
      <c r="D435" s="308" t="s">
        <v>6321</v>
      </c>
      <c r="E435" s="308" t="s">
        <v>3013</v>
      </c>
      <c r="F435" s="308"/>
      <c r="G435" s="308" t="s">
        <v>2965</v>
      </c>
      <c r="H435" s="308" t="s">
        <v>2947</v>
      </c>
      <c r="I435" s="308">
        <v>70.0</v>
      </c>
      <c r="J435" s="308">
        <v>3.9</v>
      </c>
      <c r="K435" s="308">
        <v>13.32</v>
      </c>
      <c r="L435" s="308">
        <v>73.9</v>
      </c>
      <c r="M435" s="308"/>
      <c r="N435" s="308">
        <v>0.0</v>
      </c>
      <c r="O435" s="308" t="s">
        <v>2948</v>
      </c>
      <c r="P435" s="308" t="s">
        <v>6322</v>
      </c>
      <c r="Q435" s="310">
        <v>1.0</v>
      </c>
      <c r="R435" s="308" t="s">
        <v>687</v>
      </c>
      <c r="S435" s="308">
        <v>70.0</v>
      </c>
      <c r="T435" s="311"/>
      <c r="U435" s="308" t="s">
        <v>321</v>
      </c>
      <c r="V435" s="308" t="b">
        <v>1</v>
      </c>
      <c r="W435" s="308" t="b">
        <v>1</v>
      </c>
      <c r="X435" s="308"/>
      <c r="Y435" s="308" t="s">
        <v>6323</v>
      </c>
      <c r="Z435" s="308" t="s">
        <v>6324</v>
      </c>
      <c r="AA435" s="308" t="s">
        <v>6324</v>
      </c>
      <c r="AB435" s="308"/>
      <c r="AC435" s="308"/>
      <c r="AD435" s="308" t="s">
        <v>3007</v>
      </c>
      <c r="AE435" s="308">
        <v>80123.0</v>
      </c>
      <c r="AF435" s="308" t="s">
        <v>3008</v>
      </c>
      <c r="AG435" s="308" t="s">
        <v>2955</v>
      </c>
      <c r="AH435" s="308">
        <v>3.489245937E9</v>
      </c>
      <c r="AI435" s="308" t="s">
        <v>6323</v>
      </c>
      <c r="AJ435" s="308" t="s">
        <v>6324</v>
      </c>
      <c r="AK435" s="308" t="s">
        <v>6324</v>
      </c>
      <c r="AL435" s="319"/>
      <c r="AM435" s="308"/>
      <c r="AN435" s="308" t="s">
        <v>3007</v>
      </c>
      <c r="AO435" s="308">
        <v>80123.0</v>
      </c>
      <c r="AP435" s="308" t="s">
        <v>3008</v>
      </c>
      <c r="AQ435" s="308" t="s">
        <v>2955</v>
      </c>
      <c r="AR435" s="308">
        <v>3.489245937E9</v>
      </c>
      <c r="AS435" s="311"/>
      <c r="AT435" s="311"/>
      <c r="AU435" s="311"/>
      <c r="AV435" s="308" t="s">
        <v>3009</v>
      </c>
      <c r="AW435" s="308">
        <v>4.8033155318087E13</v>
      </c>
      <c r="AX435" s="310">
        <v>0.0</v>
      </c>
      <c r="AY435" s="308" t="s">
        <v>5290</v>
      </c>
      <c r="AZ435" s="308">
        <v>0.0</v>
      </c>
      <c r="BA435" s="311"/>
      <c r="BB435" s="311"/>
      <c r="BC435" s="311"/>
      <c r="BD435" s="308">
        <v>7.891245793607E12</v>
      </c>
      <c r="BE435" s="311"/>
      <c r="BF435" s="311"/>
      <c r="BG435" s="308" t="s">
        <v>2958</v>
      </c>
      <c r="BH435" s="308">
        <v>0.0</v>
      </c>
      <c r="BI435" s="308" t="s">
        <v>2959</v>
      </c>
      <c r="BJ435" s="308">
        <v>12.62</v>
      </c>
      <c r="BK435" s="311"/>
      <c r="BL435" s="311"/>
      <c r="BM435" s="311"/>
      <c r="BN435" s="311"/>
      <c r="BO435" s="311"/>
      <c r="BP435" s="311"/>
      <c r="BQ435" s="311"/>
      <c r="BR435" s="311"/>
      <c r="BS435" s="308"/>
      <c r="BT435" s="311"/>
      <c r="BU435" s="311"/>
      <c r="BV435" s="308" t="s">
        <v>3007</v>
      </c>
      <c r="BW435" s="308" t="s">
        <v>3007</v>
      </c>
      <c r="BX435" s="308" t="s">
        <v>3009</v>
      </c>
      <c r="BY435" s="311"/>
      <c r="BZ435" s="311"/>
      <c r="CA435" s="308" t="s">
        <v>3009</v>
      </c>
      <c r="CB435" s="312" t="str">
        <f t="shared" si="1"/>
        <v>27/06/2026</v>
      </c>
      <c r="CC435" s="313">
        <f t="shared" si="2"/>
        <v>2026</v>
      </c>
      <c r="CD435" s="314">
        <f t="shared" si="3"/>
        <v>6</v>
      </c>
      <c r="CE435" s="314">
        <f t="shared" si="4"/>
        <v>1</v>
      </c>
      <c r="CF435" s="314">
        <f t="shared" si="5"/>
        <v>1</v>
      </c>
      <c r="CG435" s="314">
        <f t="shared" si="6"/>
        <v>0</v>
      </c>
      <c r="CH435" s="315">
        <f>VLOOKUP(CL435,'PRODUCT_COGS&amp;PRICE'!A:E,5,false)</f>
        <v>14.58</v>
      </c>
      <c r="CI435" s="315">
        <f t="shared" si="7"/>
        <v>-2.92911</v>
      </c>
      <c r="CJ435" s="316">
        <f t="shared" si="8"/>
        <v>0</v>
      </c>
      <c r="CK435" s="316">
        <f t="shared" si="9"/>
        <v>0</v>
      </c>
      <c r="CL435" s="314" t="str">
        <f>VLOOKUP(R435,PRODUCT_MAP!A:B,2,FALSE)</f>
        <v>Nina_Bag_Maxi_STRIPES_ORANGE_RED</v>
      </c>
      <c r="CM435" s="314" t="str">
        <f>VLOOKUP(R435,PRODUCT_MAP!A:E,3,FALSE)</f>
        <v>Nina Bag Maxi</v>
      </c>
    </row>
    <row r="436" ht="22.5" customHeight="1">
      <c r="A436" s="308" t="s">
        <v>6325</v>
      </c>
      <c r="B436" s="308" t="s">
        <v>6326</v>
      </c>
      <c r="C436" s="308" t="s">
        <v>2942</v>
      </c>
      <c r="D436" s="308" t="s">
        <v>6327</v>
      </c>
      <c r="E436" s="308" t="s">
        <v>3013</v>
      </c>
      <c r="F436" s="308"/>
      <c r="G436" s="308" t="s">
        <v>2946</v>
      </c>
      <c r="H436" s="308" t="s">
        <v>2947</v>
      </c>
      <c r="I436" s="308">
        <v>81.0</v>
      </c>
      <c r="J436" s="308">
        <v>3.9</v>
      </c>
      <c r="K436" s="308">
        <v>15.31</v>
      </c>
      <c r="L436" s="308">
        <v>84.9</v>
      </c>
      <c r="M436" s="308" t="s">
        <v>3094</v>
      </c>
      <c r="N436" s="308">
        <v>9.0</v>
      </c>
      <c r="O436" s="308" t="s">
        <v>2948</v>
      </c>
      <c r="P436" s="308" t="s">
        <v>6328</v>
      </c>
      <c r="Q436" s="310">
        <v>1.0</v>
      </c>
      <c r="R436" s="308" t="s">
        <v>5852</v>
      </c>
      <c r="S436" s="308">
        <v>90.0</v>
      </c>
      <c r="T436" s="311"/>
      <c r="U436" s="308" t="s">
        <v>4221</v>
      </c>
      <c r="V436" s="308" t="b">
        <v>1</v>
      </c>
      <c r="W436" s="308" t="b">
        <v>1</v>
      </c>
      <c r="X436" s="308"/>
      <c r="Y436" s="308" t="s">
        <v>6329</v>
      </c>
      <c r="Z436" s="308" t="s">
        <v>6330</v>
      </c>
      <c r="AA436" s="308" t="s">
        <v>6330</v>
      </c>
      <c r="AB436" s="308"/>
      <c r="AC436" s="308"/>
      <c r="AD436" s="308" t="s">
        <v>6331</v>
      </c>
      <c r="AE436" s="308">
        <v>36071.0</v>
      </c>
      <c r="AF436" s="308" t="s">
        <v>3676</v>
      </c>
      <c r="AG436" s="308" t="s">
        <v>2955</v>
      </c>
      <c r="AH436" s="308">
        <v>3.382540996E9</v>
      </c>
      <c r="AI436" s="308" t="s">
        <v>6329</v>
      </c>
      <c r="AJ436" s="308" t="s">
        <v>6330</v>
      </c>
      <c r="AK436" s="308" t="s">
        <v>6330</v>
      </c>
      <c r="AL436" s="319"/>
      <c r="AM436" s="308"/>
      <c r="AN436" s="308" t="s">
        <v>6331</v>
      </c>
      <c r="AO436" s="308">
        <v>36071.0</v>
      </c>
      <c r="AP436" s="308" t="s">
        <v>3676</v>
      </c>
      <c r="AQ436" s="308" t="s">
        <v>2955</v>
      </c>
      <c r="AR436" s="308">
        <v>3.382540996E9</v>
      </c>
      <c r="AS436" s="311"/>
      <c r="AT436" s="311"/>
      <c r="AU436" s="311"/>
      <c r="AV436" s="308" t="s">
        <v>2956</v>
      </c>
      <c r="AW436" s="308">
        <v>4.8033301496135E13</v>
      </c>
      <c r="AX436" s="310">
        <v>0.0</v>
      </c>
      <c r="AY436" s="308" t="s">
        <v>2974</v>
      </c>
      <c r="AZ436" s="308">
        <v>0.0</v>
      </c>
      <c r="BA436" s="311"/>
      <c r="BB436" s="311"/>
      <c r="BC436" s="311"/>
      <c r="BD436" s="308">
        <v>7.891335348551E12</v>
      </c>
      <c r="BE436" s="311"/>
      <c r="BF436" s="311"/>
      <c r="BG436" s="308" t="s">
        <v>2958</v>
      </c>
      <c r="BH436" s="308">
        <v>0.0</v>
      </c>
      <c r="BI436" s="308" t="s">
        <v>2959</v>
      </c>
      <c r="BJ436" s="308">
        <v>14.61</v>
      </c>
      <c r="BK436" s="311"/>
      <c r="BL436" s="311"/>
      <c r="BM436" s="311"/>
      <c r="BN436" s="311"/>
      <c r="BO436" s="311"/>
      <c r="BP436" s="311"/>
      <c r="BQ436" s="311"/>
      <c r="BR436" s="311"/>
      <c r="BS436" s="308"/>
      <c r="BT436" s="311"/>
      <c r="BU436" s="311"/>
      <c r="BV436" s="308" t="s">
        <v>3678</v>
      </c>
      <c r="BW436" s="308" t="s">
        <v>3678</v>
      </c>
      <c r="BX436" s="308" t="s">
        <v>2956</v>
      </c>
      <c r="BY436" s="311"/>
      <c r="BZ436" s="311"/>
      <c r="CA436" s="308" t="s">
        <v>2956</v>
      </c>
      <c r="CB436" s="312" t="str">
        <f t="shared" si="1"/>
        <v>27/06/2026</v>
      </c>
      <c r="CC436" s="313">
        <f t="shared" si="2"/>
        <v>2026</v>
      </c>
      <c r="CD436" s="314">
        <f t="shared" si="3"/>
        <v>6</v>
      </c>
      <c r="CE436" s="314">
        <f t="shared" si="4"/>
        <v>1</v>
      </c>
      <c r="CF436" s="314">
        <f t="shared" si="5"/>
        <v>1</v>
      </c>
      <c r="CG436" s="314">
        <f t="shared" si="6"/>
        <v>0</v>
      </c>
      <c r="CH436" s="315">
        <f>VLOOKUP(CL436,'PRODUCT_COGS&amp;PRICE'!A:E,5,false)</f>
        <v>16.5</v>
      </c>
      <c r="CI436" s="315">
        <f t="shared" si="7"/>
        <v>-1.8631</v>
      </c>
      <c r="CJ436" s="316">
        <f t="shared" si="8"/>
        <v>0</v>
      </c>
      <c r="CK436" s="316">
        <f t="shared" si="9"/>
        <v>9</v>
      </c>
      <c r="CL436" s="314" t="str">
        <f>VLOOKUP(R436,PRODUCT_MAP!A:B,2,FALSE)</f>
        <v>Annie_Bag_PAILLETTES_NUDE</v>
      </c>
      <c r="CM436" s="314" t="str">
        <f>VLOOKUP(R436,PRODUCT_MAP!A:E,3,FALSE)</f>
        <v>Agata Bag</v>
      </c>
    </row>
    <row r="437" ht="22.5" customHeight="1">
      <c r="A437" s="308" t="s">
        <v>6332</v>
      </c>
      <c r="B437" s="308" t="s">
        <v>6333</v>
      </c>
      <c r="C437" s="308" t="s">
        <v>2942</v>
      </c>
      <c r="D437" s="308" t="s">
        <v>6334</v>
      </c>
      <c r="E437" s="308" t="s">
        <v>3013</v>
      </c>
      <c r="F437" s="308"/>
      <c r="G437" s="308" t="s">
        <v>2965</v>
      </c>
      <c r="H437" s="308" t="s">
        <v>2947</v>
      </c>
      <c r="I437" s="308">
        <v>120.0</v>
      </c>
      <c r="J437" s="308">
        <v>0.0</v>
      </c>
      <c r="K437" s="308">
        <v>21.64</v>
      </c>
      <c r="L437" s="308">
        <v>120.0</v>
      </c>
      <c r="M437" s="308"/>
      <c r="N437" s="308">
        <v>0.0</v>
      </c>
      <c r="O437" s="308" t="s">
        <v>2948</v>
      </c>
      <c r="P437" s="308" t="s">
        <v>6335</v>
      </c>
      <c r="Q437" s="310">
        <v>1.0</v>
      </c>
      <c r="R437" s="308" t="s">
        <v>595</v>
      </c>
      <c r="S437" s="308">
        <v>120.0</v>
      </c>
      <c r="T437" s="311"/>
      <c r="U437" s="308" t="s">
        <v>599</v>
      </c>
      <c r="V437" s="308" t="b">
        <v>1</v>
      </c>
      <c r="W437" s="308" t="b">
        <v>1</v>
      </c>
      <c r="X437" s="308"/>
      <c r="Y437" s="308" t="s">
        <v>6336</v>
      </c>
      <c r="Z437" s="308" t="s">
        <v>6337</v>
      </c>
      <c r="AA437" s="308" t="s">
        <v>6337</v>
      </c>
      <c r="AB437" s="308"/>
      <c r="AC437" s="308"/>
      <c r="AD437" s="308" t="s">
        <v>6338</v>
      </c>
      <c r="AE437" s="308">
        <v>12058.0</v>
      </c>
      <c r="AF437" s="308" t="s">
        <v>3293</v>
      </c>
      <c r="AG437" s="308" t="s">
        <v>2955</v>
      </c>
      <c r="AH437" s="308">
        <v>3.291284682E9</v>
      </c>
      <c r="AI437" s="308" t="s">
        <v>6336</v>
      </c>
      <c r="AJ437" s="308" t="s">
        <v>6337</v>
      </c>
      <c r="AK437" s="308" t="s">
        <v>6337</v>
      </c>
      <c r="AL437" s="319"/>
      <c r="AM437" s="308"/>
      <c r="AN437" s="308" t="s">
        <v>6338</v>
      </c>
      <c r="AO437" s="308">
        <v>12058.0</v>
      </c>
      <c r="AP437" s="308" t="s">
        <v>3293</v>
      </c>
      <c r="AQ437" s="308" t="s">
        <v>2955</v>
      </c>
      <c r="AR437" s="308">
        <v>3.291284682E9</v>
      </c>
      <c r="AS437" s="311"/>
      <c r="AT437" s="311"/>
      <c r="AU437" s="311"/>
      <c r="AV437" s="308" t="s">
        <v>2956</v>
      </c>
      <c r="AW437" s="308">
        <v>4.8033848852807E13</v>
      </c>
      <c r="AX437" s="310">
        <v>0.0</v>
      </c>
      <c r="AY437" s="308" t="s">
        <v>2974</v>
      </c>
      <c r="AZ437" s="308">
        <v>0.0</v>
      </c>
      <c r="BA437" s="311"/>
      <c r="BB437" s="311"/>
      <c r="BC437" s="311"/>
      <c r="BD437" s="308">
        <v>7.891622232391E12</v>
      </c>
      <c r="BE437" s="311"/>
      <c r="BF437" s="311"/>
      <c r="BG437" s="308" t="s">
        <v>2958</v>
      </c>
      <c r="BH437" s="308">
        <v>0.0</v>
      </c>
      <c r="BI437" s="308" t="s">
        <v>2959</v>
      </c>
      <c r="BJ437" s="308">
        <v>21.64</v>
      </c>
      <c r="BK437" s="311"/>
      <c r="BL437" s="311"/>
      <c r="BM437" s="311"/>
      <c r="BN437" s="311"/>
      <c r="BO437" s="311"/>
      <c r="BP437" s="311"/>
      <c r="BQ437" s="311"/>
      <c r="BR437" s="311"/>
      <c r="BS437" s="308"/>
      <c r="BT437" s="311"/>
      <c r="BU437" s="311"/>
      <c r="BV437" s="308" t="s">
        <v>3294</v>
      </c>
      <c r="BW437" s="308" t="s">
        <v>3294</v>
      </c>
      <c r="BX437" s="308" t="s">
        <v>2956</v>
      </c>
      <c r="BY437" s="311"/>
      <c r="BZ437" s="311"/>
      <c r="CA437" s="308" t="s">
        <v>2956</v>
      </c>
      <c r="CB437" s="312" t="str">
        <f t="shared" si="1"/>
        <v>27/06/2026</v>
      </c>
      <c r="CC437" s="313">
        <f t="shared" si="2"/>
        <v>2026</v>
      </c>
      <c r="CD437" s="314">
        <f t="shared" si="3"/>
        <v>6</v>
      </c>
      <c r="CE437" s="314">
        <f t="shared" si="4"/>
        <v>1</v>
      </c>
      <c r="CF437" s="314">
        <f t="shared" si="5"/>
        <v>1</v>
      </c>
      <c r="CG437" s="314">
        <f t="shared" si="6"/>
        <v>-5</v>
      </c>
      <c r="CH437" s="315">
        <f>VLOOKUP(CL437,'PRODUCT_COGS&amp;PRICE'!A:E,5,false)</f>
        <v>26</v>
      </c>
      <c r="CI437" s="315">
        <f t="shared" si="7"/>
        <v>-2.53</v>
      </c>
      <c r="CJ437" s="316">
        <f t="shared" si="8"/>
        <v>0</v>
      </c>
      <c r="CK437" s="316">
        <f t="shared" si="9"/>
        <v>0</v>
      </c>
      <c r="CL437" s="314" t="str">
        <f>VLOOKUP(R437,PRODUCT_MAP!A:B,2,FALSE)</f>
        <v>Maria_Bag_GREEN_PIERCING</v>
      </c>
      <c r="CM437" s="314" t="str">
        <f>VLOOKUP(R437,PRODUCT_MAP!A:E,3,FALSE)</f>
        <v>Maria Bag</v>
      </c>
    </row>
    <row r="438" ht="22.5" customHeight="1">
      <c r="A438" s="308" t="s">
        <v>6339</v>
      </c>
      <c r="B438" s="308" t="s">
        <v>6340</v>
      </c>
      <c r="C438" s="308" t="s">
        <v>2942</v>
      </c>
      <c r="D438" s="308" t="s">
        <v>6341</v>
      </c>
      <c r="E438" s="308" t="s">
        <v>3013</v>
      </c>
      <c r="F438" s="308"/>
      <c r="G438" s="308" t="s">
        <v>2946</v>
      </c>
      <c r="H438" s="308" t="s">
        <v>2947</v>
      </c>
      <c r="I438" s="308">
        <v>108.0</v>
      </c>
      <c r="J438" s="308">
        <v>0.0</v>
      </c>
      <c r="K438" s="308">
        <v>19.48</v>
      </c>
      <c r="L438" s="308">
        <v>108.0</v>
      </c>
      <c r="M438" s="308" t="s">
        <v>3094</v>
      </c>
      <c r="N438" s="308">
        <v>12.0</v>
      </c>
      <c r="O438" s="308" t="s">
        <v>2948</v>
      </c>
      <c r="P438" s="308" t="s">
        <v>6342</v>
      </c>
      <c r="Q438" s="310">
        <v>1.0</v>
      </c>
      <c r="R438" s="308" t="s">
        <v>579</v>
      </c>
      <c r="S438" s="308">
        <v>120.0</v>
      </c>
      <c r="T438" s="311"/>
      <c r="U438" s="308" t="s">
        <v>239</v>
      </c>
      <c r="V438" s="308" t="b">
        <v>1</v>
      </c>
      <c r="W438" s="308" t="b">
        <v>1</v>
      </c>
      <c r="X438" s="308"/>
      <c r="Y438" s="308" t="s">
        <v>6343</v>
      </c>
      <c r="Z438" s="308" t="s">
        <v>6344</v>
      </c>
      <c r="AA438" s="308" t="s">
        <v>6344</v>
      </c>
      <c r="AB438" s="308"/>
      <c r="AC438" s="308"/>
      <c r="AD438" s="308" t="s">
        <v>6345</v>
      </c>
      <c r="AE438" s="308">
        <v>61032.0</v>
      </c>
      <c r="AF438" s="308" t="s">
        <v>5862</v>
      </c>
      <c r="AG438" s="308" t="s">
        <v>2955</v>
      </c>
      <c r="AH438" s="308">
        <v>3.394145272E9</v>
      </c>
      <c r="AI438" s="308" t="s">
        <v>6343</v>
      </c>
      <c r="AJ438" s="308" t="s">
        <v>6344</v>
      </c>
      <c r="AK438" s="308" t="s">
        <v>6344</v>
      </c>
      <c r="AL438" s="319"/>
      <c r="AM438" s="308"/>
      <c r="AN438" s="308" t="s">
        <v>6345</v>
      </c>
      <c r="AO438" s="308">
        <v>61032.0</v>
      </c>
      <c r="AP438" s="308" t="s">
        <v>5862</v>
      </c>
      <c r="AQ438" s="308" t="s">
        <v>2955</v>
      </c>
      <c r="AR438" s="308">
        <v>3.394145272E9</v>
      </c>
      <c r="AS438" s="311"/>
      <c r="AT438" s="311"/>
      <c r="AU438" s="311"/>
      <c r="AV438" s="308" t="s">
        <v>2956</v>
      </c>
      <c r="AW438" s="308">
        <v>4.8020379533639E13</v>
      </c>
      <c r="AX438" s="310">
        <v>0.0</v>
      </c>
      <c r="AY438" s="308" t="s">
        <v>2974</v>
      </c>
      <c r="AZ438" s="308">
        <v>0.0</v>
      </c>
      <c r="BA438" s="311"/>
      <c r="BB438" s="311"/>
      <c r="BC438" s="311"/>
      <c r="BD438" s="308">
        <v>7.891801178439E12</v>
      </c>
      <c r="BE438" s="311"/>
      <c r="BF438" s="311"/>
      <c r="BG438" s="308" t="s">
        <v>2958</v>
      </c>
      <c r="BH438" s="308">
        <v>0.0</v>
      </c>
      <c r="BI438" s="308" t="s">
        <v>2959</v>
      </c>
      <c r="BJ438" s="308">
        <v>19.48</v>
      </c>
      <c r="BK438" s="311"/>
      <c r="BL438" s="311"/>
      <c r="BM438" s="311"/>
      <c r="BN438" s="311"/>
      <c r="BO438" s="311"/>
      <c r="BP438" s="311"/>
      <c r="BQ438" s="311"/>
      <c r="BR438" s="311"/>
      <c r="BS438" s="308"/>
      <c r="BT438" s="311"/>
      <c r="BU438" s="311"/>
      <c r="BV438" s="308" t="s">
        <v>5863</v>
      </c>
      <c r="BW438" s="308" t="s">
        <v>5863</v>
      </c>
      <c r="BX438" s="308" t="s">
        <v>2956</v>
      </c>
      <c r="BY438" s="311"/>
      <c r="BZ438" s="311"/>
      <c r="CA438" s="308" t="s">
        <v>2956</v>
      </c>
      <c r="CB438" s="312" t="str">
        <f t="shared" si="1"/>
        <v>27/06/2026</v>
      </c>
      <c r="CC438" s="313">
        <f t="shared" si="2"/>
        <v>2026</v>
      </c>
      <c r="CD438" s="314">
        <f t="shared" si="3"/>
        <v>6</v>
      </c>
      <c r="CE438" s="314">
        <f t="shared" si="4"/>
        <v>1</v>
      </c>
      <c r="CF438" s="314">
        <f t="shared" si="5"/>
        <v>1</v>
      </c>
      <c r="CG438" s="314">
        <f t="shared" si="6"/>
        <v>-5</v>
      </c>
      <c r="CH438" s="315">
        <f>VLOOKUP(CL438,'PRODUCT_COGS&amp;PRICE'!A:E,5,false)</f>
        <v>20</v>
      </c>
      <c r="CI438" s="315">
        <f t="shared" si="7"/>
        <v>-2.302</v>
      </c>
      <c r="CJ438" s="316">
        <f t="shared" si="8"/>
        <v>0</v>
      </c>
      <c r="CK438" s="316">
        <f t="shared" si="9"/>
        <v>12</v>
      </c>
      <c r="CL438" s="314" t="str">
        <f>VLOOKUP(R438,PRODUCT_MAP!A:B,2,FALSE)</f>
        <v>Lea_Bag_VERNICE_PURPLE_PATENT</v>
      </c>
      <c r="CM438" s="314" t="str">
        <f>VLOOKUP(R438,PRODUCT_MAP!A:E,3,FALSE)</f>
        <v>Lea Bag</v>
      </c>
    </row>
    <row r="439" ht="22.5" customHeight="1">
      <c r="A439" s="308" t="s">
        <v>6346</v>
      </c>
      <c r="B439" s="308" t="s">
        <v>6347</v>
      </c>
      <c r="C439" s="308" t="s">
        <v>2942</v>
      </c>
      <c r="D439" s="308" t="s">
        <v>6348</v>
      </c>
      <c r="E439" s="308" t="s">
        <v>3013</v>
      </c>
      <c r="F439" s="308"/>
      <c r="G439" s="308" t="s">
        <v>2946</v>
      </c>
      <c r="H439" s="308" t="s">
        <v>2947</v>
      </c>
      <c r="I439" s="308">
        <v>108.0</v>
      </c>
      <c r="J439" s="308">
        <v>0.0</v>
      </c>
      <c r="K439" s="308">
        <v>19.48</v>
      </c>
      <c r="L439" s="308">
        <v>108.0</v>
      </c>
      <c r="M439" s="308" t="s">
        <v>3094</v>
      </c>
      <c r="N439" s="308">
        <v>12.0</v>
      </c>
      <c r="O439" s="308" t="s">
        <v>2948</v>
      </c>
      <c r="P439" s="308" t="s">
        <v>6349</v>
      </c>
      <c r="Q439" s="310">
        <v>1.0</v>
      </c>
      <c r="R439" s="308" t="s">
        <v>509</v>
      </c>
      <c r="S439" s="308">
        <v>120.0</v>
      </c>
      <c r="T439" s="311"/>
      <c r="U439" s="308" t="s">
        <v>161</v>
      </c>
      <c r="V439" s="308" t="b">
        <v>1</v>
      </c>
      <c r="W439" s="308" t="b">
        <v>1</v>
      </c>
      <c r="X439" s="308"/>
      <c r="Y439" s="308" t="s">
        <v>6350</v>
      </c>
      <c r="Z439" s="308" t="s">
        <v>6351</v>
      </c>
      <c r="AA439" s="308" t="s">
        <v>6352</v>
      </c>
      <c r="AB439" s="308" t="s">
        <v>6353</v>
      </c>
      <c r="AC439" s="308" t="s">
        <v>6353</v>
      </c>
      <c r="AD439" s="308" t="s">
        <v>23</v>
      </c>
      <c r="AE439" s="308">
        <v>20122.0</v>
      </c>
      <c r="AF439" s="308" t="s">
        <v>2954</v>
      </c>
      <c r="AG439" s="308" t="s">
        <v>2955</v>
      </c>
      <c r="AH439" s="308">
        <v>3.281823664E9</v>
      </c>
      <c r="AI439" s="308" t="s">
        <v>6350</v>
      </c>
      <c r="AJ439" s="308" t="s">
        <v>6351</v>
      </c>
      <c r="AK439" s="308" t="s">
        <v>6352</v>
      </c>
      <c r="AL439" s="308" t="s">
        <v>6353</v>
      </c>
      <c r="AM439" s="308" t="s">
        <v>6353</v>
      </c>
      <c r="AN439" s="308" t="s">
        <v>23</v>
      </c>
      <c r="AO439" s="308">
        <v>20122.0</v>
      </c>
      <c r="AP439" s="308" t="s">
        <v>2954</v>
      </c>
      <c r="AQ439" s="308" t="s">
        <v>2955</v>
      </c>
      <c r="AR439" s="308">
        <v>3.281823664E9</v>
      </c>
      <c r="AS439" s="311"/>
      <c r="AT439" s="311"/>
      <c r="AU439" s="311"/>
      <c r="AV439" s="308" t="s">
        <v>2956</v>
      </c>
      <c r="AW439" s="308">
        <v>4.8034412855623E13</v>
      </c>
      <c r="AX439" s="310">
        <v>0.0</v>
      </c>
      <c r="AY439" s="308" t="s">
        <v>2974</v>
      </c>
      <c r="AZ439" s="308">
        <v>0.0</v>
      </c>
      <c r="BA439" s="311"/>
      <c r="BB439" s="311"/>
      <c r="BC439" s="311"/>
      <c r="BD439" s="308">
        <v>7.891927335239E12</v>
      </c>
      <c r="BE439" s="311"/>
      <c r="BF439" s="311"/>
      <c r="BG439" s="308" t="s">
        <v>2958</v>
      </c>
      <c r="BH439" s="308">
        <v>0.0</v>
      </c>
      <c r="BI439" s="308" t="s">
        <v>2959</v>
      </c>
      <c r="BJ439" s="308">
        <v>19.48</v>
      </c>
      <c r="BK439" s="311"/>
      <c r="BL439" s="311"/>
      <c r="BM439" s="311"/>
      <c r="BN439" s="311"/>
      <c r="BO439" s="311"/>
      <c r="BP439" s="311"/>
      <c r="BQ439" s="311"/>
      <c r="BR439" s="311"/>
      <c r="BS439" s="308"/>
      <c r="BT439" s="311"/>
      <c r="BU439" s="311"/>
      <c r="BV439" s="308" t="s">
        <v>23</v>
      </c>
      <c r="BW439" s="308" t="s">
        <v>23</v>
      </c>
      <c r="BX439" s="308" t="s">
        <v>2956</v>
      </c>
      <c r="BY439" s="311"/>
      <c r="BZ439" s="311"/>
      <c r="CA439" s="308" t="s">
        <v>2956</v>
      </c>
      <c r="CB439" s="312" t="str">
        <f t="shared" si="1"/>
        <v>27/06/2026</v>
      </c>
      <c r="CC439" s="313">
        <f t="shared" si="2"/>
        <v>2026</v>
      </c>
      <c r="CD439" s="314">
        <f t="shared" si="3"/>
        <v>6</v>
      </c>
      <c r="CE439" s="314">
        <f t="shared" si="4"/>
        <v>1</v>
      </c>
      <c r="CF439" s="314">
        <f t="shared" si="5"/>
        <v>1</v>
      </c>
      <c r="CG439" s="314">
        <f t="shared" si="6"/>
        <v>-5</v>
      </c>
      <c r="CH439" s="315">
        <f>VLOOKUP(CL439,'PRODUCT_COGS&amp;PRICE'!A:E,5,false)</f>
        <v>30.33</v>
      </c>
      <c r="CI439" s="315">
        <f t="shared" si="7"/>
        <v>-2.302</v>
      </c>
      <c r="CJ439" s="316">
        <f t="shared" si="8"/>
        <v>0</v>
      </c>
      <c r="CK439" s="316">
        <f t="shared" si="9"/>
        <v>12</v>
      </c>
      <c r="CL439" s="314" t="str">
        <f>VLOOKUP(R439,PRODUCT_MAP!A:B,2,FALSE)</f>
        <v>Lea_Bag_COCCO_BLACK</v>
      </c>
      <c r="CM439" s="314" t="str">
        <f>VLOOKUP(R439,PRODUCT_MAP!A:E,3,FALSE)</f>
        <v>Lea Bag</v>
      </c>
    </row>
    <row r="440" ht="22.5" customHeight="1">
      <c r="A440" s="308" t="s">
        <v>6354</v>
      </c>
      <c r="B440" s="308" t="s">
        <v>6355</v>
      </c>
      <c r="C440" s="308" t="s">
        <v>2942</v>
      </c>
      <c r="D440" s="308" t="s">
        <v>6356</v>
      </c>
      <c r="E440" s="308" t="s">
        <v>3013</v>
      </c>
      <c r="F440" s="308"/>
      <c r="G440" s="308" t="s">
        <v>2946</v>
      </c>
      <c r="H440" s="308" t="s">
        <v>2947</v>
      </c>
      <c r="I440" s="308">
        <v>153.0</v>
      </c>
      <c r="J440" s="308">
        <v>0.0</v>
      </c>
      <c r="K440" s="308">
        <v>27.59</v>
      </c>
      <c r="L440" s="308">
        <v>153.0</v>
      </c>
      <c r="M440" s="308" t="s">
        <v>3094</v>
      </c>
      <c r="N440" s="308">
        <v>17.0</v>
      </c>
      <c r="O440" s="308" t="s">
        <v>2948</v>
      </c>
      <c r="P440" s="308" t="s">
        <v>6357</v>
      </c>
      <c r="Q440" s="310">
        <v>1.0</v>
      </c>
      <c r="R440" s="308" t="s">
        <v>554</v>
      </c>
      <c r="S440" s="308">
        <v>170.0</v>
      </c>
      <c r="T440" s="311"/>
      <c r="U440" s="308" t="s">
        <v>296</v>
      </c>
      <c r="V440" s="308" t="b">
        <v>1</v>
      </c>
      <c r="W440" s="308" t="b">
        <v>1</v>
      </c>
      <c r="X440" s="308"/>
      <c r="Y440" s="308" t="s">
        <v>6358</v>
      </c>
      <c r="Z440" s="308" t="s">
        <v>6359</v>
      </c>
      <c r="AA440" s="308" t="s">
        <v>6359</v>
      </c>
      <c r="AB440" s="308"/>
      <c r="AC440" s="308"/>
      <c r="AD440" s="308" t="s">
        <v>3549</v>
      </c>
      <c r="AE440" s="308">
        <v>50124.0</v>
      </c>
      <c r="AF440" s="308" t="s">
        <v>3550</v>
      </c>
      <c r="AG440" s="308" t="s">
        <v>2955</v>
      </c>
      <c r="AH440" s="308"/>
      <c r="AI440" s="308" t="s">
        <v>6358</v>
      </c>
      <c r="AJ440" s="308" t="s">
        <v>6360</v>
      </c>
      <c r="AK440" s="308" t="s">
        <v>6360</v>
      </c>
      <c r="AL440" s="308"/>
      <c r="AM440" s="308"/>
      <c r="AN440" s="308" t="s">
        <v>3549</v>
      </c>
      <c r="AO440" s="308">
        <v>50124.0</v>
      </c>
      <c r="AP440" s="308" t="s">
        <v>3550</v>
      </c>
      <c r="AQ440" s="308" t="s">
        <v>2955</v>
      </c>
      <c r="AR440" s="308">
        <v>3.382075468E9</v>
      </c>
      <c r="AS440" s="311"/>
      <c r="AT440" s="311"/>
      <c r="AU440" s="311"/>
      <c r="AV440" s="308" t="s">
        <v>2956</v>
      </c>
      <c r="AW440" s="308">
        <v>4.8034585051463E13</v>
      </c>
      <c r="AX440" s="310">
        <v>0.0</v>
      </c>
      <c r="AY440" s="308" t="s">
        <v>2974</v>
      </c>
      <c r="AZ440" s="308">
        <v>0.0</v>
      </c>
      <c r="BA440" s="311"/>
      <c r="BB440" s="311"/>
      <c r="BC440" s="311"/>
      <c r="BD440" s="308">
        <v>7.892011548999E12</v>
      </c>
      <c r="BE440" s="311"/>
      <c r="BF440" s="311"/>
      <c r="BG440" s="308" t="s">
        <v>2958</v>
      </c>
      <c r="BH440" s="308">
        <v>0.0</v>
      </c>
      <c r="BI440" s="308" t="s">
        <v>2959</v>
      </c>
      <c r="BJ440" s="308">
        <v>27.59</v>
      </c>
      <c r="BK440" s="311"/>
      <c r="BL440" s="311"/>
      <c r="BM440" s="311"/>
      <c r="BN440" s="311"/>
      <c r="BO440" s="311"/>
      <c r="BP440" s="311"/>
      <c r="BQ440" s="311"/>
      <c r="BR440" s="311"/>
      <c r="BS440" s="308"/>
      <c r="BT440" s="311"/>
      <c r="BU440" s="311"/>
      <c r="BV440" s="308" t="s">
        <v>3549</v>
      </c>
      <c r="BW440" s="308" t="s">
        <v>3549</v>
      </c>
      <c r="BX440" s="308" t="s">
        <v>2956</v>
      </c>
      <c r="BY440" s="311"/>
      <c r="BZ440" s="311"/>
      <c r="CA440" s="308" t="s">
        <v>2956</v>
      </c>
      <c r="CB440" s="312" t="str">
        <f t="shared" si="1"/>
        <v>27/06/2026</v>
      </c>
      <c r="CC440" s="313">
        <f t="shared" si="2"/>
        <v>2026</v>
      </c>
      <c r="CD440" s="314">
        <f t="shared" si="3"/>
        <v>6</v>
      </c>
      <c r="CE440" s="314">
        <f t="shared" si="4"/>
        <v>1</v>
      </c>
      <c r="CF440" s="314">
        <f t="shared" si="5"/>
        <v>1</v>
      </c>
      <c r="CG440" s="314">
        <f t="shared" si="6"/>
        <v>-5</v>
      </c>
      <c r="CH440" s="315">
        <f>VLOOKUP(CL440,'PRODUCT_COGS&amp;PRICE'!A:E,5,false)</f>
        <v>25</v>
      </c>
      <c r="CI440" s="315">
        <f t="shared" si="7"/>
        <v>-3.157</v>
      </c>
      <c r="CJ440" s="316">
        <f t="shared" si="8"/>
        <v>0</v>
      </c>
      <c r="CK440" s="316">
        <f t="shared" si="9"/>
        <v>17</v>
      </c>
      <c r="CL440" s="314" t="str">
        <f>VLOOKUP(R440,PRODUCT_MAP!A:B,2,FALSE)</f>
        <v>Lea_Bag_Maxi_COCCO_CHOCOLATE</v>
      </c>
      <c r="CM440" s="314" t="str">
        <f>VLOOKUP(R440,PRODUCT_MAP!A:E,3,FALSE)</f>
        <v>Lea Bag Maxi</v>
      </c>
    </row>
    <row r="441" ht="22.5" customHeight="1">
      <c r="A441" s="308" t="s">
        <v>6361</v>
      </c>
      <c r="B441" s="308" t="s">
        <v>6362</v>
      </c>
      <c r="C441" s="308" t="s">
        <v>2942</v>
      </c>
      <c r="D441" s="308" t="s">
        <v>6363</v>
      </c>
      <c r="E441" s="308" t="s">
        <v>2944</v>
      </c>
      <c r="F441" s="308" t="s">
        <v>6364</v>
      </c>
      <c r="G441" s="308" t="s">
        <v>2946</v>
      </c>
      <c r="H441" s="308" t="s">
        <v>2947</v>
      </c>
      <c r="I441" s="308">
        <v>70.0</v>
      </c>
      <c r="J441" s="308">
        <v>0.0</v>
      </c>
      <c r="K441" s="308">
        <v>12.62</v>
      </c>
      <c r="L441" s="308">
        <v>70.0</v>
      </c>
      <c r="M441" s="308"/>
      <c r="N441" s="308">
        <v>0.0</v>
      </c>
      <c r="O441" s="308" t="s">
        <v>2979</v>
      </c>
      <c r="P441" s="308" t="s">
        <v>6365</v>
      </c>
      <c r="Q441" s="310">
        <v>1.0</v>
      </c>
      <c r="R441" s="308" t="s">
        <v>672</v>
      </c>
      <c r="S441" s="308">
        <v>70.0</v>
      </c>
      <c r="T441" s="311"/>
      <c r="U441" s="308" t="s">
        <v>320</v>
      </c>
      <c r="V441" s="308" t="b">
        <v>1</v>
      </c>
      <c r="W441" s="308" t="b">
        <v>1</v>
      </c>
      <c r="X441" s="308" t="s">
        <v>2944</v>
      </c>
      <c r="Y441" s="308" t="s">
        <v>6366</v>
      </c>
      <c r="Z441" s="308" t="s">
        <v>6367</v>
      </c>
      <c r="AA441" s="308" t="s">
        <v>6367</v>
      </c>
      <c r="AB441" s="308"/>
      <c r="AC441" s="308"/>
      <c r="AD441" s="308" t="s">
        <v>23</v>
      </c>
      <c r="AE441" s="308">
        <v>20121.0</v>
      </c>
      <c r="AF441" s="308" t="s">
        <v>2954</v>
      </c>
      <c r="AG441" s="308" t="s">
        <v>2955</v>
      </c>
      <c r="AH441" s="308"/>
      <c r="AI441" s="308"/>
      <c r="AJ441" s="308"/>
      <c r="AK441" s="308"/>
      <c r="AL441" s="308"/>
      <c r="AM441" s="308"/>
      <c r="AN441" s="308"/>
      <c r="AO441" s="308"/>
      <c r="AP441" s="308"/>
      <c r="AQ441" s="308"/>
      <c r="AR441" s="308"/>
      <c r="AS441" s="311"/>
      <c r="AT441" s="311"/>
      <c r="AU441" s="311"/>
      <c r="AV441" s="308" t="s">
        <v>2956</v>
      </c>
      <c r="AW441" s="308">
        <v>4.8035532800327E13</v>
      </c>
      <c r="AX441" s="310">
        <v>0.0</v>
      </c>
      <c r="AY441" s="308" t="s">
        <v>5290</v>
      </c>
      <c r="AZ441" s="308">
        <v>0.0</v>
      </c>
      <c r="BA441" s="311"/>
      <c r="BB441" s="311"/>
      <c r="BC441" s="311"/>
      <c r="BD441" s="308">
        <v>7.892507066695E12</v>
      </c>
      <c r="BE441" s="311"/>
      <c r="BF441" s="311"/>
      <c r="BG441" s="308" t="s">
        <v>2958</v>
      </c>
      <c r="BH441" s="308">
        <v>0.0</v>
      </c>
      <c r="BI441" s="308" t="s">
        <v>2959</v>
      </c>
      <c r="BJ441" s="308">
        <v>12.62</v>
      </c>
      <c r="BK441" s="311"/>
      <c r="BL441" s="311"/>
      <c r="BM441" s="311"/>
      <c r="BN441" s="311"/>
      <c r="BO441" s="311"/>
      <c r="BP441" s="311"/>
      <c r="BQ441" s="311"/>
      <c r="BR441" s="311"/>
      <c r="BS441" s="308"/>
      <c r="BT441" s="311"/>
      <c r="BU441" s="311"/>
      <c r="BV441" s="308" t="s">
        <v>23</v>
      </c>
      <c r="BW441" s="308"/>
      <c r="BX441" s="308" t="s">
        <v>2956</v>
      </c>
      <c r="BY441" s="311"/>
      <c r="BZ441" s="311"/>
      <c r="CA441" s="308" t="s">
        <v>2956</v>
      </c>
      <c r="CB441" s="312" t="str">
        <f t="shared" si="1"/>
        <v>27/06/2026</v>
      </c>
      <c r="CC441" s="313">
        <f t="shared" si="2"/>
        <v>2026</v>
      </c>
      <c r="CD441" s="314">
        <f t="shared" si="3"/>
        <v>6</v>
      </c>
      <c r="CE441" s="314">
        <f t="shared" si="4"/>
        <v>1</v>
      </c>
      <c r="CF441" s="314">
        <f t="shared" si="5"/>
        <v>1</v>
      </c>
      <c r="CG441" s="314">
        <f t="shared" si="6"/>
        <v>-5</v>
      </c>
      <c r="CH441" s="315">
        <f>VLOOKUP(CL441,'PRODUCT_COGS&amp;PRICE'!A:E,5,false)</f>
        <v>14.58</v>
      </c>
      <c r="CI441" s="315">
        <f t="shared" si="7"/>
        <v>-1.58</v>
      </c>
      <c r="CJ441" s="316">
        <f t="shared" si="8"/>
        <v>0</v>
      </c>
      <c r="CK441" s="316">
        <f t="shared" si="9"/>
        <v>0</v>
      </c>
      <c r="CL441" s="314" t="str">
        <f>VLOOKUP(R441,PRODUCT_MAP!A:B,2,FALSE)</f>
        <v>Nina_Bag_Maxi_STRIPES_ICE_GREEN</v>
      </c>
      <c r="CM441" s="314" t="str">
        <f>VLOOKUP(R441,PRODUCT_MAP!A:E,3,FALSE)</f>
        <v>Nina Bag Maxi</v>
      </c>
    </row>
    <row r="442" ht="22.5" customHeight="1">
      <c r="A442" s="308" t="s">
        <v>6368</v>
      </c>
      <c r="B442" s="308" t="s">
        <v>6369</v>
      </c>
      <c r="C442" s="308" t="s">
        <v>2942</v>
      </c>
      <c r="D442" s="308" t="s">
        <v>6370</v>
      </c>
      <c r="E442" s="308" t="s">
        <v>3013</v>
      </c>
      <c r="F442" s="308"/>
      <c r="G442" s="308" t="s">
        <v>2946</v>
      </c>
      <c r="H442" s="308" t="s">
        <v>2947</v>
      </c>
      <c r="I442" s="308">
        <v>120.0</v>
      </c>
      <c r="J442" s="308">
        <v>0.0</v>
      </c>
      <c r="K442" s="308">
        <v>21.64</v>
      </c>
      <c r="L442" s="308">
        <v>120.0</v>
      </c>
      <c r="M442" s="308"/>
      <c r="N442" s="308">
        <v>0.0</v>
      </c>
      <c r="O442" s="308" t="s">
        <v>2948</v>
      </c>
      <c r="P442" s="308" t="s">
        <v>6371</v>
      </c>
      <c r="Q442" s="310">
        <v>1.0</v>
      </c>
      <c r="R442" s="308" t="s">
        <v>534</v>
      </c>
      <c r="S442" s="308">
        <v>120.0</v>
      </c>
      <c r="T442" s="311"/>
      <c r="U442" s="308" t="s">
        <v>293</v>
      </c>
      <c r="V442" s="308" t="b">
        <v>1</v>
      </c>
      <c r="W442" s="308" t="b">
        <v>1</v>
      </c>
      <c r="X442" s="308"/>
      <c r="Y442" s="308" t="s">
        <v>6372</v>
      </c>
      <c r="Z442" s="308" t="s">
        <v>6373</v>
      </c>
      <c r="AA442" s="308" t="s">
        <v>6373</v>
      </c>
      <c r="AB442" s="308"/>
      <c r="AC442" s="308"/>
      <c r="AD442" s="308" t="s">
        <v>6374</v>
      </c>
      <c r="AE442" s="308">
        <v>24018.0</v>
      </c>
      <c r="AF442" s="308" t="s">
        <v>3528</v>
      </c>
      <c r="AG442" s="308" t="s">
        <v>2955</v>
      </c>
      <c r="AH442" s="308"/>
      <c r="AI442" s="308" t="s">
        <v>6372</v>
      </c>
      <c r="AJ442" s="308" t="s">
        <v>6373</v>
      </c>
      <c r="AK442" s="308" t="s">
        <v>6373</v>
      </c>
      <c r="AL442" s="308"/>
      <c r="AM442" s="308"/>
      <c r="AN442" s="308" t="s">
        <v>6374</v>
      </c>
      <c r="AO442" s="308">
        <v>24018.0</v>
      </c>
      <c r="AP442" s="308" t="s">
        <v>3528</v>
      </c>
      <c r="AQ442" s="308" t="s">
        <v>2955</v>
      </c>
      <c r="AR442" s="308">
        <v>3.93663940122E11</v>
      </c>
      <c r="AS442" s="311"/>
      <c r="AT442" s="311"/>
      <c r="AU442" s="311"/>
      <c r="AV442" s="308" t="s">
        <v>2956</v>
      </c>
      <c r="AW442" s="308">
        <v>4.8036031791431E13</v>
      </c>
      <c r="AX442" s="310">
        <v>0.0</v>
      </c>
      <c r="AY442" s="308" t="s">
        <v>2974</v>
      </c>
      <c r="AZ442" s="308">
        <v>0.0</v>
      </c>
      <c r="BA442" s="311"/>
      <c r="BB442" s="311"/>
      <c r="BC442" s="311"/>
      <c r="BD442" s="308">
        <v>7.892745257287E12</v>
      </c>
      <c r="BE442" s="311"/>
      <c r="BF442" s="311"/>
      <c r="BG442" s="308" t="s">
        <v>2958</v>
      </c>
      <c r="BH442" s="308">
        <v>0.0</v>
      </c>
      <c r="BI442" s="308" t="s">
        <v>2959</v>
      </c>
      <c r="BJ442" s="308">
        <v>21.64</v>
      </c>
      <c r="BK442" s="311"/>
      <c r="BL442" s="311"/>
      <c r="BM442" s="311"/>
      <c r="BN442" s="311"/>
      <c r="BO442" s="311"/>
      <c r="BP442" s="311"/>
      <c r="BQ442" s="311"/>
      <c r="BR442" s="311"/>
      <c r="BS442" s="308"/>
      <c r="BT442" s="311"/>
      <c r="BU442" s="311"/>
      <c r="BV442" s="308" t="s">
        <v>3533</v>
      </c>
      <c r="BW442" s="308" t="s">
        <v>3533</v>
      </c>
      <c r="BX442" s="308" t="s">
        <v>2956</v>
      </c>
      <c r="BY442" s="311"/>
      <c r="BZ442" s="311"/>
      <c r="CA442" s="308" t="s">
        <v>2956</v>
      </c>
      <c r="CB442" s="312" t="str">
        <f t="shared" si="1"/>
        <v>27/06/2026</v>
      </c>
      <c r="CC442" s="313">
        <f t="shared" si="2"/>
        <v>2026</v>
      </c>
      <c r="CD442" s="314">
        <f t="shared" si="3"/>
        <v>6</v>
      </c>
      <c r="CE442" s="314">
        <f t="shared" si="4"/>
        <v>1</v>
      </c>
      <c r="CF442" s="314">
        <f t="shared" si="5"/>
        <v>1</v>
      </c>
      <c r="CG442" s="314">
        <f t="shared" si="6"/>
        <v>-5</v>
      </c>
      <c r="CH442" s="315">
        <f>VLOOKUP(CL442,'PRODUCT_COGS&amp;PRICE'!A:E,5,false)</f>
        <v>20</v>
      </c>
      <c r="CI442" s="315">
        <f t="shared" si="7"/>
        <v>-2.53</v>
      </c>
      <c r="CJ442" s="316">
        <f t="shared" si="8"/>
        <v>0</v>
      </c>
      <c r="CK442" s="316">
        <f t="shared" si="9"/>
        <v>0</v>
      </c>
      <c r="CL442" s="314" t="str">
        <f>VLOOKUP(R442,PRODUCT_MAP!A:B,2,FALSE)</f>
        <v>Lea_Bag_COCCO_PURPLE</v>
      </c>
      <c r="CM442" s="314" t="str">
        <f>VLOOKUP(R442,PRODUCT_MAP!A:E,3,FALSE)</f>
        <v>Lea Bag</v>
      </c>
    </row>
    <row r="443" ht="22.5" customHeight="1">
      <c r="A443" s="308" t="s">
        <v>6375</v>
      </c>
      <c r="B443" s="308" t="s">
        <v>6376</v>
      </c>
      <c r="C443" s="308" t="s">
        <v>2942</v>
      </c>
      <c r="D443" s="308" t="s">
        <v>6377</v>
      </c>
      <c r="E443" s="308" t="s">
        <v>3013</v>
      </c>
      <c r="F443" s="308"/>
      <c r="G443" s="308" t="s">
        <v>2946</v>
      </c>
      <c r="H443" s="308" t="s">
        <v>2947</v>
      </c>
      <c r="I443" s="308">
        <v>135.0</v>
      </c>
      <c r="J443" s="308">
        <v>0.0</v>
      </c>
      <c r="K443" s="308">
        <v>24.34</v>
      </c>
      <c r="L443" s="308">
        <v>135.0</v>
      </c>
      <c r="M443" s="308" t="s">
        <v>3094</v>
      </c>
      <c r="N443" s="308">
        <v>15.0</v>
      </c>
      <c r="O443" s="308" t="s">
        <v>2948</v>
      </c>
      <c r="P443" s="308" t="s">
        <v>6378</v>
      </c>
      <c r="Q443" s="310">
        <v>1.0</v>
      </c>
      <c r="R443" s="308" t="s">
        <v>574</v>
      </c>
      <c r="S443" s="308">
        <v>150.0</v>
      </c>
      <c r="T443" s="311"/>
      <c r="U443" s="308" t="s">
        <v>181</v>
      </c>
      <c r="V443" s="308" t="b">
        <v>1</v>
      </c>
      <c r="W443" s="308" t="b">
        <v>1</v>
      </c>
      <c r="X443" s="308"/>
      <c r="Y443" s="308" t="s">
        <v>6379</v>
      </c>
      <c r="Z443" s="308" t="s">
        <v>6380</v>
      </c>
      <c r="AA443" s="308" t="s">
        <v>6380</v>
      </c>
      <c r="AB443" s="308"/>
      <c r="AC443" s="308"/>
      <c r="AD443" s="308" t="s">
        <v>3081</v>
      </c>
      <c r="AE443" s="308">
        <v>145.0</v>
      </c>
      <c r="AF443" s="308" t="s">
        <v>3082</v>
      </c>
      <c r="AG443" s="308" t="s">
        <v>2955</v>
      </c>
      <c r="AH443" s="308">
        <v>3.9256042E9</v>
      </c>
      <c r="AI443" s="308" t="s">
        <v>6379</v>
      </c>
      <c r="AJ443" s="308" t="s">
        <v>6380</v>
      </c>
      <c r="AK443" s="308" t="s">
        <v>6380</v>
      </c>
      <c r="AL443" s="308"/>
      <c r="AM443" s="308"/>
      <c r="AN443" s="308" t="s">
        <v>3081</v>
      </c>
      <c r="AO443" s="308">
        <v>145.0</v>
      </c>
      <c r="AP443" s="308" t="s">
        <v>3082</v>
      </c>
      <c r="AQ443" s="308" t="s">
        <v>2955</v>
      </c>
      <c r="AR443" s="308">
        <v>3.9256042E9</v>
      </c>
      <c r="AS443" s="311"/>
      <c r="AT443" s="311"/>
      <c r="AU443" s="311"/>
      <c r="AV443" s="308" t="s">
        <v>2956</v>
      </c>
      <c r="AW443" s="308">
        <v>4.8036005937479E13</v>
      </c>
      <c r="AX443" s="310">
        <v>0.0</v>
      </c>
      <c r="AY443" s="308" t="s">
        <v>2974</v>
      </c>
      <c r="AZ443" s="308">
        <v>0.0</v>
      </c>
      <c r="BA443" s="311"/>
      <c r="BB443" s="311"/>
      <c r="BC443" s="311"/>
      <c r="BD443" s="308">
        <v>7.892940718407E12</v>
      </c>
      <c r="BE443" s="311"/>
      <c r="BF443" s="311"/>
      <c r="BG443" s="308" t="s">
        <v>2958</v>
      </c>
      <c r="BH443" s="308">
        <v>0.0</v>
      </c>
      <c r="BI443" s="308" t="s">
        <v>2959</v>
      </c>
      <c r="BJ443" s="308">
        <v>24.34</v>
      </c>
      <c r="BK443" s="311"/>
      <c r="BL443" s="311"/>
      <c r="BM443" s="311"/>
      <c r="BN443" s="311"/>
      <c r="BO443" s="311"/>
      <c r="BP443" s="311"/>
      <c r="BQ443" s="311"/>
      <c r="BR443" s="311"/>
      <c r="BS443" s="308"/>
      <c r="BT443" s="311"/>
      <c r="BU443" s="311"/>
      <c r="BV443" s="308" t="s">
        <v>3081</v>
      </c>
      <c r="BW443" s="308" t="s">
        <v>3081</v>
      </c>
      <c r="BX443" s="308" t="s">
        <v>2956</v>
      </c>
      <c r="BY443" s="311"/>
      <c r="BZ443" s="311"/>
      <c r="CA443" s="308" t="s">
        <v>2956</v>
      </c>
      <c r="CB443" s="312" t="str">
        <f t="shared" si="1"/>
        <v>27/06/2026</v>
      </c>
      <c r="CC443" s="313">
        <f t="shared" si="2"/>
        <v>2026</v>
      </c>
      <c r="CD443" s="314">
        <f t="shared" si="3"/>
        <v>6</v>
      </c>
      <c r="CE443" s="314">
        <f t="shared" si="4"/>
        <v>1</v>
      </c>
      <c r="CF443" s="314">
        <f t="shared" si="5"/>
        <v>1</v>
      </c>
      <c r="CG443" s="314">
        <f t="shared" si="6"/>
        <v>-5</v>
      </c>
      <c r="CH443" s="315">
        <f>VLOOKUP(CL443,'PRODUCT_COGS&amp;PRICE'!A:E,5,false)</f>
        <v>30.33</v>
      </c>
      <c r="CI443" s="315">
        <f t="shared" si="7"/>
        <v>-2.815</v>
      </c>
      <c r="CJ443" s="316">
        <f t="shared" si="8"/>
        <v>0</v>
      </c>
      <c r="CK443" s="316">
        <f t="shared" si="9"/>
        <v>15</v>
      </c>
      <c r="CL443" s="314" t="str">
        <f>VLOOKUP(R443,PRODUCT_MAP!A:B,2,FALSE)</f>
        <v>Lea_Bag_LEOPARDO_SAVANA</v>
      </c>
      <c r="CM443" s="314" t="str">
        <f>VLOOKUP(R443,PRODUCT_MAP!A:E,3,FALSE)</f>
        <v>Lea Bag</v>
      </c>
    </row>
    <row r="444" ht="22.5" customHeight="1">
      <c r="A444" s="308" t="s">
        <v>6381</v>
      </c>
      <c r="B444" s="308" t="s">
        <v>6382</v>
      </c>
      <c r="C444" s="308" t="s">
        <v>2942</v>
      </c>
      <c r="D444" s="308" t="s">
        <v>6383</v>
      </c>
      <c r="E444" s="308" t="s">
        <v>3013</v>
      </c>
      <c r="F444" s="308"/>
      <c r="G444" s="308" t="s">
        <v>2946</v>
      </c>
      <c r="H444" s="308" t="s">
        <v>2947</v>
      </c>
      <c r="I444" s="308">
        <v>72.0</v>
      </c>
      <c r="J444" s="308">
        <v>0.0</v>
      </c>
      <c r="K444" s="308">
        <v>12.98</v>
      </c>
      <c r="L444" s="308">
        <v>72.0</v>
      </c>
      <c r="M444" s="308" t="s">
        <v>3094</v>
      </c>
      <c r="N444" s="308">
        <v>8.0</v>
      </c>
      <c r="O444" s="308" t="s">
        <v>2979</v>
      </c>
      <c r="P444" s="308" t="s">
        <v>6384</v>
      </c>
      <c r="Q444" s="310">
        <v>1.0</v>
      </c>
      <c r="R444" s="308" t="s">
        <v>6385</v>
      </c>
      <c r="S444" s="308">
        <v>80.0</v>
      </c>
      <c r="T444" s="311"/>
      <c r="U444" s="308" t="s">
        <v>6386</v>
      </c>
      <c r="V444" s="308" t="b">
        <v>1</v>
      </c>
      <c r="W444" s="308" t="b">
        <v>1</v>
      </c>
      <c r="X444" s="308"/>
      <c r="Y444" s="308" t="s">
        <v>6387</v>
      </c>
      <c r="Z444" s="308" t="s">
        <v>6388</v>
      </c>
      <c r="AA444" s="308" t="s">
        <v>6388</v>
      </c>
      <c r="AB444" s="308"/>
      <c r="AC444" s="308"/>
      <c r="AD444" s="308" t="s">
        <v>6389</v>
      </c>
      <c r="AE444" s="308">
        <v>23804.0</v>
      </c>
      <c r="AF444" s="308" t="s">
        <v>5827</v>
      </c>
      <c r="AG444" s="308" t="s">
        <v>2955</v>
      </c>
      <c r="AH444" s="308"/>
      <c r="AI444" s="308"/>
      <c r="AJ444" s="308"/>
      <c r="AK444" s="308"/>
      <c r="AL444" s="308"/>
      <c r="AM444" s="308"/>
      <c r="AN444" s="308"/>
      <c r="AO444" s="308"/>
      <c r="AP444" s="308"/>
      <c r="AQ444" s="308"/>
      <c r="AR444" s="308"/>
      <c r="AS444" s="311"/>
      <c r="AT444" s="311"/>
      <c r="AU444" s="311"/>
      <c r="AV444" s="308" t="s">
        <v>3009</v>
      </c>
      <c r="AW444" s="308">
        <v>4.8036485693767E13</v>
      </c>
      <c r="AX444" s="310">
        <v>0.0</v>
      </c>
      <c r="AY444" s="308" t="s">
        <v>2974</v>
      </c>
      <c r="AZ444" s="308">
        <v>0.0</v>
      </c>
      <c r="BA444" s="311"/>
      <c r="BB444" s="311"/>
      <c r="BC444" s="311"/>
      <c r="BD444" s="308">
        <v>7.892953170247E12</v>
      </c>
      <c r="BE444" s="311"/>
      <c r="BF444" s="311"/>
      <c r="BG444" s="308" t="s">
        <v>2958</v>
      </c>
      <c r="BH444" s="308">
        <v>0.0</v>
      </c>
      <c r="BI444" s="308" t="s">
        <v>2959</v>
      </c>
      <c r="BJ444" s="308">
        <v>12.98</v>
      </c>
      <c r="BK444" s="311"/>
      <c r="BL444" s="311"/>
      <c r="BM444" s="311"/>
      <c r="BN444" s="311"/>
      <c r="BO444" s="311"/>
      <c r="BP444" s="311"/>
      <c r="BQ444" s="311"/>
      <c r="BR444" s="311"/>
      <c r="BS444" s="308"/>
      <c r="BT444" s="311"/>
      <c r="BU444" s="311"/>
      <c r="BV444" s="308" t="s">
        <v>5826</v>
      </c>
      <c r="BW444" s="308"/>
      <c r="BX444" s="308" t="s">
        <v>3009</v>
      </c>
      <c r="BY444" s="311"/>
      <c r="BZ444" s="311"/>
      <c r="CA444" s="308" t="s">
        <v>3009</v>
      </c>
      <c r="CB444" s="312" t="str">
        <f t="shared" si="1"/>
        <v>27/06/2026</v>
      </c>
      <c r="CC444" s="313">
        <f t="shared" si="2"/>
        <v>2026</v>
      </c>
      <c r="CD444" s="314">
        <f t="shared" si="3"/>
        <v>6</v>
      </c>
      <c r="CE444" s="314">
        <f t="shared" si="4"/>
        <v>1</v>
      </c>
      <c r="CF444" s="314">
        <f t="shared" si="5"/>
        <v>1</v>
      </c>
      <c r="CG444" s="314">
        <f t="shared" si="6"/>
        <v>-5</v>
      </c>
      <c r="CH444" s="315">
        <f>VLOOKUP(CL444,'PRODUCT_COGS&amp;PRICE'!A:E,5,false)</f>
        <v>19</v>
      </c>
      <c r="CI444" s="315">
        <f t="shared" si="7"/>
        <v>-2.8628</v>
      </c>
      <c r="CJ444" s="316">
        <f t="shared" si="8"/>
        <v>0</v>
      </c>
      <c r="CK444" s="316">
        <f t="shared" si="9"/>
        <v>8</v>
      </c>
      <c r="CL444" s="314" t="str">
        <f>VLOOKUP(R444,PRODUCT_MAP!A:B,2,FALSE)</f>
        <v>Agata_Bag_ROSE_BUTTER_GREEN</v>
      </c>
      <c r="CM444" s="314" t="str">
        <f>VLOOKUP(R444,PRODUCT_MAP!A:E,3,FALSE)</f>
        <v>Agata Bag</v>
      </c>
    </row>
    <row r="445" ht="22.5" customHeight="1">
      <c r="A445" s="308" t="s">
        <v>6390</v>
      </c>
      <c r="B445" s="308" t="s">
        <v>6391</v>
      </c>
      <c r="C445" s="308" t="s">
        <v>2942</v>
      </c>
      <c r="D445" s="308" t="s">
        <v>6392</v>
      </c>
      <c r="E445" s="308" t="s">
        <v>3013</v>
      </c>
      <c r="F445" s="308"/>
      <c r="G445" s="308" t="s">
        <v>2946</v>
      </c>
      <c r="H445" s="308" t="s">
        <v>2947</v>
      </c>
      <c r="I445" s="308">
        <v>108.0</v>
      </c>
      <c r="J445" s="308">
        <v>0.0</v>
      </c>
      <c r="K445" s="308">
        <v>19.48</v>
      </c>
      <c r="L445" s="308">
        <v>108.0</v>
      </c>
      <c r="M445" s="308" t="s">
        <v>3094</v>
      </c>
      <c r="N445" s="308">
        <v>12.0</v>
      </c>
      <c r="O445" s="308" t="s">
        <v>2948</v>
      </c>
      <c r="P445" s="308" t="s">
        <v>6393</v>
      </c>
      <c r="Q445" s="310">
        <v>1.0</v>
      </c>
      <c r="R445" s="308" t="s">
        <v>569</v>
      </c>
      <c r="S445" s="308">
        <v>120.0</v>
      </c>
      <c r="T445" s="311"/>
      <c r="U445" s="308" t="s">
        <v>3375</v>
      </c>
      <c r="V445" s="308" t="b">
        <v>1</v>
      </c>
      <c r="W445" s="308" t="b">
        <v>1</v>
      </c>
      <c r="X445" s="308"/>
      <c r="Y445" s="308" t="s">
        <v>6394</v>
      </c>
      <c r="Z445" s="308" t="s">
        <v>6395</v>
      </c>
      <c r="AA445" s="308" t="s">
        <v>6395</v>
      </c>
      <c r="AB445" s="308"/>
      <c r="AC445" s="308"/>
      <c r="AD445" s="308" t="s">
        <v>3142</v>
      </c>
      <c r="AE445" s="308">
        <v>39100.0</v>
      </c>
      <c r="AF445" s="308" t="s">
        <v>3141</v>
      </c>
      <c r="AG445" s="308" t="s">
        <v>2955</v>
      </c>
      <c r="AH445" s="308"/>
      <c r="AI445" s="308" t="s">
        <v>6394</v>
      </c>
      <c r="AJ445" s="308" t="s">
        <v>6396</v>
      </c>
      <c r="AK445" s="308" t="s">
        <v>6397</v>
      </c>
      <c r="AL445" s="308" t="s">
        <v>6398</v>
      </c>
      <c r="AM445" s="308"/>
      <c r="AN445" s="308" t="s">
        <v>3655</v>
      </c>
      <c r="AO445" s="308">
        <v>10124.0</v>
      </c>
      <c r="AP445" s="308" t="s">
        <v>3654</v>
      </c>
      <c r="AQ445" s="308" t="s">
        <v>2955</v>
      </c>
      <c r="AR445" s="308">
        <v>3.473953346E9</v>
      </c>
      <c r="AS445" s="311"/>
      <c r="AT445" s="311"/>
      <c r="AU445" s="311"/>
      <c r="AV445" s="308" t="s">
        <v>2956</v>
      </c>
      <c r="AW445" s="308">
        <v>4.8038316474695E13</v>
      </c>
      <c r="AX445" s="310">
        <v>0.0</v>
      </c>
      <c r="AY445" s="308" t="s">
        <v>2974</v>
      </c>
      <c r="AZ445" s="308">
        <v>0.0</v>
      </c>
      <c r="BA445" s="311"/>
      <c r="BB445" s="311"/>
      <c r="BC445" s="311"/>
      <c r="BD445" s="308">
        <v>7.893715026247E12</v>
      </c>
      <c r="BE445" s="311"/>
      <c r="BF445" s="311"/>
      <c r="BG445" s="308" t="s">
        <v>2958</v>
      </c>
      <c r="BH445" s="308">
        <v>0.0</v>
      </c>
      <c r="BI445" s="308" t="s">
        <v>2959</v>
      </c>
      <c r="BJ445" s="308">
        <v>19.48</v>
      </c>
      <c r="BK445" s="311"/>
      <c r="BL445" s="311"/>
      <c r="BM445" s="311"/>
      <c r="BN445" s="311"/>
      <c r="BO445" s="311"/>
      <c r="BP445" s="311"/>
      <c r="BQ445" s="311"/>
      <c r="BR445" s="311"/>
      <c r="BS445" s="308"/>
      <c r="BT445" s="311"/>
      <c r="BU445" s="311"/>
      <c r="BV445" s="308" t="s">
        <v>3142</v>
      </c>
      <c r="BW445" s="308" t="s">
        <v>3655</v>
      </c>
      <c r="BX445" s="308" t="s">
        <v>2956</v>
      </c>
      <c r="BY445" s="311"/>
      <c r="BZ445" s="311"/>
      <c r="CA445" s="308" t="s">
        <v>2956</v>
      </c>
      <c r="CB445" s="312" t="str">
        <f t="shared" si="1"/>
        <v>28/06/2026</v>
      </c>
      <c r="CC445" s="313">
        <f t="shared" si="2"/>
        <v>2026</v>
      </c>
      <c r="CD445" s="314">
        <f t="shared" si="3"/>
        <v>6</v>
      </c>
      <c r="CE445" s="314">
        <f t="shared" si="4"/>
        <v>1</v>
      </c>
      <c r="CF445" s="314">
        <f t="shared" si="5"/>
        <v>1</v>
      </c>
      <c r="CG445" s="314">
        <f t="shared" si="6"/>
        <v>-5</v>
      </c>
      <c r="CH445" s="315">
        <f>VLOOKUP(CL445,'PRODUCT_COGS&amp;PRICE'!A:E,5,false)</f>
        <v>20</v>
      </c>
      <c r="CI445" s="315">
        <f t="shared" si="7"/>
        <v>-2.302</v>
      </c>
      <c r="CJ445" s="316">
        <f t="shared" si="8"/>
        <v>0</v>
      </c>
      <c r="CK445" s="316">
        <f t="shared" si="9"/>
        <v>12</v>
      </c>
      <c r="CL445" s="314" t="str">
        <f>VLOOKUP(R445,PRODUCT_MAP!A:B,2,FALSE)</f>
        <v>Lea_Bag_RED_PATENT</v>
      </c>
      <c r="CM445" s="314" t="str">
        <f>VLOOKUP(R445,PRODUCT_MAP!A:E,3,FALSE)</f>
        <v>Lea Bag</v>
      </c>
    </row>
    <row r="446" ht="22.5" customHeight="1">
      <c r="A446" s="308" t="s">
        <v>6399</v>
      </c>
      <c r="B446" s="308" t="s">
        <v>6400</v>
      </c>
      <c r="C446" s="308" t="s">
        <v>2942</v>
      </c>
      <c r="D446" s="308" t="s">
        <v>6401</v>
      </c>
      <c r="E446" s="308" t="s">
        <v>2944</v>
      </c>
      <c r="F446" s="308" t="s">
        <v>6402</v>
      </c>
      <c r="G446" s="308" t="s">
        <v>2946</v>
      </c>
      <c r="H446" s="308" t="s">
        <v>2947</v>
      </c>
      <c r="I446" s="308">
        <v>108.0</v>
      </c>
      <c r="J446" s="308">
        <v>0.0</v>
      </c>
      <c r="K446" s="308">
        <v>19.48</v>
      </c>
      <c r="L446" s="308">
        <v>108.0</v>
      </c>
      <c r="M446" s="308" t="s">
        <v>3094</v>
      </c>
      <c r="N446" s="308">
        <v>12.0</v>
      </c>
      <c r="O446" s="308" t="s">
        <v>2979</v>
      </c>
      <c r="P446" s="308" t="s">
        <v>6403</v>
      </c>
      <c r="Q446" s="310">
        <v>1.0</v>
      </c>
      <c r="R446" s="308" t="s">
        <v>509</v>
      </c>
      <c r="S446" s="308">
        <v>120.0</v>
      </c>
      <c r="T446" s="311"/>
      <c r="U446" s="308" t="s">
        <v>161</v>
      </c>
      <c r="V446" s="308" t="b">
        <v>1</v>
      </c>
      <c r="W446" s="308" t="b">
        <v>1</v>
      </c>
      <c r="X446" s="308" t="s">
        <v>2944</v>
      </c>
      <c r="Y446" s="308" t="s">
        <v>6404</v>
      </c>
      <c r="Z446" s="308" t="s">
        <v>6405</v>
      </c>
      <c r="AA446" s="308" t="s">
        <v>6406</v>
      </c>
      <c r="AB446" s="308">
        <v>7.0</v>
      </c>
      <c r="AC446" s="308"/>
      <c r="AD446" s="308" t="s">
        <v>23</v>
      </c>
      <c r="AE446" s="308">
        <v>20148.0</v>
      </c>
      <c r="AF446" s="308" t="s">
        <v>2954</v>
      </c>
      <c r="AG446" s="308" t="s">
        <v>2955</v>
      </c>
      <c r="AH446" s="308"/>
      <c r="AI446" s="308"/>
      <c r="AJ446" s="308"/>
      <c r="AK446" s="308"/>
      <c r="AL446" s="308"/>
      <c r="AM446" s="308"/>
      <c r="AN446" s="308"/>
      <c r="AO446" s="308"/>
      <c r="AP446" s="308"/>
      <c r="AQ446" s="308"/>
      <c r="AR446" s="308"/>
      <c r="AS446" s="311"/>
      <c r="AT446" s="311"/>
      <c r="AU446" s="311"/>
      <c r="AV446" s="308" t="s">
        <v>3009</v>
      </c>
      <c r="AW446" s="308">
        <v>4.8038443680071E13</v>
      </c>
      <c r="AX446" s="310">
        <v>0.0</v>
      </c>
      <c r="AY446" s="308" t="s">
        <v>2974</v>
      </c>
      <c r="AZ446" s="308">
        <v>0.0</v>
      </c>
      <c r="BA446" s="311"/>
      <c r="BB446" s="311"/>
      <c r="BC446" s="311"/>
      <c r="BD446" s="308">
        <v>7.893782692167E12</v>
      </c>
      <c r="BE446" s="311"/>
      <c r="BF446" s="311"/>
      <c r="BG446" s="308" t="s">
        <v>2958</v>
      </c>
      <c r="BH446" s="308">
        <v>0.0</v>
      </c>
      <c r="BI446" s="308" t="s">
        <v>2959</v>
      </c>
      <c r="BJ446" s="308">
        <v>19.48</v>
      </c>
      <c r="BK446" s="311"/>
      <c r="BL446" s="311"/>
      <c r="BM446" s="311"/>
      <c r="BN446" s="311"/>
      <c r="BO446" s="311"/>
      <c r="BP446" s="311"/>
      <c r="BQ446" s="311"/>
      <c r="BR446" s="311"/>
      <c r="BS446" s="308"/>
      <c r="BT446" s="311"/>
      <c r="BU446" s="311"/>
      <c r="BV446" s="308" t="s">
        <v>23</v>
      </c>
      <c r="BW446" s="308"/>
      <c r="BX446" s="308" t="s">
        <v>3009</v>
      </c>
      <c r="BY446" s="311"/>
      <c r="BZ446" s="311"/>
      <c r="CA446" s="308" t="s">
        <v>3009</v>
      </c>
      <c r="CB446" s="312" t="str">
        <f t="shared" si="1"/>
        <v>28/06/2026</v>
      </c>
      <c r="CC446" s="313">
        <f t="shared" si="2"/>
        <v>2026</v>
      </c>
      <c r="CD446" s="314">
        <f t="shared" si="3"/>
        <v>6</v>
      </c>
      <c r="CE446" s="314">
        <f t="shared" si="4"/>
        <v>1</v>
      </c>
      <c r="CF446" s="314">
        <f t="shared" si="5"/>
        <v>1</v>
      </c>
      <c r="CG446" s="314">
        <f t="shared" si="6"/>
        <v>-5</v>
      </c>
      <c r="CH446" s="315">
        <f>VLOOKUP(CL446,'PRODUCT_COGS&amp;PRICE'!A:E,5,false)</f>
        <v>30.33</v>
      </c>
      <c r="CI446" s="315">
        <f t="shared" si="7"/>
        <v>-4.1192</v>
      </c>
      <c r="CJ446" s="316">
        <f t="shared" si="8"/>
        <v>0</v>
      </c>
      <c r="CK446" s="316">
        <f t="shared" si="9"/>
        <v>12</v>
      </c>
      <c r="CL446" s="314" t="str">
        <f>VLOOKUP(R446,PRODUCT_MAP!A:B,2,FALSE)</f>
        <v>Lea_Bag_COCCO_BLACK</v>
      </c>
      <c r="CM446" s="314" t="str">
        <f>VLOOKUP(R446,PRODUCT_MAP!A:E,3,FALSE)</f>
        <v>Lea Bag</v>
      </c>
    </row>
    <row r="447" ht="22.5" customHeight="1">
      <c r="A447" s="308" t="s">
        <v>6407</v>
      </c>
      <c r="B447" s="308" t="s">
        <v>6408</v>
      </c>
      <c r="C447" s="308" t="s">
        <v>2942</v>
      </c>
      <c r="D447" s="308" t="s">
        <v>6409</v>
      </c>
      <c r="E447" s="308" t="s">
        <v>3013</v>
      </c>
      <c r="F447" s="308"/>
      <c r="G447" s="308" t="s">
        <v>2946</v>
      </c>
      <c r="H447" s="308" t="s">
        <v>2947</v>
      </c>
      <c r="I447" s="308">
        <v>80.0</v>
      </c>
      <c r="J447" s="308">
        <v>3.9</v>
      </c>
      <c r="K447" s="308">
        <v>15.13</v>
      </c>
      <c r="L447" s="308">
        <v>83.9</v>
      </c>
      <c r="M447" s="308"/>
      <c r="N447" s="308">
        <v>0.0</v>
      </c>
      <c r="O447" s="308" t="s">
        <v>2948</v>
      </c>
      <c r="P447" s="308" t="s">
        <v>6410</v>
      </c>
      <c r="Q447" s="310">
        <v>1.0</v>
      </c>
      <c r="R447" s="308" t="s">
        <v>4039</v>
      </c>
      <c r="S447" s="308">
        <v>80.0</v>
      </c>
      <c r="T447" s="311"/>
      <c r="U447" s="308" t="s">
        <v>5493</v>
      </c>
      <c r="V447" s="308" t="b">
        <v>1</v>
      </c>
      <c r="W447" s="308" t="b">
        <v>1</v>
      </c>
      <c r="X447" s="308"/>
      <c r="Y447" s="308" t="s">
        <v>6411</v>
      </c>
      <c r="Z447" s="308" t="s">
        <v>6412</v>
      </c>
      <c r="AA447" s="308" t="s">
        <v>6412</v>
      </c>
      <c r="AB447" s="308"/>
      <c r="AC447" s="308"/>
      <c r="AD447" s="308" t="s">
        <v>3955</v>
      </c>
      <c r="AE447" s="308">
        <v>33100.0</v>
      </c>
      <c r="AF447" s="308" t="s">
        <v>3951</v>
      </c>
      <c r="AG447" s="308" t="s">
        <v>2955</v>
      </c>
      <c r="AH447" s="308">
        <v>3.42742326E9</v>
      </c>
      <c r="AI447" s="308" t="s">
        <v>6411</v>
      </c>
      <c r="AJ447" s="308" t="s">
        <v>6412</v>
      </c>
      <c r="AK447" s="308" t="s">
        <v>6412</v>
      </c>
      <c r="AL447" s="308"/>
      <c r="AM447" s="308"/>
      <c r="AN447" s="308" t="s">
        <v>3955</v>
      </c>
      <c r="AO447" s="308">
        <v>33100.0</v>
      </c>
      <c r="AP447" s="308" t="s">
        <v>3951</v>
      </c>
      <c r="AQ447" s="308" t="s">
        <v>2955</v>
      </c>
      <c r="AR447" s="308">
        <v>3.42742326E9</v>
      </c>
      <c r="AS447" s="311"/>
      <c r="AT447" s="311"/>
      <c r="AU447" s="311"/>
      <c r="AV447" s="308" t="s">
        <v>2956</v>
      </c>
      <c r="AW447" s="308">
        <v>4.8038594740551E13</v>
      </c>
      <c r="AX447" s="310">
        <v>0.0</v>
      </c>
      <c r="AY447" s="308" t="s">
        <v>2974</v>
      </c>
      <c r="AZ447" s="308">
        <v>0.0</v>
      </c>
      <c r="BA447" s="311"/>
      <c r="BB447" s="311"/>
      <c r="BC447" s="311"/>
      <c r="BD447" s="308">
        <v>7.893861564743E12</v>
      </c>
      <c r="BE447" s="311"/>
      <c r="BF447" s="311"/>
      <c r="BG447" s="308" t="s">
        <v>2958</v>
      </c>
      <c r="BH447" s="308">
        <v>0.0</v>
      </c>
      <c r="BI447" s="308" t="s">
        <v>2959</v>
      </c>
      <c r="BJ447" s="308">
        <v>14.43</v>
      </c>
      <c r="BK447" s="311"/>
      <c r="BL447" s="311"/>
      <c r="BM447" s="311"/>
      <c r="BN447" s="311"/>
      <c r="BO447" s="311"/>
      <c r="BP447" s="311"/>
      <c r="BQ447" s="311"/>
      <c r="BR447" s="311"/>
      <c r="BS447" s="308"/>
      <c r="BT447" s="311"/>
      <c r="BU447" s="311"/>
      <c r="BV447" s="308" t="s">
        <v>3955</v>
      </c>
      <c r="BW447" s="308" t="s">
        <v>3955</v>
      </c>
      <c r="BX447" s="308" t="s">
        <v>2956</v>
      </c>
      <c r="BY447" s="311"/>
      <c r="BZ447" s="311"/>
      <c r="CA447" s="308" t="s">
        <v>2956</v>
      </c>
      <c r="CB447" s="312" t="str">
        <f t="shared" si="1"/>
        <v>28/06/2026</v>
      </c>
      <c r="CC447" s="313">
        <f t="shared" si="2"/>
        <v>2026</v>
      </c>
      <c r="CD447" s="314">
        <f t="shared" si="3"/>
        <v>6</v>
      </c>
      <c r="CE447" s="314">
        <f t="shared" si="4"/>
        <v>1</v>
      </c>
      <c r="CF447" s="314">
        <f t="shared" si="5"/>
        <v>1</v>
      </c>
      <c r="CG447" s="314">
        <f t="shared" si="6"/>
        <v>0</v>
      </c>
      <c r="CH447" s="315">
        <f>VLOOKUP(CL447,'PRODUCT_COGS&amp;PRICE'!A:E,5,false)</f>
        <v>19</v>
      </c>
      <c r="CI447" s="315">
        <f t="shared" si="7"/>
        <v>-1.8441</v>
      </c>
      <c r="CJ447" s="316">
        <f t="shared" si="8"/>
        <v>0</v>
      </c>
      <c r="CK447" s="316">
        <f t="shared" si="9"/>
        <v>0</v>
      </c>
      <c r="CL447" s="314" t="str">
        <f>VLOOKUP(R447,PRODUCT_MAP!A:B,2,FALSE)</f>
        <v>Agata_Bag_FLORAL_DUSTY_PINK_EMBROIDERY</v>
      </c>
      <c r="CM447" s="314" t="str">
        <f>VLOOKUP(R447,PRODUCT_MAP!A:E,3,FALSE)</f>
        <v>Agata Bag</v>
      </c>
    </row>
    <row r="448" ht="22.5" customHeight="1">
      <c r="A448" s="308" t="s">
        <v>6413</v>
      </c>
      <c r="B448" s="308" t="s">
        <v>6414</v>
      </c>
      <c r="C448" s="308" t="s">
        <v>2942</v>
      </c>
      <c r="D448" s="308" t="s">
        <v>6415</v>
      </c>
      <c r="E448" s="308" t="s">
        <v>3013</v>
      </c>
      <c r="F448" s="308"/>
      <c r="G448" s="308" t="s">
        <v>2946</v>
      </c>
      <c r="H448" s="308" t="s">
        <v>2947</v>
      </c>
      <c r="I448" s="308">
        <v>90.0</v>
      </c>
      <c r="J448" s="308">
        <v>3.9</v>
      </c>
      <c r="K448" s="308">
        <v>16.93</v>
      </c>
      <c r="L448" s="308">
        <v>93.9</v>
      </c>
      <c r="M448" s="308"/>
      <c r="N448" s="308">
        <v>0.0</v>
      </c>
      <c r="O448" s="308" t="s">
        <v>2948</v>
      </c>
      <c r="P448" s="308" t="s">
        <v>6416</v>
      </c>
      <c r="Q448" s="310">
        <v>1.0</v>
      </c>
      <c r="R448" s="308" t="s">
        <v>4697</v>
      </c>
      <c r="S448" s="308">
        <v>90.0</v>
      </c>
      <c r="T448" s="311"/>
      <c r="U448" s="308" t="s">
        <v>4937</v>
      </c>
      <c r="V448" s="308" t="b">
        <v>1</v>
      </c>
      <c r="W448" s="308" t="b">
        <v>1</v>
      </c>
      <c r="X448" s="308"/>
      <c r="Y448" s="308" t="s">
        <v>6417</v>
      </c>
      <c r="Z448" s="308" t="s">
        <v>6418</v>
      </c>
      <c r="AA448" s="308" t="s">
        <v>6418</v>
      </c>
      <c r="AB448" s="308"/>
      <c r="AC448" s="308" t="s">
        <v>6419</v>
      </c>
      <c r="AD448" s="308" t="s">
        <v>6420</v>
      </c>
      <c r="AE448" s="308">
        <v>26032.0</v>
      </c>
      <c r="AF448" s="308" t="s">
        <v>4845</v>
      </c>
      <c r="AG448" s="308" t="s">
        <v>2955</v>
      </c>
      <c r="AH448" s="318" t="s">
        <v>6421</v>
      </c>
      <c r="AI448" s="308" t="s">
        <v>6417</v>
      </c>
      <c r="AJ448" s="308" t="s">
        <v>6418</v>
      </c>
      <c r="AK448" s="308" t="s">
        <v>6418</v>
      </c>
      <c r="AL448" s="308"/>
      <c r="AM448" s="308" t="s">
        <v>6419</v>
      </c>
      <c r="AN448" s="308" t="s">
        <v>6420</v>
      </c>
      <c r="AO448" s="308">
        <v>26032.0</v>
      </c>
      <c r="AP448" s="308" t="s">
        <v>4845</v>
      </c>
      <c r="AQ448" s="308" t="s">
        <v>2955</v>
      </c>
      <c r="AR448" s="318" t="s">
        <v>6421</v>
      </c>
      <c r="AS448" s="311"/>
      <c r="AT448" s="311"/>
      <c r="AU448" s="311"/>
      <c r="AV448" s="308" t="s">
        <v>3009</v>
      </c>
      <c r="AW448" s="308">
        <v>4.8040919368007E13</v>
      </c>
      <c r="AX448" s="310">
        <v>0.0</v>
      </c>
      <c r="AY448" s="308" t="s">
        <v>2974</v>
      </c>
      <c r="AZ448" s="308">
        <v>0.0</v>
      </c>
      <c r="BA448" s="311"/>
      <c r="BB448" s="311"/>
      <c r="BC448" s="311"/>
      <c r="BD448" s="308">
        <v>7.894977511751E12</v>
      </c>
      <c r="BE448" s="311"/>
      <c r="BF448" s="311"/>
      <c r="BG448" s="308" t="s">
        <v>2958</v>
      </c>
      <c r="BH448" s="308">
        <v>0.0</v>
      </c>
      <c r="BI448" s="308" t="s">
        <v>2959</v>
      </c>
      <c r="BJ448" s="308">
        <v>16.23</v>
      </c>
      <c r="BK448" s="311"/>
      <c r="BL448" s="311"/>
      <c r="BM448" s="311"/>
      <c r="BN448" s="311"/>
      <c r="BO448" s="311"/>
      <c r="BP448" s="311"/>
      <c r="BQ448" s="311"/>
      <c r="BR448" s="311"/>
      <c r="BS448" s="308"/>
      <c r="BT448" s="311"/>
      <c r="BU448" s="311"/>
      <c r="BV448" s="308" t="s">
        <v>4846</v>
      </c>
      <c r="BW448" s="308" t="s">
        <v>4846</v>
      </c>
      <c r="BX448" s="308" t="s">
        <v>3009</v>
      </c>
      <c r="BY448" s="311"/>
      <c r="BZ448" s="311"/>
      <c r="CA448" s="308" t="s">
        <v>3009</v>
      </c>
      <c r="CB448" s="312" t="str">
        <f t="shared" si="1"/>
        <v>28/06/2026</v>
      </c>
      <c r="CC448" s="313">
        <f t="shared" si="2"/>
        <v>2026</v>
      </c>
      <c r="CD448" s="314">
        <f t="shared" si="3"/>
        <v>6</v>
      </c>
      <c r="CE448" s="314">
        <f t="shared" si="4"/>
        <v>1</v>
      </c>
      <c r="CF448" s="314">
        <f t="shared" si="5"/>
        <v>1</v>
      </c>
      <c r="CG448" s="314">
        <f t="shared" si="6"/>
        <v>0</v>
      </c>
      <c r="CH448" s="315">
        <f>VLOOKUP(CL448,'PRODUCT_COGS&amp;PRICE'!A:E,5,false)</f>
        <v>16.5</v>
      </c>
      <c r="CI448" s="315">
        <f t="shared" si="7"/>
        <v>-3.62711</v>
      </c>
      <c r="CJ448" s="316">
        <f t="shared" si="8"/>
        <v>0</v>
      </c>
      <c r="CK448" s="316">
        <f t="shared" si="9"/>
        <v>0</v>
      </c>
      <c r="CL448" s="314" t="str">
        <f>VLOOKUP(R448,PRODUCT_MAP!A:B,2,FALSE)</f>
        <v>Annie_Bag_PINK</v>
      </c>
      <c r="CM448" s="314" t="str">
        <f>VLOOKUP(R448,PRODUCT_MAP!A:E,3,FALSE)</f>
        <v/>
      </c>
    </row>
    <row r="449" ht="22.5" customHeight="1">
      <c r="A449" s="308" t="s">
        <v>6422</v>
      </c>
      <c r="B449" s="308" t="s">
        <v>6423</v>
      </c>
      <c r="C449" s="308" t="s">
        <v>2942</v>
      </c>
      <c r="D449" s="308" t="s">
        <v>6424</v>
      </c>
      <c r="E449" s="308" t="s">
        <v>3013</v>
      </c>
      <c r="F449" s="308"/>
      <c r="G449" s="308" t="s">
        <v>2965</v>
      </c>
      <c r="H449" s="308" t="s">
        <v>2947</v>
      </c>
      <c r="I449" s="308">
        <v>120.0</v>
      </c>
      <c r="J449" s="308">
        <v>0.0</v>
      </c>
      <c r="K449" s="308">
        <v>21.64</v>
      </c>
      <c r="L449" s="308">
        <v>120.0</v>
      </c>
      <c r="M449" s="308"/>
      <c r="N449" s="308">
        <v>0.0</v>
      </c>
      <c r="O449" s="308" t="s">
        <v>2979</v>
      </c>
      <c r="P449" s="308" t="s">
        <v>6425</v>
      </c>
      <c r="Q449" s="310">
        <v>1.0</v>
      </c>
      <c r="R449" s="308" t="s">
        <v>534</v>
      </c>
      <c r="S449" s="308">
        <v>120.0</v>
      </c>
      <c r="T449" s="311"/>
      <c r="U449" s="308" t="s">
        <v>293</v>
      </c>
      <c r="V449" s="308" t="b">
        <v>1</v>
      </c>
      <c r="W449" s="308" t="b">
        <v>1</v>
      </c>
      <c r="X449" s="308"/>
      <c r="Y449" s="308" t="s">
        <v>6426</v>
      </c>
      <c r="Z449" s="308" t="s">
        <v>6427</v>
      </c>
      <c r="AA449" s="308" t="s">
        <v>6427</v>
      </c>
      <c r="AB449" s="308"/>
      <c r="AC449" s="308"/>
      <c r="AD449" s="308" t="s">
        <v>23</v>
      </c>
      <c r="AE449" s="308">
        <v>20129.0</v>
      </c>
      <c r="AF449" s="308" t="s">
        <v>2954</v>
      </c>
      <c r="AG449" s="308" t="s">
        <v>2955</v>
      </c>
      <c r="AH449" s="308"/>
      <c r="AI449" s="308"/>
      <c r="AJ449" s="308"/>
      <c r="AK449" s="308"/>
      <c r="AL449" s="308"/>
      <c r="AM449" s="308"/>
      <c r="AN449" s="308"/>
      <c r="AO449" s="308"/>
      <c r="AP449" s="308"/>
      <c r="AQ449" s="308"/>
      <c r="AR449" s="308"/>
      <c r="AS449" s="311"/>
      <c r="AT449" s="311"/>
      <c r="AU449" s="311"/>
      <c r="AV449" s="308" t="s">
        <v>6428</v>
      </c>
      <c r="AW449" s="308">
        <v>4.8035729047879E13</v>
      </c>
      <c r="AX449" s="310">
        <v>0.0</v>
      </c>
      <c r="AY449" s="308" t="s">
        <v>2974</v>
      </c>
      <c r="AZ449" s="308">
        <v>0.0</v>
      </c>
      <c r="BA449" s="311"/>
      <c r="BB449" s="311"/>
      <c r="BC449" s="311"/>
      <c r="BD449" s="308">
        <v>7.895020994887E12</v>
      </c>
      <c r="BE449" s="311"/>
      <c r="BF449" s="311"/>
      <c r="BG449" s="308" t="s">
        <v>2958</v>
      </c>
      <c r="BH449" s="308">
        <v>0.0</v>
      </c>
      <c r="BI449" s="308" t="s">
        <v>2959</v>
      </c>
      <c r="BJ449" s="308">
        <v>21.64</v>
      </c>
      <c r="BK449" s="311"/>
      <c r="BL449" s="311"/>
      <c r="BM449" s="311"/>
      <c r="BN449" s="311"/>
      <c r="BO449" s="311"/>
      <c r="BP449" s="311"/>
      <c r="BQ449" s="311"/>
      <c r="BR449" s="311"/>
      <c r="BS449" s="308"/>
      <c r="BT449" s="311"/>
      <c r="BU449" s="311"/>
      <c r="BV449" s="308" t="s">
        <v>23</v>
      </c>
      <c r="BW449" s="308"/>
      <c r="BX449" s="308" t="s">
        <v>6428</v>
      </c>
      <c r="BY449" s="311"/>
      <c r="BZ449" s="311"/>
      <c r="CA449" s="308" t="s">
        <v>6428</v>
      </c>
      <c r="CB449" s="312" t="str">
        <f t="shared" si="1"/>
        <v>28/06/2026</v>
      </c>
      <c r="CC449" s="313">
        <f t="shared" si="2"/>
        <v>2026</v>
      </c>
      <c r="CD449" s="314">
        <f t="shared" si="3"/>
        <v>6</v>
      </c>
      <c r="CE449" s="314">
        <f t="shared" si="4"/>
        <v>1</v>
      </c>
      <c r="CF449" s="314">
        <f t="shared" si="5"/>
        <v>1</v>
      </c>
      <c r="CG449" s="314">
        <f t="shared" si="6"/>
        <v>-5</v>
      </c>
      <c r="CH449" s="315">
        <f>VLOOKUP(CL449,'PRODUCT_COGS&amp;PRICE'!A:E,5,false)</f>
        <v>20</v>
      </c>
      <c r="CI449" s="315">
        <f t="shared" si="7"/>
        <v>-4.538</v>
      </c>
      <c r="CJ449" s="316">
        <f t="shared" si="8"/>
        <v>0</v>
      </c>
      <c r="CK449" s="316">
        <f t="shared" si="9"/>
        <v>0</v>
      </c>
      <c r="CL449" s="314" t="str">
        <f>VLOOKUP(R449,PRODUCT_MAP!A:B,2,FALSE)</f>
        <v>Lea_Bag_COCCO_PURPLE</v>
      </c>
      <c r="CM449" s="314" t="str">
        <f>VLOOKUP(R449,PRODUCT_MAP!A:E,3,FALSE)</f>
        <v>Lea Bag</v>
      </c>
    </row>
    <row r="450" ht="22.5" customHeight="1">
      <c r="A450" s="308" t="s">
        <v>6429</v>
      </c>
      <c r="B450" s="308" t="s">
        <v>6430</v>
      </c>
      <c r="C450" s="308" t="s">
        <v>2942</v>
      </c>
      <c r="D450" s="308" t="s">
        <v>6431</v>
      </c>
      <c r="E450" s="308" t="s">
        <v>3013</v>
      </c>
      <c r="F450" s="308"/>
      <c r="G450" s="308" t="s">
        <v>2965</v>
      </c>
      <c r="H450" s="308" t="s">
        <v>2947</v>
      </c>
      <c r="I450" s="308">
        <v>45.0</v>
      </c>
      <c r="J450" s="308">
        <v>3.9</v>
      </c>
      <c r="K450" s="308">
        <v>8.81</v>
      </c>
      <c r="L450" s="308">
        <v>48.9</v>
      </c>
      <c r="M450" s="308" t="s">
        <v>3221</v>
      </c>
      <c r="N450" s="308">
        <v>5.0</v>
      </c>
      <c r="O450" s="308" t="s">
        <v>2948</v>
      </c>
      <c r="P450" s="308" t="s">
        <v>6432</v>
      </c>
      <c r="Q450" s="310">
        <v>1.0</v>
      </c>
      <c r="R450" s="308" t="s">
        <v>702</v>
      </c>
      <c r="S450" s="308">
        <v>50.0</v>
      </c>
      <c r="T450" s="311"/>
      <c r="U450" s="308" t="s">
        <v>49</v>
      </c>
      <c r="V450" s="308" t="b">
        <v>1</v>
      </c>
      <c r="W450" s="308" t="b">
        <v>1</v>
      </c>
      <c r="X450" s="308"/>
      <c r="Y450" s="308" t="s">
        <v>6433</v>
      </c>
      <c r="Z450" s="308" t="s">
        <v>6434</v>
      </c>
      <c r="AA450" s="308" t="s">
        <v>6434</v>
      </c>
      <c r="AB450" s="308"/>
      <c r="AC450" s="308"/>
      <c r="AD450" s="308" t="s">
        <v>3081</v>
      </c>
      <c r="AE450" s="308">
        <v>147.0</v>
      </c>
      <c r="AF450" s="308" t="s">
        <v>3082</v>
      </c>
      <c r="AG450" s="308" t="s">
        <v>2955</v>
      </c>
      <c r="AH450" s="308">
        <v>3.91425072E9</v>
      </c>
      <c r="AI450" s="308" t="s">
        <v>6433</v>
      </c>
      <c r="AJ450" s="308" t="s">
        <v>6434</v>
      </c>
      <c r="AK450" s="308" t="s">
        <v>6434</v>
      </c>
      <c r="AL450" s="308"/>
      <c r="AM450" s="308"/>
      <c r="AN450" s="308" t="s">
        <v>3081</v>
      </c>
      <c r="AO450" s="308">
        <v>147.0</v>
      </c>
      <c r="AP450" s="308" t="s">
        <v>3082</v>
      </c>
      <c r="AQ450" s="308" t="s">
        <v>2955</v>
      </c>
      <c r="AR450" s="308">
        <v>3.91425072E9</v>
      </c>
      <c r="AS450" s="311"/>
      <c r="AT450" s="311"/>
      <c r="AU450" s="311"/>
      <c r="AV450" s="308" t="s">
        <v>2956</v>
      </c>
      <c r="AW450" s="308">
        <v>4.8041463218503E13</v>
      </c>
      <c r="AX450" s="310">
        <v>0.0</v>
      </c>
      <c r="AY450" s="308" t="s">
        <v>2974</v>
      </c>
      <c r="AZ450" s="308">
        <v>0.0</v>
      </c>
      <c r="BA450" s="311"/>
      <c r="BB450" s="311"/>
      <c r="BC450" s="311"/>
      <c r="BD450" s="308">
        <v>7.895253221703E12</v>
      </c>
      <c r="BE450" s="311"/>
      <c r="BF450" s="311"/>
      <c r="BG450" s="308" t="s">
        <v>2958</v>
      </c>
      <c r="BH450" s="308">
        <v>0.0</v>
      </c>
      <c r="BI450" s="308" t="s">
        <v>2959</v>
      </c>
      <c r="BJ450" s="308">
        <v>8.11</v>
      </c>
      <c r="BK450" s="311"/>
      <c r="BL450" s="311"/>
      <c r="BM450" s="311"/>
      <c r="BN450" s="311"/>
      <c r="BO450" s="311"/>
      <c r="BP450" s="311"/>
      <c r="BQ450" s="311"/>
      <c r="BR450" s="311"/>
      <c r="BS450" s="308"/>
      <c r="BT450" s="311"/>
      <c r="BU450" s="311"/>
      <c r="BV450" s="308" t="s">
        <v>3081</v>
      </c>
      <c r="BW450" s="308" t="s">
        <v>3081</v>
      </c>
      <c r="BX450" s="308" t="s">
        <v>2956</v>
      </c>
      <c r="BY450" s="311"/>
      <c r="BZ450" s="311"/>
      <c r="CA450" s="308" t="s">
        <v>2956</v>
      </c>
      <c r="CB450" s="312" t="str">
        <f t="shared" si="1"/>
        <v>28/06/2026</v>
      </c>
      <c r="CC450" s="313">
        <f t="shared" si="2"/>
        <v>2026</v>
      </c>
      <c r="CD450" s="314">
        <f t="shared" si="3"/>
        <v>6</v>
      </c>
      <c r="CE450" s="314">
        <f t="shared" si="4"/>
        <v>1</v>
      </c>
      <c r="CF450" s="314">
        <f t="shared" si="5"/>
        <v>1</v>
      </c>
      <c r="CG450" s="314">
        <f t="shared" si="6"/>
        <v>0</v>
      </c>
      <c r="CH450" s="315">
        <f>VLOOKUP(CL450,'PRODUCT_COGS&amp;PRICE'!A:E,5,false)</f>
        <v>10.71</v>
      </c>
      <c r="CI450" s="315">
        <f t="shared" si="7"/>
        <v>-1.1791</v>
      </c>
      <c r="CJ450" s="316">
        <f t="shared" si="8"/>
        <v>0</v>
      </c>
      <c r="CK450" s="316">
        <f t="shared" si="9"/>
        <v>5</v>
      </c>
      <c r="CL450" s="314" t="str">
        <f>VLOOKUP(R450,PRODUCT_MAP!A:B,2,FALSE)</f>
        <v>Nina_Bag_STRIPES_PETROL_BLUE</v>
      </c>
      <c r="CM450" s="314" t="str">
        <f>VLOOKUP(R450,PRODUCT_MAP!A:E,3,FALSE)</f>
        <v>Nina Bag</v>
      </c>
    </row>
    <row r="451" ht="22.5" customHeight="1">
      <c r="A451" s="308" t="s">
        <v>6435</v>
      </c>
      <c r="B451" s="308" t="s">
        <v>6436</v>
      </c>
      <c r="C451" s="308" t="s">
        <v>2942</v>
      </c>
      <c r="D451" s="308" t="s">
        <v>6437</v>
      </c>
      <c r="E451" s="308" t="s">
        <v>3013</v>
      </c>
      <c r="F451" s="308"/>
      <c r="G451" s="308" t="s">
        <v>2946</v>
      </c>
      <c r="H451" s="308" t="s">
        <v>2947</v>
      </c>
      <c r="I451" s="308">
        <v>135.0</v>
      </c>
      <c r="J451" s="308">
        <v>0.0</v>
      </c>
      <c r="K451" s="308">
        <v>24.34</v>
      </c>
      <c r="L451" s="308">
        <v>135.0</v>
      </c>
      <c r="M451" s="308" t="s">
        <v>3221</v>
      </c>
      <c r="N451" s="308">
        <v>15.0</v>
      </c>
      <c r="O451" s="308" t="s">
        <v>2948</v>
      </c>
      <c r="P451" s="308" t="s">
        <v>6438</v>
      </c>
      <c r="Q451" s="310">
        <v>1.0</v>
      </c>
      <c r="R451" s="308" t="s">
        <v>574</v>
      </c>
      <c r="S451" s="308">
        <v>150.0</v>
      </c>
      <c r="T451" s="311"/>
      <c r="U451" s="308" t="s">
        <v>181</v>
      </c>
      <c r="V451" s="308" t="b">
        <v>1</v>
      </c>
      <c r="W451" s="308" t="b">
        <v>1</v>
      </c>
      <c r="X451" s="308"/>
      <c r="Y451" s="308" t="s">
        <v>6439</v>
      </c>
      <c r="Z451" s="308" t="s">
        <v>6440</v>
      </c>
      <c r="AA451" s="308" t="s">
        <v>6440</v>
      </c>
      <c r="AB451" s="308"/>
      <c r="AC451" s="308"/>
      <c r="AD451" s="308" t="s">
        <v>6441</v>
      </c>
      <c r="AE451" s="308">
        <v>47015.0</v>
      </c>
      <c r="AF451" s="308" t="s">
        <v>3928</v>
      </c>
      <c r="AG451" s="308" t="s">
        <v>2955</v>
      </c>
      <c r="AH451" s="308"/>
      <c r="AI451" s="308" t="s">
        <v>6439</v>
      </c>
      <c r="AJ451" s="308" t="s">
        <v>6442</v>
      </c>
      <c r="AK451" s="308" t="s">
        <v>6442</v>
      </c>
      <c r="AL451" s="308"/>
      <c r="AM451" s="308"/>
      <c r="AN451" s="308" t="s">
        <v>6441</v>
      </c>
      <c r="AO451" s="308">
        <v>47015.0</v>
      </c>
      <c r="AP451" s="308" t="s">
        <v>3928</v>
      </c>
      <c r="AQ451" s="308" t="s">
        <v>2955</v>
      </c>
      <c r="AR451" s="308">
        <v>3.341941601E9</v>
      </c>
      <c r="AS451" s="311"/>
      <c r="AT451" s="311"/>
      <c r="AU451" s="311"/>
      <c r="AV451" s="308" t="s">
        <v>2956</v>
      </c>
      <c r="AW451" s="308">
        <v>4.8040903082311E13</v>
      </c>
      <c r="AX451" s="310">
        <v>0.0</v>
      </c>
      <c r="AY451" s="308" t="s">
        <v>2974</v>
      </c>
      <c r="AZ451" s="308">
        <v>0.0</v>
      </c>
      <c r="BA451" s="311"/>
      <c r="BB451" s="311"/>
      <c r="BC451" s="311"/>
      <c r="BD451" s="308">
        <v>7.895277470023E12</v>
      </c>
      <c r="BE451" s="311"/>
      <c r="BF451" s="311"/>
      <c r="BG451" s="308" t="s">
        <v>2958</v>
      </c>
      <c r="BH451" s="308">
        <v>0.0</v>
      </c>
      <c r="BI451" s="308" t="s">
        <v>2959</v>
      </c>
      <c r="BJ451" s="308">
        <v>24.34</v>
      </c>
      <c r="BK451" s="311"/>
      <c r="BL451" s="311"/>
      <c r="BM451" s="311"/>
      <c r="BN451" s="311"/>
      <c r="BO451" s="311"/>
      <c r="BP451" s="311"/>
      <c r="BQ451" s="311"/>
      <c r="BR451" s="311"/>
      <c r="BS451" s="308"/>
      <c r="BT451" s="311"/>
      <c r="BU451" s="311"/>
      <c r="BV451" s="308" t="s">
        <v>3929</v>
      </c>
      <c r="BW451" s="308" t="s">
        <v>3929</v>
      </c>
      <c r="BX451" s="308" t="s">
        <v>2956</v>
      </c>
      <c r="BY451" s="311"/>
      <c r="BZ451" s="311"/>
      <c r="CA451" s="308" t="s">
        <v>2956</v>
      </c>
      <c r="CB451" s="312" t="str">
        <f t="shared" si="1"/>
        <v>28/06/2026</v>
      </c>
      <c r="CC451" s="313">
        <f t="shared" si="2"/>
        <v>2026</v>
      </c>
      <c r="CD451" s="314">
        <f t="shared" si="3"/>
        <v>6</v>
      </c>
      <c r="CE451" s="314">
        <f t="shared" si="4"/>
        <v>1</v>
      </c>
      <c r="CF451" s="314">
        <f t="shared" si="5"/>
        <v>1</v>
      </c>
      <c r="CG451" s="314">
        <f t="shared" si="6"/>
        <v>-5</v>
      </c>
      <c r="CH451" s="315">
        <f>VLOOKUP(CL451,'PRODUCT_COGS&amp;PRICE'!A:E,5,false)</f>
        <v>30.33</v>
      </c>
      <c r="CI451" s="315">
        <f t="shared" si="7"/>
        <v>-2.815</v>
      </c>
      <c r="CJ451" s="316">
        <f t="shared" si="8"/>
        <v>0</v>
      </c>
      <c r="CK451" s="316">
        <f t="shared" si="9"/>
        <v>15</v>
      </c>
      <c r="CL451" s="314" t="str">
        <f>VLOOKUP(R451,PRODUCT_MAP!A:B,2,FALSE)</f>
        <v>Lea_Bag_LEOPARDO_SAVANA</v>
      </c>
      <c r="CM451" s="314" t="str">
        <f>VLOOKUP(R451,PRODUCT_MAP!A:E,3,FALSE)</f>
        <v>Lea Bag</v>
      </c>
    </row>
    <row r="452" ht="22.5" customHeight="1">
      <c r="A452" s="308" t="s">
        <v>6443</v>
      </c>
      <c r="B452" s="308" t="s">
        <v>6444</v>
      </c>
      <c r="C452" s="308" t="s">
        <v>2942</v>
      </c>
      <c r="D452" s="308" t="s">
        <v>6445</v>
      </c>
      <c r="E452" s="308" t="s">
        <v>3013</v>
      </c>
      <c r="F452" s="308"/>
      <c r="G452" s="308" t="s">
        <v>2946</v>
      </c>
      <c r="H452" s="308" t="s">
        <v>2947</v>
      </c>
      <c r="I452" s="308">
        <v>108.0</v>
      </c>
      <c r="J452" s="308">
        <v>0.0</v>
      </c>
      <c r="K452" s="308">
        <v>19.48</v>
      </c>
      <c r="L452" s="308">
        <v>108.0</v>
      </c>
      <c r="M452" s="308" t="s">
        <v>3094</v>
      </c>
      <c r="N452" s="308">
        <v>12.0</v>
      </c>
      <c r="O452" s="308" t="s">
        <v>2948</v>
      </c>
      <c r="P452" s="308" t="s">
        <v>6446</v>
      </c>
      <c r="Q452" s="310">
        <v>1.0</v>
      </c>
      <c r="R452" s="308" t="s">
        <v>509</v>
      </c>
      <c r="S452" s="308">
        <v>120.0</v>
      </c>
      <c r="T452" s="311"/>
      <c r="U452" s="308" t="s">
        <v>161</v>
      </c>
      <c r="V452" s="308" t="b">
        <v>1</v>
      </c>
      <c r="W452" s="308" t="b">
        <v>1</v>
      </c>
      <c r="X452" s="308"/>
      <c r="Y452" s="308" t="s">
        <v>6447</v>
      </c>
      <c r="Z452" s="308" t="s">
        <v>6448</v>
      </c>
      <c r="AA452" s="308" t="s">
        <v>6448</v>
      </c>
      <c r="AB452" s="308"/>
      <c r="AC452" s="308" t="s">
        <v>6449</v>
      </c>
      <c r="AD452" s="308" t="s">
        <v>6450</v>
      </c>
      <c r="AE452" s="308">
        <v>72100.0</v>
      </c>
      <c r="AF452" s="308" t="s">
        <v>6451</v>
      </c>
      <c r="AG452" s="308" t="s">
        <v>2955</v>
      </c>
      <c r="AH452" s="308"/>
      <c r="AI452" s="308" t="s">
        <v>6447</v>
      </c>
      <c r="AJ452" s="308" t="s">
        <v>6452</v>
      </c>
      <c r="AK452" s="308" t="s">
        <v>6453</v>
      </c>
      <c r="AL452" s="308" t="s">
        <v>6454</v>
      </c>
      <c r="AM452" s="308"/>
      <c r="AN452" s="308" t="s">
        <v>23</v>
      </c>
      <c r="AO452" s="308">
        <v>20123.0</v>
      </c>
      <c r="AP452" s="308" t="s">
        <v>2954</v>
      </c>
      <c r="AQ452" s="308" t="s">
        <v>2955</v>
      </c>
      <c r="AR452" s="308">
        <v>3.498073681E9</v>
      </c>
      <c r="AS452" s="311"/>
      <c r="AT452" s="311"/>
      <c r="AU452" s="311"/>
      <c r="AV452" s="308" t="s">
        <v>2956</v>
      </c>
      <c r="AW452" s="308">
        <v>4.8041868099911E13</v>
      </c>
      <c r="AX452" s="310">
        <v>0.0</v>
      </c>
      <c r="AY452" s="308" t="s">
        <v>2974</v>
      </c>
      <c r="AZ452" s="308">
        <v>0.0</v>
      </c>
      <c r="BA452" s="311"/>
      <c r="BB452" s="311"/>
      <c r="BC452" s="311"/>
      <c r="BD452" s="308">
        <v>7.895433871687E12</v>
      </c>
      <c r="BE452" s="311"/>
      <c r="BF452" s="311"/>
      <c r="BG452" s="308" t="s">
        <v>2958</v>
      </c>
      <c r="BH452" s="308">
        <v>0.0</v>
      </c>
      <c r="BI452" s="308" t="s">
        <v>2959</v>
      </c>
      <c r="BJ452" s="308">
        <v>19.48</v>
      </c>
      <c r="BK452" s="311"/>
      <c r="BL452" s="311"/>
      <c r="BM452" s="311"/>
      <c r="BN452" s="311"/>
      <c r="BO452" s="311"/>
      <c r="BP452" s="311"/>
      <c r="BQ452" s="311"/>
      <c r="BR452" s="311"/>
      <c r="BS452" s="308"/>
      <c r="BT452" s="311"/>
      <c r="BU452" s="311"/>
      <c r="BV452" s="308" t="s">
        <v>6450</v>
      </c>
      <c r="BW452" s="308" t="s">
        <v>23</v>
      </c>
      <c r="BX452" s="308" t="s">
        <v>2956</v>
      </c>
      <c r="BY452" s="311"/>
      <c r="BZ452" s="311"/>
      <c r="CA452" s="308" t="s">
        <v>2956</v>
      </c>
      <c r="CB452" s="312" t="str">
        <f t="shared" si="1"/>
        <v>28/06/2026</v>
      </c>
      <c r="CC452" s="313">
        <f t="shared" si="2"/>
        <v>2026</v>
      </c>
      <c r="CD452" s="314">
        <f t="shared" si="3"/>
        <v>6</v>
      </c>
      <c r="CE452" s="314">
        <f t="shared" si="4"/>
        <v>1</v>
      </c>
      <c r="CF452" s="314">
        <f t="shared" si="5"/>
        <v>1</v>
      </c>
      <c r="CG452" s="314">
        <f t="shared" si="6"/>
        <v>-5</v>
      </c>
      <c r="CH452" s="315">
        <f>VLOOKUP(CL452,'PRODUCT_COGS&amp;PRICE'!A:E,5,false)</f>
        <v>30.33</v>
      </c>
      <c r="CI452" s="315">
        <f t="shared" si="7"/>
        <v>-2.302</v>
      </c>
      <c r="CJ452" s="316">
        <f t="shared" si="8"/>
        <v>0</v>
      </c>
      <c r="CK452" s="316">
        <f t="shared" si="9"/>
        <v>12</v>
      </c>
      <c r="CL452" s="314" t="str">
        <f>VLOOKUP(R452,PRODUCT_MAP!A:B,2,FALSE)</f>
        <v>Lea_Bag_COCCO_BLACK</v>
      </c>
      <c r="CM452" s="314" t="str">
        <f>VLOOKUP(R452,PRODUCT_MAP!A:E,3,FALSE)</f>
        <v>Lea Bag</v>
      </c>
    </row>
    <row r="453" ht="22.5" customHeight="1">
      <c r="A453" s="308" t="s">
        <v>6455</v>
      </c>
      <c r="B453" s="308" t="s">
        <v>6456</v>
      </c>
      <c r="C453" s="308" t="s">
        <v>2942</v>
      </c>
      <c r="D453" s="308" t="s">
        <v>6457</v>
      </c>
      <c r="E453" s="308" t="s">
        <v>3013</v>
      </c>
      <c r="F453" s="308"/>
      <c r="G453" s="308" t="s">
        <v>2965</v>
      </c>
      <c r="H453" s="308" t="s">
        <v>2947</v>
      </c>
      <c r="I453" s="308">
        <v>100.0</v>
      </c>
      <c r="J453" s="308">
        <v>0.0</v>
      </c>
      <c r="K453" s="308">
        <v>18.03</v>
      </c>
      <c r="L453" s="308">
        <v>100.0</v>
      </c>
      <c r="M453" s="308"/>
      <c r="N453" s="308">
        <v>0.0</v>
      </c>
      <c r="O453" s="308" t="s">
        <v>2948</v>
      </c>
      <c r="P453" s="308" t="s">
        <v>6458</v>
      </c>
      <c r="Q453" s="310">
        <v>1.0</v>
      </c>
      <c r="R453" s="308" t="s">
        <v>5900</v>
      </c>
      <c r="S453" s="308">
        <v>100.0</v>
      </c>
      <c r="T453" s="311"/>
      <c r="U453" s="308" t="s">
        <v>4267</v>
      </c>
      <c r="V453" s="308" t="b">
        <v>1</v>
      </c>
      <c r="W453" s="308" t="b">
        <v>1</v>
      </c>
      <c r="X453" s="308"/>
      <c r="Y453" s="308" t="s">
        <v>6459</v>
      </c>
      <c r="Z453" s="308" t="s">
        <v>6460</v>
      </c>
      <c r="AA453" s="308" t="s">
        <v>6460</v>
      </c>
      <c r="AB453" s="308"/>
      <c r="AC453" s="308"/>
      <c r="AD453" s="308" t="s">
        <v>6461</v>
      </c>
      <c r="AE453" s="308">
        <v>10064.0</v>
      </c>
      <c r="AF453" s="308" t="s">
        <v>3654</v>
      </c>
      <c r="AG453" s="308" t="s">
        <v>2955</v>
      </c>
      <c r="AH453" s="308"/>
      <c r="AI453" s="308" t="s">
        <v>6459</v>
      </c>
      <c r="AJ453" s="308" t="s">
        <v>6462</v>
      </c>
      <c r="AK453" s="308" t="s">
        <v>6463</v>
      </c>
      <c r="AL453" s="308" t="s">
        <v>6464</v>
      </c>
      <c r="AM453" s="308"/>
      <c r="AN453" s="308" t="s">
        <v>6461</v>
      </c>
      <c r="AO453" s="308">
        <v>10064.0</v>
      </c>
      <c r="AP453" s="308" t="s">
        <v>3654</v>
      </c>
      <c r="AQ453" s="308" t="s">
        <v>2955</v>
      </c>
      <c r="AR453" s="308">
        <v>3.930366621E9</v>
      </c>
      <c r="AS453" s="311"/>
      <c r="AT453" s="311"/>
      <c r="AU453" s="311"/>
      <c r="AV453" s="308" t="s">
        <v>2956</v>
      </c>
      <c r="AW453" s="308">
        <v>4.8043156996423E13</v>
      </c>
      <c r="AX453" s="310">
        <v>0.0</v>
      </c>
      <c r="AY453" s="308" t="s">
        <v>2974</v>
      </c>
      <c r="AZ453" s="308">
        <v>0.0</v>
      </c>
      <c r="BA453" s="311"/>
      <c r="BB453" s="311"/>
      <c r="BC453" s="311"/>
      <c r="BD453" s="308">
        <v>7.896161616199E12</v>
      </c>
      <c r="BE453" s="311"/>
      <c r="BF453" s="311"/>
      <c r="BG453" s="308" t="s">
        <v>2958</v>
      </c>
      <c r="BH453" s="308">
        <v>0.0</v>
      </c>
      <c r="BI453" s="308" t="s">
        <v>2959</v>
      </c>
      <c r="BJ453" s="308">
        <v>18.03</v>
      </c>
      <c r="BK453" s="311"/>
      <c r="BL453" s="311"/>
      <c r="BM453" s="311"/>
      <c r="BN453" s="311"/>
      <c r="BO453" s="311"/>
      <c r="BP453" s="311"/>
      <c r="BQ453" s="311"/>
      <c r="BR453" s="311"/>
      <c r="BS453" s="308"/>
      <c r="BT453" s="311"/>
      <c r="BU453" s="311"/>
      <c r="BV453" s="308" t="s">
        <v>3655</v>
      </c>
      <c r="BW453" s="308" t="s">
        <v>3655</v>
      </c>
      <c r="BX453" s="308" t="s">
        <v>2956</v>
      </c>
      <c r="BY453" s="311"/>
      <c r="BZ453" s="311"/>
      <c r="CA453" s="308" t="s">
        <v>2956</v>
      </c>
      <c r="CB453" s="312" t="str">
        <f t="shared" si="1"/>
        <v>29/06/2026</v>
      </c>
      <c r="CC453" s="313">
        <f t="shared" si="2"/>
        <v>2026</v>
      </c>
      <c r="CD453" s="314">
        <f t="shared" si="3"/>
        <v>6</v>
      </c>
      <c r="CE453" s="314">
        <f t="shared" si="4"/>
        <v>1</v>
      </c>
      <c r="CF453" s="314">
        <f t="shared" si="5"/>
        <v>1</v>
      </c>
      <c r="CG453" s="314">
        <f t="shared" si="6"/>
        <v>-5</v>
      </c>
      <c r="CH453" s="315">
        <f>VLOOKUP(CL453,'PRODUCT_COGS&amp;PRICE'!A:E,5,false)</f>
        <v>16.5</v>
      </c>
      <c r="CI453" s="315">
        <f t="shared" si="7"/>
        <v>-2.15</v>
      </c>
      <c r="CJ453" s="316">
        <f t="shared" si="8"/>
        <v>0</v>
      </c>
      <c r="CK453" s="316">
        <f t="shared" si="9"/>
        <v>0</v>
      </c>
      <c r="CL453" s="314" t="str">
        <f>VLOOKUP(R453,PRODUCT_MAP!A:B,2,FALSE)</f>
        <v>Annie_Bag_PAILLETTES_NUDE</v>
      </c>
      <c r="CM453" s="314" t="str">
        <f>VLOOKUP(R453,PRODUCT_MAP!A:E,3,FALSE)</f>
        <v/>
      </c>
    </row>
    <row r="454" ht="22.5" customHeight="1">
      <c r="A454" s="308" t="s">
        <v>6465</v>
      </c>
      <c r="B454" s="308" t="s">
        <v>6466</v>
      </c>
      <c r="C454" s="308" t="s">
        <v>2942</v>
      </c>
      <c r="D454" s="308" t="s">
        <v>6467</v>
      </c>
      <c r="E454" s="308" t="s">
        <v>3013</v>
      </c>
      <c r="F454" s="308"/>
      <c r="G454" s="308" t="s">
        <v>2965</v>
      </c>
      <c r="H454" s="308" t="s">
        <v>2947</v>
      </c>
      <c r="I454" s="308">
        <v>80.0</v>
      </c>
      <c r="J454" s="308">
        <v>3.9</v>
      </c>
      <c r="K454" s="308">
        <v>15.13</v>
      </c>
      <c r="L454" s="308">
        <v>83.9</v>
      </c>
      <c r="M454" s="308"/>
      <c r="N454" s="308">
        <v>0.0</v>
      </c>
      <c r="O454" s="308" t="s">
        <v>2948</v>
      </c>
      <c r="P454" s="308" t="s">
        <v>6468</v>
      </c>
      <c r="Q454" s="310">
        <v>1.0</v>
      </c>
      <c r="R454" s="308" t="s">
        <v>5821</v>
      </c>
      <c r="S454" s="308">
        <v>80.0</v>
      </c>
      <c r="T454" s="311"/>
      <c r="U454" s="308" t="s">
        <v>5822</v>
      </c>
      <c r="V454" s="308" t="b">
        <v>1</v>
      </c>
      <c r="W454" s="308" t="b">
        <v>1</v>
      </c>
      <c r="X454" s="308"/>
      <c r="Y454" s="308" t="s">
        <v>6469</v>
      </c>
      <c r="Z454" s="308" t="s">
        <v>6470</v>
      </c>
      <c r="AA454" s="308" t="s">
        <v>6470</v>
      </c>
      <c r="AB454" s="308"/>
      <c r="AC454" s="308"/>
      <c r="AD454" s="308" t="s">
        <v>3068</v>
      </c>
      <c r="AE454" s="308">
        <v>40136.0</v>
      </c>
      <c r="AF454" s="308" t="s">
        <v>3069</v>
      </c>
      <c r="AG454" s="308" t="s">
        <v>2955</v>
      </c>
      <c r="AH454" s="308">
        <v>3.476555206E9</v>
      </c>
      <c r="AI454" s="308" t="s">
        <v>6469</v>
      </c>
      <c r="AJ454" s="308" t="s">
        <v>6471</v>
      </c>
      <c r="AK454" s="308" t="s">
        <v>6472</v>
      </c>
      <c r="AL454" s="308" t="s">
        <v>6473</v>
      </c>
      <c r="AM454" s="308"/>
      <c r="AN454" s="308" t="s">
        <v>3068</v>
      </c>
      <c r="AO454" s="308">
        <v>40128.0</v>
      </c>
      <c r="AP454" s="308" t="s">
        <v>3069</v>
      </c>
      <c r="AQ454" s="308" t="s">
        <v>2955</v>
      </c>
      <c r="AR454" s="308">
        <v>3.476555206E9</v>
      </c>
      <c r="AS454" s="311"/>
      <c r="AT454" s="311"/>
      <c r="AU454" s="311"/>
      <c r="AV454" s="308" t="s">
        <v>3009</v>
      </c>
      <c r="AW454" s="308">
        <v>4.8043906793799E13</v>
      </c>
      <c r="AX454" s="310">
        <v>0.0</v>
      </c>
      <c r="AY454" s="308" t="s">
        <v>2974</v>
      </c>
      <c r="AZ454" s="308">
        <v>0.0</v>
      </c>
      <c r="BA454" s="311"/>
      <c r="BB454" s="311"/>
      <c r="BC454" s="311"/>
      <c r="BD454" s="308">
        <v>7.896239833415E12</v>
      </c>
      <c r="BE454" s="311"/>
      <c r="BF454" s="311"/>
      <c r="BG454" s="308" t="s">
        <v>2958</v>
      </c>
      <c r="BH454" s="308">
        <v>0.0</v>
      </c>
      <c r="BI454" s="308" t="s">
        <v>2959</v>
      </c>
      <c r="BJ454" s="308">
        <v>14.43</v>
      </c>
      <c r="BK454" s="311"/>
      <c r="BL454" s="311"/>
      <c r="BM454" s="311"/>
      <c r="BN454" s="311"/>
      <c r="BO454" s="311"/>
      <c r="BP454" s="311"/>
      <c r="BQ454" s="311"/>
      <c r="BR454" s="311"/>
      <c r="BS454" s="308"/>
      <c r="BT454" s="311"/>
      <c r="BU454" s="311"/>
      <c r="BV454" s="308" t="s">
        <v>3068</v>
      </c>
      <c r="BW454" s="308" t="s">
        <v>3068</v>
      </c>
      <c r="BX454" s="308" t="s">
        <v>3009</v>
      </c>
      <c r="BY454" s="311"/>
      <c r="BZ454" s="311"/>
      <c r="CA454" s="308" t="s">
        <v>3009</v>
      </c>
      <c r="CB454" s="312" t="str">
        <f t="shared" si="1"/>
        <v>29/06/2026</v>
      </c>
      <c r="CC454" s="313">
        <f t="shared" si="2"/>
        <v>2026</v>
      </c>
      <c r="CD454" s="314">
        <f t="shared" si="3"/>
        <v>6</v>
      </c>
      <c r="CE454" s="314">
        <f t="shared" si="4"/>
        <v>1</v>
      </c>
      <c r="CF454" s="314">
        <f t="shared" si="5"/>
        <v>1</v>
      </c>
      <c r="CG454" s="314">
        <f t="shared" si="6"/>
        <v>0</v>
      </c>
      <c r="CH454" s="315">
        <f>VLOOKUP(CL454,'PRODUCT_COGS&amp;PRICE'!A:E,5,false)</f>
        <v>19</v>
      </c>
      <c r="CI454" s="315">
        <f t="shared" si="7"/>
        <v>-3.27811</v>
      </c>
      <c r="CJ454" s="316">
        <f t="shared" si="8"/>
        <v>0</v>
      </c>
      <c r="CK454" s="316">
        <f t="shared" si="9"/>
        <v>0</v>
      </c>
      <c r="CL454" s="314" t="str">
        <f>VLOOKUP(R454,PRODUCT_MAP!A:B,2,FALSE)</f>
        <v>Agata_Bag_FLORAL_LIGHT_BLUE</v>
      </c>
      <c r="CM454" s="314" t="str">
        <f>VLOOKUP(R454,PRODUCT_MAP!A:E,3,FALSE)</f>
        <v>Agata Bag</v>
      </c>
    </row>
    <row r="455" ht="22.5" customHeight="1">
      <c r="A455" s="308" t="s">
        <v>6474</v>
      </c>
      <c r="B455" s="308" t="s">
        <v>6475</v>
      </c>
      <c r="C455" s="308" t="s">
        <v>2942</v>
      </c>
      <c r="D455" s="308" t="s">
        <v>6476</v>
      </c>
      <c r="E455" s="308" t="s">
        <v>3013</v>
      </c>
      <c r="F455" s="308"/>
      <c r="G455" s="308" t="s">
        <v>2946</v>
      </c>
      <c r="H455" s="308" t="s">
        <v>2947</v>
      </c>
      <c r="I455" s="308">
        <v>90.0</v>
      </c>
      <c r="J455" s="308">
        <v>15.0</v>
      </c>
      <c r="K455" s="308">
        <v>18.93</v>
      </c>
      <c r="L455" s="308">
        <v>105.0</v>
      </c>
      <c r="M455" s="308" t="s">
        <v>3094</v>
      </c>
      <c r="N455" s="308">
        <v>10.0</v>
      </c>
      <c r="O455" s="308" t="s">
        <v>3298</v>
      </c>
      <c r="P455" s="308" t="s">
        <v>6477</v>
      </c>
      <c r="Q455" s="310">
        <v>1.0</v>
      </c>
      <c r="R455" s="308" t="s">
        <v>5900</v>
      </c>
      <c r="S455" s="308">
        <v>100.0</v>
      </c>
      <c r="T455" s="311"/>
      <c r="U455" s="308" t="s">
        <v>4267</v>
      </c>
      <c r="V455" s="308" t="b">
        <v>1</v>
      </c>
      <c r="W455" s="308" t="b">
        <v>1</v>
      </c>
      <c r="X455" s="308"/>
      <c r="Y455" s="308" t="s">
        <v>5579</v>
      </c>
      <c r="Z455" s="308" t="s">
        <v>6478</v>
      </c>
      <c r="AA455" s="308" t="s">
        <v>6478</v>
      </c>
      <c r="AB455" s="308"/>
      <c r="AC455" s="308"/>
      <c r="AD455" s="308" t="s">
        <v>6479</v>
      </c>
      <c r="AE455" s="308">
        <v>7745.0</v>
      </c>
      <c r="AF455" s="308"/>
      <c r="AG455" s="308" t="s">
        <v>6480</v>
      </c>
      <c r="AH455" s="318" t="s">
        <v>6481</v>
      </c>
      <c r="AI455" s="308" t="s">
        <v>5579</v>
      </c>
      <c r="AJ455" s="308" t="s">
        <v>6478</v>
      </c>
      <c r="AK455" s="308" t="s">
        <v>6478</v>
      </c>
      <c r="AL455" s="308"/>
      <c r="AM455" s="308"/>
      <c r="AN455" s="308" t="s">
        <v>6479</v>
      </c>
      <c r="AO455" s="308">
        <v>7745.0</v>
      </c>
      <c r="AP455" s="308"/>
      <c r="AQ455" s="308" t="s">
        <v>6480</v>
      </c>
      <c r="AR455" s="318" t="s">
        <v>6481</v>
      </c>
      <c r="AS455" s="311"/>
      <c r="AT455" s="311"/>
      <c r="AU455" s="311"/>
      <c r="AV455" s="308" t="s">
        <v>2956</v>
      </c>
      <c r="AW455" s="308">
        <v>4.8044076204359E13</v>
      </c>
      <c r="AX455" s="310">
        <v>0.0</v>
      </c>
      <c r="AY455" s="308" t="s">
        <v>2974</v>
      </c>
      <c r="AZ455" s="308">
        <v>0.0</v>
      </c>
      <c r="BA455" s="311"/>
      <c r="BB455" s="311"/>
      <c r="BC455" s="311"/>
      <c r="BD455" s="308">
        <v>7.896399249735E12</v>
      </c>
      <c r="BE455" s="311"/>
      <c r="BF455" s="311"/>
      <c r="BG455" s="308" t="s">
        <v>2958</v>
      </c>
      <c r="BH455" s="308">
        <v>0.0</v>
      </c>
      <c r="BI455" s="308" t="s">
        <v>2959</v>
      </c>
      <c r="BJ455" s="308">
        <v>16.23</v>
      </c>
      <c r="BK455" s="311"/>
      <c r="BL455" s="311"/>
      <c r="BM455" s="311"/>
      <c r="BN455" s="311"/>
      <c r="BO455" s="311"/>
      <c r="BP455" s="311"/>
      <c r="BQ455" s="311"/>
      <c r="BR455" s="311"/>
      <c r="BS455" s="308"/>
      <c r="BT455" s="311"/>
      <c r="BU455" s="311"/>
      <c r="BV455" s="308"/>
      <c r="BW455" s="308"/>
      <c r="BX455" s="308" t="s">
        <v>2956</v>
      </c>
      <c r="BY455" s="311"/>
      <c r="BZ455" s="311"/>
      <c r="CA455" s="308" t="s">
        <v>2956</v>
      </c>
      <c r="CB455" s="312" t="str">
        <f t="shared" si="1"/>
        <v>29/06/2026</v>
      </c>
      <c r="CC455" s="313">
        <f t="shared" si="2"/>
        <v>2026</v>
      </c>
      <c r="CD455" s="314">
        <f t="shared" si="3"/>
        <v>6</v>
      </c>
      <c r="CE455" s="314">
        <f t="shared" si="4"/>
        <v>1</v>
      </c>
      <c r="CF455" s="314">
        <f t="shared" si="5"/>
        <v>1</v>
      </c>
      <c r="CG455" s="314">
        <f t="shared" si="6"/>
        <v>0</v>
      </c>
      <c r="CH455" s="315">
        <f>VLOOKUP(CL455,'PRODUCT_COGS&amp;PRICE'!A:E,5,false)</f>
        <v>16.5</v>
      </c>
      <c r="CI455" s="315">
        <f t="shared" si="7"/>
        <v>-2.245</v>
      </c>
      <c r="CJ455" s="316">
        <f t="shared" si="8"/>
        <v>0</v>
      </c>
      <c r="CK455" s="316">
        <f t="shared" si="9"/>
        <v>10</v>
      </c>
      <c r="CL455" s="314" t="str">
        <f>VLOOKUP(R455,PRODUCT_MAP!A:B,2,FALSE)</f>
        <v>Annie_Bag_PAILLETTES_NUDE</v>
      </c>
      <c r="CM455" s="314" t="str">
        <f>VLOOKUP(R455,PRODUCT_MAP!A:E,3,FALSE)</f>
        <v/>
      </c>
    </row>
    <row r="456" ht="22.5" customHeight="1">
      <c r="A456" s="308" t="s">
        <v>6482</v>
      </c>
      <c r="B456" s="308" t="s">
        <v>6483</v>
      </c>
      <c r="C456" s="308" t="s">
        <v>2942</v>
      </c>
      <c r="D456" s="308" t="s">
        <v>6484</v>
      </c>
      <c r="E456" s="308" t="s">
        <v>3013</v>
      </c>
      <c r="F456" s="308"/>
      <c r="G456" s="308" t="s">
        <v>2965</v>
      </c>
      <c r="H456" s="308" t="s">
        <v>2947</v>
      </c>
      <c r="I456" s="308">
        <v>100.0</v>
      </c>
      <c r="J456" s="308">
        <v>0.0</v>
      </c>
      <c r="K456" s="308">
        <v>18.03</v>
      </c>
      <c r="L456" s="308">
        <v>100.0</v>
      </c>
      <c r="M456" s="308"/>
      <c r="N456" s="308">
        <v>0.0</v>
      </c>
      <c r="O456" s="308" t="s">
        <v>2979</v>
      </c>
      <c r="P456" s="308" t="s">
        <v>6485</v>
      </c>
      <c r="Q456" s="310">
        <v>1.0</v>
      </c>
      <c r="R456" s="308" t="s">
        <v>5900</v>
      </c>
      <c r="S456" s="308">
        <v>100.0</v>
      </c>
      <c r="T456" s="311"/>
      <c r="U456" s="308" t="s">
        <v>4267</v>
      </c>
      <c r="V456" s="308" t="b">
        <v>1</v>
      </c>
      <c r="W456" s="308" t="b">
        <v>1</v>
      </c>
      <c r="X456" s="308"/>
      <c r="Y456" s="308" t="s">
        <v>6486</v>
      </c>
      <c r="Z456" s="308" t="s">
        <v>6487</v>
      </c>
      <c r="AA456" s="308" t="s">
        <v>6488</v>
      </c>
      <c r="AB456" s="308" t="s">
        <v>6489</v>
      </c>
      <c r="AC456" s="308"/>
      <c r="AD456" s="308" t="s">
        <v>23</v>
      </c>
      <c r="AE456" s="308">
        <v>20147.0</v>
      </c>
      <c r="AF456" s="308" t="s">
        <v>2954</v>
      </c>
      <c r="AG456" s="308" t="s">
        <v>2955</v>
      </c>
      <c r="AH456" s="318" t="s">
        <v>6490</v>
      </c>
      <c r="AI456" s="308"/>
      <c r="AJ456" s="308"/>
      <c r="AK456" s="308"/>
      <c r="AL456" s="308"/>
      <c r="AM456" s="308"/>
      <c r="AN456" s="308"/>
      <c r="AO456" s="308"/>
      <c r="AP456" s="308"/>
      <c r="AQ456" s="308"/>
      <c r="AR456" s="308"/>
      <c r="AS456" s="311"/>
      <c r="AT456" s="311"/>
      <c r="AU456" s="311"/>
      <c r="AV456" s="308" t="s">
        <v>2956</v>
      </c>
      <c r="AW456" s="308">
        <v>4.8044030263623E13</v>
      </c>
      <c r="AX456" s="310">
        <v>0.0</v>
      </c>
      <c r="AY456" s="308" t="s">
        <v>2974</v>
      </c>
      <c r="AZ456" s="308">
        <v>0.0</v>
      </c>
      <c r="BA456" s="311"/>
      <c r="BB456" s="311"/>
      <c r="BC456" s="311"/>
      <c r="BD456" s="308">
        <v>7.896402690375E12</v>
      </c>
      <c r="BE456" s="311"/>
      <c r="BF456" s="311"/>
      <c r="BG456" s="308" t="s">
        <v>2958</v>
      </c>
      <c r="BH456" s="308">
        <v>0.0</v>
      </c>
      <c r="BI456" s="308" t="s">
        <v>2959</v>
      </c>
      <c r="BJ456" s="308">
        <v>18.03</v>
      </c>
      <c r="BK456" s="311"/>
      <c r="BL456" s="311"/>
      <c r="BM456" s="311"/>
      <c r="BN456" s="311"/>
      <c r="BO456" s="311"/>
      <c r="BP456" s="311"/>
      <c r="BQ456" s="311"/>
      <c r="BR456" s="311"/>
      <c r="BS456" s="308"/>
      <c r="BT456" s="311"/>
      <c r="BU456" s="311"/>
      <c r="BV456" s="308" t="s">
        <v>23</v>
      </c>
      <c r="BW456" s="308"/>
      <c r="BX456" s="308" t="s">
        <v>2956</v>
      </c>
      <c r="BY456" s="311"/>
      <c r="BZ456" s="311"/>
      <c r="CA456" s="308" t="s">
        <v>2956</v>
      </c>
      <c r="CB456" s="312" t="str">
        <f t="shared" si="1"/>
        <v>29/06/2026</v>
      </c>
      <c r="CC456" s="313">
        <f t="shared" si="2"/>
        <v>2026</v>
      </c>
      <c r="CD456" s="314">
        <f t="shared" si="3"/>
        <v>6</v>
      </c>
      <c r="CE456" s="314">
        <f t="shared" si="4"/>
        <v>1</v>
      </c>
      <c r="CF456" s="314">
        <f t="shared" si="5"/>
        <v>1</v>
      </c>
      <c r="CG456" s="314">
        <f t="shared" si="6"/>
        <v>-5</v>
      </c>
      <c r="CH456" s="315">
        <f>VLOOKUP(CL456,'PRODUCT_COGS&amp;PRICE'!A:E,5,false)</f>
        <v>16.5</v>
      </c>
      <c r="CI456" s="315">
        <f t="shared" si="7"/>
        <v>-2.15</v>
      </c>
      <c r="CJ456" s="316">
        <f t="shared" si="8"/>
        <v>0</v>
      </c>
      <c r="CK456" s="316">
        <f t="shared" si="9"/>
        <v>0</v>
      </c>
      <c r="CL456" s="314" t="str">
        <f>VLOOKUP(R456,PRODUCT_MAP!A:B,2,FALSE)</f>
        <v>Annie_Bag_PAILLETTES_NUDE</v>
      </c>
      <c r="CM456" s="314" t="str">
        <f>VLOOKUP(R456,PRODUCT_MAP!A:E,3,FALSE)</f>
        <v/>
      </c>
    </row>
    <row r="457" ht="22.5" customHeight="1">
      <c r="A457" s="308" t="s">
        <v>6491</v>
      </c>
      <c r="B457" s="308" t="s">
        <v>6492</v>
      </c>
      <c r="C457" s="308" t="s">
        <v>2942</v>
      </c>
      <c r="D457" s="308" t="s">
        <v>6493</v>
      </c>
      <c r="E457" s="308" t="s">
        <v>3013</v>
      </c>
      <c r="F457" s="308"/>
      <c r="G457" s="308" t="s">
        <v>2946</v>
      </c>
      <c r="H457" s="308" t="s">
        <v>2947</v>
      </c>
      <c r="I457" s="308">
        <v>108.0</v>
      </c>
      <c r="J457" s="308">
        <v>0.0</v>
      </c>
      <c r="K457" s="308">
        <v>19.48</v>
      </c>
      <c r="L457" s="308">
        <v>108.0</v>
      </c>
      <c r="M457" s="308" t="s">
        <v>3094</v>
      </c>
      <c r="N457" s="308">
        <v>12.0</v>
      </c>
      <c r="O457" s="308" t="s">
        <v>2948</v>
      </c>
      <c r="P457" s="308" t="s">
        <v>6494</v>
      </c>
      <c r="Q457" s="310">
        <v>1.0</v>
      </c>
      <c r="R457" s="308" t="s">
        <v>569</v>
      </c>
      <c r="S457" s="308">
        <v>120.0</v>
      </c>
      <c r="T457" s="311"/>
      <c r="U457" s="308" t="s">
        <v>3375</v>
      </c>
      <c r="V457" s="308" t="b">
        <v>1</v>
      </c>
      <c r="W457" s="308" t="b">
        <v>1</v>
      </c>
      <c r="X457" s="308"/>
      <c r="Y457" s="308" t="s">
        <v>6495</v>
      </c>
      <c r="Z457" s="308" t="s">
        <v>6496</v>
      </c>
      <c r="AA457" s="308" t="s">
        <v>6496</v>
      </c>
      <c r="AB457" s="308"/>
      <c r="AC457" s="308"/>
      <c r="AD457" s="308" t="s">
        <v>6497</v>
      </c>
      <c r="AE457" s="308">
        <v>23020.0</v>
      </c>
      <c r="AF457" s="308" t="s">
        <v>5894</v>
      </c>
      <c r="AG457" s="308" t="s">
        <v>2955</v>
      </c>
      <c r="AH457" s="308">
        <v>3.409418424E9</v>
      </c>
      <c r="AI457" s="308" t="s">
        <v>6495</v>
      </c>
      <c r="AJ457" s="308" t="s">
        <v>6496</v>
      </c>
      <c r="AK457" s="308" t="s">
        <v>6496</v>
      </c>
      <c r="AL457" s="308"/>
      <c r="AM457" s="308"/>
      <c r="AN457" s="308" t="s">
        <v>6497</v>
      </c>
      <c r="AO457" s="308">
        <v>23020.0</v>
      </c>
      <c r="AP457" s="308" t="s">
        <v>5894</v>
      </c>
      <c r="AQ457" s="308" t="s">
        <v>2955</v>
      </c>
      <c r="AR457" s="308">
        <v>3.409418424E9</v>
      </c>
      <c r="AS457" s="311"/>
      <c r="AT457" s="311"/>
      <c r="AU457" s="311"/>
      <c r="AV457" s="308" t="s">
        <v>2956</v>
      </c>
      <c r="AW457" s="308">
        <v>4.8045618987335E13</v>
      </c>
      <c r="AX457" s="310">
        <v>0.0</v>
      </c>
      <c r="AY457" s="308" t="s">
        <v>2974</v>
      </c>
      <c r="AZ457" s="308">
        <v>0.0</v>
      </c>
      <c r="BA457" s="311"/>
      <c r="BB457" s="311"/>
      <c r="BC457" s="311"/>
      <c r="BD457" s="308">
        <v>7.897108218183E12</v>
      </c>
      <c r="BE457" s="311"/>
      <c r="BF457" s="311"/>
      <c r="BG457" s="308" t="s">
        <v>2958</v>
      </c>
      <c r="BH457" s="308">
        <v>0.0</v>
      </c>
      <c r="BI457" s="308" t="s">
        <v>2959</v>
      </c>
      <c r="BJ457" s="308">
        <v>19.48</v>
      </c>
      <c r="BK457" s="311"/>
      <c r="BL457" s="311"/>
      <c r="BM457" s="311"/>
      <c r="BN457" s="311"/>
      <c r="BO457" s="311"/>
      <c r="BP457" s="311"/>
      <c r="BQ457" s="311"/>
      <c r="BR457" s="311"/>
      <c r="BS457" s="308"/>
      <c r="BT457" s="311"/>
      <c r="BU457" s="311"/>
      <c r="BV457" s="308" t="s">
        <v>5895</v>
      </c>
      <c r="BW457" s="308" t="s">
        <v>5895</v>
      </c>
      <c r="BX457" s="308" t="s">
        <v>2956</v>
      </c>
      <c r="BY457" s="311"/>
      <c r="BZ457" s="311"/>
      <c r="CA457" s="308" t="s">
        <v>2956</v>
      </c>
      <c r="CB457" s="312" t="str">
        <f t="shared" si="1"/>
        <v>29/06/2026</v>
      </c>
      <c r="CC457" s="313">
        <f t="shared" si="2"/>
        <v>2026</v>
      </c>
      <c r="CD457" s="314">
        <f t="shared" si="3"/>
        <v>6</v>
      </c>
      <c r="CE457" s="314">
        <f t="shared" si="4"/>
        <v>1</v>
      </c>
      <c r="CF457" s="314">
        <f t="shared" si="5"/>
        <v>1</v>
      </c>
      <c r="CG457" s="314">
        <f t="shared" si="6"/>
        <v>-5</v>
      </c>
      <c r="CH457" s="315">
        <f>VLOOKUP(CL457,'PRODUCT_COGS&amp;PRICE'!A:E,5,false)</f>
        <v>20</v>
      </c>
      <c r="CI457" s="315">
        <f t="shared" si="7"/>
        <v>-2.302</v>
      </c>
      <c r="CJ457" s="316">
        <f t="shared" si="8"/>
        <v>0</v>
      </c>
      <c r="CK457" s="316">
        <f t="shared" si="9"/>
        <v>12</v>
      </c>
      <c r="CL457" s="314" t="str">
        <f>VLOOKUP(R457,PRODUCT_MAP!A:B,2,FALSE)</f>
        <v>Lea_Bag_RED_PATENT</v>
      </c>
      <c r="CM457" s="314" t="str">
        <f>VLOOKUP(R457,PRODUCT_MAP!A:E,3,FALSE)</f>
        <v>Lea Bag</v>
      </c>
    </row>
    <row r="458" ht="22.5" customHeight="1">
      <c r="A458" s="308" t="s">
        <v>6498</v>
      </c>
      <c r="B458" s="308" t="s">
        <v>6499</v>
      </c>
      <c r="C458" s="308" t="s">
        <v>2942</v>
      </c>
      <c r="D458" s="308" t="s">
        <v>6500</v>
      </c>
      <c r="E458" s="308" t="s">
        <v>3013</v>
      </c>
      <c r="F458" s="308"/>
      <c r="G458" s="308" t="s">
        <v>2946</v>
      </c>
      <c r="H458" s="308" t="s">
        <v>2947</v>
      </c>
      <c r="I458" s="308">
        <v>108.0</v>
      </c>
      <c r="J458" s="308">
        <v>0.0</v>
      </c>
      <c r="K458" s="308">
        <v>19.48</v>
      </c>
      <c r="L458" s="308">
        <v>108.0</v>
      </c>
      <c r="M458" s="308" t="s">
        <v>3094</v>
      </c>
      <c r="N458" s="308">
        <v>12.0</v>
      </c>
      <c r="O458" s="308" t="s">
        <v>2948</v>
      </c>
      <c r="P458" s="308" t="s">
        <v>6501</v>
      </c>
      <c r="Q458" s="310">
        <v>1.0</v>
      </c>
      <c r="R458" s="308" t="s">
        <v>509</v>
      </c>
      <c r="S458" s="308">
        <v>120.0</v>
      </c>
      <c r="T458" s="311"/>
      <c r="U458" s="308" t="s">
        <v>161</v>
      </c>
      <c r="V458" s="308" t="b">
        <v>1</v>
      </c>
      <c r="W458" s="308" t="b">
        <v>1</v>
      </c>
      <c r="X458" s="308"/>
      <c r="Y458" s="308" t="s">
        <v>6502</v>
      </c>
      <c r="Z458" s="308" t="s">
        <v>6503</v>
      </c>
      <c r="AA458" s="308" t="s">
        <v>6503</v>
      </c>
      <c r="AB458" s="308"/>
      <c r="AC458" s="308"/>
      <c r="AD458" s="308" t="s">
        <v>6504</v>
      </c>
      <c r="AE458" s="308">
        <v>36027.0</v>
      </c>
      <c r="AF458" s="308" t="s">
        <v>3676</v>
      </c>
      <c r="AG458" s="308" t="s">
        <v>2955</v>
      </c>
      <c r="AH458" s="308"/>
      <c r="AI458" s="308" t="s">
        <v>6502</v>
      </c>
      <c r="AJ458" s="308" t="s">
        <v>6505</v>
      </c>
      <c r="AK458" s="308" t="s">
        <v>6506</v>
      </c>
      <c r="AL458" s="308" t="s">
        <v>6507</v>
      </c>
      <c r="AM458" s="308"/>
      <c r="AN458" s="308" t="s">
        <v>6504</v>
      </c>
      <c r="AO458" s="308">
        <v>36027.0</v>
      </c>
      <c r="AP458" s="308" t="s">
        <v>3676</v>
      </c>
      <c r="AQ458" s="308" t="s">
        <v>2955</v>
      </c>
      <c r="AR458" s="308">
        <v>3.490776034E9</v>
      </c>
      <c r="AS458" s="311"/>
      <c r="AT458" s="311"/>
      <c r="AU458" s="311"/>
      <c r="AV458" s="308" t="s">
        <v>2956</v>
      </c>
      <c r="AW458" s="308">
        <v>4.8046503985479E13</v>
      </c>
      <c r="AX458" s="310">
        <v>0.0</v>
      </c>
      <c r="AY458" s="308" t="s">
        <v>2974</v>
      </c>
      <c r="AZ458" s="308">
        <v>0.0</v>
      </c>
      <c r="BA458" s="311"/>
      <c r="BB458" s="311"/>
      <c r="BC458" s="311"/>
      <c r="BD458" s="308">
        <v>7.897517621575E12</v>
      </c>
      <c r="BE458" s="311"/>
      <c r="BF458" s="311"/>
      <c r="BG458" s="308" t="s">
        <v>2958</v>
      </c>
      <c r="BH458" s="308">
        <v>0.0</v>
      </c>
      <c r="BI458" s="308" t="s">
        <v>2959</v>
      </c>
      <c r="BJ458" s="308">
        <v>19.48</v>
      </c>
      <c r="BK458" s="311"/>
      <c r="BL458" s="311"/>
      <c r="BM458" s="311"/>
      <c r="BN458" s="311"/>
      <c r="BO458" s="311"/>
      <c r="BP458" s="311"/>
      <c r="BQ458" s="311"/>
      <c r="BR458" s="311"/>
      <c r="BS458" s="308"/>
      <c r="BT458" s="311"/>
      <c r="BU458" s="311"/>
      <c r="BV458" s="308" t="s">
        <v>3678</v>
      </c>
      <c r="BW458" s="308" t="s">
        <v>3678</v>
      </c>
      <c r="BX458" s="308" t="s">
        <v>2956</v>
      </c>
      <c r="BY458" s="311"/>
      <c r="BZ458" s="311"/>
      <c r="CA458" s="308" t="s">
        <v>2956</v>
      </c>
      <c r="CB458" s="312" t="str">
        <f t="shared" si="1"/>
        <v>29/06/2026</v>
      </c>
      <c r="CC458" s="313">
        <f t="shared" si="2"/>
        <v>2026</v>
      </c>
      <c r="CD458" s="314">
        <f t="shared" si="3"/>
        <v>6</v>
      </c>
      <c r="CE458" s="314">
        <f t="shared" si="4"/>
        <v>1</v>
      </c>
      <c r="CF458" s="314">
        <f t="shared" si="5"/>
        <v>1</v>
      </c>
      <c r="CG458" s="314">
        <f t="shared" si="6"/>
        <v>-5</v>
      </c>
      <c r="CH458" s="315">
        <f>VLOOKUP(CL458,'PRODUCT_COGS&amp;PRICE'!A:E,5,false)</f>
        <v>30.33</v>
      </c>
      <c r="CI458" s="315">
        <f t="shared" si="7"/>
        <v>-2.302</v>
      </c>
      <c r="CJ458" s="316">
        <f t="shared" si="8"/>
        <v>0</v>
      </c>
      <c r="CK458" s="316">
        <f t="shared" si="9"/>
        <v>12</v>
      </c>
      <c r="CL458" s="314" t="str">
        <f>VLOOKUP(R458,PRODUCT_MAP!A:B,2,FALSE)</f>
        <v>Lea_Bag_COCCO_BLACK</v>
      </c>
      <c r="CM458" s="314" t="str">
        <f>VLOOKUP(R458,PRODUCT_MAP!A:E,3,FALSE)</f>
        <v>Lea Bag</v>
      </c>
    </row>
    <row r="459" ht="22.5" customHeight="1">
      <c r="A459" s="308" t="s">
        <v>6508</v>
      </c>
      <c r="B459" s="308" t="s">
        <v>6509</v>
      </c>
      <c r="C459" s="308" t="s">
        <v>2942</v>
      </c>
      <c r="D459" s="308" t="s">
        <v>6510</v>
      </c>
      <c r="E459" s="308" t="s">
        <v>3013</v>
      </c>
      <c r="F459" s="308"/>
      <c r="G459" s="308" t="s">
        <v>2946</v>
      </c>
      <c r="H459" s="308" t="s">
        <v>2947</v>
      </c>
      <c r="I459" s="308">
        <v>63.0</v>
      </c>
      <c r="J459" s="308">
        <v>3.9</v>
      </c>
      <c r="K459" s="308">
        <v>12.06</v>
      </c>
      <c r="L459" s="308">
        <v>66.9</v>
      </c>
      <c r="M459" s="308" t="s">
        <v>3094</v>
      </c>
      <c r="N459" s="308">
        <v>7.0</v>
      </c>
      <c r="O459" s="308" t="s">
        <v>2948</v>
      </c>
      <c r="P459" s="308" t="s">
        <v>6510</v>
      </c>
      <c r="Q459" s="310">
        <v>1.0</v>
      </c>
      <c r="R459" s="308" t="s">
        <v>692</v>
      </c>
      <c r="S459" s="308">
        <v>70.0</v>
      </c>
      <c r="T459" s="311"/>
      <c r="U459" s="308" t="s">
        <v>44</v>
      </c>
      <c r="V459" s="308" t="b">
        <v>1</v>
      </c>
      <c r="W459" s="308" t="b">
        <v>1</v>
      </c>
      <c r="X459" s="308"/>
      <c r="Y459" s="308" t="s">
        <v>6511</v>
      </c>
      <c r="Z459" s="308" t="s">
        <v>6512</v>
      </c>
      <c r="AA459" s="308" t="s">
        <v>6512</v>
      </c>
      <c r="AB459" s="308"/>
      <c r="AC459" s="308"/>
      <c r="AD459" s="308" t="s">
        <v>23</v>
      </c>
      <c r="AE459" s="308">
        <v>20146.0</v>
      </c>
      <c r="AF459" s="308" t="s">
        <v>2954</v>
      </c>
      <c r="AG459" s="308" t="s">
        <v>2955</v>
      </c>
      <c r="AH459" s="318" t="s">
        <v>6513</v>
      </c>
      <c r="AI459" s="308" t="s">
        <v>6511</v>
      </c>
      <c r="AJ459" s="308" t="s">
        <v>6512</v>
      </c>
      <c r="AK459" s="308" t="s">
        <v>6512</v>
      </c>
      <c r="AL459" s="308"/>
      <c r="AM459" s="308"/>
      <c r="AN459" s="308" t="s">
        <v>23</v>
      </c>
      <c r="AO459" s="308">
        <v>20146.0</v>
      </c>
      <c r="AP459" s="308" t="s">
        <v>2954</v>
      </c>
      <c r="AQ459" s="308" t="s">
        <v>2955</v>
      </c>
      <c r="AR459" s="318" t="s">
        <v>6513</v>
      </c>
      <c r="AS459" s="311"/>
      <c r="AT459" s="311"/>
      <c r="AU459" s="311"/>
      <c r="AV459" s="308" t="s">
        <v>3009</v>
      </c>
      <c r="AW459" s="308">
        <v>4.8046725333319E13</v>
      </c>
      <c r="AX459" s="310">
        <v>0.0</v>
      </c>
      <c r="AY459" s="308" t="s">
        <v>2974</v>
      </c>
      <c r="AZ459" s="308">
        <v>0.0</v>
      </c>
      <c r="BA459" s="311"/>
      <c r="BB459" s="311"/>
      <c r="BC459" s="311"/>
      <c r="BD459" s="308">
        <v>7.897621856583E12</v>
      </c>
      <c r="BE459" s="311"/>
      <c r="BF459" s="311"/>
      <c r="BG459" s="308" t="s">
        <v>2958</v>
      </c>
      <c r="BH459" s="308">
        <v>0.0</v>
      </c>
      <c r="BI459" s="308" t="s">
        <v>2959</v>
      </c>
      <c r="BJ459" s="308">
        <v>11.36</v>
      </c>
      <c r="BK459" s="311"/>
      <c r="BL459" s="311"/>
      <c r="BM459" s="311"/>
      <c r="BN459" s="311"/>
      <c r="BO459" s="311"/>
      <c r="BP459" s="311"/>
      <c r="BQ459" s="311"/>
      <c r="BR459" s="311"/>
      <c r="BS459" s="308"/>
      <c r="BT459" s="311"/>
      <c r="BU459" s="311"/>
      <c r="BV459" s="308" t="s">
        <v>23</v>
      </c>
      <c r="BW459" s="308" t="s">
        <v>23</v>
      </c>
      <c r="BX459" s="308" t="s">
        <v>3009</v>
      </c>
      <c r="BY459" s="311"/>
      <c r="BZ459" s="311"/>
      <c r="CA459" s="308" t="s">
        <v>3009</v>
      </c>
      <c r="CB459" s="312" t="str">
        <f t="shared" si="1"/>
        <v>29/06/2026</v>
      </c>
      <c r="CC459" s="313">
        <f t="shared" si="2"/>
        <v>2026</v>
      </c>
      <c r="CD459" s="314">
        <f t="shared" si="3"/>
        <v>6</v>
      </c>
      <c r="CE459" s="314">
        <f t="shared" si="4"/>
        <v>1</v>
      </c>
      <c r="CF459" s="314">
        <f t="shared" si="5"/>
        <v>1</v>
      </c>
      <c r="CG459" s="314">
        <f t="shared" si="6"/>
        <v>0</v>
      </c>
      <c r="CH459" s="315">
        <f>VLOOKUP(CL459,'PRODUCT_COGS&amp;PRICE'!A:E,5,false)</f>
        <v>14.58</v>
      </c>
      <c r="CI459" s="315">
        <f t="shared" si="7"/>
        <v>-2.68481</v>
      </c>
      <c r="CJ459" s="316">
        <f t="shared" si="8"/>
        <v>0</v>
      </c>
      <c r="CK459" s="316">
        <f t="shared" si="9"/>
        <v>7</v>
      </c>
      <c r="CL459" s="314" t="str">
        <f>VLOOKUP(R459,PRODUCT_MAP!A:B,2,FALSE)</f>
        <v>Nina_Bag_Maxi_STRIPES_REED</v>
      </c>
      <c r="CM459" s="314" t="str">
        <f>VLOOKUP(R459,PRODUCT_MAP!A:E,3,FALSE)</f>
        <v>Nina Bag Maxi</v>
      </c>
    </row>
    <row r="460" ht="22.5" customHeight="1">
      <c r="A460" s="308" t="s">
        <v>6514</v>
      </c>
      <c r="B460" s="308" t="s">
        <v>6515</v>
      </c>
      <c r="C460" s="308" t="s">
        <v>2942</v>
      </c>
      <c r="D460" s="308" t="s">
        <v>6516</v>
      </c>
      <c r="E460" s="308" t="s">
        <v>3013</v>
      </c>
      <c r="F460" s="308"/>
      <c r="G460" s="308" t="s">
        <v>2946</v>
      </c>
      <c r="H460" s="308" t="s">
        <v>2947</v>
      </c>
      <c r="I460" s="308">
        <v>81.0</v>
      </c>
      <c r="J460" s="308">
        <v>3.9</v>
      </c>
      <c r="K460" s="308">
        <v>15.31</v>
      </c>
      <c r="L460" s="308">
        <v>84.9</v>
      </c>
      <c r="M460" s="308" t="s">
        <v>3094</v>
      </c>
      <c r="N460" s="308">
        <v>9.0</v>
      </c>
      <c r="O460" s="308" t="s">
        <v>2948</v>
      </c>
      <c r="P460" s="308" t="s">
        <v>6517</v>
      </c>
      <c r="Q460" s="310">
        <v>1.0</v>
      </c>
      <c r="R460" s="308" t="s">
        <v>5852</v>
      </c>
      <c r="S460" s="308">
        <v>90.0</v>
      </c>
      <c r="T460" s="311"/>
      <c r="U460" s="308" t="s">
        <v>4221</v>
      </c>
      <c r="V460" s="308" t="b">
        <v>1</v>
      </c>
      <c r="W460" s="308" t="b">
        <v>1</v>
      </c>
      <c r="X460" s="308"/>
      <c r="Y460" s="308" t="s">
        <v>6518</v>
      </c>
      <c r="Z460" s="308" t="s">
        <v>6519</v>
      </c>
      <c r="AA460" s="308" t="s">
        <v>6519</v>
      </c>
      <c r="AB460" s="308"/>
      <c r="AC460" s="308"/>
      <c r="AD460" s="308" t="s">
        <v>6520</v>
      </c>
      <c r="AE460" s="308">
        <v>51037.0</v>
      </c>
      <c r="AF460" s="308" t="s">
        <v>6209</v>
      </c>
      <c r="AG460" s="308" t="s">
        <v>2955</v>
      </c>
      <c r="AH460" s="308"/>
      <c r="AI460" s="308" t="s">
        <v>6518</v>
      </c>
      <c r="AJ460" s="308" t="s">
        <v>6521</v>
      </c>
      <c r="AK460" s="308" t="s">
        <v>6521</v>
      </c>
      <c r="AL460" s="308"/>
      <c r="AM460" s="308"/>
      <c r="AN460" s="308" t="s">
        <v>3049</v>
      </c>
      <c r="AO460" s="308">
        <v>41121.0</v>
      </c>
      <c r="AP460" s="308" t="s">
        <v>3047</v>
      </c>
      <c r="AQ460" s="308" t="s">
        <v>2955</v>
      </c>
      <c r="AR460" s="308">
        <v>3.349822234E9</v>
      </c>
      <c r="AS460" s="311"/>
      <c r="AT460" s="311"/>
      <c r="AU460" s="311"/>
      <c r="AV460" s="308" t="s">
        <v>2956</v>
      </c>
      <c r="AW460" s="308">
        <v>4.8047655747911E13</v>
      </c>
      <c r="AX460" s="310">
        <v>0.0</v>
      </c>
      <c r="AY460" s="308" t="s">
        <v>2974</v>
      </c>
      <c r="AZ460" s="308">
        <v>0.0</v>
      </c>
      <c r="BA460" s="311"/>
      <c r="BB460" s="311"/>
      <c r="BC460" s="311"/>
      <c r="BD460" s="308">
        <v>7.898055147847E12</v>
      </c>
      <c r="BE460" s="311"/>
      <c r="BF460" s="311"/>
      <c r="BG460" s="308" t="s">
        <v>2958</v>
      </c>
      <c r="BH460" s="308">
        <v>0.0</v>
      </c>
      <c r="BI460" s="308" t="s">
        <v>2959</v>
      </c>
      <c r="BJ460" s="308">
        <v>14.61</v>
      </c>
      <c r="BK460" s="311"/>
      <c r="BL460" s="311"/>
      <c r="BM460" s="311"/>
      <c r="BN460" s="311"/>
      <c r="BO460" s="311"/>
      <c r="BP460" s="311"/>
      <c r="BQ460" s="311"/>
      <c r="BR460" s="311"/>
      <c r="BS460" s="308"/>
      <c r="BT460" s="311"/>
      <c r="BU460" s="311"/>
      <c r="BV460" s="308" t="s">
        <v>6210</v>
      </c>
      <c r="BW460" s="308" t="s">
        <v>3049</v>
      </c>
      <c r="BX460" s="308" t="s">
        <v>2956</v>
      </c>
      <c r="BY460" s="311"/>
      <c r="BZ460" s="311"/>
      <c r="CA460" s="308" t="s">
        <v>2956</v>
      </c>
      <c r="CB460" s="312" t="str">
        <f t="shared" si="1"/>
        <v>30/06/2026</v>
      </c>
      <c r="CC460" s="313">
        <f t="shared" si="2"/>
        <v>2026</v>
      </c>
      <c r="CD460" s="314">
        <f t="shared" si="3"/>
        <v>6</v>
      </c>
      <c r="CE460" s="314">
        <f t="shared" si="4"/>
        <v>1</v>
      </c>
      <c r="CF460" s="314">
        <f t="shared" si="5"/>
        <v>1</v>
      </c>
      <c r="CG460" s="314">
        <f t="shared" si="6"/>
        <v>0</v>
      </c>
      <c r="CH460" s="315">
        <f>VLOOKUP(CL460,'PRODUCT_COGS&amp;PRICE'!A:E,5,false)</f>
        <v>16.5</v>
      </c>
      <c r="CI460" s="315">
        <f t="shared" si="7"/>
        <v>-1.8631</v>
      </c>
      <c r="CJ460" s="316">
        <f t="shared" si="8"/>
        <v>0</v>
      </c>
      <c r="CK460" s="316">
        <f t="shared" si="9"/>
        <v>9</v>
      </c>
      <c r="CL460" s="314" t="str">
        <f>VLOOKUP(R460,PRODUCT_MAP!A:B,2,FALSE)</f>
        <v>Annie_Bag_PAILLETTES_NUDE</v>
      </c>
      <c r="CM460" s="314" t="str">
        <f>VLOOKUP(R460,PRODUCT_MAP!A:E,3,FALSE)</f>
        <v>Agata Bag</v>
      </c>
    </row>
    <row r="461" ht="22.5" customHeight="1">
      <c r="A461" s="308" t="s">
        <v>6522</v>
      </c>
      <c r="B461" s="308" t="s">
        <v>6523</v>
      </c>
      <c r="C461" s="308" t="s">
        <v>2942</v>
      </c>
      <c r="D461" s="308" t="s">
        <v>6524</v>
      </c>
      <c r="E461" s="308" t="s">
        <v>3013</v>
      </c>
      <c r="F461" s="308"/>
      <c r="G461" s="308" t="s">
        <v>2965</v>
      </c>
      <c r="H461" s="308" t="s">
        <v>2947</v>
      </c>
      <c r="I461" s="308">
        <v>90.0</v>
      </c>
      <c r="J461" s="308">
        <v>3.9</v>
      </c>
      <c r="K461" s="308">
        <v>16.93</v>
      </c>
      <c r="L461" s="308">
        <v>93.9</v>
      </c>
      <c r="M461" s="308"/>
      <c r="N461" s="308">
        <v>0.0</v>
      </c>
      <c r="O461" s="308" t="s">
        <v>2948</v>
      </c>
      <c r="P461" s="308" t="s">
        <v>6525</v>
      </c>
      <c r="Q461" s="310">
        <v>1.0</v>
      </c>
      <c r="R461" s="308" t="s">
        <v>5852</v>
      </c>
      <c r="S461" s="308">
        <v>90.0</v>
      </c>
      <c r="T461" s="311"/>
      <c r="U461" s="308" t="s">
        <v>4221</v>
      </c>
      <c r="V461" s="308" t="b">
        <v>1</v>
      </c>
      <c r="W461" s="308" t="b">
        <v>1</v>
      </c>
      <c r="X461" s="308"/>
      <c r="Y461" s="308" t="s">
        <v>6526</v>
      </c>
      <c r="Z461" s="308" t="s">
        <v>6527</v>
      </c>
      <c r="AA461" s="308" t="s">
        <v>6527</v>
      </c>
      <c r="AB461" s="308"/>
      <c r="AC461" s="308"/>
      <c r="AD461" s="308" t="s">
        <v>6528</v>
      </c>
      <c r="AE461" s="308">
        <v>20024.0</v>
      </c>
      <c r="AF461" s="308" t="s">
        <v>2954</v>
      </c>
      <c r="AG461" s="308" t="s">
        <v>2955</v>
      </c>
      <c r="AH461" s="308"/>
      <c r="AI461" s="308" t="s">
        <v>6526</v>
      </c>
      <c r="AJ461" s="308" t="s">
        <v>6529</v>
      </c>
      <c r="AK461" s="308" t="s">
        <v>6530</v>
      </c>
      <c r="AL461" s="308" t="s">
        <v>6531</v>
      </c>
      <c r="AM461" s="308"/>
      <c r="AN461" s="308" t="s">
        <v>6532</v>
      </c>
      <c r="AO461" s="308">
        <v>20024.0</v>
      </c>
      <c r="AP461" s="308" t="s">
        <v>2954</v>
      </c>
      <c r="AQ461" s="308" t="s">
        <v>2955</v>
      </c>
      <c r="AR461" s="308">
        <v>3.401447328E9</v>
      </c>
      <c r="AS461" s="311"/>
      <c r="AT461" s="311"/>
      <c r="AU461" s="311"/>
      <c r="AV461" s="308" t="s">
        <v>2956</v>
      </c>
      <c r="AW461" s="308">
        <v>4.8050239799623E13</v>
      </c>
      <c r="AX461" s="310">
        <v>0.0</v>
      </c>
      <c r="AY461" s="308" t="s">
        <v>2974</v>
      </c>
      <c r="AZ461" s="308">
        <v>0.0</v>
      </c>
      <c r="BA461" s="311"/>
      <c r="BB461" s="311"/>
      <c r="BC461" s="311"/>
      <c r="BD461" s="308">
        <v>7.899113324871E12</v>
      </c>
      <c r="BE461" s="311"/>
      <c r="BF461" s="311"/>
      <c r="BG461" s="308" t="s">
        <v>2958</v>
      </c>
      <c r="BH461" s="308">
        <v>0.0</v>
      </c>
      <c r="BI461" s="308" t="s">
        <v>2959</v>
      </c>
      <c r="BJ461" s="308">
        <v>16.23</v>
      </c>
      <c r="BK461" s="311"/>
      <c r="BL461" s="311"/>
      <c r="BM461" s="311"/>
      <c r="BN461" s="311"/>
      <c r="BO461" s="311"/>
      <c r="BP461" s="311"/>
      <c r="BQ461" s="311"/>
      <c r="BR461" s="311"/>
      <c r="BS461" s="308"/>
      <c r="BT461" s="311"/>
      <c r="BU461" s="311"/>
      <c r="BV461" s="308" t="s">
        <v>23</v>
      </c>
      <c r="BW461" s="308" t="s">
        <v>23</v>
      </c>
      <c r="BX461" s="308" t="s">
        <v>2956</v>
      </c>
      <c r="BY461" s="311"/>
      <c r="BZ461" s="311"/>
      <c r="CA461" s="308" t="s">
        <v>2956</v>
      </c>
      <c r="CB461" s="312" t="str">
        <f t="shared" si="1"/>
        <v>30/06/2026</v>
      </c>
      <c r="CC461" s="313">
        <f t="shared" si="2"/>
        <v>2026</v>
      </c>
      <c r="CD461" s="314">
        <f t="shared" si="3"/>
        <v>6</v>
      </c>
      <c r="CE461" s="314">
        <f t="shared" si="4"/>
        <v>1</v>
      </c>
      <c r="CF461" s="314">
        <f t="shared" si="5"/>
        <v>1</v>
      </c>
      <c r="CG461" s="314">
        <f t="shared" si="6"/>
        <v>0</v>
      </c>
      <c r="CH461" s="315">
        <f>VLOOKUP(CL461,'PRODUCT_COGS&amp;PRICE'!A:E,5,false)</f>
        <v>16.5</v>
      </c>
      <c r="CI461" s="315">
        <f t="shared" si="7"/>
        <v>-2.0341</v>
      </c>
      <c r="CJ461" s="316">
        <f t="shared" si="8"/>
        <v>0</v>
      </c>
      <c r="CK461" s="316">
        <f t="shared" si="9"/>
        <v>0</v>
      </c>
      <c r="CL461" s="314" t="str">
        <f>VLOOKUP(R461,PRODUCT_MAP!A:B,2,FALSE)</f>
        <v>Annie_Bag_PAILLETTES_NUDE</v>
      </c>
      <c r="CM461" s="314" t="str">
        <f>VLOOKUP(R461,PRODUCT_MAP!A:E,3,FALSE)</f>
        <v>Agata Bag</v>
      </c>
    </row>
    <row r="462" ht="22.5" customHeight="1">
      <c r="A462" s="308" t="s">
        <v>6533</v>
      </c>
      <c r="B462" s="308" t="s">
        <v>6534</v>
      </c>
      <c r="C462" s="308" t="s">
        <v>2942</v>
      </c>
      <c r="D462" s="308" t="s">
        <v>6535</v>
      </c>
      <c r="E462" s="308" t="s">
        <v>3013</v>
      </c>
      <c r="F462" s="308"/>
      <c r="G462" s="308" t="s">
        <v>2946</v>
      </c>
      <c r="H462" s="308" t="s">
        <v>2947</v>
      </c>
      <c r="I462" s="308">
        <v>50.0</v>
      </c>
      <c r="J462" s="308">
        <v>3.9</v>
      </c>
      <c r="K462" s="308">
        <v>9.72</v>
      </c>
      <c r="L462" s="308">
        <v>53.9</v>
      </c>
      <c r="M462" s="308"/>
      <c r="N462" s="308">
        <v>0.0</v>
      </c>
      <c r="O462" s="308" t="s">
        <v>2948</v>
      </c>
      <c r="P462" s="308" t="s">
        <v>6536</v>
      </c>
      <c r="Q462" s="310">
        <v>1.0</v>
      </c>
      <c r="R462" s="308" t="s">
        <v>712</v>
      </c>
      <c r="S462" s="308">
        <v>50.0</v>
      </c>
      <c r="T462" s="311"/>
      <c r="U462" s="308" t="s">
        <v>6537</v>
      </c>
      <c r="V462" s="308" t="b">
        <v>1</v>
      </c>
      <c r="W462" s="308" t="b">
        <v>1</v>
      </c>
      <c r="X462" s="308"/>
      <c r="Y462" s="308" t="s">
        <v>6538</v>
      </c>
      <c r="Z462" s="308" t="s">
        <v>6539</v>
      </c>
      <c r="AA462" s="308" t="s">
        <v>6539</v>
      </c>
      <c r="AB462" s="308"/>
      <c r="AC462" s="308"/>
      <c r="AD462" s="308" t="s">
        <v>6540</v>
      </c>
      <c r="AE462" s="308">
        <v>36078.0</v>
      </c>
      <c r="AF462" s="308" t="s">
        <v>3676</v>
      </c>
      <c r="AG462" s="308" t="s">
        <v>2955</v>
      </c>
      <c r="AH462" s="308">
        <v>3.464267162E9</v>
      </c>
      <c r="AI462" s="308" t="s">
        <v>6538</v>
      </c>
      <c r="AJ462" s="308" t="s">
        <v>6539</v>
      </c>
      <c r="AK462" s="308" t="s">
        <v>6539</v>
      </c>
      <c r="AL462" s="308"/>
      <c r="AM462" s="308"/>
      <c r="AN462" s="308" t="s">
        <v>6540</v>
      </c>
      <c r="AO462" s="308">
        <v>36078.0</v>
      </c>
      <c r="AP462" s="308" t="s">
        <v>3676</v>
      </c>
      <c r="AQ462" s="308" t="s">
        <v>2955</v>
      </c>
      <c r="AR462" s="308">
        <v>3.464267162E9</v>
      </c>
      <c r="AS462" s="311"/>
      <c r="AT462" s="311"/>
      <c r="AU462" s="311"/>
      <c r="AV462" s="308" t="s">
        <v>2956</v>
      </c>
      <c r="AW462" s="308">
        <v>4.8052848394567E13</v>
      </c>
      <c r="AX462" s="310">
        <v>0.0</v>
      </c>
      <c r="AY462" s="308" t="s">
        <v>2974</v>
      </c>
      <c r="AZ462" s="308">
        <v>0.0</v>
      </c>
      <c r="BA462" s="311"/>
      <c r="BB462" s="311"/>
      <c r="BC462" s="311"/>
      <c r="BD462" s="308">
        <v>7.900451242311E12</v>
      </c>
      <c r="BE462" s="311"/>
      <c r="BF462" s="311"/>
      <c r="BG462" s="308" t="s">
        <v>2958</v>
      </c>
      <c r="BH462" s="308">
        <v>0.0</v>
      </c>
      <c r="BI462" s="308" t="s">
        <v>2959</v>
      </c>
      <c r="BJ462" s="308">
        <v>9.02</v>
      </c>
      <c r="BK462" s="311"/>
      <c r="BL462" s="311"/>
      <c r="BM462" s="311"/>
      <c r="BN462" s="311"/>
      <c r="BO462" s="311"/>
      <c r="BP462" s="311"/>
      <c r="BQ462" s="311"/>
      <c r="BR462" s="311"/>
      <c r="BS462" s="308"/>
      <c r="BT462" s="311"/>
      <c r="BU462" s="311"/>
      <c r="BV462" s="308" t="s">
        <v>3678</v>
      </c>
      <c r="BW462" s="308" t="s">
        <v>3678</v>
      </c>
      <c r="BX462" s="308" t="s">
        <v>2956</v>
      </c>
      <c r="BY462" s="311"/>
      <c r="BZ462" s="311"/>
      <c r="CA462" s="308" t="s">
        <v>2956</v>
      </c>
      <c r="CB462" s="312" t="str">
        <f t="shared" si="1"/>
        <v>30/06/2026</v>
      </c>
      <c r="CC462" s="313">
        <f t="shared" si="2"/>
        <v>2026</v>
      </c>
      <c r="CD462" s="314">
        <f t="shared" si="3"/>
        <v>6</v>
      </c>
      <c r="CE462" s="314">
        <f t="shared" si="4"/>
        <v>1</v>
      </c>
      <c r="CF462" s="314">
        <f t="shared" si="5"/>
        <v>1</v>
      </c>
      <c r="CG462" s="314">
        <f t="shared" si="6"/>
        <v>0</v>
      </c>
      <c r="CH462" s="315">
        <f>VLOOKUP(CL462,'PRODUCT_COGS&amp;PRICE'!A:E,5,false)</f>
        <v>4</v>
      </c>
      <c r="CI462" s="315">
        <f t="shared" si="7"/>
        <v>-1.2741</v>
      </c>
      <c r="CJ462" s="316">
        <f t="shared" si="8"/>
        <v>0</v>
      </c>
      <c r="CK462" s="316">
        <f t="shared" si="9"/>
        <v>0</v>
      </c>
      <c r="CL462" s="314" t="str">
        <f>VLOOKUP(R462,PRODUCT_MAP!A:B,2,FALSE)</f>
        <v>Nina_Bag_Stripes_Mint</v>
      </c>
      <c r="CM462" s="314" t="str">
        <f>VLOOKUP(R462,PRODUCT_MAP!A:E,3,FALSE)</f>
        <v>Nina Bag</v>
      </c>
    </row>
    <row r="463" ht="22.5" customHeight="1">
      <c r="A463" s="308" t="s">
        <v>6541</v>
      </c>
      <c r="B463" s="308" t="s">
        <v>6542</v>
      </c>
      <c r="C463" s="308" t="s">
        <v>2942</v>
      </c>
      <c r="D463" s="308" t="s">
        <v>6543</v>
      </c>
      <c r="E463" s="308" t="s">
        <v>3013</v>
      </c>
      <c r="F463" s="308"/>
      <c r="G463" s="308" t="s">
        <v>2965</v>
      </c>
      <c r="H463" s="308" t="s">
        <v>2947</v>
      </c>
      <c r="I463" s="308">
        <v>120.0</v>
      </c>
      <c r="J463" s="308">
        <v>0.0</v>
      </c>
      <c r="K463" s="308">
        <v>21.64</v>
      </c>
      <c r="L463" s="308">
        <v>120.0</v>
      </c>
      <c r="M463" s="308"/>
      <c r="N463" s="308">
        <v>0.0</v>
      </c>
      <c r="O463" s="308" t="s">
        <v>2948</v>
      </c>
      <c r="P463" s="308" t="s">
        <v>6544</v>
      </c>
      <c r="Q463" s="310">
        <v>1.0</v>
      </c>
      <c r="R463" s="308" t="s">
        <v>595</v>
      </c>
      <c r="S463" s="308">
        <v>120.0</v>
      </c>
      <c r="T463" s="311"/>
      <c r="U463" s="308" t="s">
        <v>599</v>
      </c>
      <c r="V463" s="308" t="b">
        <v>1</v>
      </c>
      <c r="W463" s="308" t="b">
        <v>1</v>
      </c>
      <c r="X463" s="308"/>
      <c r="Y463" s="308" t="s">
        <v>6545</v>
      </c>
      <c r="Z463" s="308" t="s">
        <v>6546</v>
      </c>
      <c r="AA463" s="308" t="s">
        <v>6546</v>
      </c>
      <c r="AB463" s="308"/>
      <c r="AC463" s="308"/>
      <c r="AD463" s="308" t="s">
        <v>23</v>
      </c>
      <c r="AE463" s="308">
        <v>20129.0</v>
      </c>
      <c r="AF463" s="308" t="s">
        <v>2954</v>
      </c>
      <c r="AG463" s="308" t="s">
        <v>2955</v>
      </c>
      <c r="AH463" s="308">
        <v>3.93665071668E11</v>
      </c>
      <c r="AI463" s="308" t="s">
        <v>6545</v>
      </c>
      <c r="AJ463" s="308" t="s">
        <v>6546</v>
      </c>
      <c r="AK463" s="308" t="s">
        <v>6546</v>
      </c>
      <c r="AL463" s="308"/>
      <c r="AM463" s="308"/>
      <c r="AN463" s="308" t="s">
        <v>23</v>
      </c>
      <c r="AO463" s="308">
        <v>20129.0</v>
      </c>
      <c r="AP463" s="308" t="s">
        <v>2954</v>
      </c>
      <c r="AQ463" s="308" t="s">
        <v>2955</v>
      </c>
      <c r="AR463" s="308">
        <v>3.93665071668E11</v>
      </c>
      <c r="AS463" s="311"/>
      <c r="AT463" s="311"/>
      <c r="AU463" s="311"/>
      <c r="AV463" s="308" t="s">
        <v>2956</v>
      </c>
      <c r="AW463" s="308">
        <v>4.8056903401799E13</v>
      </c>
      <c r="AX463" s="310">
        <v>0.0</v>
      </c>
      <c r="AY463" s="308" t="s">
        <v>2974</v>
      </c>
      <c r="AZ463" s="308">
        <v>0.0</v>
      </c>
      <c r="BA463" s="311"/>
      <c r="BB463" s="311"/>
      <c r="BC463" s="311"/>
      <c r="BD463" s="308">
        <v>7.902519230791E12</v>
      </c>
      <c r="BE463" s="311"/>
      <c r="BF463" s="311"/>
      <c r="BG463" s="308" t="s">
        <v>2958</v>
      </c>
      <c r="BH463" s="308">
        <v>0.0</v>
      </c>
      <c r="BI463" s="308" t="s">
        <v>2959</v>
      </c>
      <c r="BJ463" s="308">
        <v>21.64</v>
      </c>
      <c r="BK463" s="311"/>
      <c r="BL463" s="311"/>
      <c r="BM463" s="311"/>
      <c r="BN463" s="311"/>
      <c r="BO463" s="311"/>
      <c r="BP463" s="311"/>
      <c r="BQ463" s="311"/>
      <c r="BR463" s="311"/>
      <c r="BS463" s="318" t="s">
        <v>6547</v>
      </c>
      <c r="BT463" s="311"/>
      <c r="BU463" s="311"/>
      <c r="BV463" s="308" t="s">
        <v>23</v>
      </c>
      <c r="BW463" s="308" t="s">
        <v>23</v>
      </c>
      <c r="BX463" s="308" t="s">
        <v>2956</v>
      </c>
      <c r="BY463" s="311"/>
      <c r="BZ463" s="311"/>
      <c r="CA463" s="308" t="s">
        <v>2956</v>
      </c>
      <c r="CB463" s="312" t="str">
        <f t="shared" si="1"/>
        <v>01/07/2026</v>
      </c>
      <c r="CC463" s="313">
        <f t="shared" si="2"/>
        <v>2026</v>
      </c>
      <c r="CD463" s="314">
        <f t="shared" si="3"/>
        <v>7</v>
      </c>
      <c r="CE463" s="314">
        <f t="shared" si="4"/>
        <v>1</v>
      </c>
      <c r="CF463" s="314">
        <f t="shared" si="5"/>
        <v>1</v>
      </c>
      <c r="CG463" s="314">
        <f t="shared" si="6"/>
        <v>-5</v>
      </c>
      <c r="CH463" s="315">
        <f>VLOOKUP(CL463,'PRODUCT_COGS&amp;PRICE'!A:E,5,false)</f>
        <v>26</v>
      </c>
      <c r="CI463" s="315">
        <f t="shared" si="7"/>
        <v>-2.53</v>
      </c>
      <c r="CJ463" s="316">
        <f t="shared" si="8"/>
        <v>0</v>
      </c>
      <c r="CK463" s="316">
        <f t="shared" si="9"/>
        <v>0</v>
      </c>
      <c r="CL463" s="314" t="str">
        <f>VLOOKUP(R463,PRODUCT_MAP!A:B,2,FALSE)</f>
        <v>Maria_Bag_GREEN_PIERCING</v>
      </c>
      <c r="CM463" s="314" t="str">
        <f>VLOOKUP(R463,PRODUCT_MAP!A:E,3,FALSE)</f>
        <v>Maria Bag</v>
      </c>
    </row>
    <row r="464" ht="22.5" customHeight="1">
      <c r="A464" s="308" t="s">
        <v>6548</v>
      </c>
      <c r="B464" s="308" t="s">
        <v>6549</v>
      </c>
      <c r="C464" s="308" t="s">
        <v>2942</v>
      </c>
      <c r="D464" s="308" t="s">
        <v>6550</v>
      </c>
      <c r="E464" s="308" t="s">
        <v>3013</v>
      </c>
      <c r="F464" s="308"/>
      <c r="G464" s="308" t="s">
        <v>2946</v>
      </c>
      <c r="H464" s="308" t="s">
        <v>2947</v>
      </c>
      <c r="I464" s="308">
        <v>72.0</v>
      </c>
      <c r="J464" s="308">
        <v>3.9</v>
      </c>
      <c r="K464" s="308">
        <v>13.68</v>
      </c>
      <c r="L464" s="308">
        <v>75.9</v>
      </c>
      <c r="M464" s="308" t="s">
        <v>3094</v>
      </c>
      <c r="N464" s="308">
        <v>8.0</v>
      </c>
      <c r="O464" s="308" t="s">
        <v>2948</v>
      </c>
      <c r="P464" s="308" t="s">
        <v>6551</v>
      </c>
      <c r="Q464" s="310">
        <v>1.0</v>
      </c>
      <c r="R464" s="308" t="s">
        <v>3883</v>
      </c>
      <c r="S464" s="308">
        <v>80.0</v>
      </c>
      <c r="T464" s="311"/>
      <c r="U464" s="308" t="s">
        <v>6552</v>
      </c>
      <c r="V464" s="308" t="b">
        <v>1</v>
      </c>
      <c r="W464" s="308" t="b">
        <v>1</v>
      </c>
      <c r="X464" s="308"/>
      <c r="Y464" s="308" t="s">
        <v>6553</v>
      </c>
      <c r="Z464" s="308" t="s">
        <v>6554</v>
      </c>
      <c r="AA464" s="308" t="s">
        <v>6555</v>
      </c>
      <c r="AB464" s="308" t="s">
        <v>6556</v>
      </c>
      <c r="AC464" s="308"/>
      <c r="AD464" s="308" t="s">
        <v>3081</v>
      </c>
      <c r="AE464" s="308">
        <v>146.0</v>
      </c>
      <c r="AF464" s="308" t="s">
        <v>3082</v>
      </c>
      <c r="AG464" s="308" t="s">
        <v>2955</v>
      </c>
      <c r="AH464" s="308">
        <v>3.314830961E9</v>
      </c>
      <c r="AI464" s="308" t="s">
        <v>6553</v>
      </c>
      <c r="AJ464" s="308" t="s">
        <v>6554</v>
      </c>
      <c r="AK464" s="308" t="s">
        <v>6555</v>
      </c>
      <c r="AL464" s="308" t="s">
        <v>6556</v>
      </c>
      <c r="AM464" s="308"/>
      <c r="AN464" s="308" t="s">
        <v>3081</v>
      </c>
      <c r="AO464" s="308">
        <v>146.0</v>
      </c>
      <c r="AP464" s="308" t="s">
        <v>3082</v>
      </c>
      <c r="AQ464" s="308" t="s">
        <v>2955</v>
      </c>
      <c r="AR464" s="308">
        <v>3.314830961E9</v>
      </c>
      <c r="AS464" s="311"/>
      <c r="AT464" s="311"/>
      <c r="AU464" s="311"/>
      <c r="AV464" s="308" t="s">
        <v>2956</v>
      </c>
      <c r="AW464" s="308">
        <v>4.8057082708295E13</v>
      </c>
      <c r="AX464" s="310">
        <v>0.0</v>
      </c>
      <c r="AY464" s="308" t="s">
        <v>2974</v>
      </c>
      <c r="AZ464" s="308">
        <v>0.0</v>
      </c>
      <c r="BA464" s="311"/>
      <c r="BB464" s="311"/>
      <c r="BC464" s="311"/>
      <c r="BD464" s="308">
        <v>7.902632083783E12</v>
      </c>
      <c r="BE464" s="311"/>
      <c r="BF464" s="311"/>
      <c r="BG464" s="308" t="s">
        <v>2958</v>
      </c>
      <c r="BH464" s="308">
        <v>0.0</v>
      </c>
      <c r="BI464" s="308" t="s">
        <v>2959</v>
      </c>
      <c r="BJ464" s="308">
        <v>12.98</v>
      </c>
      <c r="BK464" s="311"/>
      <c r="BL464" s="311"/>
      <c r="BM464" s="311"/>
      <c r="BN464" s="311"/>
      <c r="BO464" s="311"/>
      <c r="BP464" s="311"/>
      <c r="BQ464" s="311"/>
      <c r="BR464" s="311"/>
      <c r="BS464" s="308"/>
      <c r="BT464" s="311"/>
      <c r="BU464" s="311"/>
      <c r="BV464" s="308" t="s">
        <v>3081</v>
      </c>
      <c r="BW464" s="308" t="s">
        <v>3081</v>
      </c>
      <c r="BX464" s="308" t="s">
        <v>2956</v>
      </c>
      <c r="BY464" s="311"/>
      <c r="BZ464" s="311"/>
      <c r="CA464" s="308" t="s">
        <v>2956</v>
      </c>
      <c r="CB464" s="312" t="str">
        <f t="shared" si="1"/>
        <v>01/07/2026</v>
      </c>
      <c r="CC464" s="313">
        <f t="shared" si="2"/>
        <v>2026</v>
      </c>
      <c r="CD464" s="314">
        <f t="shared" si="3"/>
        <v>7</v>
      </c>
      <c r="CE464" s="314">
        <f t="shared" si="4"/>
        <v>1</v>
      </c>
      <c r="CF464" s="314">
        <f t="shared" si="5"/>
        <v>1</v>
      </c>
      <c r="CG464" s="314">
        <f t="shared" si="6"/>
        <v>0</v>
      </c>
      <c r="CH464" s="315">
        <f>VLOOKUP(CL464,'PRODUCT_COGS&amp;PRICE'!A:E,5,false)</f>
        <v>16.5</v>
      </c>
      <c r="CI464" s="315">
        <f t="shared" si="7"/>
        <v>-1.6921</v>
      </c>
      <c r="CJ464" s="316">
        <f t="shared" si="8"/>
        <v>0</v>
      </c>
      <c r="CK464" s="316">
        <f t="shared" si="9"/>
        <v>8</v>
      </c>
      <c r="CL464" s="314" t="str">
        <f>VLOOKUP(R464,PRODUCT_MAP!A:B,2,FALSE)</f>
        <v>Agata_Bag_TIE_DYE_PINK</v>
      </c>
      <c r="CM464" s="314" t="str">
        <f>VLOOKUP(R464,PRODUCT_MAP!A:E,3,FALSE)</f>
        <v>Agata Bag</v>
      </c>
    </row>
    <row r="465" ht="22.5" customHeight="1">
      <c r="A465" s="308" t="s">
        <v>6557</v>
      </c>
      <c r="B465" s="308" t="s">
        <v>6558</v>
      </c>
      <c r="C465" s="308" t="s">
        <v>2942</v>
      </c>
      <c r="D465" s="308" t="s">
        <v>6559</v>
      </c>
      <c r="E465" s="308" t="s">
        <v>3013</v>
      </c>
      <c r="F465" s="308"/>
      <c r="G465" s="308" t="s">
        <v>2946</v>
      </c>
      <c r="H465" s="308" t="s">
        <v>2947</v>
      </c>
      <c r="I465" s="308">
        <v>120.0</v>
      </c>
      <c r="J465" s="308">
        <v>0.0</v>
      </c>
      <c r="K465" s="308">
        <v>21.64</v>
      </c>
      <c r="L465" s="308">
        <v>120.0</v>
      </c>
      <c r="M465" s="308"/>
      <c r="N465" s="308">
        <v>0.0</v>
      </c>
      <c r="O465" s="308" t="s">
        <v>2948</v>
      </c>
      <c r="P465" s="308" t="s">
        <v>6560</v>
      </c>
      <c r="Q465" s="310">
        <v>1.0</v>
      </c>
      <c r="R465" s="308" t="s">
        <v>534</v>
      </c>
      <c r="S465" s="308">
        <v>120.0</v>
      </c>
      <c r="T465" s="311"/>
      <c r="U465" s="308" t="s">
        <v>293</v>
      </c>
      <c r="V465" s="308" t="b">
        <v>1</v>
      </c>
      <c r="W465" s="308" t="b">
        <v>1</v>
      </c>
      <c r="X465" s="308"/>
      <c r="Y465" s="308" t="s">
        <v>6561</v>
      </c>
      <c r="Z465" s="308" t="s">
        <v>6562</v>
      </c>
      <c r="AA465" s="308" t="s">
        <v>6562</v>
      </c>
      <c r="AB465" s="308"/>
      <c r="AC465" s="308"/>
      <c r="AD465" s="308" t="s">
        <v>3549</v>
      </c>
      <c r="AE465" s="308">
        <v>50125.0</v>
      </c>
      <c r="AF465" s="308" t="s">
        <v>3550</v>
      </c>
      <c r="AG465" s="308" t="s">
        <v>2955</v>
      </c>
      <c r="AH465" s="308">
        <v>3.393312719E9</v>
      </c>
      <c r="AI465" s="308" t="s">
        <v>6561</v>
      </c>
      <c r="AJ465" s="308" t="s">
        <v>6562</v>
      </c>
      <c r="AK465" s="308" t="s">
        <v>6562</v>
      </c>
      <c r="AL465" s="308"/>
      <c r="AM465" s="308"/>
      <c r="AN465" s="308" t="s">
        <v>3549</v>
      </c>
      <c r="AO465" s="308">
        <v>50125.0</v>
      </c>
      <c r="AP465" s="308" t="s">
        <v>3550</v>
      </c>
      <c r="AQ465" s="308" t="s">
        <v>2955</v>
      </c>
      <c r="AR465" s="308">
        <v>3.393312719E9</v>
      </c>
      <c r="AS465" s="311"/>
      <c r="AT465" s="311"/>
      <c r="AU465" s="311"/>
      <c r="AV465" s="308" t="s">
        <v>3009</v>
      </c>
      <c r="AW465" s="308">
        <v>4.8060829565255E13</v>
      </c>
      <c r="AX465" s="310">
        <v>0.0</v>
      </c>
      <c r="AY465" s="308" t="s">
        <v>2974</v>
      </c>
      <c r="AZ465" s="308">
        <v>0.0</v>
      </c>
      <c r="BA465" s="311"/>
      <c r="BB465" s="311"/>
      <c r="BC465" s="311"/>
      <c r="BD465" s="308">
        <v>7.904708985159E12</v>
      </c>
      <c r="BE465" s="311"/>
      <c r="BF465" s="311"/>
      <c r="BG465" s="308" t="s">
        <v>2958</v>
      </c>
      <c r="BH465" s="308">
        <v>0.0</v>
      </c>
      <c r="BI465" s="308" t="s">
        <v>2959</v>
      </c>
      <c r="BJ465" s="308">
        <v>21.64</v>
      </c>
      <c r="BK465" s="311"/>
      <c r="BL465" s="311"/>
      <c r="BM465" s="311"/>
      <c r="BN465" s="311"/>
      <c r="BO465" s="311"/>
      <c r="BP465" s="311"/>
      <c r="BQ465" s="311"/>
      <c r="BR465" s="311"/>
      <c r="BS465" s="308"/>
      <c r="BT465" s="311"/>
      <c r="BU465" s="311"/>
      <c r="BV465" s="308" t="s">
        <v>3549</v>
      </c>
      <c r="BW465" s="308" t="s">
        <v>3549</v>
      </c>
      <c r="BX465" s="308" t="s">
        <v>3009</v>
      </c>
      <c r="BY465" s="311"/>
      <c r="BZ465" s="311"/>
      <c r="CA465" s="308" t="s">
        <v>3009</v>
      </c>
      <c r="CB465" s="312" t="str">
        <f t="shared" si="1"/>
        <v>02/07/2026</v>
      </c>
      <c r="CC465" s="313">
        <f t="shared" si="2"/>
        <v>2026</v>
      </c>
      <c r="CD465" s="314">
        <f t="shared" si="3"/>
        <v>7</v>
      </c>
      <c r="CE465" s="314">
        <f t="shared" si="4"/>
        <v>1</v>
      </c>
      <c r="CF465" s="314">
        <f t="shared" si="5"/>
        <v>1</v>
      </c>
      <c r="CG465" s="314">
        <f t="shared" si="6"/>
        <v>-5</v>
      </c>
      <c r="CH465" s="315">
        <f>VLOOKUP(CL465,'PRODUCT_COGS&amp;PRICE'!A:E,5,false)</f>
        <v>20</v>
      </c>
      <c r="CI465" s="315">
        <f t="shared" si="7"/>
        <v>-4.538</v>
      </c>
      <c r="CJ465" s="316">
        <f t="shared" si="8"/>
        <v>0</v>
      </c>
      <c r="CK465" s="316">
        <f t="shared" si="9"/>
        <v>0</v>
      </c>
      <c r="CL465" s="314" t="str">
        <f>VLOOKUP(R465,PRODUCT_MAP!A:B,2,FALSE)</f>
        <v>Lea_Bag_COCCO_PURPLE</v>
      </c>
      <c r="CM465" s="314" t="str">
        <f>VLOOKUP(R465,PRODUCT_MAP!A:E,3,FALSE)</f>
        <v>Lea Bag</v>
      </c>
    </row>
    <row r="466" ht="22.5" customHeight="1">
      <c r="A466" s="308" t="s">
        <v>6563</v>
      </c>
      <c r="B466" s="308" t="s">
        <v>6564</v>
      </c>
      <c r="C466" s="308" t="s">
        <v>2942</v>
      </c>
      <c r="D466" s="308" t="s">
        <v>6565</v>
      </c>
      <c r="E466" s="308" t="s">
        <v>3013</v>
      </c>
      <c r="F466" s="308"/>
      <c r="G466" s="308" t="s">
        <v>2946</v>
      </c>
      <c r="H466" s="308" t="s">
        <v>2947</v>
      </c>
      <c r="I466" s="308">
        <v>135.0</v>
      </c>
      <c r="J466" s="308">
        <v>0.0</v>
      </c>
      <c r="K466" s="308">
        <v>24.34</v>
      </c>
      <c r="L466" s="308">
        <v>135.0</v>
      </c>
      <c r="M466" s="308" t="s">
        <v>3094</v>
      </c>
      <c r="N466" s="308">
        <v>15.0</v>
      </c>
      <c r="O466" s="308" t="s">
        <v>2948</v>
      </c>
      <c r="P466" s="308" t="s">
        <v>6566</v>
      </c>
      <c r="Q466" s="310">
        <v>1.0</v>
      </c>
      <c r="R466" s="308" t="s">
        <v>539</v>
      </c>
      <c r="S466" s="308">
        <v>150.0</v>
      </c>
      <c r="T466" s="311"/>
      <c r="U466" s="308" t="s">
        <v>3223</v>
      </c>
      <c r="V466" s="308" t="b">
        <v>1</v>
      </c>
      <c r="W466" s="308" t="b">
        <v>1</v>
      </c>
      <c r="X466" s="308"/>
      <c r="Y466" s="308" t="s">
        <v>6567</v>
      </c>
      <c r="Z466" s="308" t="s">
        <v>6568</v>
      </c>
      <c r="AA466" s="308" t="s">
        <v>6568</v>
      </c>
      <c r="AB466" s="308"/>
      <c r="AC466" s="308"/>
      <c r="AD466" s="308" t="s">
        <v>23</v>
      </c>
      <c r="AE466" s="308">
        <v>20144.0</v>
      </c>
      <c r="AF466" s="308" t="s">
        <v>2954</v>
      </c>
      <c r="AG466" s="308" t="s">
        <v>2955</v>
      </c>
      <c r="AH466" s="308"/>
      <c r="AI466" s="308" t="s">
        <v>6567</v>
      </c>
      <c r="AJ466" s="308" t="s">
        <v>6569</v>
      </c>
      <c r="AK466" s="308" t="s">
        <v>6569</v>
      </c>
      <c r="AL466" s="308"/>
      <c r="AM466" s="308"/>
      <c r="AN466" s="308" t="s">
        <v>23</v>
      </c>
      <c r="AO466" s="308">
        <v>20146.0</v>
      </c>
      <c r="AP466" s="308" t="s">
        <v>2954</v>
      </c>
      <c r="AQ466" s="308" t="s">
        <v>2955</v>
      </c>
      <c r="AR466" s="308">
        <v>3.289813077E9</v>
      </c>
      <c r="AS466" s="311"/>
      <c r="AT466" s="311"/>
      <c r="AU466" s="311"/>
      <c r="AV466" s="308" t="s">
        <v>2956</v>
      </c>
      <c r="AW466" s="308">
        <v>4.8061354082631E13</v>
      </c>
      <c r="AX466" s="310">
        <v>0.0</v>
      </c>
      <c r="AY466" s="308" t="s">
        <v>2974</v>
      </c>
      <c r="AZ466" s="308">
        <v>0.0</v>
      </c>
      <c r="BA466" s="311"/>
      <c r="BB466" s="311"/>
      <c r="BC466" s="311"/>
      <c r="BD466" s="308">
        <v>7.904976077127E12</v>
      </c>
      <c r="BE466" s="311"/>
      <c r="BF466" s="311"/>
      <c r="BG466" s="308" t="s">
        <v>2958</v>
      </c>
      <c r="BH466" s="308">
        <v>0.0</v>
      </c>
      <c r="BI466" s="308" t="s">
        <v>2959</v>
      </c>
      <c r="BJ466" s="308">
        <v>24.34</v>
      </c>
      <c r="BK466" s="311"/>
      <c r="BL466" s="311"/>
      <c r="BM466" s="311"/>
      <c r="BN466" s="311"/>
      <c r="BO466" s="311"/>
      <c r="BP466" s="311"/>
      <c r="BQ466" s="311"/>
      <c r="BR466" s="311"/>
      <c r="BS466" s="308"/>
      <c r="BT466" s="311"/>
      <c r="BU466" s="311"/>
      <c r="BV466" s="308" t="s">
        <v>23</v>
      </c>
      <c r="BW466" s="308" t="s">
        <v>23</v>
      </c>
      <c r="BX466" s="308" t="s">
        <v>2956</v>
      </c>
      <c r="BY466" s="311"/>
      <c r="BZ466" s="311"/>
      <c r="CA466" s="308" t="s">
        <v>2956</v>
      </c>
      <c r="CB466" s="312" t="str">
        <f t="shared" si="1"/>
        <v>02/07/2026</v>
      </c>
      <c r="CC466" s="313">
        <f t="shared" si="2"/>
        <v>2026</v>
      </c>
      <c r="CD466" s="314">
        <f t="shared" si="3"/>
        <v>7</v>
      </c>
      <c r="CE466" s="314">
        <f t="shared" si="4"/>
        <v>1</v>
      </c>
      <c r="CF466" s="314">
        <f t="shared" si="5"/>
        <v>1</v>
      </c>
      <c r="CG466" s="314">
        <f t="shared" si="6"/>
        <v>-5</v>
      </c>
      <c r="CH466" s="315">
        <f>VLOOKUP(CL466,'PRODUCT_COGS&amp;PRICE'!A:E,5,false)</f>
        <v>33</v>
      </c>
      <c r="CI466" s="315">
        <f t="shared" si="7"/>
        <v>-2.815</v>
      </c>
      <c r="CJ466" s="316">
        <f t="shared" si="8"/>
        <v>0</v>
      </c>
      <c r="CK466" s="316">
        <f t="shared" si="9"/>
        <v>15</v>
      </c>
      <c r="CL466" s="314" t="str">
        <f>VLOOKUP(R466,PRODUCT_MAP!A:B,2,FALSE)</f>
        <v>Lea_Bag_Zebra_Dark</v>
      </c>
      <c r="CM466" s="314" t="str">
        <f>VLOOKUP(R466,PRODUCT_MAP!A:E,3,FALSE)</f>
        <v>Lea Bag</v>
      </c>
    </row>
    <row r="467" ht="22.5" customHeight="1">
      <c r="A467" s="308" t="s">
        <v>6570</v>
      </c>
      <c r="B467" s="308" t="s">
        <v>6571</v>
      </c>
      <c r="C467" s="308" t="s">
        <v>2942</v>
      </c>
      <c r="D467" s="308" t="s">
        <v>6572</v>
      </c>
      <c r="E467" s="308" t="s">
        <v>3013</v>
      </c>
      <c r="F467" s="308"/>
      <c r="G467" s="308" t="s">
        <v>2946</v>
      </c>
      <c r="H467" s="308" t="s">
        <v>2947</v>
      </c>
      <c r="I467" s="308">
        <v>81.0</v>
      </c>
      <c r="J467" s="308">
        <v>3.9</v>
      </c>
      <c r="K467" s="308">
        <v>15.31</v>
      </c>
      <c r="L467" s="308">
        <v>84.9</v>
      </c>
      <c r="M467" s="308" t="s">
        <v>3094</v>
      </c>
      <c r="N467" s="308">
        <v>9.0</v>
      </c>
      <c r="O467" s="308" t="s">
        <v>2948</v>
      </c>
      <c r="P467" s="308" t="s">
        <v>6573</v>
      </c>
      <c r="Q467" s="310">
        <v>1.0</v>
      </c>
      <c r="R467" s="308" t="s">
        <v>6187</v>
      </c>
      <c r="S467" s="308">
        <v>90.0</v>
      </c>
      <c r="T467" s="311"/>
      <c r="U467" s="308" t="s">
        <v>6188</v>
      </c>
      <c r="V467" s="308" t="b">
        <v>1</v>
      </c>
      <c r="W467" s="308" t="b">
        <v>1</v>
      </c>
      <c r="X467" s="308"/>
      <c r="Y467" s="308" t="s">
        <v>6574</v>
      </c>
      <c r="Z467" s="308" t="s">
        <v>6575</v>
      </c>
      <c r="AA467" s="308" t="s">
        <v>6575</v>
      </c>
      <c r="AB467" s="308"/>
      <c r="AC467" s="308"/>
      <c r="AD467" s="308" t="s">
        <v>6576</v>
      </c>
      <c r="AE467" s="308">
        <v>44121.0</v>
      </c>
      <c r="AF467" s="308" t="s">
        <v>6577</v>
      </c>
      <c r="AG467" s="308" t="s">
        <v>2955</v>
      </c>
      <c r="AH467" s="308"/>
      <c r="AI467" s="308" t="s">
        <v>6578</v>
      </c>
      <c r="AJ467" s="308" t="s">
        <v>6579</v>
      </c>
      <c r="AK467" s="308" t="s">
        <v>6580</v>
      </c>
      <c r="AL467" s="308" t="s">
        <v>6581</v>
      </c>
      <c r="AM467" s="308"/>
      <c r="AN467" s="308" t="s">
        <v>6582</v>
      </c>
      <c r="AO467" s="308">
        <v>27010.0</v>
      </c>
      <c r="AP467" s="308" t="s">
        <v>3477</v>
      </c>
      <c r="AQ467" s="308" t="s">
        <v>2955</v>
      </c>
      <c r="AR467" s="308">
        <v>3.488065732E9</v>
      </c>
      <c r="AS467" s="311"/>
      <c r="AT467" s="311"/>
      <c r="AU467" s="311"/>
      <c r="AV467" s="308" t="s">
        <v>2956</v>
      </c>
      <c r="AW467" s="308">
        <v>4.8064663421255E13</v>
      </c>
      <c r="AX467" s="310">
        <v>0.0</v>
      </c>
      <c r="AY467" s="308" t="s">
        <v>2974</v>
      </c>
      <c r="AZ467" s="308">
        <v>0.0</v>
      </c>
      <c r="BA467" s="311"/>
      <c r="BB467" s="311"/>
      <c r="BC467" s="311"/>
      <c r="BD467" s="308">
        <v>7.906636955975E12</v>
      </c>
      <c r="BE467" s="311"/>
      <c r="BF467" s="311"/>
      <c r="BG467" s="308" t="s">
        <v>2958</v>
      </c>
      <c r="BH467" s="308">
        <v>0.0</v>
      </c>
      <c r="BI467" s="308" t="s">
        <v>2959</v>
      </c>
      <c r="BJ467" s="308">
        <v>14.61</v>
      </c>
      <c r="BK467" s="311"/>
      <c r="BL467" s="311"/>
      <c r="BM467" s="311"/>
      <c r="BN467" s="311"/>
      <c r="BO467" s="311"/>
      <c r="BP467" s="311"/>
      <c r="BQ467" s="311"/>
      <c r="BR467" s="311"/>
      <c r="BS467" s="308"/>
      <c r="BT467" s="311"/>
      <c r="BU467" s="311"/>
      <c r="BV467" s="308" t="s">
        <v>6576</v>
      </c>
      <c r="BW467" s="308" t="s">
        <v>3476</v>
      </c>
      <c r="BX467" s="308" t="s">
        <v>2956</v>
      </c>
      <c r="BY467" s="311"/>
      <c r="BZ467" s="311"/>
      <c r="CA467" s="308" t="s">
        <v>2956</v>
      </c>
      <c r="CB467" s="312" t="str">
        <f t="shared" si="1"/>
        <v>02/07/2026</v>
      </c>
      <c r="CC467" s="313">
        <f t="shared" si="2"/>
        <v>2026</v>
      </c>
      <c r="CD467" s="314">
        <f t="shared" si="3"/>
        <v>7</v>
      </c>
      <c r="CE467" s="314">
        <f t="shared" si="4"/>
        <v>1</v>
      </c>
      <c r="CF467" s="314">
        <f t="shared" si="5"/>
        <v>1</v>
      </c>
      <c r="CG467" s="314">
        <f t="shared" si="6"/>
        <v>0</v>
      </c>
      <c r="CH467" s="315">
        <f>VLOOKUP(CL467,'PRODUCT_COGS&amp;PRICE'!A:E,5,false)</f>
        <v>16.5</v>
      </c>
      <c r="CI467" s="315">
        <f t="shared" si="7"/>
        <v>-1.8631</v>
      </c>
      <c r="CJ467" s="316">
        <f t="shared" si="8"/>
        <v>0</v>
      </c>
      <c r="CK467" s="316">
        <f t="shared" si="9"/>
        <v>9</v>
      </c>
      <c r="CL467" s="314" t="str">
        <f>VLOOKUP(R467,PRODUCT_MAP!A:B,2,FALSE)</f>
        <v>Annie_Bag_PAILLETTES_PURPLE</v>
      </c>
      <c r="CM467" s="314" t="str">
        <f>VLOOKUP(R467,PRODUCT_MAP!A:E,3,FALSE)</f>
        <v>Annie Bag</v>
      </c>
    </row>
    <row r="468">
      <c r="A468" s="2"/>
      <c r="B468" s="2"/>
      <c r="C468" s="2"/>
      <c r="D468" s="2"/>
      <c r="E468" s="2"/>
      <c r="F468" s="2"/>
      <c r="G468" s="2"/>
      <c r="H468" s="2"/>
      <c r="I468" s="2"/>
      <c r="J468" s="2"/>
      <c r="K468" s="2"/>
      <c r="L468" s="2"/>
      <c r="M468" s="320"/>
      <c r="N468" s="2"/>
      <c r="O468" s="2"/>
      <c r="P468" s="2"/>
      <c r="Q468" s="4"/>
      <c r="R468" s="2"/>
      <c r="S468" s="2"/>
      <c r="U468" s="2"/>
      <c r="CI468" s="321"/>
    </row>
    <row r="469">
      <c r="A469" s="2"/>
      <c r="B469" s="2"/>
      <c r="C469" s="2"/>
      <c r="D469" s="2"/>
      <c r="E469" s="2"/>
      <c r="F469" s="2"/>
      <c r="G469" s="2"/>
      <c r="H469" s="2"/>
      <c r="I469" s="2"/>
      <c r="J469" s="2"/>
      <c r="K469" s="2"/>
      <c r="L469" s="2"/>
      <c r="M469" s="320"/>
      <c r="N469" s="2"/>
      <c r="O469" s="2"/>
      <c r="P469" s="2"/>
      <c r="Q469" s="4"/>
      <c r="R469" s="2"/>
      <c r="S469" s="2"/>
      <c r="U469" s="2"/>
      <c r="CI469" s="321"/>
    </row>
    <row r="470">
      <c r="A470" s="2"/>
      <c r="B470" s="2"/>
      <c r="C470" s="2"/>
      <c r="D470" s="2"/>
      <c r="E470" s="2"/>
      <c r="F470" s="2"/>
      <c r="G470" s="2"/>
      <c r="H470" s="2"/>
      <c r="I470" s="2"/>
      <c r="J470" s="2"/>
      <c r="K470" s="2"/>
      <c r="L470" s="2"/>
      <c r="M470" s="320"/>
      <c r="N470" s="2"/>
      <c r="O470" s="2"/>
      <c r="P470" s="2"/>
      <c r="Q470" s="4"/>
      <c r="R470" s="2"/>
      <c r="S470" s="2"/>
      <c r="U470" s="2"/>
      <c r="CI470" s="321"/>
    </row>
    <row r="471">
      <c r="A471" s="2"/>
      <c r="B471" s="2"/>
      <c r="C471" s="2"/>
      <c r="D471" s="2"/>
      <c r="E471" s="2"/>
      <c r="F471" s="2"/>
      <c r="G471" s="2"/>
      <c r="H471" s="2"/>
      <c r="I471" s="2"/>
      <c r="J471" s="2"/>
      <c r="K471" s="2"/>
      <c r="L471" s="2"/>
      <c r="M471" s="320"/>
      <c r="N471" s="2"/>
      <c r="O471" s="2"/>
      <c r="P471" s="2"/>
      <c r="Q471" s="4"/>
      <c r="R471" s="2"/>
      <c r="S471" s="2"/>
      <c r="U471" s="2"/>
      <c r="CI471" s="321"/>
    </row>
    <row r="472">
      <c r="A472" s="2"/>
      <c r="B472" s="2"/>
      <c r="C472" s="2"/>
      <c r="D472" s="2"/>
      <c r="E472" s="2"/>
      <c r="F472" s="2"/>
      <c r="G472" s="2"/>
      <c r="H472" s="2"/>
      <c r="I472" s="2"/>
      <c r="J472" s="2"/>
      <c r="K472" s="2"/>
      <c r="L472" s="2"/>
      <c r="M472" s="320"/>
      <c r="N472" s="2"/>
      <c r="O472" s="2"/>
      <c r="P472" s="2"/>
      <c r="Q472" s="4"/>
      <c r="R472" s="2"/>
      <c r="S472" s="2"/>
      <c r="U472" s="2"/>
      <c r="CI472" s="321"/>
    </row>
    <row r="473">
      <c r="A473" s="2"/>
      <c r="B473" s="2"/>
      <c r="C473" s="2"/>
      <c r="D473" s="2"/>
      <c r="E473" s="2"/>
      <c r="F473" s="2"/>
      <c r="G473" s="2"/>
      <c r="H473" s="2"/>
      <c r="I473" s="2"/>
      <c r="J473" s="2"/>
      <c r="K473" s="2"/>
      <c r="L473" s="2"/>
      <c r="M473" s="320"/>
      <c r="N473" s="2"/>
      <c r="O473" s="2"/>
      <c r="P473" s="2"/>
      <c r="Q473" s="4"/>
      <c r="R473" s="2"/>
      <c r="S473" s="2"/>
      <c r="U473" s="2"/>
      <c r="CI473" s="321"/>
    </row>
    <row r="474">
      <c r="A474" s="2"/>
      <c r="B474" s="2"/>
      <c r="C474" s="2"/>
      <c r="D474" s="2"/>
      <c r="E474" s="2"/>
      <c r="F474" s="2"/>
      <c r="G474" s="2"/>
      <c r="H474" s="2"/>
      <c r="I474" s="2"/>
      <c r="J474" s="2"/>
      <c r="K474" s="2"/>
      <c r="L474" s="2"/>
      <c r="M474" s="320"/>
      <c r="N474" s="2"/>
      <c r="O474" s="2"/>
      <c r="P474" s="2"/>
      <c r="Q474" s="4"/>
      <c r="R474" s="2"/>
      <c r="S474" s="2"/>
      <c r="U474" s="2"/>
      <c r="CI474" s="321"/>
    </row>
    <row r="475">
      <c r="A475" s="2"/>
      <c r="B475" s="2"/>
      <c r="C475" s="2"/>
      <c r="D475" s="2"/>
      <c r="E475" s="2"/>
      <c r="F475" s="2"/>
      <c r="G475" s="2"/>
      <c r="H475" s="2"/>
      <c r="I475" s="2"/>
      <c r="J475" s="2"/>
      <c r="K475" s="2"/>
      <c r="L475" s="2"/>
      <c r="M475" s="320"/>
      <c r="N475" s="2"/>
      <c r="O475" s="2"/>
      <c r="P475" s="2"/>
      <c r="Q475" s="4"/>
      <c r="R475" s="2"/>
      <c r="S475" s="2"/>
      <c r="U475" s="2"/>
      <c r="CI475" s="321"/>
    </row>
    <row r="476">
      <c r="A476" s="2"/>
      <c r="B476" s="2"/>
      <c r="C476" s="2"/>
      <c r="D476" s="2"/>
      <c r="E476" s="2"/>
      <c r="F476" s="2"/>
      <c r="G476" s="2"/>
      <c r="H476" s="2"/>
      <c r="I476" s="2"/>
      <c r="J476" s="2"/>
      <c r="K476" s="2"/>
      <c r="L476" s="2"/>
      <c r="M476" s="320"/>
      <c r="N476" s="2"/>
      <c r="O476" s="2"/>
      <c r="P476" s="2"/>
      <c r="Q476" s="4"/>
      <c r="R476" s="2"/>
      <c r="S476" s="2"/>
      <c r="U476" s="2"/>
      <c r="CI476" s="321"/>
    </row>
    <row r="477">
      <c r="A477" s="2"/>
      <c r="B477" s="2"/>
      <c r="C477" s="2"/>
      <c r="D477" s="2"/>
      <c r="E477" s="2"/>
      <c r="F477" s="2"/>
      <c r="G477" s="2"/>
      <c r="H477" s="2"/>
      <c r="I477" s="2"/>
      <c r="J477" s="2"/>
      <c r="K477" s="2"/>
      <c r="L477" s="2"/>
      <c r="M477" s="320"/>
      <c r="N477" s="2"/>
      <c r="O477" s="2"/>
      <c r="P477" s="2"/>
      <c r="Q477" s="4"/>
      <c r="R477" s="2"/>
      <c r="S477" s="2"/>
      <c r="U477" s="2"/>
      <c r="CI477" s="321"/>
    </row>
    <row r="478">
      <c r="A478" s="2"/>
      <c r="B478" s="2"/>
      <c r="C478" s="2"/>
      <c r="D478" s="2"/>
      <c r="E478" s="2"/>
      <c r="F478" s="2"/>
      <c r="G478" s="2"/>
      <c r="H478" s="2"/>
      <c r="I478" s="2"/>
      <c r="J478" s="2"/>
      <c r="K478" s="2"/>
      <c r="L478" s="2"/>
      <c r="M478" s="320"/>
      <c r="N478" s="2"/>
      <c r="O478" s="2"/>
      <c r="P478" s="2"/>
      <c r="Q478" s="4"/>
      <c r="R478" s="2"/>
      <c r="S478" s="2"/>
      <c r="U478" s="2"/>
      <c r="CI478" s="321"/>
    </row>
    <row r="479">
      <c r="A479" s="2"/>
      <c r="B479" s="2"/>
      <c r="C479" s="2"/>
      <c r="D479" s="2"/>
      <c r="E479" s="2"/>
      <c r="F479" s="2"/>
      <c r="G479" s="2"/>
      <c r="H479" s="2"/>
      <c r="I479" s="2"/>
      <c r="J479" s="2"/>
      <c r="K479" s="2"/>
      <c r="L479" s="2"/>
      <c r="M479" s="320"/>
      <c r="N479" s="2"/>
      <c r="O479" s="2"/>
      <c r="P479" s="2"/>
      <c r="Q479" s="4"/>
      <c r="R479" s="2"/>
      <c r="S479" s="2"/>
      <c r="U479" s="2"/>
      <c r="CI479" s="321"/>
    </row>
    <row r="480">
      <c r="A480" s="2"/>
      <c r="B480" s="2"/>
      <c r="C480" s="2"/>
      <c r="D480" s="2"/>
      <c r="E480" s="2"/>
      <c r="F480" s="2"/>
      <c r="G480" s="2"/>
      <c r="H480" s="2"/>
      <c r="I480" s="2"/>
      <c r="J480" s="2"/>
      <c r="K480" s="2"/>
      <c r="L480" s="2"/>
      <c r="M480" s="320"/>
      <c r="N480" s="2"/>
      <c r="O480" s="2"/>
      <c r="P480" s="2"/>
      <c r="Q480" s="4"/>
      <c r="R480" s="2"/>
      <c r="S480" s="2"/>
      <c r="U480" s="2"/>
      <c r="CI480" s="321"/>
    </row>
    <row r="481">
      <c r="A481" s="2"/>
      <c r="B481" s="2"/>
      <c r="C481" s="2"/>
      <c r="D481" s="2"/>
      <c r="E481" s="2"/>
      <c r="F481" s="2"/>
      <c r="G481" s="2"/>
      <c r="H481" s="2"/>
      <c r="I481" s="2"/>
      <c r="J481" s="2"/>
      <c r="K481" s="2"/>
      <c r="L481" s="2"/>
      <c r="M481" s="320"/>
      <c r="N481" s="2"/>
      <c r="O481" s="2"/>
      <c r="P481" s="2"/>
      <c r="Q481" s="4"/>
      <c r="R481" s="2"/>
      <c r="S481" s="2"/>
      <c r="U481" s="2"/>
      <c r="CI481" s="321"/>
    </row>
    <row r="482">
      <c r="A482" s="2"/>
      <c r="B482" s="2"/>
      <c r="C482" s="2"/>
      <c r="D482" s="2"/>
      <c r="E482" s="2"/>
      <c r="F482" s="2"/>
      <c r="G482" s="2"/>
      <c r="H482" s="2"/>
      <c r="I482" s="2"/>
      <c r="J482" s="2"/>
      <c r="K482" s="2"/>
      <c r="L482" s="2"/>
      <c r="M482" s="320"/>
      <c r="N482" s="2"/>
      <c r="O482" s="2"/>
      <c r="P482" s="2"/>
      <c r="Q482" s="4"/>
      <c r="R482" s="2"/>
      <c r="S482" s="2"/>
      <c r="U482" s="2"/>
      <c r="CI482" s="321"/>
    </row>
    <row r="483">
      <c r="A483" s="2"/>
      <c r="B483" s="2"/>
      <c r="C483" s="2"/>
      <c r="D483" s="2"/>
      <c r="E483" s="2"/>
      <c r="F483" s="2"/>
      <c r="G483" s="2"/>
      <c r="H483" s="2"/>
      <c r="I483" s="2"/>
      <c r="J483" s="2"/>
      <c r="K483" s="2"/>
      <c r="L483" s="2"/>
      <c r="M483" s="320"/>
      <c r="N483" s="2"/>
      <c r="O483" s="2"/>
      <c r="P483" s="2"/>
      <c r="Q483" s="4"/>
      <c r="R483" s="2"/>
      <c r="S483" s="2"/>
      <c r="U483" s="2"/>
      <c r="CI483" s="321"/>
    </row>
    <row r="484">
      <c r="A484" s="2"/>
      <c r="B484" s="2"/>
      <c r="C484" s="2"/>
      <c r="D484" s="2"/>
      <c r="E484" s="2"/>
      <c r="F484" s="2"/>
      <c r="G484" s="2"/>
      <c r="H484" s="2"/>
      <c r="I484" s="2"/>
      <c r="J484" s="2"/>
      <c r="K484" s="2"/>
      <c r="L484" s="2"/>
      <c r="M484" s="320"/>
      <c r="N484" s="2"/>
      <c r="O484" s="2"/>
      <c r="P484" s="2"/>
      <c r="Q484" s="4"/>
      <c r="R484" s="2"/>
      <c r="S484" s="2"/>
      <c r="U484" s="2"/>
      <c r="CI484" s="321"/>
    </row>
    <row r="485">
      <c r="A485" s="2"/>
      <c r="B485" s="2"/>
      <c r="C485" s="2"/>
      <c r="D485" s="2"/>
      <c r="E485" s="2"/>
      <c r="F485" s="2"/>
      <c r="G485" s="2"/>
      <c r="H485" s="2"/>
      <c r="I485" s="2"/>
      <c r="J485" s="2"/>
      <c r="K485" s="2"/>
      <c r="L485" s="2"/>
      <c r="M485" s="320"/>
      <c r="N485" s="2"/>
      <c r="O485" s="2"/>
      <c r="P485" s="2"/>
      <c r="Q485" s="4"/>
      <c r="R485" s="2"/>
      <c r="S485" s="2"/>
      <c r="U485" s="2"/>
      <c r="CI485" s="321"/>
    </row>
    <row r="486">
      <c r="A486" s="2"/>
      <c r="B486" s="2"/>
      <c r="C486" s="2"/>
      <c r="D486" s="2"/>
      <c r="E486" s="2"/>
      <c r="F486" s="2"/>
      <c r="G486" s="2"/>
      <c r="H486" s="2"/>
      <c r="I486" s="2"/>
      <c r="J486" s="2"/>
      <c r="K486" s="2"/>
      <c r="L486" s="2"/>
      <c r="M486" s="320"/>
      <c r="N486" s="2"/>
      <c r="O486" s="2"/>
      <c r="P486" s="2"/>
      <c r="Q486" s="4"/>
      <c r="R486" s="2"/>
      <c r="S486" s="2"/>
      <c r="U486" s="2"/>
      <c r="CI486" s="321"/>
    </row>
    <row r="487">
      <c r="A487" s="2"/>
      <c r="B487" s="2"/>
      <c r="C487" s="2"/>
      <c r="D487" s="2"/>
      <c r="E487" s="2"/>
      <c r="F487" s="2"/>
      <c r="G487" s="2"/>
      <c r="H487" s="2"/>
      <c r="I487" s="2"/>
      <c r="J487" s="2"/>
      <c r="K487" s="2"/>
      <c r="L487" s="2"/>
      <c r="M487" s="320"/>
      <c r="N487" s="2"/>
      <c r="O487" s="2"/>
      <c r="P487" s="2"/>
      <c r="Q487" s="4"/>
      <c r="R487" s="2"/>
      <c r="S487" s="2"/>
      <c r="U487" s="2"/>
      <c r="CI487" s="321"/>
    </row>
    <row r="488">
      <c r="A488" s="2"/>
      <c r="B488" s="2"/>
      <c r="C488" s="2"/>
      <c r="D488" s="2"/>
      <c r="E488" s="2"/>
      <c r="F488" s="2"/>
      <c r="G488" s="2"/>
      <c r="H488" s="2"/>
      <c r="I488" s="2"/>
      <c r="J488" s="2"/>
      <c r="K488" s="2"/>
      <c r="L488" s="2"/>
      <c r="M488" s="320"/>
      <c r="N488" s="2"/>
      <c r="O488" s="2"/>
      <c r="P488" s="2"/>
      <c r="Q488" s="4"/>
      <c r="R488" s="2"/>
      <c r="S488" s="2"/>
      <c r="U488" s="2"/>
      <c r="CI488" s="321"/>
    </row>
    <row r="489">
      <c r="A489" s="2"/>
      <c r="B489" s="2"/>
      <c r="C489" s="2"/>
      <c r="D489" s="2"/>
      <c r="E489" s="2"/>
      <c r="F489" s="2"/>
      <c r="G489" s="2"/>
      <c r="H489" s="2"/>
      <c r="I489" s="2"/>
      <c r="J489" s="2"/>
      <c r="K489" s="2"/>
      <c r="L489" s="2"/>
      <c r="M489" s="320"/>
      <c r="N489" s="2"/>
      <c r="O489" s="2"/>
      <c r="P489" s="2"/>
      <c r="Q489" s="4"/>
      <c r="R489" s="2"/>
      <c r="S489" s="2"/>
      <c r="U489" s="2"/>
      <c r="CI489" s="321"/>
    </row>
    <row r="490">
      <c r="A490" s="2"/>
      <c r="B490" s="2"/>
      <c r="C490" s="2"/>
      <c r="D490" s="2"/>
      <c r="E490" s="2"/>
      <c r="F490" s="2"/>
      <c r="G490" s="2"/>
      <c r="H490" s="2"/>
      <c r="I490" s="2"/>
      <c r="J490" s="2"/>
      <c r="K490" s="2"/>
      <c r="L490" s="2"/>
      <c r="M490" s="320"/>
      <c r="N490" s="2"/>
      <c r="O490" s="2"/>
      <c r="P490" s="2"/>
      <c r="Q490" s="4"/>
      <c r="R490" s="2"/>
      <c r="S490" s="2"/>
      <c r="U490" s="2"/>
      <c r="CI490" s="321"/>
    </row>
    <row r="491">
      <c r="A491" s="2"/>
      <c r="B491" s="2"/>
      <c r="C491" s="2"/>
      <c r="D491" s="2"/>
      <c r="E491" s="2"/>
      <c r="F491" s="2"/>
      <c r="G491" s="2"/>
      <c r="H491" s="2"/>
      <c r="I491" s="2"/>
      <c r="J491" s="2"/>
      <c r="K491" s="2"/>
      <c r="L491" s="2"/>
      <c r="M491" s="320"/>
      <c r="N491" s="2"/>
      <c r="O491" s="2"/>
      <c r="P491" s="2"/>
      <c r="Q491" s="4"/>
      <c r="R491" s="2"/>
      <c r="S491" s="2"/>
      <c r="U491" s="2"/>
      <c r="CI491" s="321"/>
    </row>
    <row r="492">
      <c r="A492" s="2"/>
      <c r="B492" s="2"/>
      <c r="C492" s="2"/>
      <c r="D492" s="2"/>
      <c r="E492" s="2"/>
      <c r="F492" s="2"/>
      <c r="G492" s="2"/>
      <c r="H492" s="2"/>
      <c r="I492" s="2"/>
      <c r="J492" s="2"/>
      <c r="K492" s="2"/>
      <c r="L492" s="2"/>
      <c r="M492" s="320"/>
      <c r="N492" s="2"/>
      <c r="O492" s="2"/>
      <c r="P492" s="2"/>
      <c r="Q492" s="4"/>
      <c r="R492" s="2"/>
      <c r="S492" s="2"/>
      <c r="U492" s="2"/>
      <c r="CI492" s="321"/>
    </row>
    <row r="493">
      <c r="A493" s="2"/>
      <c r="B493" s="2"/>
      <c r="C493" s="2"/>
      <c r="D493" s="2"/>
      <c r="E493" s="2"/>
      <c r="F493" s="2"/>
      <c r="G493" s="2"/>
      <c r="H493" s="2"/>
      <c r="I493" s="2"/>
      <c r="J493" s="2"/>
      <c r="K493" s="2"/>
      <c r="L493" s="2"/>
      <c r="M493" s="320"/>
      <c r="N493" s="2"/>
      <c r="O493" s="2"/>
      <c r="P493" s="2"/>
      <c r="Q493" s="4"/>
      <c r="R493" s="2"/>
      <c r="S493" s="2"/>
      <c r="U493" s="2"/>
      <c r="CI493" s="321"/>
    </row>
    <row r="494">
      <c r="A494" s="2"/>
      <c r="B494" s="2"/>
      <c r="C494" s="2"/>
      <c r="D494" s="2"/>
      <c r="E494" s="2"/>
      <c r="F494" s="2"/>
      <c r="G494" s="2"/>
      <c r="H494" s="2"/>
      <c r="I494" s="2"/>
      <c r="J494" s="2"/>
      <c r="K494" s="2"/>
      <c r="L494" s="2"/>
      <c r="M494" s="320"/>
      <c r="N494" s="2"/>
      <c r="O494" s="2"/>
      <c r="P494" s="2"/>
      <c r="Q494" s="4"/>
      <c r="R494" s="2"/>
      <c r="S494" s="2"/>
      <c r="U494" s="2"/>
      <c r="CI494" s="321"/>
    </row>
    <row r="495">
      <c r="A495" s="2"/>
      <c r="B495" s="2"/>
      <c r="C495" s="2"/>
      <c r="D495" s="2"/>
      <c r="E495" s="2"/>
      <c r="F495" s="2"/>
      <c r="G495" s="2"/>
      <c r="H495" s="2"/>
      <c r="I495" s="2"/>
      <c r="J495" s="2"/>
      <c r="K495" s="2"/>
      <c r="L495" s="2"/>
      <c r="M495" s="320"/>
      <c r="N495" s="2"/>
      <c r="O495" s="2"/>
      <c r="P495" s="2"/>
      <c r="Q495" s="4"/>
      <c r="R495" s="2"/>
      <c r="S495" s="2"/>
      <c r="U495" s="2"/>
      <c r="CI495" s="321"/>
    </row>
    <row r="496">
      <c r="A496" s="2"/>
      <c r="B496" s="2"/>
      <c r="C496" s="2"/>
      <c r="D496" s="2"/>
      <c r="E496" s="2"/>
      <c r="F496" s="2"/>
      <c r="G496" s="2"/>
      <c r="H496" s="2"/>
      <c r="I496" s="2"/>
      <c r="J496" s="2"/>
      <c r="K496" s="2"/>
      <c r="L496" s="2"/>
      <c r="M496" s="320"/>
      <c r="N496" s="2"/>
      <c r="O496" s="2"/>
      <c r="P496" s="2"/>
      <c r="Q496" s="4"/>
      <c r="R496" s="2"/>
      <c r="S496" s="2"/>
      <c r="U496" s="2"/>
      <c r="CI496" s="321"/>
    </row>
    <row r="497">
      <c r="A497" s="2"/>
      <c r="B497" s="2"/>
      <c r="C497" s="2"/>
      <c r="D497" s="2"/>
      <c r="E497" s="2"/>
      <c r="F497" s="2"/>
      <c r="G497" s="2"/>
      <c r="H497" s="2"/>
      <c r="I497" s="2"/>
      <c r="J497" s="2"/>
      <c r="K497" s="2"/>
      <c r="L497" s="2"/>
      <c r="M497" s="320"/>
      <c r="N497" s="2"/>
      <c r="O497" s="2"/>
      <c r="P497" s="2"/>
      <c r="Q497" s="4"/>
      <c r="R497" s="2"/>
      <c r="S497" s="2"/>
      <c r="U497" s="2"/>
      <c r="CI497" s="321"/>
    </row>
    <row r="498">
      <c r="A498" s="2"/>
      <c r="B498" s="2"/>
      <c r="C498" s="2"/>
      <c r="D498" s="2"/>
      <c r="E498" s="2"/>
      <c r="F498" s="2"/>
      <c r="G498" s="2"/>
      <c r="H498" s="2"/>
      <c r="I498" s="2"/>
      <c r="J498" s="2"/>
      <c r="K498" s="2"/>
      <c r="L498" s="2"/>
      <c r="M498" s="320"/>
      <c r="N498" s="2"/>
      <c r="O498" s="2"/>
      <c r="P498" s="2"/>
      <c r="Q498" s="4"/>
      <c r="R498" s="2"/>
      <c r="S498" s="2"/>
      <c r="U498" s="2"/>
      <c r="CI498" s="321"/>
    </row>
    <row r="499">
      <c r="A499" s="2"/>
      <c r="B499" s="2"/>
      <c r="C499" s="2"/>
      <c r="D499" s="2"/>
      <c r="E499" s="2"/>
      <c r="F499" s="2"/>
      <c r="G499" s="2"/>
      <c r="H499" s="2"/>
      <c r="I499" s="2"/>
      <c r="J499" s="2"/>
      <c r="K499" s="2"/>
      <c r="L499" s="2"/>
      <c r="M499" s="320"/>
      <c r="N499" s="2"/>
      <c r="O499" s="2"/>
      <c r="P499" s="2"/>
      <c r="Q499" s="4"/>
      <c r="R499" s="2"/>
      <c r="S499" s="2"/>
      <c r="U499" s="2"/>
      <c r="CI499" s="321"/>
    </row>
    <row r="500">
      <c r="A500" s="2"/>
      <c r="B500" s="2"/>
      <c r="C500" s="2"/>
      <c r="D500" s="2"/>
      <c r="E500" s="2"/>
      <c r="F500" s="2"/>
      <c r="G500" s="2"/>
      <c r="H500" s="2"/>
      <c r="I500" s="2"/>
      <c r="J500" s="2"/>
      <c r="K500" s="2"/>
      <c r="L500" s="2"/>
      <c r="M500" s="320"/>
      <c r="N500" s="2"/>
      <c r="O500" s="2"/>
      <c r="P500" s="2"/>
      <c r="Q500" s="4"/>
      <c r="R500" s="2"/>
      <c r="S500" s="2"/>
      <c r="U500" s="2"/>
      <c r="CI500" s="321"/>
    </row>
    <row r="501">
      <c r="A501" s="2"/>
      <c r="B501" s="2"/>
      <c r="C501" s="2"/>
      <c r="D501" s="2"/>
      <c r="E501" s="2"/>
      <c r="F501" s="2"/>
      <c r="G501" s="2"/>
      <c r="H501" s="2"/>
      <c r="I501" s="2"/>
      <c r="J501" s="2"/>
      <c r="K501" s="2"/>
      <c r="L501" s="2"/>
      <c r="M501" s="320"/>
      <c r="N501" s="2"/>
      <c r="O501" s="2"/>
      <c r="P501" s="2"/>
      <c r="Q501" s="4"/>
      <c r="R501" s="2"/>
      <c r="S501" s="2"/>
      <c r="U501" s="2"/>
      <c r="CI501" s="321"/>
    </row>
    <row r="502">
      <c r="A502" s="2"/>
      <c r="B502" s="2"/>
      <c r="C502" s="2"/>
      <c r="D502" s="2"/>
      <c r="E502" s="2"/>
      <c r="F502" s="2"/>
      <c r="G502" s="2"/>
      <c r="H502" s="2"/>
      <c r="I502" s="2"/>
      <c r="J502" s="2"/>
      <c r="K502" s="2"/>
      <c r="L502" s="2"/>
      <c r="M502" s="320"/>
      <c r="N502" s="2"/>
      <c r="O502" s="2"/>
      <c r="P502" s="2"/>
      <c r="Q502" s="4"/>
      <c r="R502" s="2"/>
      <c r="S502" s="2"/>
      <c r="U502" s="2"/>
      <c r="CI502" s="321"/>
    </row>
    <row r="503">
      <c r="A503" s="2"/>
      <c r="B503" s="2"/>
      <c r="C503" s="2"/>
      <c r="D503" s="2"/>
      <c r="E503" s="2"/>
      <c r="F503" s="2"/>
      <c r="G503" s="2"/>
      <c r="H503" s="2"/>
      <c r="I503" s="2"/>
      <c r="J503" s="2"/>
      <c r="K503" s="2"/>
      <c r="L503" s="2"/>
      <c r="M503" s="320"/>
      <c r="N503" s="2"/>
      <c r="O503" s="2"/>
      <c r="P503" s="2"/>
      <c r="Q503" s="4"/>
      <c r="R503" s="2"/>
      <c r="S503" s="2"/>
      <c r="U503" s="2"/>
      <c r="CI503" s="321"/>
    </row>
    <row r="504">
      <c r="A504" s="2"/>
      <c r="B504" s="2"/>
      <c r="C504" s="2"/>
      <c r="D504" s="2"/>
      <c r="E504" s="2"/>
      <c r="F504" s="2"/>
      <c r="G504" s="2"/>
      <c r="H504" s="2"/>
      <c r="I504" s="2"/>
      <c r="J504" s="2"/>
      <c r="K504" s="2"/>
      <c r="L504" s="2"/>
      <c r="M504" s="320"/>
      <c r="N504" s="2"/>
      <c r="O504" s="2"/>
      <c r="P504" s="2"/>
      <c r="Q504" s="4"/>
      <c r="R504" s="2"/>
      <c r="S504" s="2"/>
      <c r="U504" s="2"/>
      <c r="CI504" s="321"/>
    </row>
    <row r="505">
      <c r="A505" s="2"/>
      <c r="B505" s="2"/>
      <c r="C505" s="2"/>
      <c r="D505" s="2"/>
      <c r="E505" s="2"/>
      <c r="F505" s="2"/>
      <c r="G505" s="2"/>
      <c r="H505" s="2"/>
      <c r="I505" s="2"/>
      <c r="J505" s="2"/>
      <c r="K505" s="2"/>
      <c r="L505" s="2"/>
      <c r="M505" s="320"/>
      <c r="N505" s="2"/>
      <c r="O505" s="2"/>
      <c r="P505" s="2"/>
      <c r="Q505" s="4"/>
      <c r="R505" s="2"/>
      <c r="S505" s="2"/>
      <c r="U505" s="2"/>
      <c r="CI505" s="321"/>
    </row>
    <row r="506">
      <c r="A506" s="2"/>
      <c r="B506" s="2"/>
      <c r="C506" s="2"/>
      <c r="D506" s="2"/>
      <c r="E506" s="2"/>
      <c r="F506" s="2"/>
      <c r="G506" s="2"/>
      <c r="H506" s="2"/>
      <c r="I506" s="2"/>
      <c r="J506" s="2"/>
      <c r="K506" s="2"/>
      <c r="L506" s="2"/>
      <c r="M506" s="320"/>
      <c r="N506" s="2"/>
      <c r="O506" s="2"/>
      <c r="P506" s="2"/>
      <c r="Q506" s="4"/>
      <c r="R506" s="2"/>
      <c r="S506" s="2"/>
      <c r="U506" s="2"/>
      <c r="CI506" s="321"/>
    </row>
    <row r="507">
      <c r="A507" s="2"/>
      <c r="B507" s="2"/>
      <c r="C507" s="2"/>
      <c r="D507" s="2"/>
      <c r="E507" s="2"/>
      <c r="F507" s="2"/>
      <c r="G507" s="2"/>
      <c r="H507" s="2"/>
      <c r="I507" s="2"/>
      <c r="J507" s="2"/>
      <c r="K507" s="2"/>
      <c r="L507" s="2"/>
      <c r="M507" s="320"/>
      <c r="N507" s="2"/>
      <c r="O507" s="2"/>
      <c r="P507" s="2"/>
      <c r="Q507" s="4"/>
      <c r="R507" s="2"/>
      <c r="S507" s="2"/>
      <c r="U507" s="2"/>
      <c r="CI507" s="321"/>
    </row>
    <row r="508">
      <c r="A508" s="2"/>
      <c r="B508" s="2"/>
      <c r="C508" s="2"/>
      <c r="D508" s="2"/>
      <c r="E508" s="2"/>
      <c r="F508" s="2"/>
      <c r="G508" s="2"/>
      <c r="H508" s="2"/>
      <c r="I508" s="2"/>
      <c r="J508" s="2"/>
      <c r="K508" s="2"/>
      <c r="L508" s="2"/>
      <c r="M508" s="320"/>
      <c r="N508" s="2"/>
      <c r="O508" s="2"/>
      <c r="P508" s="2"/>
      <c r="Q508" s="4"/>
      <c r="R508" s="2"/>
      <c r="S508" s="2"/>
      <c r="U508" s="2"/>
      <c r="CI508" s="321"/>
    </row>
    <row r="509">
      <c r="A509" s="2"/>
      <c r="B509" s="2"/>
      <c r="C509" s="2"/>
      <c r="D509" s="2"/>
      <c r="E509" s="2"/>
      <c r="F509" s="2"/>
      <c r="G509" s="2"/>
      <c r="H509" s="2"/>
      <c r="I509" s="2"/>
      <c r="J509" s="2"/>
      <c r="K509" s="2"/>
      <c r="L509" s="2"/>
      <c r="M509" s="320"/>
      <c r="N509" s="2"/>
      <c r="O509" s="2"/>
      <c r="P509" s="2"/>
      <c r="Q509" s="4"/>
      <c r="R509" s="2"/>
      <c r="S509" s="2"/>
      <c r="U509" s="2"/>
      <c r="CI509" s="321"/>
    </row>
    <row r="510">
      <c r="A510" s="2"/>
      <c r="B510" s="2"/>
      <c r="C510" s="2"/>
      <c r="D510" s="2"/>
      <c r="E510" s="2"/>
      <c r="F510" s="2"/>
      <c r="G510" s="2"/>
      <c r="H510" s="2"/>
      <c r="I510" s="2"/>
      <c r="J510" s="2"/>
      <c r="K510" s="2"/>
      <c r="L510" s="2"/>
      <c r="M510" s="320"/>
      <c r="N510" s="2"/>
      <c r="O510" s="2"/>
      <c r="P510" s="2"/>
      <c r="Q510" s="4"/>
      <c r="R510" s="2"/>
      <c r="S510" s="2"/>
      <c r="U510" s="2"/>
      <c r="CI510" s="321"/>
    </row>
    <row r="511">
      <c r="A511" s="2"/>
      <c r="B511" s="2"/>
      <c r="C511" s="2"/>
      <c r="D511" s="2"/>
      <c r="E511" s="2"/>
      <c r="F511" s="2"/>
      <c r="G511" s="2"/>
      <c r="H511" s="2"/>
      <c r="I511" s="2"/>
      <c r="J511" s="2"/>
      <c r="K511" s="2"/>
      <c r="L511" s="2"/>
      <c r="M511" s="320"/>
      <c r="N511" s="2"/>
      <c r="O511" s="2"/>
      <c r="P511" s="2"/>
      <c r="Q511" s="4"/>
      <c r="R511" s="2"/>
      <c r="S511" s="2"/>
      <c r="U511" s="2"/>
      <c r="CI511" s="321"/>
    </row>
    <row r="512">
      <c r="A512" s="2"/>
      <c r="B512" s="2"/>
      <c r="C512" s="2"/>
      <c r="D512" s="2"/>
      <c r="E512" s="2"/>
      <c r="F512" s="2"/>
      <c r="G512" s="2"/>
      <c r="H512" s="2"/>
      <c r="I512" s="2"/>
      <c r="J512" s="2"/>
      <c r="K512" s="2"/>
      <c r="L512" s="2"/>
      <c r="M512" s="320"/>
      <c r="N512" s="2"/>
      <c r="O512" s="2"/>
      <c r="P512" s="2"/>
      <c r="Q512" s="4"/>
      <c r="R512" s="2"/>
      <c r="S512" s="2"/>
      <c r="U512" s="2"/>
      <c r="CI512" s="321"/>
    </row>
    <row r="513">
      <c r="A513" s="2"/>
      <c r="B513" s="2"/>
      <c r="C513" s="2"/>
      <c r="D513" s="2"/>
      <c r="E513" s="2"/>
      <c r="F513" s="2"/>
      <c r="G513" s="2"/>
      <c r="H513" s="2"/>
      <c r="I513" s="2"/>
      <c r="J513" s="2"/>
      <c r="K513" s="2"/>
      <c r="L513" s="2"/>
      <c r="M513" s="320"/>
      <c r="N513" s="2"/>
      <c r="O513" s="2"/>
      <c r="P513" s="2"/>
      <c r="Q513" s="4"/>
      <c r="R513" s="2"/>
      <c r="S513" s="2"/>
      <c r="U513" s="2"/>
      <c r="CI513" s="321"/>
    </row>
    <row r="514">
      <c r="A514" s="2"/>
      <c r="B514" s="2"/>
      <c r="C514" s="2"/>
      <c r="D514" s="2"/>
      <c r="E514" s="2"/>
      <c r="F514" s="2"/>
      <c r="G514" s="2"/>
      <c r="H514" s="2"/>
      <c r="I514" s="2"/>
      <c r="J514" s="2"/>
      <c r="K514" s="2"/>
      <c r="L514" s="2"/>
      <c r="M514" s="320"/>
      <c r="N514" s="2"/>
      <c r="O514" s="2"/>
      <c r="P514" s="2"/>
      <c r="Q514" s="4"/>
      <c r="R514" s="2"/>
      <c r="S514" s="2"/>
      <c r="U514" s="2"/>
      <c r="CI514" s="321"/>
    </row>
    <row r="515">
      <c r="A515" s="2"/>
      <c r="B515" s="2"/>
      <c r="C515" s="2"/>
      <c r="D515" s="2"/>
      <c r="E515" s="2"/>
      <c r="F515" s="2"/>
      <c r="G515" s="2"/>
      <c r="H515" s="2"/>
      <c r="I515" s="2"/>
      <c r="J515" s="2"/>
      <c r="K515" s="2"/>
      <c r="L515" s="2"/>
      <c r="M515" s="320"/>
      <c r="N515" s="2"/>
      <c r="O515" s="2"/>
      <c r="P515" s="2"/>
      <c r="Q515" s="4"/>
      <c r="R515" s="2"/>
      <c r="S515" s="2"/>
      <c r="U515" s="2"/>
      <c r="CI515" s="321"/>
    </row>
    <row r="516">
      <c r="A516" s="2"/>
      <c r="B516" s="2"/>
      <c r="C516" s="2"/>
      <c r="D516" s="2"/>
      <c r="E516" s="2"/>
      <c r="F516" s="2"/>
      <c r="G516" s="2"/>
      <c r="H516" s="2"/>
      <c r="I516" s="2"/>
      <c r="J516" s="2"/>
      <c r="K516" s="2"/>
      <c r="L516" s="2"/>
      <c r="M516" s="320"/>
      <c r="N516" s="2"/>
      <c r="O516" s="2"/>
      <c r="P516" s="2"/>
      <c r="Q516" s="4"/>
      <c r="R516" s="2"/>
      <c r="S516" s="2"/>
      <c r="U516" s="2"/>
      <c r="CI516" s="321"/>
    </row>
    <row r="517">
      <c r="A517" s="2"/>
      <c r="B517" s="2"/>
      <c r="C517" s="2"/>
      <c r="D517" s="2"/>
      <c r="E517" s="2"/>
      <c r="F517" s="2"/>
      <c r="G517" s="2"/>
      <c r="H517" s="2"/>
      <c r="I517" s="2"/>
      <c r="J517" s="2"/>
      <c r="K517" s="2"/>
      <c r="L517" s="2"/>
      <c r="M517" s="320"/>
      <c r="N517" s="2"/>
      <c r="O517" s="2"/>
      <c r="P517" s="2"/>
      <c r="Q517" s="4"/>
      <c r="R517" s="2"/>
      <c r="S517" s="2"/>
      <c r="U517" s="2"/>
      <c r="CI517" s="321"/>
    </row>
    <row r="518">
      <c r="A518" s="2"/>
      <c r="B518" s="2"/>
      <c r="C518" s="2"/>
      <c r="D518" s="2"/>
      <c r="E518" s="2"/>
      <c r="F518" s="2"/>
      <c r="G518" s="2"/>
      <c r="H518" s="2"/>
      <c r="I518" s="2"/>
      <c r="J518" s="2"/>
      <c r="K518" s="2"/>
      <c r="L518" s="2"/>
      <c r="M518" s="320"/>
      <c r="N518" s="2"/>
      <c r="O518" s="2"/>
      <c r="P518" s="2"/>
      <c r="Q518" s="4"/>
      <c r="R518" s="2"/>
      <c r="S518" s="2"/>
      <c r="U518" s="2"/>
      <c r="CI518" s="321"/>
    </row>
    <row r="519">
      <c r="A519" s="2"/>
      <c r="B519" s="2"/>
      <c r="C519" s="2"/>
      <c r="D519" s="2"/>
      <c r="E519" s="2"/>
      <c r="F519" s="2"/>
      <c r="G519" s="2"/>
      <c r="H519" s="2"/>
      <c r="I519" s="2"/>
      <c r="J519" s="2"/>
      <c r="K519" s="2"/>
      <c r="L519" s="2"/>
      <c r="M519" s="320"/>
      <c r="N519" s="2"/>
      <c r="O519" s="2"/>
      <c r="P519" s="2"/>
      <c r="Q519" s="4"/>
      <c r="R519" s="2"/>
      <c r="S519" s="2"/>
      <c r="U519" s="2"/>
      <c r="CI519" s="321"/>
    </row>
    <row r="520">
      <c r="A520" s="2"/>
      <c r="B520" s="2"/>
      <c r="C520" s="2"/>
      <c r="D520" s="2"/>
      <c r="E520" s="2"/>
      <c r="F520" s="2"/>
      <c r="G520" s="2"/>
      <c r="H520" s="2"/>
      <c r="I520" s="2"/>
      <c r="J520" s="2"/>
      <c r="K520" s="2"/>
      <c r="L520" s="2"/>
      <c r="M520" s="320"/>
      <c r="N520" s="2"/>
      <c r="O520" s="2"/>
      <c r="P520" s="2"/>
      <c r="Q520" s="4"/>
      <c r="R520" s="2"/>
      <c r="S520" s="2"/>
      <c r="U520" s="2"/>
      <c r="CI520" s="321"/>
    </row>
    <row r="521">
      <c r="A521" s="2"/>
      <c r="B521" s="2"/>
      <c r="C521" s="2"/>
      <c r="D521" s="2"/>
      <c r="E521" s="2"/>
      <c r="F521" s="2"/>
      <c r="G521" s="2"/>
      <c r="H521" s="2"/>
      <c r="I521" s="2"/>
      <c r="J521" s="2"/>
      <c r="K521" s="2"/>
      <c r="L521" s="2"/>
      <c r="M521" s="320"/>
      <c r="N521" s="2"/>
      <c r="O521" s="2"/>
      <c r="P521" s="2"/>
      <c r="Q521" s="4"/>
      <c r="R521" s="2"/>
      <c r="S521" s="2"/>
      <c r="U521" s="2"/>
      <c r="CI521" s="321"/>
    </row>
    <row r="522">
      <c r="A522" s="2"/>
      <c r="B522" s="2"/>
      <c r="C522" s="2"/>
      <c r="D522" s="2"/>
      <c r="E522" s="2"/>
      <c r="F522" s="2"/>
      <c r="G522" s="2"/>
      <c r="H522" s="2"/>
      <c r="I522" s="2"/>
      <c r="J522" s="2"/>
      <c r="K522" s="2"/>
      <c r="L522" s="2"/>
      <c r="M522" s="320"/>
      <c r="N522" s="2"/>
      <c r="O522" s="2"/>
      <c r="P522" s="2"/>
      <c r="Q522" s="4"/>
      <c r="R522" s="2"/>
      <c r="S522" s="2"/>
      <c r="U522" s="2"/>
      <c r="CI522" s="321"/>
    </row>
    <row r="523">
      <c r="A523" s="2"/>
      <c r="B523" s="2"/>
      <c r="C523" s="2"/>
      <c r="D523" s="2"/>
      <c r="E523" s="2"/>
      <c r="F523" s="2"/>
      <c r="G523" s="2"/>
      <c r="H523" s="2"/>
      <c r="I523" s="2"/>
      <c r="J523" s="2"/>
      <c r="K523" s="2"/>
      <c r="L523" s="2"/>
      <c r="M523" s="320"/>
      <c r="N523" s="2"/>
      <c r="O523" s="2"/>
      <c r="P523" s="2"/>
      <c r="Q523" s="4"/>
      <c r="R523" s="2"/>
      <c r="S523" s="2"/>
      <c r="U523" s="2"/>
      <c r="CI523" s="321"/>
    </row>
    <row r="524">
      <c r="A524" s="2"/>
      <c r="B524" s="2"/>
      <c r="C524" s="2"/>
      <c r="D524" s="2"/>
      <c r="E524" s="2"/>
      <c r="F524" s="2"/>
      <c r="G524" s="2"/>
      <c r="H524" s="2"/>
      <c r="I524" s="2"/>
      <c r="J524" s="2"/>
      <c r="K524" s="2"/>
      <c r="L524" s="2"/>
      <c r="M524" s="320"/>
      <c r="N524" s="2"/>
      <c r="O524" s="2"/>
      <c r="P524" s="2"/>
      <c r="Q524" s="4"/>
      <c r="R524" s="2"/>
      <c r="S524" s="2"/>
      <c r="U524" s="2"/>
      <c r="CI524" s="321"/>
    </row>
    <row r="525">
      <c r="A525" s="2"/>
      <c r="B525" s="2"/>
      <c r="C525" s="2"/>
      <c r="D525" s="2"/>
      <c r="E525" s="2"/>
      <c r="F525" s="2"/>
      <c r="G525" s="2"/>
      <c r="H525" s="2"/>
      <c r="I525" s="2"/>
      <c r="J525" s="2"/>
      <c r="K525" s="2"/>
      <c r="L525" s="2"/>
      <c r="M525" s="320"/>
      <c r="N525" s="2"/>
      <c r="O525" s="2"/>
      <c r="P525" s="2"/>
      <c r="Q525" s="4"/>
      <c r="R525" s="2"/>
      <c r="S525" s="2"/>
      <c r="U525" s="2"/>
      <c r="CI525" s="321"/>
    </row>
    <row r="526">
      <c r="A526" s="2"/>
      <c r="B526" s="2"/>
      <c r="C526" s="2"/>
      <c r="D526" s="2"/>
      <c r="E526" s="2"/>
      <c r="F526" s="2"/>
      <c r="G526" s="2"/>
      <c r="H526" s="2"/>
      <c r="I526" s="2"/>
      <c r="J526" s="2"/>
      <c r="K526" s="2"/>
      <c r="L526" s="2"/>
      <c r="M526" s="320"/>
      <c r="N526" s="2"/>
      <c r="O526" s="2"/>
      <c r="P526" s="2"/>
      <c r="Q526" s="4"/>
      <c r="R526" s="2"/>
      <c r="S526" s="2"/>
      <c r="U526" s="2"/>
      <c r="CI526" s="321"/>
    </row>
    <row r="527">
      <c r="A527" s="2"/>
      <c r="B527" s="2"/>
      <c r="C527" s="2"/>
      <c r="D527" s="2"/>
      <c r="E527" s="2"/>
      <c r="F527" s="2"/>
      <c r="G527" s="2"/>
      <c r="H527" s="2"/>
      <c r="I527" s="2"/>
      <c r="J527" s="2"/>
      <c r="K527" s="2"/>
      <c r="L527" s="2"/>
      <c r="M527" s="320"/>
      <c r="N527" s="2"/>
      <c r="O527" s="2"/>
      <c r="P527" s="2"/>
      <c r="Q527" s="4"/>
      <c r="R527" s="2"/>
      <c r="S527" s="2"/>
      <c r="U527" s="2"/>
      <c r="CI527" s="321"/>
    </row>
    <row r="528">
      <c r="A528" s="2"/>
      <c r="B528" s="2"/>
      <c r="C528" s="2"/>
      <c r="D528" s="2"/>
      <c r="E528" s="2"/>
      <c r="F528" s="2"/>
      <c r="G528" s="2"/>
      <c r="H528" s="2"/>
      <c r="I528" s="2"/>
      <c r="J528" s="2"/>
      <c r="K528" s="2"/>
      <c r="L528" s="2"/>
      <c r="M528" s="320"/>
      <c r="N528" s="2"/>
      <c r="O528" s="2"/>
      <c r="P528" s="2"/>
      <c r="Q528" s="4"/>
      <c r="R528" s="2"/>
      <c r="S528" s="2"/>
      <c r="U528" s="2"/>
      <c r="CI528" s="321"/>
    </row>
    <row r="529">
      <c r="A529" s="2"/>
      <c r="B529" s="2"/>
      <c r="C529" s="2"/>
      <c r="D529" s="2"/>
      <c r="E529" s="2"/>
      <c r="F529" s="2"/>
      <c r="G529" s="2"/>
      <c r="H529" s="2"/>
      <c r="I529" s="2"/>
      <c r="J529" s="2"/>
      <c r="K529" s="2"/>
      <c r="L529" s="2"/>
      <c r="M529" s="320"/>
      <c r="N529" s="2"/>
      <c r="O529" s="2"/>
      <c r="P529" s="2"/>
      <c r="Q529" s="4"/>
      <c r="R529" s="2"/>
      <c r="S529" s="2"/>
      <c r="U529" s="2"/>
      <c r="CI529" s="321"/>
    </row>
    <row r="530">
      <c r="A530" s="2"/>
      <c r="B530" s="2"/>
      <c r="C530" s="2"/>
      <c r="D530" s="2"/>
      <c r="E530" s="2"/>
      <c r="F530" s="2"/>
      <c r="G530" s="2"/>
      <c r="H530" s="2"/>
      <c r="I530" s="2"/>
      <c r="J530" s="2"/>
      <c r="K530" s="2"/>
      <c r="L530" s="2"/>
      <c r="M530" s="320"/>
      <c r="N530" s="2"/>
      <c r="O530" s="2"/>
      <c r="P530" s="2"/>
      <c r="Q530" s="4"/>
      <c r="R530" s="2"/>
      <c r="S530" s="2"/>
      <c r="U530" s="2"/>
      <c r="CI530" s="321"/>
    </row>
    <row r="531">
      <c r="A531" s="2"/>
      <c r="B531" s="2"/>
      <c r="C531" s="2"/>
      <c r="D531" s="2"/>
      <c r="E531" s="2"/>
      <c r="F531" s="2"/>
      <c r="G531" s="2"/>
      <c r="H531" s="2"/>
      <c r="I531" s="2"/>
      <c r="J531" s="2"/>
      <c r="K531" s="2"/>
      <c r="L531" s="2"/>
      <c r="M531" s="320"/>
      <c r="N531" s="2"/>
      <c r="O531" s="2"/>
      <c r="P531" s="2"/>
      <c r="Q531" s="4"/>
      <c r="R531" s="2"/>
      <c r="S531" s="2"/>
      <c r="U531" s="2"/>
      <c r="CI531" s="321"/>
    </row>
    <row r="532">
      <c r="A532" s="2"/>
      <c r="B532" s="2"/>
      <c r="C532" s="2"/>
      <c r="D532" s="2"/>
      <c r="E532" s="2"/>
      <c r="F532" s="2"/>
      <c r="G532" s="2"/>
      <c r="H532" s="2"/>
      <c r="I532" s="2"/>
      <c r="J532" s="2"/>
      <c r="K532" s="2"/>
      <c r="L532" s="2"/>
      <c r="M532" s="320"/>
      <c r="N532" s="2"/>
      <c r="O532" s="2"/>
      <c r="P532" s="2"/>
      <c r="Q532" s="4"/>
      <c r="R532" s="2"/>
      <c r="S532" s="2"/>
      <c r="U532" s="2"/>
      <c r="CI532" s="321"/>
    </row>
    <row r="533">
      <c r="A533" s="2"/>
      <c r="B533" s="2"/>
      <c r="C533" s="2"/>
      <c r="D533" s="2"/>
      <c r="E533" s="2"/>
      <c r="F533" s="2"/>
      <c r="G533" s="2"/>
      <c r="H533" s="2"/>
      <c r="I533" s="2"/>
      <c r="J533" s="2"/>
      <c r="K533" s="2"/>
      <c r="L533" s="2"/>
      <c r="M533" s="320"/>
      <c r="N533" s="2"/>
      <c r="O533" s="2"/>
      <c r="P533" s="2"/>
      <c r="Q533" s="4"/>
      <c r="R533" s="2"/>
      <c r="S533" s="2"/>
      <c r="U533" s="2"/>
      <c r="CI533" s="321"/>
    </row>
    <row r="534">
      <c r="A534" s="2"/>
      <c r="B534" s="2"/>
      <c r="C534" s="2"/>
      <c r="D534" s="2"/>
      <c r="E534" s="2"/>
      <c r="F534" s="2"/>
      <c r="G534" s="2"/>
      <c r="H534" s="2"/>
      <c r="I534" s="2"/>
      <c r="J534" s="2"/>
      <c r="K534" s="2"/>
      <c r="L534" s="2"/>
      <c r="M534" s="320"/>
      <c r="N534" s="2"/>
      <c r="O534" s="2"/>
      <c r="P534" s="2"/>
      <c r="Q534" s="4"/>
      <c r="R534" s="2"/>
      <c r="S534" s="2"/>
      <c r="U534" s="2"/>
      <c r="CI534" s="321"/>
    </row>
    <row r="535">
      <c r="A535" s="2"/>
      <c r="B535" s="2"/>
      <c r="C535" s="2"/>
      <c r="D535" s="2"/>
      <c r="E535" s="2"/>
      <c r="F535" s="2"/>
      <c r="G535" s="2"/>
      <c r="H535" s="2"/>
      <c r="I535" s="2"/>
      <c r="J535" s="2"/>
      <c r="K535" s="2"/>
      <c r="L535" s="2"/>
      <c r="M535" s="320"/>
      <c r="N535" s="2"/>
      <c r="O535" s="2"/>
      <c r="P535" s="2"/>
      <c r="Q535" s="4"/>
      <c r="R535" s="2"/>
      <c r="S535" s="2"/>
      <c r="U535" s="2"/>
      <c r="CI535" s="321"/>
    </row>
    <row r="536">
      <c r="A536" s="2"/>
      <c r="B536" s="2"/>
      <c r="C536" s="2"/>
      <c r="D536" s="2"/>
      <c r="E536" s="2"/>
      <c r="F536" s="2"/>
      <c r="G536" s="2"/>
      <c r="H536" s="2"/>
      <c r="I536" s="2"/>
      <c r="J536" s="2"/>
      <c r="K536" s="2"/>
      <c r="L536" s="2"/>
      <c r="M536" s="320"/>
      <c r="N536" s="2"/>
      <c r="O536" s="2"/>
      <c r="P536" s="2"/>
      <c r="Q536" s="4"/>
      <c r="R536" s="2"/>
      <c r="S536" s="2"/>
      <c r="U536" s="2"/>
      <c r="CI536" s="321"/>
    </row>
    <row r="537">
      <c r="A537" s="2"/>
      <c r="B537" s="2"/>
      <c r="C537" s="2"/>
      <c r="D537" s="2"/>
      <c r="E537" s="2"/>
      <c r="F537" s="2"/>
      <c r="G537" s="2"/>
      <c r="H537" s="2"/>
      <c r="I537" s="2"/>
      <c r="J537" s="2"/>
      <c r="K537" s="2"/>
      <c r="L537" s="2"/>
      <c r="M537" s="320"/>
      <c r="N537" s="2"/>
      <c r="O537" s="2"/>
      <c r="P537" s="2"/>
      <c r="Q537" s="4"/>
      <c r="R537" s="2"/>
      <c r="S537" s="2"/>
      <c r="U537" s="2"/>
      <c r="CI537" s="321"/>
    </row>
    <row r="538">
      <c r="A538" s="2"/>
      <c r="B538" s="2"/>
      <c r="C538" s="2"/>
      <c r="D538" s="2"/>
      <c r="E538" s="2"/>
      <c r="F538" s="2"/>
      <c r="G538" s="2"/>
      <c r="H538" s="2"/>
      <c r="I538" s="2"/>
      <c r="J538" s="2"/>
      <c r="K538" s="2"/>
      <c r="L538" s="2"/>
      <c r="M538" s="320"/>
      <c r="N538" s="2"/>
      <c r="O538" s="2"/>
      <c r="P538" s="2"/>
      <c r="Q538" s="4"/>
      <c r="R538" s="2"/>
      <c r="S538" s="2"/>
      <c r="U538" s="2"/>
      <c r="CI538" s="321"/>
    </row>
    <row r="539">
      <c r="A539" s="2"/>
      <c r="B539" s="2"/>
      <c r="C539" s="2"/>
      <c r="D539" s="2"/>
      <c r="E539" s="2"/>
      <c r="F539" s="2"/>
      <c r="G539" s="2"/>
      <c r="H539" s="2"/>
      <c r="I539" s="2"/>
      <c r="J539" s="2"/>
      <c r="K539" s="2"/>
      <c r="L539" s="2"/>
      <c r="M539" s="320"/>
      <c r="N539" s="2"/>
      <c r="O539" s="2"/>
      <c r="P539" s="2"/>
      <c r="Q539" s="4"/>
      <c r="R539" s="2"/>
      <c r="S539" s="2"/>
      <c r="U539" s="2"/>
      <c r="CI539" s="321"/>
    </row>
    <row r="540">
      <c r="A540" s="2"/>
      <c r="B540" s="2"/>
      <c r="C540" s="2"/>
      <c r="D540" s="2"/>
      <c r="E540" s="2"/>
      <c r="F540" s="2"/>
      <c r="G540" s="2"/>
      <c r="H540" s="2"/>
      <c r="I540" s="2"/>
      <c r="J540" s="2"/>
      <c r="K540" s="2"/>
      <c r="L540" s="2"/>
      <c r="M540" s="320"/>
      <c r="N540" s="2"/>
      <c r="O540" s="2"/>
      <c r="P540" s="2"/>
      <c r="Q540" s="4"/>
      <c r="R540" s="2"/>
      <c r="S540" s="2"/>
      <c r="U540" s="2"/>
      <c r="CI540" s="321"/>
    </row>
    <row r="541">
      <c r="A541" s="2"/>
      <c r="B541" s="2"/>
      <c r="C541" s="2"/>
      <c r="D541" s="2"/>
      <c r="E541" s="2"/>
      <c r="F541" s="2"/>
      <c r="G541" s="2"/>
      <c r="H541" s="2"/>
      <c r="I541" s="2"/>
      <c r="J541" s="2"/>
      <c r="K541" s="2"/>
      <c r="L541" s="2"/>
      <c r="M541" s="320"/>
      <c r="N541" s="2"/>
      <c r="O541" s="2"/>
      <c r="P541" s="2"/>
      <c r="Q541" s="4"/>
      <c r="R541" s="2"/>
      <c r="S541" s="2"/>
      <c r="U541" s="2"/>
      <c r="CI541" s="321"/>
    </row>
    <row r="542">
      <c r="A542" s="2"/>
      <c r="B542" s="2"/>
      <c r="C542" s="2"/>
      <c r="D542" s="2"/>
      <c r="E542" s="2"/>
      <c r="F542" s="2"/>
      <c r="G542" s="2"/>
      <c r="H542" s="2"/>
      <c r="I542" s="2"/>
      <c r="J542" s="2"/>
      <c r="K542" s="2"/>
      <c r="L542" s="2"/>
      <c r="M542" s="320"/>
      <c r="N542" s="2"/>
      <c r="O542" s="2"/>
      <c r="P542" s="2"/>
      <c r="Q542" s="4"/>
      <c r="R542" s="2"/>
      <c r="S542" s="2"/>
      <c r="U542" s="2"/>
      <c r="CI542" s="321"/>
    </row>
    <row r="543">
      <c r="A543" s="2"/>
      <c r="B543" s="2"/>
      <c r="C543" s="2"/>
      <c r="D543" s="2"/>
      <c r="E543" s="2"/>
      <c r="F543" s="2"/>
      <c r="G543" s="2"/>
      <c r="H543" s="2"/>
      <c r="I543" s="2"/>
      <c r="J543" s="2"/>
      <c r="K543" s="2"/>
      <c r="L543" s="2"/>
      <c r="M543" s="320"/>
      <c r="N543" s="2"/>
      <c r="O543" s="2"/>
      <c r="P543" s="2"/>
      <c r="Q543" s="4"/>
      <c r="R543" s="2"/>
      <c r="S543" s="2"/>
      <c r="U543" s="2"/>
      <c r="CI543" s="321"/>
    </row>
    <row r="544">
      <c r="A544" s="2"/>
      <c r="B544" s="2"/>
      <c r="C544" s="2"/>
      <c r="D544" s="2"/>
      <c r="E544" s="2"/>
      <c r="F544" s="2"/>
      <c r="G544" s="2"/>
      <c r="H544" s="2"/>
      <c r="I544" s="2"/>
      <c r="J544" s="2"/>
      <c r="K544" s="2"/>
      <c r="L544" s="2"/>
      <c r="M544" s="320"/>
      <c r="N544" s="2"/>
      <c r="O544" s="2"/>
      <c r="P544" s="2"/>
      <c r="Q544" s="4"/>
      <c r="R544" s="2"/>
      <c r="S544" s="2"/>
      <c r="U544" s="2"/>
      <c r="CI544" s="321"/>
    </row>
    <row r="545">
      <c r="A545" s="2"/>
      <c r="B545" s="2"/>
      <c r="C545" s="2"/>
      <c r="D545" s="2"/>
      <c r="E545" s="2"/>
      <c r="F545" s="2"/>
      <c r="G545" s="2"/>
      <c r="H545" s="2"/>
      <c r="I545" s="2"/>
      <c r="J545" s="2"/>
      <c r="K545" s="2"/>
      <c r="L545" s="2"/>
      <c r="M545" s="320"/>
      <c r="N545" s="2"/>
      <c r="O545" s="2"/>
      <c r="P545" s="2"/>
      <c r="Q545" s="4"/>
      <c r="R545" s="2"/>
      <c r="S545" s="2"/>
      <c r="U545" s="2"/>
      <c r="CI545" s="321"/>
    </row>
    <row r="546">
      <c r="A546" s="2"/>
      <c r="B546" s="2"/>
      <c r="C546" s="2"/>
      <c r="D546" s="2"/>
      <c r="E546" s="2"/>
      <c r="F546" s="2"/>
      <c r="G546" s="2"/>
      <c r="H546" s="2"/>
      <c r="I546" s="2"/>
      <c r="J546" s="2"/>
      <c r="K546" s="2"/>
      <c r="L546" s="2"/>
      <c r="M546" s="320"/>
      <c r="N546" s="2"/>
      <c r="O546" s="2"/>
      <c r="P546" s="2"/>
      <c r="Q546" s="4"/>
      <c r="R546" s="2"/>
      <c r="S546" s="2"/>
      <c r="U546" s="2"/>
      <c r="CI546" s="321"/>
    </row>
    <row r="547">
      <c r="A547" s="2"/>
      <c r="B547" s="2"/>
      <c r="C547" s="2"/>
      <c r="D547" s="2"/>
      <c r="E547" s="2"/>
      <c r="F547" s="2"/>
      <c r="G547" s="2"/>
      <c r="H547" s="2"/>
      <c r="I547" s="2"/>
      <c r="J547" s="2"/>
      <c r="K547" s="2"/>
      <c r="L547" s="2"/>
      <c r="M547" s="320"/>
      <c r="N547" s="2"/>
      <c r="O547" s="2"/>
      <c r="P547" s="2"/>
      <c r="Q547" s="4"/>
      <c r="R547" s="2"/>
      <c r="S547" s="2"/>
      <c r="U547" s="2"/>
      <c r="CI547" s="321"/>
    </row>
    <row r="548">
      <c r="A548" s="2"/>
      <c r="B548" s="2"/>
      <c r="C548" s="2"/>
      <c r="D548" s="2"/>
      <c r="E548" s="2"/>
      <c r="F548" s="2"/>
      <c r="G548" s="2"/>
      <c r="H548" s="2"/>
      <c r="I548" s="2"/>
      <c r="J548" s="2"/>
      <c r="K548" s="2"/>
      <c r="L548" s="2"/>
      <c r="M548" s="320"/>
      <c r="N548" s="2"/>
      <c r="O548" s="2"/>
      <c r="P548" s="2"/>
      <c r="Q548" s="4"/>
      <c r="R548" s="2"/>
      <c r="S548" s="2"/>
      <c r="U548" s="2"/>
      <c r="CI548" s="321"/>
    </row>
    <row r="549">
      <c r="A549" s="2"/>
      <c r="B549" s="2"/>
      <c r="C549" s="2"/>
      <c r="D549" s="2"/>
      <c r="E549" s="2"/>
      <c r="F549" s="2"/>
      <c r="G549" s="2"/>
      <c r="H549" s="2"/>
      <c r="I549" s="2"/>
      <c r="J549" s="2"/>
      <c r="K549" s="2"/>
      <c r="L549" s="2"/>
      <c r="M549" s="320"/>
      <c r="N549" s="2"/>
      <c r="O549" s="2"/>
      <c r="P549" s="2"/>
      <c r="Q549" s="4"/>
      <c r="R549" s="2"/>
      <c r="S549" s="2"/>
      <c r="U549" s="2"/>
      <c r="CI549" s="321"/>
    </row>
    <row r="550">
      <c r="A550" s="2"/>
      <c r="B550" s="2"/>
      <c r="C550" s="2"/>
      <c r="D550" s="2"/>
      <c r="E550" s="2"/>
      <c r="F550" s="2"/>
      <c r="G550" s="2"/>
      <c r="H550" s="2"/>
      <c r="I550" s="2"/>
      <c r="J550" s="2"/>
      <c r="K550" s="2"/>
      <c r="L550" s="2"/>
      <c r="M550" s="320"/>
      <c r="N550" s="2"/>
      <c r="O550" s="2"/>
      <c r="P550" s="2"/>
      <c r="Q550" s="4"/>
      <c r="R550" s="2"/>
      <c r="S550" s="2"/>
      <c r="U550" s="2"/>
      <c r="CI550" s="321"/>
    </row>
    <row r="551">
      <c r="A551" s="2"/>
      <c r="B551" s="2"/>
      <c r="C551" s="2"/>
      <c r="D551" s="2"/>
      <c r="E551" s="2"/>
      <c r="F551" s="2"/>
      <c r="G551" s="2"/>
      <c r="H551" s="2"/>
      <c r="I551" s="2"/>
      <c r="J551" s="2"/>
      <c r="K551" s="2"/>
      <c r="L551" s="2"/>
      <c r="M551" s="320"/>
      <c r="N551" s="2"/>
      <c r="O551" s="2"/>
      <c r="P551" s="2"/>
      <c r="Q551" s="4"/>
      <c r="R551" s="2"/>
      <c r="S551" s="2"/>
      <c r="U551" s="2"/>
      <c r="CI551" s="321"/>
    </row>
    <row r="552">
      <c r="A552" s="2"/>
      <c r="B552" s="2"/>
      <c r="C552" s="2"/>
      <c r="D552" s="2"/>
      <c r="E552" s="2"/>
      <c r="F552" s="2"/>
      <c r="G552" s="2"/>
      <c r="H552" s="2"/>
      <c r="I552" s="2"/>
      <c r="J552" s="2"/>
      <c r="K552" s="2"/>
      <c r="L552" s="2"/>
      <c r="M552" s="320"/>
      <c r="N552" s="2"/>
      <c r="O552" s="2"/>
      <c r="P552" s="2"/>
      <c r="Q552" s="4"/>
      <c r="R552" s="2"/>
      <c r="S552" s="2"/>
      <c r="U552" s="2"/>
      <c r="CI552" s="321"/>
    </row>
    <row r="553">
      <c r="A553" s="2"/>
      <c r="B553" s="2"/>
      <c r="C553" s="2"/>
      <c r="D553" s="2"/>
      <c r="E553" s="2"/>
      <c r="F553" s="2"/>
      <c r="G553" s="2"/>
      <c r="H553" s="2"/>
      <c r="I553" s="2"/>
      <c r="J553" s="2"/>
      <c r="K553" s="2"/>
      <c r="L553" s="2"/>
      <c r="M553" s="320"/>
      <c r="N553" s="2"/>
      <c r="O553" s="2"/>
      <c r="P553" s="2"/>
      <c r="Q553" s="4"/>
      <c r="R553" s="2"/>
      <c r="S553" s="2"/>
      <c r="U553" s="2"/>
      <c r="CI553" s="321"/>
    </row>
    <row r="554">
      <c r="A554" s="2"/>
      <c r="B554" s="2"/>
      <c r="C554" s="2"/>
      <c r="D554" s="2"/>
      <c r="E554" s="2"/>
      <c r="F554" s="2"/>
      <c r="G554" s="2"/>
      <c r="H554" s="2"/>
      <c r="I554" s="2"/>
      <c r="J554" s="2"/>
      <c r="K554" s="2"/>
      <c r="L554" s="2"/>
      <c r="M554" s="320"/>
      <c r="N554" s="2"/>
      <c r="O554" s="2"/>
      <c r="P554" s="2"/>
      <c r="Q554" s="4"/>
      <c r="R554" s="2"/>
      <c r="S554" s="2"/>
      <c r="U554" s="2"/>
      <c r="CI554" s="321"/>
    </row>
    <row r="555">
      <c r="A555" s="2"/>
      <c r="B555" s="2"/>
      <c r="C555" s="2"/>
      <c r="D555" s="2"/>
      <c r="E555" s="2"/>
      <c r="F555" s="2"/>
      <c r="G555" s="2"/>
      <c r="H555" s="2"/>
      <c r="I555" s="2"/>
      <c r="J555" s="2"/>
      <c r="K555" s="2"/>
      <c r="L555" s="2"/>
      <c r="M555" s="320"/>
      <c r="N555" s="2"/>
      <c r="O555" s="2"/>
      <c r="P555" s="2"/>
      <c r="Q555" s="4"/>
      <c r="R555" s="2"/>
      <c r="S555" s="2"/>
      <c r="U555" s="2"/>
      <c r="CI555" s="321"/>
    </row>
    <row r="556">
      <c r="A556" s="2"/>
      <c r="B556" s="2"/>
      <c r="C556" s="2"/>
      <c r="D556" s="2"/>
      <c r="E556" s="2"/>
      <c r="F556" s="2"/>
      <c r="G556" s="2"/>
      <c r="H556" s="2"/>
      <c r="I556" s="2"/>
      <c r="J556" s="2"/>
      <c r="K556" s="2"/>
      <c r="L556" s="2"/>
      <c r="M556" s="320"/>
      <c r="N556" s="2"/>
      <c r="O556" s="2"/>
      <c r="P556" s="2"/>
      <c r="Q556" s="4"/>
      <c r="R556" s="2"/>
      <c r="S556" s="2"/>
      <c r="U556" s="2"/>
      <c r="CI556" s="321"/>
    </row>
    <row r="557">
      <c r="A557" s="2"/>
      <c r="B557" s="2"/>
      <c r="C557" s="2"/>
      <c r="D557" s="2"/>
      <c r="E557" s="2"/>
      <c r="F557" s="2"/>
      <c r="G557" s="2"/>
      <c r="H557" s="2"/>
      <c r="I557" s="2"/>
      <c r="J557" s="2"/>
      <c r="K557" s="2"/>
      <c r="L557" s="2"/>
      <c r="M557" s="320"/>
      <c r="N557" s="2"/>
      <c r="O557" s="2"/>
      <c r="P557" s="2"/>
      <c r="Q557" s="4"/>
      <c r="R557" s="2"/>
      <c r="S557" s="2"/>
      <c r="U557" s="2"/>
      <c r="CI557" s="321"/>
    </row>
    <row r="558">
      <c r="A558" s="2"/>
      <c r="B558" s="2"/>
      <c r="C558" s="2"/>
      <c r="D558" s="2"/>
      <c r="E558" s="2"/>
      <c r="F558" s="2"/>
      <c r="G558" s="2"/>
      <c r="H558" s="2"/>
      <c r="I558" s="2"/>
      <c r="J558" s="2"/>
      <c r="K558" s="2"/>
      <c r="L558" s="2"/>
      <c r="M558" s="320"/>
      <c r="N558" s="2"/>
      <c r="O558" s="2"/>
      <c r="P558" s="2"/>
      <c r="Q558" s="4"/>
      <c r="R558" s="2"/>
      <c r="S558" s="2"/>
      <c r="U558" s="2"/>
      <c r="CI558" s="321"/>
    </row>
    <row r="559">
      <c r="A559" s="2"/>
      <c r="B559" s="2"/>
      <c r="C559" s="2"/>
      <c r="D559" s="2"/>
      <c r="E559" s="2"/>
      <c r="F559" s="2"/>
      <c r="G559" s="2"/>
      <c r="H559" s="2"/>
      <c r="I559" s="2"/>
      <c r="J559" s="2"/>
      <c r="K559" s="2"/>
      <c r="L559" s="2"/>
      <c r="M559" s="320"/>
      <c r="N559" s="2"/>
      <c r="O559" s="2"/>
      <c r="P559" s="2"/>
      <c r="Q559" s="4"/>
      <c r="R559" s="2"/>
      <c r="S559" s="2"/>
      <c r="U559" s="2"/>
      <c r="CI559" s="321"/>
    </row>
    <row r="560">
      <c r="A560" s="2"/>
      <c r="B560" s="2"/>
      <c r="C560" s="2"/>
      <c r="D560" s="2"/>
      <c r="E560" s="2"/>
      <c r="F560" s="2"/>
      <c r="G560" s="2"/>
      <c r="H560" s="2"/>
      <c r="I560" s="2"/>
      <c r="J560" s="2"/>
      <c r="K560" s="2"/>
      <c r="L560" s="2"/>
      <c r="M560" s="320"/>
      <c r="N560" s="2"/>
      <c r="O560" s="2"/>
      <c r="P560" s="2"/>
      <c r="Q560" s="4"/>
      <c r="R560" s="2"/>
      <c r="S560" s="2"/>
      <c r="U560" s="2"/>
      <c r="CI560" s="321"/>
    </row>
    <row r="561">
      <c r="A561" s="2"/>
      <c r="B561" s="2"/>
      <c r="C561" s="2"/>
      <c r="D561" s="2"/>
      <c r="E561" s="2"/>
      <c r="F561" s="2"/>
      <c r="G561" s="2"/>
      <c r="H561" s="2"/>
      <c r="I561" s="2"/>
      <c r="J561" s="2"/>
      <c r="K561" s="2"/>
      <c r="L561" s="2"/>
      <c r="M561" s="320"/>
      <c r="N561" s="2"/>
      <c r="O561" s="2"/>
      <c r="P561" s="2"/>
      <c r="Q561" s="4"/>
      <c r="R561" s="2"/>
      <c r="S561" s="2"/>
      <c r="U561" s="2"/>
      <c r="CI561" s="321"/>
    </row>
    <row r="562">
      <c r="A562" s="2"/>
      <c r="B562" s="2"/>
      <c r="C562" s="2"/>
      <c r="D562" s="2"/>
      <c r="E562" s="2"/>
      <c r="F562" s="2"/>
      <c r="G562" s="2"/>
      <c r="H562" s="2"/>
      <c r="I562" s="2"/>
      <c r="J562" s="2"/>
      <c r="K562" s="2"/>
      <c r="L562" s="2"/>
      <c r="M562" s="320"/>
      <c r="N562" s="2"/>
      <c r="O562" s="2"/>
      <c r="P562" s="2"/>
      <c r="Q562" s="4"/>
      <c r="R562" s="2"/>
      <c r="S562" s="2"/>
      <c r="U562" s="2"/>
      <c r="CI562" s="321"/>
    </row>
    <row r="563">
      <c r="A563" s="2"/>
      <c r="B563" s="2"/>
      <c r="C563" s="2"/>
      <c r="D563" s="2"/>
      <c r="E563" s="2"/>
      <c r="F563" s="2"/>
      <c r="G563" s="2"/>
      <c r="H563" s="2"/>
      <c r="I563" s="2"/>
      <c r="J563" s="2"/>
      <c r="K563" s="2"/>
      <c r="L563" s="2"/>
      <c r="M563" s="320"/>
      <c r="N563" s="2"/>
      <c r="O563" s="2"/>
      <c r="P563" s="2"/>
      <c r="Q563" s="4"/>
      <c r="R563" s="2"/>
      <c r="S563" s="2"/>
      <c r="U563" s="2"/>
      <c r="CI563" s="321"/>
    </row>
    <row r="564">
      <c r="A564" s="2"/>
      <c r="B564" s="2"/>
      <c r="C564" s="2"/>
      <c r="D564" s="2"/>
      <c r="E564" s="2"/>
      <c r="F564" s="2"/>
      <c r="G564" s="2"/>
      <c r="H564" s="2"/>
      <c r="I564" s="2"/>
      <c r="J564" s="2"/>
      <c r="K564" s="2"/>
      <c r="L564" s="2"/>
      <c r="M564" s="320"/>
      <c r="N564" s="2"/>
      <c r="O564" s="2"/>
      <c r="P564" s="2"/>
      <c r="Q564" s="4"/>
      <c r="R564" s="2"/>
      <c r="S564" s="2"/>
      <c r="U564" s="2"/>
      <c r="CI564" s="321"/>
    </row>
    <row r="565">
      <c r="A565" s="2"/>
      <c r="B565" s="2"/>
      <c r="C565" s="2"/>
      <c r="D565" s="2"/>
      <c r="E565" s="2"/>
      <c r="F565" s="2"/>
      <c r="G565" s="2"/>
      <c r="H565" s="2"/>
      <c r="I565" s="2"/>
      <c r="J565" s="2"/>
      <c r="K565" s="2"/>
      <c r="L565" s="2"/>
      <c r="M565" s="320"/>
      <c r="N565" s="2"/>
      <c r="O565" s="2"/>
      <c r="P565" s="2"/>
      <c r="Q565" s="4"/>
      <c r="R565" s="2"/>
      <c r="S565" s="2"/>
      <c r="U565" s="2"/>
      <c r="CI565" s="321"/>
    </row>
    <row r="566">
      <c r="A566" s="2"/>
      <c r="B566" s="2"/>
      <c r="C566" s="2"/>
      <c r="D566" s="2"/>
      <c r="E566" s="2"/>
      <c r="F566" s="2"/>
      <c r="G566" s="2"/>
      <c r="H566" s="2"/>
      <c r="I566" s="2"/>
      <c r="J566" s="2"/>
      <c r="K566" s="2"/>
      <c r="L566" s="2"/>
      <c r="M566" s="320"/>
      <c r="N566" s="2"/>
      <c r="O566" s="2"/>
      <c r="P566" s="2"/>
      <c r="Q566" s="4"/>
      <c r="R566" s="2"/>
      <c r="S566" s="2"/>
      <c r="U566" s="2"/>
      <c r="CI566" s="321"/>
    </row>
    <row r="567">
      <c r="A567" s="2"/>
      <c r="B567" s="2"/>
      <c r="C567" s="2"/>
      <c r="D567" s="2"/>
      <c r="E567" s="2"/>
      <c r="F567" s="2"/>
      <c r="G567" s="2"/>
      <c r="H567" s="2"/>
      <c r="I567" s="2"/>
      <c r="J567" s="2"/>
      <c r="K567" s="2"/>
      <c r="L567" s="2"/>
      <c r="M567" s="320"/>
      <c r="N567" s="2"/>
      <c r="O567" s="2"/>
      <c r="P567" s="2"/>
      <c r="Q567" s="4"/>
      <c r="R567" s="2"/>
      <c r="S567" s="2"/>
      <c r="U567" s="2"/>
      <c r="CI567" s="321"/>
    </row>
    <row r="568">
      <c r="A568" s="2"/>
      <c r="B568" s="2"/>
      <c r="C568" s="2"/>
      <c r="D568" s="2"/>
      <c r="E568" s="2"/>
      <c r="F568" s="2"/>
      <c r="G568" s="2"/>
      <c r="H568" s="2"/>
      <c r="I568" s="2"/>
      <c r="J568" s="2"/>
      <c r="K568" s="2"/>
      <c r="L568" s="2"/>
      <c r="M568" s="320"/>
      <c r="N568" s="2"/>
      <c r="O568" s="2"/>
      <c r="P568" s="2"/>
      <c r="Q568" s="4"/>
      <c r="R568" s="2"/>
      <c r="S568" s="2"/>
      <c r="U568" s="2"/>
      <c r="CI568" s="321"/>
    </row>
    <row r="569">
      <c r="A569" s="2"/>
      <c r="B569" s="2"/>
      <c r="C569" s="2"/>
      <c r="D569" s="2"/>
      <c r="E569" s="2"/>
      <c r="F569" s="2"/>
      <c r="G569" s="2"/>
      <c r="H569" s="2"/>
      <c r="I569" s="2"/>
      <c r="J569" s="2"/>
      <c r="K569" s="2"/>
      <c r="L569" s="2"/>
      <c r="M569" s="320"/>
      <c r="N569" s="2"/>
      <c r="O569" s="2"/>
      <c r="P569" s="2"/>
      <c r="Q569" s="4"/>
      <c r="R569" s="2"/>
      <c r="S569" s="2"/>
      <c r="U569" s="2"/>
      <c r="CI569" s="321"/>
    </row>
    <row r="570">
      <c r="A570" s="2"/>
      <c r="B570" s="2"/>
      <c r="C570" s="2"/>
      <c r="D570" s="2"/>
      <c r="E570" s="2"/>
      <c r="F570" s="2"/>
      <c r="G570" s="2"/>
      <c r="H570" s="2"/>
      <c r="I570" s="2"/>
      <c r="J570" s="2"/>
      <c r="K570" s="2"/>
      <c r="L570" s="2"/>
      <c r="M570" s="320"/>
      <c r="N570" s="2"/>
      <c r="O570" s="2"/>
      <c r="P570" s="2"/>
      <c r="Q570" s="4"/>
      <c r="R570" s="2"/>
      <c r="S570" s="2"/>
      <c r="U570" s="2"/>
      <c r="CI570" s="321"/>
    </row>
    <row r="571">
      <c r="A571" s="2"/>
      <c r="B571" s="2"/>
      <c r="C571" s="2"/>
      <c r="D571" s="2"/>
      <c r="E571" s="2"/>
      <c r="F571" s="2"/>
      <c r="G571" s="2"/>
      <c r="H571" s="2"/>
      <c r="I571" s="2"/>
      <c r="J571" s="2"/>
      <c r="K571" s="2"/>
      <c r="L571" s="2"/>
      <c r="M571" s="320"/>
      <c r="N571" s="2"/>
      <c r="O571" s="2"/>
      <c r="P571" s="2"/>
      <c r="Q571" s="4"/>
      <c r="R571" s="2"/>
      <c r="S571" s="2"/>
      <c r="U571" s="2"/>
      <c r="CI571" s="321"/>
    </row>
    <row r="572">
      <c r="A572" s="2"/>
      <c r="B572" s="2"/>
      <c r="C572" s="2"/>
      <c r="D572" s="2"/>
      <c r="E572" s="2"/>
      <c r="F572" s="2"/>
      <c r="G572" s="2"/>
      <c r="H572" s="2"/>
      <c r="I572" s="2"/>
      <c r="J572" s="2"/>
      <c r="K572" s="2"/>
      <c r="L572" s="2"/>
      <c r="M572" s="320"/>
      <c r="N572" s="2"/>
      <c r="O572" s="2"/>
      <c r="P572" s="2"/>
      <c r="Q572" s="4"/>
      <c r="R572" s="2"/>
      <c r="S572" s="2"/>
      <c r="U572" s="2"/>
      <c r="CI572" s="321"/>
    </row>
    <row r="573">
      <c r="A573" s="2"/>
      <c r="B573" s="2"/>
      <c r="C573" s="2"/>
      <c r="D573" s="2"/>
      <c r="E573" s="2"/>
      <c r="F573" s="2"/>
      <c r="G573" s="2"/>
      <c r="H573" s="2"/>
      <c r="I573" s="2"/>
      <c r="J573" s="2"/>
      <c r="K573" s="2"/>
      <c r="L573" s="2"/>
      <c r="M573" s="320"/>
      <c r="N573" s="2"/>
      <c r="O573" s="2"/>
      <c r="P573" s="2"/>
      <c r="Q573" s="4"/>
      <c r="R573" s="2"/>
      <c r="S573" s="2"/>
      <c r="U573" s="2"/>
      <c r="CI573" s="321"/>
    </row>
    <row r="574">
      <c r="A574" s="2"/>
      <c r="B574" s="2"/>
      <c r="C574" s="2"/>
      <c r="D574" s="2"/>
      <c r="E574" s="2"/>
      <c r="F574" s="2"/>
      <c r="G574" s="2"/>
      <c r="H574" s="2"/>
      <c r="I574" s="2"/>
      <c r="J574" s="2"/>
      <c r="K574" s="2"/>
      <c r="L574" s="2"/>
      <c r="M574" s="320"/>
      <c r="N574" s="2"/>
      <c r="O574" s="2"/>
      <c r="P574" s="2"/>
      <c r="Q574" s="4"/>
      <c r="R574" s="2"/>
      <c r="S574" s="2"/>
      <c r="U574" s="2"/>
      <c r="CI574" s="321"/>
    </row>
    <row r="575">
      <c r="A575" s="2"/>
      <c r="B575" s="2"/>
      <c r="C575" s="2"/>
      <c r="D575" s="2"/>
      <c r="E575" s="2"/>
      <c r="F575" s="2"/>
      <c r="G575" s="2"/>
      <c r="H575" s="2"/>
      <c r="I575" s="2"/>
      <c r="J575" s="2"/>
      <c r="K575" s="2"/>
      <c r="L575" s="2"/>
      <c r="M575" s="320"/>
      <c r="N575" s="2"/>
      <c r="O575" s="2"/>
      <c r="P575" s="2"/>
      <c r="Q575" s="4"/>
      <c r="R575" s="2"/>
      <c r="S575" s="2"/>
      <c r="U575" s="2"/>
      <c r="CI575" s="321"/>
    </row>
    <row r="576">
      <c r="A576" s="2"/>
      <c r="B576" s="2"/>
      <c r="C576" s="2"/>
      <c r="D576" s="2"/>
      <c r="E576" s="2"/>
      <c r="F576" s="2"/>
      <c r="G576" s="2"/>
      <c r="H576" s="2"/>
      <c r="I576" s="2"/>
      <c r="J576" s="2"/>
      <c r="K576" s="2"/>
      <c r="L576" s="2"/>
      <c r="M576" s="320"/>
      <c r="N576" s="2"/>
      <c r="O576" s="2"/>
      <c r="P576" s="2"/>
      <c r="Q576" s="4"/>
      <c r="R576" s="2"/>
      <c r="S576" s="2"/>
      <c r="U576" s="2"/>
      <c r="CI576" s="321"/>
    </row>
    <row r="577">
      <c r="A577" s="2"/>
      <c r="B577" s="2"/>
      <c r="C577" s="2"/>
      <c r="D577" s="2"/>
      <c r="E577" s="2"/>
      <c r="F577" s="2"/>
      <c r="G577" s="2"/>
      <c r="H577" s="2"/>
      <c r="I577" s="2"/>
      <c r="J577" s="2"/>
      <c r="K577" s="2"/>
      <c r="L577" s="2"/>
      <c r="M577" s="320"/>
      <c r="N577" s="2"/>
      <c r="O577" s="2"/>
      <c r="P577" s="2"/>
      <c r="Q577" s="4"/>
      <c r="R577" s="2"/>
      <c r="S577" s="2"/>
      <c r="U577" s="2"/>
      <c r="CI577" s="321"/>
    </row>
    <row r="578">
      <c r="A578" s="2"/>
      <c r="B578" s="2"/>
      <c r="C578" s="2"/>
      <c r="D578" s="2"/>
      <c r="E578" s="2"/>
      <c r="F578" s="2"/>
      <c r="G578" s="2"/>
      <c r="H578" s="2"/>
      <c r="I578" s="2"/>
      <c r="J578" s="2"/>
      <c r="K578" s="2"/>
      <c r="L578" s="2"/>
      <c r="M578" s="320"/>
      <c r="N578" s="2"/>
      <c r="O578" s="2"/>
      <c r="P578" s="2"/>
      <c r="Q578" s="4"/>
      <c r="R578" s="2"/>
      <c r="S578" s="2"/>
      <c r="U578" s="2"/>
      <c r="CI578" s="321"/>
    </row>
    <row r="579">
      <c r="A579" s="2"/>
      <c r="B579" s="2"/>
      <c r="C579" s="2"/>
      <c r="D579" s="2"/>
      <c r="E579" s="2"/>
      <c r="F579" s="2"/>
      <c r="G579" s="2"/>
      <c r="H579" s="2"/>
      <c r="I579" s="2"/>
      <c r="J579" s="2"/>
      <c r="K579" s="2"/>
      <c r="L579" s="2"/>
      <c r="M579" s="320"/>
      <c r="N579" s="2"/>
      <c r="O579" s="2"/>
      <c r="P579" s="2"/>
      <c r="Q579" s="4"/>
      <c r="R579" s="2"/>
      <c r="S579" s="2"/>
      <c r="U579" s="2"/>
      <c r="CI579" s="321"/>
    </row>
    <row r="580">
      <c r="A580" s="2"/>
      <c r="B580" s="2"/>
      <c r="C580" s="2"/>
      <c r="D580" s="2"/>
      <c r="E580" s="2"/>
      <c r="F580" s="2"/>
      <c r="G580" s="2"/>
      <c r="H580" s="2"/>
      <c r="I580" s="2"/>
      <c r="J580" s="2"/>
      <c r="K580" s="2"/>
      <c r="L580" s="2"/>
      <c r="M580" s="320"/>
      <c r="N580" s="2"/>
      <c r="O580" s="2"/>
      <c r="P580" s="2"/>
      <c r="Q580" s="4"/>
      <c r="R580" s="2"/>
      <c r="S580" s="2"/>
      <c r="U580" s="2"/>
      <c r="CI580" s="321"/>
    </row>
    <row r="581">
      <c r="A581" s="2"/>
      <c r="B581" s="2"/>
      <c r="C581" s="2"/>
      <c r="D581" s="2"/>
      <c r="E581" s="2"/>
      <c r="F581" s="2"/>
      <c r="G581" s="2"/>
      <c r="H581" s="2"/>
      <c r="I581" s="2"/>
      <c r="J581" s="2"/>
      <c r="K581" s="2"/>
      <c r="L581" s="2"/>
      <c r="M581" s="320"/>
      <c r="N581" s="2"/>
      <c r="O581" s="2"/>
      <c r="P581" s="2"/>
      <c r="Q581" s="4"/>
      <c r="R581" s="2"/>
      <c r="S581" s="2"/>
      <c r="U581" s="2"/>
      <c r="CI581" s="321"/>
    </row>
    <row r="582">
      <c r="A582" s="2"/>
      <c r="B582" s="2"/>
      <c r="C582" s="2"/>
      <c r="D582" s="2"/>
      <c r="E582" s="2"/>
      <c r="F582" s="2"/>
      <c r="G582" s="2"/>
      <c r="H582" s="2"/>
      <c r="I582" s="2"/>
      <c r="J582" s="2"/>
      <c r="K582" s="2"/>
      <c r="L582" s="2"/>
      <c r="M582" s="320"/>
      <c r="N582" s="2"/>
      <c r="O582" s="2"/>
      <c r="P582" s="2"/>
      <c r="Q582" s="4"/>
      <c r="R582" s="2"/>
      <c r="S582" s="2"/>
      <c r="U582" s="2"/>
      <c r="CI582" s="321"/>
    </row>
    <row r="583">
      <c r="A583" s="2"/>
      <c r="B583" s="2"/>
      <c r="C583" s="2"/>
      <c r="D583" s="2"/>
      <c r="E583" s="2"/>
      <c r="F583" s="2"/>
      <c r="G583" s="2"/>
      <c r="H583" s="2"/>
      <c r="I583" s="2"/>
      <c r="J583" s="2"/>
      <c r="K583" s="2"/>
      <c r="L583" s="2"/>
      <c r="M583" s="320"/>
      <c r="N583" s="2"/>
      <c r="O583" s="2"/>
      <c r="P583" s="2"/>
      <c r="Q583" s="4"/>
      <c r="R583" s="2"/>
      <c r="S583" s="2"/>
      <c r="U583" s="2"/>
      <c r="CI583" s="321"/>
    </row>
    <row r="584">
      <c r="A584" s="2"/>
      <c r="B584" s="2"/>
      <c r="C584" s="2"/>
      <c r="D584" s="2"/>
      <c r="E584" s="2"/>
      <c r="F584" s="2"/>
      <c r="G584" s="2"/>
      <c r="H584" s="2"/>
      <c r="I584" s="2"/>
      <c r="J584" s="2"/>
      <c r="K584" s="2"/>
      <c r="L584" s="2"/>
      <c r="M584" s="320"/>
      <c r="N584" s="2"/>
      <c r="O584" s="2"/>
      <c r="P584" s="2"/>
      <c r="Q584" s="4"/>
      <c r="R584" s="2"/>
      <c r="S584" s="2"/>
      <c r="U584" s="2"/>
      <c r="CI584" s="321"/>
    </row>
    <row r="585">
      <c r="A585" s="2"/>
      <c r="B585" s="2"/>
      <c r="C585" s="2"/>
      <c r="D585" s="2"/>
      <c r="E585" s="2"/>
      <c r="F585" s="2"/>
      <c r="G585" s="2"/>
      <c r="H585" s="2"/>
      <c r="I585" s="2"/>
      <c r="J585" s="2"/>
      <c r="K585" s="2"/>
      <c r="L585" s="2"/>
      <c r="M585" s="320"/>
      <c r="N585" s="2"/>
      <c r="O585" s="2"/>
      <c r="P585" s="2"/>
      <c r="Q585" s="4"/>
      <c r="R585" s="2"/>
      <c r="S585" s="2"/>
      <c r="U585" s="2"/>
      <c r="CI585" s="321"/>
    </row>
    <row r="586">
      <c r="A586" s="2"/>
      <c r="B586" s="2"/>
      <c r="C586" s="2"/>
      <c r="D586" s="2"/>
      <c r="E586" s="2"/>
      <c r="F586" s="2"/>
      <c r="G586" s="2"/>
      <c r="H586" s="2"/>
      <c r="I586" s="2"/>
      <c r="J586" s="2"/>
      <c r="K586" s="2"/>
      <c r="L586" s="2"/>
      <c r="M586" s="320"/>
      <c r="N586" s="2"/>
      <c r="O586" s="2"/>
      <c r="P586" s="2"/>
      <c r="Q586" s="4"/>
      <c r="R586" s="2"/>
      <c r="S586" s="2"/>
      <c r="U586" s="2"/>
      <c r="CI586" s="321"/>
    </row>
    <row r="587">
      <c r="A587" s="2"/>
      <c r="B587" s="2"/>
      <c r="C587" s="2"/>
      <c r="D587" s="2"/>
      <c r="E587" s="2"/>
      <c r="F587" s="2"/>
      <c r="G587" s="2"/>
      <c r="H587" s="2"/>
      <c r="I587" s="2"/>
      <c r="J587" s="2"/>
      <c r="K587" s="2"/>
      <c r="L587" s="2"/>
      <c r="M587" s="320"/>
      <c r="N587" s="2"/>
      <c r="O587" s="2"/>
      <c r="P587" s="2"/>
      <c r="Q587" s="4"/>
      <c r="R587" s="2"/>
      <c r="S587" s="2"/>
      <c r="U587" s="2"/>
      <c r="CI587" s="321"/>
    </row>
    <row r="588">
      <c r="A588" s="2"/>
      <c r="B588" s="2"/>
      <c r="C588" s="2"/>
      <c r="D588" s="2"/>
      <c r="E588" s="2"/>
      <c r="F588" s="2"/>
      <c r="G588" s="2"/>
      <c r="H588" s="2"/>
      <c r="I588" s="2"/>
      <c r="J588" s="2"/>
      <c r="K588" s="2"/>
      <c r="L588" s="2"/>
      <c r="M588" s="320"/>
      <c r="N588" s="2"/>
      <c r="O588" s="2"/>
      <c r="P588" s="2"/>
      <c r="Q588" s="4"/>
      <c r="R588" s="2"/>
      <c r="S588" s="2"/>
      <c r="U588" s="2"/>
      <c r="CI588" s="321"/>
    </row>
    <row r="589">
      <c r="A589" s="2"/>
      <c r="B589" s="2"/>
      <c r="C589" s="2"/>
      <c r="D589" s="2"/>
      <c r="E589" s="2"/>
      <c r="F589" s="2"/>
      <c r="G589" s="2"/>
      <c r="H589" s="2"/>
      <c r="I589" s="2"/>
      <c r="J589" s="2"/>
      <c r="K589" s="2"/>
      <c r="L589" s="2"/>
      <c r="M589" s="320"/>
      <c r="N589" s="2"/>
      <c r="O589" s="2"/>
      <c r="P589" s="2"/>
      <c r="Q589" s="4"/>
      <c r="R589" s="2"/>
      <c r="S589" s="2"/>
      <c r="U589" s="2"/>
      <c r="CI589" s="321"/>
    </row>
    <row r="590">
      <c r="A590" s="2"/>
      <c r="B590" s="2"/>
      <c r="C590" s="2"/>
      <c r="D590" s="2"/>
      <c r="E590" s="2"/>
      <c r="F590" s="2"/>
      <c r="G590" s="2"/>
      <c r="H590" s="2"/>
      <c r="I590" s="2"/>
      <c r="J590" s="2"/>
      <c r="K590" s="2"/>
      <c r="L590" s="2"/>
      <c r="M590" s="320"/>
      <c r="N590" s="2"/>
      <c r="O590" s="2"/>
      <c r="P590" s="2"/>
      <c r="Q590" s="4"/>
      <c r="R590" s="2"/>
      <c r="S590" s="2"/>
      <c r="U590" s="2"/>
      <c r="CI590" s="321"/>
    </row>
    <row r="591">
      <c r="A591" s="2"/>
      <c r="B591" s="2"/>
      <c r="C591" s="2"/>
      <c r="D591" s="2"/>
      <c r="E591" s="2"/>
      <c r="F591" s="2"/>
      <c r="G591" s="2"/>
      <c r="H591" s="2"/>
      <c r="I591" s="2"/>
      <c r="J591" s="2"/>
      <c r="K591" s="2"/>
      <c r="L591" s="2"/>
      <c r="M591" s="320"/>
      <c r="N591" s="2"/>
      <c r="O591" s="2"/>
      <c r="P591" s="2"/>
      <c r="Q591" s="4"/>
      <c r="R591" s="2"/>
      <c r="S591" s="2"/>
      <c r="U591" s="2"/>
      <c r="CI591" s="321"/>
    </row>
    <row r="592">
      <c r="A592" s="2"/>
      <c r="B592" s="2"/>
      <c r="C592" s="2"/>
      <c r="D592" s="2"/>
      <c r="E592" s="2"/>
      <c r="F592" s="2"/>
      <c r="G592" s="2"/>
      <c r="H592" s="2"/>
      <c r="I592" s="2"/>
      <c r="J592" s="2"/>
      <c r="K592" s="2"/>
      <c r="L592" s="2"/>
      <c r="M592" s="320"/>
      <c r="N592" s="2"/>
      <c r="O592" s="2"/>
      <c r="P592" s="2"/>
      <c r="Q592" s="4"/>
      <c r="R592" s="2"/>
      <c r="S592" s="2"/>
      <c r="U592" s="2"/>
      <c r="CI592" s="321"/>
    </row>
    <row r="593">
      <c r="A593" s="2"/>
      <c r="B593" s="2"/>
      <c r="C593" s="2"/>
      <c r="D593" s="2"/>
      <c r="E593" s="2"/>
      <c r="F593" s="2"/>
      <c r="G593" s="2"/>
      <c r="H593" s="2"/>
      <c r="I593" s="2"/>
      <c r="J593" s="2"/>
      <c r="K593" s="2"/>
      <c r="L593" s="2"/>
      <c r="M593" s="320"/>
      <c r="N593" s="2"/>
      <c r="O593" s="2"/>
      <c r="P593" s="2"/>
      <c r="Q593" s="4"/>
      <c r="R593" s="2"/>
      <c r="S593" s="2"/>
      <c r="U593" s="2"/>
      <c r="CI593" s="321"/>
    </row>
    <row r="594">
      <c r="A594" s="2"/>
      <c r="B594" s="2"/>
      <c r="C594" s="2"/>
      <c r="D594" s="2"/>
      <c r="E594" s="2"/>
      <c r="F594" s="2"/>
      <c r="G594" s="2"/>
      <c r="H594" s="2"/>
      <c r="I594" s="2"/>
      <c r="J594" s="2"/>
      <c r="K594" s="2"/>
      <c r="L594" s="2"/>
      <c r="M594" s="320"/>
      <c r="N594" s="2"/>
      <c r="O594" s="2"/>
      <c r="P594" s="2"/>
      <c r="Q594" s="4"/>
      <c r="R594" s="2"/>
      <c r="S594" s="2"/>
      <c r="U594" s="2"/>
      <c r="CI594" s="321"/>
    </row>
    <row r="595">
      <c r="A595" s="2"/>
      <c r="B595" s="2"/>
      <c r="C595" s="2"/>
      <c r="D595" s="2"/>
      <c r="E595" s="2"/>
      <c r="F595" s="2"/>
      <c r="G595" s="2"/>
      <c r="H595" s="2"/>
      <c r="I595" s="2"/>
      <c r="J595" s="2"/>
      <c r="K595" s="2"/>
      <c r="L595" s="2"/>
      <c r="M595" s="320"/>
      <c r="N595" s="2"/>
      <c r="O595" s="2"/>
      <c r="P595" s="2"/>
      <c r="Q595" s="4"/>
      <c r="R595" s="2"/>
      <c r="S595" s="2"/>
      <c r="U595" s="2"/>
      <c r="CI595" s="321"/>
    </row>
    <row r="596">
      <c r="A596" s="2"/>
      <c r="B596" s="2"/>
      <c r="C596" s="2"/>
      <c r="D596" s="2"/>
      <c r="E596" s="2"/>
      <c r="F596" s="2"/>
      <c r="G596" s="2"/>
      <c r="H596" s="2"/>
      <c r="I596" s="2"/>
      <c r="J596" s="2"/>
      <c r="K596" s="2"/>
      <c r="L596" s="2"/>
      <c r="M596" s="320"/>
      <c r="N596" s="2"/>
      <c r="O596" s="2"/>
      <c r="P596" s="2"/>
      <c r="Q596" s="4"/>
      <c r="R596" s="2"/>
      <c r="S596" s="2"/>
      <c r="U596" s="2"/>
      <c r="CI596" s="321"/>
    </row>
    <row r="597">
      <c r="A597" s="2"/>
      <c r="B597" s="2"/>
      <c r="C597" s="2"/>
      <c r="D597" s="2"/>
      <c r="E597" s="2"/>
      <c r="F597" s="2"/>
      <c r="G597" s="2"/>
      <c r="H597" s="2"/>
      <c r="I597" s="2"/>
      <c r="J597" s="2"/>
      <c r="K597" s="2"/>
      <c r="L597" s="2"/>
      <c r="M597" s="320"/>
      <c r="N597" s="2"/>
      <c r="O597" s="2"/>
      <c r="P597" s="2"/>
      <c r="Q597" s="4"/>
      <c r="R597" s="2"/>
      <c r="S597" s="2"/>
      <c r="U597" s="2"/>
      <c r="CI597" s="321"/>
    </row>
    <row r="598">
      <c r="A598" s="2"/>
      <c r="B598" s="2"/>
      <c r="C598" s="2"/>
      <c r="D598" s="2"/>
      <c r="E598" s="2"/>
      <c r="F598" s="2"/>
      <c r="G598" s="2"/>
      <c r="H598" s="2"/>
      <c r="I598" s="2"/>
      <c r="J598" s="2"/>
      <c r="K598" s="2"/>
      <c r="L598" s="2"/>
      <c r="M598" s="320"/>
      <c r="N598" s="2"/>
      <c r="O598" s="2"/>
      <c r="P598" s="2"/>
      <c r="Q598" s="4"/>
      <c r="R598" s="2"/>
      <c r="S598" s="2"/>
      <c r="U598" s="2"/>
      <c r="CI598" s="321"/>
    </row>
    <row r="599">
      <c r="A599" s="2"/>
      <c r="B599" s="2"/>
      <c r="C599" s="2"/>
      <c r="D599" s="2"/>
      <c r="E599" s="2"/>
      <c r="F599" s="2"/>
      <c r="G599" s="2"/>
      <c r="H599" s="2"/>
      <c r="I599" s="2"/>
      <c r="J599" s="2"/>
      <c r="K599" s="2"/>
      <c r="L599" s="2"/>
      <c r="M599" s="320"/>
      <c r="N599" s="2"/>
      <c r="O599" s="2"/>
      <c r="P599" s="2"/>
      <c r="Q599" s="4"/>
      <c r="R599" s="2"/>
      <c r="S599" s="2"/>
      <c r="U599" s="2"/>
      <c r="CI599" s="321"/>
    </row>
    <row r="600">
      <c r="A600" s="2"/>
      <c r="B600" s="2"/>
      <c r="C600" s="2"/>
      <c r="D600" s="2"/>
      <c r="E600" s="2"/>
      <c r="F600" s="2"/>
      <c r="G600" s="2"/>
      <c r="H600" s="2"/>
      <c r="I600" s="2"/>
      <c r="J600" s="2"/>
      <c r="K600" s="2"/>
      <c r="L600" s="2"/>
      <c r="M600" s="320"/>
      <c r="N600" s="2"/>
      <c r="O600" s="2"/>
      <c r="P600" s="2"/>
      <c r="Q600" s="4"/>
      <c r="R600" s="2"/>
      <c r="S600" s="2"/>
      <c r="U600" s="2"/>
      <c r="CI600" s="321"/>
    </row>
    <row r="601">
      <c r="A601" s="2"/>
      <c r="B601" s="2"/>
      <c r="C601" s="2"/>
      <c r="D601" s="2"/>
      <c r="E601" s="2"/>
      <c r="F601" s="2"/>
      <c r="G601" s="2"/>
      <c r="H601" s="2"/>
      <c r="I601" s="2"/>
      <c r="J601" s="2"/>
      <c r="K601" s="2"/>
      <c r="L601" s="2"/>
      <c r="M601" s="320"/>
      <c r="N601" s="2"/>
      <c r="O601" s="2"/>
      <c r="P601" s="2"/>
      <c r="Q601" s="4"/>
      <c r="R601" s="2"/>
      <c r="S601" s="2"/>
      <c r="U601" s="2"/>
      <c r="CI601" s="321"/>
    </row>
    <row r="602">
      <c r="A602" s="2"/>
      <c r="B602" s="2"/>
      <c r="C602" s="2"/>
      <c r="D602" s="2"/>
      <c r="E602" s="2"/>
      <c r="F602" s="2"/>
      <c r="G602" s="2"/>
      <c r="H602" s="2"/>
      <c r="I602" s="2"/>
      <c r="J602" s="2"/>
      <c r="K602" s="2"/>
      <c r="L602" s="2"/>
      <c r="M602" s="320"/>
      <c r="N602" s="2"/>
      <c r="O602" s="2"/>
      <c r="P602" s="2"/>
      <c r="Q602" s="4"/>
      <c r="R602" s="2"/>
      <c r="S602" s="2"/>
      <c r="U602" s="2"/>
      <c r="CI602" s="321"/>
    </row>
    <row r="603">
      <c r="A603" s="2"/>
      <c r="B603" s="2"/>
      <c r="C603" s="2"/>
      <c r="D603" s="2"/>
      <c r="E603" s="2"/>
      <c r="F603" s="2"/>
      <c r="G603" s="2"/>
      <c r="H603" s="2"/>
      <c r="I603" s="2"/>
      <c r="J603" s="2"/>
      <c r="K603" s="2"/>
      <c r="L603" s="2"/>
      <c r="M603" s="320"/>
      <c r="N603" s="2"/>
      <c r="O603" s="2"/>
      <c r="P603" s="2"/>
      <c r="Q603" s="4"/>
      <c r="R603" s="2"/>
      <c r="S603" s="2"/>
      <c r="U603" s="2"/>
      <c r="CI603" s="321"/>
    </row>
    <row r="604">
      <c r="A604" s="2"/>
      <c r="B604" s="2"/>
      <c r="C604" s="2"/>
      <c r="D604" s="2"/>
      <c r="E604" s="2"/>
      <c r="F604" s="2"/>
      <c r="G604" s="2"/>
      <c r="H604" s="2"/>
      <c r="I604" s="2"/>
      <c r="J604" s="2"/>
      <c r="K604" s="2"/>
      <c r="L604" s="2"/>
      <c r="M604" s="320"/>
      <c r="N604" s="2"/>
      <c r="O604" s="2"/>
      <c r="P604" s="2"/>
      <c r="Q604" s="4"/>
      <c r="R604" s="2"/>
      <c r="S604" s="2"/>
      <c r="U604" s="2"/>
      <c r="CI604" s="321"/>
    </row>
    <row r="605">
      <c r="A605" s="2"/>
      <c r="B605" s="2"/>
      <c r="C605" s="2"/>
      <c r="D605" s="2"/>
      <c r="E605" s="2"/>
      <c r="F605" s="2"/>
      <c r="G605" s="2"/>
      <c r="H605" s="2"/>
      <c r="I605" s="2"/>
      <c r="J605" s="2"/>
      <c r="K605" s="2"/>
      <c r="L605" s="2"/>
      <c r="M605" s="320"/>
      <c r="N605" s="2"/>
      <c r="O605" s="2"/>
      <c r="P605" s="2"/>
      <c r="Q605" s="4"/>
      <c r="R605" s="2"/>
      <c r="S605" s="2"/>
      <c r="U605" s="2"/>
      <c r="CI605" s="321"/>
    </row>
    <row r="606">
      <c r="A606" s="2"/>
      <c r="B606" s="2"/>
      <c r="C606" s="2"/>
      <c r="D606" s="2"/>
      <c r="E606" s="2"/>
      <c r="F606" s="2"/>
      <c r="G606" s="2"/>
      <c r="H606" s="2"/>
      <c r="I606" s="2"/>
      <c r="J606" s="2"/>
      <c r="K606" s="2"/>
      <c r="L606" s="2"/>
      <c r="M606" s="320"/>
      <c r="N606" s="2"/>
      <c r="O606" s="2"/>
      <c r="P606" s="2"/>
      <c r="Q606" s="4"/>
      <c r="R606" s="2"/>
      <c r="S606" s="2"/>
      <c r="U606" s="2"/>
      <c r="CI606" s="321"/>
    </row>
    <row r="607">
      <c r="A607" s="2"/>
      <c r="B607" s="2"/>
      <c r="C607" s="2"/>
      <c r="D607" s="2"/>
      <c r="E607" s="2"/>
      <c r="F607" s="2"/>
      <c r="G607" s="2"/>
      <c r="H607" s="2"/>
      <c r="I607" s="2"/>
      <c r="J607" s="2"/>
      <c r="K607" s="2"/>
      <c r="L607" s="2"/>
      <c r="M607" s="320"/>
      <c r="N607" s="2"/>
      <c r="O607" s="2"/>
      <c r="P607" s="2"/>
      <c r="Q607" s="4"/>
      <c r="R607" s="2"/>
      <c r="S607" s="2"/>
      <c r="U607" s="2"/>
      <c r="CI607" s="321"/>
    </row>
    <row r="608">
      <c r="A608" s="2"/>
      <c r="B608" s="2"/>
      <c r="C608" s="2"/>
      <c r="D608" s="2"/>
      <c r="E608" s="2"/>
      <c r="F608" s="2"/>
      <c r="G608" s="2"/>
      <c r="H608" s="2"/>
      <c r="I608" s="2"/>
      <c r="J608" s="2"/>
      <c r="K608" s="2"/>
      <c r="L608" s="2"/>
      <c r="M608" s="320"/>
      <c r="N608" s="2"/>
      <c r="O608" s="2"/>
      <c r="P608" s="2"/>
      <c r="Q608" s="4"/>
      <c r="R608" s="2"/>
      <c r="S608" s="2"/>
      <c r="U608" s="2"/>
      <c r="CI608" s="321"/>
    </row>
    <row r="609">
      <c r="A609" s="2"/>
      <c r="B609" s="2"/>
      <c r="C609" s="2"/>
      <c r="D609" s="2"/>
      <c r="E609" s="2"/>
      <c r="F609" s="2"/>
      <c r="G609" s="2"/>
      <c r="H609" s="2"/>
      <c r="I609" s="2"/>
      <c r="J609" s="2"/>
      <c r="K609" s="2"/>
      <c r="L609" s="2"/>
      <c r="M609" s="320"/>
      <c r="N609" s="2"/>
      <c r="O609" s="2"/>
      <c r="P609" s="2"/>
      <c r="Q609" s="4"/>
      <c r="R609" s="2"/>
      <c r="S609" s="2"/>
      <c r="U609" s="2"/>
      <c r="CI609" s="321"/>
    </row>
    <row r="610">
      <c r="A610" s="2"/>
      <c r="B610" s="2"/>
      <c r="C610" s="2"/>
      <c r="D610" s="2"/>
      <c r="E610" s="2"/>
      <c r="F610" s="2"/>
      <c r="G610" s="2"/>
      <c r="H610" s="2"/>
      <c r="I610" s="2"/>
      <c r="J610" s="2"/>
      <c r="K610" s="2"/>
      <c r="L610" s="2"/>
      <c r="M610" s="320"/>
      <c r="N610" s="2"/>
      <c r="O610" s="2"/>
      <c r="P610" s="2"/>
      <c r="Q610" s="4"/>
      <c r="R610" s="2"/>
      <c r="S610" s="2"/>
      <c r="U610" s="2"/>
      <c r="CI610" s="321"/>
    </row>
    <row r="611">
      <c r="A611" s="2"/>
      <c r="B611" s="2"/>
      <c r="C611" s="2"/>
      <c r="D611" s="2"/>
      <c r="E611" s="2"/>
      <c r="F611" s="2"/>
      <c r="G611" s="2"/>
      <c r="H611" s="2"/>
      <c r="I611" s="2"/>
      <c r="J611" s="2"/>
      <c r="K611" s="2"/>
      <c r="L611" s="2"/>
      <c r="M611" s="320"/>
      <c r="N611" s="2"/>
      <c r="O611" s="2"/>
      <c r="P611" s="2"/>
      <c r="Q611" s="4"/>
      <c r="R611" s="2"/>
      <c r="S611" s="2"/>
      <c r="U611" s="2"/>
      <c r="CI611" s="321"/>
    </row>
    <row r="612">
      <c r="A612" s="2"/>
      <c r="B612" s="2"/>
      <c r="C612" s="2"/>
      <c r="D612" s="2"/>
      <c r="E612" s="2"/>
      <c r="F612" s="2"/>
      <c r="G612" s="2"/>
      <c r="H612" s="2"/>
      <c r="I612" s="2"/>
      <c r="J612" s="2"/>
      <c r="K612" s="2"/>
      <c r="L612" s="2"/>
      <c r="M612" s="320"/>
      <c r="N612" s="2"/>
      <c r="O612" s="2"/>
      <c r="P612" s="2"/>
      <c r="Q612" s="4"/>
      <c r="R612" s="2"/>
      <c r="S612" s="2"/>
      <c r="U612" s="2"/>
      <c r="CI612" s="321"/>
    </row>
    <row r="613">
      <c r="A613" s="2"/>
      <c r="B613" s="2"/>
      <c r="C613" s="2"/>
      <c r="D613" s="2"/>
      <c r="E613" s="2"/>
      <c r="F613" s="2"/>
      <c r="G613" s="2"/>
      <c r="H613" s="2"/>
      <c r="I613" s="2"/>
      <c r="J613" s="2"/>
      <c r="K613" s="2"/>
      <c r="L613" s="2"/>
      <c r="M613" s="320"/>
      <c r="N613" s="2"/>
      <c r="O613" s="2"/>
      <c r="P613" s="2"/>
      <c r="Q613" s="4"/>
      <c r="R613" s="2"/>
      <c r="S613" s="2"/>
      <c r="U613" s="2"/>
      <c r="CI613" s="321"/>
    </row>
    <row r="614">
      <c r="A614" s="2"/>
      <c r="B614" s="2"/>
      <c r="C614" s="2"/>
      <c r="D614" s="2"/>
      <c r="E614" s="2"/>
      <c r="F614" s="2"/>
      <c r="G614" s="2"/>
      <c r="H614" s="2"/>
      <c r="I614" s="2"/>
      <c r="J614" s="2"/>
      <c r="K614" s="2"/>
      <c r="L614" s="2"/>
      <c r="M614" s="320"/>
      <c r="N614" s="2"/>
      <c r="O614" s="2"/>
      <c r="P614" s="2"/>
      <c r="Q614" s="4"/>
      <c r="R614" s="2"/>
      <c r="S614" s="2"/>
      <c r="U614" s="2"/>
      <c r="CI614" s="321"/>
    </row>
    <row r="615">
      <c r="A615" s="2"/>
      <c r="B615" s="2"/>
      <c r="C615" s="2"/>
      <c r="D615" s="2"/>
      <c r="E615" s="2"/>
      <c r="F615" s="2"/>
      <c r="G615" s="2"/>
      <c r="H615" s="2"/>
      <c r="I615" s="2"/>
      <c r="J615" s="2"/>
      <c r="K615" s="2"/>
      <c r="L615" s="2"/>
      <c r="M615" s="320"/>
      <c r="N615" s="2"/>
      <c r="O615" s="2"/>
      <c r="P615" s="2"/>
      <c r="Q615" s="4"/>
      <c r="R615" s="2"/>
      <c r="S615" s="2"/>
      <c r="U615" s="2"/>
      <c r="CI615" s="321"/>
    </row>
    <row r="616">
      <c r="A616" s="2"/>
      <c r="B616" s="2"/>
      <c r="C616" s="2"/>
      <c r="D616" s="2"/>
      <c r="E616" s="2"/>
      <c r="F616" s="2"/>
      <c r="G616" s="2"/>
      <c r="H616" s="2"/>
      <c r="I616" s="2"/>
      <c r="J616" s="2"/>
      <c r="K616" s="2"/>
      <c r="L616" s="2"/>
      <c r="M616" s="320"/>
      <c r="N616" s="2"/>
      <c r="O616" s="2"/>
      <c r="P616" s="2"/>
      <c r="Q616" s="4"/>
      <c r="R616" s="2"/>
      <c r="S616" s="2"/>
      <c r="U616" s="2"/>
      <c r="CI616" s="321"/>
    </row>
    <row r="617">
      <c r="A617" s="2"/>
      <c r="B617" s="2"/>
      <c r="C617" s="2"/>
      <c r="D617" s="2"/>
      <c r="E617" s="2"/>
      <c r="F617" s="2"/>
      <c r="G617" s="2"/>
      <c r="H617" s="2"/>
      <c r="I617" s="2"/>
      <c r="J617" s="2"/>
      <c r="K617" s="2"/>
      <c r="L617" s="2"/>
      <c r="M617" s="320"/>
      <c r="N617" s="2"/>
      <c r="O617" s="2"/>
      <c r="P617" s="2"/>
      <c r="Q617" s="4"/>
      <c r="R617" s="2"/>
      <c r="S617" s="2"/>
      <c r="U617" s="2"/>
      <c r="CI617" s="321"/>
    </row>
    <row r="618">
      <c r="A618" s="2"/>
      <c r="B618" s="2"/>
      <c r="C618" s="2"/>
      <c r="D618" s="2"/>
      <c r="E618" s="2"/>
      <c r="F618" s="2"/>
      <c r="G618" s="2"/>
      <c r="H618" s="2"/>
      <c r="I618" s="2"/>
      <c r="J618" s="2"/>
      <c r="K618" s="2"/>
      <c r="L618" s="2"/>
      <c r="M618" s="320"/>
      <c r="N618" s="2"/>
      <c r="O618" s="2"/>
      <c r="P618" s="2"/>
      <c r="Q618" s="4"/>
      <c r="R618" s="2"/>
      <c r="S618" s="2"/>
      <c r="U618" s="2"/>
      <c r="CI618" s="321"/>
    </row>
    <row r="619">
      <c r="A619" s="2"/>
      <c r="B619" s="2"/>
      <c r="C619" s="2"/>
      <c r="D619" s="2"/>
      <c r="E619" s="2"/>
      <c r="F619" s="2"/>
      <c r="G619" s="2"/>
      <c r="H619" s="2"/>
      <c r="I619" s="2"/>
      <c r="J619" s="2"/>
      <c r="K619" s="2"/>
      <c r="L619" s="2"/>
      <c r="M619" s="320"/>
      <c r="N619" s="2"/>
      <c r="O619" s="2"/>
      <c r="P619" s="2"/>
      <c r="Q619" s="4"/>
      <c r="R619" s="2"/>
      <c r="S619" s="2"/>
      <c r="U619" s="2"/>
      <c r="CI619" s="321"/>
    </row>
    <row r="620">
      <c r="A620" s="2"/>
      <c r="B620" s="2"/>
      <c r="C620" s="2"/>
      <c r="D620" s="2"/>
      <c r="E620" s="2"/>
      <c r="F620" s="2"/>
      <c r="G620" s="2"/>
      <c r="H620" s="2"/>
      <c r="I620" s="2"/>
      <c r="J620" s="2"/>
      <c r="K620" s="2"/>
      <c r="L620" s="2"/>
      <c r="M620" s="320"/>
      <c r="N620" s="2"/>
      <c r="O620" s="2"/>
      <c r="P620" s="2"/>
      <c r="Q620" s="4"/>
      <c r="R620" s="2"/>
      <c r="S620" s="2"/>
      <c r="U620" s="2"/>
      <c r="CI620" s="321"/>
    </row>
    <row r="621">
      <c r="A621" s="2"/>
      <c r="B621" s="2"/>
      <c r="C621" s="2"/>
      <c r="D621" s="2"/>
      <c r="E621" s="2"/>
      <c r="F621" s="2"/>
      <c r="G621" s="2"/>
      <c r="H621" s="2"/>
      <c r="I621" s="2"/>
      <c r="J621" s="2"/>
      <c r="K621" s="2"/>
      <c r="L621" s="2"/>
      <c r="M621" s="320"/>
      <c r="N621" s="2"/>
      <c r="O621" s="2"/>
      <c r="P621" s="2"/>
      <c r="Q621" s="4"/>
      <c r="R621" s="2"/>
      <c r="S621" s="2"/>
      <c r="U621" s="2"/>
      <c r="CI621" s="321"/>
    </row>
    <row r="622">
      <c r="A622" s="2"/>
      <c r="B622" s="2"/>
      <c r="C622" s="2"/>
      <c r="D622" s="2"/>
      <c r="E622" s="2"/>
      <c r="F622" s="2"/>
      <c r="G622" s="2"/>
      <c r="H622" s="2"/>
      <c r="I622" s="2"/>
      <c r="J622" s="2"/>
      <c r="K622" s="2"/>
      <c r="L622" s="2"/>
      <c r="M622" s="320"/>
      <c r="N622" s="2"/>
      <c r="O622" s="2"/>
      <c r="P622" s="2"/>
      <c r="Q622" s="4"/>
      <c r="R622" s="2"/>
      <c r="S622" s="2"/>
      <c r="U622" s="2"/>
      <c r="CI622" s="321"/>
    </row>
    <row r="623">
      <c r="A623" s="2"/>
      <c r="B623" s="2"/>
      <c r="C623" s="2"/>
      <c r="D623" s="2"/>
      <c r="E623" s="2"/>
      <c r="F623" s="2"/>
      <c r="G623" s="2"/>
      <c r="H623" s="2"/>
      <c r="I623" s="2"/>
      <c r="J623" s="2"/>
      <c r="K623" s="2"/>
      <c r="L623" s="2"/>
      <c r="M623" s="320"/>
      <c r="N623" s="2"/>
      <c r="O623" s="2"/>
      <c r="P623" s="2"/>
      <c r="Q623" s="4"/>
      <c r="R623" s="2"/>
      <c r="S623" s="2"/>
      <c r="U623" s="2"/>
      <c r="CI623" s="321"/>
    </row>
    <row r="624">
      <c r="A624" s="2"/>
      <c r="B624" s="2"/>
      <c r="C624" s="2"/>
      <c r="D624" s="2"/>
      <c r="E624" s="2"/>
      <c r="F624" s="2"/>
      <c r="G624" s="2"/>
      <c r="H624" s="2"/>
      <c r="I624" s="2"/>
      <c r="J624" s="2"/>
      <c r="K624" s="2"/>
      <c r="L624" s="2"/>
      <c r="M624" s="320"/>
      <c r="N624" s="2"/>
      <c r="O624" s="2"/>
      <c r="P624" s="2"/>
      <c r="Q624" s="4"/>
      <c r="R624" s="2"/>
      <c r="S624" s="2"/>
      <c r="U624" s="2"/>
      <c r="CI624" s="321"/>
    </row>
    <row r="625">
      <c r="A625" s="2"/>
      <c r="B625" s="2"/>
      <c r="C625" s="2"/>
      <c r="D625" s="2"/>
      <c r="E625" s="2"/>
      <c r="F625" s="2"/>
      <c r="G625" s="2"/>
      <c r="H625" s="2"/>
      <c r="I625" s="2"/>
      <c r="J625" s="2"/>
      <c r="K625" s="2"/>
      <c r="L625" s="2"/>
      <c r="M625" s="320"/>
      <c r="N625" s="2"/>
      <c r="O625" s="2"/>
      <c r="P625" s="2"/>
      <c r="Q625" s="4"/>
      <c r="R625" s="2"/>
      <c r="S625" s="2"/>
      <c r="U625" s="2"/>
      <c r="CI625" s="321"/>
    </row>
    <row r="626">
      <c r="A626" s="2"/>
      <c r="B626" s="2"/>
      <c r="C626" s="2"/>
      <c r="D626" s="2"/>
      <c r="E626" s="2"/>
      <c r="F626" s="2"/>
      <c r="G626" s="2"/>
      <c r="H626" s="2"/>
      <c r="I626" s="2"/>
      <c r="J626" s="2"/>
      <c r="K626" s="2"/>
      <c r="L626" s="2"/>
      <c r="M626" s="320"/>
      <c r="N626" s="2"/>
      <c r="O626" s="2"/>
      <c r="P626" s="2"/>
      <c r="Q626" s="4"/>
      <c r="R626" s="2"/>
      <c r="S626" s="2"/>
      <c r="U626" s="2"/>
      <c r="CI626" s="321"/>
    </row>
    <row r="627">
      <c r="A627" s="2"/>
      <c r="B627" s="2"/>
      <c r="C627" s="2"/>
      <c r="D627" s="2"/>
      <c r="E627" s="2"/>
      <c r="F627" s="2"/>
      <c r="G627" s="2"/>
      <c r="H627" s="2"/>
      <c r="I627" s="2"/>
      <c r="J627" s="2"/>
      <c r="K627" s="2"/>
      <c r="L627" s="2"/>
      <c r="M627" s="320"/>
      <c r="N627" s="2"/>
      <c r="O627" s="2"/>
      <c r="P627" s="2"/>
      <c r="Q627" s="4"/>
      <c r="R627" s="2"/>
      <c r="S627" s="2"/>
      <c r="U627" s="2"/>
      <c r="CI627" s="321"/>
    </row>
    <row r="628">
      <c r="A628" s="2"/>
      <c r="B628" s="2"/>
      <c r="C628" s="2"/>
      <c r="D628" s="2"/>
      <c r="E628" s="2"/>
      <c r="F628" s="2"/>
      <c r="G628" s="2"/>
      <c r="H628" s="2"/>
      <c r="I628" s="2"/>
      <c r="J628" s="2"/>
      <c r="K628" s="2"/>
      <c r="L628" s="2"/>
      <c r="M628" s="320"/>
      <c r="N628" s="2"/>
      <c r="O628" s="2"/>
      <c r="P628" s="2"/>
      <c r="Q628" s="4"/>
      <c r="R628" s="2"/>
      <c r="S628" s="2"/>
      <c r="U628" s="2"/>
      <c r="CI628" s="321"/>
    </row>
    <row r="629">
      <c r="A629" s="2"/>
      <c r="B629" s="2"/>
      <c r="C629" s="2"/>
      <c r="D629" s="2"/>
      <c r="E629" s="2"/>
      <c r="F629" s="2"/>
      <c r="G629" s="2"/>
      <c r="H629" s="2"/>
      <c r="I629" s="2"/>
      <c r="J629" s="2"/>
      <c r="K629" s="2"/>
      <c r="L629" s="2"/>
      <c r="M629" s="320"/>
      <c r="N629" s="2"/>
      <c r="O629" s="2"/>
      <c r="P629" s="2"/>
      <c r="Q629" s="4"/>
      <c r="R629" s="2"/>
      <c r="S629" s="2"/>
      <c r="U629" s="2"/>
      <c r="CI629" s="321"/>
    </row>
    <row r="630">
      <c r="A630" s="2"/>
      <c r="B630" s="2"/>
      <c r="C630" s="2"/>
      <c r="D630" s="2"/>
      <c r="E630" s="2"/>
      <c r="F630" s="2"/>
      <c r="G630" s="2"/>
      <c r="H630" s="2"/>
      <c r="I630" s="2"/>
      <c r="J630" s="2"/>
      <c r="K630" s="2"/>
      <c r="L630" s="2"/>
      <c r="M630" s="320"/>
      <c r="N630" s="2"/>
      <c r="O630" s="2"/>
      <c r="P630" s="2"/>
      <c r="Q630" s="4"/>
      <c r="R630" s="2"/>
      <c r="S630" s="2"/>
      <c r="U630" s="2"/>
      <c r="CI630" s="321"/>
    </row>
    <row r="631">
      <c r="A631" s="2"/>
      <c r="B631" s="2"/>
      <c r="C631" s="2"/>
      <c r="D631" s="2"/>
      <c r="E631" s="2"/>
      <c r="F631" s="2"/>
      <c r="G631" s="2"/>
      <c r="H631" s="2"/>
      <c r="I631" s="2"/>
      <c r="J631" s="2"/>
      <c r="K631" s="2"/>
      <c r="L631" s="2"/>
      <c r="M631" s="320"/>
      <c r="N631" s="2"/>
      <c r="O631" s="2"/>
      <c r="P631" s="2"/>
      <c r="Q631" s="4"/>
      <c r="R631" s="2"/>
      <c r="S631" s="2"/>
      <c r="U631" s="2"/>
      <c r="CI631" s="321"/>
    </row>
    <row r="632">
      <c r="A632" s="2"/>
      <c r="B632" s="2"/>
      <c r="C632" s="2"/>
      <c r="D632" s="2"/>
      <c r="E632" s="2"/>
      <c r="F632" s="2"/>
      <c r="G632" s="2"/>
      <c r="H632" s="2"/>
      <c r="I632" s="2"/>
      <c r="J632" s="2"/>
      <c r="K632" s="2"/>
      <c r="L632" s="2"/>
      <c r="M632" s="320"/>
      <c r="N632" s="2"/>
      <c r="O632" s="2"/>
      <c r="P632" s="2"/>
      <c r="Q632" s="4"/>
      <c r="R632" s="2"/>
      <c r="S632" s="2"/>
      <c r="U632" s="2"/>
      <c r="CI632" s="321"/>
    </row>
    <row r="633">
      <c r="A633" s="2"/>
      <c r="B633" s="2"/>
      <c r="C633" s="2"/>
      <c r="D633" s="2"/>
      <c r="E633" s="2"/>
      <c r="F633" s="2"/>
      <c r="G633" s="2"/>
      <c r="H633" s="2"/>
      <c r="I633" s="2"/>
      <c r="J633" s="2"/>
      <c r="K633" s="2"/>
      <c r="L633" s="2"/>
      <c r="M633" s="320"/>
      <c r="N633" s="2"/>
      <c r="O633" s="2"/>
      <c r="P633" s="2"/>
      <c r="Q633" s="4"/>
      <c r="R633" s="2"/>
      <c r="S633" s="2"/>
      <c r="U633" s="2"/>
      <c r="CI633" s="321"/>
    </row>
    <row r="634">
      <c r="A634" s="2"/>
      <c r="B634" s="2"/>
      <c r="C634" s="2"/>
      <c r="D634" s="2"/>
      <c r="E634" s="2"/>
      <c r="F634" s="2"/>
      <c r="G634" s="2"/>
      <c r="H634" s="2"/>
      <c r="I634" s="2"/>
      <c r="J634" s="2"/>
      <c r="K634" s="2"/>
      <c r="L634" s="2"/>
      <c r="M634" s="320"/>
      <c r="N634" s="2"/>
      <c r="O634" s="2"/>
      <c r="P634" s="2"/>
      <c r="Q634" s="4"/>
      <c r="R634" s="2"/>
      <c r="S634" s="2"/>
      <c r="U634" s="2"/>
      <c r="CI634" s="321"/>
    </row>
    <row r="635">
      <c r="A635" s="2"/>
      <c r="B635" s="2"/>
      <c r="C635" s="2"/>
      <c r="D635" s="2"/>
      <c r="E635" s="2"/>
      <c r="F635" s="2"/>
      <c r="G635" s="2"/>
      <c r="H635" s="2"/>
      <c r="I635" s="2"/>
      <c r="J635" s="2"/>
      <c r="K635" s="2"/>
      <c r="L635" s="2"/>
      <c r="M635" s="320"/>
      <c r="N635" s="2"/>
      <c r="O635" s="2"/>
      <c r="P635" s="2"/>
      <c r="Q635" s="4"/>
      <c r="R635" s="2"/>
      <c r="S635" s="2"/>
      <c r="U635" s="2"/>
      <c r="CI635" s="321"/>
    </row>
    <row r="636">
      <c r="A636" s="2"/>
      <c r="B636" s="2"/>
      <c r="C636" s="2"/>
      <c r="D636" s="2"/>
      <c r="E636" s="2"/>
      <c r="F636" s="2"/>
      <c r="G636" s="2"/>
      <c r="H636" s="2"/>
      <c r="I636" s="2"/>
      <c r="J636" s="2"/>
      <c r="K636" s="2"/>
      <c r="L636" s="2"/>
      <c r="M636" s="320"/>
      <c r="N636" s="2"/>
      <c r="O636" s="2"/>
      <c r="P636" s="2"/>
      <c r="Q636" s="4"/>
      <c r="R636" s="2"/>
      <c r="S636" s="2"/>
      <c r="U636" s="2"/>
      <c r="CI636" s="321"/>
    </row>
    <row r="637">
      <c r="A637" s="2"/>
      <c r="B637" s="2"/>
      <c r="C637" s="2"/>
      <c r="D637" s="2"/>
      <c r="E637" s="2"/>
      <c r="F637" s="2"/>
      <c r="G637" s="2"/>
      <c r="H637" s="2"/>
      <c r="I637" s="2"/>
      <c r="J637" s="2"/>
      <c r="K637" s="2"/>
      <c r="L637" s="2"/>
      <c r="M637" s="320"/>
      <c r="N637" s="2"/>
      <c r="O637" s="2"/>
      <c r="P637" s="2"/>
      <c r="Q637" s="4"/>
      <c r="R637" s="2"/>
      <c r="S637" s="2"/>
      <c r="U637" s="2"/>
      <c r="CI637" s="321"/>
    </row>
    <row r="638">
      <c r="A638" s="2"/>
      <c r="B638" s="2"/>
      <c r="C638" s="2"/>
      <c r="D638" s="2"/>
      <c r="E638" s="2"/>
      <c r="F638" s="2"/>
      <c r="G638" s="2"/>
      <c r="H638" s="2"/>
      <c r="I638" s="2"/>
      <c r="J638" s="2"/>
      <c r="K638" s="2"/>
      <c r="L638" s="2"/>
      <c r="M638" s="320"/>
      <c r="N638" s="2"/>
      <c r="O638" s="2"/>
      <c r="P638" s="2"/>
      <c r="Q638" s="4"/>
      <c r="R638" s="2"/>
      <c r="S638" s="2"/>
      <c r="U638" s="2"/>
      <c r="CI638" s="321"/>
    </row>
    <row r="639">
      <c r="A639" s="2"/>
      <c r="B639" s="2"/>
      <c r="C639" s="2"/>
      <c r="D639" s="2"/>
      <c r="E639" s="2"/>
      <c r="F639" s="2"/>
      <c r="G639" s="2"/>
      <c r="H639" s="2"/>
      <c r="I639" s="2"/>
      <c r="J639" s="2"/>
      <c r="K639" s="2"/>
      <c r="L639" s="2"/>
      <c r="M639" s="320"/>
      <c r="N639" s="2"/>
      <c r="O639" s="2"/>
      <c r="P639" s="2"/>
      <c r="Q639" s="4"/>
      <c r="R639" s="2"/>
      <c r="S639" s="2"/>
      <c r="U639" s="2"/>
      <c r="CI639" s="321"/>
    </row>
    <row r="640">
      <c r="A640" s="2"/>
      <c r="B640" s="2"/>
      <c r="C640" s="2"/>
      <c r="D640" s="2"/>
      <c r="E640" s="2"/>
      <c r="F640" s="2"/>
      <c r="G640" s="2"/>
      <c r="H640" s="2"/>
      <c r="I640" s="2"/>
      <c r="J640" s="2"/>
      <c r="K640" s="2"/>
      <c r="L640" s="2"/>
      <c r="M640" s="320"/>
      <c r="N640" s="2"/>
      <c r="O640" s="2"/>
      <c r="P640" s="2"/>
      <c r="Q640" s="4"/>
      <c r="R640" s="2"/>
      <c r="S640" s="2"/>
      <c r="U640" s="2"/>
      <c r="CI640" s="321"/>
    </row>
    <row r="641">
      <c r="A641" s="2"/>
      <c r="B641" s="2"/>
      <c r="C641" s="2"/>
      <c r="D641" s="2"/>
      <c r="E641" s="2"/>
      <c r="F641" s="2"/>
      <c r="G641" s="2"/>
      <c r="H641" s="2"/>
      <c r="I641" s="2"/>
      <c r="J641" s="2"/>
      <c r="K641" s="2"/>
      <c r="L641" s="2"/>
      <c r="M641" s="320"/>
      <c r="N641" s="2"/>
      <c r="O641" s="2"/>
      <c r="P641" s="2"/>
      <c r="Q641" s="4"/>
      <c r="R641" s="2"/>
      <c r="S641" s="2"/>
      <c r="U641" s="2"/>
      <c r="CI641" s="321"/>
    </row>
    <row r="642">
      <c r="A642" s="2"/>
      <c r="B642" s="2"/>
      <c r="C642" s="2"/>
      <c r="D642" s="2"/>
      <c r="E642" s="2"/>
      <c r="F642" s="2"/>
      <c r="G642" s="2"/>
      <c r="H642" s="2"/>
      <c r="I642" s="2"/>
      <c r="J642" s="2"/>
      <c r="K642" s="2"/>
      <c r="L642" s="2"/>
      <c r="M642" s="320"/>
      <c r="N642" s="2"/>
      <c r="O642" s="2"/>
      <c r="P642" s="2"/>
      <c r="Q642" s="4"/>
      <c r="R642" s="2"/>
      <c r="S642" s="2"/>
      <c r="U642" s="2"/>
      <c r="CI642" s="321"/>
    </row>
    <row r="643">
      <c r="A643" s="2"/>
      <c r="B643" s="2"/>
      <c r="C643" s="2"/>
      <c r="D643" s="2"/>
      <c r="E643" s="2"/>
      <c r="F643" s="2"/>
      <c r="G643" s="2"/>
      <c r="H643" s="2"/>
      <c r="I643" s="2"/>
      <c r="J643" s="2"/>
      <c r="K643" s="2"/>
      <c r="L643" s="2"/>
      <c r="M643" s="320"/>
      <c r="N643" s="2"/>
      <c r="O643" s="2"/>
      <c r="P643" s="2"/>
      <c r="Q643" s="4"/>
      <c r="R643" s="2"/>
      <c r="S643" s="2"/>
      <c r="U643" s="2"/>
      <c r="CI643" s="321"/>
    </row>
    <row r="644">
      <c r="A644" s="2"/>
      <c r="B644" s="2"/>
      <c r="C644" s="2"/>
      <c r="D644" s="2"/>
      <c r="E644" s="2"/>
      <c r="F644" s="2"/>
      <c r="G644" s="2"/>
      <c r="H644" s="2"/>
      <c r="I644" s="2"/>
      <c r="J644" s="2"/>
      <c r="K644" s="2"/>
      <c r="L644" s="2"/>
      <c r="M644" s="320"/>
      <c r="N644" s="2"/>
      <c r="O644" s="2"/>
      <c r="P644" s="2"/>
      <c r="Q644" s="4"/>
      <c r="R644" s="2"/>
      <c r="S644" s="2"/>
      <c r="U644" s="2"/>
      <c r="CI644" s="321"/>
    </row>
    <row r="645">
      <c r="A645" s="2"/>
      <c r="B645" s="2"/>
      <c r="C645" s="2"/>
      <c r="D645" s="2"/>
      <c r="E645" s="2"/>
      <c r="F645" s="2"/>
      <c r="G645" s="2"/>
      <c r="H645" s="2"/>
      <c r="I645" s="2"/>
      <c r="J645" s="2"/>
      <c r="K645" s="2"/>
      <c r="L645" s="2"/>
      <c r="M645" s="320"/>
      <c r="N645" s="2"/>
      <c r="O645" s="2"/>
      <c r="P645" s="2"/>
      <c r="Q645" s="4"/>
      <c r="R645" s="2"/>
      <c r="S645" s="2"/>
      <c r="U645" s="2"/>
      <c r="CI645" s="321"/>
    </row>
    <row r="646">
      <c r="A646" s="2"/>
      <c r="B646" s="2"/>
      <c r="C646" s="2"/>
      <c r="D646" s="2"/>
      <c r="E646" s="2"/>
      <c r="F646" s="2"/>
      <c r="G646" s="2"/>
      <c r="H646" s="2"/>
      <c r="I646" s="2"/>
      <c r="J646" s="2"/>
      <c r="K646" s="2"/>
      <c r="L646" s="2"/>
      <c r="M646" s="320"/>
      <c r="N646" s="2"/>
      <c r="O646" s="2"/>
      <c r="P646" s="2"/>
      <c r="Q646" s="4"/>
      <c r="R646" s="2"/>
      <c r="S646" s="2"/>
      <c r="U646" s="2"/>
      <c r="CI646" s="321"/>
    </row>
    <row r="647">
      <c r="A647" s="2"/>
      <c r="B647" s="2"/>
      <c r="C647" s="2"/>
      <c r="D647" s="2"/>
      <c r="E647" s="2"/>
      <c r="F647" s="2"/>
      <c r="G647" s="2"/>
      <c r="H647" s="2"/>
      <c r="I647" s="2"/>
      <c r="J647" s="2"/>
      <c r="K647" s="2"/>
      <c r="L647" s="2"/>
      <c r="M647" s="320"/>
      <c r="N647" s="2"/>
      <c r="O647" s="2"/>
      <c r="P647" s="2"/>
      <c r="Q647" s="4"/>
      <c r="R647" s="2"/>
      <c r="S647" s="2"/>
      <c r="U647" s="2"/>
      <c r="CI647" s="321"/>
    </row>
    <row r="648">
      <c r="A648" s="2"/>
      <c r="B648" s="2"/>
      <c r="C648" s="2"/>
      <c r="D648" s="2"/>
      <c r="E648" s="2"/>
      <c r="F648" s="2"/>
      <c r="G648" s="2"/>
      <c r="H648" s="2"/>
      <c r="I648" s="2"/>
      <c r="J648" s="2"/>
      <c r="K648" s="2"/>
      <c r="L648" s="2"/>
      <c r="M648" s="320"/>
      <c r="N648" s="2"/>
      <c r="O648" s="2"/>
      <c r="P648" s="2"/>
      <c r="Q648" s="4"/>
      <c r="R648" s="2"/>
      <c r="S648" s="2"/>
      <c r="U648" s="2"/>
      <c r="CI648" s="321"/>
    </row>
    <row r="649">
      <c r="A649" s="2"/>
      <c r="B649" s="2"/>
      <c r="C649" s="2"/>
      <c r="D649" s="2"/>
      <c r="E649" s="2"/>
      <c r="F649" s="2"/>
      <c r="G649" s="2"/>
      <c r="H649" s="2"/>
      <c r="I649" s="2"/>
      <c r="J649" s="2"/>
      <c r="K649" s="2"/>
      <c r="L649" s="2"/>
      <c r="M649" s="320"/>
      <c r="N649" s="2"/>
      <c r="O649" s="2"/>
      <c r="P649" s="2"/>
      <c r="Q649" s="4"/>
      <c r="R649" s="2"/>
      <c r="S649" s="2"/>
      <c r="U649" s="2"/>
      <c r="CI649" s="321"/>
    </row>
    <row r="650">
      <c r="A650" s="2"/>
      <c r="B650" s="2"/>
      <c r="C650" s="2"/>
      <c r="D650" s="2"/>
      <c r="E650" s="2"/>
      <c r="F650" s="2"/>
      <c r="G650" s="2"/>
      <c r="H650" s="2"/>
      <c r="I650" s="2"/>
      <c r="J650" s="2"/>
      <c r="K650" s="2"/>
      <c r="L650" s="2"/>
      <c r="M650" s="320"/>
      <c r="N650" s="2"/>
      <c r="O650" s="2"/>
      <c r="P650" s="2"/>
      <c r="Q650" s="4"/>
      <c r="R650" s="2"/>
      <c r="S650" s="2"/>
      <c r="U650" s="2"/>
      <c r="CI650" s="321"/>
    </row>
    <row r="651">
      <c r="A651" s="2"/>
      <c r="B651" s="2"/>
      <c r="C651" s="2"/>
      <c r="D651" s="2"/>
      <c r="E651" s="2"/>
      <c r="F651" s="2"/>
      <c r="G651" s="2"/>
      <c r="H651" s="2"/>
      <c r="I651" s="2"/>
      <c r="J651" s="2"/>
      <c r="K651" s="2"/>
      <c r="L651" s="2"/>
      <c r="M651" s="320"/>
      <c r="N651" s="2"/>
      <c r="O651" s="2"/>
      <c r="P651" s="2"/>
      <c r="Q651" s="4"/>
      <c r="R651" s="2"/>
      <c r="S651" s="2"/>
      <c r="U651" s="2"/>
      <c r="CI651" s="321"/>
    </row>
    <row r="652">
      <c r="A652" s="2"/>
      <c r="B652" s="2"/>
      <c r="C652" s="2"/>
      <c r="D652" s="2"/>
      <c r="E652" s="2"/>
      <c r="F652" s="2"/>
      <c r="G652" s="2"/>
      <c r="H652" s="2"/>
      <c r="I652" s="2"/>
      <c r="J652" s="2"/>
      <c r="K652" s="2"/>
      <c r="L652" s="2"/>
      <c r="M652" s="320"/>
      <c r="N652" s="2"/>
      <c r="O652" s="2"/>
      <c r="P652" s="2"/>
      <c r="Q652" s="4"/>
      <c r="R652" s="2"/>
      <c r="S652" s="2"/>
      <c r="U652" s="2"/>
      <c r="CI652" s="321"/>
    </row>
    <row r="653">
      <c r="A653" s="2"/>
      <c r="B653" s="2"/>
      <c r="C653" s="2"/>
      <c r="D653" s="2"/>
      <c r="E653" s="2"/>
      <c r="F653" s="2"/>
      <c r="G653" s="2"/>
      <c r="H653" s="2"/>
      <c r="I653" s="2"/>
      <c r="J653" s="2"/>
      <c r="K653" s="2"/>
      <c r="L653" s="2"/>
      <c r="M653" s="320"/>
      <c r="N653" s="2"/>
      <c r="O653" s="2"/>
      <c r="P653" s="2"/>
      <c r="Q653" s="4"/>
      <c r="R653" s="2"/>
      <c r="S653" s="2"/>
      <c r="U653" s="2"/>
      <c r="CI653" s="321"/>
    </row>
    <row r="654">
      <c r="A654" s="2"/>
      <c r="B654" s="2"/>
      <c r="C654" s="2"/>
      <c r="D654" s="2"/>
      <c r="E654" s="2"/>
      <c r="F654" s="2"/>
      <c r="G654" s="2"/>
      <c r="H654" s="2"/>
      <c r="I654" s="2"/>
      <c r="J654" s="2"/>
      <c r="K654" s="2"/>
      <c r="L654" s="2"/>
      <c r="M654" s="320"/>
      <c r="N654" s="2"/>
      <c r="O654" s="2"/>
      <c r="P654" s="2"/>
      <c r="Q654" s="4"/>
      <c r="R654" s="2"/>
      <c r="S654" s="2"/>
      <c r="U654" s="2"/>
      <c r="CI654" s="321"/>
    </row>
    <row r="655">
      <c r="A655" s="2"/>
      <c r="B655" s="2"/>
      <c r="C655" s="2"/>
      <c r="D655" s="2"/>
      <c r="E655" s="2"/>
      <c r="F655" s="2"/>
      <c r="G655" s="2"/>
      <c r="H655" s="2"/>
      <c r="I655" s="2"/>
      <c r="J655" s="2"/>
      <c r="K655" s="2"/>
      <c r="L655" s="2"/>
      <c r="M655" s="320"/>
      <c r="N655" s="2"/>
      <c r="O655" s="2"/>
      <c r="P655" s="2"/>
      <c r="Q655" s="4"/>
      <c r="R655" s="2"/>
      <c r="S655" s="2"/>
      <c r="U655" s="2"/>
      <c r="CI655" s="321"/>
    </row>
    <row r="656">
      <c r="A656" s="2"/>
      <c r="B656" s="2"/>
      <c r="C656" s="2"/>
      <c r="D656" s="2"/>
      <c r="E656" s="2"/>
      <c r="F656" s="2"/>
      <c r="G656" s="2"/>
      <c r="H656" s="2"/>
      <c r="I656" s="2"/>
      <c r="J656" s="2"/>
      <c r="K656" s="2"/>
      <c r="L656" s="2"/>
      <c r="M656" s="320"/>
      <c r="N656" s="2"/>
      <c r="O656" s="2"/>
      <c r="P656" s="2"/>
      <c r="Q656" s="4"/>
      <c r="R656" s="2"/>
      <c r="S656" s="2"/>
      <c r="U656" s="2"/>
      <c r="CI656" s="321"/>
    </row>
    <row r="657">
      <c r="A657" s="2"/>
      <c r="B657" s="2"/>
      <c r="C657" s="2"/>
      <c r="D657" s="2"/>
      <c r="E657" s="2"/>
      <c r="F657" s="2"/>
      <c r="G657" s="2"/>
      <c r="H657" s="2"/>
      <c r="I657" s="2"/>
      <c r="J657" s="2"/>
      <c r="K657" s="2"/>
      <c r="L657" s="2"/>
      <c r="M657" s="320"/>
      <c r="N657" s="2"/>
      <c r="O657" s="2"/>
      <c r="P657" s="2"/>
      <c r="Q657" s="4"/>
      <c r="R657" s="2"/>
      <c r="S657" s="2"/>
      <c r="U657" s="2"/>
      <c r="CI657" s="321"/>
    </row>
    <row r="658">
      <c r="A658" s="2"/>
      <c r="B658" s="2"/>
      <c r="C658" s="2"/>
      <c r="D658" s="2"/>
      <c r="E658" s="2"/>
      <c r="F658" s="2"/>
      <c r="G658" s="2"/>
      <c r="H658" s="2"/>
      <c r="I658" s="2"/>
      <c r="J658" s="2"/>
      <c r="K658" s="2"/>
      <c r="L658" s="2"/>
      <c r="M658" s="320"/>
      <c r="N658" s="2"/>
      <c r="O658" s="2"/>
      <c r="P658" s="2"/>
      <c r="Q658" s="4"/>
      <c r="R658" s="2"/>
      <c r="S658" s="2"/>
      <c r="U658" s="2"/>
      <c r="CI658" s="321"/>
    </row>
    <row r="659">
      <c r="A659" s="2"/>
      <c r="B659" s="2"/>
      <c r="C659" s="2"/>
      <c r="D659" s="2"/>
      <c r="E659" s="2"/>
      <c r="F659" s="2"/>
      <c r="G659" s="2"/>
      <c r="H659" s="2"/>
      <c r="I659" s="2"/>
      <c r="J659" s="2"/>
      <c r="K659" s="2"/>
      <c r="L659" s="2"/>
      <c r="M659" s="320"/>
      <c r="N659" s="2"/>
      <c r="O659" s="2"/>
      <c r="P659" s="2"/>
      <c r="Q659" s="4"/>
      <c r="R659" s="2"/>
      <c r="S659" s="2"/>
      <c r="U659" s="2"/>
      <c r="CI659" s="321"/>
    </row>
    <row r="660">
      <c r="A660" s="2"/>
      <c r="B660" s="2"/>
      <c r="C660" s="2"/>
      <c r="D660" s="2"/>
      <c r="E660" s="2"/>
      <c r="F660" s="2"/>
      <c r="G660" s="2"/>
      <c r="H660" s="2"/>
      <c r="I660" s="2"/>
      <c r="J660" s="2"/>
      <c r="K660" s="2"/>
      <c r="L660" s="2"/>
      <c r="M660" s="320"/>
      <c r="N660" s="2"/>
      <c r="O660" s="2"/>
      <c r="P660" s="2"/>
      <c r="Q660" s="4"/>
      <c r="R660" s="2"/>
      <c r="S660" s="2"/>
      <c r="U660" s="2"/>
      <c r="CI660" s="321"/>
    </row>
    <row r="661">
      <c r="A661" s="2"/>
      <c r="B661" s="2"/>
      <c r="C661" s="2"/>
      <c r="D661" s="2"/>
      <c r="E661" s="2"/>
      <c r="F661" s="2"/>
      <c r="G661" s="2"/>
      <c r="H661" s="2"/>
      <c r="I661" s="2"/>
      <c r="J661" s="2"/>
      <c r="K661" s="2"/>
      <c r="L661" s="2"/>
      <c r="M661" s="320"/>
      <c r="N661" s="2"/>
      <c r="O661" s="2"/>
      <c r="P661" s="2"/>
      <c r="Q661" s="4"/>
      <c r="R661" s="2"/>
      <c r="S661" s="2"/>
      <c r="U661" s="2"/>
      <c r="CI661" s="321"/>
    </row>
    <row r="662">
      <c r="A662" s="2"/>
      <c r="B662" s="2"/>
      <c r="C662" s="2"/>
      <c r="D662" s="2"/>
      <c r="E662" s="2"/>
      <c r="F662" s="2"/>
      <c r="G662" s="2"/>
      <c r="H662" s="2"/>
      <c r="I662" s="2"/>
      <c r="J662" s="2"/>
      <c r="K662" s="2"/>
      <c r="L662" s="2"/>
      <c r="M662" s="320"/>
      <c r="N662" s="2"/>
      <c r="O662" s="2"/>
      <c r="P662" s="2"/>
      <c r="Q662" s="4"/>
      <c r="R662" s="2"/>
      <c r="S662" s="2"/>
      <c r="U662" s="2"/>
      <c r="CI662" s="321"/>
    </row>
    <row r="663">
      <c r="A663" s="2"/>
      <c r="B663" s="2"/>
      <c r="C663" s="2"/>
      <c r="D663" s="2"/>
      <c r="E663" s="2"/>
      <c r="F663" s="2"/>
      <c r="G663" s="2"/>
      <c r="H663" s="2"/>
      <c r="I663" s="2"/>
      <c r="J663" s="2"/>
      <c r="K663" s="2"/>
      <c r="L663" s="2"/>
      <c r="M663" s="320"/>
      <c r="N663" s="2"/>
      <c r="O663" s="2"/>
      <c r="P663" s="2"/>
      <c r="Q663" s="4"/>
      <c r="R663" s="2"/>
      <c r="S663" s="2"/>
      <c r="U663" s="2"/>
      <c r="CI663" s="321"/>
    </row>
    <row r="664">
      <c r="A664" s="2"/>
      <c r="B664" s="2"/>
      <c r="C664" s="2"/>
      <c r="D664" s="2"/>
      <c r="E664" s="2"/>
      <c r="F664" s="2"/>
      <c r="G664" s="2"/>
      <c r="H664" s="2"/>
      <c r="I664" s="2"/>
      <c r="J664" s="2"/>
      <c r="K664" s="2"/>
      <c r="L664" s="2"/>
      <c r="M664" s="320"/>
      <c r="N664" s="2"/>
      <c r="O664" s="2"/>
      <c r="P664" s="2"/>
      <c r="Q664" s="4"/>
      <c r="R664" s="2"/>
      <c r="S664" s="2"/>
      <c r="U664" s="2"/>
      <c r="CI664" s="321"/>
    </row>
    <row r="665">
      <c r="A665" s="2"/>
      <c r="B665" s="2"/>
      <c r="C665" s="2"/>
      <c r="D665" s="2"/>
      <c r="E665" s="2"/>
      <c r="F665" s="2"/>
      <c r="G665" s="2"/>
      <c r="H665" s="2"/>
      <c r="I665" s="2"/>
      <c r="J665" s="2"/>
      <c r="K665" s="2"/>
      <c r="L665" s="2"/>
      <c r="M665" s="320"/>
      <c r="N665" s="2"/>
      <c r="O665" s="2"/>
      <c r="P665" s="2"/>
      <c r="Q665" s="4"/>
      <c r="R665" s="2"/>
      <c r="S665" s="2"/>
      <c r="U665" s="2"/>
      <c r="CI665" s="321"/>
    </row>
    <row r="666">
      <c r="A666" s="2"/>
      <c r="B666" s="2"/>
      <c r="C666" s="2"/>
      <c r="D666" s="2"/>
      <c r="E666" s="2"/>
      <c r="F666" s="2"/>
      <c r="G666" s="2"/>
      <c r="H666" s="2"/>
      <c r="I666" s="2"/>
      <c r="J666" s="2"/>
      <c r="K666" s="2"/>
      <c r="L666" s="2"/>
      <c r="M666" s="320"/>
      <c r="N666" s="2"/>
      <c r="O666" s="2"/>
      <c r="P666" s="2"/>
      <c r="Q666" s="4"/>
      <c r="R666" s="2"/>
      <c r="S666" s="2"/>
      <c r="U666" s="2"/>
      <c r="CI666" s="321"/>
    </row>
    <row r="667">
      <c r="A667" s="2"/>
      <c r="B667" s="2"/>
      <c r="C667" s="2"/>
      <c r="D667" s="2"/>
      <c r="E667" s="2"/>
      <c r="F667" s="2"/>
      <c r="G667" s="2"/>
      <c r="H667" s="2"/>
      <c r="I667" s="2"/>
      <c r="J667" s="2"/>
      <c r="K667" s="2"/>
      <c r="L667" s="2"/>
      <c r="M667" s="320"/>
      <c r="N667" s="2"/>
      <c r="O667" s="2"/>
      <c r="P667" s="2"/>
      <c r="Q667" s="4"/>
      <c r="R667" s="2"/>
      <c r="S667" s="2"/>
      <c r="U667" s="2"/>
      <c r="CI667" s="321"/>
    </row>
    <row r="668">
      <c r="A668" s="2"/>
      <c r="B668" s="2"/>
      <c r="C668" s="2"/>
      <c r="D668" s="2"/>
      <c r="E668" s="2"/>
      <c r="F668" s="2"/>
      <c r="G668" s="2"/>
      <c r="H668" s="2"/>
      <c r="I668" s="2"/>
      <c r="J668" s="2"/>
      <c r="K668" s="2"/>
      <c r="L668" s="2"/>
      <c r="M668" s="320"/>
      <c r="N668" s="2"/>
      <c r="O668" s="2"/>
      <c r="P668" s="2"/>
      <c r="Q668" s="4"/>
      <c r="R668" s="2"/>
      <c r="S668" s="2"/>
      <c r="U668" s="2"/>
      <c r="CI668" s="321"/>
    </row>
    <row r="669">
      <c r="A669" s="2"/>
      <c r="B669" s="2"/>
      <c r="C669" s="2"/>
      <c r="D669" s="2"/>
      <c r="E669" s="2"/>
      <c r="F669" s="2"/>
      <c r="G669" s="2"/>
      <c r="H669" s="2"/>
      <c r="I669" s="2"/>
      <c r="J669" s="2"/>
      <c r="K669" s="2"/>
      <c r="L669" s="2"/>
      <c r="M669" s="320"/>
      <c r="N669" s="2"/>
      <c r="O669" s="2"/>
      <c r="P669" s="2"/>
      <c r="Q669" s="4"/>
      <c r="R669" s="2"/>
      <c r="S669" s="2"/>
      <c r="U669" s="2"/>
      <c r="CI669" s="321"/>
    </row>
    <row r="670">
      <c r="A670" s="2"/>
      <c r="B670" s="2"/>
      <c r="C670" s="2"/>
      <c r="D670" s="2"/>
      <c r="E670" s="2"/>
      <c r="F670" s="2"/>
      <c r="G670" s="2"/>
      <c r="H670" s="2"/>
      <c r="I670" s="2"/>
      <c r="J670" s="2"/>
      <c r="K670" s="2"/>
      <c r="L670" s="2"/>
      <c r="M670" s="320"/>
      <c r="N670" s="2"/>
      <c r="O670" s="2"/>
      <c r="P670" s="2"/>
      <c r="Q670" s="4"/>
      <c r="R670" s="2"/>
      <c r="S670" s="2"/>
      <c r="U670" s="2"/>
      <c r="CI670" s="321"/>
    </row>
    <row r="671">
      <c r="A671" s="2"/>
      <c r="B671" s="2"/>
      <c r="C671" s="2"/>
      <c r="D671" s="2"/>
      <c r="E671" s="2"/>
      <c r="F671" s="2"/>
      <c r="G671" s="2"/>
      <c r="H671" s="2"/>
      <c r="I671" s="2"/>
      <c r="J671" s="2"/>
      <c r="K671" s="2"/>
      <c r="L671" s="2"/>
      <c r="M671" s="320"/>
      <c r="N671" s="2"/>
      <c r="O671" s="2"/>
      <c r="P671" s="2"/>
      <c r="Q671" s="4"/>
      <c r="R671" s="2"/>
      <c r="S671" s="2"/>
      <c r="U671" s="2"/>
      <c r="CI671" s="321"/>
    </row>
    <row r="672">
      <c r="A672" s="2"/>
      <c r="B672" s="2"/>
      <c r="C672" s="2"/>
      <c r="D672" s="2"/>
      <c r="E672" s="2"/>
      <c r="F672" s="2"/>
      <c r="G672" s="2"/>
      <c r="H672" s="2"/>
      <c r="I672" s="2"/>
      <c r="J672" s="2"/>
      <c r="K672" s="2"/>
      <c r="L672" s="2"/>
      <c r="M672" s="320"/>
      <c r="N672" s="2"/>
      <c r="O672" s="2"/>
      <c r="P672" s="2"/>
      <c r="Q672" s="4"/>
      <c r="R672" s="2"/>
      <c r="S672" s="2"/>
      <c r="U672" s="2"/>
      <c r="CI672" s="321"/>
    </row>
    <row r="673">
      <c r="A673" s="2"/>
      <c r="B673" s="2"/>
      <c r="C673" s="2"/>
      <c r="D673" s="2"/>
      <c r="E673" s="2"/>
      <c r="F673" s="2"/>
      <c r="G673" s="2"/>
      <c r="H673" s="2"/>
      <c r="I673" s="2"/>
      <c r="J673" s="2"/>
      <c r="K673" s="2"/>
      <c r="L673" s="2"/>
      <c r="M673" s="320"/>
      <c r="N673" s="2"/>
      <c r="O673" s="2"/>
      <c r="P673" s="2"/>
      <c r="Q673" s="4"/>
      <c r="R673" s="2"/>
      <c r="S673" s="2"/>
      <c r="U673" s="2"/>
      <c r="CI673" s="321"/>
    </row>
    <row r="674">
      <c r="A674" s="2"/>
      <c r="B674" s="2"/>
      <c r="C674" s="2"/>
      <c r="D674" s="2"/>
      <c r="E674" s="2"/>
      <c r="F674" s="2"/>
      <c r="G674" s="2"/>
      <c r="H674" s="2"/>
      <c r="I674" s="2"/>
      <c r="J674" s="2"/>
      <c r="K674" s="2"/>
      <c r="L674" s="2"/>
      <c r="M674" s="320"/>
      <c r="N674" s="2"/>
      <c r="O674" s="2"/>
      <c r="P674" s="2"/>
      <c r="Q674" s="4"/>
      <c r="R674" s="2"/>
      <c r="S674" s="2"/>
      <c r="U674" s="2"/>
      <c r="CI674" s="321"/>
    </row>
    <row r="675">
      <c r="A675" s="2"/>
      <c r="B675" s="2"/>
      <c r="C675" s="2"/>
      <c r="D675" s="2"/>
      <c r="E675" s="2"/>
      <c r="F675" s="2"/>
      <c r="G675" s="2"/>
      <c r="H675" s="2"/>
      <c r="I675" s="2"/>
      <c r="J675" s="2"/>
      <c r="K675" s="2"/>
      <c r="L675" s="2"/>
      <c r="M675" s="320"/>
      <c r="N675" s="2"/>
      <c r="O675" s="2"/>
      <c r="P675" s="2"/>
      <c r="Q675" s="4"/>
      <c r="R675" s="2"/>
      <c r="S675" s="2"/>
      <c r="U675" s="2"/>
      <c r="CI675" s="321"/>
    </row>
    <row r="676">
      <c r="A676" s="2"/>
      <c r="B676" s="2"/>
      <c r="C676" s="2"/>
      <c r="D676" s="2"/>
      <c r="E676" s="2"/>
      <c r="F676" s="2"/>
      <c r="G676" s="2"/>
      <c r="H676" s="2"/>
      <c r="I676" s="2"/>
      <c r="J676" s="2"/>
      <c r="K676" s="2"/>
      <c r="L676" s="2"/>
      <c r="M676" s="320"/>
      <c r="N676" s="2"/>
      <c r="O676" s="2"/>
      <c r="P676" s="2"/>
      <c r="Q676" s="4"/>
      <c r="R676" s="2"/>
      <c r="S676" s="2"/>
      <c r="U676" s="2"/>
      <c r="CI676" s="321"/>
    </row>
    <row r="677">
      <c r="A677" s="2"/>
      <c r="B677" s="2"/>
      <c r="C677" s="2"/>
      <c r="D677" s="2"/>
      <c r="E677" s="2"/>
      <c r="F677" s="2"/>
      <c r="G677" s="2"/>
      <c r="H677" s="2"/>
      <c r="I677" s="2"/>
      <c r="J677" s="2"/>
      <c r="K677" s="2"/>
      <c r="L677" s="2"/>
      <c r="M677" s="320"/>
      <c r="N677" s="2"/>
      <c r="O677" s="2"/>
      <c r="P677" s="2"/>
      <c r="Q677" s="4"/>
      <c r="R677" s="2"/>
      <c r="S677" s="2"/>
      <c r="U677" s="2"/>
      <c r="CI677" s="321"/>
    </row>
    <row r="678">
      <c r="A678" s="2"/>
      <c r="B678" s="2"/>
      <c r="C678" s="2"/>
      <c r="D678" s="2"/>
      <c r="E678" s="2"/>
      <c r="F678" s="2"/>
      <c r="G678" s="2"/>
      <c r="H678" s="2"/>
      <c r="I678" s="2"/>
      <c r="J678" s="2"/>
      <c r="K678" s="2"/>
      <c r="L678" s="2"/>
      <c r="M678" s="320"/>
      <c r="N678" s="2"/>
      <c r="O678" s="2"/>
      <c r="P678" s="2"/>
      <c r="Q678" s="4"/>
      <c r="R678" s="2"/>
      <c r="S678" s="2"/>
      <c r="U678" s="2"/>
      <c r="CI678" s="321"/>
    </row>
    <row r="679">
      <c r="A679" s="2"/>
      <c r="B679" s="2"/>
      <c r="C679" s="2"/>
      <c r="D679" s="2"/>
      <c r="E679" s="2"/>
      <c r="F679" s="2"/>
      <c r="G679" s="2"/>
      <c r="H679" s="2"/>
      <c r="I679" s="2"/>
      <c r="J679" s="2"/>
      <c r="K679" s="2"/>
      <c r="L679" s="2"/>
      <c r="M679" s="320"/>
      <c r="N679" s="2"/>
      <c r="O679" s="2"/>
      <c r="P679" s="2"/>
      <c r="Q679" s="4"/>
      <c r="R679" s="2"/>
      <c r="S679" s="2"/>
      <c r="U679" s="2"/>
      <c r="CI679" s="321"/>
    </row>
    <row r="680">
      <c r="A680" s="2"/>
      <c r="B680" s="2"/>
      <c r="C680" s="2"/>
      <c r="D680" s="2"/>
      <c r="E680" s="2"/>
      <c r="F680" s="2"/>
      <c r="G680" s="2"/>
      <c r="H680" s="2"/>
      <c r="I680" s="2"/>
      <c r="J680" s="2"/>
      <c r="K680" s="2"/>
      <c r="L680" s="2"/>
      <c r="M680" s="320"/>
      <c r="N680" s="2"/>
      <c r="O680" s="2"/>
      <c r="P680" s="2"/>
      <c r="Q680" s="4"/>
      <c r="R680" s="2"/>
      <c r="S680" s="2"/>
      <c r="U680" s="2"/>
      <c r="CI680" s="321"/>
    </row>
    <row r="681">
      <c r="A681" s="2"/>
      <c r="B681" s="2"/>
      <c r="C681" s="2"/>
      <c r="D681" s="2"/>
      <c r="E681" s="2"/>
      <c r="F681" s="2"/>
      <c r="G681" s="2"/>
      <c r="H681" s="2"/>
      <c r="I681" s="2"/>
      <c r="J681" s="2"/>
      <c r="K681" s="2"/>
      <c r="L681" s="2"/>
      <c r="M681" s="320"/>
      <c r="N681" s="2"/>
      <c r="O681" s="2"/>
      <c r="P681" s="2"/>
      <c r="Q681" s="4"/>
      <c r="R681" s="2"/>
      <c r="S681" s="2"/>
      <c r="U681" s="2"/>
      <c r="CI681" s="321"/>
    </row>
    <row r="682">
      <c r="A682" s="2"/>
      <c r="B682" s="2"/>
      <c r="C682" s="2"/>
      <c r="D682" s="2"/>
      <c r="E682" s="2"/>
      <c r="F682" s="2"/>
      <c r="G682" s="2"/>
      <c r="H682" s="2"/>
      <c r="I682" s="2"/>
      <c r="J682" s="2"/>
      <c r="K682" s="2"/>
      <c r="L682" s="2"/>
      <c r="M682" s="320"/>
      <c r="N682" s="2"/>
      <c r="O682" s="2"/>
      <c r="P682" s="2"/>
      <c r="Q682" s="4"/>
      <c r="R682" s="2"/>
      <c r="S682" s="2"/>
      <c r="U682" s="2"/>
      <c r="CI682" s="321"/>
    </row>
    <row r="683">
      <c r="A683" s="2"/>
      <c r="B683" s="2"/>
      <c r="C683" s="2"/>
      <c r="D683" s="2"/>
      <c r="E683" s="2"/>
      <c r="F683" s="2"/>
      <c r="G683" s="2"/>
      <c r="H683" s="2"/>
      <c r="I683" s="2"/>
      <c r="J683" s="2"/>
      <c r="K683" s="2"/>
      <c r="L683" s="2"/>
      <c r="M683" s="320"/>
      <c r="N683" s="2"/>
      <c r="O683" s="2"/>
      <c r="P683" s="2"/>
      <c r="Q683" s="4"/>
      <c r="R683" s="2"/>
      <c r="S683" s="2"/>
      <c r="U683" s="2"/>
      <c r="CI683" s="321"/>
    </row>
    <row r="684">
      <c r="A684" s="2"/>
      <c r="B684" s="2"/>
      <c r="C684" s="2"/>
      <c r="D684" s="2"/>
      <c r="E684" s="2"/>
      <c r="F684" s="2"/>
      <c r="G684" s="2"/>
      <c r="H684" s="2"/>
      <c r="I684" s="2"/>
      <c r="J684" s="2"/>
      <c r="K684" s="2"/>
      <c r="L684" s="2"/>
      <c r="M684" s="320"/>
      <c r="N684" s="2"/>
      <c r="O684" s="2"/>
      <c r="P684" s="2"/>
      <c r="Q684" s="4"/>
      <c r="R684" s="2"/>
      <c r="S684" s="2"/>
      <c r="U684" s="2"/>
      <c r="CI684" s="321"/>
    </row>
    <row r="685">
      <c r="A685" s="2"/>
      <c r="B685" s="2"/>
      <c r="C685" s="2"/>
      <c r="D685" s="2"/>
      <c r="E685" s="2"/>
      <c r="F685" s="2"/>
      <c r="G685" s="2"/>
      <c r="H685" s="2"/>
      <c r="I685" s="2"/>
      <c r="J685" s="2"/>
      <c r="K685" s="2"/>
      <c r="L685" s="2"/>
      <c r="M685" s="320"/>
      <c r="N685" s="2"/>
      <c r="O685" s="2"/>
      <c r="P685" s="2"/>
      <c r="Q685" s="4"/>
      <c r="R685" s="2"/>
      <c r="S685" s="2"/>
      <c r="U685" s="2"/>
      <c r="CI685" s="321"/>
    </row>
    <row r="686">
      <c r="A686" s="2"/>
      <c r="B686" s="2"/>
      <c r="C686" s="2"/>
      <c r="D686" s="2"/>
      <c r="E686" s="2"/>
      <c r="F686" s="2"/>
      <c r="G686" s="2"/>
      <c r="H686" s="2"/>
      <c r="I686" s="2"/>
      <c r="J686" s="2"/>
      <c r="K686" s="2"/>
      <c r="L686" s="2"/>
      <c r="M686" s="320"/>
      <c r="N686" s="2"/>
      <c r="O686" s="2"/>
      <c r="P686" s="2"/>
      <c r="Q686" s="4"/>
      <c r="R686" s="2"/>
      <c r="S686" s="2"/>
      <c r="U686" s="2"/>
      <c r="CI686" s="321"/>
    </row>
    <row r="687">
      <c r="A687" s="2"/>
      <c r="B687" s="2"/>
      <c r="C687" s="2"/>
      <c r="D687" s="2"/>
      <c r="E687" s="2"/>
      <c r="F687" s="2"/>
      <c r="G687" s="2"/>
      <c r="H687" s="2"/>
      <c r="I687" s="2"/>
      <c r="J687" s="2"/>
      <c r="K687" s="2"/>
      <c r="L687" s="2"/>
      <c r="M687" s="320"/>
      <c r="N687" s="2"/>
      <c r="O687" s="2"/>
      <c r="P687" s="2"/>
      <c r="Q687" s="4"/>
      <c r="R687" s="2"/>
      <c r="S687" s="2"/>
      <c r="U687" s="2"/>
      <c r="CI687" s="321"/>
    </row>
    <row r="688">
      <c r="A688" s="2"/>
      <c r="B688" s="2"/>
      <c r="C688" s="2"/>
      <c r="D688" s="2"/>
      <c r="E688" s="2"/>
      <c r="F688" s="2"/>
      <c r="G688" s="2"/>
      <c r="H688" s="2"/>
      <c r="I688" s="2"/>
      <c r="J688" s="2"/>
      <c r="K688" s="2"/>
      <c r="L688" s="2"/>
      <c r="M688" s="320"/>
      <c r="N688" s="2"/>
      <c r="O688" s="2"/>
      <c r="P688" s="2"/>
      <c r="Q688" s="4"/>
      <c r="R688" s="2"/>
      <c r="S688" s="2"/>
      <c r="U688" s="2"/>
      <c r="CI688" s="321"/>
    </row>
    <row r="689">
      <c r="A689" s="2"/>
      <c r="B689" s="2"/>
      <c r="C689" s="2"/>
      <c r="D689" s="2"/>
      <c r="E689" s="2"/>
      <c r="F689" s="2"/>
      <c r="G689" s="2"/>
      <c r="H689" s="2"/>
      <c r="I689" s="2"/>
      <c r="J689" s="2"/>
      <c r="K689" s="2"/>
      <c r="L689" s="2"/>
      <c r="M689" s="320"/>
      <c r="N689" s="2"/>
      <c r="O689" s="2"/>
      <c r="P689" s="2"/>
      <c r="Q689" s="4"/>
      <c r="R689" s="2"/>
      <c r="S689" s="2"/>
      <c r="U689" s="2"/>
      <c r="CI689" s="321"/>
    </row>
    <row r="690">
      <c r="A690" s="2"/>
      <c r="B690" s="2"/>
      <c r="C690" s="2"/>
      <c r="D690" s="2"/>
      <c r="E690" s="2"/>
      <c r="F690" s="2"/>
      <c r="G690" s="2"/>
      <c r="H690" s="2"/>
      <c r="I690" s="2"/>
      <c r="J690" s="2"/>
      <c r="K690" s="2"/>
      <c r="L690" s="2"/>
      <c r="M690" s="320"/>
      <c r="N690" s="2"/>
      <c r="O690" s="2"/>
      <c r="P690" s="2"/>
      <c r="Q690" s="4"/>
      <c r="R690" s="2"/>
      <c r="S690" s="2"/>
      <c r="U690" s="2"/>
      <c r="CI690" s="321"/>
    </row>
    <row r="691">
      <c r="A691" s="2"/>
      <c r="B691" s="2"/>
      <c r="C691" s="2"/>
      <c r="D691" s="2"/>
      <c r="E691" s="2"/>
      <c r="F691" s="2"/>
      <c r="G691" s="2"/>
      <c r="H691" s="2"/>
      <c r="I691" s="2"/>
      <c r="J691" s="2"/>
      <c r="K691" s="2"/>
      <c r="L691" s="2"/>
      <c r="M691" s="320"/>
      <c r="N691" s="2"/>
      <c r="O691" s="2"/>
      <c r="P691" s="2"/>
      <c r="Q691" s="4"/>
      <c r="R691" s="2"/>
      <c r="S691" s="2"/>
      <c r="U691" s="2"/>
      <c r="CI691" s="321"/>
    </row>
    <row r="692">
      <c r="A692" s="2"/>
      <c r="B692" s="2"/>
      <c r="C692" s="2"/>
      <c r="D692" s="2"/>
      <c r="E692" s="2"/>
      <c r="F692" s="2"/>
      <c r="G692" s="2"/>
      <c r="H692" s="2"/>
      <c r="I692" s="2"/>
      <c r="J692" s="2"/>
      <c r="K692" s="2"/>
      <c r="L692" s="2"/>
      <c r="M692" s="320"/>
      <c r="N692" s="2"/>
      <c r="O692" s="2"/>
      <c r="P692" s="2"/>
      <c r="Q692" s="4"/>
      <c r="R692" s="2"/>
      <c r="S692" s="2"/>
      <c r="U692" s="2"/>
      <c r="CI692" s="321"/>
    </row>
    <row r="693">
      <c r="A693" s="2"/>
      <c r="B693" s="2"/>
      <c r="C693" s="2"/>
      <c r="D693" s="2"/>
      <c r="E693" s="2"/>
      <c r="F693" s="2"/>
      <c r="G693" s="2"/>
      <c r="H693" s="2"/>
      <c r="I693" s="2"/>
      <c r="J693" s="2"/>
      <c r="K693" s="2"/>
      <c r="L693" s="2"/>
      <c r="M693" s="320"/>
      <c r="N693" s="2"/>
      <c r="O693" s="2"/>
      <c r="P693" s="2"/>
      <c r="Q693" s="4"/>
      <c r="R693" s="2"/>
      <c r="S693" s="2"/>
      <c r="U693" s="2"/>
      <c r="CI693" s="321"/>
    </row>
    <row r="694">
      <c r="A694" s="2"/>
      <c r="B694" s="2"/>
      <c r="C694" s="2"/>
      <c r="D694" s="2"/>
      <c r="E694" s="2"/>
      <c r="F694" s="2"/>
      <c r="G694" s="2"/>
      <c r="H694" s="2"/>
      <c r="I694" s="2"/>
      <c r="J694" s="2"/>
      <c r="K694" s="2"/>
      <c r="L694" s="2"/>
      <c r="M694" s="320"/>
      <c r="N694" s="2"/>
      <c r="O694" s="2"/>
      <c r="P694" s="2"/>
      <c r="Q694" s="4"/>
      <c r="R694" s="2"/>
      <c r="S694" s="2"/>
      <c r="U694" s="2"/>
      <c r="CI694" s="321"/>
    </row>
    <row r="695">
      <c r="A695" s="2"/>
      <c r="B695" s="2"/>
      <c r="C695" s="2"/>
      <c r="D695" s="2"/>
      <c r="E695" s="2"/>
      <c r="F695" s="2"/>
      <c r="G695" s="2"/>
      <c r="H695" s="2"/>
      <c r="I695" s="2"/>
      <c r="J695" s="2"/>
      <c r="K695" s="2"/>
      <c r="L695" s="2"/>
      <c r="M695" s="320"/>
      <c r="N695" s="2"/>
      <c r="O695" s="2"/>
      <c r="P695" s="2"/>
      <c r="Q695" s="4"/>
      <c r="R695" s="2"/>
      <c r="S695" s="2"/>
      <c r="U695" s="2"/>
      <c r="CI695" s="321"/>
    </row>
    <row r="696">
      <c r="A696" s="2"/>
      <c r="B696" s="2"/>
      <c r="C696" s="2"/>
      <c r="D696" s="2"/>
      <c r="E696" s="2"/>
      <c r="F696" s="2"/>
      <c r="G696" s="2"/>
      <c r="H696" s="2"/>
      <c r="I696" s="2"/>
      <c r="J696" s="2"/>
      <c r="K696" s="2"/>
      <c r="L696" s="2"/>
      <c r="M696" s="320"/>
      <c r="N696" s="2"/>
      <c r="O696" s="2"/>
      <c r="P696" s="2"/>
      <c r="Q696" s="4"/>
      <c r="R696" s="2"/>
      <c r="S696" s="2"/>
      <c r="U696" s="2"/>
      <c r="CI696" s="321"/>
    </row>
    <row r="697">
      <c r="A697" s="2"/>
      <c r="B697" s="2"/>
      <c r="C697" s="2"/>
      <c r="D697" s="2"/>
      <c r="E697" s="2"/>
      <c r="F697" s="2"/>
      <c r="G697" s="2"/>
      <c r="H697" s="2"/>
      <c r="I697" s="2"/>
      <c r="J697" s="2"/>
      <c r="K697" s="2"/>
      <c r="L697" s="2"/>
      <c r="M697" s="320"/>
      <c r="N697" s="2"/>
      <c r="O697" s="2"/>
      <c r="P697" s="2"/>
      <c r="Q697" s="4"/>
      <c r="R697" s="2"/>
      <c r="S697" s="2"/>
      <c r="U697" s="2"/>
      <c r="CI697" s="321"/>
    </row>
    <row r="698">
      <c r="A698" s="2"/>
      <c r="B698" s="2"/>
      <c r="C698" s="2"/>
      <c r="D698" s="2"/>
      <c r="E698" s="2"/>
      <c r="F698" s="2"/>
      <c r="G698" s="2"/>
      <c r="H698" s="2"/>
      <c r="I698" s="2"/>
      <c r="J698" s="2"/>
      <c r="K698" s="2"/>
      <c r="L698" s="2"/>
      <c r="M698" s="320"/>
      <c r="N698" s="2"/>
      <c r="O698" s="2"/>
      <c r="P698" s="2"/>
      <c r="Q698" s="4"/>
      <c r="R698" s="2"/>
      <c r="S698" s="2"/>
      <c r="U698" s="2"/>
      <c r="CI698" s="321"/>
    </row>
    <row r="699">
      <c r="A699" s="2"/>
      <c r="B699" s="2"/>
      <c r="C699" s="2"/>
      <c r="D699" s="2"/>
      <c r="E699" s="2"/>
      <c r="F699" s="2"/>
      <c r="G699" s="2"/>
      <c r="H699" s="2"/>
      <c r="I699" s="2"/>
      <c r="J699" s="2"/>
      <c r="K699" s="2"/>
      <c r="L699" s="2"/>
      <c r="M699" s="320"/>
      <c r="N699" s="2"/>
      <c r="O699" s="2"/>
      <c r="P699" s="2"/>
      <c r="Q699" s="4"/>
      <c r="R699" s="2"/>
      <c r="S699" s="2"/>
      <c r="U699" s="2"/>
      <c r="CI699" s="321"/>
    </row>
    <row r="700">
      <c r="A700" s="2"/>
      <c r="B700" s="2"/>
      <c r="C700" s="2"/>
      <c r="D700" s="2"/>
      <c r="E700" s="2"/>
      <c r="F700" s="2"/>
      <c r="G700" s="2"/>
      <c r="H700" s="2"/>
      <c r="I700" s="2"/>
      <c r="J700" s="2"/>
      <c r="K700" s="2"/>
      <c r="L700" s="2"/>
      <c r="M700" s="320"/>
      <c r="N700" s="2"/>
      <c r="O700" s="2"/>
      <c r="P700" s="2"/>
      <c r="Q700" s="4"/>
      <c r="R700" s="2"/>
      <c r="S700" s="2"/>
      <c r="U700" s="2"/>
      <c r="CI700" s="321"/>
    </row>
    <row r="701">
      <c r="A701" s="2"/>
      <c r="B701" s="2"/>
      <c r="C701" s="2"/>
      <c r="D701" s="2"/>
      <c r="E701" s="2"/>
      <c r="F701" s="2"/>
      <c r="G701" s="2"/>
      <c r="H701" s="2"/>
      <c r="I701" s="2"/>
      <c r="J701" s="2"/>
      <c r="K701" s="2"/>
      <c r="L701" s="2"/>
      <c r="M701" s="320"/>
      <c r="N701" s="2"/>
      <c r="O701" s="2"/>
      <c r="P701" s="2"/>
      <c r="Q701" s="4"/>
      <c r="R701" s="2"/>
      <c r="S701" s="2"/>
      <c r="U701" s="2"/>
      <c r="CI701" s="321"/>
    </row>
    <row r="702">
      <c r="A702" s="2"/>
      <c r="B702" s="2"/>
      <c r="C702" s="2"/>
      <c r="D702" s="2"/>
      <c r="E702" s="2"/>
      <c r="F702" s="2"/>
      <c r="G702" s="2"/>
      <c r="H702" s="2"/>
      <c r="I702" s="2"/>
      <c r="J702" s="2"/>
      <c r="K702" s="2"/>
      <c r="L702" s="2"/>
      <c r="M702" s="320"/>
      <c r="N702" s="2"/>
      <c r="O702" s="2"/>
      <c r="P702" s="2"/>
      <c r="Q702" s="4"/>
      <c r="R702" s="2"/>
      <c r="S702" s="2"/>
      <c r="U702" s="2"/>
      <c r="CI702" s="321"/>
    </row>
    <row r="703">
      <c r="A703" s="2"/>
      <c r="B703" s="2"/>
      <c r="C703" s="2"/>
      <c r="D703" s="2"/>
      <c r="E703" s="2"/>
      <c r="F703" s="2"/>
      <c r="G703" s="2"/>
      <c r="H703" s="2"/>
      <c r="I703" s="2"/>
      <c r="J703" s="2"/>
      <c r="K703" s="2"/>
      <c r="L703" s="2"/>
      <c r="M703" s="320"/>
      <c r="N703" s="2"/>
      <c r="O703" s="2"/>
      <c r="P703" s="2"/>
      <c r="Q703" s="4"/>
      <c r="R703" s="2"/>
      <c r="S703" s="2"/>
      <c r="U703" s="2"/>
      <c r="CI703" s="321"/>
    </row>
    <row r="704">
      <c r="A704" s="2"/>
      <c r="B704" s="2"/>
      <c r="C704" s="2"/>
      <c r="D704" s="2"/>
      <c r="E704" s="2"/>
      <c r="F704" s="2"/>
      <c r="G704" s="2"/>
      <c r="H704" s="2"/>
      <c r="I704" s="2"/>
      <c r="J704" s="2"/>
      <c r="K704" s="2"/>
      <c r="L704" s="2"/>
      <c r="M704" s="320"/>
      <c r="N704" s="2"/>
      <c r="O704" s="2"/>
      <c r="P704" s="2"/>
      <c r="Q704" s="4"/>
      <c r="R704" s="2"/>
      <c r="S704" s="2"/>
      <c r="U704" s="2"/>
      <c r="CI704" s="321"/>
    </row>
    <row r="705">
      <c r="A705" s="2"/>
      <c r="B705" s="2"/>
      <c r="C705" s="2"/>
      <c r="D705" s="2"/>
      <c r="E705" s="2"/>
      <c r="F705" s="2"/>
      <c r="G705" s="2"/>
      <c r="H705" s="2"/>
      <c r="I705" s="2"/>
      <c r="J705" s="2"/>
      <c r="K705" s="2"/>
      <c r="L705" s="2"/>
      <c r="M705" s="320"/>
      <c r="N705" s="2"/>
      <c r="O705" s="2"/>
      <c r="P705" s="2"/>
      <c r="Q705" s="4"/>
      <c r="R705" s="2"/>
      <c r="S705" s="2"/>
      <c r="U705" s="2"/>
      <c r="CI705" s="321"/>
    </row>
    <row r="706">
      <c r="A706" s="2"/>
      <c r="B706" s="2"/>
      <c r="C706" s="2"/>
      <c r="D706" s="2"/>
      <c r="E706" s="2"/>
      <c r="F706" s="2"/>
      <c r="G706" s="2"/>
      <c r="H706" s="2"/>
      <c r="I706" s="2"/>
      <c r="J706" s="2"/>
      <c r="K706" s="2"/>
      <c r="L706" s="2"/>
      <c r="M706" s="320"/>
      <c r="N706" s="2"/>
      <c r="O706" s="2"/>
      <c r="P706" s="2"/>
      <c r="Q706" s="4"/>
      <c r="R706" s="2"/>
      <c r="S706" s="2"/>
      <c r="U706" s="2"/>
      <c r="CI706" s="321"/>
    </row>
    <row r="707">
      <c r="A707" s="2"/>
      <c r="B707" s="2"/>
      <c r="C707" s="2"/>
      <c r="D707" s="2"/>
      <c r="E707" s="2"/>
      <c r="F707" s="2"/>
      <c r="G707" s="2"/>
      <c r="H707" s="2"/>
      <c r="I707" s="2"/>
      <c r="J707" s="2"/>
      <c r="K707" s="2"/>
      <c r="L707" s="2"/>
      <c r="M707" s="320"/>
      <c r="N707" s="2"/>
      <c r="O707" s="2"/>
      <c r="P707" s="2"/>
      <c r="Q707" s="4"/>
      <c r="R707" s="2"/>
      <c r="S707" s="2"/>
      <c r="U707" s="2"/>
      <c r="CI707" s="321"/>
    </row>
    <row r="708">
      <c r="A708" s="2"/>
      <c r="B708" s="2"/>
      <c r="C708" s="2"/>
      <c r="D708" s="2"/>
      <c r="E708" s="2"/>
      <c r="F708" s="2"/>
      <c r="G708" s="2"/>
      <c r="H708" s="2"/>
      <c r="I708" s="2"/>
      <c r="J708" s="2"/>
      <c r="K708" s="2"/>
      <c r="L708" s="2"/>
      <c r="M708" s="320"/>
      <c r="N708" s="2"/>
      <c r="O708" s="2"/>
      <c r="P708" s="2"/>
      <c r="Q708" s="4"/>
      <c r="R708" s="2"/>
      <c r="S708" s="2"/>
      <c r="U708" s="2"/>
      <c r="CI708" s="321"/>
    </row>
    <row r="709">
      <c r="A709" s="2"/>
      <c r="B709" s="2"/>
      <c r="C709" s="2"/>
      <c r="D709" s="2"/>
      <c r="E709" s="2"/>
      <c r="F709" s="2"/>
      <c r="G709" s="2"/>
      <c r="H709" s="2"/>
      <c r="I709" s="2"/>
      <c r="J709" s="2"/>
      <c r="K709" s="2"/>
      <c r="L709" s="2"/>
      <c r="M709" s="320"/>
      <c r="N709" s="2"/>
      <c r="O709" s="2"/>
      <c r="P709" s="2"/>
      <c r="Q709" s="4"/>
      <c r="R709" s="2"/>
      <c r="S709" s="2"/>
      <c r="U709" s="2"/>
      <c r="CI709" s="321"/>
    </row>
    <row r="710">
      <c r="A710" s="2"/>
      <c r="B710" s="2"/>
      <c r="C710" s="2"/>
      <c r="D710" s="2"/>
      <c r="E710" s="2"/>
      <c r="F710" s="2"/>
      <c r="G710" s="2"/>
      <c r="H710" s="2"/>
      <c r="I710" s="2"/>
      <c r="J710" s="2"/>
      <c r="K710" s="2"/>
      <c r="L710" s="2"/>
      <c r="M710" s="320"/>
      <c r="N710" s="2"/>
      <c r="O710" s="2"/>
      <c r="P710" s="2"/>
      <c r="Q710" s="4"/>
      <c r="R710" s="2"/>
      <c r="S710" s="2"/>
      <c r="U710" s="2"/>
      <c r="CI710" s="321"/>
    </row>
    <row r="711">
      <c r="A711" s="2"/>
      <c r="B711" s="2"/>
      <c r="C711" s="2"/>
      <c r="D711" s="2"/>
      <c r="E711" s="2"/>
      <c r="F711" s="2"/>
      <c r="G711" s="2"/>
      <c r="H711" s="2"/>
      <c r="I711" s="2"/>
      <c r="J711" s="2"/>
      <c r="K711" s="2"/>
      <c r="L711" s="2"/>
      <c r="M711" s="320"/>
      <c r="N711" s="2"/>
      <c r="O711" s="2"/>
      <c r="P711" s="2"/>
      <c r="Q711" s="4"/>
      <c r="R711" s="2"/>
      <c r="S711" s="2"/>
      <c r="U711" s="2"/>
      <c r="CI711" s="321"/>
    </row>
    <row r="712">
      <c r="A712" s="2"/>
      <c r="B712" s="2"/>
      <c r="C712" s="2"/>
      <c r="D712" s="2"/>
      <c r="E712" s="2"/>
      <c r="F712" s="2"/>
      <c r="G712" s="2"/>
      <c r="H712" s="2"/>
      <c r="I712" s="2"/>
      <c r="J712" s="2"/>
      <c r="K712" s="2"/>
      <c r="L712" s="2"/>
      <c r="M712" s="320"/>
      <c r="N712" s="2"/>
      <c r="O712" s="2"/>
      <c r="P712" s="2"/>
      <c r="Q712" s="4"/>
      <c r="R712" s="2"/>
      <c r="S712" s="2"/>
      <c r="U712" s="2"/>
      <c r="CI712" s="321"/>
    </row>
    <row r="713">
      <c r="A713" s="2"/>
      <c r="B713" s="2"/>
      <c r="C713" s="2"/>
      <c r="D713" s="2"/>
      <c r="E713" s="2"/>
      <c r="F713" s="2"/>
      <c r="G713" s="2"/>
      <c r="H713" s="2"/>
      <c r="I713" s="2"/>
      <c r="J713" s="2"/>
      <c r="K713" s="2"/>
      <c r="L713" s="2"/>
      <c r="M713" s="320"/>
      <c r="N713" s="2"/>
      <c r="O713" s="2"/>
      <c r="P713" s="2"/>
      <c r="Q713" s="4"/>
      <c r="R713" s="2"/>
      <c r="S713" s="2"/>
      <c r="U713" s="2"/>
      <c r="CI713" s="321"/>
    </row>
    <row r="714">
      <c r="A714" s="2"/>
      <c r="B714" s="2"/>
      <c r="C714" s="2"/>
      <c r="D714" s="2"/>
      <c r="E714" s="2"/>
      <c r="F714" s="2"/>
      <c r="G714" s="2"/>
      <c r="H714" s="2"/>
      <c r="I714" s="2"/>
      <c r="J714" s="2"/>
      <c r="K714" s="2"/>
      <c r="L714" s="2"/>
      <c r="M714" s="320"/>
      <c r="N714" s="2"/>
      <c r="O714" s="2"/>
      <c r="P714" s="2"/>
      <c r="Q714" s="4"/>
      <c r="R714" s="2"/>
      <c r="S714" s="2"/>
      <c r="U714" s="2"/>
      <c r="CI714" s="321"/>
    </row>
    <row r="715">
      <c r="A715" s="2"/>
      <c r="B715" s="2"/>
      <c r="C715" s="2"/>
      <c r="D715" s="2"/>
      <c r="E715" s="2"/>
      <c r="F715" s="2"/>
      <c r="G715" s="2"/>
      <c r="H715" s="2"/>
      <c r="I715" s="2"/>
      <c r="J715" s="2"/>
      <c r="K715" s="2"/>
      <c r="L715" s="2"/>
      <c r="M715" s="320"/>
      <c r="N715" s="2"/>
      <c r="O715" s="2"/>
      <c r="P715" s="2"/>
      <c r="Q715" s="4"/>
      <c r="R715" s="2"/>
      <c r="S715" s="2"/>
      <c r="U715" s="2"/>
      <c r="CI715" s="321"/>
    </row>
    <row r="716">
      <c r="A716" s="2"/>
      <c r="B716" s="2"/>
      <c r="C716" s="2"/>
      <c r="D716" s="2"/>
      <c r="E716" s="2"/>
      <c r="F716" s="2"/>
      <c r="G716" s="2"/>
      <c r="H716" s="2"/>
      <c r="I716" s="2"/>
      <c r="J716" s="2"/>
      <c r="K716" s="2"/>
      <c r="L716" s="2"/>
      <c r="M716" s="320"/>
      <c r="N716" s="2"/>
      <c r="O716" s="2"/>
      <c r="P716" s="2"/>
      <c r="Q716" s="4"/>
      <c r="R716" s="2"/>
      <c r="S716" s="2"/>
      <c r="U716" s="2"/>
      <c r="CI716" s="321"/>
    </row>
    <row r="717">
      <c r="A717" s="2"/>
      <c r="B717" s="2"/>
      <c r="C717" s="2"/>
      <c r="D717" s="2"/>
      <c r="E717" s="2"/>
      <c r="F717" s="2"/>
      <c r="G717" s="2"/>
      <c r="H717" s="2"/>
      <c r="I717" s="2"/>
      <c r="J717" s="2"/>
      <c r="K717" s="2"/>
      <c r="L717" s="2"/>
      <c r="M717" s="320"/>
      <c r="N717" s="2"/>
      <c r="O717" s="2"/>
      <c r="P717" s="2"/>
      <c r="Q717" s="4"/>
      <c r="R717" s="2"/>
      <c r="S717" s="2"/>
      <c r="U717" s="2"/>
      <c r="CI717" s="321"/>
    </row>
    <row r="718">
      <c r="A718" s="2"/>
      <c r="B718" s="2"/>
      <c r="C718" s="2"/>
      <c r="D718" s="2"/>
      <c r="E718" s="2"/>
      <c r="F718" s="2"/>
      <c r="G718" s="2"/>
      <c r="H718" s="2"/>
      <c r="I718" s="2"/>
      <c r="J718" s="2"/>
      <c r="K718" s="2"/>
      <c r="L718" s="2"/>
      <c r="M718" s="320"/>
      <c r="N718" s="2"/>
      <c r="O718" s="2"/>
      <c r="P718" s="2"/>
      <c r="Q718" s="4"/>
      <c r="R718" s="2"/>
      <c r="S718" s="2"/>
      <c r="U718" s="2"/>
      <c r="CI718" s="321"/>
    </row>
    <row r="719">
      <c r="A719" s="2"/>
      <c r="B719" s="2"/>
      <c r="C719" s="2"/>
      <c r="D719" s="2"/>
      <c r="E719" s="2"/>
      <c r="F719" s="2"/>
      <c r="G719" s="2"/>
      <c r="H719" s="2"/>
      <c r="I719" s="2"/>
      <c r="J719" s="2"/>
      <c r="K719" s="2"/>
      <c r="L719" s="2"/>
      <c r="M719" s="320"/>
      <c r="N719" s="2"/>
      <c r="O719" s="2"/>
      <c r="P719" s="2"/>
      <c r="Q719" s="4"/>
      <c r="R719" s="2"/>
      <c r="S719" s="2"/>
      <c r="U719" s="2"/>
      <c r="CI719" s="321"/>
    </row>
    <row r="720">
      <c r="A720" s="2"/>
      <c r="B720" s="2"/>
      <c r="C720" s="2"/>
      <c r="D720" s="2"/>
      <c r="E720" s="2"/>
      <c r="F720" s="2"/>
      <c r="G720" s="2"/>
      <c r="H720" s="2"/>
      <c r="I720" s="2"/>
      <c r="J720" s="2"/>
      <c r="K720" s="2"/>
      <c r="L720" s="2"/>
      <c r="M720" s="320"/>
      <c r="N720" s="2"/>
      <c r="O720" s="2"/>
      <c r="P720" s="2"/>
      <c r="Q720" s="4"/>
      <c r="R720" s="2"/>
      <c r="S720" s="2"/>
      <c r="U720" s="2"/>
      <c r="CI720" s="321"/>
    </row>
    <row r="721">
      <c r="A721" s="2"/>
      <c r="B721" s="2"/>
      <c r="C721" s="2"/>
      <c r="D721" s="2"/>
      <c r="E721" s="2"/>
      <c r="F721" s="2"/>
      <c r="G721" s="2"/>
      <c r="H721" s="2"/>
      <c r="I721" s="2"/>
      <c r="J721" s="2"/>
      <c r="K721" s="2"/>
      <c r="L721" s="2"/>
      <c r="M721" s="320"/>
      <c r="N721" s="2"/>
      <c r="O721" s="2"/>
      <c r="P721" s="2"/>
      <c r="Q721" s="4"/>
      <c r="R721" s="2"/>
      <c r="S721" s="2"/>
      <c r="U721" s="2"/>
      <c r="CI721" s="321"/>
    </row>
    <row r="722">
      <c r="A722" s="2"/>
      <c r="B722" s="2"/>
      <c r="C722" s="2"/>
      <c r="D722" s="2"/>
      <c r="E722" s="2"/>
      <c r="F722" s="2"/>
      <c r="G722" s="2"/>
      <c r="H722" s="2"/>
      <c r="I722" s="2"/>
      <c r="J722" s="2"/>
      <c r="K722" s="2"/>
      <c r="L722" s="2"/>
      <c r="M722" s="320"/>
      <c r="N722" s="2"/>
      <c r="O722" s="2"/>
      <c r="P722" s="2"/>
      <c r="Q722" s="4"/>
      <c r="R722" s="2"/>
      <c r="S722" s="2"/>
      <c r="U722" s="2"/>
      <c r="CI722" s="321"/>
    </row>
    <row r="723">
      <c r="A723" s="2"/>
      <c r="B723" s="2"/>
      <c r="C723" s="2"/>
      <c r="D723" s="2"/>
      <c r="E723" s="2"/>
      <c r="F723" s="2"/>
      <c r="G723" s="2"/>
      <c r="H723" s="2"/>
      <c r="I723" s="2"/>
      <c r="J723" s="2"/>
      <c r="K723" s="2"/>
      <c r="L723" s="2"/>
      <c r="M723" s="320"/>
      <c r="N723" s="2"/>
      <c r="O723" s="2"/>
      <c r="P723" s="2"/>
      <c r="Q723" s="4"/>
      <c r="R723" s="2"/>
      <c r="S723" s="2"/>
      <c r="U723" s="2"/>
      <c r="CI723" s="321"/>
    </row>
    <row r="724">
      <c r="A724" s="2"/>
      <c r="B724" s="2"/>
      <c r="C724" s="2"/>
      <c r="D724" s="2"/>
      <c r="E724" s="2"/>
      <c r="F724" s="2"/>
      <c r="G724" s="2"/>
      <c r="H724" s="2"/>
      <c r="I724" s="2"/>
      <c r="J724" s="2"/>
      <c r="K724" s="2"/>
      <c r="L724" s="2"/>
      <c r="M724" s="320"/>
      <c r="N724" s="2"/>
      <c r="O724" s="2"/>
      <c r="P724" s="2"/>
      <c r="Q724" s="4"/>
      <c r="R724" s="2"/>
      <c r="S724" s="2"/>
      <c r="U724" s="2"/>
      <c r="CI724" s="321"/>
    </row>
    <row r="725">
      <c r="A725" s="2"/>
      <c r="B725" s="2"/>
      <c r="C725" s="2"/>
      <c r="D725" s="2"/>
      <c r="E725" s="2"/>
      <c r="F725" s="2"/>
      <c r="G725" s="2"/>
      <c r="H725" s="2"/>
      <c r="I725" s="2"/>
      <c r="J725" s="2"/>
      <c r="K725" s="2"/>
      <c r="L725" s="2"/>
      <c r="M725" s="320"/>
      <c r="N725" s="2"/>
      <c r="O725" s="2"/>
      <c r="P725" s="2"/>
      <c r="Q725" s="4"/>
      <c r="R725" s="2"/>
      <c r="S725" s="2"/>
      <c r="U725" s="2"/>
      <c r="CI725" s="321"/>
    </row>
    <row r="726">
      <c r="A726" s="2"/>
      <c r="B726" s="2"/>
      <c r="C726" s="2"/>
      <c r="D726" s="2"/>
      <c r="E726" s="2"/>
      <c r="F726" s="2"/>
      <c r="G726" s="2"/>
      <c r="H726" s="2"/>
      <c r="I726" s="2"/>
      <c r="J726" s="2"/>
      <c r="K726" s="2"/>
      <c r="L726" s="2"/>
      <c r="M726" s="320"/>
      <c r="N726" s="2"/>
      <c r="O726" s="2"/>
      <c r="P726" s="2"/>
      <c r="Q726" s="4"/>
      <c r="R726" s="2"/>
      <c r="S726" s="2"/>
      <c r="U726" s="2"/>
      <c r="CI726" s="321"/>
    </row>
    <row r="727">
      <c r="A727" s="2"/>
      <c r="B727" s="2"/>
      <c r="C727" s="2"/>
      <c r="D727" s="2"/>
      <c r="E727" s="2"/>
      <c r="F727" s="2"/>
      <c r="G727" s="2"/>
      <c r="H727" s="2"/>
      <c r="I727" s="2"/>
      <c r="J727" s="2"/>
      <c r="K727" s="2"/>
      <c r="L727" s="2"/>
      <c r="M727" s="320"/>
      <c r="N727" s="2"/>
      <c r="O727" s="2"/>
      <c r="P727" s="2"/>
      <c r="Q727" s="4"/>
      <c r="R727" s="2"/>
      <c r="S727" s="2"/>
      <c r="U727" s="2"/>
      <c r="CI727" s="321"/>
    </row>
    <row r="728">
      <c r="A728" s="2"/>
      <c r="B728" s="2"/>
      <c r="C728" s="2"/>
      <c r="D728" s="2"/>
      <c r="E728" s="2"/>
      <c r="F728" s="2"/>
      <c r="G728" s="2"/>
      <c r="H728" s="2"/>
      <c r="I728" s="2"/>
      <c r="J728" s="2"/>
      <c r="K728" s="2"/>
      <c r="L728" s="2"/>
      <c r="M728" s="320"/>
      <c r="N728" s="2"/>
      <c r="O728" s="2"/>
      <c r="P728" s="2"/>
      <c r="Q728" s="4"/>
      <c r="R728" s="2"/>
      <c r="S728" s="2"/>
      <c r="U728" s="2"/>
      <c r="CI728" s="321"/>
    </row>
    <row r="729">
      <c r="A729" s="2"/>
      <c r="B729" s="2"/>
      <c r="C729" s="2"/>
      <c r="D729" s="2"/>
      <c r="E729" s="2"/>
      <c r="F729" s="2"/>
      <c r="G729" s="2"/>
      <c r="H729" s="2"/>
      <c r="I729" s="2"/>
      <c r="J729" s="2"/>
      <c r="K729" s="2"/>
      <c r="L729" s="2"/>
      <c r="M729" s="320"/>
      <c r="N729" s="2"/>
      <c r="O729" s="2"/>
      <c r="P729" s="2"/>
      <c r="Q729" s="4"/>
      <c r="R729" s="2"/>
      <c r="S729" s="2"/>
      <c r="U729" s="2"/>
      <c r="CI729" s="321"/>
    </row>
    <row r="730">
      <c r="A730" s="2"/>
      <c r="B730" s="2"/>
      <c r="C730" s="2"/>
      <c r="D730" s="2"/>
      <c r="E730" s="2"/>
      <c r="F730" s="2"/>
      <c r="G730" s="2"/>
      <c r="H730" s="2"/>
      <c r="I730" s="2"/>
      <c r="J730" s="2"/>
      <c r="K730" s="2"/>
      <c r="L730" s="2"/>
      <c r="M730" s="320"/>
      <c r="N730" s="2"/>
      <c r="O730" s="2"/>
      <c r="P730" s="2"/>
      <c r="Q730" s="4"/>
      <c r="R730" s="2"/>
      <c r="S730" s="2"/>
      <c r="U730" s="2"/>
      <c r="CI730" s="321"/>
    </row>
    <row r="731">
      <c r="A731" s="2"/>
      <c r="B731" s="2"/>
      <c r="C731" s="2"/>
      <c r="D731" s="2"/>
      <c r="E731" s="2"/>
      <c r="F731" s="2"/>
      <c r="G731" s="2"/>
      <c r="H731" s="2"/>
      <c r="I731" s="2"/>
      <c r="J731" s="2"/>
      <c r="K731" s="2"/>
      <c r="L731" s="2"/>
      <c r="M731" s="320"/>
      <c r="N731" s="2"/>
      <c r="O731" s="2"/>
      <c r="P731" s="2"/>
      <c r="Q731" s="4"/>
      <c r="R731" s="2"/>
      <c r="S731" s="2"/>
      <c r="U731" s="2"/>
      <c r="CI731" s="321"/>
    </row>
    <row r="732">
      <c r="A732" s="2"/>
      <c r="B732" s="2"/>
      <c r="C732" s="2"/>
      <c r="D732" s="2"/>
      <c r="E732" s="2"/>
      <c r="F732" s="2"/>
      <c r="G732" s="2"/>
      <c r="H732" s="2"/>
      <c r="I732" s="2"/>
      <c r="J732" s="2"/>
      <c r="K732" s="2"/>
      <c r="L732" s="2"/>
      <c r="M732" s="320"/>
      <c r="N732" s="2"/>
      <c r="O732" s="2"/>
      <c r="P732" s="2"/>
      <c r="Q732" s="4"/>
      <c r="R732" s="2"/>
      <c r="S732" s="2"/>
      <c r="U732" s="2"/>
      <c r="CI732" s="321"/>
    </row>
    <row r="733">
      <c r="A733" s="2"/>
      <c r="B733" s="2"/>
      <c r="C733" s="2"/>
      <c r="D733" s="2"/>
      <c r="E733" s="2"/>
      <c r="F733" s="2"/>
      <c r="G733" s="2"/>
      <c r="H733" s="2"/>
      <c r="I733" s="2"/>
      <c r="J733" s="2"/>
      <c r="K733" s="2"/>
      <c r="L733" s="2"/>
      <c r="M733" s="320"/>
      <c r="N733" s="2"/>
      <c r="O733" s="2"/>
      <c r="P733" s="2"/>
      <c r="Q733" s="4"/>
      <c r="R733" s="2"/>
      <c r="S733" s="2"/>
      <c r="U733" s="2"/>
      <c r="CI733" s="321"/>
    </row>
    <row r="734">
      <c r="A734" s="2"/>
      <c r="B734" s="2"/>
      <c r="C734" s="2"/>
      <c r="D734" s="2"/>
      <c r="E734" s="2"/>
      <c r="F734" s="2"/>
      <c r="G734" s="2"/>
      <c r="H734" s="2"/>
      <c r="I734" s="2"/>
      <c r="J734" s="2"/>
      <c r="K734" s="2"/>
      <c r="L734" s="2"/>
      <c r="M734" s="320"/>
      <c r="N734" s="2"/>
      <c r="O734" s="2"/>
      <c r="P734" s="2"/>
      <c r="Q734" s="4"/>
      <c r="R734" s="2"/>
      <c r="S734" s="2"/>
      <c r="U734" s="2"/>
      <c r="CI734" s="321"/>
    </row>
    <row r="735">
      <c r="A735" s="2"/>
      <c r="B735" s="2"/>
      <c r="C735" s="2"/>
      <c r="D735" s="2"/>
      <c r="E735" s="2"/>
      <c r="F735" s="2"/>
      <c r="G735" s="2"/>
      <c r="H735" s="2"/>
      <c r="I735" s="2"/>
      <c r="J735" s="2"/>
      <c r="K735" s="2"/>
      <c r="L735" s="2"/>
      <c r="M735" s="320"/>
      <c r="N735" s="2"/>
      <c r="O735" s="2"/>
      <c r="P735" s="2"/>
      <c r="Q735" s="4"/>
      <c r="R735" s="2"/>
      <c r="S735" s="2"/>
      <c r="U735" s="2"/>
      <c r="CI735" s="321"/>
    </row>
    <row r="736">
      <c r="A736" s="2"/>
      <c r="B736" s="2"/>
      <c r="C736" s="2"/>
      <c r="D736" s="2"/>
      <c r="E736" s="2"/>
      <c r="F736" s="2"/>
      <c r="G736" s="2"/>
      <c r="H736" s="2"/>
      <c r="I736" s="2"/>
      <c r="J736" s="2"/>
      <c r="K736" s="2"/>
      <c r="L736" s="2"/>
      <c r="M736" s="320"/>
      <c r="N736" s="2"/>
      <c r="O736" s="2"/>
      <c r="P736" s="2"/>
      <c r="Q736" s="4"/>
      <c r="R736" s="2"/>
      <c r="S736" s="2"/>
      <c r="U736" s="2"/>
      <c r="CI736" s="321"/>
    </row>
    <row r="737">
      <c r="A737" s="2"/>
      <c r="B737" s="2"/>
      <c r="C737" s="2"/>
      <c r="D737" s="2"/>
      <c r="E737" s="2"/>
      <c r="F737" s="2"/>
      <c r="G737" s="2"/>
      <c r="H737" s="2"/>
      <c r="I737" s="2"/>
      <c r="J737" s="2"/>
      <c r="K737" s="2"/>
      <c r="L737" s="2"/>
      <c r="M737" s="320"/>
      <c r="N737" s="2"/>
      <c r="O737" s="2"/>
      <c r="P737" s="2"/>
      <c r="Q737" s="4"/>
      <c r="R737" s="2"/>
      <c r="S737" s="2"/>
      <c r="U737" s="2"/>
      <c r="CI737" s="321"/>
    </row>
    <row r="738">
      <c r="A738" s="2"/>
      <c r="B738" s="2"/>
      <c r="C738" s="2"/>
      <c r="D738" s="2"/>
      <c r="E738" s="2"/>
      <c r="F738" s="2"/>
      <c r="G738" s="2"/>
      <c r="H738" s="2"/>
      <c r="I738" s="2"/>
      <c r="J738" s="2"/>
      <c r="K738" s="2"/>
      <c r="L738" s="2"/>
      <c r="M738" s="320"/>
      <c r="N738" s="2"/>
      <c r="O738" s="2"/>
      <c r="P738" s="2"/>
      <c r="Q738" s="4"/>
      <c r="R738" s="2"/>
      <c r="S738" s="2"/>
      <c r="U738" s="2"/>
      <c r="CI738" s="321"/>
    </row>
    <row r="739">
      <c r="A739" s="2"/>
      <c r="B739" s="2"/>
      <c r="C739" s="2"/>
      <c r="D739" s="2"/>
      <c r="E739" s="2"/>
      <c r="F739" s="2"/>
      <c r="G739" s="2"/>
      <c r="H739" s="2"/>
      <c r="I739" s="2"/>
      <c r="J739" s="2"/>
      <c r="K739" s="2"/>
      <c r="L739" s="2"/>
      <c r="M739" s="320"/>
      <c r="N739" s="2"/>
      <c r="O739" s="2"/>
      <c r="P739" s="2"/>
      <c r="Q739" s="4"/>
      <c r="R739" s="2"/>
      <c r="S739" s="2"/>
      <c r="U739" s="2"/>
      <c r="CI739" s="321"/>
    </row>
    <row r="740">
      <c r="A740" s="2"/>
      <c r="B740" s="2"/>
      <c r="C740" s="2"/>
      <c r="D740" s="2"/>
      <c r="E740" s="2"/>
      <c r="F740" s="2"/>
      <c r="G740" s="2"/>
      <c r="H740" s="2"/>
      <c r="I740" s="2"/>
      <c r="J740" s="2"/>
      <c r="K740" s="2"/>
      <c r="L740" s="2"/>
      <c r="M740" s="320"/>
      <c r="N740" s="2"/>
      <c r="O740" s="2"/>
      <c r="P740" s="2"/>
      <c r="Q740" s="4"/>
      <c r="R740" s="2"/>
      <c r="S740" s="2"/>
      <c r="U740" s="2"/>
      <c r="CI740" s="321"/>
    </row>
    <row r="741">
      <c r="A741" s="2"/>
      <c r="B741" s="2"/>
      <c r="C741" s="2"/>
      <c r="D741" s="2"/>
      <c r="E741" s="2"/>
      <c r="F741" s="2"/>
      <c r="G741" s="2"/>
      <c r="H741" s="2"/>
      <c r="I741" s="2"/>
      <c r="J741" s="2"/>
      <c r="K741" s="2"/>
      <c r="L741" s="2"/>
      <c r="M741" s="320"/>
      <c r="N741" s="2"/>
      <c r="O741" s="2"/>
      <c r="P741" s="2"/>
      <c r="Q741" s="4"/>
      <c r="R741" s="2"/>
      <c r="S741" s="2"/>
      <c r="U741" s="2"/>
      <c r="CI741" s="321"/>
    </row>
    <row r="742">
      <c r="A742" s="2"/>
      <c r="B742" s="2"/>
      <c r="C742" s="2"/>
      <c r="D742" s="2"/>
      <c r="E742" s="2"/>
      <c r="F742" s="2"/>
      <c r="G742" s="2"/>
      <c r="H742" s="2"/>
      <c r="I742" s="2"/>
      <c r="J742" s="2"/>
      <c r="K742" s="2"/>
      <c r="L742" s="2"/>
      <c r="M742" s="320"/>
      <c r="N742" s="2"/>
      <c r="O742" s="2"/>
      <c r="P742" s="2"/>
      <c r="Q742" s="4"/>
      <c r="R742" s="2"/>
      <c r="S742" s="2"/>
      <c r="U742" s="2"/>
      <c r="CI742" s="321"/>
    </row>
    <row r="743">
      <c r="A743" s="2"/>
      <c r="B743" s="2"/>
      <c r="C743" s="2"/>
      <c r="D743" s="2"/>
      <c r="E743" s="2"/>
      <c r="F743" s="2"/>
      <c r="G743" s="2"/>
      <c r="H743" s="2"/>
      <c r="I743" s="2"/>
      <c r="J743" s="2"/>
      <c r="K743" s="2"/>
      <c r="L743" s="2"/>
      <c r="M743" s="320"/>
      <c r="N743" s="2"/>
      <c r="O743" s="2"/>
      <c r="P743" s="2"/>
      <c r="Q743" s="4"/>
      <c r="R743" s="2"/>
      <c r="S743" s="2"/>
      <c r="U743" s="2"/>
      <c r="CI743" s="321"/>
    </row>
    <row r="744">
      <c r="A744" s="2"/>
      <c r="B744" s="2"/>
      <c r="C744" s="2"/>
      <c r="D744" s="2"/>
      <c r="E744" s="2"/>
      <c r="F744" s="2"/>
      <c r="G744" s="2"/>
      <c r="H744" s="2"/>
      <c r="I744" s="2"/>
      <c r="J744" s="2"/>
      <c r="K744" s="2"/>
      <c r="L744" s="2"/>
      <c r="M744" s="320"/>
      <c r="N744" s="2"/>
      <c r="O744" s="2"/>
      <c r="P744" s="2"/>
      <c r="Q744" s="4"/>
      <c r="R744" s="2"/>
      <c r="S744" s="2"/>
      <c r="U744" s="2"/>
      <c r="CI744" s="321"/>
    </row>
    <row r="745">
      <c r="A745" s="2"/>
      <c r="B745" s="2"/>
      <c r="C745" s="2"/>
      <c r="D745" s="2"/>
      <c r="E745" s="2"/>
      <c r="F745" s="2"/>
      <c r="G745" s="2"/>
      <c r="H745" s="2"/>
      <c r="I745" s="2"/>
      <c r="J745" s="2"/>
      <c r="K745" s="2"/>
      <c r="L745" s="2"/>
      <c r="M745" s="320"/>
      <c r="N745" s="2"/>
      <c r="O745" s="2"/>
      <c r="P745" s="2"/>
      <c r="Q745" s="4"/>
      <c r="R745" s="2"/>
      <c r="S745" s="2"/>
      <c r="U745" s="2"/>
      <c r="CI745" s="321"/>
    </row>
    <row r="746">
      <c r="A746" s="2"/>
      <c r="B746" s="2"/>
      <c r="C746" s="2"/>
      <c r="D746" s="2"/>
      <c r="E746" s="2"/>
      <c r="F746" s="2"/>
      <c r="G746" s="2"/>
      <c r="H746" s="2"/>
      <c r="I746" s="2"/>
      <c r="J746" s="2"/>
      <c r="K746" s="2"/>
      <c r="L746" s="2"/>
      <c r="M746" s="320"/>
      <c r="N746" s="2"/>
      <c r="O746" s="2"/>
      <c r="P746" s="2"/>
      <c r="Q746" s="4"/>
      <c r="R746" s="2"/>
      <c r="S746" s="2"/>
      <c r="U746" s="2"/>
      <c r="CI746" s="321"/>
    </row>
    <row r="747">
      <c r="A747" s="2"/>
      <c r="B747" s="2"/>
      <c r="C747" s="2"/>
      <c r="D747" s="2"/>
      <c r="E747" s="2"/>
      <c r="F747" s="2"/>
      <c r="G747" s="2"/>
      <c r="H747" s="2"/>
      <c r="I747" s="2"/>
      <c r="J747" s="2"/>
      <c r="K747" s="2"/>
      <c r="L747" s="2"/>
      <c r="M747" s="320"/>
      <c r="N747" s="2"/>
      <c r="O747" s="2"/>
      <c r="P747" s="2"/>
      <c r="Q747" s="4"/>
      <c r="R747" s="2"/>
      <c r="S747" s="2"/>
      <c r="U747" s="2"/>
      <c r="CI747" s="321"/>
    </row>
    <row r="748">
      <c r="A748" s="2"/>
      <c r="B748" s="2"/>
      <c r="C748" s="2"/>
      <c r="D748" s="2"/>
      <c r="E748" s="2"/>
      <c r="F748" s="2"/>
      <c r="G748" s="2"/>
      <c r="H748" s="2"/>
      <c r="I748" s="2"/>
      <c r="J748" s="2"/>
      <c r="K748" s="2"/>
      <c r="L748" s="2"/>
      <c r="M748" s="320"/>
      <c r="N748" s="2"/>
      <c r="O748" s="2"/>
      <c r="P748" s="2"/>
      <c r="Q748" s="4"/>
      <c r="R748" s="2"/>
      <c r="S748" s="2"/>
      <c r="U748" s="2"/>
      <c r="CI748" s="321"/>
    </row>
    <row r="749">
      <c r="A749" s="2"/>
      <c r="B749" s="2"/>
      <c r="C749" s="2"/>
      <c r="D749" s="2"/>
      <c r="E749" s="2"/>
      <c r="F749" s="2"/>
      <c r="G749" s="2"/>
      <c r="H749" s="2"/>
      <c r="I749" s="2"/>
      <c r="J749" s="2"/>
      <c r="K749" s="2"/>
      <c r="L749" s="2"/>
      <c r="M749" s="320"/>
      <c r="N749" s="2"/>
      <c r="O749" s="2"/>
      <c r="P749" s="2"/>
      <c r="Q749" s="4"/>
      <c r="R749" s="2"/>
      <c r="S749" s="2"/>
      <c r="U749" s="2"/>
      <c r="CI749" s="321"/>
    </row>
    <row r="750">
      <c r="A750" s="2"/>
      <c r="B750" s="2"/>
      <c r="C750" s="2"/>
      <c r="D750" s="2"/>
      <c r="E750" s="2"/>
      <c r="F750" s="2"/>
      <c r="G750" s="2"/>
      <c r="H750" s="2"/>
      <c r="I750" s="2"/>
      <c r="J750" s="2"/>
      <c r="K750" s="2"/>
      <c r="L750" s="2"/>
      <c r="M750" s="320"/>
      <c r="N750" s="2"/>
      <c r="O750" s="2"/>
      <c r="P750" s="2"/>
      <c r="Q750" s="4"/>
      <c r="R750" s="2"/>
      <c r="S750" s="2"/>
      <c r="U750" s="2"/>
      <c r="CI750" s="321"/>
    </row>
    <row r="751">
      <c r="A751" s="2"/>
      <c r="B751" s="2"/>
      <c r="C751" s="2"/>
      <c r="D751" s="2"/>
      <c r="E751" s="2"/>
      <c r="F751" s="2"/>
      <c r="G751" s="2"/>
      <c r="H751" s="2"/>
      <c r="I751" s="2"/>
      <c r="J751" s="2"/>
      <c r="K751" s="2"/>
      <c r="L751" s="2"/>
      <c r="M751" s="320"/>
      <c r="N751" s="2"/>
      <c r="O751" s="2"/>
      <c r="P751" s="2"/>
      <c r="Q751" s="4"/>
      <c r="R751" s="2"/>
      <c r="S751" s="2"/>
      <c r="U751" s="2"/>
      <c r="CI751" s="321"/>
    </row>
    <row r="752">
      <c r="A752" s="2"/>
      <c r="B752" s="2"/>
      <c r="C752" s="2"/>
      <c r="D752" s="2"/>
      <c r="E752" s="2"/>
      <c r="F752" s="2"/>
      <c r="G752" s="2"/>
      <c r="H752" s="2"/>
      <c r="I752" s="2"/>
      <c r="J752" s="2"/>
      <c r="K752" s="2"/>
      <c r="L752" s="2"/>
      <c r="M752" s="320"/>
      <c r="N752" s="2"/>
      <c r="O752" s="2"/>
      <c r="P752" s="2"/>
      <c r="Q752" s="4"/>
      <c r="R752" s="2"/>
      <c r="S752" s="2"/>
      <c r="U752" s="2"/>
      <c r="CI752" s="321"/>
    </row>
    <row r="753">
      <c r="A753" s="2"/>
      <c r="B753" s="2"/>
      <c r="C753" s="2"/>
      <c r="D753" s="2"/>
      <c r="E753" s="2"/>
      <c r="F753" s="2"/>
      <c r="G753" s="2"/>
      <c r="H753" s="2"/>
      <c r="I753" s="2"/>
      <c r="J753" s="2"/>
      <c r="K753" s="2"/>
      <c r="L753" s="2"/>
      <c r="M753" s="320"/>
      <c r="N753" s="2"/>
      <c r="O753" s="2"/>
      <c r="P753" s="2"/>
      <c r="Q753" s="4"/>
      <c r="R753" s="2"/>
      <c r="S753" s="2"/>
      <c r="U753" s="2"/>
      <c r="CI753" s="321"/>
    </row>
    <row r="754">
      <c r="A754" s="2"/>
      <c r="B754" s="2"/>
      <c r="C754" s="2"/>
      <c r="D754" s="2"/>
      <c r="E754" s="2"/>
      <c r="F754" s="2"/>
      <c r="G754" s="2"/>
      <c r="H754" s="2"/>
      <c r="I754" s="2"/>
      <c r="J754" s="2"/>
      <c r="K754" s="2"/>
      <c r="L754" s="2"/>
      <c r="M754" s="320"/>
      <c r="N754" s="2"/>
      <c r="O754" s="2"/>
      <c r="P754" s="2"/>
      <c r="Q754" s="4"/>
      <c r="R754" s="2"/>
      <c r="S754" s="2"/>
      <c r="U754" s="2"/>
      <c r="CI754" s="321"/>
    </row>
    <row r="755">
      <c r="A755" s="2"/>
      <c r="B755" s="2"/>
      <c r="C755" s="2"/>
      <c r="D755" s="2"/>
      <c r="E755" s="2"/>
      <c r="F755" s="2"/>
      <c r="G755" s="2"/>
      <c r="H755" s="2"/>
      <c r="I755" s="2"/>
      <c r="J755" s="2"/>
      <c r="K755" s="2"/>
      <c r="L755" s="2"/>
      <c r="M755" s="320"/>
      <c r="N755" s="2"/>
      <c r="O755" s="2"/>
      <c r="P755" s="2"/>
      <c r="Q755" s="4"/>
      <c r="R755" s="2"/>
      <c r="S755" s="2"/>
      <c r="U755" s="2"/>
      <c r="CI755" s="321"/>
    </row>
    <row r="756">
      <c r="A756" s="2"/>
      <c r="B756" s="2"/>
      <c r="C756" s="2"/>
      <c r="D756" s="2"/>
      <c r="E756" s="2"/>
      <c r="F756" s="2"/>
      <c r="G756" s="2"/>
      <c r="H756" s="2"/>
      <c r="I756" s="2"/>
      <c r="J756" s="2"/>
      <c r="K756" s="2"/>
      <c r="L756" s="2"/>
      <c r="M756" s="320"/>
      <c r="N756" s="2"/>
      <c r="O756" s="2"/>
      <c r="P756" s="2"/>
      <c r="Q756" s="4"/>
      <c r="R756" s="2"/>
      <c r="S756" s="2"/>
      <c r="U756" s="2"/>
      <c r="CI756" s="321"/>
    </row>
    <row r="757">
      <c r="A757" s="2"/>
      <c r="B757" s="2"/>
      <c r="C757" s="2"/>
      <c r="D757" s="2"/>
      <c r="E757" s="2"/>
      <c r="F757" s="2"/>
      <c r="G757" s="2"/>
      <c r="H757" s="2"/>
      <c r="I757" s="2"/>
      <c r="J757" s="2"/>
      <c r="K757" s="2"/>
      <c r="L757" s="2"/>
      <c r="M757" s="320"/>
      <c r="N757" s="2"/>
      <c r="O757" s="2"/>
      <c r="P757" s="2"/>
      <c r="Q757" s="4"/>
      <c r="R757" s="2"/>
      <c r="S757" s="2"/>
      <c r="U757" s="2"/>
      <c r="CI757" s="321"/>
    </row>
    <row r="758">
      <c r="A758" s="2"/>
      <c r="B758" s="2"/>
      <c r="C758" s="2"/>
      <c r="D758" s="2"/>
      <c r="E758" s="2"/>
      <c r="F758" s="2"/>
      <c r="G758" s="2"/>
      <c r="H758" s="2"/>
      <c r="I758" s="2"/>
      <c r="J758" s="2"/>
      <c r="K758" s="2"/>
      <c r="L758" s="2"/>
      <c r="M758" s="320"/>
      <c r="N758" s="2"/>
      <c r="O758" s="2"/>
      <c r="P758" s="2"/>
      <c r="Q758" s="4"/>
      <c r="R758" s="2"/>
      <c r="S758" s="2"/>
      <c r="U758" s="2"/>
      <c r="CI758" s="321"/>
    </row>
    <row r="759">
      <c r="A759" s="2"/>
      <c r="B759" s="2"/>
      <c r="C759" s="2"/>
      <c r="D759" s="2"/>
      <c r="E759" s="2"/>
      <c r="F759" s="2"/>
      <c r="G759" s="2"/>
      <c r="H759" s="2"/>
      <c r="I759" s="2"/>
      <c r="J759" s="2"/>
      <c r="K759" s="2"/>
      <c r="L759" s="2"/>
      <c r="M759" s="320"/>
      <c r="N759" s="2"/>
      <c r="O759" s="2"/>
      <c r="P759" s="2"/>
      <c r="Q759" s="4"/>
      <c r="R759" s="2"/>
      <c r="S759" s="2"/>
      <c r="U759" s="2"/>
      <c r="CI759" s="321"/>
    </row>
    <row r="760">
      <c r="A760" s="2"/>
      <c r="B760" s="2"/>
      <c r="C760" s="2"/>
      <c r="D760" s="2"/>
      <c r="E760" s="2"/>
      <c r="F760" s="2"/>
      <c r="G760" s="2"/>
      <c r="H760" s="2"/>
      <c r="I760" s="2"/>
      <c r="J760" s="2"/>
      <c r="K760" s="2"/>
      <c r="L760" s="2"/>
      <c r="M760" s="320"/>
      <c r="N760" s="2"/>
      <c r="O760" s="2"/>
      <c r="P760" s="2"/>
      <c r="Q760" s="4"/>
      <c r="R760" s="2"/>
      <c r="S760" s="2"/>
      <c r="U760" s="2"/>
      <c r="CI760" s="321"/>
    </row>
    <row r="761">
      <c r="A761" s="2"/>
      <c r="B761" s="2"/>
      <c r="C761" s="2"/>
      <c r="D761" s="2"/>
      <c r="E761" s="2"/>
      <c r="F761" s="2"/>
      <c r="G761" s="2"/>
      <c r="H761" s="2"/>
      <c r="I761" s="2"/>
      <c r="J761" s="2"/>
      <c r="K761" s="2"/>
      <c r="L761" s="2"/>
      <c r="M761" s="320"/>
      <c r="N761" s="2"/>
      <c r="O761" s="2"/>
      <c r="P761" s="2"/>
      <c r="Q761" s="4"/>
      <c r="R761" s="2"/>
      <c r="S761" s="2"/>
      <c r="U761" s="2"/>
      <c r="CI761" s="321"/>
    </row>
    <row r="762">
      <c r="A762" s="2"/>
      <c r="B762" s="2"/>
      <c r="C762" s="2"/>
      <c r="D762" s="2"/>
      <c r="E762" s="2"/>
      <c r="F762" s="2"/>
      <c r="G762" s="2"/>
      <c r="H762" s="2"/>
      <c r="I762" s="2"/>
      <c r="J762" s="2"/>
      <c r="K762" s="2"/>
      <c r="L762" s="2"/>
      <c r="M762" s="320"/>
      <c r="N762" s="2"/>
      <c r="O762" s="2"/>
      <c r="P762" s="2"/>
      <c r="Q762" s="4"/>
      <c r="R762" s="2"/>
      <c r="S762" s="2"/>
      <c r="U762" s="2"/>
      <c r="CI762" s="321"/>
    </row>
    <row r="763">
      <c r="A763" s="2"/>
      <c r="B763" s="2"/>
      <c r="C763" s="2"/>
      <c r="D763" s="2"/>
      <c r="E763" s="2"/>
      <c r="F763" s="2"/>
      <c r="G763" s="2"/>
      <c r="H763" s="2"/>
      <c r="I763" s="2"/>
      <c r="J763" s="2"/>
      <c r="K763" s="2"/>
      <c r="L763" s="2"/>
      <c r="M763" s="320"/>
      <c r="N763" s="2"/>
      <c r="O763" s="2"/>
      <c r="P763" s="2"/>
      <c r="Q763" s="4"/>
      <c r="R763" s="2"/>
      <c r="S763" s="2"/>
      <c r="U763" s="2"/>
      <c r="CI763" s="321"/>
    </row>
    <row r="764">
      <c r="A764" s="2"/>
      <c r="B764" s="2"/>
      <c r="C764" s="2"/>
      <c r="D764" s="2"/>
      <c r="E764" s="2"/>
      <c r="F764" s="2"/>
      <c r="G764" s="2"/>
      <c r="H764" s="2"/>
      <c r="I764" s="2"/>
      <c r="J764" s="2"/>
      <c r="K764" s="2"/>
      <c r="L764" s="2"/>
      <c r="M764" s="320"/>
      <c r="N764" s="2"/>
      <c r="O764" s="2"/>
      <c r="P764" s="2"/>
      <c r="Q764" s="4"/>
      <c r="R764" s="2"/>
      <c r="S764" s="2"/>
      <c r="U764" s="2"/>
      <c r="CI764" s="321"/>
    </row>
    <row r="765">
      <c r="A765" s="2"/>
      <c r="B765" s="2"/>
      <c r="C765" s="2"/>
      <c r="D765" s="2"/>
      <c r="E765" s="2"/>
      <c r="F765" s="2"/>
      <c r="G765" s="2"/>
      <c r="H765" s="2"/>
      <c r="I765" s="2"/>
      <c r="J765" s="2"/>
      <c r="K765" s="2"/>
      <c r="L765" s="2"/>
      <c r="M765" s="320"/>
      <c r="N765" s="2"/>
      <c r="O765" s="2"/>
      <c r="P765" s="2"/>
      <c r="Q765" s="4"/>
      <c r="R765" s="2"/>
      <c r="S765" s="2"/>
      <c r="U765" s="2"/>
      <c r="CI765" s="321"/>
    </row>
    <row r="766">
      <c r="A766" s="2"/>
      <c r="B766" s="2"/>
      <c r="C766" s="2"/>
      <c r="D766" s="2"/>
      <c r="E766" s="2"/>
      <c r="F766" s="2"/>
      <c r="G766" s="2"/>
      <c r="H766" s="2"/>
      <c r="I766" s="2"/>
      <c r="J766" s="2"/>
      <c r="K766" s="2"/>
      <c r="L766" s="2"/>
      <c r="M766" s="320"/>
      <c r="N766" s="2"/>
      <c r="O766" s="2"/>
      <c r="P766" s="2"/>
      <c r="Q766" s="4"/>
      <c r="R766" s="2"/>
      <c r="S766" s="2"/>
      <c r="U766" s="2"/>
      <c r="CI766" s="321"/>
    </row>
    <row r="767">
      <c r="A767" s="2"/>
      <c r="B767" s="2"/>
      <c r="C767" s="2"/>
      <c r="D767" s="2"/>
      <c r="E767" s="2"/>
      <c r="F767" s="2"/>
      <c r="G767" s="2"/>
      <c r="H767" s="2"/>
      <c r="I767" s="2"/>
      <c r="J767" s="2"/>
      <c r="K767" s="2"/>
      <c r="L767" s="2"/>
      <c r="M767" s="320"/>
      <c r="N767" s="2"/>
      <c r="O767" s="2"/>
      <c r="P767" s="2"/>
      <c r="Q767" s="4"/>
      <c r="R767" s="2"/>
      <c r="S767" s="2"/>
      <c r="U767" s="2"/>
      <c r="CI767" s="321"/>
    </row>
    <row r="768">
      <c r="A768" s="2"/>
      <c r="B768" s="2"/>
      <c r="C768" s="2"/>
      <c r="D768" s="2"/>
      <c r="E768" s="2"/>
      <c r="F768" s="2"/>
      <c r="G768" s="2"/>
      <c r="H768" s="2"/>
      <c r="I768" s="2"/>
      <c r="J768" s="2"/>
      <c r="K768" s="2"/>
      <c r="L768" s="2"/>
      <c r="M768" s="320"/>
      <c r="N768" s="2"/>
      <c r="O768" s="2"/>
      <c r="P768" s="2"/>
      <c r="Q768" s="4"/>
      <c r="R768" s="2"/>
      <c r="S768" s="2"/>
      <c r="U768" s="2"/>
      <c r="CI768" s="321"/>
    </row>
    <row r="769">
      <c r="A769" s="2"/>
      <c r="B769" s="2"/>
      <c r="C769" s="2"/>
      <c r="D769" s="2"/>
      <c r="E769" s="2"/>
      <c r="F769" s="2"/>
      <c r="G769" s="2"/>
      <c r="H769" s="2"/>
      <c r="I769" s="2"/>
      <c r="J769" s="2"/>
      <c r="K769" s="2"/>
      <c r="L769" s="2"/>
      <c r="M769" s="320"/>
      <c r="N769" s="2"/>
      <c r="O769" s="2"/>
      <c r="P769" s="2"/>
      <c r="Q769" s="4"/>
      <c r="R769" s="2"/>
      <c r="S769" s="2"/>
      <c r="U769" s="2"/>
      <c r="CI769" s="321"/>
    </row>
    <row r="770">
      <c r="A770" s="2"/>
      <c r="B770" s="2"/>
      <c r="C770" s="2"/>
      <c r="D770" s="2"/>
      <c r="E770" s="2"/>
      <c r="F770" s="2"/>
      <c r="G770" s="2"/>
      <c r="H770" s="2"/>
      <c r="I770" s="2"/>
      <c r="J770" s="2"/>
      <c r="K770" s="2"/>
      <c r="L770" s="2"/>
      <c r="M770" s="320"/>
      <c r="N770" s="2"/>
      <c r="O770" s="2"/>
      <c r="P770" s="2"/>
      <c r="Q770" s="4"/>
      <c r="R770" s="2"/>
      <c r="S770" s="2"/>
      <c r="U770" s="2"/>
      <c r="CI770" s="321"/>
    </row>
    <row r="771">
      <c r="A771" s="2"/>
      <c r="B771" s="2"/>
      <c r="C771" s="2"/>
      <c r="D771" s="2"/>
      <c r="E771" s="2"/>
      <c r="F771" s="2"/>
      <c r="G771" s="2"/>
      <c r="H771" s="2"/>
      <c r="I771" s="2"/>
      <c r="J771" s="2"/>
      <c r="K771" s="2"/>
      <c r="L771" s="2"/>
      <c r="M771" s="320"/>
      <c r="N771" s="2"/>
      <c r="O771" s="2"/>
      <c r="P771" s="2"/>
      <c r="Q771" s="4"/>
      <c r="R771" s="2"/>
      <c r="S771" s="2"/>
      <c r="U771" s="2"/>
      <c r="CI771" s="321"/>
    </row>
    <row r="772">
      <c r="A772" s="2"/>
      <c r="B772" s="2"/>
      <c r="C772" s="2"/>
      <c r="D772" s="2"/>
      <c r="E772" s="2"/>
      <c r="F772" s="2"/>
      <c r="G772" s="2"/>
      <c r="H772" s="2"/>
      <c r="I772" s="2"/>
      <c r="J772" s="2"/>
      <c r="K772" s="2"/>
      <c r="L772" s="2"/>
      <c r="M772" s="320"/>
      <c r="N772" s="2"/>
      <c r="O772" s="2"/>
      <c r="P772" s="2"/>
      <c r="Q772" s="4"/>
      <c r="R772" s="2"/>
      <c r="S772" s="2"/>
      <c r="U772" s="2"/>
      <c r="CI772" s="321"/>
    </row>
    <row r="773">
      <c r="A773" s="2"/>
      <c r="B773" s="2"/>
      <c r="C773" s="2"/>
      <c r="D773" s="2"/>
      <c r="E773" s="2"/>
      <c r="F773" s="2"/>
      <c r="G773" s="2"/>
      <c r="H773" s="2"/>
      <c r="I773" s="2"/>
      <c r="J773" s="2"/>
      <c r="K773" s="2"/>
      <c r="L773" s="2"/>
      <c r="M773" s="320"/>
      <c r="N773" s="2"/>
      <c r="O773" s="2"/>
      <c r="P773" s="2"/>
      <c r="Q773" s="4"/>
      <c r="R773" s="2"/>
      <c r="S773" s="2"/>
      <c r="U773" s="2"/>
      <c r="CI773" s="321"/>
    </row>
    <row r="774">
      <c r="A774" s="2"/>
      <c r="B774" s="2"/>
      <c r="C774" s="2"/>
      <c r="D774" s="2"/>
      <c r="E774" s="2"/>
      <c r="F774" s="2"/>
      <c r="G774" s="2"/>
      <c r="H774" s="2"/>
      <c r="I774" s="2"/>
      <c r="J774" s="2"/>
      <c r="K774" s="2"/>
      <c r="L774" s="2"/>
      <c r="M774" s="320"/>
      <c r="N774" s="2"/>
      <c r="O774" s="2"/>
      <c r="P774" s="2"/>
      <c r="Q774" s="4"/>
      <c r="R774" s="2"/>
      <c r="S774" s="2"/>
      <c r="U774" s="2"/>
      <c r="CI774" s="321"/>
    </row>
    <row r="775">
      <c r="A775" s="2"/>
      <c r="B775" s="2"/>
      <c r="C775" s="2"/>
      <c r="D775" s="2"/>
      <c r="E775" s="2"/>
      <c r="F775" s="2"/>
      <c r="G775" s="2"/>
      <c r="H775" s="2"/>
      <c r="I775" s="2"/>
      <c r="J775" s="2"/>
      <c r="K775" s="2"/>
      <c r="L775" s="2"/>
      <c r="M775" s="320"/>
      <c r="N775" s="2"/>
      <c r="O775" s="2"/>
      <c r="P775" s="2"/>
      <c r="Q775" s="4"/>
      <c r="R775" s="2"/>
      <c r="S775" s="2"/>
      <c r="U775" s="2"/>
      <c r="CI775" s="321"/>
    </row>
    <row r="776">
      <c r="A776" s="2"/>
      <c r="B776" s="2"/>
      <c r="C776" s="2"/>
      <c r="D776" s="2"/>
      <c r="E776" s="2"/>
      <c r="F776" s="2"/>
      <c r="G776" s="2"/>
      <c r="H776" s="2"/>
      <c r="I776" s="2"/>
      <c r="J776" s="2"/>
      <c r="K776" s="2"/>
      <c r="L776" s="2"/>
      <c r="M776" s="320"/>
      <c r="N776" s="2"/>
      <c r="O776" s="2"/>
      <c r="P776" s="2"/>
      <c r="Q776" s="4"/>
      <c r="R776" s="2"/>
      <c r="S776" s="2"/>
      <c r="U776" s="2"/>
      <c r="CI776" s="321"/>
    </row>
    <row r="777">
      <c r="A777" s="2"/>
      <c r="B777" s="2"/>
      <c r="C777" s="2"/>
      <c r="D777" s="2"/>
      <c r="E777" s="2"/>
      <c r="F777" s="2"/>
      <c r="G777" s="2"/>
      <c r="H777" s="2"/>
      <c r="I777" s="2"/>
      <c r="J777" s="2"/>
      <c r="K777" s="2"/>
      <c r="L777" s="2"/>
      <c r="M777" s="320"/>
      <c r="N777" s="2"/>
      <c r="O777" s="2"/>
      <c r="P777" s="2"/>
      <c r="Q777" s="4"/>
      <c r="R777" s="2"/>
      <c r="S777" s="2"/>
      <c r="U777" s="2"/>
      <c r="CI777" s="321"/>
    </row>
    <row r="778">
      <c r="A778" s="2"/>
      <c r="B778" s="2"/>
      <c r="C778" s="2"/>
      <c r="D778" s="2"/>
      <c r="E778" s="2"/>
      <c r="F778" s="2"/>
      <c r="G778" s="2"/>
      <c r="H778" s="2"/>
      <c r="I778" s="2"/>
      <c r="J778" s="2"/>
      <c r="K778" s="2"/>
      <c r="L778" s="2"/>
      <c r="M778" s="320"/>
      <c r="N778" s="2"/>
      <c r="O778" s="2"/>
      <c r="P778" s="2"/>
      <c r="Q778" s="4"/>
      <c r="R778" s="2"/>
      <c r="S778" s="2"/>
      <c r="U778" s="2"/>
      <c r="CI778" s="321"/>
    </row>
    <row r="779">
      <c r="A779" s="2"/>
      <c r="B779" s="2"/>
      <c r="C779" s="2"/>
      <c r="D779" s="2"/>
      <c r="E779" s="2"/>
      <c r="F779" s="2"/>
      <c r="G779" s="2"/>
      <c r="H779" s="2"/>
      <c r="I779" s="2"/>
      <c r="J779" s="2"/>
      <c r="K779" s="2"/>
      <c r="L779" s="2"/>
      <c r="M779" s="320"/>
      <c r="N779" s="2"/>
      <c r="O779" s="2"/>
      <c r="P779" s="2"/>
      <c r="Q779" s="4"/>
      <c r="R779" s="2"/>
      <c r="S779" s="2"/>
      <c r="U779" s="2"/>
      <c r="CI779" s="321"/>
    </row>
    <row r="780">
      <c r="A780" s="2"/>
      <c r="B780" s="2"/>
      <c r="C780" s="2"/>
      <c r="D780" s="2"/>
      <c r="E780" s="2"/>
      <c r="F780" s="2"/>
      <c r="G780" s="2"/>
      <c r="H780" s="2"/>
      <c r="I780" s="2"/>
      <c r="J780" s="2"/>
      <c r="K780" s="2"/>
      <c r="L780" s="2"/>
      <c r="M780" s="320"/>
      <c r="N780" s="2"/>
      <c r="O780" s="2"/>
      <c r="P780" s="2"/>
      <c r="Q780" s="4"/>
      <c r="R780" s="2"/>
      <c r="S780" s="2"/>
      <c r="U780" s="2"/>
      <c r="CI780" s="321"/>
    </row>
    <row r="781">
      <c r="A781" s="2"/>
      <c r="B781" s="2"/>
      <c r="C781" s="2"/>
      <c r="D781" s="2"/>
      <c r="E781" s="2"/>
      <c r="F781" s="2"/>
      <c r="G781" s="2"/>
      <c r="H781" s="2"/>
      <c r="I781" s="2"/>
      <c r="J781" s="2"/>
      <c r="K781" s="2"/>
      <c r="L781" s="2"/>
      <c r="M781" s="320"/>
      <c r="N781" s="2"/>
      <c r="O781" s="2"/>
      <c r="P781" s="2"/>
      <c r="Q781" s="4"/>
      <c r="R781" s="2"/>
      <c r="S781" s="2"/>
      <c r="U781" s="2"/>
      <c r="CI781" s="321"/>
    </row>
    <row r="782">
      <c r="A782" s="2"/>
      <c r="B782" s="2"/>
      <c r="C782" s="2"/>
      <c r="D782" s="2"/>
      <c r="E782" s="2"/>
      <c r="F782" s="2"/>
      <c r="G782" s="2"/>
      <c r="H782" s="2"/>
      <c r="I782" s="2"/>
      <c r="J782" s="2"/>
      <c r="K782" s="2"/>
      <c r="L782" s="2"/>
      <c r="M782" s="320"/>
      <c r="N782" s="2"/>
      <c r="O782" s="2"/>
      <c r="P782" s="2"/>
      <c r="Q782" s="4"/>
      <c r="R782" s="2"/>
      <c r="S782" s="2"/>
      <c r="U782" s="2"/>
      <c r="CI782" s="321"/>
    </row>
    <row r="783">
      <c r="A783" s="2"/>
      <c r="B783" s="2"/>
      <c r="C783" s="2"/>
      <c r="D783" s="2"/>
      <c r="E783" s="2"/>
      <c r="F783" s="2"/>
      <c r="G783" s="2"/>
      <c r="H783" s="2"/>
      <c r="I783" s="2"/>
      <c r="J783" s="2"/>
      <c r="K783" s="2"/>
      <c r="L783" s="2"/>
      <c r="M783" s="320"/>
      <c r="N783" s="2"/>
      <c r="O783" s="2"/>
      <c r="P783" s="2"/>
      <c r="Q783" s="4"/>
      <c r="R783" s="2"/>
      <c r="S783" s="2"/>
      <c r="U783" s="2"/>
      <c r="CI783" s="321"/>
    </row>
    <row r="784">
      <c r="A784" s="2"/>
      <c r="B784" s="2"/>
      <c r="C784" s="2"/>
      <c r="D784" s="2"/>
      <c r="E784" s="2"/>
      <c r="F784" s="2"/>
      <c r="G784" s="2"/>
      <c r="H784" s="2"/>
      <c r="I784" s="2"/>
      <c r="J784" s="2"/>
      <c r="K784" s="2"/>
      <c r="L784" s="2"/>
      <c r="M784" s="320"/>
      <c r="N784" s="2"/>
      <c r="O784" s="2"/>
      <c r="P784" s="2"/>
      <c r="Q784" s="4"/>
      <c r="R784" s="2"/>
      <c r="S784" s="2"/>
      <c r="U784" s="2"/>
      <c r="CI784" s="321"/>
    </row>
    <row r="785">
      <c r="A785" s="2"/>
      <c r="B785" s="2"/>
      <c r="C785" s="2"/>
      <c r="D785" s="2"/>
      <c r="E785" s="2"/>
      <c r="F785" s="2"/>
      <c r="G785" s="2"/>
      <c r="H785" s="2"/>
      <c r="I785" s="2"/>
      <c r="J785" s="2"/>
      <c r="K785" s="2"/>
      <c r="L785" s="2"/>
      <c r="M785" s="320"/>
      <c r="N785" s="2"/>
      <c r="O785" s="2"/>
      <c r="P785" s="2"/>
      <c r="Q785" s="4"/>
      <c r="R785" s="2"/>
      <c r="S785" s="2"/>
      <c r="U785" s="2"/>
      <c r="CI785" s="321"/>
    </row>
    <row r="786">
      <c r="A786" s="2"/>
      <c r="B786" s="2"/>
      <c r="C786" s="2"/>
      <c r="D786" s="2"/>
      <c r="E786" s="2"/>
      <c r="F786" s="2"/>
      <c r="G786" s="2"/>
      <c r="H786" s="2"/>
      <c r="I786" s="2"/>
      <c r="J786" s="2"/>
      <c r="K786" s="2"/>
      <c r="L786" s="2"/>
      <c r="M786" s="320"/>
      <c r="N786" s="2"/>
      <c r="O786" s="2"/>
      <c r="P786" s="2"/>
      <c r="Q786" s="4"/>
      <c r="R786" s="2"/>
      <c r="S786" s="2"/>
      <c r="U786" s="2"/>
      <c r="CI786" s="321"/>
    </row>
    <row r="787">
      <c r="A787" s="2"/>
      <c r="B787" s="2"/>
      <c r="C787" s="2"/>
      <c r="D787" s="2"/>
      <c r="E787" s="2"/>
      <c r="F787" s="2"/>
      <c r="G787" s="2"/>
      <c r="H787" s="2"/>
      <c r="I787" s="2"/>
      <c r="J787" s="2"/>
      <c r="K787" s="2"/>
      <c r="L787" s="2"/>
      <c r="M787" s="320"/>
      <c r="N787" s="2"/>
      <c r="O787" s="2"/>
      <c r="P787" s="2"/>
      <c r="Q787" s="4"/>
      <c r="R787" s="2"/>
      <c r="S787" s="2"/>
      <c r="U787" s="2"/>
      <c r="CI787" s="321"/>
    </row>
    <row r="788">
      <c r="A788" s="2"/>
      <c r="B788" s="2"/>
      <c r="C788" s="2"/>
      <c r="D788" s="2"/>
      <c r="E788" s="2"/>
      <c r="F788" s="2"/>
      <c r="G788" s="2"/>
      <c r="H788" s="2"/>
      <c r="I788" s="2"/>
      <c r="J788" s="2"/>
      <c r="K788" s="2"/>
      <c r="L788" s="2"/>
      <c r="M788" s="320"/>
      <c r="N788" s="2"/>
      <c r="O788" s="2"/>
      <c r="P788" s="2"/>
      <c r="Q788" s="4"/>
      <c r="R788" s="2"/>
      <c r="S788" s="2"/>
      <c r="U788" s="2"/>
      <c r="CI788" s="321"/>
    </row>
    <row r="789">
      <c r="A789" s="2"/>
      <c r="B789" s="2"/>
      <c r="C789" s="2"/>
      <c r="D789" s="2"/>
      <c r="E789" s="2"/>
      <c r="F789" s="2"/>
      <c r="G789" s="2"/>
      <c r="H789" s="2"/>
      <c r="I789" s="2"/>
      <c r="J789" s="2"/>
      <c r="K789" s="2"/>
      <c r="L789" s="2"/>
      <c r="M789" s="320"/>
      <c r="N789" s="2"/>
      <c r="O789" s="2"/>
      <c r="P789" s="2"/>
      <c r="Q789" s="4"/>
      <c r="R789" s="2"/>
      <c r="S789" s="2"/>
      <c r="U789" s="2"/>
      <c r="CI789" s="321"/>
    </row>
    <row r="790">
      <c r="A790" s="2"/>
      <c r="B790" s="2"/>
      <c r="C790" s="2"/>
      <c r="D790" s="2"/>
      <c r="E790" s="2"/>
      <c r="F790" s="2"/>
      <c r="G790" s="2"/>
      <c r="H790" s="2"/>
      <c r="I790" s="2"/>
      <c r="J790" s="2"/>
      <c r="K790" s="2"/>
      <c r="L790" s="2"/>
      <c r="M790" s="320"/>
      <c r="N790" s="2"/>
      <c r="O790" s="2"/>
      <c r="P790" s="2"/>
      <c r="Q790" s="4"/>
      <c r="R790" s="2"/>
      <c r="S790" s="2"/>
      <c r="U790" s="2"/>
      <c r="CI790" s="321"/>
    </row>
    <row r="791">
      <c r="A791" s="2"/>
      <c r="B791" s="2"/>
      <c r="C791" s="2"/>
      <c r="D791" s="2"/>
      <c r="E791" s="2"/>
      <c r="F791" s="2"/>
      <c r="G791" s="2"/>
      <c r="H791" s="2"/>
      <c r="I791" s="2"/>
      <c r="J791" s="2"/>
      <c r="K791" s="2"/>
      <c r="L791" s="2"/>
      <c r="M791" s="320"/>
      <c r="N791" s="2"/>
      <c r="O791" s="2"/>
      <c r="P791" s="2"/>
      <c r="Q791" s="4"/>
      <c r="R791" s="2"/>
      <c r="S791" s="2"/>
      <c r="U791" s="2"/>
      <c r="CI791" s="321"/>
    </row>
    <row r="792">
      <c r="A792" s="2"/>
      <c r="B792" s="2"/>
      <c r="C792" s="2"/>
      <c r="D792" s="2"/>
      <c r="E792" s="2"/>
      <c r="F792" s="2"/>
      <c r="G792" s="2"/>
      <c r="H792" s="2"/>
      <c r="I792" s="2"/>
      <c r="J792" s="2"/>
      <c r="K792" s="2"/>
      <c r="L792" s="2"/>
      <c r="M792" s="320"/>
      <c r="N792" s="2"/>
      <c r="O792" s="2"/>
      <c r="P792" s="2"/>
      <c r="Q792" s="4"/>
      <c r="R792" s="2"/>
      <c r="S792" s="2"/>
      <c r="U792" s="2"/>
      <c r="CI792" s="321"/>
    </row>
    <row r="793">
      <c r="A793" s="2"/>
      <c r="B793" s="2"/>
      <c r="C793" s="2"/>
      <c r="D793" s="2"/>
      <c r="E793" s="2"/>
      <c r="F793" s="2"/>
      <c r="G793" s="2"/>
      <c r="H793" s="2"/>
      <c r="I793" s="2"/>
      <c r="J793" s="2"/>
      <c r="K793" s="2"/>
      <c r="L793" s="2"/>
      <c r="M793" s="320"/>
      <c r="N793" s="2"/>
      <c r="O793" s="2"/>
      <c r="P793" s="2"/>
      <c r="Q793" s="4"/>
      <c r="R793" s="2"/>
      <c r="S793" s="2"/>
      <c r="U793" s="2"/>
      <c r="CI793" s="321"/>
    </row>
    <row r="794">
      <c r="A794" s="2"/>
      <c r="B794" s="2"/>
      <c r="C794" s="2"/>
      <c r="D794" s="2"/>
      <c r="E794" s="2"/>
      <c r="F794" s="2"/>
      <c r="G794" s="2"/>
      <c r="H794" s="2"/>
      <c r="I794" s="2"/>
      <c r="J794" s="2"/>
      <c r="K794" s="2"/>
      <c r="L794" s="2"/>
      <c r="M794" s="320"/>
      <c r="N794" s="2"/>
      <c r="O794" s="2"/>
      <c r="P794" s="2"/>
      <c r="Q794" s="4"/>
      <c r="R794" s="2"/>
      <c r="S794" s="2"/>
      <c r="U794" s="2"/>
      <c r="CI794" s="321"/>
    </row>
    <row r="795">
      <c r="A795" s="2"/>
      <c r="B795" s="2"/>
      <c r="C795" s="2"/>
      <c r="D795" s="2"/>
      <c r="E795" s="2"/>
      <c r="F795" s="2"/>
      <c r="G795" s="2"/>
      <c r="H795" s="2"/>
      <c r="I795" s="2"/>
      <c r="J795" s="2"/>
      <c r="K795" s="2"/>
      <c r="L795" s="2"/>
      <c r="M795" s="320"/>
      <c r="N795" s="2"/>
      <c r="O795" s="2"/>
      <c r="P795" s="2"/>
      <c r="Q795" s="4"/>
      <c r="R795" s="2"/>
      <c r="S795" s="2"/>
      <c r="U795" s="2"/>
      <c r="CI795" s="321"/>
    </row>
    <row r="796">
      <c r="A796" s="2"/>
      <c r="B796" s="2"/>
      <c r="C796" s="2"/>
      <c r="D796" s="2"/>
      <c r="E796" s="2"/>
      <c r="F796" s="2"/>
      <c r="G796" s="2"/>
      <c r="H796" s="2"/>
      <c r="I796" s="2"/>
      <c r="J796" s="2"/>
      <c r="K796" s="2"/>
      <c r="L796" s="2"/>
      <c r="M796" s="320"/>
      <c r="N796" s="2"/>
      <c r="O796" s="2"/>
      <c r="P796" s="2"/>
      <c r="Q796" s="4"/>
      <c r="R796" s="2"/>
      <c r="S796" s="2"/>
      <c r="U796" s="2"/>
      <c r="CI796" s="321"/>
    </row>
    <row r="797">
      <c r="A797" s="2"/>
      <c r="B797" s="2"/>
      <c r="C797" s="2"/>
      <c r="D797" s="2"/>
      <c r="E797" s="2"/>
      <c r="F797" s="2"/>
      <c r="G797" s="2"/>
      <c r="H797" s="2"/>
      <c r="I797" s="2"/>
      <c r="J797" s="2"/>
      <c r="K797" s="2"/>
      <c r="L797" s="2"/>
      <c r="M797" s="320"/>
      <c r="N797" s="2"/>
      <c r="O797" s="2"/>
      <c r="P797" s="2"/>
      <c r="Q797" s="4"/>
      <c r="R797" s="2"/>
      <c r="S797" s="2"/>
      <c r="U797" s="2"/>
      <c r="CI797" s="321"/>
    </row>
    <row r="798">
      <c r="A798" s="2"/>
      <c r="B798" s="2"/>
      <c r="C798" s="2"/>
      <c r="D798" s="2"/>
      <c r="E798" s="2"/>
      <c r="F798" s="2"/>
      <c r="G798" s="2"/>
      <c r="H798" s="2"/>
      <c r="I798" s="2"/>
      <c r="J798" s="2"/>
      <c r="K798" s="2"/>
      <c r="L798" s="2"/>
      <c r="M798" s="320"/>
      <c r="N798" s="2"/>
      <c r="O798" s="2"/>
      <c r="P798" s="2"/>
      <c r="Q798" s="4"/>
      <c r="R798" s="2"/>
      <c r="S798" s="2"/>
      <c r="U798" s="2"/>
      <c r="CI798" s="321"/>
    </row>
    <row r="799">
      <c r="A799" s="2"/>
      <c r="B799" s="2"/>
      <c r="C799" s="2"/>
      <c r="D799" s="2"/>
      <c r="E799" s="2"/>
      <c r="F799" s="2"/>
      <c r="G799" s="2"/>
      <c r="H799" s="2"/>
      <c r="I799" s="2"/>
      <c r="J799" s="2"/>
      <c r="K799" s="2"/>
      <c r="L799" s="2"/>
      <c r="M799" s="320"/>
      <c r="N799" s="2"/>
      <c r="O799" s="2"/>
      <c r="P799" s="2"/>
      <c r="Q799" s="4"/>
      <c r="R799" s="2"/>
      <c r="S799" s="2"/>
      <c r="U799" s="2"/>
      <c r="CI799" s="321"/>
    </row>
    <row r="800">
      <c r="A800" s="2"/>
      <c r="B800" s="2"/>
      <c r="C800" s="2"/>
      <c r="D800" s="2"/>
      <c r="E800" s="2"/>
      <c r="F800" s="2"/>
      <c r="G800" s="2"/>
      <c r="H800" s="2"/>
      <c r="I800" s="2"/>
      <c r="J800" s="2"/>
      <c r="K800" s="2"/>
      <c r="L800" s="2"/>
      <c r="M800" s="320"/>
      <c r="N800" s="2"/>
      <c r="O800" s="2"/>
      <c r="P800" s="2"/>
      <c r="Q800" s="4"/>
      <c r="R800" s="2"/>
      <c r="S800" s="2"/>
      <c r="U800" s="2"/>
      <c r="CI800" s="321"/>
    </row>
    <row r="801">
      <c r="A801" s="2"/>
      <c r="B801" s="2"/>
      <c r="C801" s="2"/>
      <c r="D801" s="2"/>
      <c r="E801" s="2"/>
      <c r="F801" s="2"/>
      <c r="G801" s="2"/>
      <c r="H801" s="2"/>
      <c r="I801" s="2"/>
      <c r="J801" s="2"/>
      <c r="K801" s="2"/>
      <c r="L801" s="2"/>
      <c r="M801" s="320"/>
      <c r="N801" s="2"/>
      <c r="O801" s="2"/>
      <c r="P801" s="2"/>
      <c r="Q801" s="4"/>
      <c r="R801" s="2"/>
      <c r="S801" s="2"/>
      <c r="U801" s="2"/>
      <c r="CI801" s="321"/>
    </row>
    <row r="802">
      <c r="A802" s="2"/>
      <c r="B802" s="2"/>
      <c r="C802" s="2"/>
      <c r="D802" s="2"/>
      <c r="E802" s="2"/>
      <c r="F802" s="2"/>
      <c r="G802" s="2"/>
      <c r="H802" s="2"/>
      <c r="I802" s="2"/>
      <c r="J802" s="2"/>
      <c r="K802" s="2"/>
      <c r="L802" s="2"/>
      <c r="M802" s="320"/>
      <c r="N802" s="2"/>
      <c r="O802" s="2"/>
      <c r="P802" s="2"/>
      <c r="Q802" s="4"/>
      <c r="R802" s="2"/>
      <c r="S802" s="2"/>
      <c r="U802" s="2"/>
      <c r="CI802" s="321"/>
    </row>
    <row r="803">
      <c r="A803" s="2"/>
      <c r="B803" s="2"/>
      <c r="C803" s="2"/>
      <c r="D803" s="2"/>
      <c r="E803" s="2"/>
      <c r="F803" s="2"/>
      <c r="G803" s="2"/>
      <c r="H803" s="2"/>
      <c r="I803" s="2"/>
      <c r="J803" s="2"/>
      <c r="K803" s="2"/>
      <c r="L803" s="2"/>
      <c r="M803" s="320"/>
      <c r="N803" s="2"/>
      <c r="O803" s="2"/>
      <c r="P803" s="2"/>
      <c r="Q803" s="4"/>
      <c r="R803" s="2"/>
      <c r="S803" s="2"/>
      <c r="U803" s="2"/>
      <c r="CI803" s="321"/>
    </row>
    <row r="804">
      <c r="A804" s="2"/>
      <c r="B804" s="2"/>
      <c r="C804" s="2"/>
      <c r="D804" s="2"/>
      <c r="E804" s="2"/>
      <c r="F804" s="2"/>
      <c r="G804" s="2"/>
      <c r="H804" s="2"/>
      <c r="I804" s="2"/>
      <c r="J804" s="2"/>
      <c r="K804" s="2"/>
      <c r="L804" s="2"/>
      <c r="M804" s="320"/>
      <c r="N804" s="2"/>
      <c r="O804" s="2"/>
      <c r="P804" s="2"/>
      <c r="Q804" s="4"/>
      <c r="R804" s="2"/>
      <c r="S804" s="2"/>
      <c r="U804" s="2"/>
      <c r="CI804" s="321"/>
    </row>
    <row r="805">
      <c r="A805" s="2"/>
      <c r="B805" s="2"/>
      <c r="C805" s="2"/>
      <c r="D805" s="2"/>
      <c r="E805" s="2"/>
      <c r="F805" s="2"/>
      <c r="G805" s="2"/>
      <c r="H805" s="2"/>
      <c r="I805" s="2"/>
      <c r="J805" s="2"/>
      <c r="K805" s="2"/>
      <c r="L805" s="2"/>
      <c r="M805" s="320"/>
      <c r="N805" s="2"/>
      <c r="O805" s="2"/>
      <c r="P805" s="2"/>
      <c r="Q805" s="4"/>
      <c r="R805" s="2"/>
      <c r="S805" s="2"/>
      <c r="U805" s="2"/>
      <c r="CI805" s="321"/>
    </row>
    <row r="806">
      <c r="A806" s="2"/>
      <c r="B806" s="2"/>
      <c r="C806" s="2"/>
      <c r="D806" s="2"/>
      <c r="E806" s="2"/>
      <c r="F806" s="2"/>
      <c r="G806" s="2"/>
      <c r="H806" s="2"/>
      <c r="I806" s="2"/>
      <c r="J806" s="2"/>
      <c r="K806" s="2"/>
      <c r="L806" s="2"/>
      <c r="M806" s="320"/>
      <c r="N806" s="2"/>
      <c r="O806" s="2"/>
      <c r="P806" s="2"/>
      <c r="Q806" s="4"/>
      <c r="R806" s="2"/>
      <c r="S806" s="2"/>
      <c r="U806" s="2"/>
      <c r="CI806" s="321"/>
    </row>
    <row r="807">
      <c r="A807" s="2"/>
      <c r="B807" s="2"/>
      <c r="C807" s="2"/>
      <c r="D807" s="2"/>
      <c r="E807" s="2"/>
      <c r="F807" s="2"/>
      <c r="G807" s="2"/>
      <c r="H807" s="2"/>
      <c r="I807" s="2"/>
      <c r="J807" s="2"/>
      <c r="K807" s="2"/>
      <c r="L807" s="2"/>
      <c r="M807" s="320"/>
      <c r="N807" s="2"/>
      <c r="O807" s="2"/>
      <c r="P807" s="2"/>
      <c r="Q807" s="4"/>
      <c r="R807" s="2"/>
      <c r="S807" s="2"/>
      <c r="U807" s="2"/>
      <c r="CI807" s="321"/>
    </row>
    <row r="808">
      <c r="A808" s="2"/>
      <c r="B808" s="2"/>
      <c r="C808" s="2"/>
      <c r="D808" s="2"/>
      <c r="E808" s="2"/>
      <c r="F808" s="2"/>
      <c r="G808" s="2"/>
      <c r="H808" s="2"/>
      <c r="I808" s="2"/>
      <c r="J808" s="2"/>
      <c r="K808" s="2"/>
      <c r="L808" s="2"/>
      <c r="M808" s="320"/>
      <c r="N808" s="2"/>
      <c r="O808" s="2"/>
      <c r="P808" s="2"/>
      <c r="Q808" s="4"/>
      <c r="R808" s="2"/>
      <c r="S808" s="2"/>
      <c r="U808" s="2"/>
      <c r="CI808" s="321"/>
    </row>
    <row r="809">
      <c r="A809" s="2"/>
      <c r="B809" s="2"/>
      <c r="C809" s="2"/>
      <c r="D809" s="2"/>
      <c r="E809" s="2"/>
      <c r="F809" s="2"/>
      <c r="G809" s="2"/>
      <c r="H809" s="2"/>
      <c r="I809" s="2"/>
      <c r="J809" s="2"/>
      <c r="K809" s="2"/>
      <c r="L809" s="2"/>
      <c r="M809" s="320"/>
      <c r="N809" s="2"/>
      <c r="O809" s="2"/>
      <c r="P809" s="2"/>
      <c r="Q809" s="4"/>
      <c r="R809" s="2"/>
      <c r="S809" s="2"/>
      <c r="U809" s="2"/>
      <c r="CI809" s="321"/>
    </row>
    <row r="810">
      <c r="A810" s="2"/>
      <c r="B810" s="2"/>
      <c r="C810" s="2"/>
      <c r="D810" s="2"/>
      <c r="E810" s="2"/>
      <c r="F810" s="2"/>
      <c r="G810" s="2"/>
      <c r="H810" s="2"/>
      <c r="I810" s="2"/>
      <c r="J810" s="2"/>
      <c r="K810" s="2"/>
      <c r="L810" s="2"/>
      <c r="M810" s="320"/>
      <c r="N810" s="2"/>
      <c r="O810" s="2"/>
      <c r="P810" s="2"/>
      <c r="Q810" s="4"/>
      <c r="R810" s="2"/>
      <c r="S810" s="2"/>
      <c r="U810" s="2"/>
      <c r="CI810" s="321"/>
    </row>
    <row r="811">
      <c r="A811" s="2"/>
      <c r="B811" s="2"/>
      <c r="C811" s="2"/>
      <c r="D811" s="2"/>
      <c r="E811" s="2"/>
      <c r="F811" s="2"/>
      <c r="G811" s="2"/>
      <c r="H811" s="2"/>
      <c r="I811" s="2"/>
      <c r="J811" s="2"/>
      <c r="K811" s="2"/>
      <c r="L811" s="2"/>
      <c r="M811" s="320"/>
      <c r="N811" s="2"/>
      <c r="O811" s="2"/>
      <c r="P811" s="2"/>
      <c r="Q811" s="4"/>
      <c r="R811" s="2"/>
      <c r="S811" s="2"/>
      <c r="U811" s="2"/>
      <c r="CI811" s="321"/>
    </row>
    <row r="812">
      <c r="A812" s="2"/>
      <c r="B812" s="2"/>
      <c r="C812" s="2"/>
      <c r="D812" s="2"/>
      <c r="E812" s="2"/>
      <c r="F812" s="2"/>
      <c r="G812" s="2"/>
      <c r="H812" s="2"/>
      <c r="I812" s="2"/>
      <c r="J812" s="2"/>
      <c r="K812" s="2"/>
      <c r="L812" s="2"/>
      <c r="M812" s="320"/>
      <c r="N812" s="2"/>
      <c r="O812" s="2"/>
      <c r="P812" s="2"/>
      <c r="Q812" s="4"/>
      <c r="R812" s="2"/>
      <c r="S812" s="2"/>
      <c r="U812" s="2"/>
      <c r="CI812" s="321"/>
    </row>
    <row r="813">
      <c r="A813" s="2"/>
      <c r="B813" s="2"/>
      <c r="C813" s="2"/>
      <c r="D813" s="2"/>
      <c r="E813" s="2"/>
      <c r="F813" s="2"/>
      <c r="G813" s="2"/>
      <c r="H813" s="2"/>
      <c r="I813" s="2"/>
      <c r="J813" s="2"/>
      <c r="K813" s="2"/>
      <c r="L813" s="2"/>
      <c r="M813" s="320"/>
      <c r="N813" s="2"/>
      <c r="O813" s="2"/>
      <c r="P813" s="2"/>
      <c r="Q813" s="4"/>
      <c r="R813" s="2"/>
      <c r="S813" s="2"/>
      <c r="U813" s="2"/>
      <c r="CI813" s="321"/>
    </row>
    <row r="814">
      <c r="A814" s="2"/>
      <c r="B814" s="2"/>
      <c r="C814" s="2"/>
      <c r="D814" s="2"/>
      <c r="E814" s="2"/>
      <c r="F814" s="2"/>
      <c r="G814" s="2"/>
      <c r="H814" s="2"/>
      <c r="I814" s="2"/>
      <c r="J814" s="2"/>
      <c r="K814" s="2"/>
      <c r="L814" s="2"/>
      <c r="M814" s="320"/>
      <c r="N814" s="2"/>
      <c r="O814" s="2"/>
      <c r="P814" s="2"/>
      <c r="Q814" s="4"/>
      <c r="R814" s="2"/>
      <c r="S814" s="2"/>
      <c r="U814" s="2"/>
      <c r="CI814" s="321"/>
    </row>
    <row r="815">
      <c r="A815" s="2"/>
      <c r="B815" s="2"/>
      <c r="C815" s="2"/>
      <c r="D815" s="2"/>
      <c r="E815" s="2"/>
      <c r="F815" s="2"/>
      <c r="G815" s="2"/>
      <c r="H815" s="2"/>
      <c r="I815" s="2"/>
      <c r="J815" s="2"/>
      <c r="K815" s="2"/>
      <c r="L815" s="2"/>
      <c r="M815" s="320"/>
      <c r="N815" s="2"/>
      <c r="O815" s="2"/>
      <c r="P815" s="2"/>
      <c r="Q815" s="4"/>
      <c r="R815" s="2"/>
      <c r="S815" s="2"/>
      <c r="U815" s="2"/>
      <c r="CI815" s="321"/>
    </row>
    <row r="816">
      <c r="A816" s="2"/>
      <c r="B816" s="2"/>
      <c r="C816" s="2"/>
      <c r="D816" s="2"/>
      <c r="E816" s="2"/>
      <c r="F816" s="2"/>
      <c r="G816" s="2"/>
      <c r="H816" s="2"/>
      <c r="I816" s="2"/>
      <c r="J816" s="2"/>
      <c r="K816" s="2"/>
      <c r="L816" s="2"/>
      <c r="M816" s="320"/>
      <c r="N816" s="2"/>
      <c r="O816" s="2"/>
      <c r="P816" s="2"/>
      <c r="Q816" s="4"/>
      <c r="R816" s="2"/>
      <c r="S816" s="2"/>
      <c r="U816" s="2"/>
      <c r="CI816" s="321"/>
    </row>
    <row r="817">
      <c r="A817" s="2"/>
      <c r="B817" s="2"/>
      <c r="C817" s="2"/>
      <c r="D817" s="2"/>
      <c r="E817" s="2"/>
      <c r="F817" s="2"/>
      <c r="G817" s="2"/>
      <c r="H817" s="2"/>
      <c r="I817" s="2"/>
      <c r="J817" s="2"/>
      <c r="K817" s="2"/>
      <c r="L817" s="2"/>
      <c r="M817" s="320"/>
      <c r="N817" s="2"/>
      <c r="O817" s="2"/>
      <c r="P817" s="2"/>
      <c r="Q817" s="4"/>
      <c r="R817" s="2"/>
      <c r="S817" s="2"/>
      <c r="U817" s="2"/>
      <c r="CI817" s="321"/>
    </row>
    <row r="818">
      <c r="A818" s="2"/>
      <c r="B818" s="2"/>
      <c r="C818" s="2"/>
      <c r="D818" s="2"/>
      <c r="E818" s="2"/>
      <c r="F818" s="2"/>
      <c r="G818" s="2"/>
      <c r="H818" s="2"/>
      <c r="I818" s="2"/>
      <c r="J818" s="2"/>
      <c r="K818" s="2"/>
      <c r="L818" s="2"/>
      <c r="M818" s="320"/>
      <c r="N818" s="2"/>
      <c r="O818" s="2"/>
      <c r="P818" s="2"/>
      <c r="Q818" s="4"/>
      <c r="R818" s="2"/>
      <c r="S818" s="2"/>
      <c r="U818" s="2"/>
      <c r="CI818" s="321"/>
    </row>
    <row r="819">
      <c r="A819" s="2"/>
      <c r="B819" s="2"/>
      <c r="C819" s="2"/>
      <c r="D819" s="2"/>
      <c r="E819" s="2"/>
      <c r="F819" s="2"/>
      <c r="G819" s="2"/>
      <c r="H819" s="2"/>
      <c r="I819" s="2"/>
      <c r="J819" s="2"/>
      <c r="K819" s="2"/>
      <c r="L819" s="2"/>
      <c r="M819" s="320"/>
      <c r="N819" s="2"/>
      <c r="O819" s="2"/>
      <c r="P819" s="2"/>
      <c r="Q819" s="4"/>
      <c r="R819" s="2"/>
      <c r="S819" s="2"/>
      <c r="U819" s="2"/>
      <c r="CI819" s="321"/>
    </row>
    <row r="820">
      <c r="A820" s="2"/>
      <c r="B820" s="2"/>
      <c r="C820" s="2"/>
      <c r="D820" s="2"/>
      <c r="E820" s="2"/>
      <c r="F820" s="2"/>
      <c r="G820" s="2"/>
      <c r="H820" s="2"/>
      <c r="I820" s="2"/>
      <c r="J820" s="2"/>
      <c r="K820" s="2"/>
      <c r="L820" s="2"/>
      <c r="M820" s="320"/>
      <c r="N820" s="2"/>
      <c r="O820" s="2"/>
      <c r="P820" s="2"/>
      <c r="Q820" s="4"/>
      <c r="R820" s="2"/>
      <c r="S820" s="2"/>
      <c r="U820" s="2"/>
      <c r="CI820" s="321"/>
    </row>
    <row r="821">
      <c r="A821" s="2"/>
      <c r="B821" s="2"/>
      <c r="C821" s="2"/>
      <c r="D821" s="2"/>
      <c r="E821" s="2"/>
      <c r="F821" s="2"/>
      <c r="G821" s="2"/>
      <c r="H821" s="2"/>
      <c r="I821" s="2"/>
      <c r="J821" s="2"/>
      <c r="K821" s="2"/>
      <c r="L821" s="2"/>
      <c r="M821" s="320"/>
      <c r="N821" s="2"/>
      <c r="O821" s="2"/>
      <c r="P821" s="2"/>
      <c r="Q821" s="4"/>
      <c r="R821" s="2"/>
      <c r="S821" s="2"/>
      <c r="U821" s="2"/>
      <c r="CI821" s="321"/>
    </row>
    <row r="822">
      <c r="A822" s="2"/>
      <c r="B822" s="2"/>
      <c r="C822" s="2"/>
      <c r="D822" s="2"/>
      <c r="E822" s="2"/>
      <c r="F822" s="2"/>
      <c r="G822" s="2"/>
      <c r="H822" s="2"/>
      <c r="I822" s="2"/>
      <c r="J822" s="2"/>
      <c r="K822" s="2"/>
      <c r="L822" s="2"/>
      <c r="M822" s="320"/>
      <c r="N822" s="2"/>
      <c r="O822" s="2"/>
      <c r="P822" s="2"/>
      <c r="Q822" s="4"/>
      <c r="R822" s="2"/>
      <c r="S822" s="2"/>
      <c r="U822" s="2"/>
      <c r="CI822" s="321"/>
    </row>
    <row r="823">
      <c r="A823" s="2"/>
      <c r="B823" s="2"/>
      <c r="C823" s="2"/>
      <c r="D823" s="2"/>
      <c r="E823" s="2"/>
      <c r="F823" s="2"/>
      <c r="G823" s="2"/>
      <c r="H823" s="2"/>
      <c r="I823" s="2"/>
      <c r="J823" s="2"/>
      <c r="K823" s="2"/>
      <c r="L823" s="2"/>
      <c r="M823" s="320"/>
      <c r="N823" s="2"/>
      <c r="O823" s="2"/>
      <c r="P823" s="2"/>
      <c r="Q823" s="4"/>
      <c r="R823" s="2"/>
      <c r="S823" s="2"/>
      <c r="U823" s="2"/>
      <c r="CI823" s="321"/>
    </row>
    <row r="824">
      <c r="A824" s="2"/>
      <c r="B824" s="2"/>
      <c r="C824" s="2"/>
      <c r="D824" s="2"/>
      <c r="E824" s="2"/>
      <c r="F824" s="2"/>
      <c r="G824" s="2"/>
      <c r="H824" s="2"/>
      <c r="I824" s="2"/>
      <c r="J824" s="2"/>
      <c r="K824" s="2"/>
      <c r="L824" s="2"/>
      <c r="M824" s="320"/>
      <c r="N824" s="2"/>
      <c r="O824" s="2"/>
      <c r="P824" s="2"/>
      <c r="Q824" s="4"/>
      <c r="R824" s="2"/>
      <c r="S824" s="2"/>
      <c r="U824" s="2"/>
      <c r="CI824" s="321"/>
    </row>
    <row r="825">
      <c r="A825" s="2"/>
      <c r="B825" s="2"/>
      <c r="C825" s="2"/>
      <c r="D825" s="2"/>
      <c r="E825" s="2"/>
      <c r="F825" s="2"/>
      <c r="G825" s="2"/>
      <c r="H825" s="2"/>
      <c r="I825" s="2"/>
      <c r="J825" s="2"/>
      <c r="K825" s="2"/>
      <c r="L825" s="2"/>
      <c r="M825" s="320"/>
      <c r="N825" s="2"/>
      <c r="O825" s="2"/>
      <c r="P825" s="2"/>
      <c r="Q825" s="4"/>
      <c r="R825" s="2"/>
      <c r="S825" s="2"/>
      <c r="U825" s="2"/>
      <c r="CI825" s="321"/>
    </row>
    <row r="826">
      <c r="A826" s="2"/>
      <c r="B826" s="2"/>
      <c r="C826" s="2"/>
      <c r="D826" s="2"/>
      <c r="E826" s="2"/>
      <c r="F826" s="2"/>
      <c r="G826" s="2"/>
      <c r="H826" s="2"/>
      <c r="I826" s="2"/>
      <c r="J826" s="2"/>
      <c r="K826" s="2"/>
      <c r="L826" s="2"/>
      <c r="M826" s="320"/>
      <c r="N826" s="2"/>
      <c r="O826" s="2"/>
      <c r="P826" s="2"/>
      <c r="Q826" s="4"/>
      <c r="R826" s="2"/>
      <c r="S826" s="2"/>
      <c r="U826" s="2"/>
      <c r="CI826" s="321"/>
    </row>
    <row r="827">
      <c r="A827" s="2"/>
      <c r="B827" s="2"/>
      <c r="C827" s="2"/>
      <c r="D827" s="2"/>
      <c r="E827" s="2"/>
      <c r="F827" s="2"/>
      <c r="G827" s="2"/>
      <c r="H827" s="2"/>
      <c r="I827" s="2"/>
      <c r="J827" s="2"/>
      <c r="K827" s="2"/>
      <c r="L827" s="2"/>
      <c r="M827" s="320"/>
      <c r="N827" s="2"/>
      <c r="O827" s="2"/>
      <c r="P827" s="2"/>
      <c r="Q827" s="4"/>
      <c r="R827" s="2"/>
      <c r="S827" s="2"/>
      <c r="U827" s="2"/>
      <c r="CI827" s="321"/>
    </row>
    <row r="828">
      <c r="A828" s="2"/>
      <c r="B828" s="2"/>
      <c r="C828" s="2"/>
      <c r="D828" s="2"/>
      <c r="E828" s="2"/>
      <c r="F828" s="2"/>
      <c r="G828" s="2"/>
      <c r="H828" s="2"/>
      <c r="I828" s="2"/>
      <c r="J828" s="2"/>
      <c r="K828" s="2"/>
      <c r="L828" s="2"/>
      <c r="M828" s="320"/>
      <c r="N828" s="2"/>
      <c r="O828" s="2"/>
      <c r="P828" s="2"/>
      <c r="Q828" s="4"/>
      <c r="R828" s="2"/>
      <c r="S828" s="2"/>
      <c r="U828" s="2"/>
      <c r="CI828" s="321"/>
    </row>
    <row r="829">
      <c r="A829" s="2"/>
      <c r="B829" s="2"/>
      <c r="C829" s="2"/>
      <c r="D829" s="2"/>
      <c r="E829" s="2"/>
      <c r="F829" s="2"/>
      <c r="G829" s="2"/>
      <c r="H829" s="2"/>
      <c r="I829" s="2"/>
      <c r="J829" s="2"/>
      <c r="K829" s="2"/>
      <c r="L829" s="2"/>
      <c r="M829" s="320"/>
      <c r="N829" s="2"/>
      <c r="O829" s="2"/>
      <c r="P829" s="2"/>
      <c r="Q829" s="4"/>
      <c r="R829" s="2"/>
      <c r="S829" s="2"/>
      <c r="U829" s="2"/>
      <c r="CI829" s="321"/>
    </row>
    <row r="830">
      <c r="A830" s="2"/>
      <c r="B830" s="2"/>
      <c r="C830" s="2"/>
      <c r="D830" s="2"/>
      <c r="E830" s="2"/>
      <c r="F830" s="2"/>
      <c r="G830" s="2"/>
      <c r="H830" s="2"/>
      <c r="I830" s="2"/>
      <c r="J830" s="2"/>
      <c r="K830" s="2"/>
      <c r="L830" s="2"/>
      <c r="M830" s="320"/>
      <c r="N830" s="2"/>
      <c r="O830" s="2"/>
      <c r="P830" s="2"/>
      <c r="Q830" s="4"/>
      <c r="R830" s="2"/>
      <c r="S830" s="2"/>
      <c r="U830" s="2"/>
      <c r="CI830" s="321"/>
    </row>
    <row r="831">
      <c r="A831" s="2"/>
      <c r="B831" s="2"/>
      <c r="C831" s="2"/>
      <c r="D831" s="2"/>
      <c r="E831" s="2"/>
      <c r="F831" s="2"/>
      <c r="G831" s="2"/>
      <c r="H831" s="2"/>
      <c r="I831" s="2"/>
      <c r="J831" s="2"/>
      <c r="K831" s="2"/>
      <c r="L831" s="2"/>
      <c r="M831" s="320"/>
      <c r="N831" s="2"/>
      <c r="O831" s="2"/>
      <c r="P831" s="2"/>
      <c r="Q831" s="4"/>
      <c r="R831" s="2"/>
      <c r="S831" s="2"/>
      <c r="U831" s="2"/>
      <c r="CI831" s="321"/>
    </row>
    <row r="832">
      <c r="A832" s="2"/>
      <c r="B832" s="2"/>
      <c r="C832" s="2"/>
      <c r="D832" s="2"/>
      <c r="E832" s="2"/>
      <c r="F832" s="2"/>
      <c r="G832" s="2"/>
      <c r="H832" s="2"/>
      <c r="I832" s="2"/>
      <c r="J832" s="2"/>
      <c r="K832" s="2"/>
      <c r="L832" s="2"/>
      <c r="M832" s="320"/>
      <c r="N832" s="2"/>
      <c r="O832" s="2"/>
      <c r="P832" s="2"/>
      <c r="Q832" s="4"/>
      <c r="R832" s="2"/>
      <c r="S832" s="2"/>
      <c r="U832" s="2"/>
      <c r="CI832" s="321"/>
    </row>
    <row r="833">
      <c r="A833" s="2"/>
      <c r="B833" s="2"/>
      <c r="C833" s="2"/>
      <c r="D833" s="2"/>
      <c r="E833" s="2"/>
      <c r="F833" s="2"/>
      <c r="G833" s="2"/>
      <c r="H833" s="2"/>
      <c r="I833" s="2"/>
      <c r="J833" s="2"/>
      <c r="K833" s="2"/>
      <c r="L833" s="2"/>
      <c r="M833" s="320"/>
      <c r="N833" s="2"/>
      <c r="O833" s="2"/>
      <c r="P833" s="2"/>
      <c r="Q833" s="4"/>
      <c r="R833" s="2"/>
      <c r="S833" s="2"/>
      <c r="U833" s="2"/>
      <c r="CI833" s="321"/>
    </row>
    <row r="834">
      <c r="A834" s="2"/>
      <c r="B834" s="2"/>
      <c r="C834" s="2"/>
      <c r="D834" s="2"/>
      <c r="E834" s="2"/>
      <c r="F834" s="2"/>
      <c r="G834" s="2"/>
      <c r="H834" s="2"/>
      <c r="I834" s="2"/>
      <c r="J834" s="2"/>
      <c r="K834" s="2"/>
      <c r="L834" s="2"/>
      <c r="M834" s="320"/>
      <c r="N834" s="2"/>
      <c r="O834" s="2"/>
      <c r="P834" s="2"/>
      <c r="Q834" s="4"/>
      <c r="R834" s="2"/>
      <c r="S834" s="2"/>
      <c r="U834" s="2"/>
      <c r="CI834" s="321"/>
    </row>
    <row r="835">
      <c r="A835" s="2"/>
      <c r="B835" s="2"/>
      <c r="C835" s="2"/>
      <c r="D835" s="2"/>
      <c r="E835" s="2"/>
      <c r="F835" s="2"/>
      <c r="G835" s="2"/>
      <c r="H835" s="2"/>
      <c r="I835" s="2"/>
      <c r="J835" s="2"/>
      <c r="K835" s="2"/>
      <c r="L835" s="2"/>
      <c r="M835" s="320"/>
      <c r="N835" s="2"/>
      <c r="O835" s="2"/>
      <c r="P835" s="2"/>
      <c r="Q835" s="4"/>
      <c r="R835" s="2"/>
      <c r="S835" s="2"/>
      <c r="U835" s="2"/>
      <c r="CI835" s="321"/>
    </row>
    <row r="836">
      <c r="A836" s="2"/>
      <c r="B836" s="2"/>
      <c r="C836" s="2"/>
      <c r="D836" s="2"/>
      <c r="E836" s="2"/>
      <c r="F836" s="2"/>
      <c r="G836" s="2"/>
      <c r="H836" s="2"/>
      <c r="I836" s="2"/>
      <c r="J836" s="2"/>
      <c r="K836" s="2"/>
      <c r="L836" s="2"/>
      <c r="M836" s="320"/>
      <c r="N836" s="2"/>
      <c r="O836" s="2"/>
      <c r="P836" s="2"/>
      <c r="Q836" s="4"/>
      <c r="R836" s="2"/>
      <c r="S836" s="2"/>
      <c r="U836" s="2"/>
      <c r="CI836" s="321"/>
    </row>
    <row r="837">
      <c r="A837" s="2"/>
      <c r="B837" s="2"/>
      <c r="C837" s="2"/>
      <c r="D837" s="2"/>
      <c r="E837" s="2"/>
      <c r="F837" s="2"/>
      <c r="G837" s="2"/>
      <c r="H837" s="2"/>
      <c r="I837" s="2"/>
      <c r="J837" s="2"/>
      <c r="K837" s="2"/>
      <c r="L837" s="2"/>
      <c r="M837" s="320"/>
      <c r="N837" s="2"/>
      <c r="O837" s="2"/>
      <c r="P837" s="2"/>
      <c r="Q837" s="4"/>
      <c r="R837" s="2"/>
      <c r="S837" s="2"/>
      <c r="U837" s="2"/>
      <c r="CI837" s="321"/>
    </row>
    <row r="838">
      <c r="A838" s="2"/>
      <c r="B838" s="2"/>
      <c r="C838" s="2"/>
      <c r="D838" s="2"/>
      <c r="E838" s="2"/>
      <c r="F838" s="2"/>
      <c r="G838" s="2"/>
      <c r="H838" s="2"/>
      <c r="I838" s="2"/>
      <c r="J838" s="2"/>
      <c r="K838" s="2"/>
      <c r="L838" s="2"/>
      <c r="M838" s="320"/>
      <c r="N838" s="2"/>
      <c r="O838" s="2"/>
      <c r="P838" s="2"/>
      <c r="Q838" s="4"/>
      <c r="R838" s="2"/>
      <c r="S838" s="2"/>
      <c r="U838" s="2"/>
      <c r="CI838" s="321"/>
    </row>
    <row r="839">
      <c r="A839" s="2"/>
      <c r="B839" s="2"/>
      <c r="C839" s="2"/>
      <c r="D839" s="2"/>
      <c r="E839" s="2"/>
      <c r="F839" s="2"/>
      <c r="G839" s="2"/>
      <c r="H839" s="2"/>
      <c r="I839" s="2"/>
      <c r="J839" s="2"/>
      <c r="K839" s="2"/>
      <c r="L839" s="2"/>
      <c r="M839" s="320"/>
      <c r="N839" s="2"/>
      <c r="O839" s="2"/>
      <c r="P839" s="2"/>
      <c r="Q839" s="4"/>
      <c r="R839" s="2"/>
      <c r="S839" s="2"/>
      <c r="U839" s="2"/>
      <c r="CI839" s="321"/>
    </row>
    <row r="840">
      <c r="A840" s="2"/>
      <c r="B840" s="2"/>
      <c r="C840" s="2"/>
      <c r="D840" s="2"/>
      <c r="E840" s="2"/>
      <c r="F840" s="2"/>
      <c r="G840" s="2"/>
      <c r="H840" s="2"/>
      <c r="I840" s="2"/>
      <c r="J840" s="2"/>
      <c r="K840" s="2"/>
      <c r="L840" s="2"/>
      <c r="M840" s="320"/>
      <c r="N840" s="2"/>
      <c r="O840" s="2"/>
      <c r="P840" s="2"/>
      <c r="Q840" s="4"/>
      <c r="R840" s="2"/>
      <c r="S840" s="2"/>
      <c r="U840" s="2"/>
      <c r="CI840" s="321"/>
    </row>
    <row r="841">
      <c r="A841" s="2"/>
      <c r="B841" s="2"/>
      <c r="C841" s="2"/>
      <c r="D841" s="2"/>
      <c r="E841" s="2"/>
      <c r="F841" s="2"/>
      <c r="G841" s="2"/>
      <c r="H841" s="2"/>
      <c r="I841" s="2"/>
      <c r="J841" s="2"/>
      <c r="K841" s="2"/>
      <c r="L841" s="2"/>
      <c r="M841" s="320"/>
      <c r="N841" s="2"/>
      <c r="O841" s="2"/>
      <c r="P841" s="2"/>
      <c r="Q841" s="4"/>
      <c r="R841" s="2"/>
      <c r="S841" s="2"/>
      <c r="U841" s="2"/>
      <c r="CI841" s="321"/>
    </row>
    <row r="842">
      <c r="A842" s="2"/>
      <c r="B842" s="2"/>
      <c r="C842" s="2"/>
      <c r="D842" s="2"/>
      <c r="E842" s="2"/>
      <c r="F842" s="2"/>
      <c r="G842" s="2"/>
      <c r="H842" s="2"/>
      <c r="I842" s="2"/>
      <c r="J842" s="2"/>
      <c r="K842" s="2"/>
      <c r="L842" s="2"/>
      <c r="M842" s="320"/>
      <c r="N842" s="2"/>
      <c r="O842" s="2"/>
      <c r="P842" s="2"/>
      <c r="Q842" s="4"/>
      <c r="R842" s="2"/>
      <c r="S842" s="2"/>
      <c r="U842" s="2"/>
      <c r="CI842" s="321"/>
    </row>
    <row r="843">
      <c r="A843" s="2"/>
      <c r="B843" s="2"/>
      <c r="C843" s="2"/>
      <c r="D843" s="2"/>
      <c r="E843" s="2"/>
      <c r="F843" s="2"/>
      <c r="G843" s="2"/>
      <c r="H843" s="2"/>
      <c r="I843" s="2"/>
      <c r="J843" s="2"/>
      <c r="K843" s="2"/>
      <c r="L843" s="2"/>
      <c r="M843" s="320"/>
      <c r="N843" s="2"/>
      <c r="O843" s="2"/>
      <c r="P843" s="2"/>
      <c r="Q843" s="4"/>
      <c r="R843" s="2"/>
      <c r="S843" s="2"/>
      <c r="U843" s="2"/>
      <c r="CI843" s="321"/>
    </row>
    <row r="844">
      <c r="A844" s="2"/>
      <c r="B844" s="2"/>
      <c r="C844" s="2"/>
      <c r="D844" s="2"/>
      <c r="E844" s="2"/>
      <c r="F844" s="2"/>
      <c r="G844" s="2"/>
      <c r="H844" s="2"/>
      <c r="I844" s="2"/>
      <c r="J844" s="2"/>
      <c r="K844" s="2"/>
      <c r="L844" s="2"/>
      <c r="M844" s="320"/>
      <c r="N844" s="2"/>
      <c r="O844" s="2"/>
      <c r="P844" s="2"/>
      <c r="Q844" s="4"/>
      <c r="R844" s="2"/>
      <c r="S844" s="2"/>
      <c r="U844" s="2"/>
      <c r="CI844" s="321"/>
    </row>
    <row r="845">
      <c r="A845" s="2"/>
      <c r="B845" s="2"/>
      <c r="C845" s="2"/>
      <c r="D845" s="2"/>
      <c r="E845" s="2"/>
      <c r="F845" s="2"/>
      <c r="G845" s="2"/>
      <c r="H845" s="2"/>
      <c r="I845" s="2"/>
      <c r="J845" s="2"/>
      <c r="K845" s="2"/>
      <c r="L845" s="2"/>
      <c r="M845" s="320"/>
      <c r="N845" s="2"/>
      <c r="O845" s="2"/>
      <c r="P845" s="2"/>
      <c r="Q845" s="4"/>
      <c r="R845" s="2"/>
      <c r="S845" s="2"/>
      <c r="U845" s="2"/>
      <c r="CI845" s="321"/>
    </row>
    <row r="846">
      <c r="A846" s="2"/>
      <c r="B846" s="2"/>
      <c r="C846" s="2"/>
      <c r="D846" s="2"/>
      <c r="E846" s="2"/>
      <c r="F846" s="2"/>
      <c r="G846" s="2"/>
      <c r="H846" s="2"/>
      <c r="I846" s="2"/>
      <c r="J846" s="2"/>
      <c r="K846" s="2"/>
      <c r="L846" s="2"/>
      <c r="M846" s="320"/>
      <c r="N846" s="2"/>
      <c r="O846" s="2"/>
      <c r="P846" s="2"/>
      <c r="Q846" s="4"/>
      <c r="R846" s="2"/>
      <c r="S846" s="2"/>
      <c r="U846" s="2"/>
      <c r="CI846" s="321"/>
    </row>
    <row r="847">
      <c r="A847" s="2"/>
      <c r="B847" s="2"/>
      <c r="C847" s="2"/>
      <c r="D847" s="2"/>
      <c r="E847" s="2"/>
      <c r="F847" s="2"/>
      <c r="G847" s="2"/>
      <c r="H847" s="2"/>
      <c r="I847" s="2"/>
      <c r="J847" s="2"/>
      <c r="K847" s="2"/>
      <c r="L847" s="2"/>
      <c r="M847" s="320"/>
      <c r="N847" s="2"/>
      <c r="O847" s="2"/>
      <c r="P847" s="2"/>
      <c r="Q847" s="4"/>
      <c r="R847" s="2"/>
      <c r="S847" s="2"/>
      <c r="U847" s="2"/>
      <c r="CI847" s="321"/>
    </row>
    <row r="848">
      <c r="A848" s="2"/>
      <c r="B848" s="2"/>
      <c r="C848" s="2"/>
      <c r="D848" s="2"/>
      <c r="E848" s="2"/>
      <c r="F848" s="2"/>
      <c r="G848" s="2"/>
      <c r="H848" s="2"/>
      <c r="I848" s="2"/>
      <c r="J848" s="2"/>
      <c r="K848" s="2"/>
      <c r="L848" s="2"/>
      <c r="M848" s="320"/>
      <c r="N848" s="2"/>
      <c r="O848" s="2"/>
      <c r="P848" s="2"/>
      <c r="Q848" s="4"/>
      <c r="R848" s="2"/>
      <c r="S848" s="2"/>
      <c r="U848" s="2"/>
      <c r="CI848" s="321"/>
    </row>
    <row r="849">
      <c r="A849" s="2"/>
      <c r="B849" s="2"/>
      <c r="C849" s="2"/>
      <c r="D849" s="2"/>
      <c r="E849" s="2"/>
      <c r="F849" s="2"/>
      <c r="G849" s="2"/>
      <c r="H849" s="2"/>
      <c r="I849" s="2"/>
      <c r="J849" s="2"/>
      <c r="K849" s="2"/>
      <c r="L849" s="2"/>
      <c r="M849" s="320"/>
      <c r="N849" s="2"/>
      <c r="O849" s="2"/>
      <c r="P849" s="2"/>
      <c r="Q849" s="4"/>
      <c r="R849" s="2"/>
      <c r="S849" s="2"/>
      <c r="U849" s="2"/>
      <c r="CI849" s="321"/>
    </row>
    <row r="850">
      <c r="A850" s="2"/>
      <c r="B850" s="2"/>
      <c r="C850" s="2"/>
      <c r="D850" s="2"/>
      <c r="E850" s="2"/>
      <c r="F850" s="2"/>
      <c r="G850" s="2"/>
      <c r="H850" s="2"/>
      <c r="I850" s="2"/>
      <c r="J850" s="2"/>
      <c r="K850" s="2"/>
      <c r="L850" s="2"/>
      <c r="M850" s="320"/>
      <c r="N850" s="2"/>
      <c r="O850" s="2"/>
      <c r="P850" s="2"/>
      <c r="Q850" s="4"/>
      <c r="R850" s="2"/>
      <c r="S850" s="2"/>
      <c r="U850" s="2"/>
      <c r="CI850" s="321"/>
    </row>
    <row r="851">
      <c r="A851" s="2"/>
      <c r="B851" s="2"/>
      <c r="C851" s="2"/>
      <c r="D851" s="2"/>
      <c r="E851" s="2"/>
      <c r="F851" s="2"/>
      <c r="G851" s="2"/>
      <c r="H851" s="2"/>
      <c r="I851" s="2"/>
      <c r="J851" s="2"/>
      <c r="K851" s="2"/>
      <c r="L851" s="2"/>
      <c r="M851" s="320"/>
      <c r="N851" s="2"/>
      <c r="O851" s="2"/>
      <c r="P851" s="2"/>
      <c r="Q851" s="4"/>
      <c r="R851" s="2"/>
      <c r="S851" s="2"/>
      <c r="U851" s="2"/>
      <c r="CI851" s="321"/>
    </row>
    <row r="852">
      <c r="A852" s="2"/>
      <c r="B852" s="2"/>
      <c r="C852" s="2"/>
      <c r="D852" s="2"/>
      <c r="E852" s="2"/>
      <c r="F852" s="2"/>
      <c r="G852" s="2"/>
      <c r="H852" s="2"/>
      <c r="I852" s="2"/>
      <c r="J852" s="2"/>
      <c r="K852" s="2"/>
      <c r="L852" s="2"/>
      <c r="M852" s="320"/>
      <c r="N852" s="2"/>
      <c r="O852" s="2"/>
      <c r="P852" s="2"/>
      <c r="Q852" s="4"/>
      <c r="R852" s="2"/>
      <c r="S852" s="2"/>
      <c r="U852" s="2"/>
      <c r="CI852" s="321"/>
    </row>
    <row r="853">
      <c r="A853" s="2"/>
      <c r="B853" s="2"/>
      <c r="C853" s="2"/>
      <c r="D853" s="2"/>
      <c r="E853" s="2"/>
      <c r="F853" s="2"/>
      <c r="G853" s="2"/>
      <c r="H853" s="2"/>
      <c r="I853" s="2"/>
      <c r="J853" s="2"/>
      <c r="K853" s="2"/>
      <c r="L853" s="2"/>
      <c r="M853" s="320"/>
      <c r="N853" s="2"/>
      <c r="O853" s="2"/>
      <c r="P853" s="2"/>
      <c r="Q853" s="4"/>
      <c r="R853" s="2"/>
      <c r="S853" s="2"/>
      <c r="U853" s="2"/>
      <c r="CI853" s="321"/>
    </row>
    <row r="854">
      <c r="A854" s="2"/>
      <c r="B854" s="2"/>
      <c r="C854" s="2"/>
      <c r="D854" s="2"/>
      <c r="E854" s="2"/>
      <c r="F854" s="2"/>
      <c r="G854" s="2"/>
      <c r="H854" s="2"/>
      <c r="I854" s="2"/>
      <c r="J854" s="2"/>
      <c r="K854" s="2"/>
      <c r="L854" s="2"/>
      <c r="M854" s="320"/>
      <c r="N854" s="2"/>
      <c r="O854" s="2"/>
      <c r="P854" s="2"/>
      <c r="Q854" s="4"/>
      <c r="R854" s="2"/>
      <c r="S854" s="2"/>
      <c r="U854" s="2"/>
      <c r="CI854" s="321"/>
    </row>
    <row r="855">
      <c r="A855" s="2"/>
      <c r="B855" s="2"/>
      <c r="C855" s="2"/>
      <c r="D855" s="2"/>
      <c r="E855" s="2"/>
      <c r="F855" s="2"/>
      <c r="G855" s="2"/>
      <c r="H855" s="2"/>
      <c r="I855" s="2"/>
      <c r="J855" s="2"/>
      <c r="K855" s="2"/>
      <c r="L855" s="2"/>
      <c r="M855" s="320"/>
      <c r="N855" s="2"/>
      <c r="O855" s="2"/>
      <c r="P855" s="2"/>
      <c r="Q855" s="4"/>
      <c r="R855" s="2"/>
      <c r="S855" s="2"/>
      <c r="U855" s="2"/>
      <c r="CI855" s="321"/>
    </row>
    <row r="856">
      <c r="A856" s="2"/>
      <c r="B856" s="2"/>
      <c r="C856" s="2"/>
      <c r="D856" s="2"/>
      <c r="E856" s="2"/>
      <c r="F856" s="2"/>
      <c r="G856" s="2"/>
      <c r="H856" s="2"/>
      <c r="I856" s="2"/>
      <c r="J856" s="2"/>
      <c r="K856" s="2"/>
      <c r="L856" s="2"/>
      <c r="M856" s="320"/>
      <c r="N856" s="2"/>
      <c r="O856" s="2"/>
      <c r="P856" s="2"/>
      <c r="Q856" s="4"/>
      <c r="R856" s="2"/>
      <c r="S856" s="2"/>
      <c r="U856" s="2"/>
      <c r="CI856" s="321"/>
    </row>
    <row r="857">
      <c r="A857" s="2"/>
      <c r="B857" s="2"/>
      <c r="C857" s="2"/>
      <c r="D857" s="2"/>
      <c r="E857" s="2"/>
      <c r="F857" s="2"/>
      <c r="G857" s="2"/>
      <c r="H857" s="2"/>
      <c r="I857" s="2"/>
      <c r="J857" s="2"/>
      <c r="K857" s="2"/>
      <c r="L857" s="2"/>
      <c r="M857" s="320"/>
      <c r="N857" s="2"/>
      <c r="O857" s="2"/>
      <c r="P857" s="2"/>
      <c r="Q857" s="4"/>
      <c r="R857" s="2"/>
      <c r="S857" s="2"/>
      <c r="U857" s="2"/>
      <c r="CI857" s="321"/>
    </row>
    <row r="858">
      <c r="A858" s="2"/>
      <c r="B858" s="2"/>
      <c r="C858" s="2"/>
      <c r="D858" s="2"/>
      <c r="E858" s="2"/>
      <c r="F858" s="2"/>
      <c r="G858" s="2"/>
      <c r="H858" s="2"/>
      <c r="I858" s="2"/>
      <c r="J858" s="2"/>
      <c r="K858" s="2"/>
      <c r="L858" s="2"/>
      <c r="M858" s="320"/>
      <c r="N858" s="2"/>
      <c r="O858" s="2"/>
      <c r="P858" s="2"/>
      <c r="Q858" s="4"/>
      <c r="R858" s="2"/>
      <c r="S858" s="2"/>
      <c r="U858" s="2"/>
      <c r="CI858" s="321"/>
    </row>
    <row r="859">
      <c r="A859" s="2"/>
      <c r="B859" s="2"/>
      <c r="C859" s="2"/>
      <c r="D859" s="2"/>
      <c r="E859" s="2"/>
      <c r="F859" s="2"/>
      <c r="G859" s="2"/>
      <c r="H859" s="2"/>
      <c r="I859" s="2"/>
      <c r="J859" s="2"/>
      <c r="K859" s="2"/>
      <c r="L859" s="2"/>
      <c r="M859" s="320"/>
      <c r="N859" s="2"/>
      <c r="O859" s="2"/>
      <c r="P859" s="2"/>
      <c r="Q859" s="4"/>
      <c r="R859" s="2"/>
      <c r="S859" s="2"/>
      <c r="U859" s="2"/>
      <c r="CI859" s="321"/>
    </row>
    <row r="860">
      <c r="A860" s="2"/>
      <c r="B860" s="2"/>
      <c r="C860" s="2"/>
      <c r="D860" s="2"/>
      <c r="E860" s="2"/>
      <c r="F860" s="2"/>
      <c r="G860" s="2"/>
      <c r="H860" s="2"/>
      <c r="I860" s="2"/>
      <c r="J860" s="2"/>
      <c r="K860" s="2"/>
      <c r="L860" s="2"/>
      <c r="M860" s="320"/>
      <c r="N860" s="2"/>
      <c r="O860" s="2"/>
      <c r="P860" s="2"/>
      <c r="Q860" s="4"/>
      <c r="R860" s="2"/>
      <c r="S860" s="2"/>
      <c r="U860" s="2"/>
      <c r="CI860" s="321"/>
    </row>
    <row r="861">
      <c r="A861" s="2"/>
      <c r="B861" s="2"/>
      <c r="C861" s="2"/>
      <c r="D861" s="2"/>
      <c r="E861" s="2"/>
      <c r="F861" s="2"/>
      <c r="G861" s="2"/>
      <c r="H861" s="2"/>
      <c r="I861" s="2"/>
      <c r="J861" s="2"/>
      <c r="K861" s="2"/>
      <c r="L861" s="2"/>
      <c r="M861" s="320"/>
      <c r="N861" s="2"/>
      <c r="O861" s="2"/>
      <c r="P861" s="2"/>
      <c r="Q861" s="4"/>
      <c r="R861" s="2"/>
      <c r="S861" s="2"/>
      <c r="U861" s="2"/>
      <c r="CI861" s="321"/>
    </row>
    <row r="862">
      <c r="A862" s="2"/>
      <c r="B862" s="2"/>
      <c r="C862" s="2"/>
      <c r="D862" s="2"/>
      <c r="E862" s="2"/>
      <c r="F862" s="2"/>
      <c r="G862" s="2"/>
      <c r="H862" s="2"/>
      <c r="I862" s="2"/>
      <c r="J862" s="2"/>
      <c r="K862" s="2"/>
      <c r="L862" s="2"/>
      <c r="M862" s="320"/>
      <c r="N862" s="2"/>
      <c r="O862" s="2"/>
      <c r="P862" s="2"/>
      <c r="Q862" s="4"/>
      <c r="R862" s="2"/>
      <c r="S862" s="2"/>
      <c r="U862" s="2"/>
      <c r="CI862" s="321"/>
    </row>
    <row r="863">
      <c r="A863" s="2"/>
      <c r="B863" s="2"/>
      <c r="C863" s="2"/>
      <c r="D863" s="2"/>
      <c r="E863" s="2"/>
      <c r="F863" s="2"/>
      <c r="G863" s="2"/>
      <c r="H863" s="2"/>
      <c r="I863" s="2"/>
      <c r="J863" s="2"/>
      <c r="K863" s="2"/>
      <c r="L863" s="2"/>
      <c r="M863" s="320"/>
      <c r="N863" s="2"/>
      <c r="O863" s="2"/>
      <c r="P863" s="2"/>
      <c r="Q863" s="4"/>
      <c r="R863" s="2"/>
      <c r="S863" s="2"/>
      <c r="U863" s="2"/>
      <c r="CI863" s="321"/>
    </row>
    <row r="864">
      <c r="A864" s="2"/>
      <c r="B864" s="2"/>
      <c r="C864" s="2"/>
      <c r="D864" s="2"/>
      <c r="E864" s="2"/>
      <c r="F864" s="2"/>
      <c r="G864" s="2"/>
      <c r="H864" s="2"/>
      <c r="I864" s="2"/>
      <c r="J864" s="2"/>
      <c r="K864" s="2"/>
      <c r="L864" s="2"/>
      <c r="M864" s="320"/>
      <c r="N864" s="2"/>
      <c r="O864" s="2"/>
      <c r="P864" s="2"/>
      <c r="Q864" s="4"/>
      <c r="R864" s="2"/>
      <c r="S864" s="2"/>
      <c r="U864" s="2"/>
      <c r="CI864" s="321"/>
    </row>
    <row r="865">
      <c r="A865" s="2"/>
      <c r="B865" s="2"/>
      <c r="C865" s="2"/>
      <c r="D865" s="2"/>
      <c r="E865" s="2"/>
      <c r="F865" s="2"/>
      <c r="G865" s="2"/>
      <c r="H865" s="2"/>
      <c r="I865" s="2"/>
      <c r="J865" s="2"/>
      <c r="K865" s="2"/>
      <c r="L865" s="2"/>
      <c r="M865" s="320"/>
      <c r="N865" s="2"/>
      <c r="O865" s="2"/>
      <c r="P865" s="2"/>
      <c r="Q865" s="4"/>
      <c r="R865" s="2"/>
      <c r="S865" s="2"/>
      <c r="U865" s="2"/>
      <c r="CI865" s="321"/>
    </row>
    <row r="866">
      <c r="A866" s="2"/>
      <c r="B866" s="2"/>
      <c r="C866" s="2"/>
      <c r="D866" s="2"/>
      <c r="E866" s="2"/>
      <c r="F866" s="2"/>
      <c r="G866" s="2"/>
      <c r="H866" s="2"/>
      <c r="I866" s="2"/>
      <c r="J866" s="2"/>
      <c r="K866" s="2"/>
      <c r="L866" s="2"/>
      <c r="M866" s="320"/>
      <c r="N866" s="2"/>
      <c r="O866" s="2"/>
      <c r="P866" s="2"/>
      <c r="Q866" s="4"/>
      <c r="R866" s="2"/>
      <c r="S866" s="2"/>
      <c r="U866" s="2"/>
      <c r="CI866" s="321"/>
    </row>
    <row r="867">
      <c r="A867" s="2"/>
      <c r="B867" s="2"/>
      <c r="C867" s="2"/>
      <c r="D867" s="2"/>
      <c r="E867" s="2"/>
      <c r="F867" s="2"/>
      <c r="G867" s="2"/>
      <c r="H867" s="2"/>
      <c r="I867" s="2"/>
      <c r="J867" s="2"/>
      <c r="K867" s="2"/>
      <c r="L867" s="2"/>
      <c r="M867" s="320"/>
      <c r="N867" s="2"/>
      <c r="O867" s="2"/>
      <c r="P867" s="2"/>
      <c r="Q867" s="4"/>
      <c r="R867" s="2"/>
      <c r="S867" s="2"/>
      <c r="U867" s="2"/>
      <c r="CI867" s="321"/>
    </row>
    <row r="868">
      <c r="A868" s="2"/>
      <c r="B868" s="2"/>
      <c r="C868" s="2"/>
      <c r="D868" s="2"/>
      <c r="E868" s="2"/>
      <c r="F868" s="2"/>
      <c r="G868" s="2"/>
      <c r="H868" s="2"/>
      <c r="I868" s="2"/>
      <c r="J868" s="2"/>
      <c r="K868" s="2"/>
      <c r="L868" s="2"/>
      <c r="M868" s="320"/>
      <c r="N868" s="2"/>
      <c r="O868" s="2"/>
      <c r="P868" s="2"/>
      <c r="Q868" s="4"/>
      <c r="R868" s="2"/>
      <c r="S868" s="2"/>
      <c r="U868" s="2"/>
      <c r="CI868" s="321"/>
    </row>
    <row r="869">
      <c r="A869" s="2"/>
      <c r="B869" s="2"/>
      <c r="C869" s="2"/>
      <c r="D869" s="2"/>
      <c r="E869" s="2"/>
      <c r="F869" s="2"/>
      <c r="G869" s="2"/>
      <c r="H869" s="2"/>
      <c r="I869" s="2"/>
      <c r="J869" s="2"/>
      <c r="K869" s="2"/>
      <c r="L869" s="2"/>
      <c r="M869" s="320"/>
      <c r="N869" s="2"/>
      <c r="O869" s="2"/>
      <c r="P869" s="2"/>
      <c r="Q869" s="4"/>
      <c r="R869" s="2"/>
      <c r="S869" s="2"/>
      <c r="U869" s="2"/>
      <c r="CI869" s="321"/>
    </row>
    <row r="870">
      <c r="A870" s="2"/>
      <c r="B870" s="2"/>
      <c r="C870" s="2"/>
      <c r="D870" s="2"/>
      <c r="E870" s="2"/>
      <c r="F870" s="2"/>
      <c r="G870" s="2"/>
      <c r="H870" s="2"/>
      <c r="I870" s="2"/>
      <c r="J870" s="2"/>
      <c r="K870" s="2"/>
      <c r="L870" s="2"/>
      <c r="M870" s="320"/>
      <c r="N870" s="2"/>
      <c r="O870" s="2"/>
      <c r="P870" s="2"/>
      <c r="Q870" s="4"/>
      <c r="R870" s="2"/>
      <c r="S870" s="2"/>
      <c r="U870" s="2"/>
      <c r="CI870" s="321"/>
    </row>
    <row r="871">
      <c r="A871" s="2"/>
      <c r="B871" s="2"/>
      <c r="C871" s="2"/>
      <c r="D871" s="2"/>
      <c r="E871" s="2"/>
      <c r="F871" s="2"/>
      <c r="G871" s="2"/>
      <c r="H871" s="2"/>
      <c r="I871" s="2"/>
      <c r="J871" s="2"/>
      <c r="K871" s="2"/>
      <c r="L871" s="2"/>
      <c r="M871" s="320"/>
      <c r="N871" s="2"/>
      <c r="O871" s="2"/>
      <c r="P871" s="2"/>
      <c r="Q871" s="4"/>
      <c r="R871" s="2"/>
      <c r="S871" s="2"/>
      <c r="U871" s="2"/>
      <c r="CI871" s="321"/>
    </row>
    <row r="872">
      <c r="A872" s="2"/>
      <c r="B872" s="2"/>
      <c r="C872" s="2"/>
      <c r="D872" s="2"/>
      <c r="E872" s="2"/>
      <c r="F872" s="2"/>
      <c r="G872" s="2"/>
      <c r="H872" s="2"/>
      <c r="I872" s="2"/>
      <c r="J872" s="2"/>
      <c r="K872" s="2"/>
      <c r="L872" s="2"/>
      <c r="M872" s="320"/>
      <c r="N872" s="2"/>
      <c r="O872" s="2"/>
      <c r="P872" s="2"/>
      <c r="Q872" s="4"/>
      <c r="R872" s="2"/>
      <c r="S872" s="2"/>
      <c r="U872" s="2"/>
      <c r="CI872" s="321"/>
    </row>
    <row r="873">
      <c r="A873" s="2"/>
      <c r="B873" s="2"/>
      <c r="C873" s="2"/>
      <c r="D873" s="2"/>
      <c r="E873" s="2"/>
      <c r="F873" s="2"/>
      <c r="G873" s="2"/>
      <c r="H873" s="2"/>
      <c r="I873" s="2"/>
      <c r="J873" s="2"/>
      <c r="K873" s="2"/>
      <c r="L873" s="2"/>
      <c r="M873" s="320"/>
      <c r="N873" s="2"/>
      <c r="O873" s="2"/>
      <c r="P873" s="2"/>
      <c r="Q873" s="4"/>
      <c r="R873" s="2"/>
      <c r="S873" s="2"/>
      <c r="U873" s="2"/>
      <c r="CI873" s="321"/>
    </row>
    <row r="874">
      <c r="A874" s="2"/>
      <c r="B874" s="2"/>
      <c r="C874" s="2"/>
      <c r="D874" s="2"/>
      <c r="E874" s="2"/>
      <c r="F874" s="2"/>
      <c r="G874" s="2"/>
      <c r="H874" s="2"/>
      <c r="I874" s="2"/>
      <c r="J874" s="2"/>
      <c r="K874" s="2"/>
      <c r="L874" s="2"/>
      <c r="M874" s="320"/>
      <c r="N874" s="2"/>
      <c r="O874" s="2"/>
      <c r="P874" s="2"/>
      <c r="Q874" s="4"/>
      <c r="R874" s="2"/>
      <c r="S874" s="2"/>
      <c r="U874" s="2"/>
      <c r="CI874" s="321"/>
    </row>
    <row r="875">
      <c r="A875" s="2"/>
      <c r="B875" s="2"/>
      <c r="C875" s="2"/>
      <c r="D875" s="2"/>
      <c r="E875" s="2"/>
      <c r="F875" s="2"/>
      <c r="G875" s="2"/>
      <c r="H875" s="2"/>
      <c r="I875" s="2"/>
      <c r="J875" s="2"/>
      <c r="K875" s="2"/>
      <c r="L875" s="2"/>
      <c r="M875" s="320"/>
      <c r="N875" s="2"/>
      <c r="O875" s="2"/>
      <c r="P875" s="2"/>
      <c r="Q875" s="4"/>
      <c r="R875" s="2"/>
      <c r="S875" s="2"/>
      <c r="U875" s="2"/>
      <c r="CI875" s="321"/>
    </row>
    <row r="876">
      <c r="A876" s="2"/>
      <c r="B876" s="2"/>
      <c r="C876" s="2"/>
      <c r="D876" s="2"/>
      <c r="E876" s="2"/>
      <c r="F876" s="2"/>
      <c r="G876" s="2"/>
      <c r="H876" s="2"/>
      <c r="I876" s="2"/>
      <c r="J876" s="2"/>
      <c r="K876" s="2"/>
      <c r="L876" s="2"/>
      <c r="M876" s="320"/>
      <c r="N876" s="2"/>
      <c r="O876" s="2"/>
      <c r="P876" s="2"/>
      <c r="Q876" s="4"/>
      <c r="R876" s="2"/>
      <c r="S876" s="2"/>
      <c r="U876" s="2"/>
      <c r="CI876" s="321"/>
    </row>
    <row r="877">
      <c r="A877" s="2"/>
      <c r="B877" s="2"/>
      <c r="C877" s="2"/>
      <c r="D877" s="2"/>
      <c r="E877" s="2"/>
      <c r="F877" s="2"/>
      <c r="G877" s="2"/>
      <c r="H877" s="2"/>
      <c r="I877" s="2"/>
      <c r="J877" s="2"/>
      <c r="K877" s="2"/>
      <c r="L877" s="2"/>
      <c r="M877" s="320"/>
      <c r="N877" s="2"/>
      <c r="O877" s="2"/>
      <c r="P877" s="2"/>
      <c r="Q877" s="4"/>
      <c r="R877" s="2"/>
      <c r="S877" s="2"/>
      <c r="U877" s="2"/>
      <c r="CI877" s="321"/>
    </row>
    <row r="878">
      <c r="A878" s="2"/>
      <c r="B878" s="2"/>
      <c r="C878" s="2"/>
      <c r="D878" s="2"/>
      <c r="E878" s="2"/>
      <c r="F878" s="2"/>
      <c r="G878" s="2"/>
      <c r="H878" s="2"/>
      <c r="I878" s="2"/>
      <c r="J878" s="2"/>
      <c r="K878" s="2"/>
      <c r="L878" s="2"/>
      <c r="M878" s="320"/>
      <c r="N878" s="2"/>
      <c r="O878" s="2"/>
      <c r="P878" s="2"/>
      <c r="Q878" s="4"/>
      <c r="R878" s="2"/>
      <c r="S878" s="2"/>
      <c r="U878" s="2"/>
      <c r="CI878" s="321"/>
    </row>
    <row r="879">
      <c r="A879" s="2"/>
      <c r="B879" s="2"/>
      <c r="C879" s="2"/>
      <c r="D879" s="2"/>
      <c r="E879" s="2"/>
      <c r="F879" s="2"/>
      <c r="G879" s="2"/>
      <c r="H879" s="2"/>
      <c r="I879" s="2"/>
      <c r="J879" s="2"/>
      <c r="K879" s="2"/>
      <c r="L879" s="2"/>
      <c r="M879" s="320"/>
      <c r="N879" s="2"/>
      <c r="O879" s="2"/>
      <c r="P879" s="2"/>
      <c r="Q879" s="4"/>
      <c r="R879" s="2"/>
      <c r="S879" s="2"/>
      <c r="U879" s="2"/>
      <c r="CI879" s="321"/>
    </row>
    <row r="880">
      <c r="A880" s="2"/>
      <c r="B880" s="2"/>
      <c r="C880" s="2"/>
      <c r="D880" s="2"/>
      <c r="E880" s="2"/>
      <c r="F880" s="2"/>
      <c r="G880" s="2"/>
      <c r="H880" s="2"/>
      <c r="I880" s="2"/>
      <c r="J880" s="2"/>
      <c r="K880" s="2"/>
      <c r="L880" s="2"/>
      <c r="M880" s="320"/>
      <c r="N880" s="2"/>
      <c r="O880" s="2"/>
      <c r="P880" s="2"/>
      <c r="Q880" s="4"/>
      <c r="R880" s="2"/>
      <c r="S880" s="2"/>
      <c r="U880" s="2"/>
      <c r="CI880" s="321"/>
    </row>
    <row r="881">
      <c r="A881" s="2"/>
      <c r="B881" s="2"/>
      <c r="C881" s="2"/>
      <c r="D881" s="2"/>
      <c r="E881" s="2"/>
      <c r="F881" s="2"/>
      <c r="G881" s="2"/>
      <c r="H881" s="2"/>
      <c r="I881" s="2"/>
      <c r="J881" s="2"/>
      <c r="K881" s="2"/>
      <c r="L881" s="2"/>
      <c r="M881" s="320"/>
      <c r="N881" s="2"/>
      <c r="O881" s="2"/>
      <c r="P881" s="2"/>
      <c r="Q881" s="4"/>
      <c r="R881" s="2"/>
      <c r="S881" s="2"/>
      <c r="U881" s="2"/>
      <c r="CI881" s="321"/>
    </row>
    <row r="882">
      <c r="A882" s="2"/>
      <c r="B882" s="2"/>
      <c r="C882" s="2"/>
      <c r="D882" s="2"/>
      <c r="E882" s="2"/>
      <c r="F882" s="2"/>
      <c r="G882" s="2"/>
      <c r="H882" s="2"/>
      <c r="I882" s="2"/>
      <c r="J882" s="2"/>
      <c r="K882" s="2"/>
      <c r="L882" s="2"/>
      <c r="M882" s="320"/>
      <c r="N882" s="2"/>
      <c r="O882" s="2"/>
      <c r="P882" s="2"/>
      <c r="Q882" s="4"/>
      <c r="R882" s="2"/>
      <c r="S882" s="2"/>
      <c r="U882" s="2"/>
      <c r="CI882" s="321"/>
    </row>
    <row r="883">
      <c r="A883" s="2"/>
      <c r="B883" s="2"/>
      <c r="C883" s="2"/>
      <c r="D883" s="2"/>
      <c r="E883" s="2"/>
      <c r="F883" s="2"/>
      <c r="G883" s="2"/>
      <c r="H883" s="2"/>
      <c r="I883" s="2"/>
      <c r="J883" s="2"/>
      <c r="K883" s="2"/>
      <c r="L883" s="2"/>
      <c r="M883" s="320"/>
      <c r="N883" s="2"/>
      <c r="O883" s="2"/>
      <c r="P883" s="2"/>
      <c r="Q883" s="4"/>
      <c r="R883" s="2"/>
      <c r="S883" s="2"/>
      <c r="U883" s="2"/>
      <c r="CI883" s="321"/>
    </row>
    <row r="884">
      <c r="A884" s="2"/>
      <c r="B884" s="2"/>
      <c r="C884" s="2"/>
      <c r="D884" s="2"/>
      <c r="E884" s="2"/>
      <c r="F884" s="2"/>
      <c r="G884" s="2"/>
      <c r="H884" s="2"/>
      <c r="I884" s="2"/>
      <c r="J884" s="2"/>
      <c r="K884" s="2"/>
      <c r="L884" s="2"/>
      <c r="M884" s="320"/>
      <c r="N884" s="2"/>
      <c r="O884" s="2"/>
      <c r="P884" s="2"/>
      <c r="Q884" s="4"/>
      <c r="R884" s="2"/>
      <c r="S884" s="2"/>
      <c r="U884" s="2"/>
      <c r="CI884" s="321"/>
    </row>
    <row r="885">
      <c r="A885" s="2"/>
      <c r="B885" s="2"/>
      <c r="C885" s="2"/>
      <c r="D885" s="2"/>
      <c r="E885" s="2"/>
      <c r="F885" s="2"/>
      <c r="G885" s="2"/>
      <c r="H885" s="2"/>
      <c r="I885" s="2"/>
      <c r="J885" s="2"/>
      <c r="K885" s="2"/>
      <c r="L885" s="2"/>
      <c r="M885" s="320"/>
      <c r="N885" s="2"/>
      <c r="O885" s="2"/>
      <c r="P885" s="2"/>
      <c r="Q885" s="4"/>
      <c r="R885" s="2"/>
      <c r="S885" s="2"/>
      <c r="U885" s="2"/>
      <c r="CI885" s="321"/>
    </row>
    <row r="886">
      <c r="A886" s="2"/>
      <c r="B886" s="2"/>
      <c r="C886" s="2"/>
      <c r="D886" s="2"/>
      <c r="E886" s="2"/>
      <c r="F886" s="2"/>
      <c r="G886" s="2"/>
      <c r="H886" s="2"/>
      <c r="I886" s="2"/>
      <c r="J886" s="2"/>
      <c r="K886" s="2"/>
      <c r="L886" s="2"/>
      <c r="M886" s="320"/>
      <c r="N886" s="2"/>
      <c r="O886" s="2"/>
      <c r="P886" s="2"/>
      <c r="Q886" s="4"/>
      <c r="R886" s="2"/>
      <c r="S886" s="2"/>
      <c r="U886" s="2"/>
      <c r="CI886" s="321"/>
    </row>
    <row r="887">
      <c r="A887" s="2"/>
      <c r="B887" s="2"/>
      <c r="C887" s="2"/>
      <c r="D887" s="2"/>
      <c r="E887" s="2"/>
      <c r="F887" s="2"/>
      <c r="G887" s="2"/>
      <c r="H887" s="2"/>
      <c r="I887" s="2"/>
      <c r="J887" s="2"/>
      <c r="K887" s="2"/>
      <c r="L887" s="2"/>
      <c r="M887" s="320"/>
      <c r="N887" s="2"/>
      <c r="O887" s="2"/>
      <c r="P887" s="2"/>
      <c r="Q887" s="4"/>
      <c r="R887" s="2"/>
      <c r="S887" s="2"/>
      <c r="U887" s="2"/>
      <c r="CI887" s="321"/>
    </row>
    <row r="888">
      <c r="A888" s="2"/>
      <c r="B888" s="2"/>
      <c r="C888" s="2"/>
      <c r="D888" s="2"/>
      <c r="E888" s="2"/>
      <c r="F888" s="2"/>
      <c r="G888" s="2"/>
      <c r="H888" s="2"/>
      <c r="I888" s="2"/>
      <c r="J888" s="2"/>
      <c r="K888" s="2"/>
      <c r="L888" s="2"/>
      <c r="M888" s="320"/>
      <c r="N888" s="2"/>
      <c r="O888" s="2"/>
      <c r="P888" s="2"/>
      <c r="Q888" s="4"/>
      <c r="R888" s="2"/>
      <c r="S888" s="2"/>
      <c r="U888" s="2"/>
      <c r="CI888" s="321"/>
    </row>
    <row r="889">
      <c r="A889" s="2"/>
      <c r="B889" s="2"/>
      <c r="C889" s="2"/>
      <c r="D889" s="2"/>
      <c r="E889" s="2"/>
      <c r="F889" s="2"/>
      <c r="G889" s="2"/>
      <c r="H889" s="2"/>
      <c r="I889" s="2"/>
      <c r="J889" s="2"/>
      <c r="K889" s="2"/>
      <c r="L889" s="2"/>
      <c r="M889" s="320"/>
      <c r="N889" s="2"/>
      <c r="O889" s="2"/>
      <c r="P889" s="2"/>
      <c r="Q889" s="4"/>
      <c r="R889" s="2"/>
      <c r="S889" s="2"/>
      <c r="U889" s="2"/>
      <c r="CI889" s="321"/>
    </row>
    <row r="890">
      <c r="A890" s="2"/>
      <c r="B890" s="2"/>
      <c r="C890" s="2"/>
      <c r="D890" s="2"/>
      <c r="E890" s="2"/>
      <c r="F890" s="2"/>
      <c r="G890" s="2"/>
      <c r="H890" s="2"/>
      <c r="I890" s="2"/>
      <c r="J890" s="2"/>
      <c r="K890" s="2"/>
      <c r="L890" s="2"/>
      <c r="M890" s="320"/>
      <c r="N890" s="2"/>
      <c r="O890" s="2"/>
      <c r="P890" s="2"/>
      <c r="Q890" s="4"/>
      <c r="R890" s="2"/>
      <c r="S890" s="2"/>
      <c r="U890" s="2"/>
      <c r="CI890" s="321"/>
    </row>
    <row r="891">
      <c r="A891" s="2"/>
      <c r="B891" s="2"/>
      <c r="C891" s="2"/>
      <c r="D891" s="2"/>
      <c r="E891" s="2"/>
      <c r="F891" s="2"/>
      <c r="G891" s="2"/>
      <c r="H891" s="2"/>
      <c r="I891" s="2"/>
      <c r="J891" s="2"/>
      <c r="K891" s="2"/>
      <c r="L891" s="2"/>
      <c r="M891" s="320"/>
      <c r="N891" s="2"/>
      <c r="O891" s="2"/>
      <c r="P891" s="2"/>
      <c r="Q891" s="4"/>
      <c r="R891" s="2"/>
      <c r="S891" s="2"/>
      <c r="U891" s="2"/>
      <c r="CI891" s="321"/>
    </row>
    <row r="892">
      <c r="A892" s="2"/>
      <c r="B892" s="2"/>
      <c r="C892" s="2"/>
      <c r="D892" s="2"/>
      <c r="E892" s="2"/>
      <c r="F892" s="2"/>
      <c r="G892" s="2"/>
      <c r="H892" s="2"/>
      <c r="I892" s="2"/>
      <c r="J892" s="2"/>
      <c r="K892" s="2"/>
      <c r="L892" s="2"/>
      <c r="M892" s="320"/>
      <c r="N892" s="2"/>
      <c r="O892" s="2"/>
      <c r="P892" s="2"/>
      <c r="Q892" s="4"/>
      <c r="R892" s="2"/>
      <c r="S892" s="2"/>
      <c r="U892" s="2"/>
      <c r="CI892" s="321"/>
    </row>
    <row r="893">
      <c r="A893" s="2"/>
      <c r="B893" s="2"/>
      <c r="C893" s="2"/>
      <c r="D893" s="2"/>
      <c r="E893" s="2"/>
      <c r="F893" s="2"/>
      <c r="G893" s="2"/>
      <c r="H893" s="2"/>
      <c r="I893" s="2"/>
      <c r="J893" s="2"/>
      <c r="K893" s="2"/>
      <c r="L893" s="2"/>
      <c r="M893" s="320"/>
      <c r="N893" s="2"/>
      <c r="O893" s="2"/>
      <c r="P893" s="2"/>
      <c r="Q893" s="4"/>
      <c r="R893" s="2"/>
      <c r="S893" s="2"/>
      <c r="U893" s="2"/>
      <c r="CI893" s="321"/>
    </row>
    <row r="894">
      <c r="A894" s="2"/>
      <c r="B894" s="2"/>
      <c r="C894" s="2"/>
      <c r="D894" s="2"/>
      <c r="E894" s="2"/>
      <c r="F894" s="2"/>
      <c r="G894" s="2"/>
      <c r="H894" s="2"/>
      <c r="I894" s="2"/>
      <c r="J894" s="2"/>
      <c r="K894" s="2"/>
      <c r="L894" s="2"/>
      <c r="M894" s="320"/>
      <c r="N894" s="2"/>
      <c r="O894" s="2"/>
      <c r="P894" s="2"/>
      <c r="Q894" s="4"/>
      <c r="R894" s="2"/>
      <c r="S894" s="2"/>
      <c r="U894" s="2"/>
      <c r="CI894" s="321"/>
    </row>
    <row r="895">
      <c r="A895" s="2"/>
      <c r="B895" s="2"/>
      <c r="C895" s="2"/>
      <c r="D895" s="2"/>
      <c r="E895" s="2"/>
      <c r="F895" s="2"/>
      <c r="G895" s="2"/>
      <c r="H895" s="2"/>
      <c r="I895" s="2"/>
      <c r="J895" s="2"/>
      <c r="K895" s="2"/>
      <c r="L895" s="2"/>
      <c r="M895" s="320"/>
      <c r="N895" s="2"/>
      <c r="O895" s="2"/>
      <c r="P895" s="2"/>
      <c r="Q895" s="4"/>
      <c r="R895" s="2"/>
      <c r="S895" s="2"/>
      <c r="U895" s="2"/>
      <c r="CI895" s="321"/>
    </row>
    <row r="896">
      <c r="A896" s="2"/>
      <c r="B896" s="2"/>
      <c r="C896" s="2"/>
      <c r="D896" s="2"/>
      <c r="E896" s="2"/>
      <c r="F896" s="2"/>
      <c r="G896" s="2"/>
      <c r="H896" s="2"/>
      <c r="I896" s="2"/>
      <c r="J896" s="2"/>
      <c r="K896" s="2"/>
      <c r="L896" s="2"/>
      <c r="M896" s="320"/>
      <c r="N896" s="2"/>
      <c r="O896" s="2"/>
      <c r="P896" s="2"/>
      <c r="Q896" s="4"/>
      <c r="R896" s="2"/>
      <c r="S896" s="2"/>
      <c r="U896" s="2"/>
      <c r="CI896" s="321"/>
    </row>
    <row r="897">
      <c r="A897" s="2"/>
      <c r="B897" s="2"/>
      <c r="C897" s="2"/>
      <c r="D897" s="2"/>
      <c r="E897" s="2"/>
      <c r="F897" s="2"/>
      <c r="G897" s="2"/>
      <c r="H897" s="2"/>
      <c r="I897" s="2"/>
      <c r="J897" s="2"/>
      <c r="K897" s="2"/>
      <c r="L897" s="2"/>
      <c r="M897" s="320"/>
      <c r="N897" s="2"/>
      <c r="O897" s="2"/>
      <c r="P897" s="2"/>
      <c r="Q897" s="4"/>
      <c r="R897" s="2"/>
      <c r="S897" s="2"/>
      <c r="U897" s="2"/>
      <c r="CI897" s="321"/>
    </row>
    <row r="898">
      <c r="A898" s="2"/>
      <c r="B898" s="2"/>
      <c r="C898" s="2"/>
      <c r="D898" s="2"/>
      <c r="E898" s="2"/>
      <c r="F898" s="2"/>
      <c r="G898" s="2"/>
      <c r="H898" s="2"/>
      <c r="I898" s="2"/>
      <c r="J898" s="2"/>
      <c r="K898" s="2"/>
      <c r="L898" s="2"/>
      <c r="M898" s="320"/>
      <c r="N898" s="2"/>
      <c r="O898" s="2"/>
      <c r="P898" s="2"/>
      <c r="Q898" s="4"/>
      <c r="R898" s="2"/>
      <c r="S898" s="2"/>
      <c r="U898" s="2"/>
      <c r="CI898" s="321"/>
    </row>
    <row r="899">
      <c r="A899" s="2"/>
      <c r="B899" s="2"/>
      <c r="C899" s="2"/>
      <c r="D899" s="2"/>
      <c r="E899" s="2"/>
      <c r="F899" s="2"/>
      <c r="G899" s="2"/>
      <c r="H899" s="2"/>
      <c r="I899" s="2"/>
      <c r="J899" s="2"/>
      <c r="K899" s="2"/>
      <c r="L899" s="2"/>
      <c r="M899" s="320"/>
      <c r="N899" s="2"/>
      <c r="O899" s="2"/>
      <c r="P899" s="2"/>
      <c r="Q899" s="4"/>
      <c r="R899" s="2"/>
      <c r="S899" s="2"/>
      <c r="U899" s="2"/>
      <c r="CI899" s="321"/>
    </row>
    <row r="900">
      <c r="A900" s="2"/>
      <c r="B900" s="2"/>
      <c r="C900" s="2"/>
      <c r="D900" s="2"/>
      <c r="E900" s="2"/>
      <c r="F900" s="2"/>
      <c r="G900" s="2"/>
      <c r="H900" s="2"/>
      <c r="I900" s="2"/>
      <c r="J900" s="2"/>
      <c r="K900" s="2"/>
      <c r="L900" s="2"/>
      <c r="M900" s="320"/>
      <c r="N900" s="2"/>
      <c r="O900" s="2"/>
      <c r="P900" s="2"/>
      <c r="Q900" s="4"/>
      <c r="R900" s="2"/>
      <c r="S900" s="2"/>
      <c r="U900" s="2"/>
      <c r="CI900" s="321"/>
    </row>
    <row r="901">
      <c r="A901" s="2"/>
      <c r="B901" s="2"/>
      <c r="C901" s="2"/>
      <c r="D901" s="2"/>
      <c r="E901" s="2"/>
      <c r="F901" s="2"/>
      <c r="G901" s="2"/>
      <c r="H901" s="2"/>
      <c r="I901" s="2"/>
      <c r="J901" s="2"/>
      <c r="K901" s="2"/>
      <c r="L901" s="2"/>
      <c r="M901" s="320"/>
      <c r="N901" s="2"/>
      <c r="O901" s="2"/>
      <c r="P901" s="2"/>
      <c r="Q901" s="4"/>
      <c r="R901" s="2"/>
      <c r="S901" s="2"/>
      <c r="U901" s="2"/>
      <c r="CI901" s="321"/>
    </row>
    <row r="902">
      <c r="A902" s="2"/>
      <c r="B902" s="2"/>
      <c r="C902" s="2"/>
      <c r="D902" s="2"/>
      <c r="E902" s="2"/>
      <c r="F902" s="2"/>
      <c r="G902" s="2"/>
      <c r="H902" s="2"/>
      <c r="I902" s="2"/>
      <c r="J902" s="2"/>
      <c r="K902" s="2"/>
      <c r="L902" s="2"/>
      <c r="M902" s="320"/>
      <c r="N902" s="2"/>
      <c r="O902" s="2"/>
      <c r="P902" s="2"/>
      <c r="Q902" s="4"/>
      <c r="R902" s="2"/>
      <c r="S902" s="2"/>
      <c r="U902" s="2"/>
      <c r="CI902" s="321"/>
    </row>
    <row r="903">
      <c r="A903" s="2"/>
      <c r="B903" s="2"/>
      <c r="C903" s="2"/>
      <c r="D903" s="2"/>
      <c r="E903" s="2"/>
      <c r="F903" s="2"/>
      <c r="G903" s="2"/>
      <c r="H903" s="2"/>
      <c r="I903" s="2"/>
      <c r="J903" s="2"/>
      <c r="K903" s="2"/>
      <c r="L903" s="2"/>
      <c r="M903" s="320"/>
      <c r="N903" s="2"/>
      <c r="O903" s="2"/>
      <c r="P903" s="2"/>
      <c r="Q903" s="4"/>
      <c r="R903" s="2"/>
      <c r="S903" s="2"/>
      <c r="U903" s="2"/>
      <c r="CI903" s="321"/>
    </row>
    <row r="904">
      <c r="A904" s="2"/>
      <c r="B904" s="2"/>
      <c r="C904" s="2"/>
      <c r="D904" s="2"/>
      <c r="E904" s="2"/>
      <c r="F904" s="2"/>
      <c r="G904" s="2"/>
      <c r="H904" s="2"/>
      <c r="I904" s="2"/>
      <c r="J904" s="2"/>
      <c r="K904" s="2"/>
      <c r="L904" s="2"/>
      <c r="M904" s="320"/>
      <c r="N904" s="2"/>
      <c r="O904" s="2"/>
      <c r="P904" s="2"/>
      <c r="Q904" s="4"/>
      <c r="R904" s="2"/>
      <c r="S904" s="2"/>
      <c r="U904" s="2"/>
      <c r="CI904" s="321"/>
    </row>
    <row r="905">
      <c r="A905" s="2"/>
      <c r="B905" s="2"/>
      <c r="C905" s="2"/>
      <c r="D905" s="2"/>
      <c r="E905" s="2"/>
      <c r="F905" s="2"/>
      <c r="G905" s="2"/>
      <c r="H905" s="2"/>
      <c r="I905" s="2"/>
      <c r="J905" s="2"/>
      <c r="K905" s="2"/>
      <c r="L905" s="2"/>
      <c r="M905" s="320"/>
      <c r="N905" s="2"/>
      <c r="O905" s="2"/>
      <c r="P905" s="2"/>
      <c r="Q905" s="4"/>
      <c r="R905" s="2"/>
      <c r="S905" s="2"/>
      <c r="U905" s="2"/>
      <c r="CI905" s="321"/>
    </row>
    <row r="906">
      <c r="A906" s="2"/>
      <c r="B906" s="2"/>
      <c r="C906" s="2"/>
      <c r="D906" s="2"/>
      <c r="E906" s="2"/>
      <c r="F906" s="2"/>
      <c r="G906" s="2"/>
      <c r="H906" s="2"/>
      <c r="I906" s="2"/>
      <c r="J906" s="2"/>
      <c r="K906" s="2"/>
      <c r="L906" s="2"/>
      <c r="M906" s="320"/>
      <c r="N906" s="2"/>
      <c r="O906" s="2"/>
      <c r="P906" s="2"/>
      <c r="Q906" s="4"/>
      <c r="R906" s="2"/>
      <c r="S906" s="2"/>
      <c r="U906" s="2"/>
      <c r="CI906" s="321"/>
    </row>
    <row r="907">
      <c r="A907" s="2"/>
      <c r="B907" s="2"/>
      <c r="C907" s="2"/>
      <c r="D907" s="2"/>
      <c r="E907" s="2"/>
      <c r="F907" s="2"/>
      <c r="G907" s="2"/>
      <c r="H907" s="2"/>
      <c r="I907" s="2"/>
      <c r="J907" s="2"/>
      <c r="K907" s="2"/>
      <c r="L907" s="2"/>
      <c r="M907" s="320"/>
      <c r="N907" s="2"/>
      <c r="O907" s="2"/>
      <c r="P907" s="2"/>
      <c r="Q907" s="4"/>
      <c r="R907" s="2"/>
      <c r="S907" s="2"/>
      <c r="U907" s="2"/>
      <c r="CI907" s="321"/>
    </row>
    <row r="908">
      <c r="A908" s="2"/>
      <c r="B908" s="2"/>
      <c r="C908" s="2"/>
      <c r="D908" s="2"/>
      <c r="E908" s="2"/>
      <c r="F908" s="2"/>
      <c r="G908" s="2"/>
      <c r="H908" s="2"/>
      <c r="I908" s="2"/>
      <c r="J908" s="2"/>
      <c r="K908" s="2"/>
      <c r="L908" s="2"/>
      <c r="M908" s="320"/>
      <c r="N908" s="2"/>
      <c r="O908" s="2"/>
      <c r="P908" s="2"/>
      <c r="Q908" s="4"/>
      <c r="R908" s="2"/>
      <c r="S908" s="2"/>
      <c r="U908" s="2"/>
      <c r="CI908" s="321"/>
    </row>
    <row r="909">
      <c r="A909" s="2"/>
      <c r="B909" s="2"/>
      <c r="C909" s="2"/>
      <c r="D909" s="2"/>
      <c r="E909" s="2"/>
      <c r="F909" s="2"/>
      <c r="G909" s="2"/>
      <c r="H909" s="2"/>
      <c r="I909" s="2"/>
      <c r="J909" s="2"/>
      <c r="K909" s="2"/>
      <c r="L909" s="2"/>
      <c r="M909" s="320"/>
      <c r="N909" s="2"/>
      <c r="O909" s="2"/>
      <c r="P909" s="2"/>
      <c r="Q909" s="4"/>
      <c r="R909" s="2"/>
      <c r="S909" s="2"/>
      <c r="U909" s="2"/>
      <c r="CI909" s="321"/>
    </row>
    <row r="910">
      <c r="A910" s="2"/>
      <c r="B910" s="2"/>
      <c r="C910" s="2"/>
      <c r="D910" s="2"/>
      <c r="E910" s="2"/>
      <c r="F910" s="2"/>
      <c r="G910" s="2"/>
      <c r="H910" s="2"/>
      <c r="I910" s="2"/>
      <c r="J910" s="2"/>
      <c r="K910" s="2"/>
      <c r="L910" s="2"/>
      <c r="M910" s="320"/>
      <c r="N910" s="2"/>
      <c r="O910" s="2"/>
      <c r="P910" s="2"/>
      <c r="Q910" s="4"/>
      <c r="R910" s="2"/>
      <c r="S910" s="2"/>
      <c r="U910" s="2"/>
      <c r="CI910" s="321"/>
    </row>
    <row r="911">
      <c r="A911" s="2"/>
      <c r="B911" s="2"/>
      <c r="C911" s="2"/>
      <c r="D911" s="2"/>
      <c r="E911" s="2"/>
      <c r="F911" s="2"/>
      <c r="G911" s="2"/>
      <c r="H911" s="2"/>
      <c r="I911" s="2"/>
      <c r="J911" s="2"/>
      <c r="K911" s="2"/>
      <c r="L911" s="2"/>
      <c r="M911" s="320"/>
      <c r="N911" s="2"/>
      <c r="O911" s="2"/>
      <c r="P911" s="2"/>
      <c r="Q911" s="4"/>
      <c r="R911" s="2"/>
      <c r="S911" s="2"/>
      <c r="U911" s="2"/>
      <c r="CI911" s="321"/>
    </row>
    <row r="912">
      <c r="A912" s="2"/>
      <c r="B912" s="2"/>
      <c r="C912" s="2"/>
      <c r="D912" s="2"/>
      <c r="E912" s="2"/>
      <c r="F912" s="2"/>
      <c r="G912" s="2"/>
      <c r="H912" s="2"/>
      <c r="I912" s="2"/>
      <c r="J912" s="2"/>
      <c r="K912" s="2"/>
      <c r="L912" s="2"/>
      <c r="M912" s="320"/>
      <c r="N912" s="2"/>
      <c r="O912" s="2"/>
      <c r="P912" s="2"/>
      <c r="Q912" s="4"/>
      <c r="R912" s="2"/>
      <c r="S912" s="2"/>
      <c r="U912" s="2"/>
      <c r="CI912" s="321"/>
    </row>
    <row r="913">
      <c r="A913" s="2"/>
      <c r="B913" s="2"/>
      <c r="C913" s="2"/>
      <c r="D913" s="2"/>
      <c r="E913" s="2"/>
      <c r="F913" s="2"/>
      <c r="G913" s="2"/>
      <c r="H913" s="2"/>
      <c r="I913" s="2"/>
      <c r="J913" s="2"/>
      <c r="K913" s="2"/>
      <c r="L913" s="2"/>
      <c r="M913" s="320"/>
      <c r="N913" s="2"/>
      <c r="O913" s="2"/>
      <c r="P913" s="2"/>
      <c r="Q913" s="4"/>
      <c r="R913" s="2"/>
      <c r="S913" s="2"/>
      <c r="U913" s="2"/>
      <c r="CI913" s="321"/>
    </row>
    <row r="914">
      <c r="A914" s="2"/>
      <c r="B914" s="2"/>
      <c r="C914" s="2"/>
      <c r="D914" s="2"/>
      <c r="E914" s="2"/>
      <c r="F914" s="2"/>
      <c r="G914" s="2"/>
      <c r="H914" s="2"/>
      <c r="I914" s="2"/>
      <c r="J914" s="2"/>
      <c r="K914" s="2"/>
      <c r="L914" s="2"/>
      <c r="M914" s="320"/>
      <c r="N914" s="2"/>
      <c r="O914" s="2"/>
      <c r="P914" s="2"/>
      <c r="Q914" s="4"/>
      <c r="R914" s="2"/>
      <c r="S914" s="2"/>
      <c r="U914" s="2"/>
      <c r="CI914" s="321"/>
    </row>
    <row r="915">
      <c r="A915" s="2"/>
      <c r="B915" s="2"/>
      <c r="C915" s="2"/>
      <c r="D915" s="2"/>
      <c r="E915" s="2"/>
      <c r="F915" s="2"/>
      <c r="G915" s="2"/>
      <c r="H915" s="2"/>
      <c r="I915" s="2"/>
      <c r="J915" s="2"/>
      <c r="K915" s="2"/>
      <c r="L915" s="2"/>
      <c r="M915" s="320"/>
      <c r="N915" s="2"/>
      <c r="O915" s="2"/>
      <c r="P915" s="2"/>
      <c r="Q915" s="4"/>
      <c r="R915" s="2"/>
      <c r="S915" s="2"/>
      <c r="U915" s="2"/>
      <c r="CI915" s="321"/>
    </row>
    <row r="916">
      <c r="A916" s="2"/>
      <c r="B916" s="2"/>
      <c r="C916" s="2"/>
      <c r="D916" s="2"/>
      <c r="E916" s="2"/>
      <c r="F916" s="2"/>
      <c r="G916" s="2"/>
      <c r="H916" s="2"/>
      <c r="I916" s="2"/>
      <c r="J916" s="2"/>
      <c r="K916" s="2"/>
      <c r="L916" s="2"/>
      <c r="M916" s="320"/>
      <c r="N916" s="2"/>
      <c r="O916" s="2"/>
      <c r="P916" s="2"/>
      <c r="Q916" s="4"/>
      <c r="R916" s="2"/>
      <c r="S916" s="2"/>
      <c r="U916" s="2"/>
      <c r="CI916" s="321"/>
    </row>
    <row r="917">
      <c r="A917" s="2"/>
      <c r="B917" s="2"/>
      <c r="C917" s="2"/>
      <c r="D917" s="2"/>
      <c r="E917" s="2"/>
      <c r="F917" s="2"/>
      <c r="G917" s="2"/>
      <c r="H917" s="2"/>
      <c r="I917" s="2"/>
      <c r="J917" s="2"/>
      <c r="K917" s="2"/>
      <c r="L917" s="2"/>
      <c r="M917" s="320"/>
      <c r="N917" s="2"/>
      <c r="O917" s="2"/>
      <c r="P917" s="2"/>
      <c r="Q917" s="4"/>
      <c r="R917" s="2"/>
      <c r="S917" s="2"/>
      <c r="U917" s="2"/>
      <c r="CI917" s="321"/>
    </row>
    <row r="918">
      <c r="A918" s="2"/>
      <c r="B918" s="2"/>
      <c r="C918" s="2"/>
      <c r="D918" s="2"/>
      <c r="E918" s="2"/>
      <c r="F918" s="2"/>
      <c r="G918" s="2"/>
      <c r="H918" s="2"/>
      <c r="I918" s="2"/>
      <c r="J918" s="2"/>
      <c r="K918" s="2"/>
      <c r="L918" s="2"/>
      <c r="M918" s="320"/>
      <c r="N918" s="2"/>
      <c r="O918" s="2"/>
      <c r="P918" s="2"/>
      <c r="Q918" s="4"/>
      <c r="R918" s="2"/>
      <c r="S918" s="2"/>
      <c r="U918" s="2"/>
      <c r="CI918" s="321"/>
    </row>
    <row r="919">
      <c r="A919" s="2"/>
      <c r="B919" s="2"/>
      <c r="C919" s="2"/>
      <c r="D919" s="2"/>
      <c r="E919" s="2"/>
      <c r="F919" s="2"/>
      <c r="G919" s="2"/>
      <c r="H919" s="2"/>
      <c r="I919" s="2"/>
      <c r="J919" s="2"/>
      <c r="K919" s="2"/>
      <c r="L919" s="2"/>
      <c r="M919" s="320"/>
      <c r="N919" s="2"/>
      <c r="O919" s="2"/>
      <c r="P919" s="2"/>
      <c r="Q919" s="4"/>
      <c r="R919" s="2"/>
      <c r="S919" s="2"/>
      <c r="U919" s="2"/>
      <c r="CI919" s="321"/>
    </row>
    <row r="920">
      <c r="A920" s="2"/>
      <c r="B920" s="2"/>
      <c r="C920" s="2"/>
      <c r="D920" s="2"/>
      <c r="E920" s="2"/>
      <c r="F920" s="2"/>
      <c r="G920" s="2"/>
      <c r="H920" s="2"/>
      <c r="I920" s="2"/>
      <c r="J920" s="2"/>
      <c r="K920" s="2"/>
      <c r="L920" s="2"/>
      <c r="M920" s="320"/>
      <c r="N920" s="2"/>
      <c r="O920" s="2"/>
      <c r="P920" s="2"/>
      <c r="Q920" s="4"/>
      <c r="R920" s="2"/>
      <c r="S920" s="2"/>
      <c r="U920" s="2"/>
      <c r="CI920" s="321"/>
    </row>
    <row r="921">
      <c r="A921" s="2"/>
      <c r="B921" s="2"/>
      <c r="C921" s="2"/>
      <c r="D921" s="2"/>
      <c r="E921" s="2"/>
      <c r="F921" s="2"/>
      <c r="G921" s="2"/>
      <c r="H921" s="2"/>
      <c r="I921" s="2"/>
      <c r="J921" s="2"/>
      <c r="K921" s="2"/>
      <c r="L921" s="2"/>
      <c r="M921" s="320"/>
      <c r="N921" s="2"/>
      <c r="O921" s="2"/>
      <c r="P921" s="2"/>
      <c r="Q921" s="4"/>
      <c r="R921" s="2"/>
      <c r="S921" s="2"/>
      <c r="U921" s="2"/>
      <c r="CI921" s="321"/>
    </row>
    <row r="922">
      <c r="A922" s="2"/>
      <c r="B922" s="2"/>
      <c r="C922" s="2"/>
      <c r="D922" s="2"/>
      <c r="E922" s="2"/>
      <c r="F922" s="2"/>
      <c r="G922" s="2"/>
      <c r="H922" s="2"/>
      <c r="I922" s="2"/>
      <c r="J922" s="2"/>
      <c r="K922" s="2"/>
      <c r="L922" s="2"/>
      <c r="M922" s="320"/>
      <c r="N922" s="2"/>
      <c r="O922" s="2"/>
      <c r="P922" s="2"/>
      <c r="Q922" s="4"/>
      <c r="R922" s="2"/>
      <c r="S922" s="2"/>
      <c r="U922" s="2"/>
      <c r="CI922" s="321"/>
    </row>
    <row r="923">
      <c r="A923" s="2"/>
      <c r="B923" s="2"/>
      <c r="C923" s="2"/>
      <c r="D923" s="2"/>
      <c r="E923" s="2"/>
      <c r="F923" s="2"/>
      <c r="G923" s="2"/>
      <c r="H923" s="2"/>
      <c r="I923" s="2"/>
      <c r="J923" s="2"/>
      <c r="K923" s="2"/>
      <c r="L923" s="2"/>
      <c r="M923" s="320"/>
      <c r="N923" s="2"/>
      <c r="O923" s="2"/>
      <c r="P923" s="2"/>
      <c r="Q923" s="4"/>
      <c r="R923" s="2"/>
      <c r="S923" s="2"/>
      <c r="U923" s="2"/>
      <c r="CI923" s="321"/>
    </row>
    <row r="924">
      <c r="A924" s="2"/>
      <c r="B924" s="2"/>
      <c r="C924" s="2"/>
      <c r="D924" s="2"/>
      <c r="E924" s="2"/>
      <c r="F924" s="2"/>
      <c r="G924" s="2"/>
      <c r="H924" s="2"/>
      <c r="I924" s="2"/>
      <c r="J924" s="2"/>
      <c r="K924" s="2"/>
      <c r="L924" s="2"/>
      <c r="M924" s="320"/>
      <c r="N924" s="2"/>
      <c r="O924" s="2"/>
      <c r="P924" s="2"/>
      <c r="Q924" s="4"/>
      <c r="R924" s="2"/>
      <c r="S924" s="2"/>
      <c r="U924" s="2"/>
      <c r="CI924" s="321"/>
    </row>
    <row r="925">
      <c r="A925" s="2"/>
      <c r="B925" s="2"/>
      <c r="C925" s="2"/>
      <c r="D925" s="2"/>
      <c r="E925" s="2"/>
      <c r="F925" s="2"/>
      <c r="G925" s="2"/>
      <c r="H925" s="2"/>
      <c r="I925" s="2"/>
      <c r="J925" s="2"/>
      <c r="K925" s="2"/>
      <c r="L925" s="2"/>
      <c r="M925" s="320"/>
      <c r="N925" s="2"/>
      <c r="O925" s="2"/>
      <c r="P925" s="2"/>
      <c r="Q925" s="4"/>
      <c r="R925" s="2"/>
      <c r="S925" s="2"/>
      <c r="U925" s="2"/>
      <c r="CI925" s="321"/>
    </row>
    <row r="926">
      <c r="A926" s="2"/>
      <c r="B926" s="2"/>
      <c r="C926" s="2"/>
      <c r="D926" s="2"/>
      <c r="E926" s="2"/>
      <c r="F926" s="2"/>
      <c r="G926" s="2"/>
      <c r="H926" s="2"/>
      <c r="I926" s="2"/>
      <c r="J926" s="2"/>
      <c r="K926" s="2"/>
      <c r="L926" s="2"/>
      <c r="M926" s="320"/>
      <c r="N926" s="2"/>
      <c r="O926" s="2"/>
      <c r="P926" s="2"/>
      <c r="Q926" s="4"/>
      <c r="R926" s="2"/>
      <c r="S926" s="2"/>
      <c r="U926" s="2"/>
      <c r="CI926" s="321"/>
    </row>
    <row r="927">
      <c r="A927" s="2"/>
      <c r="B927" s="2"/>
      <c r="C927" s="2"/>
      <c r="D927" s="2"/>
      <c r="E927" s="2"/>
      <c r="F927" s="2"/>
      <c r="G927" s="2"/>
      <c r="H927" s="2"/>
      <c r="I927" s="2"/>
      <c r="J927" s="2"/>
      <c r="K927" s="2"/>
      <c r="L927" s="2"/>
      <c r="M927" s="320"/>
      <c r="N927" s="2"/>
      <c r="O927" s="2"/>
      <c r="P927" s="2"/>
      <c r="Q927" s="4"/>
      <c r="R927" s="2"/>
      <c r="S927" s="2"/>
      <c r="U927" s="2"/>
      <c r="CI927" s="321"/>
    </row>
    <row r="928">
      <c r="A928" s="2"/>
      <c r="B928" s="2"/>
      <c r="C928" s="2"/>
      <c r="D928" s="2"/>
      <c r="E928" s="2"/>
      <c r="F928" s="2"/>
      <c r="G928" s="2"/>
      <c r="H928" s="2"/>
      <c r="I928" s="2"/>
      <c r="J928" s="2"/>
      <c r="K928" s="2"/>
      <c r="L928" s="2"/>
      <c r="M928" s="320"/>
      <c r="N928" s="2"/>
      <c r="O928" s="2"/>
      <c r="P928" s="2"/>
      <c r="Q928" s="4"/>
      <c r="R928" s="2"/>
      <c r="S928" s="2"/>
      <c r="U928" s="2"/>
      <c r="CI928" s="321"/>
    </row>
    <row r="929">
      <c r="A929" s="2"/>
      <c r="B929" s="2"/>
      <c r="C929" s="2"/>
      <c r="D929" s="2"/>
      <c r="E929" s="2"/>
      <c r="F929" s="2"/>
      <c r="G929" s="2"/>
      <c r="H929" s="2"/>
      <c r="I929" s="2"/>
      <c r="J929" s="2"/>
      <c r="K929" s="2"/>
      <c r="L929" s="2"/>
      <c r="M929" s="320"/>
      <c r="N929" s="2"/>
      <c r="O929" s="2"/>
      <c r="P929" s="2"/>
      <c r="Q929" s="4"/>
      <c r="R929" s="2"/>
      <c r="S929" s="2"/>
      <c r="U929" s="2"/>
      <c r="CI929" s="321"/>
    </row>
    <row r="930">
      <c r="A930" s="2"/>
      <c r="B930" s="2"/>
      <c r="C930" s="2"/>
      <c r="D930" s="2"/>
      <c r="E930" s="2"/>
      <c r="F930" s="2"/>
      <c r="G930" s="2"/>
      <c r="H930" s="2"/>
      <c r="I930" s="2"/>
      <c r="J930" s="2"/>
      <c r="K930" s="2"/>
      <c r="L930" s="2"/>
      <c r="M930" s="320"/>
      <c r="N930" s="2"/>
      <c r="O930" s="2"/>
      <c r="P930" s="2"/>
      <c r="Q930" s="4"/>
      <c r="R930" s="2"/>
      <c r="S930" s="2"/>
      <c r="U930" s="2"/>
      <c r="CI930" s="321"/>
    </row>
    <row r="931">
      <c r="A931" s="2"/>
      <c r="B931" s="2"/>
      <c r="C931" s="2"/>
      <c r="D931" s="2"/>
      <c r="E931" s="2"/>
      <c r="F931" s="2"/>
      <c r="G931" s="2"/>
      <c r="H931" s="2"/>
      <c r="I931" s="2"/>
      <c r="J931" s="2"/>
      <c r="K931" s="2"/>
      <c r="L931" s="2"/>
      <c r="M931" s="320"/>
      <c r="N931" s="2"/>
      <c r="O931" s="2"/>
      <c r="P931" s="2"/>
      <c r="Q931" s="4"/>
      <c r="R931" s="2"/>
      <c r="S931" s="2"/>
      <c r="U931" s="2"/>
      <c r="CI931" s="321"/>
    </row>
    <row r="932">
      <c r="A932" s="2"/>
      <c r="B932" s="2"/>
      <c r="C932" s="2"/>
      <c r="D932" s="2"/>
      <c r="E932" s="2"/>
      <c r="F932" s="2"/>
      <c r="G932" s="2"/>
      <c r="H932" s="2"/>
      <c r="I932" s="2"/>
      <c r="J932" s="2"/>
      <c r="K932" s="2"/>
      <c r="L932" s="2"/>
      <c r="M932" s="320"/>
      <c r="N932" s="2"/>
      <c r="O932" s="2"/>
      <c r="P932" s="2"/>
      <c r="Q932" s="4"/>
      <c r="R932" s="2"/>
      <c r="S932" s="2"/>
      <c r="U932" s="2"/>
      <c r="CI932" s="321"/>
    </row>
    <row r="933">
      <c r="A933" s="2"/>
      <c r="B933" s="2"/>
      <c r="C933" s="2"/>
      <c r="D933" s="2"/>
      <c r="E933" s="2"/>
      <c r="F933" s="2"/>
      <c r="G933" s="2"/>
      <c r="H933" s="2"/>
      <c r="I933" s="2"/>
      <c r="J933" s="2"/>
      <c r="K933" s="2"/>
      <c r="L933" s="2"/>
      <c r="M933" s="320"/>
      <c r="N933" s="2"/>
      <c r="O933" s="2"/>
      <c r="P933" s="2"/>
      <c r="Q933" s="4"/>
      <c r="R933" s="2"/>
      <c r="S933" s="2"/>
      <c r="U933" s="2"/>
      <c r="CI933" s="321"/>
    </row>
    <row r="934">
      <c r="A934" s="2"/>
      <c r="B934" s="2"/>
      <c r="C934" s="2"/>
      <c r="D934" s="2"/>
      <c r="E934" s="2"/>
      <c r="F934" s="2"/>
      <c r="G934" s="2"/>
      <c r="H934" s="2"/>
      <c r="I934" s="2"/>
      <c r="J934" s="2"/>
      <c r="K934" s="2"/>
      <c r="L934" s="2"/>
      <c r="M934" s="320"/>
      <c r="N934" s="2"/>
      <c r="O934" s="2"/>
      <c r="P934" s="2"/>
      <c r="Q934" s="4"/>
      <c r="R934" s="2"/>
      <c r="S934" s="2"/>
      <c r="U934" s="2"/>
      <c r="CI934" s="321"/>
    </row>
    <row r="935">
      <c r="A935" s="2"/>
      <c r="B935" s="2"/>
      <c r="C935" s="2"/>
      <c r="D935" s="2"/>
      <c r="E935" s="2"/>
      <c r="F935" s="2"/>
      <c r="G935" s="2"/>
      <c r="H935" s="2"/>
      <c r="I935" s="2"/>
      <c r="J935" s="2"/>
      <c r="K935" s="2"/>
      <c r="L935" s="2"/>
      <c r="M935" s="320"/>
      <c r="N935" s="2"/>
      <c r="O935" s="2"/>
      <c r="P935" s="2"/>
      <c r="Q935" s="4"/>
      <c r="R935" s="2"/>
      <c r="S935" s="2"/>
      <c r="U935" s="2"/>
      <c r="CI935" s="321"/>
    </row>
    <row r="936">
      <c r="A936" s="2"/>
      <c r="B936" s="2"/>
      <c r="C936" s="2"/>
      <c r="D936" s="2"/>
      <c r="E936" s="2"/>
      <c r="F936" s="2"/>
      <c r="G936" s="2"/>
      <c r="H936" s="2"/>
      <c r="I936" s="2"/>
      <c r="J936" s="2"/>
      <c r="K936" s="2"/>
      <c r="L936" s="2"/>
      <c r="M936" s="320"/>
      <c r="N936" s="2"/>
      <c r="O936" s="2"/>
      <c r="P936" s="2"/>
      <c r="Q936" s="4"/>
      <c r="R936" s="2"/>
      <c r="S936" s="2"/>
      <c r="U936" s="2"/>
      <c r="CI936" s="321"/>
    </row>
    <row r="937">
      <c r="A937" s="2"/>
      <c r="B937" s="2"/>
      <c r="C937" s="2"/>
      <c r="D937" s="2"/>
      <c r="E937" s="2"/>
      <c r="F937" s="2"/>
      <c r="G937" s="2"/>
      <c r="H937" s="2"/>
      <c r="I937" s="2"/>
      <c r="J937" s="2"/>
      <c r="K937" s="2"/>
      <c r="L937" s="2"/>
      <c r="M937" s="320"/>
      <c r="N937" s="2"/>
      <c r="O937" s="2"/>
      <c r="P937" s="2"/>
      <c r="Q937" s="4"/>
      <c r="R937" s="2"/>
      <c r="S937" s="2"/>
      <c r="U937" s="2"/>
      <c r="CI937" s="321"/>
    </row>
    <row r="938">
      <c r="A938" s="2"/>
      <c r="B938" s="2"/>
      <c r="C938" s="2"/>
      <c r="D938" s="2"/>
      <c r="E938" s="2"/>
      <c r="F938" s="2"/>
      <c r="G938" s="2"/>
      <c r="H938" s="2"/>
      <c r="I938" s="2"/>
      <c r="J938" s="2"/>
      <c r="K938" s="2"/>
      <c r="L938" s="2"/>
      <c r="M938" s="320"/>
      <c r="N938" s="2"/>
      <c r="O938" s="2"/>
      <c r="P938" s="2"/>
      <c r="Q938" s="4"/>
      <c r="R938" s="2"/>
      <c r="S938" s="2"/>
      <c r="U938" s="2"/>
      <c r="CI938" s="321"/>
    </row>
    <row r="939">
      <c r="A939" s="2"/>
      <c r="B939" s="2"/>
      <c r="C939" s="2"/>
      <c r="D939" s="2"/>
      <c r="E939" s="2"/>
      <c r="F939" s="2"/>
      <c r="G939" s="2"/>
      <c r="H939" s="2"/>
      <c r="I939" s="2"/>
      <c r="J939" s="2"/>
      <c r="K939" s="2"/>
      <c r="L939" s="2"/>
      <c r="M939" s="320"/>
      <c r="N939" s="2"/>
      <c r="O939" s="2"/>
      <c r="P939" s="2"/>
      <c r="Q939" s="4"/>
      <c r="R939" s="2"/>
      <c r="S939" s="2"/>
      <c r="U939" s="2"/>
      <c r="CI939" s="321"/>
    </row>
    <row r="940">
      <c r="A940" s="2"/>
      <c r="B940" s="2"/>
      <c r="C940" s="2"/>
      <c r="D940" s="2"/>
      <c r="E940" s="2"/>
      <c r="F940" s="2"/>
      <c r="G940" s="2"/>
      <c r="H940" s="2"/>
      <c r="I940" s="2"/>
      <c r="J940" s="2"/>
      <c r="K940" s="2"/>
      <c r="L940" s="2"/>
      <c r="M940" s="320"/>
      <c r="N940" s="2"/>
      <c r="O940" s="2"/>
      <c r="P940" s="2"/>
      <c r="Q940" s="4"/>
      <c r="R940" s="2"/>
      <c r="S940" s="2"/>
      <c r="U940" s="2"/>
      <c r="CI940" s="321"/>
    </row>
    <row r="941">
      <c r="A941" s="2"/>
      <c r="B941" s="2"/>
      <c r="C941" s="2"/>
      <c r="D941" s="2"/>
      <c r="E941" s="2"/>
      <c r="F941" s="2"/>
      <c r="G941" s="2"/>
      <c r="H941" s="2"/>
      <c r="I941" s="2"/>
      <c r="J941" s="2"/>
      <c r="K941" s="2"/>
      <c r="L941" s="2"/>
      <c r="M941" s="320"/>
      <c r="N941" s="2"/>
      <c r="O941" s="2"/>
      <c r="P941" s="2"/>
      <c r="Q941" s="4"/>
      <c r="R941" s="2"/>
      <c r="S941" s="2"/>
      <c r="U941" s="2"/>
      <c r="CI941" s="321"/>
    </row>
    <row r="942">
      <c r="A942" s="2"/>
      <c r="B942" s="2"/>
      <c r="C942" s="2"/>
      <c r="D942" s="2"/>
      <c r="E942" s="2"/>
      <c r="F942" s="2"/>
      <c r="G942" s="2"/>
      <c r="H942" s="2"/>
      <c r="I942" s="2"/>
      <c r="J942" s="2"/>
      <c r="K942" s="2"/>
      <c r="L942" s="2"/>
      <c r="M942" s="320"/>
      <c r="N942" s="2"/>
      <c r="O942" s="2"/>
      <c r="P942" s="2"/>
      <c r="Q942" s="4"/>
      <c r="R942" s="2"/>
      <c r="S942" s="2"/>
      <c r="U942" s="2"/>
      <c r="CI942" s="321"/>
    </row>
    <row r="943">
      <c r="A943" s="2"/>
      <c r="B943" s="2"/>
      <c r="C943" s="2"/>
      <c r="D943" s="2"/>
      <c r="E943" s="2"/>
      <c r="F943" s="2"/>
      <c r="G943" s="2"/>
      <c r="H943" s="2"/>
      <c r="I943" s="2"/>
      <c r="J943" s="2"/>
      <c r="K943" s="2"/>
      <c r="L943" s="2"/>
      <c r="M943" s="320"/>
      <c r="N943" s="2"/>
      <c r="O943" s="2"/>
      <c r="P943" s="2"/>
      <c r="Q943" s="4"/>
      <c r="R943" s="2"/>
      <c r="S943" s="2"/>
      <c r="U943" s="2"/>
      <c r="CI943" s="321"/>
    </row>
    <row r="944">
      <c r="A944" s="2"/>
      <c r="B944" s="2"/>
      <c r="C944" s="2"/>
      <c r="D944" s="2"/>
      <c r="E944" s="2"/>
      <c r="F944" s="2"/>
      <c r="G944" s="2"/>
      <c r="H944" s="2"/>
      <c r="I944" s="2"/>
      <c r="J944" s="2"/>
      <c r="K944" s="2"/>
      <c r="L944" s="2"/>
      <c r="M944" s="320"/>
      <c r="N944" s="2"/>
      <c r="O944" s="2"/>
      <c r="P944" s="2"/>
      <c r="Q944" s="4"/>
      <c r="R944" s="2"/>
      <c r="S944" s="2"/>
      <c r="U944" s="2"/>
      <c r="CI944" s="321"/>
    </row>
    <row r="945">
      <c r="A945" s="2"/>
      <c r="B945" s="2"/>
      <c r="C945" s="2"/>
      <c r="D945" s="2"/>
      <c r="E945" s="2"/>
      <c r="F945" s="2"/>
      <c r="G945" s="2"/>
      <c r="H945" s="2"/>
      <c r="I945" s="2"/>
      <c r="J945" s="2"/>
      <c r="K945" s="2"/>
      <c r="L945" s="2"/>
      <c r="M945" s="320"/>
      <c r="N945" s="2"/>
      <c r="O945" s="2"/>
      <c r="P945" s="2"/>
      <c r="Q945" s="4"/>
      <c r="R945" s="2"/>
      <c r="S945" s="2"/>
      <c r="U945" s="2"/>
      <c r="CI945" s="321"/>
    </row>
    <row r="946">
      <c r="A946" s="2"/>
      <c r="B946" s="2"/>
      <c r="C946" s="2"/>
      <c r="D946" s="2"/>
      <c r="E946" s="2"/>
      <c r="F946" s="2"/>
      <c r="G946" s="2"/>
      <c r="H946" s="2"/>
      <c r="I946" s="2"/>
      <c r="J946" s="2"/>
      <c r="K946" s="2"/>
      <c r="L946" s="2"/>
      <c r="M946" s="320"/>
      <c r="N946" s="2"/>
      <c r="O946" s="2"/>
      <c r="P946" s="2"/>
      <c r="Q946" s="4"/>
      <c r="R946" s="2"/>
      <c r="S946" s="2"/>
      <c r="U946" s="2"/>
      <c r="CI946" s="321"/>
    </row>
    <row r="947">
      <c r="A947" s="2"/>
      <c r="B947" s="2"/>
      <c r="C947" s="2"/>
      <c r="D947" s="2"/>
      <c r="E947" s="2"/>
      <c r="F947" s="2"/>
      <c r="G947" s="2"/>
      <c r="H947" s="2"/>
      <c r="I947" s="2"/>
      <c r="J947" s="2"/>
      <c r="K947" s="2"/>
      <c r="L947" s="2"/>
      <c r="M947" s="320"/>
      <c r="N947" s="2"/>
      <c r="O947" s="2"/>
      <c r="P947" s="2"/>
      <c r="Q947" s="4"/>
      <c r="R947" s="2"/>
      <c r="S947" s="2"/>
      <c r="U947" s="2"/>
      <c r="CI947" s="321"/>
    </row>
    <row r="948">
      <c r="A948" s="2"/>
      <c r="B948" s="2"/>
      <c r="C948" s="2"/>
      <c r="D948" s="2"/>
      <c r="E948" s="2"/>
      <c r="F948" s="2"/>
      <c r="G948" s="2"/>
      <c r="H948" s="2"/>
      <c r="I948" s="2"/>
      <c r="J948" s="2"/>
      <c r="K948" s="2"/>
      <c r="L948" s="2"/>
      <c r="M948" s="320"/>
      <c r="N948" s="2"/>
      <c r="O948" s="2"/>
      <c r="P948" s="2"/>
      <c r="Q948" s="4"/>
      <c r="R948" s="2"/>
      <c r="S948" s="2"/>
      <c r="U948" s="2"/>
      <c r="CI948" s="321"/>
    </row>
    <row r="949">
      <c r="A949" s="2"/>
      <c r="B949" s="2"/>
      <c r="C949" s="2"/>
      <c r="D949" s="2"/>
      <c r="E949" s="2"/>
      <c r="F949" s="2"/>
      <c r="G949" s="2"/>
      <c r="H949" s="2"/>
      <c r="I949" s="2"/>
      <c r="J949" s="2"/>
      <c r="K949" s="2"/>
      <c r="L949" s="2"/>
      <c r="M949" s="320"/>
      <c r="N949" s="2"/>
      <c r="O949" s="2"/>
      <c r="P949" s="2"/>
      <c r="Q949" s="4"/>
      <c r="R949" s="2"/>
      <c r="S949" s="2"/>
      <c r="U949" s="2"/>
      <c r="CI949" s="321"/>
    </row>
    <row r="950">
      <c r="A950" s="2"/>
      <c r="B950" s="2"/>
      <c r="C950" s="2"/>
      <c r="D950" s="2"/>
      <c r="E950" s="2"/>
      <c r="F950" s="2"/>
      <c r="G950" s="2"/>
      <c r="H950" s="2"/>
      <c r="I950" s="2"/>
      <c r="J950" s="2"/>
      <c r="K950" s="2"/>
      <c r="L950" s="2"/>
      <c r="M950" s="320"/>
      <c r="N950" s="2"/>
      <c r="O950" s="2"/>
      <c r="P950" s="2"/>
      <c r="Q950" s="4"/>
      <c r="R950" s="2"/>
      <c r="S950" s="2"/>
      <c r="U950" s="2"/>
      <c r="CI950" s="321"/>
    </row>
    <row r="951">
      <c r="A951" s="2"/>
      <c r="B951" s="2"/>
      <c r="C951" s="2"/>
      <c r="D951" s="2"/>
      <c r="E951" s="2"/>
      <c r="F951" s="2"/>
      <c r="G951" s="2"/>
      <c r="H951" s="2"/>
      <c r="I951" s="2"/>
      <c r="J951" s="2"/>
      <c r="K951" s="2"/>
      <c r="L951" s="2"/>
      <c r="M951" s="320"/>
      <c r="N951" s="2"/>
      <c r="O951" s="2"/>
      <c r="P951" s="2"/>
      <c r="Q951" s="4"/>
      <c r="R951" s="2"/>
      <c r="S951" s="2"/>
      <c r="U951" s="2"/>
      <c r="CI951" s="321"/>
    </row>
    <row r="952">
      <c r="A952" s="2"/>
      <c r="B952" s="2"/>
      <c r="C952" s="2"/>
      <c r="D952" s="2"/>
      <c r="E952" s="2"/>
      <c r="F952" s="2"/>
      <c r="G952" s="2"/>
      <c r="H952" s="2"/>
      <c r="I952" s="2"/>
      <c r="J952" s="2"/>
      <c r="K952" s="2"/>
      <c r="L952" s="2"/>
      <c r="M952" s="320"/>
      <c r="N952" s="2"/>
      <c r="O952" s="2"/>
      <c r="P952" s="2"/>
      <c r="Q952" s="4"/>
      <c r="R952" s="2"/>
      <c r="S952" s="2"/>
      <c r="U952" s="2"/>
      <c r="CI952" s="321"/>
    </row>
    <row r="953">
      <c r="A953" s="2"/>
      <c r="B953" s="2"/>
      <c r="C953" s="2"/>
      <c r="D953" s="2"/>
      <c r="E953" s="2"/>
      <c r="F953" s="2"/>
      <c r="G953" s="2"/>
      <c r="H953" s="2"/>
      <c r="I953" s="2"/>
      <c r="J953" s="2"/>
      <c r="K953" s="2"/>
      <c r="L953" s="2"/>
      <c r="M953" s="320"/>
      <c r="N953" s="2"/>
      <c r="O953" s="2"/>
      <c r="P953" s="2"/>
      <c r="Q953" s="4"/>
      <c r="R953" s="2"/>
      <c r="S953" s="2"/>
      <c r="U953" s="2"/>
      <c r="CI953" s="321"/>
    </row>
    <row r="954">
      <c r="A954" s="2"/>
      <c r="B954" s="2"/>
      <c r="C954" s="2"/>
      <c r="D954" s="2"/>
      <c r="E954" s="2"/>
      <c r="F954" s="2"/>
      <c r="G954" s="2"/>
      <c r="H954" s="2"/>
      <c r="I954" s="2"/>
      <c r="J954" s="2"/>
      <c r="K954" s="2"/>
      <c r="L954" s="2"/>
      <c r="M954" s="320"/>
      <c r="N954" s="2"/>
      <c r="O954" s="2"/>
      <c r="P954" s="2"/>
      <c r="Q954" s="4"/>
      <c r="R954" s="2"/>
      <c r="S954" s="2"/>
      <c r="U954" s="2"/>
      <c r="CI954" s="321"/>
    </row>
    <row r="955">
      <c r="A955" s="2"/>
      <c r="B955" s="2"/>
      <c r="C955" s="2"/>
      <c r="D955" s="2"/>
      <c r="E955" s="2"/>
      <c r="F955" s="2"/>
      <c r="G955" s="2"/>
      <c r="H955" s="2"/>
      <c r="I955" s="2"/>
      <c r="J955" s="2"/>
      <c r="K955" s="2"/>
      <c r="L955" s="2"/>
      <c r="M955" s="320"/>
      <c r="N955" s="2"/>
      <c r="O955" s="2"/>
      <c r="P955" s="2"/>
      <c r="Q955" s="4"/>
      <c r="R955" s="2"/>
      <c r="S955" s="2"/>
      <c r="U955" s="2"/>
      <c r="CI955" s="321"/>
    </row>
    <row r="956">
      <c r="A956" s="2"/>
      <c r="B956" s="2"/>
      <c r="C956" s="2"/>
      <c r="D956" s="2"/>
      <c r="E956" s="2"/>
      <c r="F956" s="2"/>
      <c r="G956" s="2"/>
      <c r="H956" s="2"/>
      <c r="I956" s="2"/>
      <c r="J956" s="2"/>
      <c r="K956" s="2"/>
      <c r="L956" s="2"/>
      <c r="M956" s="320"/>
      <c r="N956" s="2"/>
      <c r="O956" s="2"/>
      <c r="P956" s="2"/>
      <c r="Q956" s="4"/>
      <c r="R956" s="2"/>
      <c r="S956" s="2"/>
      <c r="U956" s="2"/>
      <c r="CI956" s="321"/>
    </row>
    <row r="957">
      <c r="A957" s="2"/>
      <c r="B957" s="2"/>
      <c r="C957" s="2"/>
      <c r="D957" s="2"/>
      <c r="E957" s="2"/>
      <c r="F957" s="2"/>
      <c r="G957" s="2"/>
      <c r="H957" s="2"/>
      <c r="I957" s="2"/>
      <c r="J957" s="2"/>
      <c r="K957" s="2"/>
      <c r="L957" s="2"/>
      <c r="M957" s="320"/>
      <c r="N957" s="2"/>
      <c r="O957" s="2"/>
      <c r="P957" s="2"/>
      <c r="Q957" s="4"/>
      <c r="R957" s="2"/>
      <c r="S957" s="2"/>
      <c r="U957" s="2"/>
      <c r="CI957" s="321"/>
    </row>
    <row r="958">
      <c r="A958" s="2"/>
      <c r="B958" s="2"/>
      <c r="C958" s="2"/>
      <c r="D958" s="2"/>
      <c r="E958" s="2"/>
      <c r="F958" s="2"/>
      <c r="G958" s="2"/>
      <c r="H958" s="2"/>
      <c r="I958" s="2"/>
      <c r="J958" s="2"/>
      <c r="K958" s="2"/>
      <c r="L958" s="2"/>
      <c r="M958" s="320"/>
      <c r="N958" s="2"/>
      <c r="O958" s="2"/>
      <c r="P958" s="2"/>
      <c r="Q958" s="4"/>
      <c r="R958" s="2"/>
      <c r="S958" s="2"/>
      <c r="U958" s="2"/>
      <c r="CI958" s="321"/>
    </row>
    <row r="959">
      <c r="A959" s="2"/>
      <c r="B959" s="2"/>
      <c r="C959" s="2"/>
      <c r="D959" s="2"/>
      <c r="E959" s="2"/>
      <c r="F959" s="2"/>
      <c r="G959" s="2"/>
      <c r="H959" s="2"/>
      <c r="I959" s="2"/>
      <c r="J959" s="2"/>
      <c r="K959" s="2"/>
      <c r="L959" s="2"/>
      <c r="M959" s="320"/>
      <c r="N959" s="2"/>
      <c r="O959" s="2"/>
      <c r="P959" s="2"/>
      <c r="Q959" s="4"/>
      <c r="R959" s="2"/>
      <c r="S959" s="2"/>
      <c r="U959" s="2"/>
      <c r="CI959" s="321"/>
    </row>
    <row r="960">
      <c r="A960" s="2"/>
      <c r="B960" s="2"/>
      <c r="C960" s="2"/>
      <c r="D960" s="2"/>
      <c r="E960" s="2"/>
      <c r="F960" s="2"/>
      <c r="G960" s="2"/>
      <c r="H960" s="2"/>
      <c r="I960" s="2"/>
      <c r="J960" s="2"/>
      <c r="K960" s="2"/>
      <c r="L960" s="2"/>
      <c r="M960" s="320"/>
      <c r="N960" s="2"/>
      <c r="O960" s="2"/>
      <c r="P960" s="2"/>
      <c r="Q960" s="4"/>
      <c r="R960" s="2"/>
      <c r="S960" s="2"/>
      <c r="U960" s="2"/>
      <c r="CI960" s="321"/>
    </row>
    <row r="961">
      <c r="A961" s="2"/>
      <c r="B961" s="2"/>
      <c r="C961" s="2"/>
      <c r="D961" s="2"/>
      <c r="E961" s="2"/>
      <c r="F961" s="2"/>
      <c r="G961" s="2"/>
      <c r="H961" s="2"/>
      <c r="I961" s="2"/>
      <c r="J961" s="2"/>
      <c r="K961" s="2"/>
      <c r="L961" s="2"/>
      <c r="M961" s="320"/>
      <c r="N961" s="2"/>
      <c r="O961" s="2"/>
      <c r="P961" s="2"/>
      <c r="Q961" s="4"/>
      <c r="R961" s="2"/>
      <c r="S961" s="2"/>
      <c r="U961" s="2"/>
      <c r="CI961" s="321"/>
    </row>
    <row r="962">
      <c r="A962" s="2"/>
      <c r="B962" s="2"/>
      <c r="C962" s="2"/>
      <c r="D962" s="2"/>
      <c r="E962" s="2"/>
      <c r="F962" s="2"/>
      <c r="G962" s="2"/>
      <c r="H962" s="2"/>
      <c r="I962" s="2"/>
      <c r="J962" s="2"/>
      <c r="K962" s="2"/>
      <c r="L962" s="2"/>
      <c r="M962" s="320"/>
      <c r="N962" s="2"/>
      <c r="O962" s="2"/>
      <c r="P962" s="2"/>
      <c r="Q962" s="4"/>
      <c r="R962" s="2"/>
      <c r="S962" s="2"/>
      <c r="U962" s="2"/>
      <c r="CI962" s="321"/>
    </row>
    <row r="963">
      <c r="A963" s="2"/>
      <c r="B963" s="2"/>
      <c r="C963" s="2"/>
      <c r="D963" s="2"/>
      <c r="E963" s="2"/>
      <c r="F963" s="2"/>
      <c r="G963" s="2"/>
      <c r="H963" s="2"/>
      <c r="I963" s="2"/>
      <c r="J963" s="2"/>
      <c r="K963" s="2"/>
      <c r="L963" s="2"/>
      <c r="M963" s="320"/>
      <c r="N963" s="2"/>
      <c r="O963" s="2"/>
      <c r="P963" s="2"/>
      <c r="Q963" s="4"/>
      <c r="R963" s="2"/>
      <c r="S963" s="2"/>
      <c r="U963" s="2"/>
      <c r="CI963" s="321"/>
    </row>
    <row r="964">
      <c r="A964" s="2"/>
      <c r="B964" s="2"/>
      <c r="C964" s="2"/>
      <c r="D964" s="2"/>
      <c r="E964" s="2"/>
      <c r="F964" s="2"/>
      <c r="G964" s="2"/>
      <c r="H964" s="2"/>
      <c r="I964" s="2"/>
      <c r="J964" s="2"/>
      <c r="K964" s="2"/>
      <c r="L964" s="2"/>
      <c r="M964" s="320"/>
      <c r="N964" s="2"/>
      <c r="O964" s="2"/>
      <c r="P964" s="2"/>
      <c r="Q964" s="4"/>
      <c r="R964" s="2"/>
      <c r="S964" s="2"/>
      <c r="U964" s="2"/>
      <c r="CI964" s="321"/>
    </row>
    <row r="965">
      <c r="A965" s="2"/>
      <c r="B965" s="2"/>
      <c r="C965" s="2"/>
      <c r="D965" s="2"/>
      <c r="E965" s="2"/>
      <c r="F965" s="2"/>
      <c r="G965" s="2"/>
      <c r="H965" s="2"/>
      <c r="I965" s="2"/>
      <c r="J965" s="2"/>
      <c r="K965" s="2"/>
      <c r="L965" s="2"/>
      <c r="M965" s="320"/>
      <c r="N965" s="2"/>
      <c r="O965" s="2"/>
      <c r="P965" s="2"/>
      <c r="Q965" s="4"/>
      <c r="R965" s="2"/>
      <c r="S965" s="2"/>
      <c r="U965" s="2"/>
      <c r="CI965" s="321"/>
    </row>
    <row r="966">
      <c r="A966" s="2"/>
      <c r="B966" s="2"/>
      <c r="C966" s="2"/>
      <c r="D966" s="2"/>
      <c r="E966" s="2"/>
      <c r="F966" s="2"/>
      <c r="G966" s="2"/>
      <c r="H966" s="2"/>
      <c r="I966" s="2"/>
      <c r="J966" s="2"/>
      <c r="K966" s="2"/>
      <c r="L966" s="2"/>
      <c r="M966" s="320"/>
      <c r="N966" s="2"/>
      <c r="O966" s="2"/>
      <c r="P966" s="2"/>
      <c r="Q966" s="4"/>
      <c r="R966" s="2"/>
      <c r="S966" s="2"/>
      <c r="U966" s="2"/>
      <c r="CI966" s="321"/>
    </row>
    <row r="967">
      <c r="A967" s="2"/>
      <c r="B967" s="2"/>
      <c r="C967" s="2"/>
      <c r="D967" s="2"/>
      <c r="E967" s="2"/>
      <c r="F967" s="2"/>
      <c r="G967" s="2"/>
      <c r="H967" s="2"/>
      <c r="I967" s="2"/>
      <c r="J967" s="2"/>
      <c r="K967" s="2"/>
      <c r="L967" s="2"/>
      <c r="M967" s="320"/>
      <c r="N967" s="2"/>
      <c r="O967" s="2"/>
      <c r="P967" s="2"/>
      <c r="Q967" s="4"/>
      <c r="R967" s="2"/>
      <c r="S967" s="2"/>
      <c r="U967" s="2"/>
      <c r="CI967" s="321"/>
    </row>
    <row r="968">
      <c r="A968" s="2"/>
      <c r="B968" s="2"/>
      <c r="C968" s="2"/>
      <c r="D968" s="2"/>
      <c r="E968" s="2"/>
      <c r="F968" s="2"/>
      <c r="G968" s="2"/>
      <c r="H968" s="2"/>
      <c r="I968" s="2"/>
      <c r="J968" s="2"/>
      <c r="K968" s="2"/>
      <c r="L968" s="2"/>
      <c r="M968" s="320"/>
      <c r="N968" s="2"/>
      <c r="O968" s="2"/>
      <c r="P968" s="2"/>
      <c r="Q968" s="4"/>
      <c r="R968" s="2"/>
      <c r="S968" s="2"/>
      <c r="U968" s="2"/>
      <c r="CI968" s="321"/>
    </row>
    <row r="969">
      <c r="A969" s="2"/>
      <c r="B969" s="2"/>
      <c r="C969" s="2"/>
      <c r="D969" s="2"/>
      <c r="E969" s="2"/>
      <c r="F969" s="2"/>
      <c r="G969" s="2"/>
      <c r="H969" s="2"/>
      <c r="I969" s="2"/>
      <c r="J969" s="2"/>
      <c r="K969" s="2"/>
      <c r="L969" s="2"/>
      <c r="M969" s="320"/>
      <c r="N969" s="2"/>
      <c r="O969" s="2"/>
      <c r="P969" s="2"/>
      <c r="Q969" s="4"/>
      <c r="R969" s="2"/>
      <c r="S969" s="2"/>
      <c r="U969" s="2"/>
      <c r="CI969" s="321"/>
    </row>
    <row r="970">
      <c r="A970" s="2"/>
      <c r="B970" s="2"/>
      <c r="C970" s="2"/>
      <c r="D970" s="2"/>
      <c r="E970" s="2"/>
      <c r="F970" s="2"/>
      <c r="G970" s="2"/>
      <c r="H970" s="2"/>
      <c r="I970" s="2"/>
      <c r="J970" s="2"/>
      <c r="K970" s="2"/>
      <c r="L970" s="2"/>
      <c r="M970" s="320"/>
      <c r="N970" s="2"/>
      <c r="O970" s="2"/>
      <c r="P970" s="2"/>
      <c r="Q970" s="4"/>
      <c r="R970" s="2"/>
      <c r="S970" s="2"/>
      <c r="U970" s="2"/>
      <c r="CI970" s="321"/>
    </row>
    <row r="971">
      <c r="A971" s="2"/>
      <c r="B971" s="2"/>
      <c r="C971" s="2"/>
      <c r="D971" s="2"/>
      <c r="E971" s="2"/>
      <c r="F971" s="2"/>
      <c r="G971" s="2"/>
      <c r="H971" s="2"/>
      <c r="I971" s="2"/>
      <c r="J971" s="2"/>
      <c r="K971" s="2"/>
      <c r="L971" s="2"/>
      <c r="M971" s="320"/>
      <c r="N971" s="2"/>
      <c r="O971" s="2"/>
      <c r="P971" s="2"/>
      <c r="Q971" s="4"/>
      <c r="R971" s="2"/>
      <c r="S971" s="2"/>
      <c r="U971" s="2"/>
      <c r="CI971" s="321"/>
    </row>
    <row r="972">
      <c r="A972" s="2"/>
      <c r="B972" s="2"/>
      <c r="C972" s="2"/>
      <c r="D972" s="2"/>
      <c r="E972" s="2"/>
      <c r="F972" s="2"/>
      <c r="G972" s="2"/>
      <c r="H972" s="2"/>
      <c r="I972" s="2"/>
      <c r="J972" s="2"/>
      <c r="K972" s="2"/>
      <c r="L972" s="2"/>
      <c r="M972" s="320"/>
      <c r="N972" s="2"/>
      <c r="O972" s="2"/>
      <c r="P972" s="2"/>
      <c r="Q972" s="4"/>
      <c r="R972" s="2"/>
      <c r="S972" s="2"/>
      <c r="U972" s="2"/>
      <c r="CI972" s="321"/>
    </row>
    <row r="973">
      <c r="A973" s="2"/>
      <c r="B973" s="2"/>
      <c r="C973" s="2"/>
      <c r="D973" s="2"/>
      <c r="E973" s="2"/>
      <c r="F973" s="2"/>
      <c r="G973" s="2"/>
      <c r="H973" s="2"/>
      <c r="I973" s="2"/>
      <c r="J973" s="2"/>
      <c r="K973" s="2"/>
      <c r="L973" s="2"/>
      <c r="M973" s="320"/>
      <c r="N973" s="2"/>
      <c r="O973" s="2"/>
      <c r="P973" s="2"/>
      <c r="Q973" s="4"/>
      <c r="R973" s="2"/>
      <c r="S973" s="2"/>
      <c r="U973" s="2"/>
      <c r="CI973" s="321"/>
    </row>
    <row r="974">
      <c r="A974" s="2"/>
      <c r="B974" s="2"/>
      <c r="C974" s="2"/>
      <c r="D974" s="2"/>
      <c r="E974" s="2"/>
      <c r="F974" s="2"/>
      <c r="G974" s="2"/>
      <c r="H974" s="2"/>
      <c r="I974" s="2"/>
      <c r="J974" s="2"/>
      <c r="K974" s="2"/>
      <c r="L974" s="2"/>
      <c r="M974" s="320"/>
      <c r="N974" s="2"/>
      <c r="O974" s="2"/>
      <c r="P974" s="2"/>
      <c r="Q974" s="4"/>
      <c r="R974" s="2"/>
      <c r="S974" s="2"/>
      <c r="U974" s="2"/>
      <c r="CI974" s="321"/>
    </row>
    <row r="975">
      <c r="A975" s="2"/>
      <c r="B975" s="2"/>
      <c r="C975" s="2"/>
      <c r="D975" s="2"/>
      <c r="E975" s="2"/>
      <c r="F975" s="2"/>
      <c r="G975" s="2"/>
      <c r="H975" s="2"/>
      <c r="I975" s="2"/>
      <c r="J975" s="2"/>
      <c r="K975" s="2"/>
      <c r="L975" s="2"/>
      <c r="M975" s="320"/>
      <c r="N975" s="2"/>
      <c r="O975" s="2"/>
      <c r="P975" s="2"/>
      <c r="Q975" s="4"/>
      <c r="R975" s="2"/>
      <c r="S975" s="2"/>
      <c r="U975" s="2"/>
      <c r="CI975" s="321"/>
    </row>
    <row r="976">
      <c r="A976" s="2"/>
      <c r="B976" s="2"/>
      <c r="C976" s="2"/>
      <c r="D976" s="2"/>
      <c r="E976" s="2"/>
      <c r="F976" s="2"/>
      <c r="G976" s="2"/>
      <c r="H976" s="2"/>
      <c r="I976" s="2"/>
      <c r="J976" s="2"/>
      <c r="K976" s="2"/>
      <c r="L976" s="2"/>
      <c r="M976" s="320"/>
      <c r="N976" s="2"/>
      <c r="O976" s="2"/>
      <c r="P976" s="2"/>
      <c r="Q976" s="4"/>
      <c r="R976" s="2"/>
      <c r="S976" s="2"/>
      <c r="U976" s="2"/>
      <c r="CI976" s="321"/>
    </row>
    <row r="977">
      <c r="A977" s="2"/>
      <c r="B977" s="2"/>
      <c r="C977" s="2"/>
      <c r="D977" s="2"/>
      <c r="E977" s="2"/>
      <c r="F977" s="2"/>
      <c r="G977" s="2"/>
      <c r="H977" s="2"/>
      <c r="I977" s="2"/>
      <c r="J977" s="2"/>
      <c r="K977" s="2"/>
      <c r="L977" s="2"/>
      <c r="M977" s="320"/>
      <c r="N977" s="2"/>
      <c r="O977" s="2"/>
      <c r="P977" s="2"/>
      <c r="Q977" s="4"/>
      <c r="R977" s="2"/>
      <c r="S977" s="2"/>
      <c r="U977" s="2"/>
      <c r="CI977" s="321"/>
    </row>
    <row r="978">
      <c r="A978" s="2"/>
      <c r="B978" s="2"/>
      <c r="C978" s="2"/>
      <c r="D978" s="2"/>
      <c r="E978" s="2"/>
      <c r="F978" s="2"/>
      <c r="G978" s="2"/>
      <c r="H978" s="2"/>
      <c r="I978" s="2"/>
      <c r="J978" s="2"/>
      <c r="K978" s="2"/>
      <c r="L978" s="2"/>
      <c r="M978" s="320"/>
      <c r="N978" s="2"/>
      <c r="O978" s="2"/>
      <c r="P978" s="2"/>
      <c r="Q978" s="4"/>
      <c r="R978" s="2"/>
      <c r="S978" s="2"/>
      <c r="U978" s="2"/>
      <c r="CI978" s="321"/>
    </row>
    <row r="979">
      <c r="A979" s="2"/>
      <c r="B979" s="2"/>
      <c r="C979" s="2"/>
      <c r="D979" s="2"/>
      <c r="E979" s="2"/>
      <c r="F979" s="2"/>
      <c r="G979" s="2"/>
      <c r="H979" s="2"/>
      <c r="I979" s="2"/>
      <c r="J979" s="2"/>
      <c r="K979" s="2"/>
      <c r="L979" s="2"/>
      <c r="M979" s="320"/>
      <c r="N979" s="2"/>
      <c r="O979" s="2"/>
      <c r="P979" s="2"/>
      <c r="Q979" s="4"/>
      <c r="R979" s="2"/>
      <c r="S979" s="2"/>
      <c r="U979" s="2"/>
      <c r="CI979" s="321"/>
    </row>
    <row r="980">
      <c r="A980" s="2"/>
      <c r="B980" s="2"/>
      <c r="C980" s="2"/>
      <c r="D980" s="2"/>
      <c r="E980" s="2"/>
      <c r="F980" s="2"/>
      <c r="G980" s="2"/>
      <c r="H980" s="2"/>
      <c r="I980" s="2"/>
      <c r="J980" s="2"/>
      <c r="K980" s="2"/>
      <c r="L980" s="2"/>
      <c r="M980" s="320"/>
      <c r="N980" s="2"/>
      <c r="O980" s="2"/>
      <c r="P980" s="2"/>
      <c r="Q980" s="4"/>
      <c r="R980" s="2"/>
      <c r="S980" s="2"/>
      <c r="U980" s="2"/>
      <c r="CI980" s="321"/>
    </row>
  </sheetData>
  <dataValidations>
    <dataValidation type="custom" allowBlank="1" showDropDown="1" sqref="CB2:CB467">
      <formula1>OR(NOT(ISERROR(DATEVALUE(CB2))), AND(ISNUMBER(CB2), LEFT(CELL("format", CB2))="D"))</formula1>
    </dataValidation>
    <dataValidation type="custom" allowBlank="1" showDropDown="1" sqref="CH2:CK467">
      <formula1>AND(ISNUMBER(CH2),(NOT(OR(NOT(ISERROR(DATEVALUE(CH2))), AND(ISNUMBER(CH2), LEFT(CELL("format", CH2))="D")))))</formula1>
    </dataValidation>
  </dataValidations>
  <printOptions/>
  <pageMargins bottom="0.75" footer="0.0" header="0.0" left="0.7" right="0.7" top="0.75"/>
  <pageSetup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53.25"/>
    <col customWidth="1" min="2" max="2" width="51.63"/>
    <col customWidth="1" min="3" max="4" width="31.25"/>
    <col customWidth="1" min="5" max="7" width="22.25"/>
  </cols>
  <sheetData>
    <row r="1">
      <c r="A1" s="322" t="s">
        <v>6583</v>
      </c>
      <c r="B1" s="323" t="s">
        <v>172</v>
      </c>
      <c r="C1" s="324" t="s">
        <v>2504</v>
      </c>
      <c r="D1" s="324" t="s">
        <v>6584</v>
      </c>
      <c r="E1" s="325" t="s">
        <v>2505</v>
      </c>
      <c r="F1" s="326"/>
      <c r="G1" s="326"/>
    </row>
    <row r="2">
      <c r="A2" s="327" t="s">
        <v>783</v>
      </c>
      <c r="B2" s="327" t="s">
        <v>249</v>
      </c>
      <c r="C2" s="327" t="s">
        <v>208</v>
      </c>
      <c r="D2" s="327" t="s">
        <v>6585</v>
      </c>
      <c r="E2" s="327" t="s">
        <v>248</v>
      </c>
      <c r="F2" s="327"/>
      <c r="G2" s="327"/>
    </row>
    <row r="3">
      <c r="A3" s="328" t="s">
        <v>6586</v>
      </c>
      <c r="B3" s="328" t="s">
        <v>2005</v>
      </c>
      <c r="C3" s="328" t="s">
        <v>208</v>
      </c>
      <c r="D3" s="328"/>
      <c r="E3" s="328" t="s">
        <v>259</v>
      </c>
      <c r="F3" s="328"/>
      <c r="G3" s="328"/>
    </row>
    <row r="4">
      <c r="A4" s="329" t="s">
        <v>6587</v>
      </c>
      <c r="B4" s="329" t="s">
        <v>6588</v>
      </c>
      <c r="C4" s="329" t="s">
        <v>208</v>
      </c>
      <c r="D4" s="329"/>
      <c r="E4" s="329" t="s">
        <v>2853</v>
      </c>
      <c r="F4" s="329"/>
      <c r="G4" s="329"/>
    </row>
    <row r="5">
      <c r="A5" s="328" t="s">
        <v>768</v>
      </c>
      <c r="B5" s="328" t="s">
        <v>210</v>
      </c>
      <c r="C5" s="328" t="s">
        <v>208</v>
      </c>
      <c r="D5" s="328"/>
      <c r="E5" s="328" t="s">
        <v>2555</v>
      </c>
      <c r="F5" s="328"/>
      <c r="G5" s="328"/>
    </row>
    <row r="6">
      <c r="A6" s="329" t="s">
        <v>6589</v>
      </c>
      <c r="B6" s="329" t="s">
        <v>6590</v>
      </c>
      <c r="C6" s="329" t="s">
        <v>6591</v>
      </c>
      <c r="D6" s="329"/>
      <c r="E6" s="329" t="s">
        <v>6592</v>
      </c>
      <c r="F6" s="329"/>
      <c r="G6" s="329"/>
    </row>
    <row r="7">
      <c r="A7" s="328" t="s">
        <v>6593</v>
      </c>
      <c r="B7" s="328" t="s">
        <v>6590</v>
      </c>
      <c r="C7" s="328" t="s">
        <v>6591</v>
      </c>
      <c r="D7" s="328"/>
      <c r="E7" s="328" t="s">
        <v>6592</v>
      </c>
      <c r="F7" s="328"/>
      <c r="G7" s="328"/>
    </row>
    <row r="8">
      <c r="A8" s="329" t="s">
        <v>6594</v>
      </c>
      <c r="B8" s="329" t="s">
        <v>6595</v>
      </c>
      <c r="C8" s="329" t="s">
        <v>6591</v>
      </c>
      <c r="D8" s="329"/>
      <c r="E8" s="329" t="s">
        <v>6596</v>
      </c>
      <c r="F8" s="329"/>
      <c r="G8" s="329"/>
    </row>
    <row r="9">
      <c r="A9" s="328" t="s">
        <v>6597</v>
      </c>
      <c r="B9" s="328" t="s">
        <v>6595</v>
      </c>
      <c r="C9" s="328" t="s">
        <v>6591</v>
      </c>
      <c r="D9" s="328"/>
      <c r="E9" s="328" t="s">
        <v>6596</v>
      </c>
      <c r="F9" s="328"/>
      <c r="G9" s="328"/>
    </row>
    <row r="10">
      <c r="A10" s="329" t="s">
        <v>6598</v>
      </c>
      <c r="B10" s="329" t="s">
        <v>6599</v>
      </c>
      <c r="C10" s="329" t="s">
        <v>6600</v>
      </c>
      <c r="D10" s="329"/>
      <c r="E10" s="329" t="s">
        <v>6601</v>
      </c>
      <c r="F10" s="329"/>
      <c r="G10" s="329"/>
    </row>
    <row r="11">
      <c r="A11" s="330" t="s">
        <v>6602</v>
      </c>
      <c r="B11" s="328" t="s">
        <v>6603</v>
      </c>
      <c r="C11" s="328" t="s">
        <v>6600</v>
      </c>
      <c r="D11" s="328"/>
      <c r="E11" s="328" t="s">
        <v>6604</v>
      </c>
      <c r="F11" s="328"/>
      <c r="G11" s="328"/>
    </row>
    <row r="12">
      <c r="A12" s="329" t="s">
        <v>6605</v>
      </c>
      <c r="B12" s="329" t="s">
        <v>6606</v>
      </c>
      <c r="C12" s="329" t="s">
        <v>2563</v>
      </c>
      <c r="D12" s="329"/>
      <c r="E12" s="329" t="s">
        <v>6607</v>
      </c>
      <c r="F12" s="329"/>
      <c r="G12" s="329"/>
    </row>
    <row r="13">
      <c r="A13" s="328" t="s">
        <v>6608</v>
      </c>
      <c r="B13" s="328" t="s">
        <v>6609</v>
      </c>
      <c r="C13" s="328" t="s">
        <v>2563</v>
      </c>
      <c r="D13" s="328"/>
      <c r="E13" s="328" t="s">
        <v>6610</v>
      </c>
      <c r="F13" s="328"/>
      <c r="G13" s="328"/>
    </row>
    <row r="14">
      <c r="A14" s="329" t="s">
        <v>6611</v>
      </c>
      <c r="B14" s="329" t="s">
        <v>6612</v>
      </c>
      <c r="C14" s="329" t="s">
        <v>6613</v>
      </c>
      <c r="D14" s="329"/>
      <c r="E14" s="329" t="s">
        <v>6614</v>
      </c>
      <c r="F14" s="329"/>
      <c r="G14" s="329"/>
    </row>
    <row r="15">
      <c r="A15" s="328" t="s">
        <v>6615</v>
      </c>
      <c r="B15" s="328" t="s">
        <v>6616</v>
      </c>
      <c r="C15" s="328" t="s">
        <v>2563</v>
      </c>
      <c r="D15" s="328"/>
      <c r="E15" s="328" t="s">
        <v>6617</v>
      </c>
      <c r="F15" s="328"/>
      <c r="G15" s="328"/>
    </row>
    <row r="16">
      <c r="A16" s="329" t="s">
        <v>6618</v>
      </c>
      <c r="B16" s="329" t="s">
        <v>6619</v>
      </c>
      <c r="C16" s="329" t="s">
        <v>2563</v>
      </c>
      <c r="D16" s="329"/>
      <c r="E16" s="329" t="s">
        <v>6620</v>
      </c>
      <c r="F16" s="329"/>
      <c r="G16" s="329"/>
    </row>
    <row r="17">
      <c r="A17" s="328" t="s">
        <v>6621</v>
      </c>
      <c r="B17" s="328" t="s">
        <v>6622</v>
      </c>
      <c r="C17" s="328" t="s">
        <v>2563</v>
      </c>
      <c r="D17" s="328"/>
      <c r="E17" s="328" t="s">
        <v>6623</v>
      </c>
      <c r="F17" s="328"/>
      <c r="G17" s="328"/>
    </row>
    <row r="18">
      <c r="A18" s="329" t="s">
        <v>6624</v>
      </c>
      <c r="B18" s="329" t="s">
        <v>6625</v>
      </c>
      <c r="C18" s="329" t="s">
        <v>162</v>
      </c>
      <c r="D18" s="329"/>
      <c r="E18" s="329" t="s">
        <v>6626</v>
      </c>
      <c r="F18" s="329"/>
      <c r="G18" s="329"/>
    </row>
    <row r="19">
      <c r="A19" s="328" t="s">
        <v>6627</v>
      </c>
      <c r="B19" s="328" t="s">
        <v>239</v>
      </c>
      <c r="C19" s="328" t="s">
        <v>162</v>
      </c>
      <c r="D19" s="328"/>
      <c r="E19" s="328" t="s">
        <v>2818</v>
      </c>
      <c r="F19" s="328"/>
      <c r="G19" s="328"/>
    </row>
    <row r="20" ht="15.75" customHeight="1">
      <c r="A20" s="329" t="s">
        <v>569</v>
      </c>
      <c r="B20" s="329" t="s">
        <v>223</v>
      </c>
      <c r="C20" s="329" t="s">
        <v>162</v>
      </c>
      <c r="D20" s="329"/>
      <c r="E20" s="329" t="s">
        <v>222</v>
      </c>
      <c r="F20" s="329"/>
      <c r="G20" s="329"/>
    </row>
    <row r="21" ht="15.75" customHeight="1">
      <c r="A21" s="330" t="s">
        <v>6628</v>
      </c>
      <c r="B21" s="328" t="s">
        <v>6629</v>
      </c>
      <c r="C21" s="328" t="s">
        <v>162</v>
      </c>
      <c r="D21" s="328"/>
      <c r="E21" s="328" t="s">
        <v>6630</v>
      </c>
      <c r="F21" s="328"/>
      <c r="G21" s="328"/>
    </row>
    <row r="22" ht="15.75" customHeight="1">
      <c r="A22" s="331" t="s">
        <v>6631</v>
      </c>
      <c r="B22" s="329" t="s">
        <v>6632</v>
      </c>
      <c r="C22" s="329" t="s">
        <v>162</v>
      </c>
      <c r="D22" s="329"/>
      <c r="E22" s="329" t="s">
        <v>6633</v>
      </c>
      <c r="F22" s="329"/>
      <c r="G22" s="329"/>
    </row>
    <row r="23" ht="15.75" customHeight="1">
      <c r="A23" s="328" t="s">
        <v>6634</v>
      </c>
      <c r="B23" s="328" t="s">
        <v>221</v>
      </c>
      <c r="C23" s="328" t="s">
        <v>162</v>
      </c>
      <c r="D23" s="328"/>
      <c r="E23" s="328" t="s">
        <v>220</v>
      </c>
      <c r="F23" s="328"/>
      <c r="G23" s="328"/>
    </row>
    <row r="24" ht="15.75" customHeight="1">
      <c r="A24" s="331" t="s">
        <v>2981</v>
      </c>
      <c r="B24" s="329" t="s">
        <v>231</v>
      </c>
      <c r="C24" s="329" t="s">
        <v>162</v>
      </c>
      <c r="D24" s="329"/>
      <c r="E24" s="329" t="s">
        <v>230</v>
      </c>
      <c r="F24" s="329"/>
      <c r="G24" s="329"/>
    </row>
    <row r="25" ht="15.75" customHeight="1">
      <c r="A25" s="328" t="s">
        <v>3106</v>
      </c>
      <c r="B25" s="328" t="s">
        <v>181</v>
      </c>
      <c r="C25" s="328" t="s">
        <v>162</v>
      </c>
      <c r="D25" s="328"/>
      <c r="E25" s="328" t="s">
        <v>2811</v>
      </c>
      <c r="F25" s="328"/>
      <c r="G25" s="328"/>
    </row>
    <row r="26" ht="15.75" customHeight="1">
      <c r="A26" s="329" t="s">
        <v>6635</v>
      </c>
      <c r="B26" s="329" t="s">
        <v>181</v>
      </c>
      <c r="C26" s="329" t="s">
        <v>162</v>
      </c>
      <c r="D26" s="329"/>
      <c r="E26" s="329" t="s">
        <v>180</v>
      </c>
      <c r="F26" s="329"/>
      <c r="G26" s="329"/>
    </row>
    <row r="27" ht="15.75" customHeight="1">
      <c r="A27" s="328" t="s">
        <v>6636</v>
      </c>
      <c r="B27" s="328" t="s">
        <v>6637</v>
      </c>
      <c r="C27" s="328" t="s">
        <v>162</v>
      </c>
      <c r="D27" s="328"/>
      <c r="E27" s="328" t="s">
        <v>6638</v>
      </c>
      <c r="F27" s="328"/>
      <c r="G27" s="328"/>
    </row>
    <row r="28" ht="15.75" customHeight="1">
      <c r="A28" s="329" t="s">
        <v>6639</v>
      </c>
      <c r="B28" s="329" t="s">
        <v>6640</v>
      </c>
      <c r="C28" s="329" t="s">
        <v>162</v>
      </c>
      <c r="D28" s="329"/>
      <c r="E28" s="329" t="s">
        <v>2153</v>
      </c>
      <c r="F28" s="329"/>
      <c r="G28" s="329"/>
    </row>
    <row r="29" ht="15.75" customHeight="1">
      <c r="A29" s="328" t="s">
        <v>6641</v>
      </c>
      <c r="B29" s="328" t="s">
        <v>6642</v>
      </c>
      <c r="C29" s="328" t="s">
        <v>162</v>
      </c>
      <c r="D29" s="328"/>
      <c r="E29" s="328" t="s">
        <v>6643</v>
      </c>
      <c r="F29" s="328"/>
      <c r="G29" s="328"/>
    </row>
    <row r="30" ht="15.75" customHeight="1">
      <c r="A30" s="329" t="s">
        <v>6644</v>
      </c>
      <c r="B30" s="329" t="s">
        <v>2015</v>
      </c>
      <c r="C30" s="329" t="s">
        <v>162</v>
      </c>
      <c r="D30" s="329"/>
      <c r="E30" s="329" t="s">
        <v>2853</v>
      </c>
      <c r="F30" s="329"/>
      <c r="G30" s="329"/>
    </row>
    <row r="31" ht="15.75" customHeight="1">
      <c r="A31" s="328" t="s">
        <v>6645</v>
      </c>
      <c r="B31" s="328" t="s">
        <v>6646</v>
      </c>
      <c r="C31" s="328" t="s">
        <v>162</v>
      </c>
      <c r="D31" s="328"/>
      <c r="E31" s="328" t="s">
        <v>6647</v>
      </c>
      <c r="F31" s="328"/>
      <c r="G31" s="328"/>
    </row>
    <row r="32" ht="15.75" customHeight="1">
      <c r="A32" s="329" t="s">
        <v>6648</v>
      </c>
      <c r="B32" s="329" t="s">
        <v>6649</v>
      </c>
      <c r="C32" s="329" t="s">
        <v>162</v>
      </c>
      <c r="D32" s="329"/>
      <c r="E32" s="329" t="s">
        <v>6650</v>
      </c>
      <c r="F32" s="329"/>
      <c r="G32" s="329"/>
    </row>
    <row r="33" ht="15.75" customHeight="1">
      <c r="A33" s="330" t="s">
        <v>3266</v>
      </c>
      <c r="B33" s="328" t="s">
        <v>237</v>
      </c>
      <c r="C33" s="328" t="s">
        <v>162</v>
      </c>
      <c r="D33" s="328"/>
      <c r="E33" s="328" t="s">
        <v>236</v>
      </c>
      <c r="F33" s="328"/>
      <c r="G33" s="328"/>
    </row>
    <row r="34" ht="15.75" customHeight="1">
      <c r="A34" s="329" t="s">
        <v>3003</v>
      </c>
      <c r="B34" s="329" t="s">
        <v>161</v>
      </c>
      <c r="C34" s="329" t="s">
        <v>162</v>
      </c>
      <c r="D34" s="329"/>
      <c r="E34" s="329" t="s">
        <v>163</v>
      </c>
      <c r="F34" s="329"/>
      <c r="G34" s="329"/>
    </row>
    <row r="35" ht="15.75" customHeight="1">
      <c r="A35" s="328" t="s">
        <v>6651</v>
      </c>
      <c r="B35" s="328" t="s">
        <v>202</v>
      </c>
      <c r="C35" s="328" t="s">
        <v>162</v>
      </c>
      <c r="D35" s="328"/>
      <c r="E35" s="328" t="s">
        <v>201</v>
      </c>
      <c r="F35" s="328"/>
      <c r="G35" s="328"/>
    </row>
    <row r="36" ht="15.75" customHeight="1">
      <c r="A36" s="331" t="s">
        <v>6652</v>
      </c>
      <c r="B36" s="329" t="s">
        <v>6653</v>
      </c>
      <c r="C36" s="329" t="s">
        <v>6654</v>
      </c>
      <c r="D36" s="329"/>
      <c r="E36" s="329" t="s">
        <v>6604</v>
      </c>
      <c r="F36" s="329"/>
      <c r="G36" s="329"/>
    </row>
    <row r="37" ht="15.75" customHeight="1">
      <c r="A37" s="328" t="s">
        <v>6655</v>
      </c>
      <c r="B37" s="328" t="s">
        <v>6656</v>
      </c>
      <c r="C37" s="328" t="s">
        <v>6654</v>
      </c>
      <c r="D37" s="328"/>
      <c r="E37" s="328" t="s">
        <v>6657</v>
      </c>
      <c r="F37" s="328"/>
      <c r="G37" s="328"/>
    </row>
    <row r="38" ht="15.75" customHeight="1">
      <c r="A38" s="331" t="s">
        <v>6658</v>
      </c>
      <c r="B38" s="329" t="s">
        <v>6659</v>
      </c>
      <c r="C38" s="329" t="s">
        <v>6654</v>
      </c>
      <c r="D38" s="329"/>
      <c r="E38" s="329" t="s">
        <v>6660</v>
      </c>
      <c r="F38" s="329"/>
      <c r="G38" s="329"/>
    </row>
    <row r="39" ht="15.75" customHeight="1">
      <c r="A39" s="328" t="s">
        <v>6661</v>
      </c>
      <c r="B39" s="328" t="s">
        <v>6662</v>
      </c>
      <c r="C39" s="328" t="s">
        <v>6654</v>
      </c>
      <c r="D39" s="328"/>
      <c r="E39" s="328" t="s">
        <v>6663</v>
      </c>
      <c r="F39" s="328"/>
      <c r="G39" s="328"/>
    </row>
    <row r="40" ht="15.75" customHeight="1">
      <c r="A40" s="329" t="s">
        <v>6664</v>
      </c>
      <c r="B40" s="329" t="s">
        <v>6665</v>
      </c>
      <c r="C40" s="329" t="s">
        <v>6654</v>
      </c>
      <c r="D40" s="329"/>
      <c r="E40" s="332"/>
      <c r="F40" s="332"/>
      <c r="G40" s="332"/>
    </row>
    <row r="41" ht="15.75" customHeight="1">
      <c r="A41" s="328" t="s">
        <v>6666</v>
      </c>
      <c r="B41" s="328" t="s">
        <v>6667</v>
      </c>
      <c r="C41" s="328" t="s">
        <v>6668</v>
      </c>
      <c r="D41" s="328"/>
      <c r="E41" s="328" t="s">
        <v>6669</v>
      </c>
      <c r="F41" s="328"/>
      <c r="G41" s="328"/>
    </row>
    <row r="42" ht="15.75" customHeight="1">
      <c r="A42" s="329" t="s">
        <v>6670</v>
      </c>
      <c r="B42" s="329" t="s">
        <v>6671</v>
      </c>
      <c r="C42" s="329" t="s">
        <v>6668</v>
      </c>
      <c r="D42" s="329"/>
      <c r="E42" s="329" t="s">
        <v>201</v>
      </c>
      <c r="F42" s="329"/>
      <c r="G42" s="329"/>
    </row>
    <row r="43" ht="15.75" customHeight="1">
      <c r="A43" s="328" t="s">
        <v>6672</v>
      </c>
      <c r="B43" s="328" t="s">
        <v>6673</v>
      </c>
      <c r="C43" s="328" t="s">
        <v>6674</v>
      </c>
      <c r="D43" s="328"/>
      <c r="E43" s="333"/>
      <c r="F43" s="333"/>
      <c r="G43" s="333"/>
    </row>
    <row r="44" ht="15.75" customHeight="1">
      <c r="A44" s="329" t="s">
        <v>6675</v>
      </c>
      <c r="B44" s="329" t="s">
        <v>6676</v>
      </c>
      <c r="C44" s="329" t="s">
        <v>6677</v>
      </c>
      <c r="D44" s="329"/>
      <c r="E44" s="332"/>
      <c r="F44" s="332"/>
      <c r="G44" s="332"/>
    </row>
    <row r="45" ht="15.75" customHeight="1">
      <c r="A45" s="328" t="s">
        <v>6678</v>
      </c>
      <c r="B45" s="328" t="s">
        <v>6679</v>
      </c>
      <c r="C45" s="328" t="s">
        <v>6680</v>
      </c>
      <c r="D45" s="328"/>
      <c r="E45" s="328" t="s">
        <v>6681</v>
      </c>
      <c r="F45" s="328"/>
      <c r="G45" s="328"/>
    </row>
    <row r="46" ht="15.75" customHeight="1">
      <c r="A46" s="331" t="s">
        <v>6682</v>
      </c>
      <c r="B46" s="329" t="s">
        <v>6683</v>
      </c>
      <c r="C46" s="329" t="s">
        <v>6680</v>
      </c>
      <c r="D46" s="329"/>
      <c r="E46" s="329" t="s">
        <v>209</v>
      </c>
      <c r="F46" s="329"/>
      <c r="G46" s="329"/>
    </row>
    <row r="47" ht="15.75" customHeight="1">
      <c r="A47" s="328" t="s">
        <v>6684</v>
      </c>
      <c r="B47" s="328" t="s">
        <v>6685</v>
      </c>
      <c r="C47" s="328" t="s">
        <v>2681</v>
      </c>
      <c r="D47" s="328"/>
      <c r="E47" s="328" t="s">
        <v>2144</v>
      </c>
      <c r="F47" s="328"/>
      <c r="G47" s="328"/>
    </row>
    <row r="48" ht="15.75" customHeight="1">
      <c r="A48" s="329" t="s">
        <v>6686</v>
      </c>
      <c r="B48" s="329" t="s">
        <v>2030</v>
      </c>
      <c r="C48" s="329" t="s">
        <v>2681</v>
      </c>
      <c r="D48" s="329"/>
      <c r="E48" s="329" t="s">
        <v>6687</v>
      </c>
      <c r="F48" s="329"/>
      <c r="G48" s="329"/>
    </row>
    <row r="49" ht="15.75" customHeight="1">
      <c r="A49" s="328" t="s">
        <v>6688</v>
      </c>
      <c r="B49" s="328" t="s">
        <v>2036</v>
      </c>
      <c r="C49" s="328" t="s">
        <v>2681</v>
      </c>
      <c r="D49" s="328"/>
      <c r="E49" s="328" t="s">
        <v>6689</v>
      </c>
      <c r="F49" s="328"/>
      <c r="G49" s="328"/>
    </row>
    <row r="50" ht="15.75" customHeight="1">
      <c r="A50" s="329" t="s">
        <v>820</v>
      </c>
      <c r="B50" s="329" t="s">
        <v>256</v>
      </c>
      <c r="C50" s="329" t="s">
        <v>2681</v>
      </c>
      <c r="D50" s="329"/>
      <c r="E50" s="329" t="s">
        <v>259</v>
      </c>
      <c r="F50" s="329"/>
      <c r="G50" s="329"/>
    </row>
    <row r="51" ht="15.75" customHeight="1">
      <c r="A51" s="330" t="s">
        <v>6690</v>
      </c>
      <c r="B51" s="328" t="s">
        <v>6691</v>
      </c>
      <c r="C51" s="328" t="s">
        <v>2681</v>
      </c>
      <c r="D51" s="328"/>
      <c r="E51" s="328" t="s">
        <v>6633</v>
      </c>
      <c r="F51" s="328"/>
      <c r="G51" s="328"/>
    </row>
    <row r="52" ht="15.75" customHeight="1">
      <c r="A52" s="331" t="s">
        <v>6692</v>
      </c>
      <c r="B52" s="329" t="s">
        <v>6691</v>
      </c>
      <c r="C52" s="329" t="s">
        <v>2681</v>
      </c>
      <c r="D52" s="329"/>
      <c r="E52" s="329" t="s">
        <v>6633</v>
      </c>
      <c r="F52" s="329"/>
      <c r="G52" s="329"/>
    </row>
    <row r="53" ht="15.75" customHeight="1">
      <c r="A53" s="328" t="s">
        <v>6693</v>
      </c>
      <c r="B53" s="328" t="s">
        <v>6691</v>
      </c>
      <c r="C53" s="328" t="s">
        <v>2681</v>
      </c>
      <c r="D53" s="328"/>
      <c r="E53" s="328" t="s">
        <v>6633</v>
      </c>
      <c r="F53" s="328"/>
      <c r="G53" s="328"/>
    </row>
    <row r="54" ht="15.75" customHeight="1">
      <c r="A54" s="331" t="s">
        <v>6694</v>
      </c>
      <c r="B54" s="329" t="s">
        <v>266</v>
      </c>
      <c r="C54" s="329" t="s">
        <v>2681</v>
      </c>
      <c r="D54" s="329"/>
      <c r="E54" s="329" t="s">
        <v>2693</v>
      </c>
      <c r="F54" s="329"/>
      <c r="G54" s="329"/>
    </row>
    <row r="55" ht="15.75" customHeight="1">
      <c r="A55" s="328" t="s">
        <v>6695</v>
      </c>
      <c r="B55" s="328" t="s">
        <v>262</v>
      </c>
      <c r="C55" s="328" t="s">
        <v>2681</v>
      </c>
      <c r="D55" s="328"/>
      <c r="E55" s="328" t="s">
        <v>2682</v>
      </c>
      <c r="F55" s="328"/>
      <c r="G55" s="328"/>
    </row>
    <row r="56" ht="15.75" customHeight="1">
      <c r="A56" s="331" t="s">
        <v>6696</v>
      </c>
      <c r="B56" s="329" t="s">
        <v>6697</v>
      </c>
      <c r="C56" s="329" t="s">
        <v>2681</v>
      </c>
      <c r="D56" s="329"/>
      <c r="E56" s="329" t="s">
        <v>6698</v>
      </c>
      <c r="F56" s="329"/>
      <c r="G56" s="329"/>
    </row>
    <row r="57" ht="15.75" customHeight="1">
      <c r="A57" s="330" t="s">
        <v>6699</v>
      </c>
      <c r="B57" s="328" t="s">
        <v>6697</v>
      </c>
      <c r="C57" s="328" t="s">
        <v>2681</v>
      </c>
      <c r="D57" s="328"/>
      <c r="E57" s="328" t="s">
        <v>6698</v>
      </c>
      <c r="F57" s="328"/>
      <c r="G57" s="328"/>
    </row>
    <row r="58" ht="15.75" customHeight="1">
      <c r="A58" s="329" t="s">
        <v>6700</v>
      </c>
      <c r="B58" s="329" t="s">
        <v>6697</v>
      </c>
      <c r="C58" s="329" t="s">
        <v>2681</v>
      </c>
      <c r="D58" s="329"/>
      <c r="E58" s="329" t="s">
        <v>6698</v>
      </c>
      <c r="F58" s="329"/>
      <c r="G58" s="329"/>
    </row>
    <row r="59" ht="15.75" customHeight="1">
      <c r="A59" s="328" t="s">
        <v>6701</v>
      </c>
      <c r="B59" s="328" t="s">
        <v>6702</v>
      </c>
      <c r="C59" s="328" t="s">
        <v>2681</v>
      </c>
      <c r="D59" s="328"/>
      <c r="E59" s="328" t="s">
        <v>253</v>
      </c>
      <c r="F59" s="328"/>
      <c r="G59" s="328"/>
    </row>
    <row r="60" ht="15.75" customHeight="1">
      <c r="A60" s="331" t="s">
        <v>818</v>
      </c>
      <c r="B60" s="329" t="s">
        <v>268</v>
      </c>
      <c r="C60" s="329" t="s">
        <v>2681</v>
      </c>
      <c r="D60" s="329"/>
      <c r="E60" s="329" t="s">
        <v>267</v>
      </c>
      <c r="F60" s="329"/>
      <c r="G60" s="329"/>
    </row>
    <row r="61" ht="15.75" customHeight="1">
      <c r="A61" s="330" t="s">
        <v>6703</v>
      </c>
      <c r="B61" s="328" t="s">
        <v>6599</v>
      </c>
      <c r="C61" s="328" t="s">
        <v>6600</v>
      </c>
      <c r="D61" s="328"/>
      <c r="E61" s="328" t="s">
        <v>6601</v>
      </c>
      <c r="F61" s="328"/>
      <c r="G61" s="328"/>
    </row>
    <row r="62" ht="15.75" customHeight="1">
      <c r="A62" s="329" t="s">
        <v>6704</v>
      </c>
      <c r="B62" s="329" t="s">
        <v>6705</v>
      </c>
      <c r="C62" s="329" t="s">
        <v>6706</v>
      </c>
      <c r="D62" s="329"/>
      <c r="E62" s="329" t="s">
        <v>6601</v>
      </c>
      <c r="F62" s="329"/>
      <c r="G62" s="329"/>
    </row>
    <row r="63" ht="15.75" customHeight="1">
      <c r="A63" s="328" t="s">
        <v>6707</v>
      </c>
      <c r="B63" s="328" t="s">
        <v>6708</v>
      </c>
      <c r="C63" s="328" t="s">
        <v>6600</v>
      </c>
      <c r="D63" s="328"/>
      <c r="E63" s="328" t="s">
        <v>6657</v>
      </c>
      <c r="F63" s="328"/>
      <c r="G63" s="328"/>
    </row>
    <row r="64" ht="15.75" customHeight="1">
      <c r="A64" s="329" t="s">
        <v>6709</v>
      </c>
      <c r="B64" s="329" t="s">
        <v>6708</v>
      </c>
      <c r="C64" s="329" t="s">
        <v>6600</v>
      </c>
      <c r="D64" s="329"/>
      <c r="E64" s="329" t="s">
        <v>6657</v>
      </c>
      <c r="F64" s="329"/>
      <c r="G64" s="329"/>
    </row>
    <row r="65" ht="15.75" customHeight="1">
      <c r="A65" s="328" t="s">
        <v>6710</v>
      </c>
      <c r="B65" s="328" t="s">
        <v>6711</v>
      </c>
      <c r="C65" s="328" t="s">
        <v>6706</v>
      </c>
      <c r="D65" s="328"/>
      <c r="E65" s="328" t="s">
        <v>6657</v>
      </c>
      <c r="F65" s="328"/>
      <c r="G65" s="328"/>
    </row>
    <row r="66" ht="15.75" customHeight="1">
      <c r="A66" s="329" t="s">
        <v>6712</v>
      </c>
      <c r="B66" s="329" t="s">
        <v>6713</v>
      </c>
      <c r="C66" s="329" t="s">
        <v>6600</v>
      </c>
      <c r="D66" s="329"/>
      <c r="E66" s="329" t="s">
        <v>6660</v>
      </c>
      <c r="F66" s="329"/>
      <c r="G66" s="329"/>
    </row>
    <row r="67" ht="15.75" customHeight="1">
      <c r="A67" s="330" t="s">
        <v>6714</v>
      </c>
      <c r="B67" s="328" t="s">
        <v>6715</v>
      </c>
      <c r="C67" s="328" t="s">
        <v>6706</v>
      </c>
      <c r="D67" s="328"/>
      <c r="E67" s="328" t="s">
        <v>6660</v>
      </c>
      <c r="F67" s="328"/>
      <c r="G67" s="328"/>
    </row>
    <row r="68" ht="15.75" customHeight="1">
      <c r="A68" s="329" t="s">
        <v>4015</v>
      </c>
      <c r="B68" s="329" t="s">
        <v>275</v>
      </c>
      <c r="C68" s="329" t="s">
        <v>269</v>
      </c>
      <c r="D68" s="329"/>
      <c r="E68" s="329" t="s">
        <v>274</v>
      </c>
      <c r="F68" s="329"/>
      <c r="G68" s="329"/>
    </row>
    <row r="69" ht="15.75" customHeight="1">
      <c r="A69" s="328" t="s">
        <v>6716</v>
      </c>
      <c r="B69" s="328" t="s">
        <v>266</v>
      </c>
      <c r="C69" s="328" t="s">
        <v>2681</v>
      </c>
      <c r="D69" s="328"/>
      <c r="E69" s="328" t="s">
        <v>2693</v>
      </c>
      <c r="F69" s="328"/>
      <c r="G69" s="328"/>
    </row>
    <row r="70" ht="15.75" customHeight="1">
      <c r="A70" s="329" t="s">
        <v>6717</v>
      </c>
      <c r="B70" s="329" t="s">
        <v>6718</v>
      </c>
      <c r="C70" s="329" t="s">
        <v>269</v>
      </c>
      <c r="D70" s="329"/>
      <c r="E70" s="329" t="s">
        <v>6719</v>
      </c>
      <c r="F70" s="329"/>
      <c r="G70" s="329"/>
    </row>
    <row r="71" ht="15.75" customHeight="1">
      <c r="A71" s="328" t="s">
        <v>877</v>
      </c>
      <c r="B71" s="328" t="s">
        <v>279</v>
      </c>
      <c r="C71" s="328" t="s">
        <v>269</v>
      </c>
      <c r="D71" s="328"/>
      <c r="E71" s="328" t="s">
        <v>278</v>
      </c>
      <c r="F71" s="328"/>
      <c r="G71" s="328"/>
    </row>
    <row r="72" ht="15.75" customHeight="1">
      <c r="A72" s="329" t="s">
        <v>6720</v>
      </c>
      <c r="B72" s="329" t="s">
        <v>264</v>
      </c>
      <c r="C72" s="329" t="s">
        <v>2681</v>
      </c>
      <c r="D72" s="329"/>
      <c r="E72" s="329" t="s">
        <v>2687</v>
      </c>
      <c r="F72" s="329"/>
      <c r="G72" s="329"/>
    </row>
    <row r="73" ht="15.75" customHeight="1">
      <c r="A73" s="328" t="s">
        <v>6721</v>
      </c>
      <c r="B73" s="328" t="s">
        <v>2056</v>
      </c>
      <c r="C73" s="328" t="s">
        <v>2613</v>
      </c>
      <c r="D73" s="328"/>
      <c r="E73" s="328" t="s">
        <v>6722</v>
      </c>
      <c r="F73" s="328"/>
      <c r="G73" s="328"/>
    </row>
    <row r="74" ht="15.75" customHeight="1">
      <c r="A74" s="329" t="s">
        <v>6723</v>
      </c>
      <c r="B74" s="329" t="s">
        <v>6702</v>
      </c>
      <c r="C74" s="329" t="s">
        <v>2681</v>
      </c>
      <c r="D74" s="329"/>
      <c r="E74" s="329" t="s">
        <v>253</v>
      </c>
      <c r="F74" s="329"/>
      <c r="G74" s="329"/>
    </row>
    <row r="75" ht="15.75" customHeight="1">
      <c r="A75" s="328" t="s">
        <v>6724</v>
      </c>
      <c r="B75" s="328" t="s">
        <v>2003</v>
      </c>
      <c r="C75" s="328" t="s">
        <v>2563</v>
      </c>
      <c r="D75" s="328"/>
      <c r="E75" s="328" t="s">
        <v>6725</v>
      </c>
      <c r="F75" s="328"/>
      <c r="G75" s="328"/>
    </row>
    <row r="76" ht="15.75" customHeight="1">
      <c r="A76" s="329" t="s">
        <v>806</v>
      </c>
      <c r="B76" s="329" t="s">
        <v>275</v>
      </c>
      <c r="C76" s="329" t="s">
        <v>269</v>
      </c>
      <c r="D76" s="329"/>
      <c r="E76" s="329" t="s">
        <v>274</v>
      </c>
      <c r="F76" s="329"/>
      <c r="G76" s="329"/>
    </row>
    <row r="77" ht="15.75" customHeight="1">
      <c r="A77" s="328" t="s">
        <v>6726</v>
      </c>
      <c r="B77" s="328" t="s">
        <v>6727</v>
      </c>
      <c r="C77" s="328" t="s">
        <v>2563</v>
      </c>
      <c r="D77" s="328"/>
      <c r="E77" s="328" t="s">
        <v>6728</v>
      </c>
      <c r="F77" s="328"/>
      <c r="G77" s="328"/>
    </row>
    <row r="78" ht="15.75" customHeight="1">
      <c r="A78" s="329" t="s">
        <v>6729</v>
      </c>
      <c r="B78" s="329" t="s">
        <v>2057</v>
      </c>
      <c r="C78" s="329" t="s">
        <v>2613</v>
      </c>
      <c r="D78" s="329"/>
      <c r="E78" s="329" t="s">
        <v>6730</v>
      </c>
      <c r="F78" s="329"/>
      <c r="G78" s="329"/>
    </row>
    <row r="79" ht="15.75" customHeight="1">
      <c r="A79" s="328" t="s">
        <v>6731</v>
      </c>
      <c r="B79" s="328" t="s">
        <v>2058</v>
      </c>
      <c r="C79" s="328" t="s">
        <v>269</v>
      </c>
      <c r="D79" s="328"/>
      <c r="E79" s="328" t="s">
        <v>6732</v>
      </c>
      <c r="F79" s="328"/>
      <c r="G79" s="328"/>
    </row>
    <row r="80" ht="15.75" customHeight="1">
      <c r="A80" s="329" t="s">
        <v>6733</v>
      </c>
      <c r="B80" s="329" t="s">
        <v>6702</v>
      </c>
      <c r="C80" s="329" t="s">
        <v>2681</v>
      </c>
      <c r="D80" s="329"/>
      <c r="E80" s="329" t="s">
        <v>253</v>
      </c>
      <c r="F80" s="329"/>
      <c r="G80" s="329"/>
    </row>
    <row r="81" ht="15.75" customHeight="1">
      <c r="A81" s="330" t="s">
        <v>6734</v>
      </c>
      <c r="B81" s="328" t="s">
        <v>260</v>
      </c>
      <c r="C81" s="328" t="s">
        <v>2613</v>
      </c>
      <c r="D81" s="328"/>
      <c r="E81" s="328" t="s">
        <v>259</v>
      </c>
      <c r="F81" s="328"/>
      <c r="G81" s="328"/>
    </row>
    <row r="82" ht="15.75" customHeight="1">
      <c r="A82" s="331" t="s">
        <v>6735</v>
      </c>
      <c r="B82" s="329" t="s">
        <v>6718</v>
      </c>
      <c r="C82" s="329" t="s">
        <v>269</v>
      </c>
      <c r="D82" s="329"/>
      <c r="E82" s="329" t="s">
        <v>6719</v>
      </c>
      <c r="F82" s="329"/>
      <c r="G82" s="329"/>
    </row>
    <row r="83" ht="15.75" customHeight="1">
      <c r="A83" s="330" t="s">
        <v>6736</v>
      </c>
      <c r="B83" s="328" t="s">
        <v>2058</v>
      </c>
      <c r="C83" s="328" t="s">
        <v>269</v>
      </c>
      <c r="D83" s="328"/>
      <c r="E83" s="328" t="s">
        <v>6732</v>
      </c>
      <c r="F83" s="328"/>
      <c r="G83" s="328"/>
    </row>
    <row r="84" ht="15.75" customHeight="1">
      <c r="A84" s="331" t="s">
        <v>6737</v>
      </c>
      <c r="B84" s="329" t="s">
        <v>264</v>
      </c>
      <c r="C84" s="329" t="s">
        <v>2681</v>
      </c>
      <c r="D84" s="329"/>
      <c r="E84" s="329" t="s">
        <v>2687</v>
      </c>
      <c r="F84" s="329"/>
      <c r="G84" s="329"/>
    </row>
    <row r="85" ht="15.75" customHeight="1">
      <c r="A85" s="330" t="s">
        <v>820</v>
      </c>
      <c r="B85" s="328" t="s">
        <v>256</v>
      </c>
      <c r="C85" s="328" t="s">
        <v>2681</v>
      </c>
      <c r="D85" s="328"/>
      <c r="E85" s="328" t="s">
        <v>259</v>
      </c>
      <c r="F85" s="328"/>
      <c r="G85" s="328"/>
    </row>
    <row r="86" ht="15.75" customHeight="1">
      <c r="A86" s="331" t="s">
        <v>4367</v>
      </c>
      <c r="B86" s="329" t="s">
        <v>1278</v>
      </c>
      <c r="C86" s="329" t="s">
        <v>269</v>
      </c>
      <c r="D86" s="329"/>
      <c r="E86" s="329" t="s">
        <v>2839</v>
      </c>
      <c r="F86" s="329"/>
      <c r="G86" s="329"/>
    </row>
    <row r="87" ht="15.75" customHeight="1">
      <c r="A87" s="330" t="s">
        <v>4520</v>
      </c>
      <c r="B87" s="328" t="s">
        <v>279</v>
      </c>
      <c r="C87" s="328" t="s">
        <v>269</v>
      </c>
      <c r="D87" s="328"/>
      <c r="E87" s="328" t="s">
        <v>278</v>
      </c>
      <c r="F87" s="328"/>
      <c r="G87" s="328"/>
    </row>
    <row r="88" ht="15.75" customHeight="1">
      <c r="A88" s="331" t="s">
        <v>6738</v>
      </c>
      <c r="B88" s="329" t="s">
        <v>260</v>
      </c>
      <c r="C88" s="329" t="s">
        <v>2613</v>
      </c>
      <c r="D88" s="329"/>
      <c r="E88" s="329" t="s">
        <v>259</v>
      </c>
      <c r="F88" s="329"/>
      <c r="G88" s="329"/>
    </row>
    <row r="89" ht="15.75" customHeight="1">
      <c r="A89" s="330" t="s">
        <v>5429</v>
      </c>
      <c r="B89" s="328" t="s">
        <v>258</v>
      </c>
      <c r="C89" s="328" t="s">
        <v>2613</v>
      </c>
      <c r="D89" s="328"/>
      <c r="E89" s="328" t="s">
        <v>257</v>
      </c>
      <c r="F89" s="328"/>
      <c r="G89" s="328"/>
    </row>
    <row r="90" ht="15.75" customHeight="1">
      <c r="A90" s="331" t="s">
        <v>6739</v>
      </c>
      <c r="B90" s="329" t="s">
        <v>281</v>
      </c>
      <c r="C90" s="329" t="s">
        <v>269</v>
      </c>
      <c r="D90" s="329"/>
      <c r="E90" s="329" t="s">
        <v>280</v>
      </c>
      <c r="F90" s="329"/>
      <c r="G90" s="329"/>
    </row>
    <row r="91" ht="15.75" customHeight="1">
      <c r="A91" s="330" t="s">
        <v>6740</v>
      </c>
      <c r="B91" s="328" t="s">
        <v>6676</v>
      </c>
      <c r="C91" s="328" t="s">
        <v>6677</v>
      </c>
      <c r="D91" s="328"/>
      <c r="E91" s="333"/>
      <c r="F91" s="333"/>
      <c r="G91" s="333"/>
    </row>
    <row r="92" ht="15.75" customHeight="1">
      <c r="A92" s="331" t="s">
        <v>6741</v>
      </c>
      <c r="B92" s="329" t="s">
        <v>6742</v>
      </c>
      <c r="C92" s="329" t="s">
        <v>6680</v>
      </c>
      <c r="D92" s="329"/>
      <c r="E92" s="329" t="s">
        <v>248</v>
      </c>
      <c r="F92" s="329"/>
      <c r="G92" s="329"/>
    </row>
    <row r="93" ht="15.75" customHeight="1">
      <c r="A93" s="328" t="s">
        <v>6743</v>
      </c>
      <c r="B93" s="328" t="s">
        <v>256</v>
      </c>
      <c r="C93" s="328" t="s">
        <v>2681</v>
      </c>
      <c r="D93" s="328"/>
      <c r="E93" s="328" t="s">
        <v>259</v>
      </c>
      <c r="F93" s="328"/>
      <c r="G93" s="328"/>
    </row>
    <row r="94" ht="15.75" customHeight="1">
      <c r="A94" s="329" t="s">
        <v>6744</v>
      </c>
      <c r="B94" s="329" t="s">
        <v>6745</v>
      </c>
      <c r="C94" s="329" t="s">
        <v>6654</v>
      </c>
      <c r="D94" s="329"/>
      <c r="E94" s="329" t="s">
        <v>2699</v>
      </c>
      <c r="F94" s="329"/>
      <c r="G94" s="329"/>
    </row>
    <row r="95" ht="15.75" customHeight="1">
      <c r="A95" s="328" t="s">
        <v>6746</v>
      </c>
      <c r="B95" s="328" t="s">
        <v>6745</v>
      </c>
      <c r="C95" s="328" t="s">
        <v>6654</v>
      </c>
      <c r="D95" s="328"/>
      <c r="E95" s="328" t="s">
        <v>2699</v>
      </c>
      <c r="F95" s="328"/>
      <c r="G95" s="328"/>
    </row>
    <row r="96" ht="15.75" customHeight="1">
      <c r="A96" s="331" t="s">
        <v>6747</v>
      </c>
      <c r="B96" s="329" t="s">
        <v>2055</v>
      </c>
      <c r="C96" s="329" t="s">
        <v>252</v>
      </c>
      <c r="D96" s="329"/>
      <c r="E96" s="329" t="s">
        <v>6748</v>
      </c>
      <c r="F96" s="329"/>
      <c r="G96" s="329"/>
    </row>
    <row r="97" ht="15.75" customHeight="1">
      <c r="A97" s="330" t="s">
        <v>3876</v>
      </c>
      <c r="B97" s="328" t="s">
        <v>273</v>
      </c>
      <c r="C97" s="328" t="s">
        <v>269</v>
      </c>
      <c r="D97" s="328"/>
      <c r="E97" s="328" t="s">
        <v>272</v>
      </c>
      <c r="F97" s="328"/>
      <c r="G97" s="328"/>
    </row>
    <row r="98" ht="15.75" customHeight="1">
      <c r="A98" s="331" t="s">
        <v>6749</v>
      </c>
      <c r="B98" s="329" t="s">
        <v>2000</v>
      </c>
      <c r="C98" s="329" t="s">
        <v>162</v>
      </c>
      <c r="D98" s="329"/>
      <c r="E98" s="329" t="s">
        <v>2661</v>
      </c>
      <c r="F98" s="329"/>
      <c r="G98" s="329"/>
    </row>
    <row r="99" ht="15.75" customHeight="1">
      <c r="A99" s="328" t="s">
        <v>6750</v>
      </c>
      <c r="B99" s="328" t="s">
        <v>6751</v>
      </c>
      <c r="C99" s="328" t="s">
        <v>211</v>
      </c>
      <c r="D99" s="328"/>
      <c r="E99" s="328" t="s">
        <v>6752</v>
      </c>
      <c r="F99" s="328"/>
      <c r="G99" s="328"/>
    </row>
    <row r="100" ht="15.75" customHeight="1">
      <c r="A100" s="329" t="s">
        <v>717</v>
      </c>
      <c r="B100" s="329" t="s">
        <v>215</v>
      </c>
      <c r="C100" s="329" t="s">
        <v>211</v>
      </c>
      <c r="D100" s="329"/>
      <c r="E100" s="329" t="s">
        <v>214</v>
      </c>
      <c r="F100" s="329"/>
      <c r="G100" s="329"/>
    </row>
    <row r="101" ht="15.75" customHeight="1">
      <c r="A101" s="328" t="s">
        <v>4109</v>
      </c>
      <c r="B101" s="328" t="s">
        <v>2034</v>
      </c>
      <c r="C101" s="328" t="s">
        <v>211</v>
      </c>
      <c r="D101" s="328"/>
      <c r="E101" s="328" t="s">
        <v>6753</v>
      </c>
      <c r="F101" s="328"/>
      <c r="G101" s="328"/>
    </row>
    <row r="102" ht="15.75" customHeight="1">
      <c r="A102" s="329" t="s">
        <v>6187</v>
      </c>
      <c r="B102" s="329" t="s">
        <v>389</v>
      </c>
      <c r="C102" s="329" t="s">
        <v>252</v>
      </c>
      <c r="D102" s="329"/>
      <c r="E102" s="329" t="s">
        <v>2699</v>
      </c>
      <c r="F102" s="329"/>
      <c r="G102" s="329"/>
    </row>
    <row r="103" ht="15.75" customHeight="1">
      <c r="A103" s="328" t="s">
        <v>712</v>
      </c>
      <c r="B103" s="328" t="s">
        <v>219</v>
      </c>
      <c r="C103" s="328" t="s">
        <v>211</v>
      </c>
      <c r="D103" s="328"/>
      <c r="E103" s="328" t="s">
        <v>6754</v>
      </c>
      <c r="F103" s="328"/>
      <c r="G103" s="328"/>
    </row>
    <row r="104" ht="15.75" customHeight="1">
      <c r="A104" s="329" t="s">
        <v>6755</v>
      </c>
      <c r="B104" s="329" t="s">
        <v>6718</v>
      </c>
      <c r="C104" s="329" t="s">
        <v>269</v>
      </c>
      <c r="D104" s="329"/>
      <c r="E104" s="329" t="s">
        <v>6719</v>
      </c>
      <c r="F104" s="329"/>
      <c r="G104" s="329"/>
    </row>
    <row r="105" ht="15.75" customHeight="1">
      <c r="A105" s="328" t="s">
        <v>4884</v>
      </c>
      <c r="B105" s="328" t="s">
        <v>2051</v>
      </c>
      <c r="C105" s="328" t="s">
        <v>211</v>
      </c>
      <c r="D105" s="328"/>
      <c r="E105" s="328" t="s">
        <v>6630</v>
      </c>
      <c r="F105" s="328"/>
      <c r="G105" s="328"/>
    </row>
    <row r="106" ht="15.75" customHeight="1">
      <c r="A106" s="329" t="s">
        <v>6756</v>
      </c>
      <c r="B106" s="329" t="s">
        <v>1998</v>
      </c>
      <c r="C106" s="329" t="s">
        <v>162</v>
      </c>
      <c r="D106" s="329"/>
      <c r="E106" s="329" t="s">
        <v>6757</v>
      </c>
      <c r="F106" s="329"/>
      <c r="G106" s="329"/>
    </row>
    <row r="107" ht="15.75" customHeight="1">
      <c r="A107" s="328" t="s">
        <v>6758</v>
      </c>
      <c r="B107" s="328" t="s">
        <v>6759</v>
      </c>
      <c r="C107" s="328" t="s">
        <v>252</v>
      </c>
      <c r="D107" s="328"/>
      <c r="E107" s="328" t="s">
        <v>6760</v>
      </c>
      <c r="F107" s="328"/>
      <c r="G107" s="328"/>
    </row>
    <row r="108" ht="15.75" customHeight="1">
      <c r="A108" s="329" t="s">
        <v>6066</v>
      </c>
      <c r="B108" s="329" t="s">
        <v>1278</v>
      </c>
      <c r="C108" s="329" t="s">
        <v>269</v>
      </c>
      <c r="D108" s="329"/>
      <c r="E108" s="329" t="s">
        <v>2839</v>
      </c>
      <c r="F108" s="329"/>
      <c r="G108" s="329"/>
    </row>
    <row r="109" ht="15.75" customHeight="1">
      <c r="A109" s="328" t="s">
        <v>6761</v>
      </c>
      <c r="B109" s="328" t="s">
        <v>2058</v>
      </c>
      <c r="C109" s="328" t="s">
        <v>269</v>
      </c>
      <c r="D109" s="328"/>
      <c r="E109" s="328" t="s">
        <v>6732</v>
      </c>
      <c r="F109" s="328"/>
      <c r="G109" s="328"/>
    </row>
    <row r="110" ht="15.75" customHeight="1">
      <c r="A110" s="329" t="s">
        <v>3883</v>
      </c>
      <c r="B110" s="329" t="s">
        <v>281</v>
      </c>
      <c r="C110" s="329" t="s">
        <v>269</v>
      </c>
      <c r="D110" s="329"/>
      <c r="E110" s="329" t="s">
        <v>280</v>
      </c>
      <c r="F110" s="329"/>
      <c r="G110" s="329"/>
    </row>
    <row r="111" ht="15.75" customHeight="1">
      <c r="A111" s="328" t="s">
        <v>6762</v>
      </c>
      <c r="B111" s="328" t="s">
        <v>49</v>
      </c>
      <c r="C111" s="328" t="s">
        <v>211</v>
      </c>
      <c r="D111" s="328"/>
      <c r="E111" s="328" t="s">
        <v>6763</v>
      </c>
      <c r="F111" s="328"/>
      <c r="G111" s="328"/>
    </row>
    <row r="112" ht="15.75" customHeight="1">
      <c r="A112" s="329" t="s">
        <v>4628</v>
      </c>
      <c r="B112" s="329" t="s">
        <v>271</v>
      </c>
      <c r="C112" s="329" t="s">
        <v>269</v>
      </c>
      <c r="D112" s="329"/>
      <c r="E112" s="329" t="s">
        <v>270</v>
      </c>
      <c r="F112" s="329"/>
      <c r="G112" s="329"/>
    </row>
    <row r="113" ht="15.75" customHeight="1">
      <c r="A113" s="328" t="s">
        <v>6764</v>
      </c>
      <c r="B113" s="328" t="s">
        <v>2057</v>
      </c>
      <c r="C113" s="328" t="s">
        <v>252</v>
      </c>
      <c r="D113" s="328"/>
      <c r="E113" s="328" t="s">
        <v>6765</v>
      </c>
      <c r="F113" s="328"/>
      <c r="G113" s="328"/>
    </row>
    <row r="114" ht="15.75" customHeight="1">
      <c r="A114" s="329" t="s">
        <v>647</v>
      </c>
      <c r="B114" s="329" t="s">
        <v>217</v>
      </c>
      <c r="C114" s="329" t="s">
        <v>211</v>
      </c>
      <c r="D114" s="329"/>
      <c r="E114" s="329" t="s">
        <v>270</v>
      </c>
      <c r="F114" s="329"/>
      <c r="G114" s="329"/>
    </row>
    <row r="115" ht="15.75" customHeight="1">
      <c r="A115" s="328" t="s">
        <v>3920</v>
      </c>
      <c r="B115" s="328" t="s">
        <v>271</v>
      </c>
      <c r="C115" s="328" t="s">
        <v>269</v>
      </c>
      <c r="D115" s="328"/>
      <c r="E115" s="328" t="s">
        <v>270</v>
      </c>
      <c r="F115" s="328"/>
      <c r="G115" s="328"/>
    </row>
    <row r="116" ht="15.75" customHeight="1">
      <c r="A116" s="329" t="s">
        <v>6766</v>
      </c>
      <c r="B116" s="329" t="s">
        <v>389</v>
      </c>
      <c r="C116" s="329" t="s">
        <v>2681</v>
      </c>
      <c r="D116" s="329"/>
      <c r="E116" s="329" t="s">
        <v>388</v>
      </c>
      <c r="F116" s="329"/>
      <c r="G116" s="329"/>
    </row>
    <row r="117" ht="15.75" customHeight="1">
      <c r="A117" s="328" t="s">
        <v>6767</v>
      </c>
      <c r="B117" s="328" t="s">
        <v>279</v>
      </c>
      <c r="C117" s="328" t="s">
        <v>269</v>
      </c>
      <c r="D117" s="328"/>
      <c r="E117" s="328" t="s">
        <v>278</v>
      </c>
      <c r="F117" s="328"/>
      <c r="G117" s="328"/>
    </row>
    <row r="118" ht="15.75" customHeight="1">
      <c r="A118" s="329" t="s">
        <v>6768</v>
      </c>
      <c r="B118" s="329" t="s">
        <v>2056</v>
      </c>
      <c r="C118" s="329" t="s">
        <v>252</v>
      </c>
      <c r="D118" s="329"/>
      <c r="E118" s="329" t="s">
        <v>6722</v>
      </c>
      <c r="F118" s="329"/>
      <c r="G118" s="329"/>
    </row>
    <row r="119" ht="15.75" customHeight="1">
      <c r="A119" s="330" t="s">
        <v>6769</v>
      </c>
      <c r="B119" s="328" t="s">
        <v>6770</v>
      </c>
      <c r="C119" s="328" t="s">
        <v>2563</v>
      </c>
      <c r="D119" s="328"/>
      <c r="E119" s="328" t="s">
        <v>6771</v>
      </c>
      <c r="F119" s="328"/>
      <c r="G119" s="328"/>
    </row>
    <row r="120" ht="15.75" customHeight="1">
      <c r="A120" s="331" t="s">
        <v>6027</v>
      </c>
      <c r="B120" s="329" t="s">
        <v>254</v>
      </c>
      <c r="C120" s="329" t="s">
        <v>2613</v>
      </c>
      <c r="D120" s="329"/>
      <c r="E120" s="329" t="s">
        <v>253</v>
      </c>
      <c r="F120" s="329"/>
      <c r="G120" s="329"/>
    </row>
    <row r="121" ht="15.75" customHeight="1">
      <c r="A121" s="330" t="s">
        <v>722</v>
      </c>
      <c r="B121" s="328" t="s">
        <v>213</v>
      </c>
      <c r="C121" s="328" t="s">
        <v>211</v>
      </c>
      <c r="D121" s="328"/>
      <c r="E121" s="328" t="s">
        <v>6772</v>
      </c>
      <c r="F121" s="328"/>
      <c r="G121" s="328"/>
    </row>
    <row r="122" ht="15.75" customHeight="1">
      <c r="A122" s="331" t="s">
        <v>6773</v>
      </c>
      <c r="B122" s="329" t="s">
        <v>6774</v>
      </c>
      <c r="C122" s="329" t="s">
        <v>2563</v>
      </c>
      <c r="D122" s="329"/>
      <c r="E122" s="329" t="s">
        <v>2184</v>
      </c>
      <c r="F122" s="329"/>
      <c r="G122" s="329"/>
    </row>
    <row r="123" ht="15.75" customHeight="1">
      <c r="A123" s="330" t="s">
        <v>938</v>
      </c>
      <c r="B123" s="328" t="s">
        <v>233</v>
      </c>
      <c r="C123" s="328" t="s">
        <v>162</v>
      </c>
      <c r="D123" s="328"/>
      <c r="E123" s="328" t="s">
        <v>232</v>
      </c>
      <c r="F123" s="328"/>
      <c r="G123" s="328"/>
    </row>
    <row r="124" ht="15.75" customHeight="1">
      <c r="A124" s="331" t="s">
        <v>6775</v>
      </c>
      <c r="B124" s="329" t="s">
        <v>6759</v>
      </c>
      <c r="C124" s="329" t="s">
        <v>252</v>
      </c>
      <c r="D124" s="329"/>
      <c r="E124" s="329" t="s">
        <v>6760</v>
      </c>
      <c r="F124" s="329"/>
      <c r="G124" s="329"/>
    </row>
    <row r="125" ht="15.75" customHeight="1">
      <c r="A125" s="330" t="s">
        <v>6776</v>
      </c>
      <c r="B125" s="328" t="s">
        <v>6777</v>
      </c>
      <c r="C125" s="328" t="s">
        <v>6778</v>
      </c>
      <c r="D125" s="328"/>
      <c r="E125" s="328" t="s">
        <v>6779</v>
      </c>
      <c r="F125" s="328"/>
      <c r="G125" s="328"/>
    </row>
    <row r="126" ht="15.75" customHeight="1">
      <c r="A126" s="331" t="s">
        <v>6780</v>
      </c>
      <c r="B126" s="329" t="s">
        <v>6781</v>
      </c>
      <c r="C126" s="329" t="s">
        <v>2563</v>
      </c>
      <c r="D126" s="329"/>
      <c r="E126" s="329" t="s">
        <v>6782</v>
      </c>
      <c r="F126" s="329"/>
      <c r="G126" s="329"/>
    </row>
    <row r="127" ht="15.75" customHeight="1">
      <c r="A127" s="330" t="s">
        <v>6783</v>
      </c>
      <c r="B127" s="328" t="s">
        <v>254</v>
      </c>
      <c r="C127" s="328" t="s">
        <v>2613</v>
      </c>
      <c r="D127" s="328"/>
      <c r="E127" s="328" t="s">
        <v>253</v>
      </c>
      <c r="F127" s="328"/>
      <c r="G127" s="328"/>
    </row>
    <row r="128" ht="15.75" customHeight="1">
      <c r="A128" s="331" t="s">
        <v>6784</v>
      </c>
      <c r="B128" s="329" t="s">
        <v>2004</v>
      </c>
      <c r="C128" s="329" t="s">
        <v>208</v>
      </c>
      <c r="D128" s="329"/>
      <c r="E128" s="329" t="s">
        <v>2153</v>
      </c>
      <c r="F128" s="329"/>
      <c r="G128" s="329"/>
    </row>
    <row r="129" ht="15.75" customHeight="1">
      <c r="A129" s="330" t="s">
        <v>252</v>
      </c>
      <c r="B129" s="328" t="s">
        <v>6785</v>
      </c>
      <c r="C129" s="328" t="s">
        <v>252</v>
      </c>
      <c r="D129" s="328"/>
      <c r="E129" s="333"/>
      <c r="F129" s="333"/>
      <c r="G129" s="333"/>
    </row>
    <row r="130" ht="15.75" customHeight="1">
      <c r="A130" s="331" t="s">
        <v>6786</v>
      </c>
      <c r="B130" s="329" t="s">
        <v>6787</v>
      </c>
      <c r="C130" s="329" t="s">
        <v>6654</v>
      </c>
      <c r="D130" s="329"/>
      <c r="E130" s="329" t="s">
        <v>6788</v>
      </c>
      <c r="F130" s="329"/>
      <c r="G130" s="329"/>
    </row>
    <row r="131" ht="15.75" customHeight="1">
      <c r="A131" s="330" t="s">
        <v>6789</v>
      </c>
      <c r="B131" s="328" t="s">
        <v>6790</v>
      </c>
      <c r="C131" s="328" t="s">
        <v>6791</v>
      </c>
      <c r="D131" s="328"/>
      <c r="E131" s="333"/>
      <c r="F131" s="333"/>
      <c r="G131" s="333"/>
    </row>
    <row r="132" ht="15.75" customHeight="1">
      <c r="A132" s="331" t="s">
        <v>6792</v>
      </c>
      <c r="B132" s="329" t="s">
        <v>6659</v>
      </c>
      <c r="C132" s="329" t="s">
        <v>6654</v>
      </c>
      <c r="D132" s="329"/>
      <c r="E132" s="329" t="s">
        <v>6660</v>
      </c>
      <c r="F132" s="329"/>
      <c r="G132" s="329"/>
    </row>
    <row r="133" ht="15.75" customHeight="1">
      <c r="A133" s="330" t="s">
        <v>6793</v>
      </c>
      <c r="B133" s="328" t="s">
        <v>6794</v>
      </c>
      <c r="C133" s="328" t="s">
        <v>162</v>
      </c>
      <c r="D133" s="328"/>
      <c r="E133" s="328" t="s">
        <v>6795</v>
      </c>
      <c r="F133" s="328"/>
      <c r="G133" s="328"/>
    </row>
    <row r="134" ht="15.75" customHeight="1">
      <c r="A134" s="331" t="s">
        <v>4958</v>
      </c>
      <c r="B134" s="329" t="s">
        <v>258</v>
      </c>
      <c r="C134" s="329" t="s">
        <v>252</v>
      </c>
      <c r="D134" s="329"/>
      <c r="E134" s="329" t="s">
        <v>257</v>
      </c>
      <c r="F134" s="329"/>
      <c r="G134" s="329"/>
    </row>
    <row r="135" ht="15.75" customHeight="1">
      <c r="A135" s="330" t="s">
        <v>2967</v>
      </c>
      <c r="B135" s="328" t="s">
        <v>167</v>
      </c>
      <c r="C135" s="328" t="s">
        <v>162</v>
      </c>
      <c r="D135" s="328"/>
      <c r="E135" s="328" t="s">
        <v>168</v>
      </c>
      <c r="F135" s="328"/>
      <c r="G135" s="328"/>
    </row>
    <row r="136" ht="15.75" customHeight="1">
      <c r="A136" s="329" t="s">
        <v>3161</v>
      </c>
      <c r="B136" s="329" t="s">
        <v>229</v>
      </c>
      <c r="C136" s="329" t="s">
        <v>162</v>
      </c>
      <c r="D136" s="329"/>
      <c r="E136" s="329" t="s">
        <v>228</v>
      </c>
      <c r="F136" s="329"/>
      <c r="G136" s="329"/>
    </row>
    <row r="137" ht="15.75" customHeight="1">
      <c r="A137" s="328" t="s">
        <v>6796</v>
      </c>
      <c r="B137" s="328" t="s">
        <v>6797</v>
      </c>
      <c r="C137" s="328" t="s">
        <v>252</v>
      </c>
      <c r="D137" s="328"/>
      <c r="E137" s="328" t="s">
        <v>6798</v>
      </c>
      <c r="F137" s="328"/>
      <c r="G137" s="328"/>
    </row>
    <row r="138" ht="15.75" customHeight="1">
      <c r="A138" s="331" t="s">
        <v>6799</v>
      </c>
      <c r="B138" s="329" t="s">
        <v>6790</v>
      </c>
      <c r="C138" s="329" t="s">
        <v>6791</v>
      </c>
      <c r="D138" s="329"/>
      <c r="E138" s="332"/>
      <c r="F138" s="332"/>
      <c r="G138" s="332"/>
    </row>
    <row r="139" ht="15.75" customHeight="1">
      <c r="A139" s="330" t="s">
        <v>6800</v>
      </c>
      <c r="B139" s="328" t="s">
        <v>6801</v>
      </c>
      <c r="C139" s="328" t="s">
        <v>2649</v>
      </c>
      <c r="D139" s="328"/>
      <c r="E139" s="328" t="s">
        <v>2853</v>
      </c>
      <c r="F139" s="328"/>
      <c r="G139" s="328"/>
    </row>
    <row r="140" ht="15.75" customHeight="1">
      <c r="A140" s="331" t="s">
        <v>6802</v>
      </c>
      <c r="B140" s="329" t="s">
        <v>2046</v>
      </c>
      <c r="C140" s="329" t="s">
        <v>2649</v>
      </c>
      <c r="D140" s="329"/>
      <c r="E140" s="329" t="s">
        <v>2650</v>
      </c>
      <c r="F140" s="329"/>
      <c r="G140" s="329"/>
    </row>
    <row r="141" ht="15.75" customHeight="1">
      <c r="A141" s="330" t="s">
        <v>6803</v>
      </c>
      <c r="B141" s="328" t="s">
        <v>6804</v>
      </c>
      <c r="C141" s="328" t="s">
        <v>2649</v>
      </c>
      <c r="D141" s="328"/>
      <c r="E141" s="328" t="s">
        <v>253</v>
      </c>
      <c r="F141" s="328"/>
      <c r="G141" s="328"/>
    </row>
    <row r="142" ht="15.75" customHeight="1">
      <c r="A142" s="331" t="s">
        <v>6805</v>
      </c>
      <c r="B142" s="329" t="s">
        <v>6806</v>
      </c>
      <c r="C142" s="329" t="s">
        <v>2649</v>
      </c>
      <c r="D142" s="329"/>
      <c r="E142" s="329" t="s">
        <v>6633</v>
      </c>
      <c r="F142" s="329"/>
      <c r="G142" s="329"/>
    </row>
    <row r="143" ht="15.75" customHeight="1">
      <c r="A143" s="330" t="s">
        <v>6807</v>
      </c>
      <c r="B143" s="328" t="s">
        <v>6790</v>
      </c>
      <c r="C143" s="328" t="s">
        <v>6791</v>
      </c>
      <c r="D143" s="328"/>
      <c r="E143" s="333"/>
      <c r="F143" s="333"/>
      <c r="G143" s="333"/>
    </row>
    <row r="144" ht="15.75" customHeight="1">
      <c r="A144" s="331" t="s">
        <v>6808</v>
      </c>
      <c r="B144" s="329" t="s">
        <v>6809</v>
      </c>
      <c r="C144" s="329" t="s">
        <v>6706</v>
      </c>
      <c r="D144" s="329"/>
      <c r="E144" s="329" t="s">
        <v>6810</v>
      </c>
      <c r="F144" s="329"/>
      <c r="G144" s="329"/>
    </row>
    <row r="145" ht="15.75" customHeight="1">
      <c r="A145" s="330" t="s">
        <v>6811</v>
      </c>
      <c r="B145" s="328" t="s">
        <v>2017</v>
      </c>
      <c r="C145" s="328" t="s">
        <v>162</v>
      </c>
      <c r="D145" s="328"/>
      <c r="E145" s="328" t="s">
        <v>2633</v>
      </c>
      <c r="F145" s="328"/>
      <c r="G145" s="328"/>
    </row>
    <row r="146" ht="15.75" customHeight="1">
      <c r="A146" s="331" t="s">
        <v>6812</v>
      </c>
      <c r="B146" s="329" t="s">
        <v>6813</v>
      </c>
      <c r="C146" s="329" t="s">
        <v>6600</v>
      </c>
      <c r="D146" s="329"/>
      <c r="E146" s="329" t="s">
        <v>6814</v>
      </c>
      <c r="F146" s="329"/>
      <c r="G146" s="329"/>
    </row>
    <row r="147" ht="15.75" customHeight="1">
      <c r="A147" s="330" t="s">
        <v>6815</v>
      </c>
      <c r="B147" s="328" t="s">
        <v>6816</v>
      </c>
      <c r="C147" s="328" t="s">
        <v>6654</v>
      </c>
      <c r="D147" s="328"/>
      <c r="E147" s="328" t="s">
        <v>6810</v>
      </c>
      <c r="F147" s="328"/>
      <c r="G147" s="328"/>
    </row>
    <row r="148" ht="15.75" customHeight="1">
      <c r="A148" s="331" t="s">
        <v>6817</v>
      </c>
      <c r="B148" s="329" t="s">
        <v>6818</v>
      </c>
      <c r="C148" s="329" t="s">
        <v>162</v>
      </c>
      <c r="D148" s="329"/>
      <c r="E148" s="329" t="s">
        <v>6819</v>
      </c>
      <c r="F148" s="329"/>
      <c r="G148" s="329"/>
    </row>
    <row r="149" ht="15.75" customHeight="1">
      <c r="A149" s="330" t="s">
        <v>6820</v>
      </c>
      <c r="B149" s="328" t="s">
        <v>6821</v>
      </c>
      <c r="C149" s="328" t="s">
        <v>162</v>
      </c>
      <c r="D149" s="328"/>
      <c r="E149" s="328" t="s">
        <v>6822</v>
      </c>
      <c r="F149" s="328"/>
      <c r="G149" s="328"/>
    </row>
    <row r="150" ht="15.75" customHeight="1">
      <c r="A150" s="331" t="s">
        <v>6823</v>
      </c>
      <c r="B150" s="329" t="s">
        <v>6824</v>
      </c>
      <c r="C150" s="329" t="s">
        <v>162</v>
      </c>
      <c r="D150" s="329"/>
      <c r="E150" s="329" t="s">
        <v>6825</v>
      </c>
      <c r="F150" s="329"/>
      <c r="G150" s="329"/>
    </row>
    <row r="151" ht="15.75" customHeight="1">
      <c r="A151" s="330" t="s">
        <v>6826</v>
      </c>
      <c r="B151" s="328" t="s">
        <v>2022</v>
      </c>
      <c r="C151" s="328" t="s">
        <v>162</v>
      </c>
      <c r="D151" s="328"/>
      <c r="E151" s="328" t="s">
        <v>2568</v>
      </c>
      <c r="F151" s="328"/>
      <c r="G151" s="328"/>
    </row>
    <row r="152" ht="15.75" customHeight="1">
      <c r="A152" s="331" t="s">
        <v>6827</v>
      </c>
      <c r="B152" s="329" t="s">
        <v>2030</v>
      </c>
      <c r="C152" s="329" t="s">
        <v>2681</v>
      </c>
      <c r="D152" s="329"/>
      <c r="E152" s="329" t="s">
        <v>6828</v>
      </c>
      <c r="F152" s="329"/>
      <c r="G152" s="329"/>
    </row>
    <row r="153" ht="15.75" customHeight="1">
      <c r="A153" s="334" t="s">
        <v>3233</v>
      </c>
      <c r="B153" s="328" t="s">
        <v>235</v>
      </c>
      <c r="C153" s="328" t="s">
        <v>162</v>
      </c>
      <c r="D153" s="328"/>
      <c r="E153" s="328" t="s">
        <v>234</v>
      </c>
      <c r="F153" s="328"/>
      <c r="G153" s="328"/>
    </row>
    <row r="154" ht="15.75" customHeight="1">
      <c r="A154" s="335" t="s">
        <v>6829</v>
      </c>
      <c r="B154" s="329" t="s">
        <v>2059</v>
      </c>
      <c r="C154" s="329" t="s">
        <v>2681</v>
      </c>
      <c r="D154" s="329"/>
      <c r="E154" s="329" t="s">
        <v>6830</v>
      </c>
      <c r="F154" s="329"/>
      <c r="G154" s="329"/>
    </row>
    <row r="155" ht="15.75" customHeight="1">
      <c r="A155" s="334" t="s">
        <v>6831</v>
      </c>
      <c r="B155" s="328" t="s">
        <v>6832</v>
      </c>
      <c r="C155" s="328" t="s">
        <v>6833</v>
      </c>
      <c r="D155" s="328"/>
      <c r="E155" s="336"/>
      <c r="F155" s="336"/>
      <c r="G155" s="336"/>
    </row>
    <row r="156" ht="15.75" customHeight="1">
      <c r="A156" s="335" t="s">
        <v>6834</v>
      </c>
      <c r="B156" s="329" t="s">
        <v>6835</v>
      </c>
      <c r="C156" s="329" t="s">
        <v>6706</v>
      </c>
      <c r="D156" s="329"/>
      <c r="E156" s="329" t="s">
        <v>226</v>
      </c>
      <c r="F156" s="329"/>
      <c r="G156" s="329"/>
    </row>
    <row r="157" ht="15.75" customHeight="1">
      <c r="A157" s="334" t="s">
        <v>6836</v>
      </c>
      <c r="B157" s="328" t="s">
        <v>6837</v>
      </c>
      <c r="C157" s="328" t="s">
        <v>6706</v>
      </c>
      <c r="D157" s="328"/>
      <c r="E157" s="328" t="s">
        <v>6838</v>
      </c>
      <c r="F157" s="328"/>
      <c r="G157" s="328"/>
    </row>
    <row r="158" ht="15.75" customHeight="1">
      <c r="A158" s="335" t="s">
        <v>6839</v>
      </c>
      <c r="B158" s="329" t="s">
        <v>6840</v>
      </c>
      <c r="C158" s="329" t="s">
        <v>2681</v>
      </c>
      <c r="D158" s="329"/>
      <c r="E158" s="332"/>
      <c r="F158" s="332"/>
      <c r="G158" s="332"/>
    </row>
    <row r="159" ht="15.75" customHeight="1">
      <c r="A159" s="334" t="s">
        <v>6841</v>
      </c>
      <c r="B159" s="328" t="s">
        <v>6842</v>
      </c>
      <c r="C159" s="328" t="s">
        <v>252</v>
      </c>
      <c r="D159" s="328"/>
      <c r="E159" s="328" t="s">
        <v>6843</v>
      </c>
      <c r="F159" s="328"/>
      <c r="G159" s="328"/>
    </row>
    <row r="160" ht="15.75" customHeight="1">
      <c r="A160" s="335" t="s">
        <v>6844</v>
      </c>
      <c r="B160" s="329" t="s">
        <v>2059</v>
      </c>
      <c r="C160" s="329" t="s">
        <v>2681</v>
      </c>
      <c r="D160" s="329"/>
      <c r="E160" s="329" t="s">
        <v>226</v>
      </c>
      <c r="F160" s="329"/>
      <c r="G160" s="329"/>
    </row>
    <row r="161" ht="15.75" customHeight="1">
      <c r="A161" s="334" t="s">
        <v>6829</v>
      </c>
      <c r="B161" s="328" t="s">
        <v>2059</v>
      </c>
      <c r="C161" s="328" t="s">
        <v>2681</v>
      </c>
      <c r="D161" s="328"/>
      <c r="E161" s="328" t="s">
        <v>226</v>
      </c>
      <c r="F161" s="328"/>
      <c r="G161" s="328"/>
    </row>
    <row r="162" ht="15.75" customHeight="1">
      <c r="A162" s="335" t="s">
        <v>6845</v>
      </c>
      <c r="B162" s="329" t="s">
        <v>2030</v>
      </c>
      <c r="C162" s="329" t="s">
        <v>2681</v>
      </c>
      <c r="D162" s="329"/>
      <c r="E162" s="329" t="s">
        <v>6828</v>
      </c>
      <c r="F162" s="329"/>
      <c r="G162" s="329"/>
    </row>
    <row r="163" ht="15.75" customHeight="1">
      <c r="A163" s="334" t="s">
        <v>6846</v>
      </c>
      <c r="B163" s="328" t="s">
        <v>2030</v>
      </c>
      <c r="C163" s="328" t="s">
        <v>2681</v>
      </c>
      <c r="D163" s="328"/>
      <c r="E163" s="328" t="s">
        <v>6828</v>
      </c>
      <c r="F163" s="328"/>
      <c r="G163" s="328"/>
    </row>
    <row r="164" ht="15.75" customHeight="1">
      <c r="A164" s="335" t="s">
        <v>6847</v>
      </c>
      <c r="B164" s="329" t="s">
        <v>2543</v>
      </c>
      <c r="C164" s="329" t="s">
        <v>252</v>
      </c>
      <c r="D164" s="329"/>
      <c r="E164" s="329" t="s">
        <v>6848</v>
      </c>
      <c r="F164" s="329"/>
      <c r="G164" s="329"/>
    </row>
    <row r="165" ht="15.75" customHeight="1">
      <c r="A165" s="334" t="s">
        <v>6849</v>
      </c>
      <c r="B165" s="328" t="s">
        <v>6850</v>
      </c>
      <c r="C165" s="328" t="s">
        <v>252</v>
      </c>
      <c r="D165" s="328"/>
      <c r="E165" s="328" t="s">
        <v>6851</v>
      </c>
      <c r="F165" s="328"/>
      <c r="G165" s="328"/>
    </row>
    <row r="166" ht="15.75" customHeight="1">
      <c r="A166" s="335" t="s">
        <v>6852</v>
      </c>
      <c r="B166" s="329" t="s">
        <v>6853</v>
      </c>
      <c r="C166" s="329" t="s">
        <v>252</v>
      </c>
      <c r="D166" s="329"/>
      <c r="E166" s="329" t="s">
        <v>6854</v>
      </c>
      <c r="F166" s="329"/>
      <c r="G166" s="329"/>
    </row>
    <row r="167" ht="15.75" customHeight="1">
      <c r="A167" s="334" t="s">
        <v>6855</v>
      </c>
      <c r="B167" s="328" t="s">
        <v>6856</v>
      </c>
      <c r="C167" s="328" t="s">
        <v>6778</v>
      </c>
      <c r="D167" s="328"/>
      <c r="E167" s="328" t="s">
        <v>6857</v>
      </c>
      <c r="F167" s="328"/>
      <c r="G167" s="328"/>
    </row>
    <row r="168" ht="15.75" customHeight="1">
      <c r="A168" s="335" t="s">
        <v>6858</v>
      </c>
      <c r="B168" s="329" t="s">
        <v>6859</v>
      </c>
      <c r="C168" s="329" t="s">
        <v>2552</v>
      </c>
      <c r="D168" s="329"/>
      <c r="E168" s="329" t="s">
        <v>6860</v>
      </c>
      <c r="F168" s="329"/>
      <c r="G168" s="329"/>
    </row>
    <row r="169" ht="15.75" customHeight="1">
      <c r="A169" s="334" t="s">
        <v>2950</v>
      </c>
      <c r="B169" s="328" t="s">
        <v>225</v>
      </c>
      <c r="C169" s="328" t="s">
        <v>162</v>
      </c>
      <c r="D169" s="328"/>
      <c r="E169" s="328" t="s">
        <v>6861</v>
      </c>
      <c r="F169" s="328"/>
      <c r="G169" s="328"/>
    </row>
    <row r="170" ht="15.75" customHeight="1">
      <c r="A170" s="335" t="s">
        <v>6862</v>
      </c>
      <c r="B170" s="329" t="s">
        <v>227</v>
      </c>
      <c r="C170" s="329" t="s">
        <v>162</v>
      </c>
      <c r="D170" s="329"/>
      <c r="E170" s="329" t="s">
        <v>226</v>
      </c>
      <c r="F170" s="329"/>
      <c r="G170" s="329"/>
    </row>
    <row r="171" ht="15.75" customHeight="1">
      <c r="A171" s="334" t="s">
        <v>6863</v>
      </c>
      <c r="B171" s="328" t="s">
        <v>6864</v>
      </c>
      <c r="C171" s="328" t="s">
        <v>162</v>
      </c>
      <c r="D171" s="328"/>
      <c r="E171" s="328" t="s">
        <v>6865</v>
      </c>
      <c r="F171" s="328"/>
      <c r="G171" s="328"/>
    </row>
    <row r="172" ht="15.75" customHeight="1">
      <c r="A172" s="335" t="s">
        <v>6866</v>
      </c>
      <c r="B172" s="329" t="s">
        <v>181</v>
      </c>
      <c r="C172" s="329" t="s">
        <v>162</v>
      </c>
      <c r="D172" s="329"/>
      <c r="E172" s="329" t="s">
        <v>6867</v>
      </c>
      <c r="F172" s="329"/>
      <c r="G172" s="329"/>
    </row>
    <row r="173" ht="15.75" customHeight="1">
      <c r="A173" s="334" t="s">
        <v>6868</v>
      </c>
      <c r="B173" s="328" t="s">
        <v>6869</v>
      </c>
      <c r="C173" s="328" t="s">
        <v>162</v>
      </c>
      <c r="D173" s="328"/>
      <c r="E173" s="328" t="s">
        <v>6870</v>
      </c>
      <c r="F173" s="328"/>
      <c r="G173" s="328"/>
    </row>
    <row r="174" ht="15.75" customHeight="1">
      <c r="A174" s="335" t="s">
        <v>6871</v>
      </c>
      <c r="B174" s="329" t="s">
        <v>6872</v>
      </c>
      <c r="C174" s="329" t="s">
        <v>162</v>
      </c>
      <c r="D174" s="329"/>
      <c r="E174" s="329" t="s">
        <v>6873</v>
      </c>
      <c r="F174" s="329"/>
      <c r="G174" s="329"/>
    </row>
    <row r="175" ht="15.75" customHeight="1">
      <c r="A175" s="334" t="s">
        <v>6874</v>
      </c>
      <c r="B175" s="328" t="s">
        <v>6875</v>
      </c>
      <c r="C175" s="328" t="s">
        <v>162</v>
      </c>
      <c r="D175" s="328"/>
      <c r="E175" s="328" t="s">
        <v>6876</v>
      </c>
      <c r="F175" s="328"/>
      <c r="G175" s="328"/>
    </row>
    <row r="176" ht="15.75" customHeight="1">
      <c r="A176" s="335" t="s">
        <v>6877</v>
      </c>
      <c r="B176" s="329" t="s">
        <v>6878</v>
      </c>
      <c r="C176" s="329" t="s">
        <v>162</v>
      </c>
      <c r="D176" s="329"/>
      <c r="E176" s="329" t="s">
        <v>6879</v>
      </c>
      <c r="F176" s="329"/>
      <c r="G176" s="329"/>
    </row>
    <row r="177" ht="15.75" customHeight="1">
      <c r="A177" s="334" t="s">
        <v>6880</v>
      </c>
      <c r="B177" s="328" t="s">
        <v>6881</v>
      </c>
      <c r="C177" s="328" t="s">
        <v>162</v>
      </c>
      <c r="D177" s="328"/>
      <c r="E177" s="328" t="s">
        <v>6882</v>
      </c>
      <c r="F177" s="328"/>
      <c r="G177" s="328"/>
    </row>
    <row r="178" ht="15.75" customHeight="1">
      <c r="A178" s="335" t="s">
        <v>6883</v>
      </c>
      <c r="B178" s="329" t="s">
        <v>6884</v>
      </c>
      <c r="C178" s="329" t="s">
        <v>162</v>
      </c>
      <c r="D178" s="329"/>
      <c r="E178" s="329" t="s">
        <v>6885</v>
      </c>
      <c r="F178" s="329"/>
      <c r="G178" s="329"/>
    </row>
    <row r="179" ht="15.75" customHeight="1">
      <c r="A179" s="334" t="s">
        <v>6886</v>
      </c>
      <c r="B179" s="328" t="s">
        <v>6884</v>
      </c>
      <c r="C179" s="328" t="s">
        <v>162</v>
      </c>
      <c r="D179" s="328"/>
      <c r="E179" s="328" t="s">
        <v>6885</v>
      </c>
      <c r="F179" s="328"/>
      <c r="G179" s="328"/>
    </row>
    <row r="180" ht="15.75" customHeight="1">
      <c r="A180" s="335" t="s">
        <v>6887</v>
      </c>
      <c r="B180" s="329" t="s">
        <v>6888</v>
      </c>
      <c r="C180" s="329" t="s">
        <v>2563</v>
      </c>
      <c r="D180" s="329"/>
      <c r="E180" s="329" t="s">
        <v>6885</v>
      </c>
      <c r="F180" s="329"/>
      <c r="G180" s="329"/>
    </row>
    <row r="181" ht="15.75" customHeight="1">
      <c r="A181" s="334" t="s">
        <v>6889</v>
      </c>
      <c r="B181" s="328" t="s">
        <v>6890</v>
      </c>
      <c r="C181" s="328" t="s">
        <v>2563</v>
      </c>
      <c r="D181" s="328"/>
      <c r="E181" s="328" t="s">
        <v>6891</v>
      </c>
      <c r="F181" s="328"/>
      <c r="G181" s="328"/>
    </row>
    <row r="182" ht="15.75" customHeight="1">
      <c r="A182" s="335" t="s">
        <v>6892</v>
      </c>
      <c r="B182" s="329" t="s">
        <v>6893</v>
      </c>
      <c r="C182" s="329" t="s">
        <v>2563</v>
      </c>
      <c r="D182" s="329"/>
      <c r="E182" s="329" t="s">
        <v>6894</v>
      </c>
      <c r="F182" s="329"/>
      <c r="G182" s="329"/>
    </row>
    <row r="183" ht="15.75" customHeight="1">
      <c r="A183" s="334" t="s">
        <v>6895</v>
      </c>
      <c r="B183" s="328" t="s">
        <v>6896</v>
      </c>
      <c r="C183" s="328" t="s">
        <v>6706</v>
      </c>
      <c r="D183" s="328"/>
      <c r="E183" s="328" t="s">
        <v>2576</v>
      </c>
      <c r="F183" s="328"/>
      <c r="G183" s="328"/>
    </row>
    <row r="184" ht="15.75" customHeight="1">
      <c r="A184" s="335" t="s">
        <v>6897</v>
      </c>
      <c r="B184" s="329" t="s">
        <v>6898</v>
      </c>
      <c r="C184" s="329" t="s">
        <v>6899</v>
      </c>
      <c r="D184" s="329"/>
      <c r="E184" s="332"/>
      <c r="F184" s="332"/>
      <c r="G184" s="332"/>
    </row>
    <row r="185" ht="15.75" customHeight="1">
      <c r="A185" s="334" t="s">
        <v>6900</v>
      </c>
      <c r="B185" s="328" t="s">
        <v>2065</v>
      </c>
      <c r="C185" s="328" t="s">
        <v>2649</v>
      </c>
      <c r="D185" s="328"/>
      <c r="E185" s="328" t="s">
        <v>2619</v>
      </c>
      <c r="F185" s="328"/>
      <c r="G185" s="328"/>
    </row>
    <row r="186" ht="15.75" customHeight="1">
      <c r="A186" s="335" t="s">
        <v>6901</v>
      </c>
      <c r="B186" s="329" t="s">
        <v>6902</v>
      </c>
      <c r="C186" s="329" t="s">
        <v>2649</v>
      </c>
      <c r="D186" s="329"/>
      <c r="E186" s="329" t="s">
        <v>6903</v>
      </c>
      <c r="F186" s="329"/>
      <c r="G186" s="329"/>
    </row>
    <row r="187" ht="15.75" customHeight="1">
      <c r="A187" s="334" t="s">
        <v>6904</v>
      </c>
      <c r="B187" s="328" t="s">
        <v>6905</v>
      </c>
      <c r="C187" s="328" t="s">
        <v>208</v>
      </c>
      <c r="D187" s="328"/>
      <c r="E187" s="328" t="s">
        <v>6906</v>
      </c>
      <c r="F187" s="328"/>
      <c r="G187" s="328"/>
    </row>
    <row r="188" ht="15.75" customHeight="1">
      <c r="A188" s="335" t="s">
        <v>6907</v>
      </c>
      <c r="B188" s="329" t="s">
        <v>6908</v>
      </c>
      <c r="C188" s="329" t="s">
        <v>2563</v>
      </c>
      <c r="D188" s="329"/>
      <c r="E188" s="329" t="s">
        <v>6909</v>
      </c>
      <c r="F188" s="329"/>
      <c r="G188" s="329"/>
    </row>
    <row r="189" ht="15.75" customHeight="1">
      <c r="A189" s="334" t="s">
        <v>6910</v>
      </c>
      <c r="B189" s="328" t="s">
        <v>6911</v>
      </c>
      <c r="C189" s="328" t="s">
        <v>269</v>
      </c>
      <c r="D189" s="328"/>
      <c r="E189" s="328" t="s">
        <v>2619</v>
      </c>
      <c r="F189" s="328"/>
      <c r="G189" s="328"/>
    </row>
    <row r="190" ht="15.75" customHeight="1">
      <c r="A190" s="335" t="s">
        <v>6912</v>
      </c>
      <c r="B190" s="329" t="s">
        <v>6913</v>
      </c>
      <c r="C190" s="329" t="s">
        <v>2552</v>
      </c>
      <c r="D190" s="329"/>
      <c r="E190" s="329" t="s">
        <v>6914</v>
      </c>
      <c r="F190" s="329"/>
      <c r="G190" s="329"/>
    </row>
    <row r="191" ht="15.75" customHeight="1">
      <c r="A191" s="334" t="s">
        <v>6915</v>
      </c>
      <c r="B191" s="328" t="s">
        <v>2018</v>
      </c>
      <c r="C191" s="328" t="s">
        <v>252</v>
      </c>
      <c r="D191" s="328"/>
      <c r="E191" s="328" t="s">
        <v>2619</v>
      </c>
      <c r="F191" s="328"/>
      <c r="G191" s="328"/>
    </row>
    <row r="192" ht="15.75" customHeight="1">
      <c r="A192" s="335" t="s">
        <v>6916</v>
      </c>
      <c r="B192" s="329" t="s">
        <v>6917</v>
      </c>
      <c r="C192" s="329" t="s">
        <v>2552</v>
      </c>
      <c r="D192" s="329"/>
      <c r="E192" s="329" t="s">
        <v>6918</v>
      </c>
      <c r="F192" s="329"/>
      <c r="G192" s="329"/>
    </row>
    <row r="193" ht="15.75" customHeight="1">
      <c r="A193" s="334" t="s">
        <v>6919</v>
      </c>
      <c r="B193" s="328" t="s">
        <v>6920</v>
      </c>
      <c r="C193" s="328" t="s">
        <v>6921</v>
      </c>
      <c r="D193" s="328"/>
      <c r="E193" s="328" t="s">
        <v>6918</v>
      </c>
      <c r="F193" s="328"/>
      <c r="G193" s="328"/>
    </row>
    <row r="194" ht="15.75" customHeight="1">
      <c r="A194" s="335" t="s">
        <v>6922</v>
      </c>
      <c r="B194" s="329" t="s">
        <v>6923</v>
      </c>
      <c r="C194" s="329" t="s">
        <v>269</v>
      </c>
      <c r="D194" s="329"/>
      <c r="E194" s="329" t="s">
        <v>2560</v>
      </c>
      <c r="F194" s="329"/>
      <c r="G194" s="329"/>
    </row>
    <row r="195" ht="15.75" customHeight="1">
      <c r="A195" s="334" t="s">
        <v>6924</v>
      </c>
      <c r="B195" s="328" t="s">
        <v>2018</v>
      </c>
      <c r="C195" s="328" t="s">
        <v>252</v>
      </c>
      <c r="D195" s="328"/>
      <c r="E195" s="328" t="s">
        <v>2619</v>
      </c>
      <c r="F195" s="328"/>
      <c r="G195" s="328"/>
    </row>
    <row r="196" ht="15.75" customHeight="1">
      <c r="A196" s="335" t="s">
        <v>6925</v>
      </c>
      <c r="B196" s="329" t="s">
        <v>6926</v>
      </c>
      <c r="C196" s="329" t="s">
        <v>6927</v>
      </c>
      <c r="D196" s="329"/>
      <c r="E196" s="329" t="s">
        <v>6928</v>
      </c>
      <c r="F196" s="329"/>
      <c r="G196" s="329"/>
    </row>
    <row r="197" ht="15.75" customHeight="1">
      <c r="A197" s="334" t="s">
        <v>6929</v>
      </c>
      <c r="B197" s="328" t="s">
        <v>6930</v>
      </c>
      <c r="C197" s="328" t="s">
        <v>6927</v>
      </c>
      <c r="D197" s="328"/>
      <c r="E197" s="328" t="s">
        <v>6931</v>
      </c>
      <c r="F197" s="328"/>
      <c r="G197" s="328"/>
    </row>
    <row r="198" ht="15.75" customHeight="1">
      <c r="A198" s="335" t="s">
        <v>6932</v>
      </c>
      <c r="B198" s="329" t="s">
        <v>1258</v>
      </c>
      <c r="C198" s="329" t="s">
        <v>269</v>
      </c>
      <c r="D198" s="329"/>
      <c r="E198" s="329" t="s">
        <v>6933</v>
      </c>
      <c r="F198" s="329"/>
      <c r="G198" s="329"/>
    </row>
    <row r="199" ht="15.75" customHeight="1">
      <c r="A199" s="334" t="s">
        <v>6934</v>
      </c>
      <c r="B199" s="328" t="s">
        <v>6935</v>
      </c>
      <c r="C199" s="328" t="s">
        <v>6936</v>
      </c>
      <c r="D199" s="328"/>
      <c r="E199" s="328" t="s">
        <v>6937</v>
      </c>
      <c r="F199" s="328"/>
      <c r="G199" s="328"/>
    </row>
    <row r="200" ht="15.75" customHeight="1">
      <c r="A200" s="335" t="s">
        <v>3024</v>
      </c>
      <c r="B200" s="329" t="s">
        <v>189</v>
      </c>
      <c r="C200" s="329" t="s">
        <v>162</v>
      </c>
      <c r="D200" s="329"/>
      <c r="E200" s="329" t="s">
        <v>188</v>
      </c>
      <c r="F200" s="329"/>
      <c r="G200" s="329"/>
    </row>
    <row r="201" ht="15.75" customHeight="1">
      <c r="A201" s="334" t="s">
        <v>3055</v>
      </c>
      <c r="B201" s="328" t="s">
        <v>186</v>
      </c>
      <c r="C201" s="334" t="s">
        <v>162</v>
      </c>
      <c r="D201" s="328"/>
      <c r="E201" s="334" t="s">
        <v>185</v>
      </c>
      <c r="F201" s="334"/>
      <c r="G201" s="334"/>
    </row>
    <row r="202" ht="15.75" customHeight="1">
      <c r="A202" s="337" t="s">
        <v>916</v>
      </c>
      <c r="B202" s="329" t="s">
        <v>184</v>
      </c>
      <c r="C202" s="335" t="s">
        <v>162</v>
      </c>
      <c r="D202" s="329"/>
      <c r="E202" s="335" t="s">
        <v>183</v>
      </c>
      <c r="F202" s="335"/>
      <c r="G202" s="335"/>
    </row>
    <row r="203" ht="15.75" customHeight="1">
      <c r="A203" s="338" t="s">
        <v>3670</v>
      </c>
      <c r="B203" s="339" t="s">
        <v>205</v>
      </c>
      <c r="C203" s="339" t="s">
        <v>203</v>
      </c>
      <c r="D203" s="339"/>
      <c r="E203" s="339" t="s">
        <v>248</v>
      </c>
      <c r="F203" s="339"/>
      <c r="G203" s="339"/>
    </row>
    <row r="204" ht="15.75" customHeight="1">
      <c r="A204" s="337" t="s">
        <v>607</v>
      </c>
      <c r="B204" s="340" t="s">
        <v>207</v>
      </c>
      <c r="C204" s="340" t="s">
        <v>203</v>
      </c>
      <c r="D204" s="340"/>
      <c r="E204" s="340" t="s">
        <v>206</v>
      </c>
      <c r="F204" s="340"/>
      <c r="G204" s="340"/>
    </row>
    <row r="205" ht="15.75" customHeight="1">
      <c r="A205" s="338" t="s">
        <v>3400</v>
      </c>
      <c r="B205" s="339" t="s">
        <v>200</v>
      </c>
      <c r="C205" s="339" t="s">
        <v>162</v>
      </c>
      <c r="D205" s="339"/>
      <c r="E205" s="339" t="s">
        <v>199</v>
      </c>
      <c r="F205" s="339"/>
      <c r="G205" s="339"/>
    </row>
    <row r="206" ht="15.75" customHeight="1">
      <c r="A206" s="337" t="s">
        <v>974</v>
      </c>
      <c r="B206" s="340" t="s">
        <v>191</v>
      </c>
      <c r="C206" s="340" t="s">
        <v>162</v>
      </c>
      <c r="D206" s="340"/>
      <c r="E206" s="340" t="s">
        <v>190</v>
      </c>
      <c r="F206" s="340"/>
      <c r="G206" s="340"/>
    </row>
    <row r="207" ht="15.75" customHeight="1">
      <c r="A207" s="338" t="s">
        <v>579</v>
      </c>
      <c r="B207" s="334" t="s">
        <v>239</v>
      </c>
      <c r="C207" s="334" t="s">
        <v>162</v>
      </c>
      <c r="D207" s="334"/>
      <c r="E207" s="334" t="s">
        <v>2818</v>
      </c>
      <c r="F207" s="334"/>
      <c r="G207" s="334"/>
    </row>
    <row r="208" ht="15.75" customHeight="1">
      <c r="A208" s="335" t="s">
        <v>569</v>
      </c>
      <c r="B208" s="335" t="s">
        <v>223</v>
      </c>
      <c r="C208" s="335" t="s">
        <v>162</v>
      </c>
      <c r="D208" s="335"/>
      <c r="E208" s="335" t="s">
        <v>6938</v>
      </c>
      <c r="F208" s="335"/>
      <c r="G208" s="335"/>
    </row>
    <row r="209" ht="15.75" customHeight="1">
      <c r="A209" s="334" t="s">
        <v>3106</v>
      </c>
      <c r="B209" s="334" t="s">
        <v>181</v>
      </c>
      <c r="C209" s="334" t="s">
        <v>162</v>
      </c>
      <c r="D209" s="334"/>
      <c r="E209" s="334" t="s">
        <v>6939</v>
      </c>
      <c r="F209" s="334"/>
      <c r="G209" s="334"/>
    </row>
    <row r="210" ht="15.75" customHeight="1">
      <c r="A210" s="335" t="s">
        <v>574</v>
      </c>
      <c r="B210" s="335" t="s">
        <v>181</v>
      </c>
      <c r="C210" s="335" t="s">
        <v>162</v>
      </c>
      <c r="D210" s="335"/>
      <c r="E210" s="335" t="s">
        <v>180</v>
      </c>
      <c r="F210" s="335"/>
      <c r="G210" s="335"/>
    </row>
    <row r="211" ht="15.75" customHeight="1">
      <c r="A211" s="334" t="s">
        <v>514</v>
      </c>
      <c r="B211" s="334" t="s">
        <v>202</v>
      </c>
      <c r="C211" s="334" t="s">
        <v>162</v>
      </c>
      <c r="D211" s="334"/>
      <c r="E211" s="334" t="s">
        <v>201</v>
      </c>
      <c r="F211" s="334"/>
      <c r="G211" s="334"/>
    </row>
    <row r="212" ht="15.75" customHeight="1">
      <c r="A212" s="335" t="s">
        <v>6940</v>
      </c>
      <c r="B212" s="335" t="s">
        <v>2030</v>
      </c>
      <c r="C212" s="335" t="s">
        <v>2681</v>
      </c>
      <c r="D212" s="335"/>
      <c r="E212" s="335" t="s">
        <v>6687</v>
      </c>
      <c r="F212" s="335"/>
      <c r="G212" s="335"/>
    </row>
    <row r="213" ht="15.75" customHeight="1">
      <c r="A213" s="334" t="s">
        <v>6941</v>
      </c>
      <c r="B213" s="334" t="s">
        <v>2036</v>
      </c>
      <c r="C213" s="334" t="s">
        <v>2681</v>
      </c>
      <c r="D213" s="334"/>
      <c r="E213" s="334" t="s">
        <v>6689</v>
      </c>
      <c r="F213" s="334"/>
      <c r="G213" s="334"/>
    </row>
    <row r="214" ht="15.75" customHeight="1">
      <c r="A214" s="335" t="s">
        <v>6942</v>
      </c>
      <c r="B214" s="335" t="s">
        <v>262</v>
      </c>
      <c r="C214" s="335" t="s">
        <v>2681</v>
      </c>
      <c r="D214" s="335"/>
      <c r="E214" s="335" t="s">
        <v>2682</v>
      </c>
      <c r="F214" s="335"/>
      <c r="G214" s="335"/>
    </row>
    <row r="215" ht="15.75" customHeight="1">
      <c r="A215" s="334" t="s">
        <v>6943</v>
      </c>
      <c r="B215" s="334" t="s">
        <v>2000</v>
      </c>
      <c r="C215" s="334" t="s">
        <v>162</v>
      </c>
      <c r="D215" s="334"/>
      <c r="E215" s="334" t="s">
        <v>2661</v>
      </c>
      <c r="F215" s="334"/>
      <c r="G215" s="334"/>
    </row>
    <row r="216" ht="15.75" customHeight="1">
      <c r="A216" s="335" t="s">
        <v>539</v>
      </c>
      <c r="B216" s="335" t="s">
        <v>167</v>
      </c>
      <c r="C216" s="335" t="s">
        <v>162</v>
      </c>
      <c r="D216" s="335"/>
      <c r="E216" s="335" t="s">
        <v>168</v>
      </c>
      <c r="F216" s="335"/>
      <c r="G216" s="335"/>
    </row>
    <row r="217" ht="15.75" customHeight="1">
      <c r="A217" s="334" t="s">
        <v>3126</v>
      </c>
      <c r="B217" s="334" t="s">
        <v>227</v>
      </c>
      <c r="C217" s="334" t="s">
        <v>162</v>
      </c>
      <c r="D217" s="334"/>
      <c r="E217" s="334" t="s">
        <v>226</v>
      </c>
      <c r="F217" s="334"/>
      <c r="G217" s="334"/>
    </row>
    <row r="218" ht="15.75" customHeight="1">
      <c r="A218" s="335" t="s">
        <v>5963</v>
      </c>
      <c r="B218" s="335" t="s">
        <v>189</v>
      </c>
      <c r="C218" s="335" t="s">
        <v>162</v>
      </c>
      <c r="D218" s="335"/>
      <c r="E218" s="335" t="s">
        <v>188</v>
      </c>
      <c r="F218" s="335"/>
      <c r="G218" s="335"/>
    </row>
    <row r="219" ht="15.75" customHeight="1">
      <c r="A219" s="334" t="s">
        <v>6944</v>
      </c>
      <c r="B219" s="334" t="s">
        <v>186</v>
      </c>
      <c r="C219" s="334" t="s">
        <v>162</v>
      </c>
      <c r="D219" s="334"/>
      <c r="E219" s="334" t="s">
        <v>185</v>
      </c>
      <c r="F219" s="334"/>
      <c r="G219" s="334"/>
    </row>
    <row r="220" ht="15.75" customHeight="1">
      <c r="A220" s="341" t="s">
        <v>509</v>
      </c>
      <c r="B220" s="342" t="s">
        <v>161</v>
      </c>
      <c r="C220" s="335" t="s">
        <v>162</v>
      </c>
      <c r="D220" s="335"/>
      <c r="E220" s="335" t="s">
        <v>6945</v>
      </c>
      <c r="F220" s="335"/>
      <c r="G220" s="335"/>
    </row>
    <row r="221" ht="15.75" customHeight="1">
      <c r="A221" s="343" t="s">
        <v>3096</v>
      </c>
      <c r="B221" s="328" t="s">
        <v>231</v>
      </c>
      <c r="C221" s="334" t="s">
        <v>162</v>
      </c>
      <c r="D221" s="334"/>
      <c r="E221" s="334" t="s">
        <v>230</v>
      </c>
      <c r="F221" s="334"/>
      <c r="G221" s="334"/>
    </row>
    <row r="222" ht="15.75" customHeight="1">
      <c r="A222" s="344" t="s">
        <v>3738</v>
      </c>
      <c r="B222" s="345" t="s">
        <v>221</v>
      </c>
      <c r="C222" s="344" t="s">
        <v>162</v>
      </c>
      <c r="D222" s="344"/>
      <c r="E222" s="344" t="s">
        <v>6946</v>
      </c>
      <c r="F222" s="344"/>
      <c r="G222" s="344"/>
    </row>
    <row r="223" ht="15.75" customHeight="1">
      <c r="A223" s="346" t="s">
        <v>3161</v>
      </c>
      <c r="B223" s="347" t="s">
        <v>229</v>
      </c>
      <c r="C223" s="348" t="s">
        <v>6947</v>
      </c>
      <c r="D223" s="349"/>
      <c r="E223" s="348" t="s">
        <v>228</v>
      </c>
      <c r="F223" s="348"/>
      <c r="G223" s="348"/>
    </row>
    <row r="224" ht="15.75" customHeight="1">
      <c r="A224" s="344" t="s">
        <v>799</v>
      </c>
      <c r="B224" s="350" t="s">
        <v>2009</v>
      </c>
      <c r="C224" s="344" t="s">
        <v>269</v>
      </c>
      <c r="D224" s="351"/>
      <c r="E224" s="344" t="s">
        <v>2560</v>
      </c>
      <c r="F224" s="344"/>
      <c r="G224" s="344"/>
    </row>
    <row r="225" ht="15.75" customHeight="1">
      <c r="A225" s="348" t="s">
        <v>6948</v>
      </c>
      <c r="B225" s="347" t="s">
        <v>2010</v>
      </c>
      <c r="C225" s="347" t="s">
        <v>6921</v>
      </c>
      <c r="D225" s="349"/>
      <c r="E225" s="352"/>
      <c r="F225" s="352"/>
      <c r="G225" s="352"/>
    </row>
    <row r="226" ht="15.75" customHeight="1">
      <c r="A226" s="344" t="s">
        <v>6948</v>
      </c>
      <c r="B226" s="350" t="s">
        <v>2010</v>
      </c>
      <c r="C226" s="327" t="s">
        <v>6921</v>
      </c>
      <c r="D226" s="351"/>
      <c r="E226" s="344" t="s">
        <v>6918</v>
      </c>
      <c r="F226" s="344"/>
      <c r="G226" s="344"/>
    </row>
    <row r="227" ht="15.75" customHeight="1">
      <c r="A227" s="348" t="s">
        <v>6949</v>
      </c>
      <c r="B227" s="353" t="s">
        <v>1996</v>
      </c>
      <c r="C227" s="348" t="s">
        <v>2552</v>
      </c>
      <c r="D227" s="349"/>
      <c r="E227" s="352"/>
      <c r="F227" s="352"/>
      <c r="G227" s="352"/>
    </row>
    <row r="228" ht="15.75" customHeight="1">
      <c r="A228" s="344" t="s">
        <v>544</v>
      </c>
      <c r="B228" s="350" t="s">
        <v>196</v>
      </c>
      <c r="C228" s="344" t="s">
        <v>2754</v>
      </c>
      <c r="D228" s="351"/>
      <c r="E228" s="344" t="s">
        <v>2755</v>
      </c>
      <c r="F228" s="344"/>
      <c r="G228" s="344"/>
    </row>
    <row r="229" ht="15.75" customHeight="1">
      <c r="A229" s="348" t="s">
        <v>6950</v>
      </c>
      <c r="B229" s="354" t="s">
        <v>2011</v>
      </c>
      <c r="C229" s="348" t="s">
        <v>242</v>
      </c>
      <c r="D229" s="349"/>
      <c r="E229" s="352"/>
      <c r="F229" s="352"/>
      <c r="G229" s="352"/>
    </row>
    <row r="230" ht="15.75" customHeight="1">
      <c r="A230" s="344" t="s">
        <v>6613</v>
      </c>
      <c r="B230" s="350" t="s">
        <v>2012</v>
      </c>
      <c r="C230" s="344" t="s">
        <v>2563</v>
      </c>
      <c r="D230" s="351"/>
      <c r="E230" s="355"/>
      <c r="F230" s="355"/>
      <c r="G230" s="355"/>
    </row>
    <row r="231" ht="15.75" customHeight="1">
      <c r="A231" s="348" t="s">
        <v>768</v>
      </c>
      <c r="B231" s="354" t="s">
        <v>210</v>
      </c>
      <c r="C231" s="348" t="s">
        <v>208</v>
      </c>
      <c r="D231" s="349"/>
      <c r="E231" s="348" t="s">
        <v>2555</v>
      </c>
      <c r="F231" s="348"/>
      <c r="G231" s="348"/>
    </row>
    <row r="232" ht="15.75" customHeight="1">
      <c r="A232" s="344" t="s">
        <v>4039</v>
      </c>
      <c r="B232" s="327" t="s">
        <v>52</v>
      </c>
      <c r="C232" s="344" t="s">
        <v>269</v>
      </c>
      <c r="D232" s="351"/>
      <c r="E232" s="344" t="s">
        <v>2644</v>
      </c>
      <c r="F232" s="344"/>
      <c r="G232" s="344"/>
    </row>
    <row r="233" ht="15.75" customHeight="1">
      <c r="A233" s="348" t="s">
        <v>549</v>
      </c>
      <c r="B233" s="347" t="s">
        <v>247</v>
      </c>
      <c r="C233" s="348" t="s">
        <v>242</v>
      </c>
      <c r="D233" s="349"/>
      <c r="E233" s="348" t="s">
        <v>2735</v>
      </c>
      <c r="F233" s="348"/>
      <c r="G233" s="348"/>
    </row>
    <row r="234" ht="15.75" customHeight="1">
      <c r="A234" s="344" t="s">
        <v>3233</v>
      </c>
      <c r="B234" s="327" t="s">
        <v>235</v>
      </c>
      <c r="C234" s="344" t="s">
        <v>162</v>
      </c>
      <c r="D234" s="351"/>
      <c r="E234" s="344" t="s">
        <v>234</v>
      </c>
      <c r="F234" s="344"/>
      <c r="G234" s="344"/>
    </row>
    <row r="235" ht="15.75" customHeight="1">
      <c r="A235" s="348" t="s">
        <v>579</v>
      </c>
      <c r="B235" s="347" t="s">
        <v>239</v>
      </c>
      <c r="C235" s="348" t="s">
        <v>162</v>
      </c>
      <c r="D235" s="349"/>
      <c r="E235" s="348" t="s">
        <v>238</v>
      </c>
      <c r="F235" s="348"/>
      <c r="G235" s="348"/>
    </row>
    <row r="236" ht="15.75" customHeight="1">
      <c r="A236" s="344" t="s">
        <v>6951</v>
      </c>
      <c r="B236" s="327" t="s">
        <v>241</v>
      </c>
      <c r="C236" s="344" t="s">
        <v>162</v>
      </c>
      <c r="D236" s="351"/>
      <c r="E236" s="344" t="s">
        <v>2766</v>
      </c>
      <c r="F236" s="344"/>
      <c r="G236" s="344"/>
    </row>
    <row r="237" ht="15.75" customHeight="1">
      <c r="A237" s="356" t="s">
        <v>6952</v>
      </c>
      <c r="B237" s="347" t="s">
        <v>2021</v>
      </c>
      <c r="C237" s="348" t="s">
        <v>2575</v>
      </c>
      <c r="D237" s="349"/>
      <c r="E237" s="348" t="s">
        <v>2576</v>
      </c>
      <c r="F237" s="348"/>
      <c r="G237" s="348"/>
    </row>
    <row r="238">
      <c r="A238" s="344" t="s">
        <v>6953</v>
      </c>
      <c r="B238" s="327" t="s">
        <v>198</v>
      </c>
      <c r="C238" s="344" t="s">
        <v>162</v>
      </c>
      <c r="D238" s="327"/>
      <c r="E238" s="344" t="s">
        <v>197</v>
      </c>
      <c r="F238" s="344"/>
      <c r="G238" s="344"/>
    </row>
    <row r="239">
      <c r="A239" s="348" t="s">
        <v>6954</v>
      </c>
      <c r="B239" s="347" t="s">
        <v>193</v>
      </c>
      <c r="C239" s="348" t="s">
        <v>162</v>
      </c>
      <c r="D239" s="347"/>
      <c r="E239" s="348" t="s">
        <v>192</v>
      </c>
      <c r="F239" s="348"/>
      <c r="G239" s="348"/>
    </row>
    <row r="240">
      <c r="A240" s="344" t="s">
        <v>6955</v>
      </c>
      <c r="B240" s="327" t="s">
        <v>2007</v>
      </c>
      <c r="C240" s="344" t="s">
        <v>162</v>
      </c>
      <c r="D240" s="327"/>
      <c r="E240" s="344" t="s">
        <v>6956</v>
      </c>
      <c r="F240" s="344"/>
      <c r="G240" s="344"/>
    </row>
    <row r="241">
      <c r="A241" s="348" t="s">
        <v>6957</v>
      </c>
      <c r="B241" s="347" t="s">
        <v>2008</v>
      </c>
      <c r="C241" s="348" t="s">
        <v>162</v>
      </c>
      <c r="D241" s="347"/>
      <c r="E241" s="348" t="s">
        <v>6958</v>
      </c>
      <c r="F241" s="348"/>
      <c r="G241" s="348"/>
    </row>
    <row r="242">
      <c r="A242" s="344" t="s">
        <v>3670</v>
      </c>
      <c r="B242" s="327" t="s">
        <v>205</v>
      </c>
      <c r="C242" s="344" t="s">
        <v>203</v>
      </c>
      <c r="D242" s="327"/>
      <c r="E242" s="344" t="s">
        <v>204</v>
      </c>
      <c r="F242" s="344"/>
      <c r="G242" s="344"/>
    </row>
    <row r="243">
      <c r="A243" s="348" t="s">
        <v>647</v>
      </c>
      <c r="B243" s="347" t="s">
        <v>217</v>
      </c>
      <c r="C243" s="348" t="s">
        <v>211</v>
      </c>
      <c r="D243" s="347"/>
      <c r="E243" s="348" t="s">
        <v>216</v>
      </c>
      <c r="F243" s="348"/>
      <c r="G243" s="348"/>
    </row>
    <row r="244">
      <c r="A244" s="344" t="s">
        <v>712</v>
      </c>
      <c r="B244" s="327" t="s">
        <v>219</v>
      </c>
      <c r="C244" s="344" t="s">
        <v>211</v>
      </c>
      <c r="D244" s="327"/>
      <c r="E244" s="344" t="s">
        <v>218</v>
      </c>
      <c r="F244" s="344"/>
      <c r="G244" s="344"/>
    </row>
    <row r="245">
      <c r="A245" s="348" t="s">
        <v>722</v>
      </c>
      <c r="B245" s="347" t="s">
        <v>213</v>
      </c>
      <c r="C245" s="348" t="s">
        <v>211</v>
      </c>
      <c r="D245" s="347"/>
      <c r="E245" s="348" t="s">
        <v>212</v>
      </c>
      <c r="F245" s="348"/>
      <c r="G245" s="348"/>
    </row>
    <row r="246">
      <c r="A246" s="344" t="s">
        <v>3214</v>
      </c>
      <c r="B246" s="327" t="s">
        <v>229</v>
      </c>
      <c r="C246" s="344" t="s">
        <v>162</v>
      </c>
      <c r="D246" s="327"/>
      <c r="E246" s="344" t="s">
        <v>228</v>
      </c>
      <c r="F246" s="344"/>
      <c r="G246" s="344"/>
    </row>
    <row r="247">
      <c r="A247" s="348" t="s">
        <v>564</v>
      </c>
      <c r="B247" s="347" t="s">
        <v>244</v>
      </c>
      <c r="C247" s="348" t="s">
        <v>242</v>
      </c>
      <c r="D247" s="347"/>
      <c r="E247" s="348" t="s">
        <v>2043</v>
      </c>
      <c r="F247" s="348"/>
      <c r="G247" s="348"/>
    </row>
    <row r="248">
      <c r="A248" s="344" t="s">
        <v>559</v>
      </c>
      <c r="B248" s="327" t="s">
        <v>246</v>
      </c>
      <c r="C248" s="344" t="s">
        <v>242</v>
      </c>
      <c r="D248" s="327"/>
      <c r="E248" s="344" t="s">
        <v>2041</v>
      </c>
      <c r="F248" s="344"/>
      <c r="G248" s="344"/>
    </row>
    <row r="249">
      <c r="A249" s="348" t="s">
        <v>6959</v>
      </c>
      <c r="B249" s="347" t="s">
        <v>2014</v>
      </c>
      <c r="C249" s="348" t="s">
        <v>208</v>
      </c>
      <c r="D249" s="347"/>
      <c r="E249" s="348" t="s">
        <v>6960</v>
      </c>
      <c r="F249" s="348"/>
      <c r="G249" s="348"/>
    </row>
    <row r="250">
      <c r="A250" s="344" t="s">
        <v>6961</v>
      </c>
      <c r="B250" s="327" t="s">
        <v>250</v>
      </c>
      <c r="C250" s="344" t="s">
        <v>208</v>
      </c>
      <c r="D250" s="327"/>
      <c r="E250" s="344" t="s">
        <v>2735</v>
      </c>
      <c r="F250" s="344"/>
      <c r="G250" s="344"/>
    </row>
    <row r="251">
      <c r="A251" s="348" t="s">
        <v>6962</v>
      </c>
      <c r="B251" s="347" t="s">
        <v>251</v>
      </c>
      <c r="C251" s="348" t="s">
        <v>208</v>
      </c>
      <c r="D251" s="347"/>
      <c r="E251" s="348" t="s">
        <v>188</v>
      </c>
      <c r="F251" s="348"/>
      <c r="G251" s="348"/>
    </row>
    <row r="252">
      <c r="A252" s="344" t="s">
        <v>6963</v>
      </c>
      <c r="B252" s="327" t="s">
        <v>254</v>
      </c>
      <c r="C252" s="344" t="s">
        <v>252</v>
      </c>
      <c r="D252" s="327"/>
      <c r="E252" s="344" t="s">
        <v>6964</v>
      </c>
      <c r="F252" s="344"/>
      <c r="G252" s="344"/>
    </row>
    <row r="253">
      <c r="A253" s="348" t="s">
        <v>6965</v>
      </c>
      <c r="B253" s="347" t="s">
        <v>258</v>
      </c>
      <c r="C253" s="348" t="s">
        <v>252</v>
      </c>
      <c r="D253" s="347"/>
      <c r="E253" s="348" t="s">
        <v>6966</v>
      </c>
      <c r="F253" s="348"/>
      <c r="G253" s="348"/>
    </row>
    <row r="254">
      <c r="A254" s="344" t="s">
        <v>3707</v>
      </c>
      <c r="B254" s="327" t="s">
        <v>262</v>
      </c>
      <c r="C254" s="344" t="s">
        <v>2681</v>
      </c>
      <c r="D254" s="327"/>
      <c r="E254" s="344" t="s">
        <v>6906</v>
      </c>
      <c r="F254" s="344"/>
      <c r="G254" s="344"/>
    </row>
    <row r="255">
      <c r="A255" s="346" t="s">
        <v>3636</v>
      </c>
      <c r="B255" s="346" t="s">
        <v>2015</v>
      </c>
      <c r="C255" s="346" t="s">
        <v>162</v>
      </c>
      <c r="E255" s="346" t="s">
        <v>2853</v>
      </c>
      <c r="F255" s="346"/>
      <c r="G255" s="346"/>
    </row>
    <row r="256">
      <c r="A256" s="344" t="s">
        <v>6967</v>
      </c>
      <c r="B256" s="341" t="s">
        <v>256</v>
      </c>
      <c r="C256" s="344" t="s">
        <v>252</v>
      </c>
      <c r="D256" s="327"/>
      <c r="E256" s="344" t="s">
        <v>6968</v>
      </c>
      <c r="F256" s="344"/>
      <c r="G256" s="344"/>
    </row>
    <row r="257">
      <c r="A257" s="348" t="s">
        <v>6969</v>
      </c>
      <c r="B257" s="346" t="s">
        <v>2016</v>
      </c>
      <c r="C257" s="348" t="s">
        <v>252</v>
      </c>
      <c r="D257" s="347"/>
      <c r="E257" s="348" t="s">
        <v>6970</v>
      </c>
      <c r="F257" s="348"/>
      <c r="G257" s="348"/>
    </row>
    <row r="258">
      <c r="A258" s="344" t="s">
        <v>6971</v>
      </c>
      <c r="B258" s="327" t="s">
        <v>766</v>
      </c>
      <c r="C258" s="344" t="s">
        <v>6972</v>
      </c>
      <c r="D258" s="327"/>
      <c r="E258" s="344" t="s">
        <v>6973</v>
      </c>
      <c r="F258" s="344"/>
      <c r="G258" s="344"/>
    </row>
    <row r="259">
      <c r="A259" s="346" t="s">
        <v>816</v>
      </c>
      <c r="B259" s="328" t="s">
        <v>266</v>
      </c>
      <c r="C259" s="348" t="s">
        <v>2681</v>
      </c>
      <c r="D259" s="347"/>
      <c r="E259" s="348" t="s">
        <v>2693</v>
      </c>
      <c r="F259" s="348"/>
      <c r="G259" s="348"/>
    </row>
    <row r="260">
      <c r="A260" s="344" t="s">
        <v>6974</v>
      </c>
      <c r="B260" s="327" t="s">
        <v>264</v>
      </c>
      <c r="C260" s="344" t="s">
        <v>2681</v>
      </c>
      <c r="D260" s="327"/>
      <c r="E260" s="344" t="s">
        <v>6851</v>
      </c>
      <c r="F260" s="344"/>
      <c r="G260" s="344"/>
    </row>
    <row r="261">
      <c r="A261" s="348" t="s">
        <v>796</v>
      </c>
      <c r="B261" s="347" t="s">
        <v>271</v>
      </c>
      <c r="C261" s="348" t="s">
        <v>269</v>
      </c>
      <c r="D261" s="347"/>
      <c r="E261" s="348" t="s">
        <v>6975</v>
      </c>
      <c r="F261" s="348"/>
      <c r="G261" s="348"/>
    </row>
    <row r="262">
      <c r="A262" s="344" t="s">
        <v>802</v>
      </c>
      <c r="B262" s="327" t="s">
        <v>273</v>
      </c>
      <c r="C262" s="344" t="s">
        <v>269</v>
      </c>
      <c r="D262" s="327"/>
      <c r="E262" s="344" t="s">
        <v>6976</v>
      </c>
      <c r="F262" s="344"/>
      <c r="G262" s="344"/>
    </row>
    <row r="263">
      <c r="A263" s="348" t="s">
        <v>6977</v>
      </c>
      <c r="B263" s="347" t="s">
        <v>63</v>
      </c>
      <c r="C263" s="348" t="s">
        <v>269</v>
      </c>
      <c r="D263" s="347"/>
      <c r="E263" s="348" t="s">
        <v>2785</v>
      </c>
      <c r="F263" s="348"/>
      <c r="G263" s="348"/>
    </row>
    <row r="264">
      <c r="A264" s="344" t="s">
        <v>6978</v>
      </c>
      <c r="B264" s="327" t="s">
        <v>2023</v>
      </c>
      <c r="C264" s="344" t="s">
        <v>269</v>
      </c>
      <c r="D264" s="327"/>
      <c r="E264" s="344" t="s">
        <v>6979</v>
      </c>
      <c r="F264" s="344"/>
      <c r="G264" s="344"/>
    </row>
    <row r="265">
      <c r="A265" s="346" t="s">
        <v>3900</v>
      </c>
      <c r="B265" s="347" t="s">
        <v>273</v>
      </c>
      <c r="C265" s="348" t="s">
        <v>269</v>
      </c>
      <c r="D265" s="347"/>
      <c r="E265" s="348" t="s">
        <v>6980</v>
      </c>
      <c r="F265" s="348"/>
      <c r="G265" s="348"/>
    </row>
    <row r="266">
      <c r="A266" s="344" t="s">
        <v>4070</v>
      </c>
      <c r="B266" s="327" t="s">
        <v>63</v>
      </c>
      <c r="C266" s="344" t="s">
        <v>269</v>
      </c>
      <c r="D266" s="327"/>
      <c r="E266" s="344" t="s">
        <v>2644</v>
      </c>
      <c r="F266" s="344"/>
      <c r="G266" s="344"/>
    </row>
    <row r="267">
      <c r="A267" s="346" t="s">
        <v>4220</v>
      </c>
      <c r="B267" s="347" t="s">
        <v>268</v>
      </c>
      <c r="C267" s="348" t="s">
        <v>269</v>
      </c>
      <c r="D267" s="347"/>
      <c r="E267" s="348" t="s">
        <v>2644</v>
      </c>
      <c r="F267" s="348"/>
      <c r="G267" s="348"/>
    </row>
    <row r="268">
      <c r="A268" s="344"/>
      <c r="B268" s="327" t="s">
        <v>1995</v>
      </c>
      <c r="C268" s="344" t="s">
        <v>242</v>
      </c>
      <c r="D268" s="327"/>
      <c r="E268" s="344" t="s">
        <v>2011</v>
      </c>
      <c r="F268" s="344"/>
      <c r="G268" s="344"/>
    </row>
    <row r="269">
      <c r="A269" s="348"/>
      <c r="B269" s="347" t="s">
        <v>2026</v>
      </c>
      <c r="C269" s="348" t="s">
        <v>252</v>
      </c>
      <c r="D269" s="347"/>
      <c r="E269" s="348" t="s">
        <v>2625</v>
      </c>
      <c r="F269" s="348"/>
      <c r="G269" s="348"/>
    </row>
    <row r="270">
      <c r="A270" s="344"/>
      <c r="B270" s="327" t="s">
        <v>2028</v>
      </c>
      <c r="C270" s="344" t="s">
        <v>269</v>
      </c>
      <c r="D270" s="327"/>
      <c r="E270" s="344" t="s">
        <v>2644</v>
      </c>
      <c r="F270" s="344"/>
      <c r="G270" s="344"/>
    </row>
    <row r="271">
      <c r="A271" s="348"/>
      <c r="B271" s="347" t="s">
        <v>2001</v>
      </c>
      <c r="C271" s="348" t="s">
        <v>162</v>
      </c>
      <c r="D271" s="347"/>
      <c r="E271" s="348" t="s">
        <v>6981</v>
      </c>
      <c r="F271" s="348"/>
      <c r="G271" s="348"/>
    </row>
    <row r="272">
      <c r="A272" s="344"/>
      <c r="B272" s="327" t="s">
        <v>2029</v>
      </c>
      <c r="C272" s="344" t="s">
        <v>2613</v>
      </c>
      <c r="D272" s="327"/>
      <c r="E272" s="344" t="s">
        <v>6982</v>
      </c>
      <c r="F272" s="344"/>
      <c r="G272" s="344"/>
    </row>
    <row r="273">
      <c r="A273" s="348"/>
      <c r="B273" s="347" t="s">
        <v>2020</v>
      </c>
      <c r="C273" s="348" t="s">
        <v>2020</v>
      </c>
      <c r="D273" s="347"/>
      <c r="E273" s="348" t="s">
        <v>2020</v>
      </c>
      <c r="F273" s="348"/>
      <c r="G273" s="348"/>
    </row>
    <row r="274">
      <c r="A274" s="344"/>
      <c r="B274" s="327" t="s">
        <v>2019</v>
      </c>
      <c r="C274" s="344" t="s">
        <v>252</v>
      </c>
      <c r="D274" s="327"/>
      <c r="E274" s="344" t="s">
        <v>2625</v>
      </c>
      <c r="F274" s="344"/>
      <c r="G274" s="344"/>
    </row>
    <row r="275">
      <c r="A275" s="348"/>
      <c r="B275" s="347" t="s">
        <v>2032</v>
      </c>
      <c r="C275" s="348" t="s">
        <v>2563</v>
      </c>
      <c r="D275" s="347"/>
      <c r="E275" s="348" t="s">
        <v>2012</v>
      </c>
      <c r="F275" s="348"/>
      <c r="G275" s="348"/>
    </row>
    <row r="276">
      <c r="A276" s="344"/>
      <c r="B276" s="327" t="s">
        <v>2033</v>
      </c>
      <c r="C276" s="344" t="s">
        <v>2563</v>
      </c>
      <c r="D276" s="327"/>
      <c r="E276" s="344" t="s">
        <v>2012</v>
      </c>
      <c r="F276" s="344"/>
      <c r="G276" s="344"/>
    </row>
    <row r="277">
      <c r="A277" s="348"/>
      <c r="B277" s="347" t="s">
        <v>223</v>
      </c>
      <c r="C277" s="348" t="s">
        <v>162</v>
      </c>
      <c r="D277" s="347"/>
      <c r="E277" s="348" t="s">
        <v>2035</v>
      </c>
      <c r="F277" s="348"/>
      <c r="G277" s="348"/>
    </row>
    <row r="278">
      <c r="A278" s="344" t="s">
        <v>824</v>
      </c>
      <c r="B278" s="327" t="s">
        <v>285</v>
      </c>
      <c r="C278" s="344" t="s">
        <v>252</v>
      </c>
      <c r="D278" s="327" t="s">
        <v>2625</v>
      </c>
      <c r="E278" s="344" t="s">
        <v>284</v>
      </c>
      <c r="F278" s="344"/>
      <c r="G278" s="344"/>
    </row>
    <row r="279">
      <c r="A279" s="348" t="s">
        <v>2990</v>
      </c>
      <c r="B279" s="347" t="s">
        <v>223</v>
      </c>
      <c r="C279" s="348" t="s">
        <v>162</v>
      </c>
      <c r="D279" s="347" t="s">
        <v>6981</v>
      </c>
      <c r="E279" s="348" t="s">
        <v>222</v>
      </c>
      <c r="F279" s="348"/>
      <c r="G279" s="348"/>
    </row>
    <row r="280">
      <c r="A280" s="344" t="s">
        <v>3617</v>
      </c>
      <c r="B280" s="327" t="s">
        <v>268</v>
      </c>
      <c r="C280" s="344" t="s">
        <v>2681</v>
      </c>
      <c r="D280" s="327" t="s">
        <v>2625</v>
      </c>
      <c r="E280" s="344" t="s">
        <v>267</v>
      </c>
      <c r="F280" s="344"/>
      <c r="G280" s="344"/>
    </row>
    <row r="281">
      <c r="A281" s="346" t="s">
        <v>4266</v>
      </c>
      <c r="B281" s="347" t="s">
        <v>268</v>
      </c>
      <c r="C281" s="348" t="s">
        <v>2681</v>
      </c>
      <c r="D281" s="347"/>
      <c r="E281" s="348" t="s">
        <v>267</v>
      </c>
      <c r="F281" s="348"/>
      <c r="G281" s="348"/>
    </row>
    <row r="282">
      <c r="A282" s="344" t="s">
        <v>4182</v>
      </c>
      <c r="B282" s="327" t="s">
        <v>262</v>
      </c>
      <c r="C282" s="344" t="s">
        <v>2681</v>
      </c>
      <c r="D282" s="327" t="s">
        <v>2625</v>
      </c>
      <c r="E282" s="344" t="s">
        <v>6643</v>
      </c>
      <c r="F282" s="344"/>
      <c r="G282" s="344"/>
    </row>
    <row r="283">
      <c r="A283" s="348" t="s">
        <v>4197</v>
      </c>
      <c r="B283" s="347" t="s">
        <v>266</v>
      </c>
      <c r="C283" s="348" t="s">
        <v>2681</v>
      </c>
      <c r="D283" s="347" t="s">
        <v>2625</v>
      </c>
      <c r="E283" s="348" t="s">
        <v>2693</v>
      </c>
      <c r="F283" s="348"/>
      <c r="G283" s="348"/>
    </row>
    <row r="284">
      <c r="A284" s="344" t="s">
        <v>4211</v>
      </c>
      <c r="B284" s="327" t="s">
        <v>256</v>
      </c>
      <c r="C284" s="344" t="s">
        <v>2681</v>
      </c>
      <c r="D284" s="327" t="s">
        <v>2625</v>
      </c>
      <c r="E284" s="344" t="s">
        <v>259</v>
      </c>
      <c r="F284" s="344"/>
      <c r="G284" s="344"/>
    </row>
    <row r="285">
      <c r="A285" s="346" t="s">
        <v>4252</v>
      </c>
      <c r="B285" s="347" t="s">
        <v>295</v>
      </c>
      <c r="C285" s="348" t="s">
        <v>6983</v>
      </c>
      <c r="D285" s="347"/>
      <c r="E285" s="348" t="s">
        <v>2115</v>
      </c>
      <c r="F285" s="348"/>
      <c r="G285" s="348"/>
    </row>
    <row r="286">
      <c r="A286" s="341" t="s">
        <v>4338</v>
      </c>
      <c r="B286" s="327" t="s">
        <v>63</v>
      </c>
      <c r="C286" s="344" t="s">
        <v>269</v>
      </c>
      <c r="D286" s="327"/>
      <c r="E286" s="344" t="s">
        <v>282</v>
      </c>
      <c r="F286" s="344"/>
      <c r="G286" s="344"/>
    </row>
    <row r="287">
      <c r="A287" s="346" t="s">
        <v>794</v>
      </c>
      <c r="B287" s="347" t="s">
        <v>52</v>
      </c>
      <c r="C287" s="348" t="s">
        <v>269</v>
      </c>
      <c r="D287" s="347"/>
      <c r="E287" s="348" t="s">
        <v>283</v>
      </c>
      <c r="F287" s="348"/>
      <c r="G287" s="348"/>
    </row>
    <row r="288">
      <c r="A288" s="341" t="s">
        <v>909</v>
      </c>
      <c r="B288" s="327" t="s">
        <v>289</v>
      </c>
      <c r="C288" s="344" t="s">
        <v>162</v>
      </c>
      <c r="D288" s="327"/>
      <c r="E288" s="344" t="s">
        <v>2038</v>
      </c>
      <c r="F288" s="344"/>
      <c r="G288" s="344"/>
    </row>
    <row r="289">
      <c r="A289" s="346"/>
      <c r="B289" s="347" t="s">
        <v>2039</v>
      </c>
      <c r="C289" s="348" t="s">
        <v>162</v>
      </c>
      <c r="D289" s="347"/>
      <c r="E289" s="348" t="s">
        <v>2040</v>
      </c>
      <c r="F289" s="348"/>
      <c r="G289" s="348"/>
    </row>
    <row r="290">
      <c r="A290" s="341" t="s">
        <v>4536</v>
      </c>
      <c r="B290" s="327" t="s">
        <v>262</v>
      </c>
      <c r="C290" s="344" t="s">
        <v>2681</v>
      </c>
      <c r="D290" s="327" t="s">
        <v>2625</v>
      </c>
      <c r="E290" s="344" t="s">
        <v>6643</v>
      </c>
      <c r="F290" s="344"/>
      <c r="G290" s="344"/>
    </row>
    <row r="291">
      <c r="A291" s="346"/>
      <c r="B291" s="347"/>
      <c r="C291" s="348"/>
      <c r="D291" s="347"/>
      <c r="E291" s="348"/>
      <c r="F291" s="348"/>
      <c r="G291" s="348"/>
    </row>
    <row r="292">
      <c r="A292" s="341"/>
      <c r="B292" s="327" t="s">
        <v>2042</v>
      </c>
      <c r="C292" s="344" t="s">
        <v>162</v>
      </c>
      <c r="D292" s="327"/>
      <c r="E292" s="344" t="s">
        <v>2043</v>
      </c>
      <c r="F292" s="344"/>
      <c r="G292" s="344"/>
    </row>
    <row r="293">
      <c r="A293" s="346"/>
      <c r="B293" s="347" t="s">
        <v>298</v>
      </c>
      <c r="C293" s="348" t="s">
        <v>162</v>
      </c>
      <c r="D293" s="347"/>
      <c r="E293" s="348" t="s">
        <v>2044</v>
      </c>
      <c r="F293" s="348"/>
      <c r="G293" s="348"/>
    </row>
    <row r="294">
      <c r="A294" s="341" t="s">
        <v>524</v>
      </c>
      <c r="B294" s="327" t="s">
        <v>300</v>
      </c>
      <c r="C294" s="344" t="s">
        <v>162</v>
      </c>
      <c r="D294" s="327"/>
      <c r="E294" s="344" t="s">
        <v>2045</v>
      </c>
      <c r="F294" s="344"/>
      <c r="G294" s="344"/>
    </row>
    <row r="295">
      <c r="A295" s="346"/>
      <c r="B295" s="347" t="s">
        <v>307</v>
      </c>
      <c r="C295" s="348"/>
      <c r="D295" s="347"/>
      <c r="E295" s="348"/>
      <c r="F295" s="348"/>
      <c r="G295" s="348"/>
    </row>
    <row r="296">
      <c r="A296" s="341"/>
      <c r="B296" s="327" t="s">
        <v>2037</v>
      </c>
      <c r="C296" s="344"/>
      <c r="D296" s="327"/>
      <c r="E296" s="344"/>
      <c r="F296" s="344"/>
      <c r="G296" s="344"/>
    </row>
    <row r="297">
      <c r="A297" s="346"/>
      <c r="B297" s="347" t="s">
        <v>302</v>
      </c>
      <c r="C297" s="348" t="s">
        <v>269</v>
      </c>
      <c r="D297" s="347"/>
      <c r="E297" s="348" t="s">
        <v>2047</v>
      </c>
      <c r="F297" s="348"/>
      <c r="G297" s="348"/>
    </row>
    <row r="298">
      <c r="A298" s="341"/>
      <c r="B298" s="327" t="s">
        <v>304</v>
      </c>
      <c r="C298" s="344" t="s">
        <v>269</v>
      </c>
      <c r="D298" s="327"/>
      <c r="E298" s="344" t="s">
        <v>2048</v>
      </c>
      <c r="F298" s="344"/>
      <c r="G298" s="344"/>
    </row>
    <row r="299">
      <c r="A299" s="346"/>
      <c r="B299" s="347" t="s">
        <v>305</v>
      </c>
      <c r="C299" s="348" t="s">
        <v>269</v>
      </c>
      <c r="D299" s="347"/>
      <c r="E299" s="348" t="s">
        <v>255</v>
      </c>
      <c r="F299" s="348"/>
      <c r="G299" s="348"/>
    </row>
    <row r="300">
      <c r="A300" s="341"/>
      <c r="B300" s="327" t="s">
        <v>2049</v>
      </c>
      <c r="C300" s="344" t="s">
        <v>252</v>
      </c>
      <c r="D300" s="327"/>
      <c r="E300" s="344" t="s">
        <v>2050</v>
      </c>
      <c r="F300" s="344"/>
      <c r="G300" s="344"/>
    </row>
    <row r="301">
      <c r="A301" s="346" t="s">
        <v>4697</v>
      </c>
      <c r="B301" s="347" t="s">
        <v>260</v>
      </c>
      <c r="C301" s="348"/>
      <c r="D301" s="347"/>
      <c r="E301" s="348"/>
      <c r="F301" s="348"/>
      <c r="G301" s="348"/>
    </row>
    <row r="302">
      <c r="A302" s="341" t="s">
        <v>4731</v>
      </c>
      <c r="B302" s="327" t="s">
        <v>285</v>
      </c>
      <c r="C302" s="344"/>
      <c r="D302" s="327"/>
      <c r="E302" s="344"/>
      <c r="F302" s="344"/>
      <c r="G302" s="344"/>
    </row>
    <row r="303">
      <c r="A303" s="346" t="s">
        <v>4786</v>
      </c>
      <c r="B303" s="347" t="s">
        <v>260</v>
      </c>
      <c r="C303" s="348"/>
      <c r="D303" s="347"/>
      <c r="E303" s="348"/>
      <c r="F303" s="348"/>
      <c r="G303" s="348"/>
    </row>
    <row r="304">
      <c r="A304" s="341"/>
      <c r="B304" s="327" t="s">
        <v>2517</v>
      </c>
      <c r="C304" s="344"/>
      <c r="D304" s="327"/>
      <c r="E304" s="344"/>
      <c r="F304" s="344"/>
      <c r="G304" s="344"/>
    </row>
    <row r="305">
      <c r="A305" s="346"/>
      <c r="B305" s="347" t="s">
        <v>287</v>
      </c>
      <c r="C305" s="348"/>
      <c r="D305" s="347"/>
      <c r="E305" s="348"/>
      <c r="F305" s="348"/>
      <c r="G305" s="348"/>
    </row>
    <row r="306">
      <c r="A306" s="341"/>
      <c r="B306" s="327" t="s">
        <v>1369</v>
      </c>
      <c r="C306" s="344"/>
      <c r="D306" s="327"/>
      <c r="E306" s="344"/>
      <c r="F306" s="344"/>
      <c r="G306" s="344"/>
    </row>
    <row r="307">
      <c r="A307" s="346" t="s">
        <v>534</v>
      </c>
      <c r="B307" s="347" t="s">
        <v>293</v>
      </c>
      <c r="C307" s="348" t="s">
        <v>162</v>
      </c>
      <c r="D307" s="347"/>
      <c r="E307" s="348" t="s">
        <v>2052</v>
      </c>
      <c r="F307" s="348"/>
      <c r="G307" s="348"/>
    </row>
    <row r="308">
      <c r="A308" s="341" t="s">
        <v>554</v>
      </c>
      <c r="B308" s="327" t="s">
        <v>296</v>
      </c>
      <c r="C308" s="344" t="s">
        <v>242</v>
      </c>
      <c r="D308" s="327"/>
      <c r="E308" s="344" t="s">
        <v>2821</v>
      </c>
      <c r="F308" s="344"/>
      <c r="G308" s="344"/>
    </row>
    <row r="309">
      <c r="A309" s="346" t="s">
        <v>6762</v>
      </c>
      <c r="B309" s="347" t="s">
        <v>49</v>
      </c>
      <c r="C309" s="348" t="s">
        <v>211</v>
      </c>
      <c r="D309" s="347" t="s">
        <v>6984</v>
      </c>
      <c r="E309" s="348" t="s">
        <v>308</v>
      </c>
      <c r="F309" s="348"/>
      <c r="G309" s="348"/>
    </row>
    <row r="310">
      <c r="A310" s="341" t="s">
        <v>652</v>
      </c>
      <c r="B310" s="327" t="s">
        <v>310</v>
      </c>
      <c r="C310" s="344" t="s">
        <v>211</v>
      </c>
      <c r="D310" s="327" t="s">
        <v>6984</v>
      </c>
      <c r="E310" s="344" t="s">
        <v>309</v>
      </c>
      <c r="F310" s="344"/>
      <c r="G310" s="344"/>
    </row>
    <row r="311">
      <c r="A311" s="346" t="s">
        <v>697</v>
      </c>
      <c r="B311" s="347" t="s">
        <v>312</v>
      </c>
      <c r="C311" s="348" t="s">
        <v>211</v>
      </c>
      <c r="D311" s="347" t="s">
        <v>6984</v>
      </c>
      <c r="E311" s="348" t="s">
        <v>311</v>
      </c>
      <c r="F311" s="348"/>
      <c r="G311" s="348"/>
    </row>
    <row r="312">
      <c r="A312" s="341" t="s">
        <v>662</v>
      </c>
      <c r="B312" s="327" t="s">
        <v>314</v>
      </c>
      <c r="C312" s="344" t="s">
        <v>211</v>
      </c>
      <c r="D312" s="327" t="s">
        <v>6984</v>
      </c>
      <c r="E312" s="344" t="s">
        <v>313</v>
      </c>
      <c r="F312" s="344"/>
      <c r="G312" s="344"/>
    </row>
    <row r="313">
      <c r="A313" s="346" t="s">
        <v>677</v>
      </c>
      <c r="B313" s="347" t="s">
        <v>323</v>
      </c>
      <c r="C313" s="348" t="s">
        <v>211</v>
      </c>
      <c r="D313" s="347" t="s">
        <v>6984</v>
      </c>
      <c r="E313" s="348" t="s">
        <v>315</v>
      </c>
      <c r="F313" s="348"/>
      <c r="G313" s="348"/>
    </row>
    <row r="314">
      <c r="A314" s="341" t="s">
        <v>707</v>
      </c>
      <c r="B314" s="327" t="s">
        <v>318</v>
      </c>
      <c r="C314" s="344" t="s">
        <v>211</v>
      </c>
      <c r="D314" s="327" t="s">
        <v>6984</v>
      </c>
      <c r="E314" s="344" t="s">
        <v>317</v>
      </c>
      <c r="F314" s="344"/>
      <c r="G314" s="344"/>
    </row>
    <row r="315">
      <c r="A315" s="346" t="s">
        <v>672</v>
      </c>
      <c r="B315" s="347" t="s">
        <v>320</v>
      </c>
      <c r="C315" s="348" t="s">
        <v>319</v>
      </c>
      <c r="D315" s="347" t="s">
        <v>6985</v>
      </c>
      <c r="E315" s="348" t="s">
        <v>309</v>
      </c>
      <c r="F315" s="348"/>
      <c r="G315" s="348"/>
    </row>
    <row r="316">
      <c r="A316" s="341" t="s">
        <v>687</v>
      </c>
      <c r="B316" s="327" t="s">
        <v>321</v>
      </c>
      <c r="C316" s="344" t="s">
        <v>319</v>
      </c>
      <c r="D316" s="327" t="s">
        <v>6985</v>
      </c>
      <c r="E316" s="344" t="s">
        <v>311</v>
      </c>
      <c r="F316" s="344"/>
      <c r="G316" s="344"/>
    </row>
    <row r="317">
      <c r="A317" s="346" t="s">
        <v>682</v>
      </c>
      <c r="B317" s="347" t="s">
        <v>322</v>
      </c>
      <c r="C317" s="348" t="s">
        <v>319</v>
      </c>
      <c r="D317" s="347" t="s">
        <v>6985</v>
      </c>
      <c r="E317" s="348" t="s">
        <v>313</v>
      </c>
      <c r="F317" s="348"/>
      <c r="G317" s="348"/>
    </row>
    <row r="318">
      <c r="A318" s="341" t="s">
        <v>657</v>
      </c>
      <c r="B318" s="327" t="s">
        <v>316</v>
      </c>
      <c r="C318" s="344" t="s">
        <v>319</v>
      </c>
      <c r="D318" s="327" t="s">
        <v>6985</v>
      </c>
      <c r="E318" s="344" t="s">
        <v>315</v>
      </c>
      <c r="F318" s="344"/>
      <c r="G318" s="344"/>
    </row>
    <row r="319">
      <c r="A319" s="346" t="s">
        <v>6986</v>
      </c>
      <c r="B319" s="347" t="s">
        <v>44</v>
      </c>
      <c r="C319" s="348" t="s">
        <v>319</v>
      </c>
      <c r="D319" s="347" t="s">
        <v>6985</v>
      </c>
      <c r="E319" s="348" t="s">
        <v>324</v>
      </c>
      <c r="F319" s="348"/>
      <c r="G319" s="348"/>
    </row>
    <row r="320">
      <c r="A320" s="341" t="s">
        <v>667</v>
      </c>
      <c r="B320" s="327" t="s">
        <v>326</v>
      </c>
      <c r="C320" s="344" t="s">
        <v>319</v>
      </c>
      <c r="D320" s="327" t="s">
        <v>6985</v>
      </c>
      <c r="E320" s="344" t="s">
        <v>325</v>
      </c>
      <c r="F320" s="344"/>
      <c r="G320" s="344"/>
    </row>
    <row r="321">
      <c r="A321" s="346" t="s">
        <v>456</v>
      </c>
      <c r="B321" s="347" t="s">
        <v>460</v>
      </c>
      <c r="C321" s="348" t="s">
        <v>327</v>
      </c>
      <c r="D321" s="347" t="s">
        <v>6987</v>
      </c>
      <c r="E321" s="348" t="s">
        <v>328</v>
      </c>
      <c r="F321" s="348"/>
      <c r="G321" s="348"/>
    </row>
    <row r="322">
      <c r="A322" s="341" t="s">
        <v>432</v>
      </c>
      <c r="B322" s="327" t="s">
        <v>437</v>
      </c>
      <c r="C322" s="344" t="s">
        <v>327</v>
      </c>
      <c r="D322" s="327" t="s">
        <v>6987</v>
      </c>
      <c r="E322" s="344" t="s">
        <v>330</v>
      </c>
      <c r="F322" s="344"/>
      <c r="G322" s="344"/>
    </row>
    <row r="323">
      <c r="A323" s="346" t="s">
        <v>462</v>
      </c>
      <c r="B323" s="347" t="s">
        <v>466</v>
      </c>
      <c r="C323" s="348" t="s">
        <v>327</v>
      </c>
      <c r="D323" s="347" t="s">
        <v>6987</v>
      </c>
      <c r="E323" s="348" t="s">
        <v>332</v>
      </c>
      <c r="F323" s="348"/>
      <c r="G323" s="348"/>
    </row>
    <row r="324">
      <c r="A324" s="341" t="s">
        <v>450</v>
      </c>
      <c r="B324" s="327" t="s">
        <v>454</v>
      </c>
      <c r="C324" s="344" t="s">
        <v>327</v>
      </c>
      <c r="D324" s="327" t="s">
        <v>6987</v>
      </c>
      <c r="E324" s="344" t="s">
        <v>334</v>
      </c>
      <c r="F324" s="344"/>
      <c r="G324" s="344"/>
    </row>
    <row r="325">
      <c r="A325" s="346" t="s">
        <v>439</v>
      </c>
      <c r="B325" s="347" t="s">
        <v>337</v>
      </c>
      <c r="C325" s="348" t="s">
        <v>327</v>
      </c>
      <c r="D325" s="347" t="s">
        <v>6987</v>
      </c>
      <c r="E325" s="348" t="s">
        <v>336</v>
      </c>
      <c r="F325" s="348"/>
      <c r="G325" s="348"/>
    </row>
    <row r="326">
      <c r="A326" s="341" t="s">
        <v>444</v>
      </c>
      <c r="B326" s="327" t="s">
        <v>448</v>
      </c>
      <c r="C326" s="344" t="s">
        <v>327</v>
      </c>
      <c r="D326" s="327" t="s">
        <v>6987</v>
      </c>
      <c r="E326" s="344" t="s">
        <v>338</v>
      </c>
      <c r="F326" s="344"/>
      <c r="G326" s="344"/>
    </row>
    <row r="327">
      <c r="A327" s="346" t="s">
        <v>635</v>
      </c>
      <c r="B327" s="347" t="s">
        <v>639</v>
      </c>
      <c r="C327" s="348" t="s">
        <v>327</v>
      </c>
      <c r="D327" s="347" t="s">
        <v>6987</v>
      </c>
      <c r="E327" s="348" t="s">
        <v>340</v>
      </c>
      <c r="F327" s="348"/>
      <c r="G327" s="348"/>
    </row>
    <row r="328">
      <c r="A328" s="341" t="s">
        <v>612</v>
      </c>
      <c r="B328" s="327" t="s">
        <v>616</v>
      </c>
      <c r="C328" s="344" t="s">
        <v>327</v>
      </c>
      <c r="D328" s="327" t="s">
        <v>6987</v>
      </c>
      <c r="E328" s="344" t="s">
        <v>342</v>
      </c>
      <c r="F328" s="344"/>
      <c r="G328" s="344"/>
    </row>
    <row r="329">
      <c r="A329" s="346" t="s">
        <v>641</v>
      </c>
      <c r="B329" s="347" t="s">
        <v>645</v>
      </c>
      <c r="C329" s="348" t="s">
        <v>327</v>
      </c>
      <c r="D329" s="347" t="s">
        <v>6987</v>
      </c>
      <c r="E329" s="348" t="s">
        <v>344</v>
      </c>
      <c r="F329" s="348"/>
      <c r="G329" s="348"/>
    </row>
    <row r="330">
      <c r="A330" s="341" t="s">
        <v>629</v>
      </c>
      <c r="B330" s="327" t="s">
        <v>633</v>
      </c>
      <c r="C330" s="344" t="s">
        <v>327</v>
      </c>
      <c r="D330" s="327" t="s">
        <v>6987</v>
      </c>
      <c r="E330" s="344" t="s">
        <v>346</v>
      </c>
      <c r="F330" s="344"/>
      <c r="G330" s="344"/>
    </row>
    <row r="331">
      <c r="A331" s="346" t="s">
        <v>618</v>
      </c>
      <c r="B331" s="347" t="s">
        <v>349</v>
      </c>
      <c r="C331" s="348" t="s">
        <v>327</v>
      </c>
      <c r="D331" s="347" t="s">
        <v>6987</v>
      </c>
      <c r="E331" s="348" t="s">
        <v>348</v>
      </c>
      <c r="F331" s="348"/>
      <c r="G331" s="348"/>
    </row>
    <row r="332">
      <c r="A332" s="341" t="s">
        <v>623</v>
      </c>
      <c r="B332" s="327" t="s">
        <v>627</v>
      </c>
      <c r="C332" s="344" t="s">
        <v>327</v>
      </c>
      <c r="D332" s="327" t="s">
        <v>6987</v>
      </c>
      <c r="E332" s="344" t="s">
        <v>350</v>
      </c>
      <c r="F332" s="344"/>
      <c r="G332" s="344"/>
    </row>
    <row r="333">
      <c r="A333" s="346" t="s">
        <v>750</v>
      </c>
      <c r="B333" s="347" t="s">
        <v>754</v>
      </c>
      <c r="C333" s="348" t="s">
        <v>352</v>
      </c>
      <c r="D333" s="347" t="s">
        <v>6988</v>
      </c>
      <c r="E333" s="348" t="s">
        <v>353</v>
      </c>
      <c r="F333" s="348"/>
      <c r="G333" s="348"/>
    </row>
    <row r="334">
      <c r="A334" s="341" t="s">
        <v>727</v>
      </c>
      <c r="B334" s="327" t="s">
        <v>731</v>
      </c>
      <c r="C334" s="344" t="s">
        <v>352</v>
      </c>
      <c r="D334" s="327" t="s">
        <v>6988</v>
      </c>
      <c r="E334" s="344" t="s">
        <v>355</v>
      </c>
      <c r="F334" s="344"/>
      <c r="G334" s="344"/>
    </row>
    <row r="335">
      <c r="A335" s="346" t="s">
        <v>756</v>
      </c>
      <c r="B335" s="347" t="s">
        <v>760</v>
      </c>
      <c r="C335" s="348" t="s">
        <v>352</v>
      </c>
      <c r="D335" s="347" t="s">
        <v>6988</v>
      </c>
      <c r="E335" s="348" t="s">
        <v>357</v>
      </c>
      <c r="F335" s="348"/>
      <c r="G335" s="348"/>
    </row>
    <row r="336">
      <c r="A336" s="341" t="s">
        <v>744</v>
      </c>
      <c r="B336" s="327" t="s">
        <v>748</v>
      </c>
      <c r="C336" s="344" t="s">
        <v>352</v>
      </c>
      <c r="D336" s="327" t="s">
        <v>6988</v>
      </c>
      <c r="E336" s="344" t="s">
        <v>359</v>
      </c>
      <c r="F336" s="344"/>
      <c r="G336" s="344"/>
    </row>
    <row r="337">
      <c r="A337" s="346" t="s">
        <v>733</v>
      </c>
      <c r="B337" s="347" t="s">
        <v>362</v>
      </c>
      <c r="C337" s="348" t="s">
        <v>352</v>
      </c>
      <c r="D337" s="347" t="s">
        <v>6988</v>
      </c>
      <c r="E337" s="348" t="s">
        <v>361</v>
      </c>
      <c r="F337" s="348"/>
      <c r="G337" s="348"/>
    </row>
    <row r="338">
      <c r="A338" s="341" t="s">
        <v>738</v>
      </c>
      <c r="B338" s="327" t="s">
        <v>742</v>
      </c>
      <c r="C338" s="344" t="s">
        <v>352</v>
      </c>
      <c r="D338" s="327" t="s">
        <v>6988</v>
      </c>
      <c r="E338" s="344" t="s">
        <v>363</v>
      </c>
      <c r="F338" s="344"/>
      <c r="G338" s="344"/>
    </row>
    <row r="339">
      <c r="A339" s="346" t="s">
        <v>497</v>
      </c>
      <c r="B339" s="347" t="s">
        <v>501</v>
      </c>
      <c r="C339" s="348" t="s">
        <v>365</v>
      </c>
      <c r="D339" s="347" t="s">
        <v>6989</v>
      </c>
      <c r="E339" s="348" t="s">
        <v>366</v>
      </c>
      <c r="F339" s="348"/>
      <c r="G339" s="348"/>
    </row>
    <row r="340">
      <c r="A340" s="341" t="s">
        <v>468</v>
      </c>
      <c r="B340" s="327" t="s">
        <v>472</v>
      </c>
      <c r="C340" s="344" t="s">
        <v>365</v>
      </c>
      <c r="D340" s="327" t="s">
        <v>6989</v>
      </c>
      <c r="E340" s="344" t="s">
        <v>368</v>
      </c>
      <c r="F340" s="344"/>
      <c r="G340" s="344"/>
    </row>
    <row r="341">
      <c r="A341" s="346" t="s">
        <v>503</v>
      </c>
      <c r="B341" s="347" t="s">
        <v>507</v>
      </c>
      <c r="C341" s="348" t="s">
        <v>365</v>
      </c>
      <c r="D341" s="347" t="s">
        <v>6989</v>
      </c>
      <c r="E341" s="348" t="s">
        <v>370</v>
      </c>
      <c r="F341" s="348"/>
      <c r="G341" s="348"/>
    </row>
    <row r="342">
      <c r="A342" s="341" t="s">
        <v>491</v>
      </c>
      <c r="B342" s="327" t="s">
        <v>495</v>
      </c>
      <c r="C342" s="344" t="s">
        <v>365</v>
      </c>
      <c r="D342" s="327" t="s">
        <v>6989</v>
      </c>
      <c r="E342" s="344" t="s">
        <v>372</v>
      </c>
      <c r="F342" s="344"/>
      <c r="G342" s="344"/>
    </row>
    <row r="343">
      <c r="A343" s="346" t="s">
        <v>480</v>
      </c>
      <c r="B343" s="347" t="s">
        <v>375</v>
      </c>
      <c r="C343" s="348" t="s">
        <v>365</v>
      </c>
      <c r="D343" s="347" t="s">
        <v>6989</v>
      </c>
      <c r="E343" s="348" t="s">
        <v>374</v>
      </c>
      <c r="F343" s="348"/>
      <c r="G343" s="348"/>
    </row>
    <row r="344">
      <c r="A344" s="341" t="s">
        <v>485</v>
      </c>
      <c r="B344" s="327" t="s">
        <v>489</v>
      </c>
      <c r="C344" s="344" t="s">
        <v>365</v>
      </c>
      <c r="D344" s="327" t="s">
        <v>6989</v>
      </c>
      <c r="E344" s="344" t="s">
        <v>376</v>
      </c>
      <c r="F344" s="344"/>
      <c r="G344" s="344"/>
    </row>
    <row r="345">
      <c r="A345" s="346" t="s">
        <v>474</v>
      </c>
      <c r="B345" s="347" t="s">
        <v>478</v>
      </c>
      <c r="C345" s="348" t="s">
        <v>365</v>
      </c>
      <c r="D345" s="347" t="s">
        <v>6989</v>
      </c>
      <c r="E345" s="348" t="s">
        <v>378</v>
      </c>
      <c r="F345" s="348"/>
      <c r="G345" s="348"/>
    </row>
    <row r="346">
      <c r="A346" s="341" t="s">
        <v>4964</v>
      </c>
      <c r="B346" s="327" t="s">
        <v>285</v>
      </c>
      <c r="C346" s="344"/>
      <c r="D346" s="327"/>
      <c r="E346" s="344"/>
      <c r="F346" s="344"/>
      <c r="G346" s="344"/>
    </row>
    <row r="347">
      <c r="A347" s="346"/>
      <c r="B347" s="347" t="s">
        <v>381</v>
      </c>
      <c r="C347" s="348" t="s">
        <v>269</v>
      </c>
      <c r="D347" s="347"/>
      <c r="E347" s="348" t="s">
        <v>2053</v>
      </c>
      <c r="F347" s="348"/>
      <c r="G347" s="348"/>
    </row>
    <row r="348">
      <c r="A348" s="341" t="s">
        <v>519</v>
      </c>
      <c r="B348" s="327" t="s">
        <v>291</v>
      </c>
      <c r="C348" s="344" t="s">
        <v>162</v>
      </c>
      <c r="D348" s="327"/>
      <c r="E348" s="344" t="s">
        <v>2730</v>
      </c>
      <c r="F348" s="344"/>
      <c r="G348" s="344"/>
    </row>
    <row r="349">
      <c r="A349" s="346" t="s">
        <v>792</v>
      </c>
      <c r="B349" s="347" t="s">
        <v>63</v>
      </c>
      <c r="C349" s="348" t="s">
        <v>269</v>
      </c>
      <c r="D349" s="347"/>
      <c r="E349" s="348" t="s">
        <v>282</v>
      </c>
      <c r="F349" s="348"/>
      <c r="G349" s="348"/>
    </row>
    <row r="350">
      <c r="A350" s="341" t="s">
        <v>842</v>
      </c>
      <c r="B350" s="327" t="s">
        <v>277</v>
      </c>
      <c r="C350" s="344" t="s">
        <v>269</v>
      </c>
      <c r="D350" s="327"/>
      <c r="E350" s="344" t="s">
        <v>2839</v>
      </c>
      <c r="F350" s="344"/>
      <c r="G350" s="344"/>
    </row>
    <row r="351">
      <c r="A351" s="346" t="s">
        <v>808</v>
      </c>
      <c r="B351" s="347" t="s">
        <v>281</v>
      </c>
      <c r="C351" s="348" t="s">
        <v>269</v>
      </c>
      <c r="D351" s="347"/>
      <c r="E351" s="348" t="s">
        <v>280</v>
      </c>
      <c r="F351" s="348"/>
      <c r="G351" s="348"/>
    </row>
    <row r="352">
      <c r="A352" s="341" t="s">
        <v>846</v>
      </c>
      <c r="B352" s="327" t="s">
        <v>302</v>
      </c>
      <c r="C352" s="344" t="s">
        <v>269</v>
      </c>
      <c r="D352" s="327"/>
      <c r="E352" s="344" t="s">
        <v>301</v>
      </c>
      <c r="F352" s="344"/>
      <c r="G352" s="344"/>
    </row>
    <row r="353">
      <c r="A353" s="346" t="s">
        <v>804</v>
      </c>
      <c r="B353" s="347" t="s">
        <v>305</v>
      </c>
      <c r="C353" s="348" t="s">
        <v>269</v>
      </c>
      <c r="D353" s="347"/>
      <c r="E353" s="348" t="s">
        <v>255</v>
      </c>
      <c r="F353" s="348"/>
      <c r="G353" s="348"/>
    </row>
    <row r="354">
      <c r="A354" s="341" t="s">
        <v>814</v>
      </c>
      <c r="B354" s="327" t="s">
        <v>264</v>
      </c>
      <c r="C354" s="344" t="s">
        <v>252</v>
      </c>
      <c r="D354" s="327"/>
      <c r="E354" s="344" t="s">
        <v>263</v>
      </c>
      <c r="F354" s="344"/>
      <c r="G354" s="344"/>
    </row>
    <row r="355">
      <c r="A355" s="346" t="s">
        <v>830</v>
      </c>
      <c r="B355" s="347" t="s">
        <v>1369</v>
      </c>
      <c r="C355" s="348" t="s">
        <v>252</v>
      </c>
      <c r="D355" s="347"/>
      <c r="E355" s="348" t="s">
        <v>2480</v>
      </c>
      <c r="F355" s="348"/>
      <c r="G355" s="348"/>
    </row>
    <row r="356">
      <c r="A356" s="341" t="s">
        <v>826</v>
      </c>
      <c r="B356" s="327" t="s">
        <v>260</v>
      </c>
      <c r="C356" s="344" t="s">
        <v>252</v>
      </c>
      <c r="D356" s="327"/>
      <c r="E356" s="344" t="s">
        <v>259</v>
      </c>
      <c r="F356" s="344"/>
      <c r="G356" s="344"/>
    </row>
    <row r="357">
      <c r="A357" s="346" t="s">
        <v>810</v>
      </c>
      <c r="B357" s="347" t="s">
        <v>258</v>
      </c>
      <c r="C357" s="348" t="s">
        <v>252</v>
      </c>
      <c r="D357" s="347"/>
      <c r="E357" s="348" t="s">
        <v>257</v>
      </c>
      <c r="F357" s="348"/>
      <c r="G357" s="348"/>
    </row>
    <row r="358">
      <c r="A358" s="341" t="s">
        <v>6990</v>
      </c>
      <c r="B358" s="327" t="s">
        <v>254</v>
      </c>
      <c r="C358" s="344" t="s">
        <v>252</v>
      </c>
      <c r="D358" s="327"/>
      <c r="E358" s="344" t="s">
        <v>253</v>
      </c>
      <c r="F358" s="344"/>
      <c r="G358" s="344"/>
    </row>
    <row r="359">
      <c r="A359" s="346" t="s">
        <v>692</v>
      </c>
      <c r="B359" s="347" t="s">
        <v>44</v>
      </c>
      <c r="C359" s="348" t="s">
        <v>319</v>
      </c>
      <c r="D359" s="347"/>
      <c r="E359" s="348" t="s">
        <v>324</v>
      </c>
      <c r="F359" s="348"/>
      <c r="G359" s="348"/>
    </row>
    <row r="360">
      <c r="A360" s="341" t="s">
        <v>529</v>
      </c>
      <c r="B360" s="327" t="s">
        <v>298</v>
      </c>
      <c r="C360" s="344" t="s">
        <v>162</v>
      </c>
      <c r="D360" s="327"/>
      <c r="E360" s="344" t="s">
        <v>297</v>
      </c>
      <c r="F360" s="344"/>
      <c r="G360" s="344"/>
    </row>
    <row r="361">
      <c r="A361" s="346" t="s">
        <v>762</v>
      </c>
      <c r="B361" s="347" t="s">
        <v>766</v>
      </c>
      <c r="C361" s="348" t="s">
        <v>2020</v>
      </c>
      <c r="D361" s="347"/>
      <c r="E361" s="348" t="s">
        <v>6991</v>
      </c>
      <c r="F361" s="348"/>
      <c r="G361" s="348"/>
    </row>
    <row r="362">
      <c r="A362" s="341" t="s">
        <v>702</v>
      </c>
      <c r="B362" s="327" t="s">
        <v>49</v>
      </c>
      <c r="C362" s="344" t="s">
        <v>211</v>
      </c>
      <c r="D362" s="327" t="s">
        <v>6984</v>
      </c>
      <c r="E362" s="344" t="s">
        <v>308</v>
      </c>
      <c r="F362" s="344"/>
      <c r="G362" s="344"/>
    </row>
    <row r="363">
      <c r="A363" s="346"/>
      <c r="B363" s="347" t="s">
        <v>383</v>
      </c>
      <c r="C363" s="348" t="s">
        <v>269</v>
      </c>
      <c r="D363" s="347"/>
      <c r="E363" s="348" t="s">
        <v>382</v>
      </c>
      <c r="F363" s="348"/>
      <c r="G363" s="348"/>
    </row>
    <row r="364">
      <c r="A364" s="341" t="s">
        <v>5324</v>
      </c>
      <c r="B364" s="327" t="s">
        <v>256</v>
      </c>
      <c r="C364" s="344" t="s">
        <v>252</v>
      </c>
      <c r="D364" s="327"/>
      <c r="E364" s="344" t="s">
        <v>255</v>
      </c>
      <c r="F364" s="344"/>
      <c r="G364" s="344"/>
    </row>
    <row r="365">
      <c r="A365" s="346" t="s">
        <v>5243</v>
      </c>
      <c r="B365" s="347" t="s">
        <v>2055</v>
      </c>
      <c r="C365" s="348" t="s">
        <v>252</v>
      </c>
      <c r="D365" s="347"/>
      <c r="E365" s="348" t="s">
        <v>6748</v>
      </c>
      <c r="F365" s="348"/>
      <c r="G365" s="348"/>
    </row>
    <row r="366">
      <c r="A366" s="341" t="s">
        <v>5345</v>
      </c>
      <c r="B366" s="327" t="s">
        <v>264</v>
      </c>
      <c r="C366" s="344" t="s">
        <v>2681</v>
      </c>
      <c r="D366" s="327"/>
      <c r="E366" s="344" t="s">
        <v>2687</v>
      </c>
      <c r="F366" s="344"/>
      <c r="G366" s="344"/>
    </row>
    <row r="367">
      <c r="A367" s="346" t="s">
        <v>5390</v>
      </c>
      <c r="B367" s="347" t="s">
        <v>302</v>
      </c>
      <c r="C367" s="348" t="s">
        <v>269</v>
      </c>
      <c r="D367" s="347"/>
      <c r="E367" s="348" t="s">
        <v>301</v>
      </c>
      <c r="F367" s="348"/>
      <c r="G367" s="348"/>
    </row>
    <row r="368">
      <c r="A368" s="341" t="s">
        <v>6992</v>
      </c>
      <c r="B368" s="327" t="s">
        <v>63</v>
      </c>
      <c r="C368" s="344" t="s">
        <v>269</v>
      </c>
      <c r="D368" s="327"/>
      <c r="E368" s="344" t="s">
        <v>282</v>
      </c>
      <c r="F368" s="344"/>
      <c r="G368" s="344"/>
    </row>
    <row r="369">
      <c r="A369" s="346" t="s">
        <v>6993</v>
      </c>
      <c r="B369" s="347" t="s">
        <v>52</v>
      </c>
      <c r="C369" s="348" t="s">
        <v>269</v>
      </c>
      <c r="D369" s="347"/>
      <c r="E369" s="348" t="s">
        <v>283</v>
      </c>
      <c r="F369" s="348"/>
      <c r="G369" s="348"/>
    </row>
    <row r="370">
      <c r="A370" s="341" t="s">
        <v>5701</v>
      </c>
      <c r="B370" s="327" t="s">
        <v>52</v>
      </c>
      <c r="C370" s="344" t="s">
        <v>269</v>
      </c>
      <c r="D370" s="327"/>
      <c r="E370" s="344" t="s">
        <v>283</v>
      </c>
      <c r="F370" s="344"/>
      <c r="G370" s="344"/>
    </row>
    <row r="371">
      <c r="A371" s="346" t="s">
        <v>6994</v>
      </c>
      <c r="B371" s="347" t="s">
        <v>2009</v>
      </c>
      <c r="C371" s="348" t="s">
        <v>269</v>
      </c>
      <c r="D371" s="347"/>
      <c r="E371" s="348" t="s">
        <v>2560</v>
      </c>
      <c r="F371" s="348"/>
      <c r="G371" s="348"/>
    </row>
    <row r="372">
      <c r="A372" s="341" t="s">
        <v>6995</v>
      </c>
      <c r="B372" s="327" t="s">
        <v>277</v>
      </c>
      <c r="C372" s="344" t="s">
        <v>269</v>
      </c>
      <c r="D372" s="327"/>
      <c r="E372" s="344" t="s">
        <v>2839</v>
      </c>
      <c r="F372" s="344"/>
      <c r="G372" s="344"/>
    </row>
    <row r="373">
      <c r="A373" s="346" t="s">
        <v>6996</v>
      </c>
      <c r="B373" s="347" t="s">
        <v>302</v>
      </c>
      <c r="C373" s="348" t="s">
        <v>269</v>
      </c>
      <c r="D373" s="347"/>
      <c r="E373" s="348" t="s">
        <v>301</v>
      </c>
      <c r="F373" s="348"/>
      <c r="G373" s="348"/>
    </row>
    <row r="374">
      <c r="A374" s="341" t="s">
        <v>6997</v>
      </c>
      <c r="B374" s="327" t="s">
        <v>302</v>
      </c>
      <c r="C374" s="344" t="s">
        <v>269</v>
      </c>
      <c r="D374" s="327"/>
      <c r="E374" s="344" t="s">
        <v>301</v>
      </c>
      <c r="F374" s="344"/>
      <c r="G374" s="344"/>
    </row>
    <row r="375">
      <c r="A375" s="346" t="s">
        <v>6998</v>
      </c>
      <c r="B375" s="347" t="s">
        <v>275</v>
      </c>
      <c r="C375" s="348" t="s">
        <v>269</v>
      </c>
      <c r="D375" s="347"/>
      <c r="E375" s="348" t="s">
        <v>274</v>
      </c>
      <c r="F375" s="348"/>
      <c r="G375" s="348"/>
    </row>
    <row r="376">
      <c r="A376" s="341" t="s">
        <v>6999</v>
      </c>
      <c r="B376" s="327" t="s">
        <v>275</v>
      </c>
      <c r="C376" s="344" t="s">
        <v>269</v>
      </c>
      <c r="D376" s="327"/>
      <c r="E376" s="344" t="s">
        <v>274</v>
      </c>
      <c r="F376" s="344"/>
      <c r="G376" s="344"/>
    </row>
    <row r="377">
      <c r="A377" s="346" t="s">
        <v>7000</v>
      </c>
      <c r="B377" s="347" t="s">
        <v>279</v>
      </c>
      <c r="C377" s="348" t="s">
        <v>269</v>
      </c>
      <c r="D377" s="347"/>
      <c r="E377" s="348" t="s">
        <v>278</v>
      </c>
      <c r="F377" s="348"/>
      <c r="G377" s="348"/>
    </row>
    <row r="378">
      <c r="A378" s="341" t="s">
        <v>7001</v>
      </c>
      <c r="B378" s="327" t="s">
        <v>281</v>
      </c>
      <c r="C378" s="344" t="s">
        <v>269</v>
      </c>
      <c r="D378" s="327"/>
      <c r="E378" s="344" t="s">
        <v>280</v>
      </c>
      <c r="F378" s="344"/>
      <c r="G378" s="344"/>
    </row>
    <row r="379">
      <c r="A379" s="346" t="s">
        <v>7002</v>
      </c>
      <c r="B379" s="347" t="s">
        <v>2018</v>
      </c>
      <c r="C379" s="348" t="s">
        <v>252</v>
      </c>
      <c r="D379" s="347"/>
      <c r="E379" s="348" t="s">
        <v>2619</v>
      </c>
      <c r="F379" s="348"/>
      <c r="G379" s="348"/>
    </row>
    <row r="380">
      <c r="A380" s="341" t="s">
        <v>7003</v>
      </c>
      <c r="B380" s="327" t="s">
        <v>2018</v>
      </c>
      <c r="C380" s="344" t="s">
        <v>252</v>
      </c>
      <c r="D380" s="327"/>
      <c r="E380" s="344" t="s">
        <v>2619</v>
      </c>
      <c r="F380" s="344"/>
      <c r="G380" s="344"/>
    </row>
    <row r="381">
      <c r="A381" s="346" t="s">
        <v>812</v>
      </c>
      <c r="B381" s="347" t="s">
        <v>2055</v>
      </c>
      <c r="C381" s="348" t="s">
        <v>252</v>
      </c>
      <c r="D381" s="347"/>
      <c r="E381" s="348" t="s">
        <v>6748</v>
      </c>
      <c r="F381" s="348"/>
      <c r="G381" s="348"/>
    </row>
    <row r="382">
      <c r="A382" s="341" t="s">
        <v>7004</v>
      </c>
      <c r="B382" s="327" t="s">
        <v>2055</v>
      </c>
      <c r="C382" s="344" t="s">
        <v>252</v>
      </c>
      <c r="D382" s="327"/>
      <c r="E382" s="344" t="s">
        <v>6748</v>
      </c>
      <c r="F382" s="344"/>
      <c r="G382" s="344"/>
    </row>
    <row r="383">
      <c r="A383" s="346" t="s">
        <v>7005</v>
      </c>
      <c r="B383" s="347" t="s">
        <v>2030</v>
      </c>
      <c r="C383" s="348" t="s">
        <v>252</v>
      </c>
      <c r="D383" s="347"/>
      <c r="E383" s="348" t="s">
        <v>6798</v>
      </c>
      <c r="F383" s="348"/>
      <c r="G383" s="348"/>
    </row>
    <row r="384">
      <c r="A384" s="341" t="s">
        <v>7006</v>
      </c>
      <c r="B384" s="327" t="s">
        <v>262</v>
      </c>
      <c r="C384" s="344" t="s">
        <v>2681</v>
      </c>
      <c r="D384" s="327"/>
      <c r="E384" s="344" t="s">
        <v>6906</v>
      </c>
      <c r="F384" s="344"/>
      <c r="G384" s="344"/>
    </row>
    <row r="385">
      <c r="A385" s="346" t="s">
        <v>822</v>
      </c>
      <c r="B385" s="347" t="s">
        <v>389</v>
      </c>
      <c r="C385" s="348" t="s">
        <v>252</v>
      </c>
      <c r="D385" s="347"/>
      <c r="E385" s="348" t="s">
        <v>2699</v>
      </c>
      <c r="F385" s="348"/>
      <c r="G385" s="348"/>
    </row>
    <row r="386">
      <c r="A386" s="341" t="s">
        <v>7007</v>
      </c>
      <c r="B386" s="327" t="s">
        <v>389</v>
      </c>
      <c r="C386" s="344" t="s">
        <v>252</v>
      </c>
      <c r="D386" s="327"/>
      <c r="E386" s="344" t="s">
        <v>2699</v>
      </c>
      <c r="F386" s="344"/>
      <c r="G386" s="344"/>
    </row>
    <row r="387">
      <c r="A387" s="346" t="s">
        <v>7008</v>
      </c>
      <c r="B387" s="347" t="s">
        <v>285</v>
      </c>
      <c r="C387" s="348" t="s">
        <v>252</v>
      </c>
      <c r="D387" s="347"/>
      <c r="E387" s="348" t="s">
        <v>284</v>
      </c>
      <c r="F387" s="348"/>
      <c r="G387" s="348"/>
    </row>
    <row r="388">
      <c r="A388" s="341" t="s">
        <v>7009</v>
      </c>
      <c r="B388" s="327" t="s">
        <v>260</v>
      </c>
      <c r="C388" s="344" t="s">
        <v>252</v>
      </c>
      <c r="D388" s="327"/>
      <c r="E388" s="344" t="s">
        <v>259</v>
      </c>
      <c r="F388" s="344"/>
      <c r="G388" s="344"/>
    </row>
    <row r="389">
      <c r="A389" s="346" t="s">
        <v>7010</v>
      </c>
      <c r="B389" s="347" t="s">
        <v>260</v>
      </c>
      <c r="C389" s="348" t="s">
        <v>2613</v>
      </c>
      <c r="D389" s="347"/>
      <c r="E389" s="348" t="s">
        <v>259</v>
      </c>
      <c r="F389" s="348"/>
      <c r="G389" s="348"/>
    </row>
    <row r="390">
      <c r="A390" s="341" t="s">
        <v>7011</v>
      </c>
      <c r="B390" s="327" t="s">
        <v>260</v>
      </c>
      <c r="C390" s="344" t="s">
        <v>2613</v>
      </c>
      <c r="D390" s="327"/>
      <c r="E390" s="344" t="s">
        <v>259</v>
      </c>
      <c r="F390" s="344"/>
      <c r="G390" s="344"/>
    </row>
    <row r="391">
      <c r="A391" s="346"/>
      <c r="B391" s="347" t="s">
        <v>1997</v>
      </c>
      <c r="C391" s="348"/>
      <c r="D391" s="347"/>
      <c r="E391" s="348"/>
      <c r="F391" s="348"/>
      <c r="G391" s="348"/>
    </row>
    <row r="392">
      <c r="A392" s="341" t="s">
        <v>848</v>
      </c>
      <c r="B392" s="327" t="s">
        <v>304</v>
      </c>
      <c r="C392" s="344" t="s">
        <v>269</v>
      </c>
      <c r="D392" s="327"/>
      <c r="E392" s="344" t="s">
        <v>303</v>
      </c>
      <c r="F392" s="344"/>
      <c r="G392" s="344"/>
    </row>
    <row r="393">
      <c r="A393" s="346" t="s">
        <v>6385</v>
      </c>
      <c r="B393" s="347" t="s">
        <v>304</v>
      </c>
      <c r="C393" s="348" t="s">
        <v>269</v>
      </c>
      <c r="D393" s="347"/>
      <c r="E393" s="348" t="s">
        <v>303</v>
      </c>
      <c r="F393" s="348"/>
      <c r="G393" s="348"/>
    </row>
    <row r="394">
      <c r="A394" s="341" t="s">
        <v>5549</v>
      </c>
      <c r="B394" s="327" t="s">
        <v>304</v>
      </c>
      <c r="C394" s="344" t="s">
        <v>269</v>
      </c>
      <c r="D394" s="327"/>
      <c r="E394" s="344" t="s">
        <v>303</v>
      </c>
      <c r="F394" s="344"/>
      <c r="G394" s="344"/>
    </row>
    <row r="395">
      <c r="A395" s="346" t="s">
        <v>7012</v>
      </c>
      <c r="B395" s="347" t="s">
        <v>381</v>
      </c>
      <c r="C395" s="348" t="s">
        <v>269</v>
      </c>
      <c r="D395" s="347"/>
      <c r="E395" s="348" t="s">
        <v>380</v>
      </c>
      <c r="F395" s="348"/>
      <c r="G395" s="348"/>
    </row>
    <row r="396">
      <c r="A396" s="341" t="s">
        <v>7013</v>
      </c>
      <c r="B396" s="327" t="s">
        <v>381</v>
      </c>
      <c r="C396" s="344" t="s">
        <v>269</v>
      </c>
      <c r="D396" s="327"/>
      <c r="E396" s="344" t="s">
        <v>380</v>
      </c>
      <c r="F396" s="344"/>
      <c r="G396" s="344"/>
    </row>
    <row r="397">
      <c r="A397" s="346" t="s">
        <v>7014</v>
      </c>
      <c r="B397" s="347" t="s">
        <v>381</v>
      </c>
      <c r="C397" s="348" t="s">
        <v>269</v>
      </c>
      <c r="D397" s="347"/>
      <c r="E397" s="348" t="s">
        <v>380</v>
      </c>
      <c r="F397" s="348"/>
      <c r="G397" s="348"/>
    </row>
    <row r="398">
      <c r="A398" s="341" t="s">
        <v>1123</v>
      </c>
      <c r="B398" s="327" t="s">
        <v>383</v>
      </c>
      <c r="C398" s="344" t="s">
        <v>269</v>
      </c>
      <c r="D398" s="327"/>
      <c r="E398" s="344" t="s">
        <v>382</v>
      </c>
      <c r="F398" s="344"/>
      <c r="G398" s="344"/>
    </row>
    <row r="399">
      <c r="A399" s="346" t="s">
        <v>5821</v>
      </c>
      <c r="B399" s="347" t="s">
        <v>383</v>
      </c>
      <c r="C399" s="348" t="s">
        <v>269</v>
      </c>
      <c r="D399" s="347"/>
      <c r="E399" s="348" t="s">
        <v>382</v>
      </c>
      <c r="F399" s="348"/>
      <c r="G399" s="348"/>
    </row>
    <row r="400">
      <c r="A400" s="341" t="s">
        <v>7015</v>
      </c>
      <c r="B400" s="327" t="s">
        <v>383</v>
      </c>
      <c r="C400" s="344" t="s">
        <v>269</v>
      </c>
      <c r="D400" s="327"/>
      <c r="E400" s="344" t="s">
        <v>382</v>
      </c>
      <c r="F400" s="344"/>
      <c r="G400" s="344"/>
    </row>
    <row r="401">
      <c r="A401" s="346" t="s">
        <v>836</v>
      </c>
      <c r="B401" s="347" t="s">
        <v>385</v>
      </c>
      <c r="C401" s="348" t="s">
        <v>269</v>
      </c>
      <c r="D401" s="347"/>
      <c r="E401" s="348" t="s">
        <v>384</v>
      </c>
      <c r="F401" s="348"/>
      <c r="G401" s="348"/>
    </row>
    <row r="402">
      <c r="A402" s="341" t="s">
        <v>5543</v>
      </c>
      <c r="B402" s="327" t="s">
        <v>385</v>
      </c>
      <c r="C402" s="344" t="s">
        <v>269</v>
      </c>
      <c r="D402" s="327"/>
      <c r="E402" s="344" t="s">
        <v>384</v>
      </c>
      <c r="F402" s="344"/>
      <c r="G402" s="344"/>
    </row>
    <row r="403">
      <c r="A403" s="346" t="s">
        <v>7016</v>
      </c>
      <c r="B403" s="347" t="s">
        <v>385</v>
      </c>
      <c r="C403" s="348" t="s">
        <v>269</v>
      </c>
      <c r="D403" s="347"/>
      <c r="E403" s="348" t="s">
        <v>384</v>
      </c>
      <c r="F403" s="348"/>
      <c r="G403" s="348"/>
    </row>
    <row r="404">
      <c r="A404" s="341" t="s">
        <v>1143</v>
      </c>
      <c r="B404" s="327" t="s">
        <v>387</v>
      </c>
      <c r="C404" s="344" t="s">
        <v>252</v>
      </c>
      <c r="D404" s="327"/>
      <c r="E404" s="344" t="s">
        <v>386</v>
      </c>
      <c r="F404" s="344"/>
      <c r="G404" s="344"/>
    </row>
    <row r="405">
      <c r="A405" s="346" t="s">
        <v>5592</v>
      </c>
      <c r="B405" s="347" t="s">
        <v>387</v>
      </c>
      <c r="C405" s="348" t="s">
        <v>252</v>
      </c>
      <c r="D405" s="347"/>
      <c r="E405" s="348" t="s">
        <v>386</v>
      </c>
      <c r="F405" s="348"/>
      <c r="G405" s="348"/>
    </row>
    <row r="406">
      <c r="A406" s="341" t="s">
        <v>7017</v>
      </c>
      <c r="B406" s="327" t="s">
        <v>387</v>
      </c>
      <c r="C406" s="344" t="s">
        <v>252</v>
      </c>
      <c r="D406" s="327"/>
      <c r="E406" s="344" t="s">
        <v>386</v>
      </c>
      <c r="F406" s="344"/>
      <c r="G406" s="344"/>
    </row>
    <row r="407">
      <c r="A407" s="346" t="s">
        <v>1117</v>
      </c>
      <c r="B407" s="347" t="s">
        <v>391</v>
      </c>
      <c r="C407" s="348" t="s">
        <v>269</v>
      </c>
      <c r="D407" s="347"/>
      <c r="E407" s="348" t="s">
        <v>390</v>
      </c>
      <c r="F407" s="348"/>
      <c r="G407" s="348"/>
    </row>
    <row r="408">
      <c r="A408" s="341" t="s">
        <v>6172</v>
      </c>
      <c r="B408" s="327" t="s">
        <v>391</v>
      </c>
      <c r="C408" s="344" t="s">
        <v>269</v>
      </c>
      <c r="D408" s="327"/>
      <c r="E408" s="344" t="s">
        <v>390</v>
      </c>
      <c r="F408" s="344"/>
      <c r="G408" s="344"/>
    </row>
    <row r="409">
      <c r="A409" s="346" t="s">
        <v>6012</v>
      </c>
      <c r="B409" s="347" t="s">
        <v>391</v>
      </c>
      <c r="C409" s="348" t="s">
        <v>269</v>
      </c>
      <c r="D409" s="347"/>
      <c r="E409" s="348" t="s">
        <v>390</v>
      </c>
      <c r="F409" s="348"/>
      <c r="G409" s="348"/>
    </row>
    <row r="410">
      <c r="A410" s="341"/>
      <c r="B410" s="327" t="s">
        <v>393</v>
      </c>
      <c r="C410" s="344" t="s">
        <v>252</v>
      </c>
      <c r="D410" s="327"/>
      <c r="E410" s="344" t="s">
        <v>392</v>
      </c>
      <c r="F410" s="344"/>
      <c r="G410" s="344"/>
    </row>
    <row r="411">
      <c r="A411" s="346" t="s">
        <v>5900</v>
      </c>
      <c r="B411" s="347" t="s">
        <v>268</v>
      </c>
      <c r="C411" s="348"/>
      <c r="D411" s="347"/>
      <c r="E411" s="348"/>
      <c r="F411" s="348"/>
      <c r="G411" s="348"/>
    </row>
    <row r="412">
      <c r="A412" s="341" t="s">
        <v>356</v>
      </c>
      <c r="B412" s="327" t="s">
        <v>731</v>
      </c>
      <c r="C412" s="344" t="s">
        <v>352</v>
      </c>
      <c r="D412" s="327" t="s">
        <v>6988</v>
      </c>
      <c r="E412" s="344" t="s">
        <v>7018</v>
      </c>
      <c r="F412" s="344"/>
      <c r="G412" s="344"/>
    </row>
    <row r="413">
      <c r="A413" s="346" t="s">
        <v>347</v>
      </c>
      <c r="B413" s="347" t="s">
        <v>633</v>
      </c>
      <c r="C413" s="348" t="s">
        <v>327</v>
      </c>
      <c r="D413" s="347" t="s">
        <v>6987</v>
      </c>
      <c r="E413" s="348" t="s">
        <v>7018</v>
      </c>
      <c r="F413" s="348"/>
      <c r="G413" s="348"/>
    </row>
    <row r="414">
      <c r="A414" s="341" t="s">
        <v>595</v>
      </c>
      <c r="B414" s="327" t="s">
        <v>599</v>
      </c>
      <c r="C414" s="344" t="s">
        <v>203</v>
      </c>
      <c r="D414" s="327"/>
      <c r="E414" s="344" t="s">
        <v>2062</v>
      </c>
      <c r="F414" s="344"/>
      <c r="G414" s="344"/>
    </row>
    <row r="415">
      <c r="A415" s="346" t="s">
        <v>601</v>
      </c>
      <c r="B415" s="347" t="s">
        <v>605</v>
      </c>
      <c r="C415" s="348" t="s">
        <v>203</v>
      </c>
      <c r="D415" s="347"/>
      <c r="E415" s="348" t="s">
        <v>2063</v>
      </c>
      <c r="F415" s="348"/>
      <c r="G415" s="348"/>
    </row>
    <row r="416">
      <c r="A416" s="341" t="s">
        <v>584</v>
      </c>
      <c r="B416" s="327" t="s">
        <v>588</v>
      </c>
      <c r="C416" s="344" t="s">
        <v>203</v>
      </c>
      <c r="D416" s="327"/>
      <c r="E416" s="344" t="s">
        <v>2064</v>
      </c>
      <c r="F416" s="344"/>
      <c r="G416" s="344"/>
    </row>
    <row r="417">
      <c r="A417" s="346" t="s">
        <v>1191</v>
      </c>
      <c r="B417" s="347" t="s">
        <v>1215</v>
      </c>
      <c r="C417" s="348" t="s">
        <v>269</v>
      </c>
      <c r="D417" s="347"/>
      <c r="E417" s="348" t="s">
        <v>2066</v>
      </c>
      <c r="F417" s="348"/>
      <c r="G417" s="348"/>
    </row>
    <row r="418">
      <c r="A418" s="341" t="s">
        <v>7019</v>
      </c>
      <c r="B418" s="327" t="s">
        <v>1215</v>
      </c>
      <c r="C418" s="344" t="s">
        <v>269</v>
      </c>
      <c r="D418" s="327"/>
      <c r="E418" s="344" t="s">
        <v>2066</v>
      </c>
      <c r="F418" s="344"/>
      <c r="G418" s="344"/>
    </row>
    <row r="419">
      <c r="A419" s="346" t="s">
        <v>7020</v>
      </c>
      <c r="B419" s="347" t="s">
        <v>1215</v>
      </c>
      <c r="C419" s="348" t="s">
        <v>269</v>
      </c>
      <c r="D419" s="347"/>
      <c r="E419" s="348" t="s">
        <v>2066</v>
      </c>
      <c r="F419" s="348"/>
      <c r="G419" s="348"/>
    </row>
  </sheetData>
  <autoFilter ref="$A$1:$E$246"/>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2.63" defaultRowHeight="15.0" outlineLevelCol="1" outlineLevelRow="1"/>
  <cols>
    <col customWidth="1" min="1" max="3" width="13.13"/>
    <col customWidth="1" min="4" max="4" width="12.25"/>
    <col customWidth="1" min="5" max="6" width="15.38"/>
    <col customWidth="1" min="7" max="7" width="20.75"/>
    <col customWidth="1" min="8" max="8" width="28.13"/>
    <col customWidth="1" min="9" max="20" width="12.5" outlineLevel="1"/>
    <col customWidth="1" min="21" max="21" width="2.0" outlineLevel="1"/>
    <col customWidth="1" min="22" max="22" width="19.88"/>
    <col customWidth="1" min="23" max="23" width="8.75"/>
    <col customWidth="1" min="24" max="24" width="19.88"/>
    <col customWidth="1" min="25" max="25" width="10.5"/>
    <col customWidth="1" min="26" max="31" width="13.38"/>
    <col customWidth="1" min="32" max="43" width="13.38" outlineLevel="1"/>
    <col customWidth="1" min="44" max="45" width="13.38"/>
    <col customWidth="1" min="46" max="47" width="8.75"/>
  </cols>
  <sheetData>
    <row r="1" hidden="1">
      <c r="A1" s="357"/>
      <c r="B1" s="357"/>
      <c r="C1" s="357"/>
      <c r="D1" s="358" t="s">
        <v>1594</v>
      </c>
      <c r="E1" s="359"/>
      <c r="F1" s="359"/>
      <c r="G1" s="359"/>
      <c r="H1" s="359"/>
      <c r="I1" s="359" t="str">
        <f t="shared" ref="I1:T1" si="1">I2&amp;I3</f>
        <v>20251</v>
      </c>
      <c r="J1" s="359" t="str">
        <f t="shared" si="1"/>
        <v>20252</v>
      </c>
      <c r="K1" s="359" t="str">
        <f t="shared" si="1"/>
        <v>20253</v>
      </c>
      <c r="L1" s="359" t="str">
        <f t="shared" si="1"/>
        <v>20254</v>
      </c>
      <c r="M1" s="359" t="str">
        <f t="shared" si="1"/>
        <v>20255</v>
      </c>
      <c r="N1" s="359" t="str">
        <f t="shared" si="1"/>
        <v>20256</v>
      </c>
      <c r="O1" s="359" t="str">
        <f t="shared" si="1"/>
        <v>20257</v>
      </c>
      <c r="P1" s="359" t="str">
        <f t="shared" si="1"/>
        <v>20258</v>
      </c>
      <c r="Q1" s="359" t="str">
        <f t="shared" si="1"/>
        <v>20259</v>
      </c>
      <c r="R1" s="359" t="str">
        <f t="shared" si="1"/>
        <v>202510</v>
      </c>
      <c r="S1" s="359" t="str">
        <f t="shared" si="1"/>
        <v>202511</v>
      </c>
      <c r="T1" s="359" t="str">
        <f t="shared" si="1"/>
        <v>202512</v>
      </c>
      <c r="U1" s="357"/>
      <c r="V1" s="357"/>
      <c r="W1" s="357"/>
      <c r="Y1" s="359"/>
      <c r="Z1" s="357"/>
      <c r="AA1" s="357"/>
      <c r="AB1" s="357"/>
      <c r="AC1" s="357"/>
      <c r="AD1" s="357"/>
      <c r="AE1" s="357"/>
      <c r="AF1" s="357"/>
      <c r="AG1" s="357"/>
      <c r="AH1" s="357"/>
      <c r="AI1" s="357"/>
      <c r="AJ1" s="357"/>
      <c r="AK1" s="357"/>
      <c r="AL1" s="357"/>
      <c r="AM1" s="357"/>
      <c r="AN1" s="357"/>
      <c r="AO1" s="357"/>
      <c r="AP1" s="357"/>
      <c r="AQ1" s="357"/>
      <c r="AR1" s="357"/>
      <c r="AS1" s="357"/>
      <c r="AT1" s="357"/>
      <c r="AU1" s="357"/>
    </row>
    <row r="2">
      <c r="A2" s="357"/>
      <c r="B2" s="357"/>
      <c r="C2" s="357"/>
      <c r="D2" s="360"/>
      <c r="E2" s="357"/>
      <c r="F2" s="357"/>
      <c r="G2" s="357"/>
      <c r="H2" s="361" t="s">
        <v>1595</v>
      </c>
      <c r="I2" s="362">
        <v>2025.0</v>
      </c>
      <c r="J2" s="362">
        <v>2025.0</v>
      </c>
      <c r="K2" s="362">
        <v>2025.0</v>
      </c>
      <c r="L2" s="362">
        <v>2025.0</v>
      </c>
      <c r="M2" s="362">
        <v>2025.0</v>
      </c>
      <c r="N2" s="362">
        <v>2025.0</v>
      </c>
      <c r="O2" s="362">
        <v>2025.0</v>
      </c>
      <c r="P2" s="362">
        <v>2025.0</v>
      </c>
      <c r="Q2" s="362">
        <v>2025.0</v>
      </c>
      <c r="R2" s="362">
        <v>2025.0</v>
      </c>
      <c r="S2" s="362">
        <v>2025.0</v>
      </c>
      <c r="T2" s="362">
        <v>2025.0</v>
      </c>
      <c r="U2" s="357"/>
      <c r="V2" s="357"/>
      <c r="W2" s="357"/>
      <c r="Y2" s="357"/>
      <c r="Z2" s="357"/>
      <c r="AA2" s="357"/>
      <c r="AB2" s="357"/>
      <c r="AC2" s="357"/>
      <c r="AD2" s="357"/>
      <c r="AE2" s="357"/>
      <c r="AF2" s="357"/>
      <c r="AG2" s="357"/>
      <c r="AH2" s="357"/>
      <c r="AI2" s="357"/>
      <c r="AJ2" s="357"/>
      <c r="AK2" s="357"/>
      <c r="AL2" s="357"/>
      <c r="AM2" s="357"/>
      <c r="AN2" s="357"/>
      <c r="AO2" s="357"/>
      <c r="AP2" s="357"/>
      <c r="AQ2" s="357"/>
      <c r="AR2" s="357"/>
      <c r="AS2" s="357"/>
      <c r="AT2" s="357"/>
      <c r="AU2" s="357"/>
    </row>
    <row r="3">
      <c r="A3" s="357"/>
      <c r="B3" s="357"/>
      <c r="C3" s="357"/>
      <c r="D3" s="360"/>
      <c r="E3" s="357"/>
      <c r="F3" s="357"/>
      <c r="G3" s="357"/>
      <c r="H3" s="361" t="s">
        <v>1596</v>
      </c>
      <c r="I3" s="362">
        <v>1.0</v>
      </c>
      <c r="J3" s="362">
        <v>2.0</v>
      </c>
      <c r="K3" s="362">
        <v>3.0</v>
      </c>
      <c r="L3" s="362">
        <v>4.0</v>
      </c>
      <c r="M3" s="362">
        <v>5.0</v>
      </c>
      <c r="N3" s="362">
        <v>6.0</v>
      </c>
      <c r="O3" s="362">
        <v>7.0</v>
      </c>
      <c r="P3" s="362">
        <v>8.0</v>
      </c>
      <c r="Q3" s="362">
        <v>9.0</v>
      </c>
      <c r="R3" s="362">
        <v>10.0</v>
      </c>
      <c r="S3" s="362">
        <v>11.0</v>
      </c>
      <c r="T3" s="362">
        <v>12.0</v>
      </c>
      <c r="U3" s="357"/>
      <c r="V3" s="357"/>
      <c r="W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row>
    <row r="4">
      <c r="A4" s="357"/>
      <c r="B4" s="357"/>
      <c r="C4" s="357"/>
      <c r="D4" s="360"/>
      <c r="E4" s="357"/>
      <c r="F4" s="357"/>
      <c r="G4" s="357"/>
      <c r="H4" s="363" t="s">
        <v>1597</v>
      </c>
      <c r="I4" s="362">
        <v>1.0</v>
      </c>
      <c r="J4" s="362">
        <v>1.0</v>
      </c>
      <c r="K4" s="362">
        <v>1.0</v>
      </c>
      <c r="L4" s="362">
        <v>2.0</v>
      </c>
      <c r="M4" s="362">
        <v>2.0</v>
      </c>
      <c r="N4" s="362">
        <v>2.0</v>
      </c>
      <c r="O4" s="362">
        <v>3.0</v>
      </c>
      <c r="P4" s="362">
        <v>3.0</v>
      </c>
      <c r="Q4" s="362">
        <v>3.0</v>
      </c>
      <c r="R4" s="362">
        <v>4.0</v>
      </c>
      <c r="S4" s="362">
        <v>4.0</v>
      </c>
      <c r="T4" s="362">
        <v>4.0</v>
      </c>
      <c r="U4" s="357"/>
      <c r="V4" s="357"/>
      <c r="W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row>
    <row r="5">
      <c r="A5" s="364"/>
      <c r="B5" s="364">
        <v>0.53</v>
      </c>
      <c r="D5" s="360"/>
      <c r="E5" s="357"/>
      <c r="F5" s="357"/>
      <c r="G5" s="357"/>
      <c r="H5" s="363" t="s">
        <v>1598</v>
      </c>
      <c r="I5" s="362" t="s">
        <v>1598</v>
      </c>
      <c r="J5" s="362" t="s">
        <v>1598</v>
      </c>
      <c r="K5" s="362" t="s">
        <v>1598</v>
      </c>
      <c r="L5" s="362" t="s">
        <v>1598</v>
      </c>
      <c r="M5" s="362" t="s">
        <v>1598</v>
      </c>
      <c r="N5" s="362" t="s">
        <v>1598</v>
      </c>
      <c r="O5" s="362" t="s">
        <v>1598</v>
      </c>
      <c r="P5" s="362" t="s">
        <v>1598</v>
      </c>
      <c r="Q5" s="362" t="s">
        <v>1598</v>
      </c>
      <c r="R5" s="362" t="s">
        <v>1598</v>
      </c>
      <c r="S5" s="362"/>
      <c r="T5" s="362"/>
      <c r="U5" s="357"/>
      <c r="V5" s="357"/>
      <c r="W5" s="357"/>
      <c r="Y5" s="357"/>
      <c r="Z5" s="357"/>
      <c r="AA5" s="357"/>
      <c r="AB5" s="357"/>
      <c r="AC5" s="357"/>
      <c r="AD5" s="357"/>
      <c r="AE5" s="357"/>
      <c r="AF5" s="357"/>
      <c r="AG5" s="357"/>
      <c r="AH5" s="357"/>
      <c r="AI5" s="357"/>
      <c r="AJ5" s="357"/>
      <c r="AK5" s="357"/>
      <c r="AL5" s="357"/>
      <c r="AM5" s="357"/>
      <c r="AN5" s="357"/>
      <c r="AO5" s="357"/>
      <c r="AP5" s="357"/>
      <c r="AQ5" s="357"/>
      <c r="AR5" s="357"/>
      <c r="AS5" s="357"/>
      <c r="AT5" s="357"/>
      <c r="AU5" s="357"/>
    </row>
    <row r="6" ht="24.0" customHeight="1">
      <c r="A6" s="365"/>
      <c r="B6" s="365" t="s">
        <v>7021</v>
      </c>
      <c r="D6" s="366"/>
      <c r="E6" s="367" t="s">
        <v>1599</v>
      </c>
      <c r="F6" s="367" t="s">
        <v>1600</v>
      </c>
      <c r="G6" s="368" t="s">
        <v>1601</v>
      </c>
      <c r="H6" s="369" t="s">
        <v>1602</v>
      </c>
      <c r="I6" s="370" t="s">
        <v>1603</v>
      </c>
      <c r="J6" s="370" t="s">
        <v>1604</v>
      </c>
      <c r="K6" s="370" t="s">
        <v>1605</v>
      </c>
      <c r="L6" s="370" t="s">
        <v>1606</v>
      </c>
      <c r="M6" s="370" t="s">
        <v>1607</v>
      </c>
      <c r="N6" s="370" t="s">
        <v>1608</v>
      </c>
      <c r="O6" s="370" t="s">
        <v>1609</v>
      </c>
      <c r="P6" s="370" t="s">
        <v>1610</v>
      </c>
      <c r="Q6" s="370" t="s">
        <v>1611</v>
      </c>
      <c r="R6" s="370" t="s">
        <v>1612</v>
      </c>
      <c r="S6" s="370" t="s">
        <v>1613</v>
      </c>
      <c r="T6" s="370" t="s">
        <v>1614</v>
      </c>
      <c r="U6" s="371"/>
      <c r="V6" s="372" t="s">
        <v>7022</v>
      </c>
      <c r="W6" s="371"/>
      <c r="X6" s="373" t="s">
        <v>7023</v>
      </c>
      <c r="Y6" s="357"/>
      <c r="Z6" s="357"/>
      <c r="AA6" s="371"/>
      <c r="AB6" s="367" t="s">
        <v>1599</v>
      </c>
      <c r="AC6" s="367" t="s">
        <v>1600</v>
      </c>
      <c r="AD6" s="368" t="s">
        <v>1601</v>
      </c>
      <c r="AE6" s="369" t="s">
        <v>1602</v>
      </c>
      <c r="AF6" s="370" t="s">
        <v>1603</v>
      </c>
      <c r="AG6" s="370" t="s">
        <v>1604</v>
      </c>
      <c r="AH6" s="370" t="s">
        <v>1605</v>
      </c>
      <c r="AI6" s="370" t="s">
        <v>1606</v>
      </c>
      <c r="AJ6" s="370" t="s">
        <v>1607</v>
      </c>
      <c r="AK6" s="370" t="s">
        <v>1608</v>
      </c>
      <c r="AL6" s="370" t="s">
        <v>1609</v>
      </c>
      <c r="AM6" s="370" t="s">
        <v>1610</v>
      </c>
      <c r="AN6" s="370" t="s">
        <v>1611</v>
      </c>
      <c r="AO6" s="370" t="s">
        <v>1612</v>
      </c>
      <c r="AP6" s="370" t="s">
        <v>1613</v>
      </c>
      <c r="AQ6" s="370" t="s">
        <v>1614</v>
      </c>
      <c r="AR6" s="371"/>
      <c r="AS6" s="365" t="s">
        <v>1615</v>
      </c>
      <c r="AT6" s="371"/>
      <c r="AU6" s="371"/>
    </row>
    <row r="7">
      <c r="A7" s="357"/>
      <c r="B7" s="357"/>
      <c r="D7" s="360"/>
      <c r="E7" s="357"/>
      <c r="F7" s="357"/>
      <c r="G7" s="357"/>
      <c r="H7" s="357"/>
      <c r="I7" s="357"/>
      <c r="J7" s="357"/>
      <c r="K7" s="357"/>
      <c r="L7" s="357"/>
      <c r="M7" s="357"/>
      <c r="N7" s="357"/>
      <c r="O7" s="357"/>
      <c r="P7" s="357"/>
      <c r="Q7" s="357"/>
      <c r="R7" s="357"/>
      <c r="S7" s="357"/>
      <c r="T7" s="357"/>
      <c r="U7" s="357"/>
      <c r="V7" s="357"/>
      <c r="W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row>
    <row r="8">
      <c r="A8" s="374">
        <f t="shared" ref="A8:A52" si="3">1+B8</f>
        <v>1.53</v>
      </c>
      <c r="B8" s="364">
        <v>0.53</v>
      </c>
      <c r="D8" s="360" t="str">
        <f t="shared" ref="D8:D57" si="4">G8&amp;H8</f>
        <v>OnlineOrdini</v>
      </c>
      <c r="E8" s="375" t="s">
        <v>1616</v>
      </c>
      <c r="F8" s="375" t="s">
        <v>1617</v>
      </c>
      <c r="G8" s="376" t="s">
        <v>1618</v>
      </c>
      <c r="H8" s="375" t="s">
        <v>1619</v>
      </c>
      <c r="I8" s="377">
        <f>SUMIFS('DB Shopify'!$CE:$CE,'DB Shopify'!$CC:$CC,'BUDGET 2026 DRAFT1'!I$2,'DB Shopify'!$CD:$CD,'BUDGET 2026 DRAFT1'!I$3)</f>
        <v>0</v>
      </c>
      <c r="J8" s="377">
        <f>SUMIFS('DB Shopify'!$CE:$CE,'DB Shopify'!$CC:$CC,'BUDGET 2026 DRAFT1'!J$2,'DB Shopify'!$CD:$CD,'BUDGET 2026 DRAFT1'!J$3)</f>
        <v>0</v>
      </c>
      <c r="K8" s="377">
        <f>SUMIFS('DB Shopify'!$CE:$CE,'DB Shopify'!$CC:$CC,'BUDGET 2026 DRAFT1'!K$2,'DB Shopify'!$CD:$CD,'BUDGET 2026 DRAFT1'!K$3)</f>
        <v>0</v>
      </c>
      <c r="L8" s="377">
        <f>SUMIFS('DB Shopify'!$CE:$CE,'DB Shopify'!$CC:$CC,'BUDGET 2026 DRAFT1'!L$2,'DB Shopify'!$CD:$CD,'BUDGET 2026 DRAFT1'!L$3)</f>
        <v>0</v>
      </c>
      <c r="M8" s="377">
        <f>SUMIFS('DB Shopify'!$CE:$CE,'DB Shopify'!$CC:$CC,'BUDGET 2026 DRAFT1'!M$2,'DB Shopify'!$CD:$CD,'BUDGET 2026 DRAFT1'!M$3)</f>
        <v>0</v>
      </c>
      <c r="N8" s="377">
        <f>SUMIFS('DB Shopify'!$CE:$CE,'DB Shopify'!$CC:$CC,'BUDGET 2026 DRAFT1'!N$2,'DB Shopify'!$CD:$CD,'BUDGET 2026 DRAFT1'!N$3)</f>
        <v>0</v>
      </c>
      <c r="O8" s="377">
        <f>SUMIFS('DB Shopify'!$CE:$CE,'DB Shopify'!$CC:$CC,'BUDGET 2026 DRAFT1'!O$2,'DB Shopify'!$CD:$CD,'BUDGET 2026 DRAFT1'!O$3)</f>
        <v>0</v>
      </c>
      <c r="P8" s="377">
        <f>SUMIFS('DB Shopify'!$CE:$CE,'DB Shopify'!$CC:$CC,'BUDGET 2026 DRAFT1'!P$2,'DB Shopify'!$CD:$CD,'BUDGET 2026 DRAFT1'!P$3)</f>
        <v>0</v>
      </c>
      <c r="Q8" s="377">
        <f>SUMIFS('DB Shopify'!$CE:$CE,'DB Shopify'!$CC:$CC,'BUDGET 2026 DRAFT1'!Q$2,'DB Shopify'!$CD:$CD,'BUDGET 2026 DRAFT1'!Q$3)</f>
        <v>0</v>
      </c>
      <c r="R8" s="377">
        <f>SUMIFS('DB Shopify'!$CE:$CE,'DB Shopify'!$CC:$CC,'BUDGET 2026 DRAFT1'!R$2,'DB Shopify'!$CD:$CD,'BUDGET 2026 DRAFT1'!R$3)</f>
        <v>0</v>
      </c>
      <c r="S8" s="377">
        <f>SUMIFS('DB Shopify'!$CE:$CE,'DB Shopify'!$CC:$CC,'BUDGET 2026 DRAFT1'!S$2,'DB Shopify'!$CD:$CD,'BUDGET 2026 DRAFT1'!S$3)</f>
        <v>0</v>
      </c>
      <c r="T8" s="377">
        <f>SUMIFS('DB Shopify'!$CE:$CE,'DB Shopify'!$CC:$CC,'BUDGET 2026 DRAFT1'!T$2,'DB Shopify'!$CD:$CD,'BUDGET 2026 DRAFT1'!T$3)</f>
        <v>0</v>
      </c>
      <c r="U8" s="357"/>
      <c r="V8" s="377">
        <f>SUM(I8:T8)</f>
        <v>0</v>
      </c>
      <c r="W8" s="357"/>
      <c r="X8" s="378">
        <v>625.0</v>
      </c>
      <c r="Y8" s="357"/>
      <c r="Z8" s="379"/>
      <c r="AA8" s="357"/>
      <c r="AB8" s="375" t="s">
        <v>1616</v>
      </c>
      <c r="AC8" s="375" t="s">
        <v>1617</v>
      </c>
      <c r="AD8" s="376" t="s">
        <v>1618</v>
      </c>
      <c r="AE8" s="375" t="s">
        <v>1619</v>
      </c>
      <c r="AF8" s="377">
        <f t="shared" ref="AF8:AQ8" si="2">I8*$A8</f>
        <v>0</v>
      </c>
      <c r="AG8" s="377">
        <f t="shared" si="2"/>
        <v>0</v>
      </c>
      <c r="AH8" s="377">
        <f t="shared" si="2"/>
        <v>0</v>
      </c>
      <c r="AI8" s="377">
        <f t="shared" si="2"/>
        <v>0</v>
      </c>
      <c r="AJ8" s="377">
        <f t="shared" si="2"/>
        <v>0</v>
      </c>
      <c r="AK8" s="377">
        <f t="shared" si="2"/>
        <v>0</v>
      </c>
      <c r="AL8" s="377">
        <f t="shared" si="2"/>
        <v>0</v>
      </c>
      <c r="AM8" s="377">
        <f t="shared" si="2"/>
        <v>0</v>
      </c>
      <c r="AN8" s="377">
        <f t="shared" si="2"/>
        <v>0</v>
      </c>
      <c r="AO8" s="377">
        <f t="shared" si="2"/>
        <v>0</v>
      </c>
      <c r="AP8" s="377">
        <f t="shared" si="2"/>
        <v>0</v>
      </c>
      <c r="AQ8" s="377">
        <f t="shared" si="2"/>
        <v>0</v>
      </c>
      <c r="AR8" s="357"/>
      <c r="AS8" s="377">
        <f>SUM(AF8:AQ8)</f>
        <v>0</v>
      </c>
      <c r="AT8" s="357"/>
      <c r="AU8" s="357"/>
    </row>
    <row r="9" outlineLevel="1">
      <c r="A9" s="374">
        <f t="shared" si="3"/>
        <v>1</v>
      </c>
      <c r="B9" s="364">
        <v>0.0</v>
      </c>
      <c r="D9" s="360" t="str">
        <f t="shared" si="4"/>
        <v>OnlinePezzi/Ordine</v>
      </c>
      <c r="E9" s="380"/>
      <c r="F9" s="380"/>
      <c r="G9" s="376" t="s">
        <v>1618</v>
      </c>
      <c r="H9" s="381" t="s">
        <v>1620</v>
      </c>
      <c r="I9" s="382" t="str">
        <f t="shared" ref="I9:T9" si="5">I10/I8</f>
        <v>#DIV/0!</v>
      </c>
      <c r="J9" s="382" t="str">
        <f t="shared" si="5"/>
        <v>#DIV/0!</v>
      </c>
      <c r="K9" s="382" t="str">
        <f t="shared" si="5"/>
        <v>#DIV/0!</v>
      </c>
      <c r="L9" s="382" t="str">
        <f t="shared" si="5"/>
        <v>#DIV/0!</v>
      </c>
      <c r="M9" s="382" t="str">
        <f t="shared" si="5"/>
        <v>#DIV/0!</v>
      </c>
      <c r="N9" s="382" t="str">
        <f t="shared" si="5"/>
        <v>#DIV/0!</v>
      </c>
      <c r="O9" s="382" t="str">
        <f t="shared" si="5"/>
        <v>#DIV/0!</v>
      </c>
      <c r="P9" s="382" t="str">
        <f t="shared" si="5"/>
        <v>#DIV/0!</v>
      </c>
      <c r="Q9" s="382" t="str">
        <f t="shared" si="5"/>
        <v>#DIV/0!</v>
      </c>
      <c r="R9" s="382" t="str">
        <f t="shared" si="5"/>
        <v>#DIV/0!</v>
      </c>
      <c r="S9" s="375" t="str">
        <f t="shared" si="5"/>
        <v>#DIV/0!</v>
      </c>
      <c r="T9" s="375" t="str">
        <f t="shared" si="5"/>
        <v>#DIV/0!</v>
      </c>
      <c r="U9" s="357"/>
      <c r="V9" s="383" t="str">
        <f>V10/V8</f>
        <v>#DIV/0!</v>
      </c>
      <c r="W9" s="357"/>
      <c r="X9" s="384">
        <f>X10/X8</f>
        <v>1.0192</v>
      </c>
      <c r="Y9" s="357"/>
      <c r="Z9" s="357"/>
      <c r="AA9" s="357"/>
      <c r="AB9" s="380"/>
      <c r="AC9" s="380"/>
      <c r="AD9" s="376" t="s">
        <v>1618</v>
      </c>
      <c r="AE9" s="381" t="s">
        <v>1620</v>
      </c>
      <c r="AF9" s="382" t="str">
        <f t="shared" ref="AF9:AQ9" si="6">AF10/AF8</f>
        <v>#DIV/0!</v>
      </c>
      <c r="AG9" s="382" t="str">
        <f t="shared" si="6"/>
        <v>#DIV/0!</v>
      </c>
      <c r="AH9" s="382" t="str">
        <f t="shared" si="6"/>
        <v>#DIV/0!</v>
      </c>
      <c r="AI9" s="382" t="str">
        <f t="shared" si="6"/>
        <v>#DIV/0!</v>
      </c>
      <c r="AJ9" s="382" t="str">
        <f t="shared" si="6"/>
        <v>#DIV/0!</v>
      </c>
      <c r="AK9" s="382" t="str">
        <f t="shared" si="6"/>
        <v>#DIV/0!</v>
      </c>
      <c r="AL9" s="382" t="str">
        <f t="shared" si="6"/>
        <v>#DIV/0!</v>
      </c>
      <c r="AM9" s="382" t="str">
        <f t="shared" si="6"/>
        <v>#DIV/0!</v>
      </c>
      <c r="AN9" s="382" t="str">
        <f t="shared" si="6"/>
        <v>#DIV/0!</v>
      </c>
      <c r="AO9" s="382" t="str">
        <f t="shared" si="6"/>
        <v>#DIV/0!</v>
      </c>
      <c r="AP9" s="375" t="str">
        <f t="shared" si="6"/>
        <v>#DIV/0!</v>
      </c>
      <c r="AQ9" s="375" t="str">
        <f t="shared" si="6"/>
        <v>#DIV/0!</v>
      </c>
      <c r="AR9" s="357"/>
      <c r="AS9" s="383" t="str">
        <f>AS10/AS8</f>
        <v>#DIV/0!</v>
      </c>
      <c r="AT9" s="357"/>
      <c r="AU9" s="357"/>
    </row>
    <row r="10" outlineLevel="1">
      <c r="A10" s="374">
        <f t="shared" si="3"/>
        <v>1.53</v>
      </c>
      <c r="B10" s="364">
        <v>0.53</v>
      </c>
      <c r="D10" s="360" t="str">
        <f t="shared" si="4"/>
        <v>OnlinePezzi</v>
      </c>
      <c r="E10" s="380"/>
      <c r="F10" s="380"/>
      <c r="G10" s="376" t="s">
        <v>1618</v>
      </c>
      <c r="H10" s="381" t="s">
        <v>1621</v>
      </c>
      <c r="I10" s="377">
        <f>SUMIFS('DB Shopify'!$CF:$CF,'DB Shopify'!$CC:$CC,'BUDGET 2026 DRAFT1'!I$2,'DB Shopify'!$CD:$CD,'BUDGET 2026 DRAFT1'!I$3)</f>
        <v>0</v>
      </c>
      <c r="J10" s="377">
        <f>SUMIFS('DB Shopify'!$CF:$CF,'DB Shopify'!$CC:$CC,'BUDGET 2026 DRAFT1'!J$2,'DB Shopify'!$CD:$CD,'BUDGET 2026 DRAFT1'!J$3)</f>
        <v>0</v>
      </c>
      <c r="K10" s="377">
        <f>SUMIFS('DB Shopify'!$CF:$CF,'DB Shopify'!$CC:$CC,'BUDGET 2026 DRAFT1'!K$2,'DB Shopify'!$CD:$CD,'BUDGET 2026 DRAFT1'!K$3)</f>
        <v>0</v>
      </c>
      <c r="L10" s="377">
        <f>SUMIFS('DB Shopify'!$CF:$CF,'DB Shopify'!$CC:$CC,'BUDGET 2026 DRAFT1'!L$2,'DB Shopify'!$CD:$CD,'BUDGET 2026 DRAFT1'!L$3)</f>
        <v>0</v>
      </c>
      <c r="M10" s="377">
        <f>SUMIFS('DB Shopify'!$CF:$CF,'DB Shopify'!$CC:$CC,'BUDGET 2026 DRAFT1'!M$2,'DB Shopify'!$CD:$CD,'BUDGET 2026 DRAFT1'!M$3)</f>
        <v>0</v>
      </c>
      <c r="N10" s="377">
        <f>SUMIFS('DB Shopify'!$CF:$CF,'DB Shopify'!$CC:$CC,'BUDGET 2026 DRAFT1'!N$2,'DB Shopify'!$CD:$CD,'BUDGET 2026 DRAFT1'!N$3)</f>
        <v>0</v>
      </c>
      <c r="O10" s="377">
        <f>SUMIFS('DB Shopify'!$CF:$CF,'DB Shopify'!$CC:$CC,'BUDGET 2026 DRAFT1'!O$2,'DB Shopify'!$CD:$CD,'BUDGET 2026 DRAFT1'!O$3)</f>
        <v>0</v>
      </c>
      <c r="P10" s="377">
        <f>SUMIFS('DB Shopify'!$CF:$CF,'DB Shopify'!$CC:$CC,'BUDGET 2026 DRAFT1'!P$2,'DB Shopify'!$CD:$CD,'BUDGET 2026 DRAFT1'!P$3)</f>
        <v>0</v>
      </c>
      <c r="Q10" s="377">
        <f>SUMIFS('DB Shopify'!$CF:$CF,'DB Shopify'!$CC:$CC,'BUDGET 2026 DRAFT1'!Q$2,'DB Shopify'!$CD:$CD,'BUDGET 2026 DRAFT1'!Q$3)</f>
        <v>0</v>
      </c>
      <c r="R10" s="377">
        <f>SUMIFS('DB Shopify'!$CF:$CF,'DB Shopify'!$CC:$CC,'BUDGET 2026 DRAFT1'!R$2,'DB Shopify'!$CD:$CD,'BUDGET 2026 DRAFT1'!R$3)</f>
        <v>0</v>
      </c>
      <c r="S10" s="377">
        <f>SUMIFS('DB Shopify'!$CF:$CF,'DB Shopify'!$CC:$CC,'BUDGET 2026 DRAFT1'!S$2,'DB Shopify'!$CD:$CD,'BUDGET 2026 DRAFT1'!S$3)</f>
        <v>0</v>
      </c>
      <c r="T10" s="377">
        <f>SUMIFS('DB Shopify'!$CF:$CF,'DB Shopify'!$CC:$CC,'BUDGET 2026 DRAFT1'!T$2,'DB Shopify'!$CD:$CD,'BUDGET 2026 DRAFT1'!T$3)</f>
        <v>0</v>
      </c>
      <c r="U10" s="357"/>
      <c r="V10" s="377">
        <f>SUM(I10:T10)</f>
        <v>0</v>
      </c>
      <c r="W10" s="357"/>
      <c r="X10" s="378">
        <v>637.0</v>
      </c>
      <c r="Y10" s="357"/>
      <c r="Z10" s="357"/>
      <c r="AA10" s="357"/>
      <c r="AB10" s="380"/>
      <c r="AC10" s="380"/>
      <c r="AD10" s="376" t="s">
        <v>1618</v>
      </c>
      <c r="AE10" s="381" t="s">
        <v>1621</v>
      </c>
      <c r="AF10" s="377">
        <f t="shared" ref="AF10:AQ10" si="7">I10*$A10</f>
        <v>0</v>
      </c>
      <c r="AG10" s="377">
        <f t="shared" si="7"/>
        <v>0</v>
      </c>
      <c r="AH10" s="377">
        <f t="shared" si="7"/>
        <v>0</v>
      </c>
      <c r="AI10" s="377">
        <f t="shared" si="7"/>
        <v>0</v>
      </c>
      <c r="AJ10" s="377">
        <f t="shared" si="7"/>
        <v>0</v>
      </c>
      <c r="AK10" s="377">
        <f t="shared" si="7"/>
        <v>0</v>
      </c>
      <c r="AL10" s="377">
        <f t="shared" si="7"/>
        <v>0</v>
      </c>
      <c r="AM10" s="377">
        <f t="shared" si="7"/>
        <v>0</v>
      </c>
      <c r="AN10" s="377">
        <f t="shared" si="7"/>
        <v>0</v>
      </c>
      <c r="AO10" s="377">
        <f t="shared" si="7"/>
        <v>0</v>
      </c>
      <c r="AP10" s="377">
        <f t="shared" si="7"/>
        <v>0</v>
      </c>
      <c r="AQ10" s="377">
        <f t="shared" si="7"/>
        <v>0</v>
      </c>
      <c r="AR10" s="357"/>
      <c r="AS10" s="377">
        <f>SUM(AF10:AQ10)</f>
        <v>0</v>
      </c>
      <c r="AT10" s="357"/>
      <c r="AU10" s="357"/>
    </row>
    <row r="11">
      <c r="A11" s="374">
        <f t="shared" si="3"/>
        <v>1</v>
      </c>
      <c r="B11" s="364">
        <v>0.0</v>
      </c>
      <c r="D11" s="360" t="str">
        <f t="shared" si="4"/>
        <v>OnlineCarrello medio</v>
      </c>
      <c r="E11" s="375" t="s">
        <v>1616</v>
      </c>
      <c r="F11" s="375" t="s">
        <v>1617</v>
      </c>
      <c r="G11" s="376" t="s">
        <v>1618</v>
      </c>
      <c r="H11" s="375" t="s">
        <v>1622</v>
      </c>
      <c r="I11" s="385" t="str">
        <f t="shared" ref="I11:T11" si="8">I12/I8</f>
        <v>#DIV/0!</v>
      </c>
      <c r="J11" s="385" t="str">
        <f t="shared" si="8"/>
        <v>#DIV/0!</v>
      </c>
      <c r="K11" s="385" t="str">
        <f t="shared" si="8"/>
        <v>#DIV/0!</v>
      </c>
      <c r="L11" s="385" t="str">
        <f t="shared" si="8"/>
        <v>#DIV/0!</v>
      </c>
      <c r="M11" s="385" t="str">
        <f t="shared" si="8"/>
        <v>#DIV/0!</v>
      </c>
      <c r="N11" s="385" t="str">
        <f t="shared" si="8"/>
        <v>#DIV/0!</v>
      </c>
      <c r="O11" s="385" t="str">
        <f t="shared" si="8"/>
        <v>#DIV/0!</v>
      </c>
      <c r="P11" s="385" t="str">
        <f t="shared" si="8"/>
        <v>#DIV/0!</v>
      </c>
      <c r="Q11" s="385" t="str">
        <f t="shared" si="8"/>
        <v>#DIV/0!</v>
      </c>
      <c r="R11" s="385" t="str">
        <f t="shared" si="8"/>
        <v>#DIV/0!</v>
      </c>
      <c r="S11" s="385" t="str">
        <f t="shared" si="8"/>
        <v>#DIV/0!</v>
      </c>
      <c r="T11" s="385" t="str">
        <f t="shared" si="8"/>
        <v>#DIV/0!</v>
      </c>
      <c r="U11" s="357"/>
      <c r="V11" s="386" t="str">
        <f>V12/V8</f>
        <v>#DIV/0!</v>
      </c>
      <c r="W11" s="357"/>
      <c r="X11" s="387">
        <f>X16/X8</f>
        <v>124.69544</v>
      </c>
      <c r="Y11" s="357"/>
      <c r="Z11" s="357"/>
      <c r="AA11" s="357"/>
      <c r="AB11" s="375" t="s">
        <v>1616</v>
      </c>
      <c r="AC11" s="375" t="s">
        <v>1617</v>
      </c>
      <c r="AD11" s="376" t="s">
        <v>1618</v>
      </c>
      <c r="AE11" s="375" t="s">
        <v>1622</v>
      </c>
      <c r="AF11" s="385" t="str">
        <f t="shared" ref="AF11:AQ11" si="9">AF12/AF8</f>
        <v>#DIV/0!</v>
      </c>
      <c r="AG11" s="385" t="str">
        <f t="shared" si="9"/>
        <v>#DIV/0!</v>
      </c>
      <c r="AH11" s="385" t="str">
        <f t="shared" si="9"/>
        <v>#DIV/0!</v>
      </c>
      <c r="AI11" s="385" t="str">
        <f t="shared" si="9"/>
        <v>#DIV/0!</v>
      </c>
      <c r="AJ11" s="385" t="str">
        <f t="shared" si="9"/>
        <v>#DIV/0!</v>
      </c>
      <c r="AK11" s="385" t="str">
        <f t="shared" si="9"/>
        <v>#DIV/0!</v>
      </c>
      <c r="AL11" s="385" t="str">
        <f t="shared" si="9"/>
        <v>#DIV/0!</v>
      </c>
      <c r="AM11" s="385" t="str">
        <f t="shared" si="9"/>
        <v>#DIV/0!</v>
      </c>
      <c r="AN11" s="385" t="str">
        <f t="shared" si="9"/>
        <v>#DIV/0!</v>
      </c>
      <c r="AO11" s="385" t="str">
        <f t="shared" si="9"/>
        <v>#DIV/0!</v>
      </c>
      <c r="AP11" s="385" t="str">
        <f t="shared" si="9"/>
        <v>#DIV/0!</v>
      </c>
      <c r="AQ11" s="385" t="str">
        <f t="shared" si="9"/>
        <v>#DIV/0!</v>
      </c>
      <c r="AR11" s="357"/>
      <c r="AS11" s="386" t="str">
        <f>AS12/AS8</f>
        <v>#DIV/0!</v>
      </c>
      <c r="AT11" s="357"/>
      <c r="AU11" s="357"/>
    </row>
    <row r="12">
      <c r="A12" s="374">
        <f t="shared" si="3"/>
        <v>1.53</v>
      </c>
      <c r="B12" s="364">
        <v>0.53</v>
      </c>
      <c r="D12" s="360" t="str">
        <f t="shared" si="4"/>
        <v>OnlineVendite</v>
      </c>
      <c r="E12" s="375" t="s">
        <v>1616</v>
      </c>
      <c r="F12" s="375" t="s">
        <v>1617</v>
      </c>
      <c r="G12" s="376" t="s">
        <v>1618</v>
      </c>
      <c r="H12" s="375" t="s">
        <v>1623</v>
      </c>
      <c r="I12" s="385">
        <f>SUMIFS('DB Shopify'!$S:$S,'DB Shopify'!$CC:$CC,'BUDGET 2026 DRAFT1'!I$2,'DB Shopify'!$CD:$CD,'BUDGET 2026 DRAFT1'!I$3)</f>
        <v>0</v>
      </c>
      <c r="J12" s="385">
        <f>SUMIFS('DB Shopify'!$S:$S,'DB Shopify'!$CC:$CC,'BUDGET 2026 DRAFT1'!J$2,'DB Shopify'!$CD:$CD,'BUDGET 2026 DRAFT1'!J$3)</f>
        <v>0</v>
      </c>
      <c r="K12" s="385">
        <f>SUMIFS('DB Shopify'!$S:$S,'DB Shopify'!$CC:$CC,'BUDGET 2026 DRAFT1'!K$2,'DB Shopify'!$CD:$CD,'BUDGET 2026 DRAFT1'!K$3)</f>
        <v>0</v>
      </c>
      <c r="L12" s="385">
        <f>SUMIFS('DB Shopify'!$S:$S,'DB Shopify'!$CC:$CC,'BUDGET 2026 DRAFT1'!L$2,'DB Shopify'!$CD:$CD,'BUDGET 2026 DRAFT1'!L$3)</f>
        <v>0</v>
      </c>
      <c r="M12" s="385">
        <f>SUMIFS('DB Shopify'!$S:$S,'DB Shopify'!$CC:$CC,'BUDGET 2026 DRAFT1'!M$2,'DB Shopify'!$CD:$CD,'BUDGET 2026 DRAFT1'!M$3)</f>
        <v>0</v>
      </c>
      <c r="N12" s="385">
        <f>SUMIFS('DB Shopify'!$S:$S,'DB Shopify'!$CC:$CC,'BUDGET 2026 DRAFT1'!N$2,'DB Shopify'!$CD:$CD,'BUDGET 2026 DRAFT1'!N$3)</f>
        <v>0</v>
      </c>
      <c r="O12" s="385">
        <f>SUMIFS('DB Shopify'!$S:$S,'DB Shopify'!$CC:$CC,'BUDGET 2026 DRAFT1'!O$2,'DB Shopify'!$CD:$CD,'BUDGET 2026 DRAFT1'!O$3)</f>
        <v>0</v>
      </c>
      <c r="P12" s="385">
        <f>SUMIFS('DB Shopify'!$S:$S,'DB Shopify'!$CC:$CC,'BUDGET 2026 DRAFT1'!P$2,'DB Shopify'!$CD:$CD,'BUDGET 2026 DRAFT1'!P$3)</f>
        <v>0</v>
      </c>
      <c r="Q12" s="385">
        <f>SUMIFS('DB Shopify'!$S:$S,'DB Shopify'!$CC:$CC,'BUDGET 2026 DRAFT1'!Q$2,'DB Shopify'!$CD:$CD,'BUDGET 2026 DRAFT1'!Q$3)</f>
        <v>0</v>
      </c>
      <c r="R12" s="385">
        <f>SUMIFS('DB Shopify'!$S:$S,'DB Shopify'!$CC:$CC,'BUDGET 2026 DRAFT1'!R$2,'DB Shopify'!$CD:$CD,'BUDGET 2026 DRAFT1'!R$3)</f>
        <v>0</v>
      </c>
      <c r="S12" s="385">
        <f>SUMIFS('DB Shopify'!$S:$S,'DB Shopify'!$CC:$CC,'BUDGET 2026 DRAFT1'!S$2,'DB Shopify'!$CD:$CD,'BUDGET 2026 DRAFT1'!S$3)</f>
        <v>0</v>
      </c>
      <c r="T12" s="385">
        <f>SUMIFS('DB Shopify'!$S:$S,'DB Shopify'!$CC:$CC,'BUDGET 2026 DRAFT1'!T$2,'DB Shopify'!$CD:$CD,'BUDGET 2026 DRAFT1'!T$3)</f>
        <v>0</v>
      </c>
      <c r="U12" s="357"/>
      <c r="V12" s="385">
        <f t="shared" ref="V12:V17" si="11">SUM(I12:T12)</f>
        <v>0</v>
      </c>
      <c r="W12" s="357"/>
      <c r="X12" s="388" t="s">
        <v>7024</v>
      </c>
      <c r="Y12" s="357"/>
      <c r="Z12" s="389"/>
      <c r="AA12" s="357"/>
      <c r="AB12" s="375" t="s">
        <v>1616</v>
      </c>
      <c r="AC12" s="375" t="s">
        <v>1617</v>
      </c>
      <c r="AD12" s="376" t="s">
        <v>1618</v>
      </c>
      <c r="AE12" s="375" t="s">
        <v>1623</v>
      </c>
      <c r="AF12" s="377">
        <f t="shared" ref="AF12:AQ12" si="10">I12*$A12</f>
        <v>0</v>
      </c>
      <c r="AG12" s="377">
        <f t="shared" si="10"/>
        <v>0</v>
      </c>
      <c r="AH12" s="377">
        <f t="shared" si="10"/>
        <v>0</v>
      </c>
      <c r="AI12" s="377">
        <f t="shared" si="10"/>
        <v>0</v>
      </c>
      <c r="AJ12" s="377">
        <f t="shared" si="10"/>
        <v>0</v>
      </c>
      <c r="AK12" s="377">
        <f t="shared" si="10"/>
        <v>0</v>
      </c>
      <c r="AL12" s="377">
        <f t="shared" si="10"/>
        <v>0</v>
      </c>
      <c r="AM12" s="377">
        <f t="shared" si="10"/>
        <v>0</v>
      </c>
      <c r="AN12" s="377">
        <f t="shared" si="10"/>
        <v>0</v>
      </c>
      <c r="AO12" s="377">
        <f t="shared" si="10"/>
        <v>0</v>
      </c>
      <c r="AP12" s="377">
        <f t="shared" si="10"/>
        <v>0</v>
      </c>
      <c r="AQ12" s="377">
        <f t="shared" si="10"/>
        <v>0</v>
      </c>
      <c r="AR12" s="357"/>
      <c r="AS12" s="385">
        <f t="shared" ref="AS12:AS17" si="13">SUM(AF12:AQ12)</f>
        <v>0</v>
      </c>
      <c r="AT12" s="357"/>
      <c r="AU12" s="357"/>
    </row>
    <row r="13">
      <c r="A13" s="374">
        <f t="shared" si="3"/>
        <v>1.53</v>
      </c>
      <c r="B13" s="364">
        <v>0.53</v>
      </c>
      <c r="D13" s="360" t="str">
        <f t="shared" si="4"/>
        <v>OnlineSconti</v>
      </c>
      <c r="E13" s="375" t="s">
        <v>1616</v>
      </c>
      <c r="F13" s="375" t="s">
        <v>1617</v>
      </c>
      <c r="G13" s="376" t="s">
        <v>1618</v>
      </c>
      <c r="H13" s="375" t="s">
        <v>1624</v>
      </c>
      <c r="I13" s="385">
        <f>-SUMIFS('DB Shopify'!$CK:$CK,'DB Shopify'!$CC:$CC,'BUDGET 2026 DRAFT1'!I$2,'DB Shopify'!$CD:$CD,'BUDGET 2026 DRAFT1'!I$3)</f>
        <v>0</v>
      </c>
      <c r="J13" s="385">
        <f>-SUMIFS('DB Shopify'!$CK:$CK,'DB Shopify'!$CC:$CC,'BUDGET 2026 DRAFT1'!J$2,'DB Shopify'!$CD:$CD,'BUDGET 2026 DRAFT1'!J$3)</f>
        <v>0</v>
      </c>
      <c r="K13" s="385">
        <f>-SUMIFS('DB Shopify'!$CK:$CK,'DB Shopify'!$CC:$CC,'BUDGET 2026 DRAFT1'!K$2,'DB Shopify'!$CD:$CD,'BUDGET 2026 DRAFT1'!K$3)</f>
        <v>0</v>
      </c>
      <c r="L13" s="385">
        <f>-SUMIFS('DB Shopify'!$CK:$CK,'DB Shopify'!$CC:$CC,'BUDGET 2026 DRAFT1'!L$2,'DB Shopify'!$CD:$CD,'BUDGET 2026 DRAFT1'!L$3)</f>
        <v>0</v>
      </c>
      <c r="M13" s="385">
        <f>-SUMIFS('DB Shopify'!$CK:$CK,'DB Shopify'!$CC:$CC,'BUDGET 2026 DRAFT1'!M$2,'DB Shopify'!$CD:$CD,'BUDGET 2026 DRAFT1'!M$3)</f>
        <v>0</v>
      </c>
      <c r="N13" s="385">
        <f>-SUMIFS('DB Shopify'!$CK:$CK,'DB Shopify'!$CC:$CC,'BUDGET 2026 DRAFT1'!N$2,'DB Shopify'!$CD:$CD,'BUDGET 2026 DRAFT1'!N$3)</f>
        <v>0</v>
      </c>
      <c r="O13" s="385">
        <f>-SUMIFS('DB Shopify'!$CK:$CK,'DB Shopify'!$CC:$CC,'BUDGET 2026 DRAFT1'!O$2,'DB Shopify'!$CD:$CD,'BUDGET 2026 DRAFT1'!O$3)</f>
        <v>0</v>
      </c>
      <c r="P13" s="385">
        <f>-SUMIFS('DB Shopify'!$CK:$CK,'DB Shopify'!$CC:$CC,'BUDGET 2026 DRAFT1'!P$2,'DB Shopify'!$CD:$CD,'BUDGET 2026 DRAFT1'!P$3)</f>
        <v>0</v>
      </c>
      <c r="Q13" s="385">
        <f>-SUMIFS('DB Shopify'!$CK:$CK,'DB Shopify'!$CC:$CC,'BUDGET 2026 DRAFT1'!Q$2,'DB Shopify'!$CD:$CD,'BUDGET 2026 DRAFT1'!Q$3)</f>
        <v>0</v>
      </c>
      <c r="R13" s="385">
        <f>-SUMIFS('DB Shopify'!$CK:$CK,'DB Shopify'!$CC:$CC,'BUDGET 2026 DRAFT1'!R$2,'DB Shopify'!$CD:$CD,'BUDGET 2026 DRAFT1'!R$3)</f>
        <v>0</v>
      </c>
      <c r="S13" s="385">
        <f>-SUMIFS('DB Shopify'!$CK:$CK,'DB Shopify'!$CC:$CC,'BUDGET 2026 DRAFT1'!S$2,'DB Shopify'!$CD:$CD,'BUDGET 2026 DRAFT1'!S$3)</f>
        <v>0</v>
      </c>
      <c r="T13" s="385">
        <f>-SUMIFS('DB Shopify'!$CK:$CK,'DB Shopify'!$CC:$CC,'BUDGET 2026 DRAFT1'!T$2,'DB Shopify'!$CD:$CD,'BUDGET 2026 DRAFT1'!T$3)</f>
        <v>0</v>
      </c>
      <c r="U13" s="357"/>
      <c r="V13" s="385">
        <f t="shared" si="11"/>
        <v>0</v>
      </c>
      <c r="W13" s="357"/>
      <c r="X13" s="388" t="s">
        <v>7024</v>
      </c>
      <c r="Y13" s="357"/>
      <c r="Z13" s="357"/>
      <c r="AA13" s="357"/>
      <c r="AB13" s="375" t="s">
        <v>1616</v>
      </c>
      <c r="AC13" s="375" t="s">
        <v>1617</v>
      </c>
      <c r="AD13" s="376" t="s">
        <v>1618</v>
      </c>
      <c r="AE13" s="375" t="s">
        <v>1624</v>
      </c>
      <c r="AF13" s="377">
        <f t="shared" ref="AF13:AQ13" si="12">I13*$A13</f>
        <v>0</v>
      </c>
      <c r="AG13" s="377">
        <f t="shared" si="12"/>
        <v>0</v>
      </c>
      <c r="AH13" s="377">
        <f t="shared" si="12"/>
        <v>0</v>
      </c>
      <c r="AI13" s="377">
        <f t="shared" si="12"/>
        <v>0</v>
      </c>
      <c r="AJ13" s="377">
        <f t="shared" si="12"/>
        <v>0</v>
      </c>
      <c r="AK13" s="377">
        <f t="shared" si="12"/>
        <v>0</v>
      </c>
      <c r="AL13" s="377">
        <f t="shared" si="12"/>
        <v>0</v>
      </c>
      <c r="AM13" s="377">
        <f t="shared" si="12"/>
        <v>0</v>
      </c>
      <c r="AN13" s="377">
        <f t="shared" si="12"/>
        <v>0</v>
      </c>
      <c r="AO13" s="377">
        <f t="shared" si="12"/>
        <v>0</v>
      </c>
      <c r="AP13" s="377">
        <f t="shared" si="12"/>
        <v>0</v>
      </c>
      <c r="AQ13" s="377">
        <f t="shared" si="12"/>
        <v>0</v>
      </c>
      <c r="AR13" s="357"/>
      <c r="AS13" s="385">
        <f t="shared" si="13"/>
        <v>0</v>
      </c>
      <c r="AT13" s="357"/>
      <c r="AU13" s="357"/>
    </row>
    <row r="14">
      <c r="A14" s="374">
        <f t="shared" si="3"/>
        <v>1.53</v>
      </c>
      <c r="B14" s="364">
        <v>0.53</v>
      </c>
      <c r="D14" s="360" t="str">
        <f t="shared" si="4"/>
        <v>OnlineFree Shipping</v>
      </c>
      <c r="E14" s="375" t="s">
        <v>1616</v>
      </c>
      <c r="F14" s="375" t="s">
        <v>1617</v>
      </c>
      <c r="G14" s="376" t="s">
        <v>1618</v>
      </c>
      <c r="H14" s="375" t="s">
        <v>1625</v>
      </c>
      <c r="I14" s="385">
        <f>SUMIFS('DB Shopify'!$CG:$CG,'DB Shopify'!$CC:$CC,'BUDGET 2026 DRAFT1'!I$2,'DB Shopify'!$CD:$CD,'BUDGET 2026 DRAFT1'!I$3)</f>
        <v>0</v>
      </c>
      <c r="J14" s="385">
        <f>SUMIFS('DB Shopify'!$CG:$CG,'DB Shopify'!$CC:$CC,'BUDGET 2026 DRAFT1'!J$2,'DB Shopify'!$CD:$CD,'BUDGET 2026 DRAFT1'!J$3)</f>
        <v>0</v>
      </c>
      <c r="K14" s="385">
        <f>SUMIFS('DB Shopify'!$CG:$CG,'DB Shopify'!$CC:$CC,'BUDGET 2026 DRAFT1'!K$2,'DB Shopify'!$CD:$CD,'BUDGET 2026 DRAFT1'!K$3)</f>
        <v>0</v>
      </c>
      <c r="L14" s="385">
        <f>SUMIFS('DB Shopify'!$CG:$CG,'DB Shopify'!$CC:$CC,'BUDGET 2026 DRAFT1'!L$2,'DB Shopify'!$CD:$CD,'BUDGET 2026 DRAFT1'!L$3)</f>
        <v>0</v>
      </c>
      <c r="M14" s="385">
        <f>SUMIFS('DB Shopify'!$CG:$CG,'DB Shopify'!$CC:$CC,'BUDGET 2026 DRAFT1'!M$2,'DB Shopify'!$CD:$CD,'BUDGET 2026 DRAFT1'!M$3)</f>
        <v>0</v>
      </c>
      <c r="N14" s="385">
        <f>SUMIFS('DB Shopify'!$CG:$CG,'DB Shopify'!$CC:$CC,'BUDGET 2026 DRAFT1'!N$2,'DB Shopify'!$CD:$CD,'BUDGET 2026 DRAFT1'!N$3)</f>
        <v>0</v>
      </c>
      <c r="O14" s="385">
        <f>SUMIFS('DB Shopify'!$CG:$CG,'DB Shopify'!$CC:$CC,'BUDGET 2026 DRAFT1'!O$2,'DB Shopify'!$CD:$CD,'BUDGET 2026 DRAFT1'!O$3)</f>
        <v>0</v>
      </c>
      <c r="P14" s="385">
        <f>SUMIFS('DB Shopify'!$CG:$CG,'DB Shopify'!$CC:$CC,'BUDGET 2026 DRAFT1'!P$2,'DB Shopify'!$CD:$CD,'BUDGET 2026 DRAFT1'!P$3)</f>
        <v>0</v>
      </c>
      <c r="Q14" s="385">
        <f>SUMIFS('DB Shopify'!$CG:$CG,'DB Shopify'!$CC:$CC,'BUDGET 2026 DRAFT1'!Q$2,'DB Shopify'!$CD:$CD,'BUDGET 2026 DRAFT1'!Q$3)</f>
        <v>0</v>
      </c>
      <c r="R14" s="385">
        <f>SUMIFS('DB Shopify'!$CG:$CG,'DB Shopify'!$CC:$CC,'BUDGET 2026 DRAFT1'!R$2,'DB Shopify'!$CD:$CD,'BUDGET 2026 DRAFT1'!R$3)</f>
        <v>0</v>
      </c>
      <c r="S14" s="385">
        <f>SUMIFS('DB Shopify'!$CG:$CG,'DB Shopify'!$CC:$CC,'BUDGET 2026 DRAFT1'!S$2,'DB Shopify'!$CD:$CD,'BUDGET 2026 DRAFT1'!S$3)</f>
        <v>0</v>
      </c>
      <c r="T14" s="385">
        <f>SUMIFS('DB Shopify'!$CG:$CG,'DB Shopify'!$CC:$CC,'BUDGET 2026 DRAFT1'!T$2,'DB Shopify'!$CD:$CD,'BUDGET 2026 DRAFT1'!T$3)</f>
        <v>0</v>
      </c>
      <c r="U14" s="357"/>
      <c r="V14" s="385">
        <f t="shared" si="11"/>
        <v>0</v>
      </c>
      <c r="W14" s="357"/>
      <c r="X14" s="388" t="s">
        <v>3531</v>
      </c>
      <c r="Y14" s="357"/>
      <c r="Z14" s="357"/>
      <c r="AA14" s="357"/>
      <c r="AB14" s="375" t="s">
        <v>1616</v>
      </c>
      <c r="AC14" s="375" t="s">
        <v>1617</v>
      </c>
      <c r="AD14" s="376" t="s">
        <v>1618</v>
      </c>
      <c r="AE14" s="375" t="s">
        <v>1625</v>
      </c>
      <c r="AF14" s="377">
        <f t="shared" ref="AF14:AQ14" si="14">I14*$A14</f>
        <v>0</v>
      </c>
      <c r="AG14" s="377">
        <f t="shared" si="14"/>
        <v>0</v>
      </c>
      <c r="AH14" s="377">
        <f t="shared" si="14"/>
        <v>0</v>
      </c>
      <c r="AI14" s="377">
        <f t="shared" si="14"/>
        <v>0</v>
      </c>
      <c r="AJ14" s="377">
        <f t="shared" si="14"/>
        <v>0</v>
      </c>
      <c r="AK14" s="377">
        <f t="shared" si="14"/>
        <v>0</v>
      </c>
      <c r="AL14" s="377">
        <f t="shared" si="14"/>
        <v>0</v>
      </c>
      <c r="AM14" s="377">
        <f t="shared" si="14"/>
        <v>0</v>
      </c>
      <c r="AN14" s="377">
        <f t="shared" si="14"/>
        <v>0</v>
      </c>
      <c r="AO14" s="377">
        <f t="shared" si="14"/>
        <v>0</v>
      </c>
      <c r="AP14" s="377">
        <f t="shared" si="14"/>
        <v>0</v>
      </c>
      <c r="AQ14" s="377">
        <f t="shared" si="14"/>
        <v>0</v>
      </c>
      <c r="AR14" s="357"/>
      <c r="AS14" s="385">
        <f t="shared" si="13"/>
        <v>0</v>
      </c>
      <c r="AT14" s="357"/>
      <c r="AU14" s="357"/>
    </row>
    <row r="15">
      <c r="A15" s="374">
        <f t="shared" si="3"/>
        <v>1.53</v>
      </c>
      <c r="B15" s="364">
        <v>0.53</v>
      </c>
      <c r="D15" s="360" t="str">
        <f t="shared" si="4"/>
        <v>OnlineSpedizioni</v>
      </c>
      <c r="E15" s="375" t="s">
        <v>1616</v>
      </c>
      <c r="F15" s="375" t="s">
        <v>1617</v>
      </c>
      <c r="G15" s="376" t="s">
        <v>1618</v>
      </c>
      <c r="H15" s="375" t="s">
        <v>1626</v>
      </c>
      <c r="I15" s="385">
        <f>SUMIFS('DB Shopify'!$J:$J,'DB Shopify'!$CC:$CC,'BUDGET 2026 DRAFT1'!I$2,'DB Shopify'!$CD:$CD,'BUDGET 2026 DRAFT1'!I$3)</f>
        <v>0</v>
      </c>
      <c r="J15" s="385">
        <f>SUMIFS('DB Shopify'!$J:$J,'DB Shopify'!$CC:$CC,'BUDGET 2026 DRAFT1'!J$2,'DB Shopify'!$CD:$CD,'BUDGET 2026 DRAFT1'!J$3)</f>
        <v>0</v>
      </c>
      <c r="K15" s="385">
        <f>SUMIFS('DB Shopify'!$J:$J,'DB Shopify'!$CC:$CC,'BUDGET 2026 DRAFT1'!K$2,'DB Shopify'!$CD:$CD,'BUDGET 2026 DRAFT1'!K$3)</f>
        <v>0</v>
      </c>
      <c r="L15" s="385">
        <f>SUMIFS('DB Shopify'!$J:$J,'DB Shopify'!$CC:$CC,'BUDGET 2026 DRAFT1'!L$2,'DB Shopify'!$CD:$CD,'BUDGET 2026 DRAFT1'!L$3)</f>
        <v>0</v>
      </c>
      <c r="M15" s="385">
        <f>SUMIFS('DB Shopify'!$J:$J,'DB Shopify'!$CC:$CC,'BUDGET 2026 DRAFT1'!M$2,'DB Shopify'!$CD:$CD,'BUDGET 2026 DRAFT1'!M$3)</f>
        <v>0</v>
      </c>
      <c r="N15" s="385">
        <f>SUMIFS('DB Shopify'!$J:$J,'DB Shopify'!$CC:$CC,'BUDGET 2026 DRAFT1'!N$2,'DB Shopify'!$CD:$CD,'BUDGET 2026 DRAFT1'!N$3)</f>
        <v>0</v>
      </c>
      <c r="O15" s="385">
        <f>SUMIFS('DB Shopify'!$J:$J,'DB Shopify'!$CC:$CC,'BUDGET 2026 DRAFT1'!O$2,'DB Shopify'!$CD:$CD,'BUDGET 2026 DRAFT1'!O$3)</f>
        <v>0</v>
      </c>
      <c r="P15" s="385">
        <f>SUMIFS('DB Shopify'!$J:$J,'DB Shopify'!$CC:$CC,'BUDGET 2026 DRAFT1'!P$2,'DB Shopify'!$CD:$CD,'BUDGET 2026 DRAFT1'!P$3)</f>
        <v>0</v>
      </c>
      <c r="Q15" s="385">
        <f>SUMIFS('DB Shopify'!$J:$J,'DB Shopify'!$CC:$CC,'BUDGET 2026 DRAFT1'!Q$2,'DB Shopify'!$CD:$CD,'BUDGET 2026 DRAFT1'!Q$3)</f>
        <v>0</v>
      </c>
      <c r="R15" s="385">
        <f>SUMIFS('DB Shopify'!$J:$J,'DB Shopify'!$CC:$CC,'BUDGET 2026 DRAFT1'!R$2,'DB Shopify'!$CD:$CD,'BUDGET 2026 DRAFT1'!R$3)</f>
        <v>0</v>
      </c>
      <c r="S15" s="385">
        <f>SUMIFS('DB Shopify'!$J:$J,'DB Shopify'!$CC:$CC,'BUDGET 2026 DRAFT1'!S$2,'DB Shopify'!$CD:$CD,'BUDGET 2026 DRAFT1'!S$3)</f>
        <v>0</v>
      </c>
      <c r="T15" s="385">
        <f>SUMIFS('DB Shopify'!$J:$J,'DB Shopify'!$CC:$CC,'BUDGET 2026 DRAFT1'!T$2,'DB Shopify'!$CD:$CD,'BUDGET 2026 DRAFT1'!T$3)</f>
        <v>0</v>
      </c>
      <c r="U15" s="357"/>
      <c r="V15" s="385">
        <f t="shared" si="11"/>
        <v>0</v>
      </c>
      <c r="W15" s="357"/>
      <c r="X15" s="388" t="s">
        <v>3531</v>
      </c>
      <c r="Y15" s="357"/>
      <c r="Z15" s="357"/>
      <c r="AA15" s="357"/>
      <c r="AB15" s="375" t="s">
        <v>1616</v>
      </c>
      <c r="AC15" s="375" t="s">
        <v>1617</v>
      </c>
      <c r="AD15" s="376" t="s">
        <v>1618</v>
      </c>
      <c r="AE15" s="375" t="s">
        <v>1626</v>
      </c>
      <c r="AF15" s="377">
        <f t="shared" ref="AF15:AQ15" si="15">I15*$A15</f>
        <v>0</v>
      </c>
      <c r="AG15" s="377">
        <f t="shared" si="15"/>
        <v>0</v>
      </c>
      <c r="AH15" s="377">
        <f t="shared" si="15"/>
        <v>0</v>
      </c>
      <c r="AI15" s="377">
        <f t="shared" si="15"/>
        <v>0</v>
      </c>
      <c r="AJ15" s="377">
        <f t="shared" si="15"/>
        <v>0</v>
      </c>
      <c r="AK15" s="377">
        <f t="shared" si="15"/>
        <v>0</v>
      </c>
      <c r="AL15" s="377">
        <f t="shared" si="15"/>
        <v>0</v>
      </c>
      <c r="AM15" s="377">
        <f t="shared" si="15"/>
        <v>0</v>
      </c>
      <c r="AN15" s="377">
        <f t="shared" si="15"/>
        <v>0</v>
      </c>
      <c r="AO15" s="377">
        <f t="shared" si="15"/>
        <v>0</v>
      </c>
      <c r="AP15" s="377">
        <f t="shared" si="15"/>
        <v>0</v>
      </c>
      <c r="AQ15" s="377">
        <f t="shared" si="15"/>
        <v>0</v>
      </c>
      <c r="AR15" s="357"/>
      <c r="AS15" s="385">
        <f t="shared" si="13"/>
        <v>0</v>
      </c>
      <c r="AT15" s="357"/>
      <c r="AU15" s="357"/>
    </row>
    <row r="16">
      <c r="A16" s="374">
        <f t="shared" si="3"/>
        <v>1.53</v>
      </c>
      <c r="B16" s="364">
        <v>0.53</v>
      </c>
      <c r="D16" s="360" t="str">
        <f t="shared" si="4"/>
        <v>OnlineFatturato Lordo</v>
      </c>
      <c r="E16" s="375" t="s">
        <v>1616</v>
      </c>
      <c r="F16" s="375" t="s">
        <v>1617</v>
      </c>
      <c r="G16" s="376" t="s">
        <v>1618</v>
      </c>
      <c r="H16" s="375" t="s">
        <v>1627</v>
      </c>
      <c r="I16" s="385">
        <f t="shared" ref="I16:T16" si="16">I15+I13+I12+I14</f>
        <v>0</v>
      </c>
      <c r="J16" s="385">
        <f t="shared" si="16"/>
        <v>0</v>
      </c>
      <c r="K16" s="385">
        <f t="shared" si="16"/>
        <v>0</v>
      </c>
      <c r="L16" s="385">
        <f t="shared" si="16"/>
        <v>0</v>
      </c>
      <c r="M16" s="385">
        <f t="shared" si="16"/>
        <v>0</v>
      </c>
      <c r="N16" s="385">
        <f t="shared" si="16"/>
        <v>0</v>
      </c>
      <c r="O16" s="385">
        <f t="shared" si="16"/>
        <v>0</v>
      </c>
      <c r="P16" s="385">
        <f t="shared" si="16"/>
        <v>0</v>
      </c>
      <c r="Q16" s="385">
        <f t="shared" si="16"/>
        <v>0</v>
      </c>
      <c r="R16" s="385">
        <f t="shared" si="16"/>
        <v>0</v>
      </c>
      <c r="S16" s="385">
        <f t="shared" si="16"/>
        <v>0</v>
      </c>
      <c r="T16" s="385">
        <f t="shared" si="16"/>
        <v>0</v>
      </c>
      <c r="U16" s="357"/>
      <c r="V16" s="385">
        <f t="shared" si="11"/>
        <v>0</v>
      </c>
      <c r="W16" s="357"/>
      <c r="X16" s="390">
        <v>77934.64999999997</v>
      </c>
      <c r="Y16" s="357"/>
      <c r="Z16" s="391">
        <f>(V16-X16)/X16</f>
        <v>-1</v>
      </c>
      <c r="AA16" s="357"/>
      <c r="AB16" s="375" t="s">
        <v>1616</v>
      </c>
      <c r="AC16" s="375" t="s">
        <v>1617</v>
      </c>
      <c r="AD16" s="376" t="s">
        <v>1618</v>
      </c>
      <c r="AE16" s="375" t="s">
        <v>1627</v>
      </c>
      <c r="AF16" s="377">
        <f t="shared" ref="AF16:AQ16" si="17">I16*$A16</f>
        <v>0</v>
      </c>
      <c r="AG16" s="377">
        <f t="shared" si="17"/>
        <v>0</v>
      </c>
      <c r="AH16" s="377">
        <f t="shared" si="17"/>
        <v>0</v>
      </c>
      <c r="AI16" s="377">
        <f t="shared" si="17"/>
        <v>0</v>
      </c>
      <c r="AJ16" s="377">
        <f t="shared" si="17"/>
        <v>0</v>
      </c>
      <c r="AK16" s="377">
        <f t="shared" si="17"/>
        <v>0</v>
      </c>
      <c r="AL16" s="377">
        <f t="shared" si="17"/>
        <v>0</v>
      </c>
      <c r="AM16" s="377">
        <f t="shared" si="17"/>
        <v>0</v>
      </c>
      <c r="AN16" s="377">
        <f t="shared" si="17"/>
        <v>0</v>
      </c>
      <c r="AO16" s="377">
        <f t="shared" si="17"/>
        <v>0</v>
      </c>
      <c r="AP16" s="377">
        <f t="shared" si="17"/>
        <v>0</v>
      </c>
      <c r="AQ16" s="377">
        <f t="shared" si="17"/>
        <v>0</v>
      </c>
      <c r="AR16" s="357"/>
      <c r="AS16" s="385">
        <f t="shared" si="13"/>
        <v>0</v>
      </c>
      <c r="AT16" s="357"/>
      <c r="AU16" s="357"/>
    </row>
    <row r="17">
      <c r="A17" s="374">
        <f t="shared" si="3"/>
        <v>1</v>
      </c>
      <c r="B17" s="364">
        <v>0.0</v>
      </c>
      <c r="D17" s="360" t="str">
        <f t="shared" si="4"/>
        <v>OnlineFatturato Netto</v>
      </c>
      <c r="E17" s="392" t="s">
        <v>1628</v>
      </c>
      <c r="F17" s="392" t="s">
        <v>1617</v>
      </c>
      <c r="G17" s="392" t="s">
        <v>1618</v>
      </c>
      <c r="H17" s="392" t="s">
        <v>1629</v>
      </c>
      <c r="I17" s="393">
        <f t="shared" ref="I17:T17" si="18">I16/1.22</f>
        <v>0</v>
      </c>
      <c r="J17" s="393">
        <f t="shared" si="18"/>
        <v>0</v>
      </c>
      <c r="K17" s="393">
        <f t="shared" si="18"/>
        <v>0</v>
      </c>
      <c r="L17" s="393">
        <f t="shared" si="18"/>
        <v>0</v>
      </c>
      <c r="M17" s="393">
        <f t="shared" si="18"/>
        <v>0</v>
      </c>
      <c r="N17" s="393">
        <f t="shared" si="18"/>
        <v>0</v>
      </c>
      <c r="O17" s="393">
        <f t="shared" si="18"/>
        <v>0</v>
      </c>
      <c r="P17" s="393">
        <f t="shared" si="18"/>
        <v>0</v>
      </c>
      <c r="Q17" s="393">
        <f t="shared" si="18"/>
        <v>0</v>
      </c>
      <c r="R17" s="393">
        <f t="shared" si="18"/>
        <v>0</v>
      </c>
      <c r="S17" s="393">
        <f t="shared" si="18"/>
        <v>0</v>
      </c>
      <c r="T17" s="393">
        <f t="shared" si="18"/>
        <v>0</v>
      </c>
      <c r="U17" s="357"/>
      <c r="V17" s="393">
        <f t="shared" si="11"/>
        <v>0</v>
      </c>
      <c r="W17" s="357"/>
      <c r="X17" s="393">
        <f>X16/1.22</f>
        <v>63880.86066</v>
      </c>
      <c r="Y17" s="357"/>
      <c r="Z17" s="357"/>
      <c r="AA17" s="357"/>
      <c r="AB17" s="392" t="s">
        <v>1628</v>
      </c>
      <c r="AC17" s="392" t="s">
        <v>1617</v>
      </c>
      <c r="AD17" s="392" t="s">
        <v>1618</v>
      </c>
      <c r="AE17" s="392" t="s">
        <v>1629</v>
      </c>
      <c r="AF17" s="393">
        <f t="shared" ref="AF17:AQ17" si="19">AF16/1.22</f>
        <v>0</v>
      </c>
      <c r="AG17" s="393">
        <f t="shared" si="19"/>
        <v>0</v>
      </c>
      <c r="AH17" s="393">
        <f t="shared" si="19"/>
        <v>0</v>
      </c>
      <c r="AI17" s="393">
        <f t="shared" si="19"/>
        <v>0</v>
      </c>
      <c r="AJ17" s="393">
        <f t="shared" si="19"/>
        <v>0</v>
      </c>
      <c r="AK17" s="393">
        <f t="shared" si="19"/>
        <v>0</v>
      </c>
      <c r="AL17" s="393">
        <f t="shared" si="19"/>
        <v>0</v>
      </c>
      <c r="AM17" s="393">
        <f t="shared" si="19"/>
        <v>0</v>
      </c>
      <c r="AN17" s="393">
        <f t="shared" si="19"/>
        <v>0</v>
      </c>
      <c r="AO17" s="393">
        <f t="shared" si="19"/>
        <v>0</v>
      </c>
      <c r="AP17" s="393">
        <f t="shared" si="19"/>
        <v>0</v>
      </c>
      <c r="AQ17" s="393">
        <f t="shared" si="19"/>
        <v>0</v>
      </c>
      <c r="AR17" s="357"/>
      <c r="AS17" s="393">
        <f t="shared" si="13"/>
        <v>0</v>
      </c>
      <c r="AT17" s="357"/>
      <c r="AU17" s="357"/>
    </row>
    <row r="18">
      <c r="A18" s="374">
        <f t="shared" si="3"/>
        <v>1</v>
      </c>
      <c r="B18" s="364"/>
      <c r="D18" s="360" t="str">
        <f t="shared" si="4"/>
        <v/>
      </c>
      <c r="E18" s="357"/>
      <c r="F18" s="357"/>
      <c r="G18" s="357"/>
      <c r="H18" s="357"/>
      <c r="I18" s="357"/>
      <c r="J18" s="357"/>
      <c r="K18" s="357"/>
      <c r="L18" s="357"/>
      <c r="M18" s="357"/>
      <c r="N18" s="357"/>
      <c r="O18" s="357"/>
      <c r="P18" s="357"/>
      <c r="Q18" s="357"/>
      <c r="R18" s="357"/>
      <c r="S18" s="357"/>
      <c r="T18" s="357"/>
      <c r="U18" s="357"/>
      <c r="V18" s="357"/>
      <c r="W18" s="357"/>
      <c r="X18" s="394">
        <f>X17/X25</f>
        <v>0.6682565359</v>
      </c>
      <c r="Y18" s="357"/>
      <c r="Z18" s="357"/>
      <c r="AA18" s="357"/>
      <c r="AB18" s="357"/>
      <c r="AC18" s="357"/>
      <c r="AD18" s="357"/>
      <c r="AE18" s="357"/>
      <c r="AF18" s="357"/>
      <c r="AG18" s="357"/>
      <c r="AH18" s="357"/>
      <c r="AI18" s="357"/>
      <c r="AJ18" s="357"/>
      <c r="AK18" s="357"/>
      <c r="AL18" s="357"/>
      <c r="AM18" s="357"/>
      <c r="AN18" s="357"/>
      <c r="AO18" s="357"/>
      <c r="AP18" s="357"/>
      <c r="AQ18" s="357"/>
      <c r="AR18" s="357"/>
      <c r="AS18" s="357"/>
      <c r="AT18" s="357"/>
      <c r="AU18" s="357"/>
    </row>
    <row r="19">
      <c r="A19" s="374">
        <f t="shared" si="3"/>
        <v>1.35</v>
      </c>
      <c r="B19" s="364">
        <v>0.35</v>
      </c>
      <c r="D19" s="360" t="str">
        <f t="shared" si="4"/>
        <v>Offline Pezzi</v>
      </c>
      <c r="E19" s="375" t="s">
        <v>1616</v>
      </c>
      <c r="F19" s="375" t="s">
        <v>1617</v>
      </c>
      <c r="G19" s="376" t="s">
        <v>1630</v>
      </c>
      <c r="H19" s="375" t="s">
        <v>1621</v>
      </c>
      <c r="I19" s="395">
        <f>SUMIFS(DB_QROMO!$I:$I,DB_QROMO!$A:$A,'BUDGET 2026 DRAFT1'!I$2,DB_QROMO!$B:$B,'BUDGET 2026 DRAFT1'!I$3)</f>
        <v>0</v>
      </c>
      <c r="J19" s="395">
        <f>SUMIFS(DB_QROMO!$I:$I,DB_QROMO!$A:$A,'BUDGET 2026 DRAFT1'!J$2,DB_QROMO!$B:$B,'BUDGET 2026 DRAFT1'!J$3)</f>
        <v>0</v>
      </c>
      <c r="K19" s="395">
        <f>SUMIFS(DB_QROMO!$I:$I,DB_QROMO!$A:$A,'BUDGET 2026 DRAFT1'!K$2,DB_QROMO!$B:$B,'BUDGET 2026 DRAFT1'!K$3)</f>
        <v>0</v>
      </c>
      <c r="L19" s="395">
        <f>SUMIFS(DB_QROMO!$I:$I,DB_QROMO!$A:$A,'BUDGET 2026 DRAFT1'!L$2,DB_QROMO!$B:$B,'BUDGET 2026 DRAFT1'!L$3)</f>
        <v>0</v>
      </c>
      <c r="M19" s="395">
        <f>SUMIFS(DB_QROMO!$I:$I,DB_QROMO!$A:$A,'BUDGET 2026 DRAFT1'!M$2,DB_QROMO!$B:$B,'BUDGET 2026 DRAFT1'!M$3)</f>
        <v>0</v>
      </c>
      <c r="N19" s="395">
        <f>SUMIFS(DB_QROMO!$I:$I,DB_QROMO!$A:$A,'BUDGET 2026 DRAFT1'!N$2,DB_QROMO!$B:$B,'BUDGET 2026 DRAFT1'!N$3)</f>
        <v>0</v>
      </c>
      <c r="O19" s="395">
        <f>SUMIFS(DB_QROMO!$I:$I,DB_QROMO!$A:$A,'BUDGET 2026 DRAFT1'!O$2,DB_QROMO!$B:$B,'BUDGET 2026 DRAFT1'!O$3)</f>
        <v>0</v>
      </c>
      <c r="P19" s="395">
        <f>SUMIFS(DB_QROMO!$I:$I,DB_QROMO!$A:$A,'BUDGET 2026 DRAFT1'!P$2,DB_QROMO!$B:$B,'BUDGET 2026 DRAFT1'!P$3)</f>
        <v>0</v>
      </c>
      <c r="Q19" s="395">
        <f>SUMIFS(DB_QROMO!$I:$I,DB_QROMO!$A:$A,'BUDGET 2026 DRAFT1'!Q$2,DB_QROMO!$B:$B,'BUDGET 2026 DRAFT1'!Q$3)</f>
        <v>0</v>
      </c>
      <c r="R19" s="395">
        <f>SUMIFS(DB_QROMO!$I:$I,DB_QROMO!$A:$A,'BUDGET 2026 DRAFT1'!R$2,DB_QROMO!$B:$B,'BUDGET 2026 DRAFT1'!R$3)</f>
        <v>0</v>
      </c>
      <c r="S19" s="395">
        <f>SUMIFS(DB_QROMO!$I:$I,DB_QROMO!$A:$A,'BUDGET 2026 DRAFT1'!S$2,DB_QROMO!$B:$B,'BUDGET 2026 DRAFT1'!S$3)</f>
        <v>0</v>
      </c>
      <c r="T19" s="395">
        <f>SUMIFS(DB_QROMO!$I:$I,DB_QROMO!$A:$A,'BUDGET 2026 DRAFT1'!T$2,DB_QROMO!$B:$B,'BUDGET 2026 DRAFT1'!T$3)</f>
        <v>0</v>
      </c>
      <c r="U19" s="357"/>
      <c r="V19" s="377">
        <f t="shared" ref="V19:V21" si="21">SUM(I19:T19)</f>
        <v>0</v>
      </c>
      <c r="W19" s="357"/>
      <c r="X19" s="378">
        <v>466.0</v>
      </c>
      <c r="Y19" s="357"/>
      <c r="Z19" s="357"/>
      <c r="AA19" s="357"/>
      <c r="AB19" s="375" t="s">
        <v>1616</v>
      </c>
      <c r="AC19" s="375" t="s">
        <v>1617</v>
      </c>
      <c r="AD19" s="376" t="s">
        <v>1630</v>
      </c>
      <c r="AE19" s="375" t="s">
        <v>1621</v>
      </c>
      <c r="AF19" s="377">
        <f t="shared" ref="AF19:AQ19" si="20">I19*$A19</f>
        <v>0</v>
      </c>
      <c r="AG19" s="377">
        <f t="shared" si="20"/>
        <v>0</v>
      </c>
      <c r="AH19" s="377">
        <f t="shared" si="20"/>
        <v>0</v>
      </c>
      <c r="AI19" s="377">
        <f t="shared" si="20"/>
        <v>0</v>
      </c>
      <c r="AJ19" s="377">
        <f t="shared" si="20"/>
        <v>0</v>
      </c>
      <c r="AK19" s="377">
        <f t="shared" si="20"/>
        <v>0</v>
      </c>
      <c r="AL19" s="377">
        <f t="shared" si="20"/>
        <v>0</v>
      </c>
      <c r="AM19" s="377">
        <f t="shared" si="20"/>
        <v>0</v>
      </c>
      <c r="AN19" s="377">
        <f t="shared" si="20"/>
        <v>0</v>
      </c>
      <c r="AO19" s="377">
        <f t="shared" si="20"/>
        <v>0</v>
      </c>
      <c r="AP19" s="377">
        <f t="shared" si="20"/>
        <v>0</v>
      </c>
      <c r="AQ19" s="377">
        <f t="shared" si="20"/>
        <v>0</v>
      </c>
      <c r="AR19" s="357"/>
      <c r="AS19" s="377">
        <f t="shared" ref="AS19:AS21" si="23">SUM(AF19:AQ19)</f>
        <v>0</v>
      </c>
      <c r="AT19" s="357"/>
      <c r="AU19" s="357"/>
    </row>
    <row r="20">
      <c r="A20" s="374">
        <f t="shared" si="3"/>
        <v>1.35</v>
      </c>
      <c r="B20" s="364">
        <v>0.35</v>
      </c>
      <c r="D20" s="360" t="str">
        <f t="shared" si="4"/>
        <v>Offline Fatturato Lordo</v>
      </c>
      <c r="E20" s="375" t="s">
        <v>1616</v>
      </c>
      <c r="F20" s="375" t="s">
        <v>1617</v>
      </c>
      <c r="G20" s="376" t="s">
        <v>1630</v>
      </c>
      <c r="H20" s="375" t="s">
        <v>1627</v>
      </c>
      <c r="I20" s="385">
        <f>SUMIFS(DB_QROMO!$K:$K,DB_QROMO!$A:$A,'BUDGET 2026 DRAFT1'!I$2,DB_QROMO!$B:$B,'BUDGET 2026 DRAFT1'!I$3)</f>
        <v>0</v>
      </c>
      <c r="J20" s="385">
        <f>SUMIFS(DB_QROMO!$K:$K,DB_QROMO!$A:$A,'BUDGET 2026 DRAFT1'!J$2,DB_QROMO!$B:$B,'BUDGET 2026 DRAFT1'!J$3)</f>
        <v>0</v>
      </c>
      <c r="K20" s="385">
        <f>SUMIFS(DB_QROMO!$K:$K,DB_QROMO!$A:$A,'BUDGET 2026 DRAFT1'!K$2,DB_QROMO!$B:$B,'BUDGET 2026 DRAFT1'!K$3)</f>
        <v>0</v>
      </c>
      <c r="L20" s="385">
        <f>SUMIFS(DB_QROMO!$K:$K,DB_QROMO!$A:$A,'BUDGET 2026 DRAFT1'!L$2,DB_QROMO!$B:$B,'BUDGET 2026 DRAFT1'!L$3)</f>
        <v>0</v>
      </c>
      <c r="M20" s="385">
        <f>SUMIFS(DB_QROMO!$K:$K,DB_QROMO!$A:$A,'BUDGET 2026 DRAFT1'!M$2,DB_QROMO!$B:$B,'BUDGET 2026 DRAFT1'!M$3)</f>
        <v>0</v>
      </c>
      <c r="N20" s="385">
        <f>SUMIFS(DB_QROMO!$K:$K,DB_QROMO!$A:$A,'BUDGET 2026 DRAFT1'!N$2,DB_QROMO!$B:$B,'BUDGET 2026 DRAFT1'!N$3)</f>
        <v>0</v>
      </c>
      <c r="O20" s="385">
        <f>SUMIFS(DB_QROMO!$K:$K,DB_QROMO!$A:$A,'BUDGET 2026 DRAFT1'!O$2,DB_QROMO!$B:$B,'BUDGET 2026 DRAFT1'!O$3)</f>
        <v>0</v>
      </c>
      <c r="P20" s="385">
        <f>SUMIFS(DB_QROMO!$K:$K,DB_QROMO!$A:$A,'BUDGET 2026 DRAFT1'!P$2,DB_QROMO!$B:$B,'BUDGET 2026 DRAFT1'!P$3)</f>
        <v>0</v>
      </c>
      <c r="Q20" s="385">
        <f>SUMIFS(DB_QROMO!$K:$K,DB_QROMO!$A:$A,'BUDGET 2026 DRAFT1'!Q$2,DB_QROMO!$B:$B,'BUDGET 2026 DRAFT1'!Q$3)</f>
        <v>0</v>
      </c>
      <c r="R20" s="385">
        <f>SUMIFS(DB_QROMO!$K:$K,DB_QROMO!$A:$A,'BUDGET 2026 DRAFT1'!R$2,DB_QROMO!$B:$B,'BUDGET 2026 DRAFT1'!R$3)</f>
        <v>0</v>
      </c>
      <c r="S20" s="385">
        <f>SUMIFS(DB_QROMO!$K:$K,DB_QROMO!$A:$A,'BUDGET 2026 DRAFT1'!S$2,DB_QROMO!$B:$B,'BUDGET 2026 DRAFT1'!S$3)</f>
        <v>0</v>
      </c>
      <c r="T20" s="385">
        <f>SUMIFS(DB_QROMO!$K:$K,DB_QROMO!$A:$A,'BUDGET 2026 DRAFT1'!T$2,DB_QROMO!$B:$B,'BUDGET 2026 DRAFT1'!T$3)</f>
        <v>0</v>
      </c>
      <c r="U20" s="357"/>
      <c r="V20" s="385">
        <f t="shared" si="21"/>
        <v>0</v>
      </c>
      <c r="W20" s="357"/>
      <c r="X20" s="390">
        <v>38689.2</v>
      </c>
      <c r="Y20" s="357"/>
      <c r="Z20" s="391">
        <f>(V20-X20)/X20</f>
        <v>-1</v>
      </c>
      <c r="AA20" s="357"/>
      <c r="AB20" s="375" t="s">
        <v>1616</v>
      </c>
      <c r="AC20" s="375" t="s">
        <v>1617</v>
      </c>
      <c r="AD20" s="376" t="s">
        <v>1630</v>
      </c>
      <c r="AE20" s="375" t="s">
        <v>1627</v>
      </c>
      <c r="AF20" s="377">
        <f t="shared" ref="AF20:AQ20" si="22">I20*$A20</f>
        <v>0</v>
      </c>
      <c r="AG20" s="377">
        <f t="shared" si="22"/>
        <v>0</v>
      </c>
      <c r="AH20" s="377">
        <f t="shared" si="22"/>
        <v>0</v>
      </c>
      <c r="AI20" s="377">
        <f t="shared" si="22"/>
        <v>0</v>
      </c>
      <c r="AJ20" s="377">
        <f t="shared" si="22"/>
        <v>0</v>
      </c>
      <c r="AK20" s="377">
        <f t="shared" si="22"/>
        <v>0</v>
      </c>
      <c r="AL20" s="377">
        <f t="shared" si="22"/>
        <v>0</v>
      </c>
      <c r="AM20" s="377">
        <f t="shared" si="22"/>
        <v>0</v>
      </c>
      <c r="AN20" s="377">
        <f t="shared" si="22"/>
        <v>0</v>
      </c>
      <c r="AO20" s="377">
        <f t="shared" si="22"/>
        <v>0</v>
      </c>
      <c r="AP20" s="377">
        <f t="shared" si="22"/>
        <v>0</v>
      </c>
      <c r="AQ20" s="377">
        <f t="shared" si="22"/>
        <v>0</v>
      </c>
      <c r="AR20" s="357"/>
      <c r="AS20" s="385">
        <f t="shared" si="23"/>
        <v>0</v>
      </c>
      <c r="AT20" s="357"/>
      <c r="AU20" s="357"/>
    </row>
    <row r="21" ht="15.75" customHeight="1">
      <c r="A21" s="374">
        <f t="shared" si="3"/>
        <v>1</v>
      </c>
      <c r="B21" s="364">
        <v>0.0</v>
      </c>
      <c r="D21" s="360" t="str">
        <f t="shared" si="4"/>
        <v>Offline Fatturato Netto</v>
      </c>
      <c r="E21" s="392" t="s">
        <v>1628</v>
      </c>
      <c r="F21" s="392" t="s">
        <v>1617</v>
      </c>
      <c r="G21" s="392" t="s">
        <v>1630</v>
      </c>
      <c r="H21" s="392" t="s">
        <v>1629</v>
      </c>
      <c r="I21" s="393">
        <f t="shared" ref="I21:T21" si="24">I20/1.22</f>
        <v>0</v>
      </c>
      <c r="J21" s="393">
        <f t="shared" si="24"/>
        <v>0</v>
      </c>
      <c r="K21" s="393">
        <f t="shared" si="24"/>
        <v>0</v>
      </c>
      <c r="L21" s="393">
        <f t="shared" si="24"/>
        <v>0</v>
      </c>
      <c r="M21" s="393">
        <f t="shared" si="24"/>
        <v>0</v>
      </c>
      <c r="N21" s="393">
        <f t="shared" si="24"/>
        <v>0</v>
      </c>
      <c r="O21" s="393">
        <f t="shared" si="24"/>
        <v>0</v>
      </c>
      <c r="P21" s="393">
        <f t="shared" si="24"/>
        <v>0</v>
      </c>
      <c r="Q21" s="393">
        <f t="shared" si="24"/>
        <v>0</v>
      </c>
      <c r="R21" s="393">
        <f t="shared" si="24"/>
        <v>0</v>
      </c>
      <c r="S21" s="393">
        <f t="shared" si="24"/>
        <v>0</v>
      </c>
      <c r="T21" s="393">
        <f t="shared" si="24"/>
        <v>0</v>
      </c>
      <c r="U21" s="357"/>
      <c r="V21" s="393">
        <f t="shared" si="21"/>
        <v>0</v>
      </c>
      <c r="W21" s="357"/>
      <c r="X21" s="393">
        <f>X20/1.22</f>
        <v>31712.45902</v>
      </c>
      <c r="Y21" s="357"/>
      <c r="Z21" s="357"/>
      <c r="AA21" s="357"/>
      <c r="AB21" s="392" t="s">
        <v>1628</v>
      </c>
      <c r="AC21" s="392" t="s">
        <v>1617</v>
      </c>
      <c r="AD21" s="392" t="s">
        <v>1630</v>
      </c>
      <c r="AE21" s="392" t="s">
        <v>1629</v>
      </c>
      <c r="AF21" s="393">
        <f t="shared" ref="AF21:AQ21" si="25">AF20/1.22</f>
        <v>0</v>
      </c>
      <c r="AG21" s="393">
        <f t="shared" si="25"/>
        <v>0</v>
      </c>
      <c r="AH21" s="393">
        <f t="shared" si="25"/>
        <v>0</v>
      </c>
      <c r="AI21" s="393">
        <f t="shared" si="25"/>
        <v>0</v>
      </c>
      <c r="AJ21" s="393">
        <f t="shared" si="25"/>
        <v>0</v>
      </c>
      <c r="AK21" s="393">
        <f t="shared" si="25"/>
        <v>0</v>
      </c>
      <c r="AL21" s="393">
        <f t="shared" si="25"/>
        <v>0</v>
      </c>
      <c r="AM21" s="393">
        <f t="shared" si="25"/>
        <v>0</v>
      </c>
      <c r="AN21" s="393">
        <f t="shared" si="25"/>
        <v>0</v>
      </c>
      <c r="AO21" s="393">
        <f t="shared" si="25"/>
        <v>0</v>
      </c>
      <c r="AP21" s="393">
        <f t="shared" si="25"/>
        <v>0</v>
      </c>
      <c r="AQ21" s="393">
        <f t="shared" si="25"/>
        <v>0</v>
      </c>
      <c r="AR21" s="357"/>
      <c r="AS21" s="393">
        <f t="shared" si="23"/>
        <v>0</v>
      </c>
      <c r="AT21" s="357"/>
      <c r="AU21" s="357"/>
    </row>
    <row r="22" ht="15.75" customHeight="1">
      <c r="A22" s="374">
        <f t="shared" si="3"/>
        <v>1</v>
      </c>
      <c r="B22" s="364"/>
      <c r="D22" s="360" t="str">
        <f t="shared" si="4"/>
        <v/>
      </c>
      <c r="E22" s="357"/>
      <c r="F22" s="357"/>
      <c r="G22" s="357"/>
      <c r="H22" s="357"/>
      <c r="I22" s="357"/>
      <c r="J22" s="357"/>
      <c r="K22" s="357"/>
      <c r="L22" s="357"/>
      <c r="M22" s="357"/>
      <c r="N22" s="357"/>
      <c r="O22" s="357"/>
      <c r="P22" s="357"/>
      <c r="Q22" s="357"/>
      <c r="R22" s="357"/>
      <c r="S22" s="357"/>
      <c r="T22" s="357"/>
      <c r="U22" s="357"/>
      <c r="V22" s="394" t="str">
        <f>V21/V25</f>
        <v>#DIV/0!</v>
      </c>
      <c r="W22" s="357"/>
      <c r="X22" s="394">
        <f>X21/X25</f>
        <v>0.3317434641</v>
      </c>
      <c r="Y22" s="357"/>
      <c r="Z22" s="357"/>
      <c r="AA22" s="357"/>
      <c r="AB22" s="357"/>
      <c r="AC22" s="357"/>
      <c r="AD22" s="357"/>
      <c r="AE22" s="357"/>
      <c r="AF22" s="357"/>
      <c r="AG22" s="357"/>
      <c r="AH22" s="357"/>
      <c r="AI22" s="357"/>
      <c r="AJ22" s="357"/>
      <c r="AK22" s="357"/>
      <c r="AL22" s="357"/>
      <c r="AM22" s="357"/>
      <c r="AN22" s="357"/>
      <c r="AO22" s="357"/>
      <c r="AP22" s="357"/>
      <c r="AQ22" s="357"/>
      <c r="AR22" s="357"/>
      <c r="AS22" s="394" t="str">
        <f>AS21/AS25</f>
        <v>#DIV/0!</v>
      </c>
      <c r="AT22" s="357"/>
      <c r="AU22" s="357"/>
    </row>
    <row r="23" ht="15.75" customHeight="1">
      <c r="A23" s="374">
        <f t="shared" si="3"/>
        <v>1</v>
      </c>
      <c r="B23" s="364">
        <v>0.0</v>
      </c>
      <c r="D23" s="360" t="str">
        <f t="shared" si="4"/>
        <v>OmnichannelPezzi</v>
      </c>
      <c r="E23" s="357"/>
      <c r="F23" s="357"/>
      <c r="G23" s="396" t="s">
        <v>1632</v>
      </c>
      <c r="H23" s="396" t="s">
        <v>1621</v>
      </c>
      <c r="I23" s="377">
        <f t="shared" ref="I23:T23" si="26">I19+I10</f>
        <v>0</v>
      </c>
      <c r="J23" s="377">
        <f t="shared" si="26"/>
        <v>0</v>
      </c>
      <c r="K23" s="377">
        <f t="shared" si="26"/>
        <v>0</v>
      </c>
      <c r="L23" s="377">
        <f t="shared" si="26"/>
        <v>0</v>
      </c>
      <c r="M23" s="377">
        <f t="shared" si="26"/>
        <v>0</v>
      </c>
      <c r="N23" s="377">
        <f t="shared" si="26"/>
        <v>0</v>
      </c>
      <c r="O23" s="377">
        <f t="shared" si="26"/>
        <v>0</v>
      </c>
      <c r="P23" s="377">
        <f t="shared" si="26"/>
        <v>0</v>
      </c>
      <c r="Q23" s="377">
        <f t="shared" si="26"/>
        <v>0</v>
      </c>
      <c r="R23" s="377">
        <f t="shared" si="26"/>
        <v>0</v>
      </c>
      <c r="S23" s="377">
        <f t="shared" si="26"/>
        <v>0</v>
      </c>
      <c r="T23" s="377">
        <f t="shared" si="26"/>
        <v>0</v>
      </c>
      <c r="U23" s="357"/>
      <c r="V23" s="377">
        <f>V19+V10</f>
        <v>0</v>
      </c>
      <c r="W23" s="357"/>
      <c r="X23" s="397">
        <f>X19+X10</f>
        <v>1103</v>
      </c>
      <c r="Y23" s="357"/>
      <c r="Z23" s="357"/>
      <c r="AA23" s="357"/>
      <c r="AB23" s="357"/>
      <c r="AC23" s="357"/>
      <c r="AD23" s="396" t="s">
        <v>1632</v>
      </c>
      <c r="AE23" s="396" t="s">
        <v>1621</v>
      </c>
      <c r="AF23" s="377">
        <f t="shared" ref="AF23:AQ23" si="27">AF19+AF10</f>
        <v>0</v>
      </c>
      <c r="AG23" s="377">
        <f t="shared" si="27"/>
        <v>0</v>
      </c>
      <c r="AH23" s="377">
        <f t="shared" si="27"/>
        <v>0</v>
      </c>
      <c r="AI23" s="377">
        <f t="shared" si="27"/>
        <v>0</v>
      </c>
      <c r="AJ23" s="377">
        <f t="shared" si="27"/>
        <v>0</v>
      </c>
      <c r="AK23" s="377">
        <f t="shared" si="27"/>
        <v>0</v>
      </c>
      <c r="AL23" s="377">
        <f t="shared" si="27"/>
        <v>0</v>
      </c>
      <c r="AM23" s="377">
        <f t="shared" si="27"/>
        <v>0</v>
      </c>
      <c r="AN23" s="377">
        <f t="shared" si="27"/>
        <v>0</v>
      </c>
      <c r="AO23" s="377">
        <f t="shared" si="27"/>
        <v>0</v>
      </c>
      <c r="AP23" s="377">
        <f t="shared" si="27"/>
        <v>0</v>
      </c>
      <c r="AQ23" s="377">
        <f t="shared" si="27"/>
        <v>0</v>
      </c>
      <c r="AR23" s="357"/>
      <c r="AS23" s="377">
        <f>AS19+AS10</f>
        <v>0</v>
      </c>
      <c r="AT23" s="357"/>
      <c r="AU23" s="357"/>
    </row>
    <row r="24" ht="15.75" customHeight="1">
      <c r="A24" s="374">
        <f t="shared" si="3"/>
        <v>1</v>
      </c>
      <c r="B24" s="364">
        <v>0.0</v>
      </c>
      <c r="D24" s="360" t="str">
        <f t="shared" si="4"/>
        <v>OmnichannelFatturato Lordo</v>
      </c>
      <c r="E24" s="357"/>
      <c r="F24" s="357"/>
      <c r="G24" s="396" t="s">
        <v>1632</v>
      </c>
      <c r="H24" s="396" t="s">
        <v>1627</v>
      </c>
      <c r="I24" s="385">
        <f t="shared" ref="I24:T24" si="28">I20+I16</f>
        <v>0</v>
      </c>
      <c r="J24" s="385">
        <f t="shared" si="28"/>
        <v>0</v>
      </c>
      <c r="K24" s="385">
        <f t="shared" si="28"/>
        <v>0</v>
      </c>
      <c r="L24" s="385">
        <f t="shared" si="28"/>
        <v>0</v>
      </c>
      <c r="M24" s="385">
        <f t="shared" si="28"/>
        <v>0</v>
      </c>
      <c r="N24" s="385">
        <f t="shared" si="28"/>
        <v>0</v>
      </c>
      <c r="O24" s="385">
        <f t="shared" si="28"/>
        <v>0</v>
      </c>
      <c r="P24" s="385">
        <f t="shared" si="28"/>
        <v>0</v>
      </c>
      <c r="Q24" s="385">
        <f t="shared" si="28"/>
        <v>0</v>
      </c>
      <c r="R24" s="385">
        <f t="shared" si="28"/>
        <v>0</v>
      </c>
      <c r="S24" s="385">
        <f t="shared" si="28"/>
        <v>0</v>
      </c>
      <c r="T24" s="385">
        <f t="shared" si="28"/>
        <v>0</v>
      </c>
      <c r="U24" s="357"/>
      <c r="V24" s="385">
        <f>V20+V16</f>
        <v>0</v>
      </c>
      <c r="W24" s="357"/>
      <c r="X24" s="398">
        <f t="shared" ref="X24:X25" si="31">X20+X16</f>
        <v>116623.85</v>
      </c>
      <c r="Y24" s="357"/>
      <c r="Z24" s="391"/>
      <c r="AA24" s="357"/>
      <c r="AB24" s="357"/>
      <c r="AC24" s="357"/>
      <c r="AD24" s="396" t="s">
        <v>1632</v>
      </c>
      <c r="AE24" s="396" t="s">
        <v>1627</v>
      </c>
      <c r="AF24" s="385">
        <f t="shared" ref="AF24:AQ24" si="29">AF20+AF16</f>
        <v>0</v>
      </c>
      <c r="AG24" s="385">
        <f t="shared" si="29"/>
        <v>0</v>
      </c>
      <c r="AH24" s="385">
        <f t="shared" si="29"/>
        <v>0</v>
      </c>
      <c r="AI24" s="385">
        <f t="shared" si="29"/>
        <v>0</v>
      </c>
      <c r="AJ24" s="385">
        <f t="shared" si="29"/>
        <v>0</v>
      </c>
      <c r="AK24" s="385">
        <f t="shared" si="29"/>
        <v>0</v>
      </c>
      <c r="AL24" s="385">
        <f t="shared" si="29"/>
        <v>0</v>
      </c>
      <c r="AM24" s="385">
        <f t="shared" si="29"/>
        <v>0</v>
      </c>
      <c r="AN24" s="385">
        <f t="shared" si="29"/>
        <v>0</v>
      </c>
      <c r="AO24" s="385">
        <f t="shared" si="29"/>
        <v>0</v>
      </c>
      <c r="AP24" s="385">
        <f t="shared" si="29"/>
        <v>0</v>
      </c>
      <c r="AQ24" s="385">
        <f t="shared" si="29"/>
        <v>0</v>
      </c>
      <c r="AR24" s="357"/>
      <c r="AS24" s="385">
        <f>AS20+AS16</f>
        <v>0</v>
      </c>
      <c r="AT24" s="357"/>
      <c r="AU24" s="357"/>
    </row>
    <row r="25" ht="15.75" customHeight="1">
      <c r="A25" s="374">
        <f t="shared" si="3"/>
        <v>1</v>
      </c>
      <c r="B25" s="364">
        <v>0.0</v>
      </c>
      <c r="D25" s="360" t="str">
        <f t="shared" si="4"/>
        <v>OmnichannelFatturato Netto</v>
      </c>
      <c r="G25" s="399" t="s">
        <v>1632</v>
      </c>
      <c r="H25" s="399" t="s">
        <v>1629</v>
      </c>
      <c r="I25" s="400">
        <f t="shared" ref="I25:T25" si="30">I24/1.22</f>
        <v>0</v>
      </c>
      <c r="J25" s="400">
        <f t="shared" si="30"/>
        <v>0</v>
      </c>
      <c r="K25" s="400">
        <f t="shared" si="30"/>
        <v>0</v>
      </c>
      <c r="L25" s="400">
        <f t="shared" si="30"/>
        <v>0</v>
      </c>
      <c r="M25" s="400">
        <f t="shared" si="30"/>
        <v>0</v>
      </c>
      <c r="N25" s="400">
        <f t="shared" si="30"/>
        <v>0</v>
      </c>
      <c r="O25" s="400">
        <f t="shared" si="30"/>
        <v>0</v>
      </c>
      <c r="P25" s="400">
        <f t="shared" si="30"/>
        <v>0</v>
      </c>
      <c r="Q25" s="400">
        <f t="shared" si="30"/>
        <v>0</v>
      </c>
      <c r="R25" s="400">
        <f t="shared" si="30"/>
        <v>0</v>
      </c>
      <c r="S25" s="400">
        <f t="shared" si="30"/>
        <v>0</v>
      </c>
      <c r="T25" s="400">
        <f t="shared" si="30"/>
        <v>0</v>
      </c>
      <c r="U25" s="357"/>
      <c r="V25" s="400">
        <f>SUM(I25:T25)</f>
        <v>0</v>
      </c>
      <c r="W25" s="357"/>
      <c r="X25" s="400">
        <f t="shared" si="31"/>
        <v>95593.31967</v>
      </c>
      <c r="Y25" s="357"/>
      <c r="Z25" s="401"/>
      <c r="AA25" s="401"/>
      <c r="AD25" s="399" t="s">
        <v>1632</v>
      </c>
      <c r="AE25" s="399" t="s">
        <v>1629</v>
      </c>
      <c r="AF25" s="400">
        <f t="shared" ref="AF25:AQ25" si="32">AF24/1.22</f>
        <v>0</v>
      </c>
      <c r="AG25" s="400">
        <f t="shared" si="32"/>
        <v>0</v>
      </c>
      <c r="AH25" s="400">
        <f t="shared" si="32"/>
        <v>0</v>
      </c>
      <c r="AI25" s="400">
        <f t="shared" si="32"/>
        <v>0</v>
      </c>
      <c r="AJ25" s="400">
        <f t="shared" si="32"/>
        <v>0</v>
      </c>
      <c r="AK25" s="400">
        <f t="shared" si="32"/>
        <v>0</v>
      </c>
      <c r="AL25" s="400">
        <f t="shared" si="32"/>
        <v>0</v>
      </c>
      <c r="AM25" s="400">
        <f t="shared" si="32"/>
        <v>0</v>
      </c>
      <c r="AN25" s="400">
        <f t="shared" si="32"/>
        <v>0</v>
      </c>
      <c r="AO25" s="400">
        <f t="shared" si="32"/>
        <v>0</v>
      </c>
      <c r="AP25" s="400">
        <f t="shared" si="32"/>
        <v>0</v>
      </c>
      <c r="AQ25" s="400">
        <f t="shared" si="32"/>
        <v>0</v>
      </c>
      <c r="AR25" s="357"/>
      <c r="AS25" s="400">
        <f>SUM(AF25:AQ25)</f>
        <v>0</v>
      </c>
      <c r="AT25" s="357"/>
      <c r="AU25" s="357"/>
    </row>
    <row r="26" ht="15.75" customHeight="1">
      <c r="A26" s="374">
        <f t="shared" si="3"/>
        <v>1</v>
      </c>
      <c r="B26" s="357"/>
      <c r="D26" s="360" t="str">
        <f t="shared" si="4"/>
        <v/>
      </c>
      <c r="E26" s="357"/>
      <c r="F26" s="357"/>
      <c r="G26" s="357"/>
      <c r="H26" s="357"/>
      <c r="I26" s="401"/>
      <c r="J26" s="401"/>
      <c r="K26" s="401"/>
      <c r="L26" s="401"/>
      <c r="M26" s="401"/>
      <c r="N26" s="401"/>
      <c r="O26" s="401"/>
      <c r="P26" s="401"/>
      <c r="Q26" s="401"/>
      <c r="R26" s="401"/>
      <c r="S26" s="401"/>
      <c r="T26" s="401"/>
      <c r="U26" s="357"/>
      <c r="V26" s="401"/>
      <c r="W26" s="357"/>
      <c r="Y26" s="357"/>
      <c r="Z26" s="402"/>
      <c r="AA26" s="403"/>
      <c r="AB26" s="357"/>
      <c r="AC26" s="357"/>
      <c r="AD26" s="357"/>
      <c r="AE26" s="357"/>
      <c r="AF26" s="401"/>
      <c r="AG26" s="401"/>
      <c r="AH26" s="401"/>
      <c r="AI26" s="401"/>
      <c r="AJ26" s="401"/>
      <c r="AK26" s="401"/>
      <c r="AL26" s="401"/>
      <c r="AM26" s="401"/>
      <c r="AN26" s="401"/>
      <c r="AO26" s="401"/>
      <c r="AP26" s="401"/>
      <c r="AQ26" s="401"/>
      <c r="AR26" s="357"/>
      <c r="AS26" s="401"/>
      <c r="AT26" s="357"/>
      <c r="AU26" s="357"/>
    </row>
    <row r="27" ht="15.75" customHeight="1">
      <c r="A27" s="374">
        <f t="shared" si="3"/>
        <v>1.65</v>
      </c>
      <c r="B27" s="364">
        <v>0.65</v>
      </c>
      <c r="D27" s="360" t="str">
        <f t="shared" si="4"/>
        <v>VariabiliCOGS (Cost of goods sold)</v>
      </c>
      <c r="E27" s="375" t="s">
        <v>1628</v>
      </c>
      <c r="F27" s="375" t="s">
        <v>1633</v>
      </c>
      <c r="G27" s="376" t="s">
        <v>1634</v>
      </c>
      <c r="H27" s="375" t="s">
        <v>1635</v>
      </c>
      <c r="I27" s="385">
        <f>-SUMIFS('DB Shopify'!$CH:$CH,'DB Shopify'!$CC:$CC,'BUDGET 2026 DRAFT1'!I$2,'DB Shopify'!$CD:$CD,'BUDGET 2026 DRAFT1'!I$3)-SUMIFS(DB_QROMO!$L:$L,DB_QROMO!$A:$A,'BUDGET 2026 DRAFT1'!I$2,DB_QROMO!$B:$B,'BUDGET 2026 DRAFT1'!I$3)</f>
        <v>0</v>
      </c>
      <c r="J27" s="385">
        <f>-SUMIFS('DB Shopify'!$CH:$CH,'DB Shopify'!$CC:$CC,'BUDGET 2026 DRAFT1'!J$2,'DB Shopify'!$CD:$CD,'BUDGET 2026 DRAFT1'!J$3)-SUMIFS(DB_QROMO!$L:$L,DB_QROMO!$A:$A,'BUDGET 2026 DRAFT1'!J$2,DB_QROMO!$B:$B,'BUDGET 2026 DRAFT1'!J$3)</f>
        <v>0</v>
      </c>
      <c r="K27" s="385">
        <f>-SUMIFS('DB Shopify'!$CH:$CH,'DB Shopify'!$CC:$CC,'BUDGET 2026 DRAFT1'!K$2,'DB Shopify'!$CD:$CD,'BUDGET 2026 DRAFT1'!K$3)-SUMIFS(DB_QROMO!$L:$L,DB_QROMO!$A:$A,'BUDGET 2026 DRAFT1'!K$2,DB_QROMO!$B:$B,'BUDGET 2026 DRAFT1'!K$3)</f>
        <v>0</v>
      </c>
      <c r="L27" s="385">
        <f>-SUMIFS('DB Shopify'!$CH:$CH,'DB Shopify'!$CC:$CC,'BUDGET 2026 DRAFT1'!L$2,'DB Shopify'!$CD:$CD,'BUDGET 2026 DRAFT1'!L$3)-SUMIFS(DB_QROMO!$L:$L,DB_QROMO!$A:$A,'BUDGET 2026 DRAFT1'!L$2,DB_QROMO!$B:$B,'BUDGET 2026 DRAFT1'!L$3)</f>
        <v>0</v>
      </c>
      <c r="M27" s="385">
        <f>-SUMIFS('DB Shopify'!$CH:$CH,'DB Shopify'!$CC:$CC,'BUDGET 2026 DRAFT1'!M$2,'DB Shopify'!$CD:$CD,'BUDGET 2026 DRAFT1'!M$3)-SUMIFS(DB_QROMO!$L:$L,DB_QROMO!$A:$A,'BUDGET 2026 DRAFT1'!M$2,DB_QROMO!$B:$B,'BUDGET 2026 DRAFT1'!M$3)</f>
        <v>0</v>
      </c>
      <c r="N27" s="385">
        <f>-SUMIFS('DB Shopify'!$CH:$CH,'DB Shopify'!$CC:$CC,'BUDGET 2026 DRAFT1'!N$2,'DB Shopify'!$CD:$CD,'BUDGET 2026 DRAFT1'!N$3)-SUMIFS(DB_QROMO!$L:$L,DB_QROMO!$A:$A,'BUDGET 2026 DRAFT1'!N$2,DB_QROMO!$B:$B,'BUDGET 2026 DRAFT1'!N$3)</f>
        <v>0</v>
      </c>
      <c r="O27" s="385">
        <f>-SUMIFS('DB Shopify'!$CH:$CH,'DB Shopify'!$CC:$CC,'BUDGET 2026 DRAFT1'!O$2,'DB Shopify'!$CD:$CD,'BUDGET 2026 DRAFT1'!O$3)-SUMIFS(DB_QROMO!$L:$L,DB_QROMO!$A:$A,'BUDGET 2026 DRAFT1'!O$2,DB_QROMO!$B:$B,'BUDGET 2026 DRAFT1'!O$3)</f>
        <v>0</v>
      </c>
      <c r="P27" s="385">
        <f>-SUMIFS('DB Shopify'!$CH:$CH,'DB Shopify'!$CC:$CC,'BUDGET 2026 DRAFT1'!P$2,'DB Shopify'!$CD:$CD,'BUDGET 2026 DRAFT1'!P$3)-SUMIFS(DB_QROMO!$L:$L,DB_QROMO!$A:$A,'BUDGET 2026 DRAFT1'!P$2,DB_QROMO!$B:$B,'BUDGET 2026 DRAFT1'!P$3)</f>
        <v>0</v>
      </c>
      <c r="Q27" s="385">
        <f>-SUMIFS('DB Shopify'!$CH:$CH,'DB Shopify'!$CC:$CC,'BUDGET 2026 DRAFT1'!Q$2,'DB Shopify'!$CD:$CD,'BUDGET 2026 DRAFT1'!Q$3)-SUMIFS(DB_QROMO!$L:$L,DB_QROMO!$A:$A,'BUDGET 2026 DRAFT1'!Q$2,DB_QROMO!$B:$B,'BUDGET 2026 DRAFT1'!Q$3)</f>
        <v>0</v>
      </c>
      <c r="R27" s="385">
        <f>-SUMIFS('DB Shopify'!$CH:$CH,'DB Shopify'!$CC:$CC,'BUDGET 2026 DRAFT1'!R$2,'DB Shopify'!$CD:$CD,'BUDGET 2026 DRAFT1'!R$3)-SUMIFS(DB_QROMO!$L:$L,DB_QROMO!$A:$A,'BUDGET 2026 DRAFT1'!R$2,DB_QROMO!$B:$B,'BUDGET 2026 DRAFT1'!R$3)</f>
        <v>0</v>
      </c>
      <c r="S27" s="385">
        <f>-SUMIFS('DB Shopify'!$CH:$CH,'DB Shopify'!$CC:$CC,'BUDGET 2026 DRAFT1'!S$2,'DB Shopify'!$CD:$CD,'BUDGET 2026 DRAFT1'!S$3)-SUMIFS(DB_QROMO!$L:$L,DB_QROMO!$A:$A,'BUDGET 2026 DRAFT1'!S$2,DB_QROMO!$B:$B,'BUDGET 2026 DRAFT1'!S$3)</f>
        <v>0</v>
      </c>
      <c r="T27" s="385">
        <f>-SUMIFS('DB Shopify'!$CH:$CH,'DB Shopify'!$CC:$CC,'BUDGET 2026 DRAFT1'!T$2,'DB Shopify'!$CD:$CD,'BUDGET 2026 DRAFT1'!T$3)-SUMIFS(DB_QROMO!$L:$L,DB_QROMO!$A:$A,'BUDGET 2026 DRAFT1'!T$2,DB_QROMO!$B:$B,'BUDGET 2026 DRAFT1'!T$3)</f>
        <v>0</v>
      </c>
      <c r="U27" s="357"/>
      <c r="V27" s="385">
        <f t="shared" ref="V27:V38" si="35">SUM(I27:T27)</f>
        <v>0</v>
      </c>
      <c r="W27" s="357"/>
      <c r="X27" s="390">
        <v>-48320.76</v>
      </c>
      <c r="Y27" s="357"/>
      <c r="Z27" s="357"/>
      <c r="AA27" s="357"/>
      <c r="AB27" s="375" t="s">
        <v>1628</v>
      </c>
      <c r="AC27" s="375" t="s">
        <v>1633</v>
      </c>
      <c r="AD27" s="376" t="s">
        <v>1634</v>
      </c>
      <c r="AE27" s="375" t="s">
        <v>1635</v>
      </c>
      <c r="AF27" s="377">
        <f t="shared" ref="AF27:AQ27" si="33">I27*$A27</f>
        <v>0</v>
      </c>
      <c r="AG27" s="377">
        <f t="shared" si="33"/>
        <v>0</v>
      </c>
      <c r="AH27" s="377">
        <f t="shared" si="33"/>
        <v>0</v>
      </c>
      <c r="AI27" s="377">
        <f t="shared" si="33"/>
        <v>0</v>
      </c>
      <c r="AJ27" s="377">
        <f t="shared" si="33"/>
        <v>0</v>
      </c>
      <c r="AK27" s="377">
        <f t="shared" si="33"/>
        <v>0</v>
      </c>
      <c r="AL27" s="377">
        <f t="shared" si="33"/>
        <v>0</v>
      </c>
      <c r="AM27" s="377">
        <f t="shared" si="33"/>
        <v>0</v>
      </c>
      <c r="AN27" s="377">
        <f t="shared" si="33"/>
        <v>0</v>
      </c>
      <c r="AO27" s="377">
        <f t="shared" si="33"/>
        <v>0</v>
      </c>
      <c r="AP27" s="377">
        <f t="shared" si="33"/>
        <v>0</v>
      </c>
      <c r="AQ27" s="377">
        <f t="shared" si="33"/>
        <v>0</v>
      </c>
      <c r="AR27" s="357"/>
      <c r="AS27" s="385">
        <f t="shared" ref="AS27:AS38" si="37">SUM(AF27:AQ27)</f>
        <v>0</v>
      </c>
      <c r="AT27" s="357"/>
      <c r="AU27" s="357"/>
    </row>
    <row r="28" ht="15.75" customHeight="1">
      <c r="A28" s="374">
        <f t="shared" si="3"/>
        <v>1</v>
      </c>
      <c r="B28" s="364">
        <v>0.0</v>
      </c>
      <c r="D28" s="360" t="str">
        <f t="shared" si="4"/>
        <v>VariabiliPackaging</v>
      </c>
      <c r="E28" s="396" t="s">
        <v>1628</v>
      </c>
      <c r="F28" s="396" t="s">
        <v>1633</v>
      </c>
      <c r="G28" s="404" t="s">
        <v>1634</v>
      </c>
      <c r="H28" s="396" t="s">
        <v>1636</v>
      </c>
      <c r="I28" s="405">
        <f t="shared" ref="I28:T28" si="34">SUM(I29:I34)</f>
        <v>0</v>
      </c>
      <c r="J28" s="405">
        <f t="shared" si="34"/>
        <v>0</v>
      </c>
      <c r="K28" s="405">
        <f t="shared" si="34"/>
        <v>0</v>
      </c>
      <c r="L28" s="405">
        <f t="shared" si="34"/>
        <v>0</v>
      </c>
      <c r="M28" s="405">
        <f t="shared" si="34"/>
        <v>0</v>
      </c>
      <c r="N28" s="405">
        <f t="shared" si="34"/>
        <v>0</v>
      </c>
      <c r="O28" s="405">
        <f t="shared" si="34"/>
        <v>0</v>
      </c>
      <c r="P28" s="405">
        <f t="shared" si="34"/>
        <v>0</v>
      </c>
      <c r="Q28" s="405">
        <f t="shared" si="34"/>
        <v>0</v>
      </c>
      <c r="R28" s="405">
        <f t="shared" si="34"/>
        <v>0</v>
      </c>
      <c r="S28" s="405">
        <f t="shared" si="34"/>
        <v>0</v>
      </c>
      <c r="T28" s="405">
        <f t="shared" si="34"/>
        <v>0</v>
      </c>
      <c r="U28" s="357"/>
      <c r="V28" s="385">
        <f t="shared" si="35"/>
        <v>0</v>
      </c>
      <c r="W28" s="357"/>
      <c r="X28" s="396" t="s">
        <v>7024</v>
      </c>
      <c r="Y28" s="357"/>
      <c r="Z28" s="357"/>
      <c r="AA28" s="357"/>
      <c r="AB28" s="396" t="s">
        <v>1628</v>
      </c>
      <c r="AC28" s="396" t="s">
        <v>1633</v>
      </c>
      <c r="AD28" s="404" t="s">
        <v>1634</v>
      </c>
      <c r="AE28" s="396" t="s">
        <v>1636</v>
      </c>
      <c r="AF28" s="405">
        <f t="shared" ref="AF28:AQ28" si="36">SUM(AF29:AF34)</f>
        <v>0</v>
      </c>
      <c r="AG28" s="405">
        <f t="shared" si="36"/>
        <v>0</v>
      </c>
      <c r="AH28" s="405">
        <f t="shared" si="36"/>
        <v>0</v>
      </c>
      <c r="AI28" s="405">
        <f t="shared" si="36"/>
        <v>0</v>
      </c>
      <c r="AJ28" s="405">
        <f t="shared" si="36"/>
        <v>0</v>
      </c>
      <c r="AK28" s="405">
        <f t="shared" si="36"/>
        <v>0</v>
      </c>
      <c r="AL28" s="405">
        <f t="shared" si="36"/>
        <v>0</v>
      </c>
      <c r="AM28" s="405">
        <f t="shared" si="36"/>
        <v>0</v>
      </c>
      <c r="AN28" s="405">
        <f t="shared" si="36"/>
        <v>0</v>
      </c>
      <c r="AO28" s="405">
        <f t="shared" si="36"/>
        <v>0</v>
      </c>
      <c r="AP28" s="405">
        <f t="shared" si="36"/>
        <v>0</v>
      </c>
      <c r="AQ28" s="405">
        <f t="shared" si="36"/>
        <v>0</v>
      </c>
      <c r="AR28" s="357"/>
      <c r="AS28" s="385">
        <f t="shared" si="37"/>
        <v>0</v>
      </c>
      <c r="AT28" s="357"/>
      <c r="AU28" s="357"/>
    </row>
    <row r="29" ht="15.75" customHeight="1" outlineLevel="1">
      <c r="A29" s="374">
        <f t="shared" si="3"/>
        <v>1</v>
      </c>
      <c r="B29" s="364">
        <v>0.0</v>
      </c>
      <c r="C29" s="357"/>
      <c r="D29" s="360" t="str">
        <f t="shared" si="4"/>
        <v>0.2Cartolina</v>
      </c>
      <c r="E29" s="380"/>
      <c r="F29" s="380"/>
      <c r="G29" s="406">
        <v>0.2</v>
      </c>
      <c r="H29" s="381" t="s">
        <v>1637</v>
      </c>
      <c r="I29" s="385">
        <f t="shared" ref="I29:T29" si="38">-$G29*I$23</f>
        <v>0</v>
      </c>
      <c r="J29" s="385">
        <f t="shared" si="38"/>
        <v>0</v>
      </c>
      <c r="K29" s="385">
        <f t="shared" si="38"/>
        <v>0</v>
      </c>
      <c r="L29" s="385">
        <f t="shared" si="38"/>
        <v>0</v>
      </c>
      <c r="M29" s="385">
        <f t="shared" si="38"/>
        <v>0</v>
      </c>
      <c r="N29" s="385">
        <f t="shared" si="38"/>
        <v>0</v>
      </c>
      <c r="O29" s="385">
        <f t="shared" si="38"/>
        <v>0</v>
      </c>
      <c r="P29" s="385">
        <f t="shared" si="38"/>
        <v>0</v>
      </c>
      <c r="Q29" s="385">
        <f t="shared" si="38"/>
        <v>0</v>
      </c>
      <c r="R29" s="385">
        <f t="shared" si="38"/>
        <v>0</v>
      </c>
      <c r="S29" s="385">
        <f t="shared" si="38"/>
        <v>0</v>
      </c>
      <c r="T29" s="385">
        <f t="shared" si="38"/>
        <v>0</v>
      </c>
      <c r="U29" s="357"/>
      <c r="V29" s="385">
        <f t="shared" si="35"/>
        <v>0</v>
      </c>
      <c r="W29" s="357"/>
      <c r="X29" s="378"/>
      <c r="Y29" s="357"/>
      <c r="Z29" s="357"/>
      <c r="AA29" s="357"/>
      <c r="AB29" s="380"/>
      <c r="AC29" s="380"/>
      <c r="AD29" s="406">
        <v>0.2</v>
      </c>
      <c r="AE29" s="381" t="s">
        <v>1637</v>
      </c>
      <c r="AF29" s="385">
        <f t="shared" ref="AF29:AQ29" si="39">-$G29*AF$23</f>
        <v>0</v>
      </c>
      <c r="AG29" s="385">
        <f t="shared" si="39"/>
        <v>0</v>
      </c>
      <c r="AH29" s="385">
        <f t="shared" si="39"/>
        <v>0</v>
      </c>
      <c r="AI29" s="385">
        <f t="shared" si="39"/>
        <v>0</v>
      </c>
      <c r="AJ29" s="385">
        <f t="shared" si="39"/>
        <v>0</v>
      </c>
      <c r="AK29" s="385">
        <f t="shared" si="39"/>
        <v>0</v>
      </c>
      <c r="AL29" s="385">
        <f t="shared" si="39"/>
        <v>0</v>
      </c>
      <c r="AM29" s="385">
        <f t="shared" si="39"/>
        <v>0</v>
      </c>
      <c r="AN29" s="385">
        <f t="shared" si="39"/>
        <v>0</v>
      </c>
      <c r="AO29" s="385">
        <f t="shared" si="39"/>
        <v>0</v>
      </c>
      <c r="AP29" s="385">
        <f t="shared" si="39"/>
        <v>0</v>
      </c>
      <c r="AQ29" s="385">
        <f t="shared" si="39"/>
        <v>0</v>
      </c>
      <c r="AR29" s="357"/>
      <c r="AS29" s="385">
        <f t="shared" si="37"/>
        <v>0</v>
      </c>
      <c r="AT29" s="357"/>
      <c r="AU29" s="357"/>
    </row>
    <row r="30" ht="15.75" customHeight="1" outlineLevel="1">
      <c r="A30" s="374">
        <f t="shared" si="3"/>
        <v>1</v>
      </c>
      <c r="B30" s="364">
        <v>0.0</v>
      </c>
      <c r="C30" s="357"/>
      <c r="D30" s="360" t="str">
        <f t="shared" si="4"/>
        <v>0.3Adesivi</v>
      </c>
      <c r="E30" s="380"/>
      <c r="F30" s="380"/>
      <c r="G30" s="406">
        <v>0.3</v>
      </c>
      <c r="H30" s="381" t="s">
        <v>1638</v>
      </c>
      <c r="I30" s="385">
        <f t="shared" ref="I30:T30" si="40">-$G30*I$23</f>
        <v>0</v>
      </c>
      <c r="J30" s="385">
        <f t="shared" si="40"/>
        <v>0</v>
      </c>
      <c r="K30" s="385">
        <f t="shared" si="40"/>
        <v>0</v>
      </c>
      <c r="L30" s="385">
        <f t="shared" si="40"/>
        <v>0</v>
      </c>
      <c r="M30" s="385">
        <f t="shared" si="40"/>
        <v>0</v>
      </c>
      <c r="N30" s="385">
        <f t="shared" si="40"/>
        <v>0</v>
      </c>
      <c r="O30" s="385">
        <f t="shared" si="40"/>
        <v>0</v>
      </c>
      <c r="P30" s="385">
        <f t="shared" si="40"/>
        <v>0</v>
      </c>
      <c r="Q30" s="385">
        <f t="shared" si="40"/>
        <v>0</v>
      </c>
      <c r="R30" s="385">
        <f t="shared" si="40"/>
        <v>0</v>
      </c>
      <c r="S30" s="385">
        <f t="shared" si="40"/>
        <v>0</v>
      </c>
      <c r="T30" s="385">
        <f t="shared" si="40"/>
        <v>0</v>
      </c>
      <c r="U30" s="357"/>
      <c r="V30" s="385">
        <f t="shared" si="35"/>
        <v>0</v>
      </c>
      <c r="W30" s="357"/>
      <c r="X30" s="378"/>
      <c r="Y30" s="357"/>
      <c r="Z30" s="407"/>
      <c r="AA30" s="357"/>
      <c r="AB30" s="380"/>
      <c r="AC30" s="380"/>
      <c r="AD30" s="406">
        <v>0.3</v>
      </c>
      <c r="AE30" s="381" t="s">
        <v>1638</v>
      </c>
      <c r="AF30" s="385">
        <f t="shared" ref="AF30:AQ30" si="41">-$G30*AF$23</f>
        <v>0</v>
      </c>
      <c r="AG30" s="385">
        <f t="shared" si="41"/>
        <v>0</v>
      </c>
      <c r="AH30" s="385">
        <f t="shared" si="41"/>
        <v>0</v>
      </c>
      <c r="AI30" s="385">
        <f t="shared" si="41"/>
        <v>0</v>
      </c>
      <c r="AJ30" s="385">
        <f t="shared" si="41"/>
        <v>0</v>
      </c>
      <c r="AK30" s="385">
        <f t="shared" si="41"/>
        <v>0</v>
      </c>
      <c r="AL30" s="385">
        <f t="shared" si="41"/>
        <v>0</v>
      </c>
      <c r="AM30" s="385">
        <f t="shared" si="41"/>
        <v>0</v>
      </c>
      <c r="AN30" s="385">
        <f t="shared" si="41"/>
        <v>0</v>
      </c>
      <c r="AO30" s="385">
        <f t="shared" si="41"/>
        <v>0</v>
      </c>
      <c r="AP30" s="385">
        <f t="shared" si="41"/>
        <v>0</v>
      </c>
      <c r="AQ30" s="385">
        <f t="shared" si="41"/>
        <v>0</v>
      </c>
      <c r="AR30" s="357"/>
      <c r="AS30" s="385">
        <f t="shared" si="37"/>
        <v>0</v>
      </c>
      <c r="AT30" s="357"/>
      <c r="AU30" s="357"/>
    </row>
    <row r="31" ht="15.75" customHeight="1" outlineLevel="1">
      <c r="A31" s="374">
        <f t="shared" si="3"/>
        <v>1</v>
      </c>
      <c r="B31" s="364">
        <v>0.0</v>
      </c>
      <c r="C31" s="357"/>
      <c r="D31" s="360" t="str">
        <f t="shared" si="4"/>
        <v>1.98E-Commerce Box</v>
      </c>
      <c r="E31" s="380"/>
      <c r="F31" s="380"/>
      <c r="G31" s="408">
        <v>1.98</v>
      </c>
      <c r="H31" s="381" t="s">
        <v>1639</v>
      </c>
      <c r="I31" s="385">
        <f t="shared" ref="I31:T31" si="42">-$G31*I$8</f>
        <v>0</v>
      </c>
      <c r="J31" s="385">
        <f t="shared" si="42"/>
        <v>0</v>
      </c>
      <c r="K31" s="385">
        <f t="shared" si="42"/>
        <v>0</v>
      </c>
      <c r="L31" s="385">
        <f t="shared" si="42"/>
        <v>0</v>
      </c>
      <c r="M31" s="385">
        <f t="shared" si="42"/>
        <v>0</v>
      </c>
      <c r="N31" s="385">
        <f t="shared" si="42"/>
        <v>0</v>
      </c>
      <c r="O31" s="385">
        <f t="shared" si="42"/>
        <v>0</v>
      </c>
      <c r="P31" s="385">
        <f t="shared" si="42"/>
        <v>0</v>
      </c>
      <c r="Q31" s="385">
        <f t="shared" si="42"/>
        <v>0</v>
      </c>
      <c r="R31" s="385">
        <f t="shared" si="42"/>
        <v>0</v>
      </c>
      <c r="S31" s="385">
        <f t="shared" si="42"/>
        <v>0</v>
      </c>
      <c r="T31" s="385">
        <f t="shared" si="42"/>
        <v>0</v>
      </c>
      <c r="U31" s="357"/>
      <c r="V31" s="385">
        <f t="shared" si="35"/>
        <v>0</v>
      </c>
      <c r="W31" s="357"/>
      <c r="X31" s="378"/>
      <c r="Y31" s="357"/>
      <c r="Z31" s="401"/>
      <c r="AA31" s="401"/>
      <c r="AB31" s="380"/>
      <c r="AC31" s="380"/>
      <c r="AD31" s="408">
        <v>1.98</v>
      </c>
      <c r="AE31" s="381" t="s">
        <v>1639</v>
      </c>
      <c r="AF31" s="385">
        <f t="shared" ref="AF31:AQ31" si="43">-$G31*AF$8</f>
        <v>0</v>
      </c>
      <c r="AG31" s="385">
        <f t="shared" si="43"/>
        <v>0</v>
      </c>
      <c r="AH31" s="385">
        <f t="shared" si="43"/>
        <v>0</v>
      </c>
      <c r="AI31" s="385">
        <f t="shared" si="43"/>
        <v>0</v>
      </c>
      <c r="AJ31" s="385">
        <f t="shared" si="43"/>
        <v>0</v>
      </c>
      <c r="AK31" s="385">
        <f t="shared" si="43"/>
        <v>0</v>
      </c>
      <c r="AL31" s="385">
        <f t="shared" si="43"/>
        <v>0</v>
      </c>
      <c r="AM31" s="385">
        <f t="shared" si="43"/>
        <v>0</v>
      </c>
      <c r="AN31" s="385">
        <f t="shared" si="43"/>
        <v>0</v>
      </c>
      <c r="AO31" s="385">
        <f t="shared" si="43"/>
        <v>0</v>
      </c>
      <c r="AP31" s="385">
        <f t="shared" si="43"/>
        <v>0</v>
      </c>
      <c r="AQ31" s="385">
        <f t="shared" si="43"/>
        <v>0</v>
      </c>
      <c r="AR31" s="357"/>
      <c r="AS31" s="385">
        <f t="shared" si="37"/>
        <v>0</v>
      </c>
      <c r="AT31" s="357"/>
      <c r="AU31" s="357"/>
    </row>
    <row r="32" ht="15.75" customHeight="1" outlineLevel="1">
      <c r="A32" s="374">
        <f t="shared" si="3"/>
        <v>1</v>
      </c>
      <c r="B32" s="364">
        <v>0.0</v>
      </c>
      <c r="C32" s="357"/>
      <c r="D32" s="360" t="str">
        <f t="shared" si="4"/>
        <v>0.5Carta Velina</v>
      </c>
      <c r="E32" s="380"/>
      <c r="F32" s="380"/>
      <c r="G32" s="406">
        <v>0.5</v>
      </c>
      <c r="H32" s="381" t="s">
        <v>1640</v>
      </c>
      <c r="I32" s="385">
        <f t="shared" ref="I32:T32" si="44">-$G32*I$23</f>
        <v>0</v>
      </c>
      <c r="J32" s="385">
        <f t="shared" si="44"/>
        <v>0</v>
      </c>
      <c r="K32" s="385">
        <f t="shared" si="44"/>
        <v>0</v>
      </c>
      <c r="L32" s="385">
        <f t="shared" si="44"/>
        <v>0</v>
      </c>
      <c r="M32" s="385">
        <f t="shared" si="44"/>
        <v>0</v>
      </c>
      <c r="N32" s="385">
        <f t="shared" si="44"/>
        <v>0</v>
      </c>
      <c r="O32" s="385">
        <f t="shared" si="44"/>
        <v>0</v>
      </c>
      <c r="P32" s="385">
        <f t="shared" si="44"/>
        <v>0</v>
      </c>
      <c r="Q32" s="385">
        <f t="shared" si="44"/>
        <v>0</v>
      </c>
      <c r="R32" s="385">
        <f t="shared" si="44"/>
        <v>0</v>
      </c>
      <c r="S32" s="385">
        <f t="shared" si="44"/>
        <v>0</v>
      </c>
      <c r="T32" s="385">
        <f t="shared" si="44"/>
        <v>0</v>
      </c>
      <c r="U32" s="357"/>
      <c r="V32" s="385">
        <f t="shared" si="35"/>
        <v>0</v>
      </c>
      <c r="W32" s="357"/>
      <c r="X32" s="378"/>
      <c r="Y32" s="357"/>
      <c r="Z32" s="402"/>
      <c r="AA32" s="403"/>
      <c r="AB32" s="380"/>
      <c r="AC32" s="380"/>
      <c r="AD32" s="406">
        <v>0.5</v>
      </c>
      <c r="AE32" s="381" t="s">
        <v>1640</v>
      </c>
      <c r="AF32" s="385">
        <f t="shared" ref="AF32:AQ32" si="45">-$G32*AF$23</f>
        <v>0</v>
      </c>
      <c r="AG32" s="385">
        <f t="shared" si="45"/>
        <v>0</v>
      </c>
      <c r="AH32" s="385">
        <f t="shared" si="45"/>
        <v>0</v>
      </c>
      <c r="AI32" s="385">
        <f t="shared" si="45"/>
        <v>0</v>
      </c>
      <c r="AJ32" s="385">
        <f t="shared" si="45"/>
        <v>0</v>
      </c>
      <c r="AK32" s="385">
        <f t="shared" si="45"/>
        <v>0</v>
      </c>
      <c r="AL32" s="385">
        <f t="shared" si="45"/>
        <v>0</v>
      </c>
      <c r="AM32" s="385">
        <f t="shared" si="45"/>
        <v>0</v>
      </c>
      <c r="AN32" s="385">
        <f t="shared" si="45"/>
        <v>0</v>
      </c>
      <c r="AO32" s="385">
        <f t="shared" si="45"/>
        <v>0</v>
      </c>
      <c r="AP32" s="385">
        <f t="shared" si="45"/>
        <v>0</v>
      </c>
      <c r="AQ32" s="385">
        <f t="shared" si="45"/>
        <v>0</v>
      </c>
      <c r="AR32" s="357"/>
      <c r="AS32" s="385">
        <f t="shared" si="37"/>
        <v>0</v>
      </c>
      <c r="AT32" s="357"/>
      <c r="AU32" s="357"/>
    </row>
    <row r="33" ht="15.75" customHeight="1" outlineLevel="1">
      <c r="A33" s="374">
        <f t="shared" si="3"/>
        <v>1</v>
      </c>
      <c r="B33" s="364">
        <v>0.0</v>
      </c>
      <c r="C33" s="357"/>
      <c r="D33" s="360" t="str">
        <f t="shared" si="4"/>
        <v>1.25Sachetto di Cotone</v>
      </c>
      <c r="E33" s="380"/>
      <c r="F33" s="380"/>
      <c r="G33" s="406">
        <v>1.25</v>
      </c>
      <c r="H33" s="381" t="s">
        <v>1641</v>
      </c>
      <c r="I33" s="385">
        <f t="shared" ref="I33:T33" si="46">-$G33*I$23</f>
        <v>0</v>
      </c>
      <c r="J33" s="385">
        <f t="shared" si="46"/>
        <v>0</v>
      </c>
      <c r="K33" s="385">
        <f t="shared" si="46"/>
        <v>0</v>
      </c>
      <c r="L33" s="385">
        <f t="shared" si="46"/>
        <v>0</v>
      </c>
      <c r="M33" s="385">
        <f t="shared" si="46"/>
        <v>0</v>
      </c>
      <c r="N33" s="385">
        <f t="shared" si="46"/>
        <v>0</v>
      </c>
      <c r="O33" s="385">
        <f t="shared" si="46"/>
        <v>0</v>
      </c>
      <c r="P33" s="385">
        <f t="shared" si="46"/>
        <v>0</v>
      </c>
      <c r="Q33" s="385">
        <f t="shared" si="46"/>
        <v>0</v>
      </c>
      <c r="R33" s="385">
        <f t="shared" si="46"/>
        <v>0</v>
      </c>
      <c r="S33" s="385">
        <f t="shared" si="46"/>
        <v>0</v>
      </c>
      <c r="T33" s="385">
        <f t="shared" si="46"/>
        <v>0</v>
      </c>
      <c r="U33" s="357"/>
      <c r="V33" s="385">
        <f t="shared" si="35"/>
        <v>0</v>
      </c>
      <c r="W33" s="357"/>
      <c r="X33" s="378"/>
      <c r="Y33" s="357"/>
      <c r="Z33" s="357"/>
      <c r="AA33" s="357"/>
      <c r="AB33" s="380"/>
      <c r="AC33" s="380"/>
      <c r="AD33" s="406">
        <v>1.25</v>
      </c>
      <c r="AE33" s="381" t="s">
        <v>1641</v>
      </c>
      <c r="AF33" s="385">
        <f t="shared" ref="AF33:AQ33" si="47">-$G33*AF$23</f>
        <v>0</v>
      </c>
      <c r="AG33" s="385">
        <f t="shared" si="47"/>
        <v>0</v>
      </c>
      <c r="AH33" s="385">
        <f t="shared" si="47"/>
        <v>0</v>
      </c>
      <c r="AI33" s="385">
        <f t="shared" si="47"/>
        <v>0</v>
      </c>
      <c r="AJ33" s="385">
        <f t="shared" si="47"/>
        <v>0</v>
      </c>
      <c r="AK33" s="385">
        <f t="shared" si="47"/>
        <v>0</v>
      </c>
      <c r="AL33" s="385">
        <f t="shared" si="47"/>
        <v>0</v>
      </c>
      <c r="AM33" s="385">
        <f t="shared" si="47"/>
        <v>0</v>
      </c>
      <c r="AN33" s="385">
        <f t="shared" si="47"/>
        <v>0</v>
      </c>
      <c r="AO33" s="385">
        <f t="shared" si="47"/>
        <v>0</v>
      </c>
      <c r="AP33" s="385">
        <f t="shared" si="47"/>
        <v>0</v>
      </c>
      <c r="AQ33" s="385">
        <f t="shared" si="47"/>
        <v>0</v>
      </c>
      <c r="AR33" s="357"/>
      <c r="AS33" s="385">
        <f t="shared" si="37"/>
        <v>0</v>
      </c>
      <c r="AT33" s="357"/>
      <c r="AU33" s="357"/>
    </row>
    <row r="34" ht="15.75" customHeight="1" outlineLevel="1">
      <c r="A34" s="374">
        <f t="shared" si="3"/>
        <v>1</v>
      </c>
      <c r="B34" s="364">
        <v>0.0</v>
      </c>
      <c r="C34" s="357"/>
      <c r="D34" s="360" t="str">
        <f t="shared" si="4"/>
        <v>0.15Sachetto di Carta</v>
      </c>
      <c r="E34" s="380"/>
      <c r="F34" s="380"/>
      <c r="G34" s="406">
        <v>0.15</v>
      </c>
      <c r="H34" s="381" t="s">
        <v>7025</v>
      </c>
      <c r="I34" s="385">
        <f t="shared" ref="I34:T34" si="48">-$G34*I$23</f>
        <v>0</v>
      </c>
      <c r="J34" s="385">
        <f t="shared" si="48"/>
        <v>0</v>
      </c>
      <c r="K34" s="385">
        <f t="shared" si="48"/>
        <v>0</v>
      </c>
      <c r="L34" s="385">
        <f t="shared" si="48"/>
        <v>0</v>
      </c>
      <c r="M34" s="385">
        <f t="shared" si="48"/>
        <v>0</v>
      </c>
      <c r="N34" s="385">
        <f t="shared" si="48"/>
        <v>0</v>
      </c>
      <c r="O34" s="385">
        <f t="shared" si="48"/>
        <v>0</v>
      </c>
      <c r="P34" s="385">
        <f t="shared" si="48"/>
        <v>0</v>
      </c>
      <c r="Q34" s="385">
        <f t="shared" si="48"/>
        <v>0</v>
      </c>
      <c r="R34" s="385">
        <f t="shared" si="48"/>
        <v>0</v>
      </c>
      <c r="S34" s="385">
        <f t="shared" si="48"/>
        <v>0</v>
      </c>
      <c r="T34" s="385">
        <f t="shared" si="48"/>
        <v>0</v>
      </c>
      <c r="U34" s="357"/>
      <c r="V34" s="385">
        <f t="shared" si="35"/>
        <v>0</v>
      </c>
      <c r="W34" s="357"/>
      <c r="X34" s="378"/>
      <c r="Y34" s="357"/>
      <c r="Z34" s="357"/>
      <c r="AA34" s="357"/>
      <c r="AB34" s="380"/>
      <c r="AC34" s="380"/>
      <c r="AD34" s="406">
        <v>0.15</v>
      </c>
      <c r="AE34" s="381" t="s">
        <v>7025</v>
      </c>
      <c r="AF34" s="385">
        <f t="shared" ref="AF34:AQ34" si="49">-$G34*AF$23</f>
        <v>0</v>
      </c>
      <c r="AG34" s="385">
        <f t="shared" si="49"/>
        <v>0</v>
      </c>
      <c r="AH34" s="385">
        <f t="shared" si="49"/>
        <v>0</v>
      </c>
      <c r="AI34" s="385">
        <f t="shared" si="49"/>
        <v>0</v>
      </c>
      <c r="AJ34" s="385">
        <f t="shared" si="49"/>
        <v>0</v>
      </c>
      <c r="AK34" s="385">
        <f t="shared" si="49"/>
        <v>0</v>
      </c>
      <c r="AL34" s="385">
        <f t="shared" si="49"/>
        <v>0</v>
      </c>
      <c r="AM34" s="385">
        <f t="shared" si="49"/>
        <v>0</v>
      </c>
      <c r="AN34" s="385">
        <f t="shared" si="49"/>
        <v>0</v>
      </c>
      <c r="AO34" s="385">
        <f t="shared" si="49"/>
        <v>0</v>
      </c>
      <c r="AP34" s="385">
        <f t="shared" si="49"/>
        <v>0</v>
      </c>
      <c r="AQ34" s="385">
        <f t="shared" si="49"/>
        <v>0</v>
      </c>
      <c r="AR34" s="357"/>
      <c r="AS34" s="385">
        <f t="shared" si="37"/>
        <v>0</v>
      </c>
      <c r="AT34" s="357"/>
      <c r="AU34" s="357"/>
    </row>
    <row r="35" ht="15.75" customHeight="1">
      <c r="A35" s="374">
        <f t="shared" si="3"/>
        <v>1.53</v>
      </c>
      <c r="B35" s="364">
        <f t="shared" ref="B35:B36" si="52">$B$5</f>
        <v>0.53</v>
      </c>
      <c r="D35" s="360" t="str">
        <f t="shared" si="4"/>
        <v>VariabiliCommissioni sui pagamenti</v>
      </c>
      <c r="E35" s="375" t="s">
        <v>1628</v>
      </c>
      <c r="F35" s="375" t="s">
        <v>1633</v>
      </c>
      <c r="G35" s="376" t="s">
        <v>1634</v>
      </c>
      <c r="H35" s="375" t="s">
        <v>1643</v>
      </c>
      <c r="I35" s="385">
        <f>SUMIFS('DB Shopify'!$CI:$CI,'DB Shopify'!$CC:$CC,'BUDGET 2026 DRAFT1'!I$2,'DB Shopify'!$CD:$CD,'BUDGET 2026 DRAFT1'!I$3)</f>
        <v>0</v>
      </c>
      <c r="J35" s="385">
        <f>SUMIFS('DB Shopify'!$CI:$CI,'DB Shopify'!$CC:$CC,'BUDGET 2026 DRAFT1'!J$2,'DB Shopify'!$CD:$CD,'BUDGET 2026 DRAFT1'!J$3)</f>
        <v>0</v>
      </c>
      <c r="K35" s="385">
        <f>SUMIFS('DB Shopify'!$CI:$CI,'DB Shopify'!$CC:$CC,'BUDGET 2026 DRAFT1'!K$2,'DB Shopify'!$CD:$CD,'BUDGET 2026 DRAFT1'!K$3)</f>
        <v>0</v>
      </c>
      <c r="L35" s="385">
        <f>SUMIFS('DB Shopify'!$CI:$CI,'DB Shopify'!$CC:$CC,'BUDGET 2026 DRAFT1'!L$2,'DB Shopify'!$CD:$CD,'BUDGET 2026 DRAFT1'!L$3)</f>
        <v>0</v>
      </c>
      <c r="M35" s="385">
        <f t="shared" ref="M35:T35" si="50">(0.016*M16+0.26*M8)*-1</f>
        <v>0</v>
      </c>
      <c r="N35" s="385">
        <f t="shared" si="50"/>
        <v>0</v>
      </c>
      <c r="O35" s="385">
        <f t="shared" si="50"/>
        <v>0</v>
      </c>
      <c r="P35" s="385">
        <f t="shared" si="50"/>
        <v>0</v>
      </c>
      <c r="Q35" s="385">
        <f t="shared" si="50"/>
        <v>0</v>
      </c>
      <c r="R35" s="385">
        <f t="shared" si="50"/>
        <v>0</v>
      </c>
      <c r="S35" s="385">
        <f t="shared" si="50"/>
        <v>0</v>
      </c>
      <c r="T35" s="385">
        <f t="shared" si="50"/>
        <v>0</v>
      </c>
      <c r="U35" s="357"/>
      <c r="V35" s="385">
        <f t="shared" si="35"/>
        <v>0</v>
      </c>
      <c r="W35" s="357">
        <f>0.005*V35</f>
        <v>0</v>
      </c>
      <c r="X35" s="378"/>
      <c r="Y35" s="357"/>
      <c r="Z35" s="364"/>
      <c r="AA35" s="357"/>
      <c r="AB35" s="375" t="s">
        <v>1628</v>
      </c>
      <c r="AC35" s="375" t="s">
        <v>1633</v>
      </c>
      <c r="AD35" s="376" t="s">
        <v>1634</v>
      </c>
      <c r="AE35" s="375" t="s">
        <v>1643</v>
      </c>
      <c r="AF35" s="377">
        <f t="shared" ref="AF35:AQ35" si="51">I35*$A35</f>
        <v>0</v>
      </c>
      <c r="AG35" s="377">
        <f t="shared" si="51"/>
        <v>0</v>
      </c>
      <c r="AH35" s="377">
        <f t="shared" si="51"/>
        <v>0</v>
      </c>
      <c r="AI35" s="377">
        <f t="shared" si="51"/>
        <v>0</v>
      </c>
      <c r="AJ35" s="377">
        <f t="shared" si="51"/>
        <v>0</v>
      </c>
      <c r="AK35" s="377">
        <f t="shared" si="51"/>
        <v>0</v>
      </c>
      <c r="AL35" s="377">
        <f t="shared" si="51"/>
        <v>0</v>
      </c>
      <c r="AM35" s="377">
        <f t="shared" si="51"/>
        <v>0</v>
      </c>
      <c r="AN35" s="377">
        <f t="shared" si="51"/>
        <v>0</v>
      </c>
      <c r="AO35" s="377">
        <f t="shared" si="51"/>
        <v>0</v>
      </c>
      <c r="AP35" s="377">
        <f t="shared" si="51"/>
        <v>0</v>
      </c>
      <c r="AQ35" s="377">
        <f t="shared" si="51"/>
        <v>0</v>
      </c>
      <c r="AR35" s="357"/>
      <c r="AS35" s="385">
        <f t="shared" si="37"/>
        <v>0</v>
      </c>
      <c r="AT35" s="357"/>
      <c r="AU35" s="357"/>
    </row>
    <row r="36" ht="15.75" customHeight="1">
      <c r="A36" s="374">
        <f t="shared" si="3"/>
        <v>1.53</v>
      </c>
      <c r="B36" s="364">
        <f t="shared" si="52"/>
        <v>0.53</v>
      </c>
      <c r="C36" s="409" t="s">
        <v>1665</v>
      </c>
      <c r="D36" s="360" t="str">
        <f t="shared" si="4"/>
        <v>VariabiliLogistica</v>
      </c>
      <c r="E36" s="410" t="s">
        <v>1628</v>
      </c>
      <c r="F36" s="410" t="s">
        <v>1633</v>
      </c>
      <c r="G36" s="404" t="s">
        <v>1634</v>
      </c>
      <c r="H36" s="396" t="s">
        <v>1644</v>
      </c>
      <c r="I36" s="385" t="str">
        <f>SUMIFS('EXPENSES MASTER'!$F:$F,'EXPENSES MASTER'!$G:$G,'BUDGET 2026 DRAFT1'!$H$44,'EXPENSES MASTER'!$B:$B,'BUDGET 2026 DRAFT1'!I$3,#REF!,'BUDGET 2026 DRAFT1'!$C36)</f>
        <v>#VALUE!</v>
      </c>
      <c r="J36" s="385" t="str">
        <f>SUMIFS('EXPENSES MASTER'!$F:$F,'EXPENSES MASTER'!$G:$G,'BUDGET 2026 DRAFT1'!$H$44,'EXPENSES MASTER'!$B:$B,'BUDGET 2026 DRAFT1'!J$3,#REF!,'BUDGET 2026 DRAFT1'!$C36)</f>
        <v>#VALUE!</v>
      </c>
      <c r="K36" s="385" t="str">
        <f>SUMIFS('EXPENSES MASTER'!$F:$F,'EXPENSES MASTER'!$G:$G,'BUDGET 2026 DRAFT1'!$H$44,'EXPENSES MASTER'!$B:$B,'BUDGET 2026 DRAFT1'!K$3,#REF!,'BUDGET 2026 DRAFT1'!$C36)</f>
        <v>#VALUE!</v>
      </c>
      <c r="L36" s="385" t="str">
        <f>SUMIFS('EXPENSES MASTER'!$F:$F,'EXPENSES MASTER'!$G:$G,'BUDGET 2026 DRAFT1'!$H$44,'EXPENSES MASTER'!$B:$B,'BUDGET 2026 DRAFT1'!L$3,#REF!,'BUDGET 2026 DRAFT1'!$C36)</f>
        <v>#VALUE!</v>
      </c>
      <c r="M36" s="385" t="str">
        <f>SUMIFS('EXPENSES MASTER'!$F:$F,'EXPENSES MASTER'!$G:$G,'BUDGET 2026 DRAFT1'!$H$44,'EXPENSES MASTER'!$B:$B,'BUDGET 2026 DRAFT1'!M$3,#REF!,'BUDGET 2026 DRAFT1'!$C36)</f>
        <v>#VALUE!</v>
      </c>
      <c r="N36" s="385" t="str">
        <f>SUMIFS('EXPENSES MASTER'!$F:$F,'EXPENSES MASTER'!$G:$G,'BUDGET 2026 DRAFT1'!$H$44,'EXPENSES MASTER'!$B:$B,'BUDGET 2026 DRAFT1'!N$3,#REF!,'BUDGET 2026 DRAFT1'!$C36)</f>
        <v>#VALUE!</v>
      </c>
      <c r="O36" s="385" t="str">
        <f>SUMIFS('EXPENSES MASTER'!$F:$F,'EXPENSES MASTER'!$G:$G,'BUDGET 2026 DRAFT1'!$H$44,'EXPENSES MASTER'!$B:$B,'BUDGET 2026 DRAFT1'!O$3,#REF!,'BUDGET 2026 DRAFT1'!$C36)</f>
        <v>#VALUE!</v>
      </c>
      <c r="P36" s="385" t="str">
        <f>SUMIFS('EXPENSES MASTER'!$F:$F,'EXPENSES MASTER'!$G:$G,'BUDGET 2026 DRAFT1'!$H$44,'EXPENSES MASTER'!$B:$B,'BUDGET 2026 DRAFT1'!P$3,#REF!,'BUDGET 2026 DRAFT1'!$C36)</f>
        <v>#VALUE!</v>
      </c>
      <c r="Q36" s="385" t="str">
        <f>SUMIFS('EXPENSES MASTER'!$F:$F,'EXPENSES MASTER'!$G:$G,'BUDGET 2026 DRAFT1'!$H$44,'EXPENSES MASTER'!$B:$B,'BUDGET 2026 DRAFT1'!Q$3,#REF!,'BUDGET 2026 DRAFT1'!$C36)</f>
        <v>#VALUE!</v>
      </c>
      <c r="R36" s="385" t="str">
        <f>SUMIFS('EXPENSES MASTER'!$F:$F,'EXPENSES MASTER'!$G:$G,'BUDGET 2026 DRAFT1'!$H$44,'EXPENSES MASTER'!$B:$B,'BUDGET 2026 DRAFT1'!R$3,#REF!,'BUDGET 2026 DRAFT1'!$C36)</f>
        <v>#VALUE!</v>
      </c>
      <c r="S36" s="385" t="str">
        <f>SUMIFS('EXPENSES MASTER'!$F:$F,'EXPENSES MASTER'!$G:$G,'BUDGET 2026 DRAFT1'!$H$44,'EXPENSES MASTER'!$B:$B,'BUDGET 2026 DRAFT1'!S$3,#REF!,'BUDGET 2026 DRAFT1'!$C36)</f>
        <v>#VALUE!</v>
      </c>
      <c r="T36" s="385" t="str">
        <f>SUMIFS('EXPENSES MASTER'!$F:$F,'EXPENSES MASTER'!$G:$G,'BUDGET 2026 DRAFT1'!$H$44,'EXPENSES MASTER'!$B:$B,'BUDGET 2026 DRAFT1'!T$3,#REF!,'BUDGET 2026 DRAFT1'!$C36)</f>
        <v>#VALUE!</v>
      </c>
      <c r="U36" s="357"/>
      <c r="V36" s="385" t="str">
        <f t="shared" si="35"/>
        <v>#VALUE!</v>
      </c>
      <c r="W36" s="357"/>
      <c r="X36" s="378"/>
      <c r="Y36" s="357"/>
      <c r="Z36" s="401"/>
      <c r="AA36" s="401"/>
      <c r="AB36" s="410" t="s">
        <v>1628</v>
      </c>
      <c r="AC36" s="410" t="s">
        <v>1633</v>
      </c>
      <c r="AD36" s="404" t="s">
        <v>1634</v>
      </c>
      <c r="AE36" s="396" t="s">
        <v>1644</v>
      </c>
      <c r="AF36" s="377" t="str">
        <f t="shared" ref="AF36:AQ36" si="53">I36*$A36</f>
        <v>#VALUE!</v>
      </c>
      <c r="AG36" s="377" t="str">
        <f t="shared" si="53"/>
        <v>#VALUE!</v>
      </c>
      <c r="AH36" s="377" t="str">
        <f t="shared" si="53"/>
        <v>#VALUE!</v>
      </c>
      <c r="AI36" s="377" t="str">
        <f t="shared" si="53"/>
        <v>#VALUE!</v>
      </c>
      <c r="AJ36" s="377" t="str">
        <f t="shared" si="53"/>
        <v>#VALUE!</v>
      </c>
      <c r="AK36" s="377" t="str">
        <f t="shared" si="53"/>
        <v>#VALUE!</v>
      </c>
      <c r="AL36" s="377" t="str">
        <f t="shared" si="53"/>
        <v>#VALUE!</v>
      </c>
      <c r="AM36" s="377" t="str">
        <f t="shared" si="53"/>
        <v>#VALUE!</v>
      </c>
      <c r="AN36" s="377" t="str">
        <f t="shared" si="53"/>
        <v>#VALUE!</v>
      </c>
      <c r="AO36" s="377" t="str">
        <f t="shared" si="53"/>
        <v>#VALUE!</v>
      </c>
      <c r="AP36" s="377" t="str">
        <f t="shared" si="53"/>
        <v>#VALUE!</v>
      </c>
      <c r="AQ36" s="377" t="str">
        <f t="shared" si="53"/>
        <v>#VALUE!</v>
      </c>
      <c r="AR36" s="357"/>
      <c r="AS36" s="385" t="str">
        <f t="shared" si="37"/>
        <v>#VALUE!</v>
      </c>
      <c r="AT36" s="357"/>
      <c r="AU36" s="357"/>
    </row>
    <row r="37" ht="15.75" customHeight="1">
      <c r="A37" s="374">
        <f t="shared" si="3"/>
        <v>1.65</v>
      </c>
      <c r="B37" s="364">
        <v>0.65</v>
      </c>
      <c r="C37" s="357"/>
      <c r="D37" s="360" t="str">
        <f t="shared" si="4"/>
        <v>VariabiliResi</v>
      </c>
      <c r="E37" s="375" t="s">
        <v>1628</v>
      </c>
      <c r="F37" s="375" t="s">
        <v>1633</v>
      </c>
      <c r="G37" s="376" t="s">
        <v>1634</v>
      </c>
      <c r="H37" s="375" t="s">
        <v>1645</v>
      </c>
      <c r="I37" s="385">
        <f>-SUMIFS('DB Shopify'!$AX:$AX,'DB Shopify'!$CC:$CC,'BUDGET 2026 DRAFT1'!I$2,'DB Shopify'!$CD:$CD,'BUDGET 2026 DRAFT1'!I$3)</f>
        <v>0</v>
      </c>
      <c r="J37" s="385">
        <f>-SUMIFS('DB Shopify'!$AX:$AX,'DB Shopify'!$CC:$CC,'BUDGET 2026 DRAFT1'!J$2,'DB Shopify'!$CD:$CD,'BUDGET 2026 DRAFT1'!J$3)</f>
        <v>0</v>
      </c>
      <c r="K37" s="385">
        <f>-SUMIFS('DB Shopify'!$AX:$AX,'DB Shopify'!$CC:$CC,'BUDGET 2026 DRAFT1'!K$2,'DB Shopify'!$CD:$CD,'BUDGET 2026 DRAFT1'!K$3)</f>
        <v>0</v>
      </c>
      <c r="L37" s="385">
        <f>-SUMIFS('DB Shopify'!$AX:$AX,'DB Shopify'!$CC:$CC,'BUDGET 2026 DRAFT1'!L$2,'DB Shopify'!$CD:$CD,'BUDGET 2026 DRAFT1'!L$3)</f>
        <v>0</v>
      </c>
      <c r="M37" s="377">
        <f>-SUMIFS('DB Shopify'!$AX:$AX,'DB Shopify'!$CC:$CC,'BUDGET 2026 DRAFT1'!M$2,'DB Shopify'!$CD:$CD,'BUDGET 2026 DRAFT1'!M$3)</f>
        <v>0</v>
      </c>
      <c r="N37" s="377">
        <f>-SUMIFS('DB Shopify'!$AX:$AX,'DB Shopify'!$CC:$CC,'BUDGET 2026 DRAFT1'!N$2,'DB Shopify'!$CD:$CD,'BUDGET 2026 DRAFT1'!N$3)</f>
        <v>0</v>
      </c>
      <c r="O37" s="377">
        <f>-SUMIFS('DB Shopify'!$AX:$AX,'DB Shopify'!$CC:$CC,'BUDGET 2026 DRAFT1'!O$2,'DB Shopify'!$CD:$CD,'BUDGET 2026 DRAFT1'!O$3)</f>
        <v>0</v>
      </c>
      <c r="P37" s="377">
        <f>-SUMIFS('DB Shopify'!$AX:$AX,'DB Shopify'!$CC:$CC,'BUDGET 2026 DRAFT1'!P$2,'DB Shopify'!$CD:$CD,'BUDGET 2026 DRAFT1'!P$3)</f>
        <v>0</v>
      </c>
      <c r="Q37" s="377">
        <f>-SUMIFS('DB Shopify'!$AX:$AX,'DB Shopify'!$CC:$CC,'BUDGET 2026 DRAFT1'!Q$2,'DB Shopify'!$CD:$CD,'BUDGET 2026 DRAFT1'!Q$3)</f>
        <v>0</v>
      </c>
      <c r="R37" s="377">
        <f>-SUMIFS('DB Shopify'!$AX:$AX,'DB Shopify'!$CC:$CC,'BUDGET 2026 DRAFT1'!R$2,'DB Shopify'!$CD:$CD,'BUDGET 2026 DRAFT1'!R$3)</f>
        <v>0</v>
      </c>
      <c r="S37" s="377">
        <f>-SUMIFS('DB Shopify'!$AX:$AX,'DB Shopify'!$CC:$CC,'BUDGET 2026 DRAFT1'!S$2,'DB Shopify'!$CD:$CD,'BUDGET 2026 DRAFT1'!S$3)</f>
        <v>0</v>
      </c>
      <c r="T37" s="377">
        <f>-SUMIFS('DB Shopify'!$AX:$AX,'DB Shopify'!$CC:$CC,'BUDGET 2026 DRAFT1'!T$2,'DB Shopify'!$CD:$CD,'BUDGET 2026 DRAFT1'!T$3)</f>
        <v>0</v>
      </c>
      <c r="U37" s="357"/>
      <c r="V37" s="385">
        <f t="shared" si="35"/>
        <v>0</v>
      </c>
      <c r="W37" s="357"/>
      <c r="X37" s="378"/>
      <c r="Y37" s="357"/>
      <c r="Z37" s="402"/>
      <c r="AA37" s="403"/>
      <c r="AB37" s="375" t="s">
        <v>1628</v>
      </c>
      <c r="AC37" s="375" t="s">
        <v>1633</v>
      </c>
      <c r="AD37" s="376" t="s">
        <v>1634</v>
      </c>
      <c r="AE37" s="375" t="s">
        <v>1645</v>
      </c>
      <c r="AF37" s="377">
        <f t="shared" ref="AF37:AQ37" si="54">I37*$A37</f>
        <v>0</v>
      </c>
      <c r="AG37" s="377">
        <f t="shared" si="54"/>
        <v>0</v>
      </c>
      <c r="AH37" s="377">
        <f t="shared" si="54"/>
        <v>0</v>
      </c>
      <c r="AI37" s="377">
        <f t="shared" si="54"/>
        <v>0</v>
      </c>
      <c r="AJ37" s="377">
        <f t="shared" si="54"/>
        <v>0</v>
      </c>
      <c r="AK37" s="377">
        <f t="shared" si="54"/>
        <v>0</v>
      </c>
      <c r="AL37" s="377">
        <f t="shared" si="54"/>
        <v>0</v>
      </c>
      <c r="AM37" s="377">
        <f t="shared" si="54"/>
        <v>0</v>
      </c>
      <c r="AN37" s="377">
        <f t="shared" si="54"/>
        <v>0</v>
      </c>
      <c r="AO37" s="377">
        <f t="shared" si="54"/>
        <v>0</v>
      </c>
      <c r="AP37" s="377">
        <f t="shared" si="54"/>
        <v>0</v>
      </c>
      <c r="AQ37" s="377">
        <f t="shared" si="54"/>
        <v>0</v>
      </c>
      <c r="AR37" s="357"/>
      <c r="AS37" s="385">
        <f t="shared" si="37"/>
        <v>0</v>
      </c>
      <c r="AT37" s="357"/>
      <c r="AU37" s="357"/>
    </row>
    <row r="38" ht="15.75" customHeight="1">
      <c r="A38" s="374">
        <f t="shared" si="3"/>
        <v>1</v>
      </c>
      <c r="B38" s="364">
        <v>0.0</v>
      </c>
      <c r="C38" s="357"/>
      <c r="D38" s="360" t="str">
        <f t="shared" si="4"/>
        <v>VariabiliTotal</v>
      </c>
      <c r="E38" s="392" t="s">
        <v>1628</v>
      </c>
      <c r="F38" s="392" t="s">
        <v>1633</v>
      </c>
      <c r="G38" s="411" t="s">
        <v>1634</v>
      </c>
      <c r="H38" s="392" t="s">
        <v>1646</v>
      </c>
      <c r="I38" s="393" t="str">
        <f t="shared" ref="I38:T38" si="55">I27+I28+I35+I36+I37</f>
        <v>#VALUE!</v>
      </c>
      <c r="J38" s="393" t="str">
        <f t="shared" si="55"/>
        <v>#VALUE!</v>
      </c>
      <c r="K38" s="393" t="str">
        <f t="shared" si="55"/>
        <v>#VALUE!</v>
      </c>
      <c r="L38" s="393" t="str">
        <f t="shared" si="55"/>
        <v>#VALUE!</v>
      </c>
      <c r="M38" s="393" t="str">
        <f t="shared" si="55"/>
        <v>#VALUE!</v>
      </c>
      <c r="N38" s="393" t="str">
        <f t="shared" si="55"/>
        <v>#VALUE!</v>
      </c>
      <c r="O38" s="393" t="str">
        <f t="shared" si="55"/>
        <v>#VALUE!</v>
      </c>
      <c r="P38" s="393" t="str">
        <f t="shared" si="55"/>
        <v>#VALUE!</v>
      </c>
      <c r="Q38" s="393" t="str">
        <f t="shared" si="55"/>
        <v>#VALUE!</v>
      </c>
      <c r="R38" s="393" t="str">
        <f t="shared" si="55"/>
        <v>#VALUE!</v>
      </c>
      <c r="S38" s="393" t="str">
        <f t="shared" si="55"/>
        <v>#VALUE!</v>
      </c>
      <c r="T38" s="393" t="str">
        <f t="shared" si="55"/>
        <v>#VALUE!</v>
      </c>
      <c r="U38" s="357"/>
      <c r="V38" s="393" t="str">
        <f t="shared" si="35"/>
        <v>#VALUE!</v>
      </c>
      <c r="W38" s="357"/>
      <c r="X38" s="393">
        <f>SUM(X27:X37)</f>
        <v>-48320.76</v>
      </c>
      <c r="Z38" s="357"/>
      <c r="AA38" s="357"/>
      <c r="AB38" s="392" t="s">
        <v>1628</v>
      </c>
      <c r="AC38" s="392" t="s">
        <v>1633</v>
      </c>
      <c r="AD38" s="411" t="s">
        <v>1634</v>
      </c>
      <c r="AE38" s="392" t="s">
        <v>1646</v>
      </c>
      <c r="AF38" s="393" t="str">
        <f t="shared" ref="AF38:AQ38" si="56">AF27+AF28+AF35+AF36+AF37</f>
        <v>#VALUE!</v>
      </c>
      <c r="AG38" s="393" t="str">
        <f t="shared" si="56"/>
        <v>#VALUE!</v>
      </c>
      <c r="AH38" s="393" t="str">
        <f t="shared" si="56"/>
        <v>#VALUE!</v>
      </c>
      <c r="AI38" s="393" t="str">
        <f t="shared" si="56"/>
        <v>#VALUE!</v>
      </c>
      <c r="AJ38" s="393" t="str">
        <f t="shared" si="56"/>
        <v>#VALUE!</v>
      </c>
      <c r="AK38" s="393" t="str">
        <f t="shared" si="56"/>
        <v>#VALUE!</v>
      </c>
      <c r="AL38" s="393" t="str">
        <f t="shared" si="56"/>
        <v>#VALUE!</v>
      </c>
      <c r="AM38" s="393" t="str">
        <f t="shared" si="56"/>
        <v>#VALUE!</v>
      </c>
      <c r="AN38" s="393" t="str">
        <f t="shared" si="56"/>
        <v>#VALUE!</v>
      </c>
      <c r="AO38" s="393" t="str">
        <f t="shared" si="56"/>
        <v>#VALUE!</v>
      </c>
      <c r="AP38" s="393" t="str">
        <f t="shared" si="56"/>
        <v>#VALUE!</v>
      </c>
      <c r="AQ38" s="393" t="str">
        <f t="shared" si="56"/>
        <v>#VALUE!</v>
      </c>
      <c r="AR38" s="357"/>
      <c r="AS38" s="393" t="str">
        <f t="shared" si="37"/>
        <v>#VALUE!</v>
      </c>
      <c r="AT38" s="357"/>
      <c r="AU38" s="357"/>
    </row>
    <row r="39" ht="15.75" customHeight="1">
      <c r="A39" s="374">
        <f t="shared" si="3"/>
        <v>1</v>
      </c>
      <c r="B39" s="364"/>
      <c r="C39" s="357"/>
      <c r="D39" s="360" t="str">
        <f t="shared" si="4"/>
        <v/>
      </c>
      <c r="E39" s="412"/>
      <c r="F39" s="357"/>
      <c r="G39" s="357"/>
      <c r="H39" s="357"/>
      <c r="I39" s="401"/>
      <c r="J39" s="401"/>
      <c r="K39" s="401"/>
      <c r="L39" s="401"/>
      <c r="M39" s="401"/>
      <c r="N39" s="401"/>
      <c r="O39" s="401"/>
      <c r="P39" s="401"/>
      <c r="Q39" s="401"/>
      <c r="R39" s="401"/>
      <c r="S39" s="401"/>
      <c r="T39" s="401"/>
      <c r="U39" s="357"/>
      <c r="V39" s="391" t="str">
        <f>1+V38/V25</f>
        <v>#VALUE!</v>
      </c>
      <c r="W39" s="357" t="str">
        <f>V39*150</f>
        <v>#VALUE!</v>
      </c>
      <c r="Z39" s="391"/>
      <c r="AA39" s="357"/>
      <c r="AB39" s="412"/>
      <c r="AC39" s="357"/>
      <c r="AD39" s="357"/>
      <c r="AE39" s="357"/>
      <c r="AF39" s="401"/>
      <c r="AG39" s="401"/>
      <c r="AH39" s="401"/>
      <c r="AI39" s="401"/>
      <c r="AJ39" s="401"/>
      <c r="AK39" s="401"/>
      <c r="AL39" s="401"/>
      <c r="AM39" s="401"/>
      <c r="AN39" s="401"/>
      <c r="AO39" s="401"/>
      <c r="AP39" s="401"/>
      <c r="AQ39" s="401"/>
      <c r="AR39" s="357"/>
      <c r="AS39" s="391" t="str">
        <f>1+AS38/AS25</f>
        <v>#VALUE!</v>
      </c>
      <c r="AT39" s="357"/>
      <c r="AU39" s="357"/>
    </row>
    <row r="40" ht="15.75" customHeight="1">
      <c r="A40" s="374">
        <f t="shared" si="3"/>
        <v>1</v>
      </c>
      <c r="B40" s="364">
        <v>0.0</v>
      </c>
      <c r="C40" s="357"/>
      <c r="D40" s="360" t="str">
        <f t="shared" si="4"/>
        <v>OmnichannelMargine di Contribuzione_1</v>
      </c>
      <c r="E40" s="357"/>
      <c r="F40" s="357"/>
      <c r="G40" s="399" t="s">
        <v>1632</v>
      </c>
      <c r="H40" s="413" t="s">
        <v>1647</v>
      </c>
      <c r="I40" s="414" t="str">
        <f t="shared" ref="I40:T40" si="57">I25+I38</f>
        <v>#VALUE!</v>
      </c>
      <c r="J40" s="414" t="str">
        <f t="shared" si="57"/>
        <v>#VALUE!</v>
      </c>
      <c r="K40" s="414" t="str">
        <f t="shared" si="57"/>
        <v>#VALUE!</v>
      </c>
      <c r="L40" s="414" t="str">
        <f t="shared" si="57"/>
        <v>#VALUE!</v>
      </c>
      <c r="M40" s="414" t="str">
        <f t="shared" si="57"/>
        <v>#VALUE!</v>
      </c>
      <c r="N40" s="414" t="str">
        <f t="shared" si="57"/>
        <v>#VALUE!</v>
      </c>
      <c r="O40" s="414" t="str">
        <f t="shared" si="57"/>
        <v>#VALUE!</v>
      </c>
      <c r="P40" s="414" t="str">
        <f t="shared" si="57"/>
        <v>#VALUE!</v>
      </c>
      <c r="Q40" s="414" t="str">
        <f t="shared" si="57"/>
        <v>#VALUE!</v>
      </c>
      <c r="R40" s="414" t="str">
        <f t="shared" si="57"/>
        <v>#VALUE!</v>
      </c>
      <c r="S40" s="414" t="str">
        <f t="shared" si="57"/>
        <v>#VALUE!</v>
      </c>
      <c r="T40" s="414" t="str">
        <f t="shared" si="57"/>
        <v>#VALUE!</v>
      </c>
      <c r="U40" s="357"/>
      <c r="V40" s="414" t="str">
        <f>SUM(I40:T40)</f>
        <v>#VALUE!</v>
      </c>
      <c r="W40" s="357"/>
      <c r="X40" s="414">
        <f>X25+X38</f>
        <v>47272.55967</v>
      </c>
      <c r="Z40" s="401"/>
      <c r="AA40" s="401"/>
      <c r="AB40" s="357"/>
      <c r="AC40" s="357"/>
      <c r="AD40" s="399" t="s">
        <v>1632</v>
      </c>
      <c r="AE40" s="413" t="s">
        <v>1647</v>
      </c>
      <c r="AF40" s="414" t="str">
        <f t="shared" ref="AF40:AQ40" si="58">AF25+AF38</f>
        <v>#VALUE!</v>
      </c>
      <c r="AG40" s="414" t="str">
        <f t="shared" si="58"/>
        <v>#VALUE!</v>
      </c>
      <c r="AH40" s="414" t="str">
        <f t="shared" si="58"/>
        <v>#VALUE!</v>
      </c>
      <c r="AI40" s="414" t="str">
        <f t="shared" si="58"/>
        <v>#VALUE!</v>
      </c>
      <c r="AJ40" s="414" t="str">
        <f t="shared" si="58"/>
        <v>#VALUE!</v>
      </c>
      <c r="AK40" s="414" t="str">
        <f t="shared" si="58"/>
        <v>#VALUE!</v>
      </c>
      <c r="AL40" s="414" t="str">
        <f t="shared" si="58"/>
        <v>#VALUE!</v>
      </c>
      <c r="AM40" s="414" t="str">
        <f t="shared" si="58"/>
        <v>#VALUE!</v>
      </c>
      <c r="AN40" s="414" t="str">
        <f t="shared" si="58"/>
        <v>#VALUE!</v>
      </c>
      <c r="AO40" s="414" t="str">
        <f t="shared" si="58"/>
        <v>#VALUE!</v>
      </c>
      <c r="AP40" s="414" t="str">
        <f t="shared" si="58"/>
        <v>#VALUE!</v>
      </c>
      <c r="AQ40" s="414" t="str">
        <f t="shared" si="58"/>
        <v>#VALUE!</v>
      </c>
      <c r="AR40" s="357"/>
      <c r="AS40" s="414" t="str">
        <f>SUM(AF40:AQ40)</f>
        <v>#VALUE!</v>
      </c>
      <c r="AT40" s="357"/>
      <c r="AU40" s="357"/>
    </row>
    <row r="41" ht="15.75" customHeight="1">
      <c r="A41" s="374">
        <f t="shared" si="3"/>
        <v>1</v>
      </c>
      <c r="B41" s="364"/>
      <c r="C41" s="357"/>
      <c r="D41" s="360" t="str">
        <f t="shared" si="4"/>
        <v/>
      </c>
      <c r="E41" s="357"/>
      <c r="F41" s="357"/>
      <c r="G41" s="357"/>
      <c r="H41" s="357"/>
      <c r="I41" s="415" t="str">
        <f t="shared" ref="I41:T41" si="59">I40/I25</f>
        <v>#VALUE!</v>
      </c>
      <c r="J41" s="415" t="str">
        <f t="shared" si="59"/>
        <v>#VALUE!</v>
      </c>
      <c r="K41" s="415" t="str">
        <f t="shared" si="59"/>
        <v>#VALUE!</v>
      </c>
      <c r="L41" s="415" t="str">
        <f t="shared" si="59"/>
        <v>#VALUE!</v>
      </c>
      <c r="M41" s="415" t="str">
        <f t="shared" si="59"/>
        <v>#VALUE!</v>
      </c>
      <c r="N41" s="415" t="str">
        <f t="shared" si="59"/>
        <v>#VALUE!</v>
      </c>
      <c r="O41" s="415" t="str">
        <f t="shared" si="59"/>
        <v>#VALUE!</v>
      </c>
      <c r="P41" s="415" t="str">
        <f t="shared" si="59"/>
        <v>#VALUE!</v>
      </c>
      <c r="Q41" s="415" t="str">
        <f t="shared" si="59"/>
        <v>#VALUE!</v>
      </c>
      <c r="R41" s="415" t="str">
        <f t="shared" si="59"/>
        <v>#VALUE!</v>
      </c>
      <c r="S41" s="415" t="str">
        <f t="shared" si="59"/>
        <v>#VALUE!</v>
      </c>
      <c r="T41" s="415" t="str">
        <f t="shared" si="59"/>
        <v>#VALUE!</v>
      </c>
      <c r="U41" s="357"/>
      <c r="V41" s="415" t="str">
        <f>V40/V25</f>
        <v>#VALUE!</v>
      </c>
      <c r="W41" s="357"/>
      <c r="X41" s="415">
        <f>X40/X25</f>
        <v>0.4945173976</v>
      </c>
      <c r="Z41" s="402"/>
      <c r="AA41" s="403"/>
      <c r="AB41" s="357"/>
      <c r="AC41" s="357"/>
      <c r="AD41" s="357"/>
      <c r="AE41" s="357"/>
      <c r="AF41" s="415" t="str">
        <f t="shared" ref="AF41:AQ41" si="60">AF40/AF25</f>
        <v>#VALUE!</v>
      </c>
      <c r="AG41" s="415" t="str">
        <f t="shared" si="60"/>
        <v>#VALUE!</v>
      </c>
      <c r="AH41" s="415" t="str">
        <f t="shared" si="60"/>
        <v>#VALUE!</v>
      </c>
      <c r="AI41" s="415" t="str">
        <f t="shared" si="60"/>
        <v>#VALUE!</v>
      </c>
      <c r="AJ41" s="415" t="str">
        <f t="shared" si="60"/>
        <v>#VALUE!</v>
      </c>
      <c r="AK41" s="415" t="str">
        <f t="shared" si="60"/>
        <v>#VALUE!</v>
      </c>
      <c r="AL41" s="415" t="str">
        <f t="shared" si="60"/>
        <v>#VALUE!</v>
      </c>
      <c r="AM41" s="415" t="str">
        <f t="shared" si="60"/>
        <v>#VALUE!</v>
      </c>
      <c r="AN41" s="415" t="str">
        <f t="shared" si="60"/>
        <v>#VALUE!</v>
      </c>
      <c r="AO41" s="415" t="str">
        <f t="shared" si="60"/>
        <v>#VALUE!</v>
      </c>
      <c r="AP41" s="415" t="str">
        <f t="shared" si="60"/>
        <v>#VALUE!</v>
      </c>
      <c r="AQ41" s="415" t="str">
        <f t="shared" si="60"/>
        <v>#VALUE!</v>
      </c>
      <c r="AR41" s="357"/>
      <c r="AS41" s="415" t="str">
        <f>AS40/AS25</f>
        <v>#VALUE!</v>
      </c>
      <c r="AT41" s="357"/>
      <c r="AU41" s="357"/>
    </row>
    <row r="42" ht="15.75" customHeight="1">
      <c r="A42" s="374">
        <f t="shared" si="3"/>
        <v>1.2</v>
      </c>
      <c r="B42" s="364">
        <v>0.2</v>
      </c>
      <c r="C42" s="357"/>
      <c r="D42" s="360" t="str">
        <f t="shared" si="4"/>
        <v>FissiSALARI</v>
      </c>
      <c r="E42" s="375" t="s">
        <v>1628</v>
      </c>
      <c r="F42" s="375" t="s">
        <v>1633</v>
      </c>
      <c r="G42" s="376" t="s">
        <v>1648</v>
      </c>
      <c r="H42" s="416" t="s">
        <v>1649</v>
      </c>
      <c r="I42" s="385">
        <f>SUMIFS('EXPENSES MASTER'!$F:$F,'EXPENSES MASTER'!$G:$G,'BUDGET 2026 DRAFT1'!$H$42,'EXPENSES MASTER'!$B:$B,'BUDGET 2026 DRAFT1'!I$3)</f>
        <v>0</v>
      </c>
      <c r="J42" s="385">
        <f>SUMIFS('EXPENSES MASTER'!$F:$F,'EXPENSES MASTER'!$G:$G,'BUDGET 2026 DRAFT1'!$H$42,'EXPENSES MASTER'!$B:$B,'BUDGET 2026 DRAFT1'!J$3)</f>
        <v>-270</v>
      </c>
      <c r="K42" s="385">
        <f>SUMIFS('EXPENSES MASTER'!$F:$F,'EXPENSES MASTER'!$G:$G,'BUDGET 2026 DRAFT1'!$H$42,'EXPENSES MASTER'!$B:$B,'BUDGET 2026 DRAFT1'!K$3)</f>
        <v>-1630</v>
      </c>
      <c r="L42" s="385">
        <f>SUMIFS('EXPENSES MASTER'!$F:$F,'EXPENSES MASTER'!$G:$G,'BUDGET 2026 DRAFT1'!$H$42,'EXPENSES MASTER'!$B:$B,'BUDGET 2026 DRAFT1'!L$3)</f>
        <v>-1552</v>
      </c>
      <c r="M42" s="385">
        <f>SUMIFS('EXPENSES MASTER'!$F:$F,'EXPENSES MASTER'!$G:$G,'BUDGET 2026 DRAFT1'!$H$42,'EXPENSES MASTER'!$B:$B,'BUDGET 2026 DRAFT1'!M$3)</f>
        <v>0</v>
      </c>
      <c r="N42" s="385">
        <f>SUMIFS('EXPENSES MASTER'!$F:$F,'EXPENSES MASTER'!$G:$G,'BUDGET 2026 DRAFT1'!$H$42,'EXPENSES MASTER'!$B:$B,'BUDGET 2026 DRAFT1'!N$3)</f>
        <v>0</v>
      </c>
      <c r="O42" s="385">
        <f>SUMIFS('EXPENSES MASTER'!$F:$F,'EXPENSES MASTER'!$G:$G,'BUDGET 2026 DRAFT1'!$H$42,'EXPENSES MASTER'!$B:$B,'BUDGET 2026 DRAFT1'!O$3)</f>
        <v>0</v>
      </c>
      <c r="P42" s="385">
        <f>SUMIFS('EXPENSES MASTER'!$F:$F,'EXPENSES MASTER'!$G:$G,'BUDGET 2026 DRAFT1'!$H$42,'EXPENSES MASTER'!$B:$B,'BUDGET 2026 DRAFT1'!P$3)</f>
        <v>0</v>
      </c>
      <c r="Q42" s="385">
        <f>SUMIFS('EXPENSES MASTER'!$F:$F,'EXPENSES MASTER'!$G:$G,'BUDGET 2026 DRAFT1'!$H$42,'EXPENSES MASTER'!$B:$B,'BUDGET 2026 DRAFT1'!Q$3)</f>
        <v>0</v>
      </c>
      <c r="R42" s="385">
        <f>SUMIFS('EXPENSES MASTER'!$F:$F,'EXPENSES MASTER'!$G:$G,'BUDGET 2026 DRAFT1'!$H$42,'EXPENSES MASTER'!$B:$B,'BUDGET 2026 DRAFT1'!R$3)</f>
        <v>0</v>
      </c>
      <c r="S42" s="385">
        <f>SUMIFS('EXPENSES MASTER'!$F:$F,'EXPENSES MASTER'!$G:$G,'BUDGET 2026 DRAFT1'!$H$42,'EXPENSES MASTER'!$B:$B,'BUDGET 2026 DRAFT1'!S$3)</f>
        <v>0</v>
      </c>
      <c r="T42" s="385">
        <f>SUMIFS('EXPENSES MASTER'!$F:$F,'EXPENSES MASTER'!$G:$G,'BUDGET 2026 DRAFT1'!$H$42,'EXPENSES MASTER'!$B:$B,'BUDGET 2026 DRAFT1'!T$3)</f>
        <v>0</v>
      </c>
      <c r="U42" s="357"/>
      <c r="V42" s="385">
        <f t="shared" ref="V42:V55" si="62">SUM(I42:T42)</f>
        <v>-3452</v>
      </c>
      <c r="W42" s="357"/>
      <c r="X42" s="390">
        <v>-7839.5</v>
      </c>
      <c r="Z42" s="357"/>
      <c r="AA42" s="357"/>
      <c r="AB42" s="375" t="s">
        <v>1628</v>
      </c>
      <c r="AC42" s="375" t="s">
        <v>1633</v>
      </c>
      <c r="AD42" s="376" t="s">
        <v>1648</v>
      </c>
      <c r="AE42" s="416" t="s">
        <v>1649</v>
      </c>
      <c r="AF42" s="377">
        <f t="shared" ref="AF42:AQ42" si="61">I42*$A42</f>
        <v>0</v>
      </c>
      <c r="AG42" s="377">
        <f t="shared" si="61"/>
        <v>-324</v>
      </c>
      <c r="AH42" s="377">
        <f t="shared" si="61"/>
        <v>-1956</v>
      </c>
      <c r="AI42" s="377">
        <f t="shared" si="61"/>
        <v>-1862.4</v>
      </c>
      <c r="AJ42" s="377">
        <f t="shared" si="61"/>
        <v>0</v>
      </c>
      <c r="AK42" s="377">
        <f t="shared" si="61"/>
        <v>0</v>
      </c>
      <c r="AL42" s="377">
        <f t="shared" si="61"/>
        <v>0</v>
      </c>
      <c r="AM42" s="377">
        <f t="shared" si="61"/>
        <v>0</v>
      </c>
      <c r="AN42" s="377">
        <f t="shared" si="61"/>
        <v>0</v>
      </c>
      <c r="AO42" s="377">
        <f t="shared" si="61"/>
        <v>0</v>
      </c>
      <c r="AP42" s="377">
        <f t="shared" si="61"/>
        <v>0</v>
      </c>
      <c r="AQ42" s="377">
        <f t="shared" si="61"/>
        <v>0</v>
      </c>
      <c r="AR42" s="357"/>
      <c r="AS42" s="385">
        <f t="shared" ref="AS42:AS55" si="64">SUM(AF42:AQ42)</f>
        <v>-4142.4</v>
      </c>
      <c r="AT42" s="357"/>
      <c r="AU42" s="357"/>
    </row>
    <row r="43" ht="15.75" customHeight="1">
      <c r="A43" s="374">
        <f t="shared" si="3"/>
        <v>1.65</v>
      </c>
      <c r="B43" s="364">
        <v>0.65</v>
      </c>
      <c r="C43" s="417"/>
      <c r="D43" s="360" t="str">
        <f t="shared" si="4"/>
        <v>FissiTASSE</v>
      </c>
      <c r="E43" s="375" t="s">
        <v>1628</v>
      </c>
      <c r="F43" s="375" t="s">
        <v>1633</v>
      </c>
      <c r="G43" s="376" t="s">
        <v>1648</v>
      </c>
      <c r="H43" s="416" t="s">
        <v>1650</v>
      </c>
      <c r="I43" s="385">
        <f>SUMIFS('EXPENSES MASTER'!$F:$F,'EXPENSES MASTER'!$G:$G,'BUDGET 2026 DRAFT1'!$H$43,'EXPENSES MASTER'!$B:$B,'BUDGET 2026 DRAFT1'!I$3)</f>
        <v>0</v>
      </c>
      <c r="J43" s="385">
        <f>SUMIFS('EXPENSES MASTER'!$F:$F,'EXPENSES MASTER'!$G:$G,'BUDGET 2026 DRAFT1'!$H$43,'EXPENSES MASTER'!$B:$B,'BUDGET 2026 DRAFT1'!J$3)</f>
        <v>0</v>
      </c>
      <c r="K43" s="385">
        <f>SUMIFS('EXPENSES MASTER'!$F:$F,'EXPENSES MASTER'!$G:$G,'BUDGET 2026 DRAFT1'!$H$43,'EXPENSES MASTER'!$B:$B,'BUDGET 2026 DRAFT1'!K$3)</f>
        <v>-1321.87</v>
      </c>
      <c r="L43" s="385">
        <f>SUMIFS('EXPENSES MASTER'!$F:$F,'EXPENSES MASTER'!$G:$G,'BUDGET 2026 DRAFT1'!$H$43,'EXPENSES MASTER'!$B:$B,'BUDGET 2026 DRAFT1'!L$3)</f>
        <v>-236.57</v>
      </c>
      <c r="M43" s="385">
        <f>SUMIFS('EXPENSES MASTER'!$F:$F,'EXPENSES MASTER'!$G:$G,'BUDGET 2026 DRAFT1'!$H$43,'EXPENSES MASTER'!$B:$B,'BUDGET 2026 DRAFT1'!M$3)</f>
        <v>-800.41</v>
      </c>
      <c r="N43" s="385">
        <f>SUMIFS('EXPENSES MASTER'!$F:$F,'EXPENSES MASTER'!$G:$G,'BUDGET 2026 DRAFT1'!$H$43,'EXPENSES MASTER'!$B:$B,'BUDGET 2026 DRAFT1'!N$3)</f>
        <v>-1848.99</v>
      </c>
      <c r="O43" s="385">
        <f>SUMIFS('EXPENSES MASTER'!$F:$F,'EXPENSES MASTER'!$G:$G,'BUDGET 2026 DRAFT1'!$H$43,'EXPENSES MASTER'!$B:$B,'BUDGET 2026 DRAFT1'!O$3)</f>
        <v>0</v>
      </c>
      <c r="P43" s="385">
        <f>SUMIFS('EXPENSES MASTER'!$F:$F,'EXPENSES MASTER'!$G:$G,'BUDGET 2026 DRAFT1'!$H$43,'EXPENSES MASTER'!$B:$B,'BUDGET 2026 DRAFT1'!P$3)</f>
        <v>0</v>
      </c>
      <c r="Q43" s="385">
        <f>SUMIFS('EXPENSES MASTER'!$F:$F,'EXPENSES MASTER'!$G:$G,'BUDGET 2026 DRAFT1'!$H$43,'EXPENSES MASTER'!$B:$B,'BUDGET 2026 DRAFT1'!Q$3)</f>
        <v>0</v>
      </c>
      <c r="R43" s="385">
        <f>SUMIFS('EXPENSES MASTER'!$F:$F,'EXPENSES MASTER'!$G:$G,'BUDGET 2026 DRAFT1'!$H$43,'EXPENSES MASTER'!$B:$B,'BUDGET 2026 DRAFT1'!R$3)</f>
        <v>0</v>
      </c>
      <c r="S43" s="385">
        <f>SUMIFS('EXPENSES MASTER'!$F:$F,'EXPENSES MASTER'!$G:$G,'BUDGET 2026 DRAFT1'!$H$43,'EXPENSES MASTER'!$B:$B,'BUDGET 2026 DRAFT1'!S$3)</f>
        <v>0</v>
      </c>
      <c r="T43" s="385">
        <f>SUMIFS('EXPENSES MASTER'!$F:$F,'EXPENSES MASTER'!$G:$G,'BUDGET 2026 DRAFT1'!$H$43,'EXPENSES MASTER'!$B:$B,'BUDGET 2026 DRAFT1'!T$3)</f>
        <v>0</v>
      </c>
      <c r="U43" s="357"/>
      <c r="V43" s="385">
        <f t="shared" si="62"/>
        <v>-4207.84</v>
      </c>
      <c r="W43" s="357"/>
      <c r="X43" s="390">
        <v>-12668.0</v>
      </c>
      <c r="Z43" s="357"/>
      <c r="AA43" s="357"/>
      <c r="AB43" s="375" t="s">
        <v>1628</v>
      </c>
      <c r="AC43" s="375" t="s">
        <v>1633</v>
      </c>
      <c r="AD43" s="376" t="s">
        <v>1648</v>
      </c>
      <c r="AE43" s="416" t="s">
        <v>1650</v>
      </c>
      <c r="AF43" s="377">
        <f t="shared" ref="AF43:AQ43" si="63">I43*$A43</f>
        <v>0</v>
      </c>
      <c r="AG43" s="377">
        <f t="shared" si="63"/>
        <v>0</v>
      </c>
      <c r="AH43" s="377">
        <f t="shared" si="63"/>
        <v>-2181.0855</v>
      </c>
      <c r="AI43" s="377">
        <f t="shared" si="63"/>
        <v>-390.3405</v>
      </c>
      <c r="AJ43" s="377">
        <f t="shared" si="63"/>
        <v>-1320.6765</v>
      </c>
      <c r="AK43" s="377">
        <f t="shared" si="63"/>
        <v>-3050.8335</v>
      </c>
      <c r="AL43" s="377">
        <f t="shared" si="63"/>
        <v>0</v>
      </c>
      <c r="AM43" s="377">
        <f t="shared" si="63"/>
        <v>0</v>
      </c>
      <c r="AN43" s="377">
        <f t="shared" si="63"/>
        <v>0</v>
      </c>
      <c r="AO43" s="377">
        <f t="shared" si="63"/>
        <v>0</v>
      </c>
      <c r="AP43" s="377">
        <f t="shared" si="63"/>
        <v>0</v>
      </c>
      <c r="AQ43" s="377">
        <f t="shared" si="63"/>
        <v>0</v>
      </c>
      <c r="AR43" s="357"/>
      <c r="AS43" s="385">
        <f t="shared" si="64"/>
        <v>-6942.936</v>
      </c>
      <c r="AT43" s="357"/>
      <c r="AU43" s="357"/>
    </row>
    <row r="44" ht="15.75" customHeight="1">
      <c r="A44" s="374">
        <f t="shared" si="3"/>
        <v>1</v>
      </c>
      <c r="B44" s="364">
        <v>0.0</v>
      </c>
      <c r="C44" s="412" t="s">
        <v>1651</v>
      </c>
      <c r="D44" s="360" t="str">
        <f t="shared" si="4"/>
        <v>FissiLOGISTICA</v>
      </c>
      <c r="E44" s="375" t="s">
        <v>1628</v>
      </c>
      <c r="F44" s="375" t="s">
        <v>1633</v>
      </c>
      <c r="G44" s="376" t="s">
        <v>1648</v>
      </c>
      <c r="H44" s="416" t="s">
        <v>1652</v>
      </c>
      <c r="I44" s="385" t="str">
        <f>SUMIFS('EXPENSES MASTER'!$F:$F,'EXPENSES MASTER'!$G:$G,'BUDGET 2026 DRAFT1'!$H$44,'EXPENSES MASTER'!$B:$B,'BUDGET 2026 DRAFT1'!I$3,#REF!,'BUDGET 2026 DRAFT1'!$C44)</f>
        <v>#VALUE!</v>
      </c>
      <c r="J44" s="385" t="str">
        <f>SUMIFS('EXPENSES MASTER'!$F:$F,'EXPENSES MASTER'!$G:$G,'BUDGET 2026 DRAFT1'!$H$44,'EXPENSES MASTER'!$B:$B,'BUDGET 2026 DRAFT1'!J$3,#REF!,'BUDGET 2026 DRAFT1'!$C44)</f>
        <v>#VALUE!</v>
      </c>
      <c r="K44" s="385" t="str">
        <f>SUMIFS('EXPENSES MASTER'!$F:$F,'EXPENSES MASTER'!$G:$G,'BUDGET 2026 DRAFT1'!$H$44,'EXPENSES MASTER'!$B:$B,'BUDGET 2026 DRAFT1'!K$3,#REF!,'BUDGET 2026 DRAFT1'!$C44)</f>
        <v>#VALUE!</v>
      </c>
      <c r="L44" s="385" t="str">
        <f>SUMIFS('EXPENSES MASTER'!$F:$F,'EXPENSES MASTER'!$G:$G,'BUDGET 2026 DRAFT1'!$H$44,'EXPENSES MASTER'!$B:$B,'BUDGET 2026 DRAFT1'!L$3,#REF!,'BUDGET 2026 DRAFT1'!$C44)</f>
        <v>#VALUE!</v>
      </c>
      <c r="M44" s="385" t="str">
        <f>SUMIFS('EXPENSES MASTER'!$F:$F,'EXPENSES MASTER'!$G:$G,'BUDGET 2026 DRAFT1'!$H$44,'EXPENSES MASTER'!$B:$B,'BUDGET 2026 DRAFT1'!M$3,#REF!,'BUDGET 2026 DRAFT1'!$C44)</f>
        <v>#VALUE!</v>
      </c>
      <c r="N44" s="385" t="str">
        <f>SUMIFS('EXPENSES MASTER'!$F:$F,'EXPENSES MASTER'!$G:$G,'BUDGET 2026 DRAFT1'!$H$44,'EXPENSES MASTER'!$B:$B,'BUDGET 2026 DRAFT1'!N$3,#REF!,'BUDGET 2026 DRAFT1'!$C44)</f>
        <v>#VALUE!</v>
      </c>
      <c r="O44" s="385" t="str">
        <f>SUMIFS('EXPENSES MASTER'!$F:$F,'EXPENSES MASTER'!$G:$G,'BUDGET 2026 DRAFT1'!$H$44,'EXPENSES MASTER'!$B:$B,'BUDGET 2026 DRAFT1'!O$3,#REF!,'BUDGET 2026 DRAFT1'!$C44)</f>
        <v>#VALUE!</v>
      </c>
      <c r="P44" s="385" t="str">
        <f>SUMIFS('EXPENSES MASTER'!$F:$F,'EXPENSES MASTER'!$G:$G,'BUDGET 2026 DRAFT1'!$H$44,'EXPENSES MASTER'!$B:$B,'BUDGET 2026 DRAFT1'!P$3,#REF!,'BUDGET 2026 DRAFT1'!$C44)</f>
        <v>#VALUE!</v>
      </c>
      <c r="Q44" s="385" t="str">
        <f>SUMIFS('EXPENSES MASTER'!$F:$F,'EXPENSES MASTER'!$G:$G,'BUDGET 2026 DRAFT1'!$H$44,'EXPENSES MASTER'!$B:$B,'BUDGET 2026 DRAFT1'!Q$3,#REF!,'BUDGET 2026 DRAFT1'!$C44)</f>
        <v>#VALUE!</v>
      </c>
      <c r="R44" s="385" t="str">
        <f>SUMIFS('EXPENSES MASTER'!$F:$F,'EXPENSES MASTER'!$G:$G,'BUDGET 2026 DRAFT1'!$H$44,'EXPENSES MASTER'!$B:$B,'BUDGET 2026 DRAFT1'!R$3,#REF!,'BUDGET 2026 DRAFT1'!$C44)</f>
        <v>#VALUE!</v>
      </c>
      <c r="S44" s="385" t="str">
        <f>SUMIFS('EXPENSES MASTER'!$F:$F,'EXPENSES MASTER'!$G:$G,'BUDGET 2026 DRAFT1'!$H$44,'EXPENSES MASTER'!$B:$B,'BUDGET 2026 DRAFT1'!S$3,#REF!,'BUDGET 2026 DRAFT1'!$C44)</f>
        <v>#VALUE!</v>
      </c>
      <c r="T44" s="385" t="str">
        <f>SUMIFS('EXPENSES MASTER'!$F:$F,'EXPENSES MASTER'!$G:$G,'BUDGET 2026 DRAFT1'!$H$44,'EXPENSES MASTER'!$B:$B,'BUDGET 2026 DRAFT1'!T$3,#REF!,'BUDGET 2026 DRAFT1'!$C44)</f>
        <v>#VALUE!</v>
      </c>
      <c r="U44" s="357"/>
      <c r="V44" s="385" t="str">
        <f t="shared" si="62"/>
        <v>#VALUE!</v>
      </c>
      <c r="W44" s="357"/>
      <c r="X44" s="390">
        <v>-3865.0</v>
      </c>
      <c r="Z44" s="357"/>
      <c r="AA44" s="357"/>
      <c r="AB44" s="375" t="s">
        <v>1628</v>
      </c>
      <c r="AC44" s="375" t="s">
        <v>1633</v>
      </c>
      <c r="AD44" s="376" t="s">
        <v>1648</v>
      </c>
      <c r="AE44" s="418" t="s">
        <v>7026</v>
      </c>
      <c r="AF44" s="419">
        <v>400.0</v>
      </c>
      <c r="AG44" s="419">
        <v>400.0</v>
      </c>
      <c r="AH44" s="419">
        <v>400.0</v>
      </c>
      <c r="AI44" s="419">
        <v>400.0</v>
      </c>
      <c r="AJ44" s="419">
        <v>400.0</v>
      </c>
      <c r="AK44" s="419">
        <v>400.0</v>
      </c>
      <c r="AL44" s="419">
        <v>400.0</v>
      </c>
      <c r="AM44" s="419">
        <v>400.0</v>
      </c>
      <c r="AN44" s="419">
        <v>400.0</v>
      </c>
      <c r="AO44" s="419">
        <v>400.0</v>
      </c>
      <c r="AP44" s="419">
        <v>400.0</v>
      </c>
      <c r="AQ44" s="419">
        <v>400.0</v>
      </c>
      <c r="AR44" s="357"/>
      <c r="AS44" s="385">
        <f t="shared" si="64"/>
        <v>4800</v>
      </c>
      <c r="AT44" s="357"/>
      <c r="AU44" s="357"/>
    </row>
    <row r="45" ht="15.75" customHeight="1">
      <c r="A45" s="374">
        <f t="shared" si="3"/>
        <v>1</v>
      </c>
      <c r="B45" s="364">
        <v>0.0</v>
      </c>
      <c r="C45" s="357"/>
      <c r="D45" s="360" t="str">
        <f t="shared" si="4"/>
        <v>FissiOPEX</v>
      </c>
      <c r="E45" s="375" t="s">
        <v>1628</v>
      </c>
      <c r="F45" s="375" t="s">
        <v>1633</v>
      </c>
      <c r="G45" s="376" t="s">
        <v>1648</v>
      </c>
      <c r="H45" s="416" t="s">
        <v>1653</v>
      </c>
      <c r="I45" s="385" t="str">
        <f t="shared" ref="I45:J45" si="65">SUM(I46:I49)</f>
        <v>#VALUE!</v>
      </c>
      <c r="J45" s="385" t="str">
        <f t="shared" si="65"/>
        <v>#VALUE!</v>
      </c>
      <c r="K45" s="385" t="str">
        <f t="shared" ref="K45:Q45" si="66">SUM(K46:K48)</f>
        <v>#VALUE!</v>
      </c>
      <c r="L45" s="385" t="str">
        <f t="shared" si="66"/>
        <v>#VALUE!</v>
      </c>
      <c r="M45" s="385" t="str">
        <f t="shared" si="66"/>
        <v>#VALUE!</v>
      </c>
      <c r="N45" s="385" t="str">
        <f t="shared" si="66"/>
        <v>#VALUE!</v>
      </c>
      <c r="O45" s="385" t="str">
        <f t="shared" si="66"/>
        <v>#VALUE!</v>
      </c>
      <c r="P45" s="385" t="str">
        <f t="shared" si="66"/>
        <v>#VALUE!</v>
      </c>
      <c r="Q45" s="385" t="str">
        <f t="shared" si="66"/>
        <v>#VALUE!</v>
      </c>
      <c r="R45" s="385" t="str">
        <f>SUM(R46:R49)</f>
        <v>#VALUE!</v>
      </c>
      <c r="S45" s="385" t="str">
        <f t="shared" ref="S45:T45" si="67">SUM(S46:S48)</f>
        <v>#VALUE!</v>
      </c>
      <c r="T45" s="385" t="str">
        <f t="shared" si="67"/>
        <v>#VALUE!</v>
      </c>
      <c r="U45" s="357"/>
      <c r="V45" s="385" t="str">
        <f t="shared" si="62"/>
        <v>#VALUE!</v>
      </c>
      <c r="W45" s="357"/>
      <c r="X45" s="390">
        <v>-9044.0</v>
      </c>
      <c r="Z45" s="357"/>
      <c r="AA45" s="357"/>
      <c r="AB45" s="375" t="s">
        <v>1628</v>
      </c>
      <c r="AC45" s="375" t="s">
        <v>1633</v>
      </c>
      <c r="AD45" s="376" t="s">
        <v>1648</v>
      </c>
      <c r="AE45" s="416" t="s">
        <v>1653</v>
      </c>
      <c r="AF45" s="385" t="str">
        <f t="shared" ref="AF45:AG45" si="68">SUM(AF46:AF49)</f>
        <v>#VALUE!</v>
      </c>
      <c r="AG45" s="385" t="str">
        <f t="shared" si="68"/>
        <v>#VALUE!</v>
      </c>
      <c r="AH45" s="385" t="str">
        <f t="shared" ref="AH45:AN45" si="69">SUM(AH46:AH48)</f>
        <v>#VALUE!</v>
      </c>
      <c r="AI45" s="385" t="str">
        <f t="shared" si="69"/>
        <v>#VALUE!</v>
      </c>
      <c r="AJ45" s="385" t="str">
        <f t="shared" si="69"/>
        <v>#VALUE!</v>
      </c>
      <c r="AK45" s="385" t="str">
        <f t="shared" si="69"/>
        <v>#VALUE!</v>
      </c>
      <c r="AL45" s="385" t="str">
        <f t="shared" si="69"/>
        <v>#VALUE!</v>
      </c>
      <c r="AM45" s="385" t="str">
        <f t="shared" si="69"/>
        <v>#VALUE!</v>
      </c>
      <c r="AN45" s="385" t="str">
        <f t="shared" si="69"/>
        <v>#VALUE!</v>
      </c>
      <c r="AO45" s="385" t="str">
        <f>SUM(AO46:AO49)</f>
        <v>#VALUE!</v>
      </c>
      <c r="AP45" s="385" t="str">
        <f t="shared" ref="AP45:AQ45" si="70">SUM(AP46:AP48)</f>
        <v>#VALUE!</v>
      </c>
      <c r="AQ45" s="385" t="str">
        <f t="shared" si="70"/>
        <v>#VALUE!</v>
      </c>
      <c r="AR45" s="357"/>
      <c r="AS45" s="385" t="str">
        <f t="shared" si="64"/>
        <v>#VALUE!</v>
      </c>
      <c r="AT45" s="357"/>
      <c r="AU45" s="357"/>
    </row>
    <row r="46" ht="15.75" customHeight="1" outlineLevel="1">
      <c r="A46" s="374">
        <f t="shared" si="3"/>
        <v>1.15</v>
      </c>
      <c r="B46" s="364">
        <v>0.15</v>
      </c>
      <c r="C46" s="357"/>
      <c r="D46" s="360" t="str">
        <f t="shared" si="4"/>
        <v>Legale_Commercialista</v>
      </c>
      <c r="E46" s="420"/>
      <c r="F46" s="380"/>
      <c r="G46" s="421"/>
      <c r="H46" s="381" t="s">
        <v>1654</v>
      </c>
      <c r="I46" s="385" t="str">
        <f>SUMIFS('EXPENSES MASTER'!$F:$F,'EXPENSES MASTER'!$G:$G,'BUDGET 2026 DRAFT1'!$H$45,'EXPENSES MASTER'!$B:$B,'BUDGET 2026 DRAFT1'!I$3,#REF!,'BUDGET 2026 DRAFT1'!$H46)</f>
        <v>#VALUE!</v>
      </c>
      <c r="J46" s="385" t="str">
        <f>SUMIFS('EXPENSES MASTER'!$F:$F,'EXPENSES MASTER'!$G:$G,'BUDGET 2026 DRAFT1'!$H$45,'EXPENSES MASTER'!$B:$B,'BUDGET 2026 DRAFT1'!J$3,#REF!,'BUDGET 2026 DRAFT1'!$H46)</f>
        <v>#VALUE!</v>
      </c>
      <c r="K46" s="385" t="str">
        <f>SUMIFS('EXPENSES MASTER'!$F:$F,'EXPENSES MASTER'!$G:$G,'BUDGET 2026 DRAFT1'!$H$45,'EXPENSES MASTER'!$B:$B,'BUDGET 2026 DRAFT1'!K$3,#REF!,'BUDGET 2026 DRAFT1'!$H46)</f>
        <v>#VALUE!</v>
      </c>
      <c r="L46" s="385" t="str">
        <f>SUMIFS('EXPENSES MASTER'!$F:$F,'EXPENSES MASTER'!$G:$G,'BUDGET 2026 DRAFT1'!$H$45,'EXPENSES MASTER'!$B:$B,'BUDGET 2026 DRAFT1'!L$3,#REF!,'BUDGET 2026 DRAFT1'!$H46)</f>
        <v>#VALUE!</v>
      </c>
      <c r="M46" s="385" t="str">
        <f>SUMIFS('EXPENSES MASTER'!$F:$F,'EXPENSES MASTER'!$G:$G,'BUDGET 2026 DRAFT1'!$H$45,'EXPENSES MASTER'!$B:$B,'BUDGET 2026 DRAFT1'!M$3,#REF!,'BUDGET 2026 DRAFT1'!$H46)</f>
        <v>#VALUE!</v>
      </c>
      <c r="N46" s="385" t="str">
        <f>SUMIFS('EXPENSES MASTER'!$F:$F,'EXPENSES MASTER'!$G:$G,'BUDGET 2026 DRAFT1'!$H$45,'EXPENSES MASTER'!$B:$B,'BUDGET 2026 DRAFT1'!N$3,#REF!,'BUDGET 2026 DRAFT1'!$H46)</f>
        <v>#VALUE!</v>
      </c>
      <c r="O46" s="385" t="str">
        <f>SUMIFS('EXPENSES MASTER'!$F:$F,'EXPENSES MASTER'!$G:$G,'BUDGET 2026 DRAFT1'!$H$45,'EXPENSES MASTER'!$B:$B,'BUDGET 2026 DRAFT1'!O$3,#REF!,'BUDGET 2026 DRAFT1'!$H46)</f>
        <v>#VALUE!</v>
      </c>
      <c r="P46" s="385" t="str">
        <f>SUMIFS('EXPENSES MASTER'!$F:$F,'EXPENSES MASTER'!$G:$G,'BUDGET 2026 DRAFT1'!$H$45,'EXPENSES MASTER'!$B:$B,'BUDGET 2026 DRAFT1'!P$3,#REF!,'BUDGET 2026 DRAFT1'!$H46)</f>
        <v>#VALUE!</v>
      </c>
      <c r="Q46" s="385" t="str">
        <f>SUMIFS('EXPENSES MASTER'!$F:$F,'EXPENSES MASTER'!$G:$G,'BUDGET 2026 DRAFT1'!$H$45,'EXPENSES MASTER'!$B:$B,'BUDGET 2026 DRAFT1'!Q$3,#REF!,'BUDGET 2026 DRAFT1'!$H46)</f>
        <v>#VALUE!</v>
      </c>
      <c r="R46" s="385" t="str">
        <f>SUMIFS('EXPENSES MASTER'!$F:$F,'EXPENSES MASTER'!$G:$G,'BUDGET 2026 DRAFT1'!$H$45,'EXPENSES MASTER'!$B:$B,'BUDGET 2026 DRAFT1'!R$3,#REF!,'BUDGET 2026 DRAFT1'!$H46)</f>
        <v>#VALUE!</v>
      </c>
      <c r="S46" s="385" t="str">
        <f>SUMIFS('EXPENSES MASTER'!$F:$F,'EXPENSES MASTER'!$G:$G,'BUDGET 2026 DRAFT1'!$H$45,'EXPENSES MASTER'!$B:$B,'BUDGET 2026 DRAFT1'!S$3,#REF!,'BUDGET 2026 DRAFT1'!$H46)</f>
        <v>#VALUE!</v>
      </c>
      <c r="T46" s="385" t="str">
        <f>SUMIFS('EXPENSES MASTER'!$F:$F,'EXPENSES MASTER'!$G:$G,'BUDGET 2026 DRAFT1'!$H$45,'EXPENSES MASTER'!$B:$B,'BUDGET 2026 DRAFT1'!T$3,#REF!,'BUDGET 2026 DRAFT1'!$H46)</f>
        <v>#VALUE!</v>
      </c>
      <c r="U46" s="357"/>
      <c r="V46" s="385" t="str">
        <f t="shared" si="62"/>
        <v>#VALUE!</v>
      </c>
      <c r="W46" s="357"/>
      <c r="X46" s="390"/>
      <c r="Z46" s="357"/>
      <c r="AA46" s="357"/>
      <c r="AB46" s="420"/>
      <c r="AC46" s="380"/>
      <c r="AD46" s="421"/>
      <c r="AE46" s="381" t="s">
        <v>1654</v>
      </c>
      <c r="AF46" s="377" t="str">
        <f t="shared" ref="AF46:AQ46" si="71">I46*$A46</f>
        <v>#VALUE!</v>
      </c>
      <c r="AG46" s="377" t="str">
        <f t="shared" si="71"/>
        <v>#VALUE!</v>
      </c>
      <c r="AH46" s="377" t="str">
        <f t="shared" si="71"/>
        <v>#VALUE!</v>
      </c>
      <c r="AI46" s="377" t="str">
        <f t="shared" si="71"/>
        <v>#VALUE!</v>
      </c>
      <c r="AJ46" s="377" t="str">
        <f t="shared" si="71"/>
        <v>#VALUE!</v>
      </c>
      <c r="AK46" s="377" t="str">
        <f t="shared" si="71"/>
        <v>#VALUE!</v>
      </c>
      <c r="AL46" s="377" t="str">
        <f t="shared" si="71"/>
        <v>#VALUE!</v>
      </c>
      <c r="AM46" s="377" t="str">
        <f t="shared" si="71"/>
        <v>#VALUE!</v>
      </c>
      <c r="AN46" s="377" t="str">
        <f t="shared" si="71"/>
        <v>#VALUE!</v>
      </c>
      <c r="AO46" s="377" t="str">
        <f t="shared" si="71"/>
        <v>#VALUE!</v>
      </c>
      <c r="AP46" s="377" t="str">
        <f t="shared" si="71"/>
        <v>#VALUE!</v>
      </c>
      <c r="AQ46" s="377" t="str">
        <f t="shared" si="71"/>
        <v>#VALUE!</v>
      </c>
      <c r="AR46" s="357"/>
      <c r="AS46" s="385" t="str">
        <f t="shared" si="64"/>
        <v>#VALUE!</v>
      </c>
      <c r="AT46" s="357"/>
      <c r="AU46" s="357"/>
    </row>
    <row r="47" ht="15.0" customHeight="1" outlineLevel="1">
      <c r="A47" s="374">
        <f t="shared" si="3"/>
        <v>1.2</v>
      </c>
      <c r="B47" s="364">
        <v>0.2</v>
      </c>
      <c r="C47" s="357"/>
      <c r="D47" s="360" t="str">
        <f t="shared" si="4"/>
        <v>Campionatura</v>
      </c>
      <c r="E47" s="420"/>
      <c r="F47" s="380"/>
      <c r="G47" s="421"/>
      <c r="H47" s="381" t="s">
        <v>1655</v>
      </c>
      <c r="I47" s="385" t="str">
        <f>SUMIFS('EXPENSES MASTER'!$F:$F,'EXPENSES MASTER'!$G:$G,'BUDGET 2026 DRAFT1'!$H$45,'EXPENSES MASTER'!$B:$B,'BUDGET 2026 DRAFT1'!I$3,#REF!,'BUDGET 2026 DRAFT1'!$H47)</f>
        <v>#VALUE!</v>
      </c>
      <c r="J47" s="385" t="str">
        <f>SUMIFS('EXPENSES MASTER'!$F:$F,'EXPENSES MASTER'!$G:$G,'BUDGET 2026 DRAFT1'!$H$45,'EXPENSES MASTER'!$B:$B,'BUDGET 2026 DRAFT1'!J$3,#REF!,'BUDGET 2026 DRAFT1'!$H47)</f>
        <v>#VALUE!</v>
      </c>
      <c r="K47" s="385" t="str">
        <f>SUMIFS('EXPENSES MASTER'!$F:$F,'EXPENSES MASTER'!$G:$G,'BUDGET 2026 DRAFT1'!$H$45,'EXPENSES MASTER'!$B:$B,'BUDGET 2026 DRAFT1'!K$3,#REF!,'BUDGET 2026 DRAFT1'!$H47)</f>
        <v>#VALUE!</v>
      </c>
      <c r="L47" s="385" t="str">
        <f>SUMIFS('EXPENSES MASTER'!$F:$F,'EXPENSES MASTER'!$G:$G,'BUDGET 2026 DRAFT1'!$H$45,'EXPENSES MASTER'!$B:$B,'BUDGET 2026 DRAFT1'!L$3,#REF!,'BUDGET 2026 DRAFT1'!$H47)</f>
        <v>#VALUE!</v>
      </c>
      <c r="M47" s="385" t="str">
        <f>SUMIFS('EXPENSES MASTER'!$F:$F,'EXPENSES MASTER'!$G:$G,'BUDGET 2026 DRAFT1'!$H$45,'EXPENSES MASTER'!$B:$B,'BUDGET 2026 DRAFT1'!M$3,#REF!,'BUDGET 2026 DRAFT1'!$H47)</f>
        <v>#VALUE!</v>
      </c>
      <c r="N47" s="385" t="str">
        <f>SUMIFS('EXPENSES MASTER'!$F:$F,'EXPENSES MASTER'!$G:$G,'BUDGET 2026 DRAFT1'!$H$45,'EXPENSES MASTER'!$B:$B,'BUDGET 2026 DRAFT1'!N$3,#REF!,'BUDGET 2026 DRAFT1'!$H47)</f>
        <v>#VALUE!</v>
      </c>
      <c r="O47" s="385" t="str">
        <f>SUMIFS('EXPENSES MASTER'!$F:$F,'EXPENSES MASTER'!$G:$G,'BUDGET 2026 DRAFT1'!$H$45,'EXPENSES MASTER'!$B:$B,'BUDGET 2026 DRAFT1'!O$3,#REF!,'BUDGET 2026 DRAFT1'!$H47)</f>
        <v>#VALUE!</v>
      </c>
      <c r="P47" s="385" t="str">
        <f>SUMIFS('EXPENSES MASTER'!$F:$F,'EXPENSES MASTER'!$G:$G,'BUDGET 2026 DRAFT1'!$H$45,'EXPENSES MASTER'!$B:$B,'BUDGET 2026 DRAFT1'!P$3,#REF!,'BUDGET 2026 DRAFT1'!$H47)</f>
        <v>#VALUE!</v>
      </c>
      <c r="Q47" s="385" t="str">
        <f>SUMIFS('EXPENSES MASTER'!$F:$F,'EXPENSES MASTER'!$G:$G,'BUDGET 2026 DRAFT1'!$H$45,'EXPENSES MASTER'!$B:$B,'BUDGET 2026 DRAFT1'!Q$3,#REF!,'BUDGET 2026 DRAFT1'!$H47)</f>
        <v>#VALUE!</v>
      </c>
      <c r="R47" s="385" t="str">
        <f>SUMIFS('EXPENSES MASTER'!$F:$F,'EXPENSES MASTER'!$G:$G,'BUDGET 2026 DRAFT1'!$H$45,'EXPENSES MASTER'!$B:$B,'BUDGET 2026 DRAFT1'!R$3,#REF!,'BUDGET 2026 DRAFT1'!$H47)</f>
        <v>#VALUE!</v>
      </c>
      <c r="S47" s="385" t="str">
        <f>SUMIFS('EXPENSES MASTER'!$F:$F,'EXPENSES MASTER'!$G:$G,'BUDGET 2026 DRAFT1'!$H$45,'EXPENSES MASTER'!$B:$B,'BUDGET 2026 DRAFT1'!S$3,#REF!,'BUDGET 2026 DRAFT1'!$H47)</f>
        <v>#VALUE!</v>
      </c>
      <c r="T47" s="385" t="str">
        <f>SUMIFS('EXPENSES MASTER'!$F:$F,'EXPENSES MASTER'!$G:$G,'BUDGET 2026 DRAFT1'!$H$45,'EXPENSES MASTER'!$B:$B,'BUDGET 2026 DRAFT1'!T$3,#REF!,'BUDGET 2026 DRAFT1'!$H47)</f>
        <v>#VALUE!</v>
      </c>
      <c r="U47" s="357"/>
      <c r="V47" s="385" t="str">
        <f t="shared" si="62"/>
        <v>#VALUE!</v>
      </c>
      <c r="W47" s="357"/>
      <c r="X47" s="390"/>
      <c r="Z47" s="357"/>
      <c r="AA47" s="357"/>
      <c r="AB47" s="420"/>
      <c r="AC47" s="380"/>
      <c r="AD47" s="421"/>
      <c r="AE47" s="381" t="s">
        <v>1655</v>
      </c>
      <c r="AF47" s="377" t="str">
        <f t="shared" ref="AF47:AQ47" si="72">I47*$A47</f>
        <v>#VALUE!</v>
      </c>
      <c r="AG47" s="377" t="str">
        <f t="shared" si="72"/>
        <v>#VALUE!</v>
      </c>
      <c r="AH47" s="377" t="str">
        <f t="shared" si="72"/>
        <v>#VALUE!</v>
      </c>
      <c r="AI47" s="377" t="str">
        <f t="shared" si="72"/>
        <v>#VALUE!</v>
      </c>
      <c r="AJ47" s="377" t="str">
        <f t="shared" si="72"/>
        <v>#VALUE!</v>
      </c>
      <c r="AK47" s="377" t="str">
        <f t="shared" si="72"/>
        <v>#VALUE!</v>
      </c>
      <c r="AL47" s="377" t="str">
        <f t="shared" si="72"/>
        <v>#VALUE!</v>
      </c>
      <c r="AM47" s="377" t="str">
        <f t="shared" si="72"/>
        <v>#VALUE!</v>
      </c>
      <c r="AN47" s="377" t="str">
        <f t="shared" si="72"/>
        <v>#VALUE!</v>
      </c>
      <c r="AO47" s="377" t="str">
        <f t="shared" si="72"/>
        <v>#VALUE!</v>
      </c>
      <c r="AP47" s="377" t="str">
        <f t="shared" si="72"/>
        <v>#VALUE!</v>
      </c>
      <c r="AQ47" s="377" t="str">
        <f t="shared" si="72"/>
        <v>#VALUE!</v>
      </c>
      <c r="AR47" s="357"/>
      <c r="AS47" s="385" t="str">
        <f t="shared" si="64"/>
        <v>#VALUE!</v>
      </c>
      <c r="AT47" s="357"/>
      <c r="AU47" s="357"/>
    </row>
    <row r="48" ht="15.75" customHeight="1" outlineLevel="1">
      <c r="A48" s="374">
        <f t="shared" si="3"/>
        <v>1</v>
      </c>
      <c r="B48" s="364">
        <v>0.0</v>
      </c>
      <c r="C48" s="412"/>
      <c r="D48" s="360" t="str">
        <f t="shared" si="4"/>
        <v>Vivaio</v>
      </c>
      <c r="E48" s="420"/>
      <c r="F48" s="380"/>
      <c r="G48" s="421"/>
      <c r="H48" s="381" t="s">
        <v>1657</v>
      </c>
      <c r="I48" s="385" t="str">
        <f>SUMIFS('EXPENSES MASTER'!$F:$F,'EXPENSES MASTER'!$G:$G,'BUDGET 2026 DRAFT1'!$H$45,'EXPENSES MASTER'!$B:$B,'BUDGET 2026 DRAFT1'!I$3,#REF!,'BUDGET 2026 DRAFT1'!$H48)</f>
        <v>#VALUE!</v>
      </c>
      <c r="J48" s="385" t="str">
        <f>SUMIFS('EXPENSES MASTER'!$F:$F,'EXPENSES MASTER'!$G:$G,'BUDGET 2026 DRAFT1'!$H$45,'EXPENSES MASTER'!$B:$B,'BUDGET 2026 DRAFT1'!J$3,#REF!,'BUDGET 2026 DRAFT1'!$H48)</f>
        <v>#VALUE!</v>
      </c>
      <c r="K48" s="422">
        <f t="shared" ref="K48:T48" si="73">-600-(0.1*K17)</f>
        <v>-600</v>
      </c>
      <c r="L48" s="422">
        <f t="shared" si="73"/>
        <v>-600</v>
      </c>
      <c r="M48" s="422">
        <f t="shared" si="73"/>
        <v>-600</v>
      </c>
      <c r="N48" s="422">
        <f t="shared" si="73"/>
        <v>-600</v>
      </c>
      <c r="O48" s="422">
        <f t="shared" si="73"/>
        <v>-600</v>
      </c>
      <c r="P48" s="422">
        <f t="shared" si="73"/>
        <v>-600</v>
      </c>
      <c r="Q48" s="422">
        <f t="shared" si="73"/>
        <v>-600</v>
      </c>
      <c r="R48" s="422">
        <f t="shared" si="73"/>
        <v>-600</v>
      </c>
      <c r="S48" s="422">
        <f t="shared" si="73"/>
        <v>-600</v>
      </c>
      <c r="T48" s="422">
        <f t="shared" si="73"/>
        <v>-600</v>
      </c>
      <c r="U48" s="357"/>
      <c r="V48" s="385" t="str">
        <f t="shared" si="62"/>
        <v>#VALUE!</v>
      </c>
      <c r="W48" s="357"/>
      <c r="X48" s="390"/>
      <c r="Z48" s="357"/>
      <c r="AA48" s="357"/>
      <c r="AB48" s="420"/>
      <c r="AC48" s="380"/>
      <c r="AD48" s="421"/>
      <c r="AE48" s="423" t="s">
        <v>7027</v>
      </c>
      <c r="AF48" s="419">
        <v>700.0</v>
      </c>
      <c r="AG48" s="419">
        <v>700.0</v>
      </c>
      <c r="AH48" s="419">
        <v>700.0</v>
      </c>
      <c r="AI48" s="419">
        <v>700.0</v>
      </c>
      <c r="AJ48" s="419">
        <v>700.0</v>
      </c>
      <c r="AK48" s="419">
        <v>700.0</v>
      </c>
      <c r="AL48" s="419">
        <v>700.0</v>
      </c>
      <c r="AM48" s="419">
        <v>700.0</v>
      </c>
      <c r="AN48" s="419">
        <v>700.0</v>
      </c>
      <c r="AO48" s="419">
        <v>700.0</v>
      </c>
      <c r="AP48" s="419">
        <v>700.0</v>
      </c>
      <c r="AQ48" s="419">
        <v>700.0</v>
      </c>
      <c r="AR48" s="357"/>
      <c r="AS48" s="385">
        <f t="shared" si="64"/>
        <v>8400</v>
      </c>
      <c r="AT48" s="357"/>
      <c r="AU48" s="357"/>
    </row>
    <row r="49" ht="15.75" customHeight="1" outlineLevel="1">
      <c r="A49" s="374">
        <f t="shared" si="3"/>
        <v>1.25</v>
      </c>
      <c r="B49" s="364">
        <v>0.25</v>
      </c>
      <c r="C49" s="357"/>
      <c r="D49" s="360" t="str">
        <f t="shared" si="4"/>
        <v>Others</v>
      </c>
      <c r="E49" s="420"/>
      <c r="F49" s="380"/>
      <c r="G49" s="421"/>
      <c r="H49" s="381" t="s">
        <v>1658</v>
      </c>
      <c r="I49" s="385" t="str">
        <f>SUMIFS('EXPENSES MASTER'!$F:$F,'EXPENSES MASTER'!$G:$G,'BUDGET 2026 DRAFT1'!$H$45,'EXPENSES MASTER'!$B:$B,'BUDGET 2026 DRAFT1'!I$3,#REF!,'BUDGET 2026 DRAFT1'!$H49)</f>
        <v>#VALUE!</v>
      </c>
      <c r="J49" s="385" t="str">
        <f>SUMIFS('EXPENSES MASTER'!$F:$F,'EXPENSES MASTER'!$G:$G,'BUDGET 2026 DRAFT1'!$H$45,'EXPENSES MASTER'!$B:$B,'BUDGET 2026 DRAFT1'!J$3,#REF!,'BUDGET 2026 DRAFT1'!$H49)</f>
        <v>#VALUE!</v>
      </c>
      <c r="K49" s="385" t="str">
        <f>SUMIFS('EXPENSES MASTER'!$F:$F,'EXPENSES MASTER'!$G:$G,'BUDGET 2026 DRAFT1'!$H$45,'EXPENSES MASTER'!$B:$B,'BUDGET 2026 DRAFT1'!K$3,#REF!,'BUDGET 2026 DRAFT1'!$H49)</f>
        <v>#VALUE!</v>
      </c>
      <c r="L49" s="385" t="str">
        <f>SUMIFS('EXPENSES MASTER'!$F:$F,'EXPENSES MASTER'!$G:$G,'BUDGET 2026 DRAFT1'!$H$45,'EXPENSES MASTER'!$B:$B,'BUDGET 2026 DRAFT1'!L$3,#REF!,'BUDGET 2026 DRAFT1'!$H49)</f>
        <v>#VALUE!</v>
      </c>
      <c r="M49" s="385" t="str">
        <f>SUMIFS('EXPENSES MASTER'!$F:$F,'EXPENSES MASTER'!$G:$G,'BUDGET 2026 DRAFT1'!$H$45,'EXPENSES MASTER'!$B:$B,'BUDGET 2026 DRAFT1'!M$3,#REF!,'BUDGET 2026 DRAFT1'!$H49)</f>
        <v>#VALUE!</v>
      </c>
      <c r="N49" s="385" t="str">
        <f>SUMIFS('EXPENSES MASTER'!$F:$F,'EXPENSES MASTER'!$G:$G,'BUDGET 2026 DRAFT1'!$H$45,'EXPENSES MASTER'!$B:$B,'BUDGET 2026 DRAFT1'!N$3,#REF!,'BUDGET 2026 DRAFT1'!$H49)</f>
        <v>#VALUE!</v>
      </c>
      <c r="O49" s="385" t="str">
        <f>SUMIFS('EXPENSES MASTER'!$F:$F,'EXPENSES MASTER'!$G:$G,'BUDGET 2026 DRAFT1'!$H$45,'EXPENSES MASTER'!$B:$B,'BUDGET 2026 DRAFT1'!O$3,#REF!,'BUDGET 2026 DRAFT1'!$H49)</f>
        <v>#VALUE!</v>
      </c>
      <c r="P49" s="385" t="str">
        <f>SUMIFS('EXPENSES MASTER'!$F:$F,'EXPENSES MASTER'!$G:$G,'BUDGET 2026 DRAFT1'!$H$45,'EXPENSES MASTER'!$B:$B,'BUDGET 2026 DRAFT1'!P$3,#REF!,'BUDGET 2026 DRAFT1'!$H49)</f>
        <v>#VALUE!</v>
      </c>
      <c r="Q49" s="385" t="str">
        <f>SUMIFS('EXPENSES MASTER'!$F:$F,'EXPENSES MASTER'!$G:$G,'BUDGET 2026 DRAFT1'!$H$45,'EXPENSES MASTER'!$B:$B,'BUDGET 2026 DRAFT1'!Q$3,#REF!,'BUDGET 2026 DRAFT1'!$H49)</f>
        <v>#VALUE!</v>
      </c>
      <c r="R49" s="385" t="str">
        <f>SUMIFS('EXPENSES MASTER'!$F:$F,'EXPENSES MASTER'!$G:$G,'BUDGET 2026 DRAFT1'!$H$45,'EXPENSES MASTER'!$B:$B,'BUDGET 2026 DRAFT1'!R$3,#REF!,'BUDGET 2026 DRAFT1'!$H49)</f>
        <v>#VALUE!</v>
      </c>
      <c r="S49" s="385" t="str">
        <f>SUMIFS('EXPENSES MASTER'!$F:$F,'EXPENSES MASTER'!$G:$G,'BUDGET 2026 DRAFT1'!$H$45,'EXPENSES MASTER'!$B:$B,'BUDGET 2026 DRAFT1'!S$3,#REF!,'BUDGET 2026 DRAFT1'!$H49)</f>
        <v>#VALUE!</v>
      </c>
      <c r="T49" s="385" t="str">
        <f>SUMIFS('EXPENSES MASTER'!$F:$F,'EXPENSES MASTER'!$G:$G,'BUDGET 2026 DRAFT1'!$H$45,'EXPENSES MASTER'!$B:$B,'BUDGET 2026 DRAFT1'!T$3,#REF!,'BUDGET 2026 DRAFT1'!$H49)</f>
        <v>#VALUE!</v>
      </c>
      <c r="U49" s="357"/>
      <c r="V49" s="385" t="str">
        <f t="shared" si="62"/>
        <v>#VALUE!</v>
      </c>
      <c r="W49" s="357"/>
      <c r="X49" s="390">
        <v>-4404.5</v>
      </c>
      <c r="Z49" s="357"/>
      <c r="AA49" s="357"/>
      <c r="AB49" s="420"/>
      <c r="AC49" s="380"/>
      <c r="AD49" s="421"/>
      <c r="AE49" s="381" t="s">
        <v>1658</v>
      </c>
      <c r="AF49" s="377" t="str">
        <f t="shared" ref="AF49:AQ49" si="74">I49*$A49</f>
        <v>#VALUE!</v>
      </c>
      <c r="AG49" s="377" t="str">
        <f t="shared" si="74"/>
        <v>#VALUE!</v>
      </c>
      <c r="AH49" s="377" t="str">
        <f t="shared" si="74"/>
        <v>#VALUE!</v>
      </c>
      <c r="AI49" s="377" t="str">
        <f t="shared" si="74"/>
        <v>#VALUE!</v>
      </c>
      <c r="AJ49" s="377" t="str">
        <f t="shared" si="74"/>
        <v>#VALUE!</v>
      </c>
      <c r="AK49" s="377" t="str">
        <f t="shared" si="74"/>
        <v>#VALUE!</v>
      </c>
      <c r="AL49" s="377" t="str">
        <f t="shared" si="74"/>
        <v>#VALUE!</v>
      </c>
      <c r="AM49" s="377" t="str">
        <f t="shared" si="74"/>
        <v>#VALUE!</v>
      </c>
      <c r="AN49" s="377" t="str">
        <f t="shared" si="74"/>
        <v>#VALUE!</v>
      </c>
      <c r="AO49" s="377" t="str">
        <f t="shared" si="74"/>
        <v>#VALUE!</v>
      </c>
      <c r="AP49" s="377" t="str">
        <f t="shared" si="74"/>
        <v>#VALUE!</v>
      </c>
      <c r="AQ49" s="377" t="str">
        <f t="shared" si="74"/>
        <v>#VALUE!</v>
      </c>
      <c r="AR49" s="357"/>
      <c r="AS49" s="385" t="str">
        <f t="shared" si="64"/>
        <v>#VALUE!</v>
      </c>
      <c r="AT49" s="357"/>
      <c r="AU49" s="357"/>
    </row>
    <row r="50" ht="15.75" customHeight="1">
      <c r="A50" s="374">
        <f t="shared" si="3"/>
        <v>1</v>
      </c>
      <c r="B50" s="364">
        <v>0.0</v>
      </c>
      <c r="C50" s="357"/>
      <c r="D50" s="360" t="str">
        <f t="shared" si="4"/>
        <v>FissiEVENTI</v>
      </c>
      <c r="E50" s="375" t="s">
        <v>1628</v>
      </c>
      <c r="F50" s="375" t="s">
        <v>1633</v>
      </c>
      <c r="G50" s="376" t="s">
        <v>1648</v>
      </c>
      <c r="H50" s="416" t="s">
        <v>1659</v>
      </c>
      <c r="I50" s="385">
        <f>SUMIFS('EXPENSES MASTER'!$F:$F,'EXPENSES MASTER'!$G:$G,'BUDGET 2026 DRAFT1'!$H$50,'EXPENSES MASTER'!$B:$B,'BUDGET 2026 DRAFT1'!I$3)</f>
        <v>0</v>
      </c>
      <c r="J50" s="385">
        <f>SUMIFS('EXPENSES MASTER'!$F:$F,'EXPENSES MASTER'!$G:$G,'BUDGET 2026 DRAFT1'!$H$50,'EXPENSES MASTER'!$B:$B,'BUDGET 2026 DRAFT1'!J$3)</f>
        <v>0</v>
      </c>
      <c r="K50" s="385">
        <f>SUMIFS('EXPENSES MASTER'!$F:$F,'EXPENSES MASTER'!$G:$G,'BUDGET 2026 DRAFT1'!$H$50,'EXPENSES MASTER'!$B:$B,'BUDGET 2026 DRAFT1'!K$3)</f>
        <v>0</v>
      </c>
      <c r="L50" s="385">
        <f>SUMIFS('EXPENSES MASTER'!$F:$F,'EXPENSES MASTER'!$G:$G,'BUDGET 2026 DRAFT1'!$H$50,'EXPENSES MASTER'!$B:$B,'BUDGET 2026 DRAFT1'!L$3)</f>
        <v>0</v>
      </c>
      <c r="M50" s="385">
        <f>SUMIFS('EXPENSES MASTER'!$F:$F,'EXPENSES MASTER'!$G:$G,'BUDGET 2026 DRAFT1'!$H$50,'EXPENSES MASTER'!$B:$B,'BUDGET 2026 DRAFT1'!M$3)</f>
        <v>0</v>
      </c>
      <c r="N50" s="385">
        <f>SUMIFS('EXPENSES MASTER'!$F:$F,'EXPENSES MASTER'!$G:$G,'BUDGET 2026 DRAFT1'!$H$50,'EXPENSES MASTER'!$B:$B,'BUDGET 2026 DRAFT1'!N$3)</f>
        <v>0</v>
      </c>
      <c r="O50" s="385">
        <f>SUMIFS('EXPENSES MASTER'!$F:$F,'EXPENSES MASTER'!$G:$G,'BUDGET 2026 DRAFT1'!$H$50,'EXPENSES MASTER'!$B:$B,'BUDGET 2026 DRAFT1'!O$3)</f>
        <v>0</v>
      </c>
      <c r="P50" s="385">
        <f>SUMIFS('EXPENSES MASTER'!$F:$F,'EXPENSES MASTER'!$G:$G,'BUDGET 2026 DRAFT1'!$H$50,'EXPENSES MASTER'!$B:$B,'BUDGET 2026 DRAFT1'!P$3)</f>
        <v>0</v>
      </c>
      <c r="Q50" s="385">
        <f>SUMIFS('EXPENSES MASTER'!$F:$F,'EXPENSES MASTER'!$G:$G,'BUDGET 2026 DRAFT1'!$H$50,'EXPENSES MASTER'!$B:$B,'BUDGET 2026 DRAFT1'!Q$3)</f>
        <v>0</v>
      </c>
      <c r="R50" s="385">
        <f>SUMIFS('EXPENSES MASTER'!$F:$F,'EXPENSES MASTER'!$G:$G,'BUDGET 2026 DRAFT1'!$H$50,'EXPENSES MASTER'!$B:$B,'BUDGET 2026 DRAFT1'!R$3)</f>
        <v>0</v>
      </c>
      <c r="S50" s="385">
        <f>SUMIFS('EXPENSES MASTER'!$F:$F,'EXPENSES MASTER'!$G:$G,'BUDGET 2026 DRAFT1'!$H$50,'EXPENSES MASTER'!$B:$B,'BUDGET 2026 DRAFT1'!S$3)</f>
        <v>0</v>
      </c>
      <c r="T50" s="385">
        <f>SUMIFS('EXPENSES MASTER'!$F:$F,'EXPENSES MASTER'!$G:$G,'BUDGET 2026 DRAFT1'!$H$50,'EXPENSES MASTER'!$B:$B,'BUDGET 2026 DRAFT1'!T$3)</f>
        <v>0</v>
      </c>
      <c r="U50" s="357"/>
      <c r="V50" s="385">
        <f t="shared" si="62"/>
        <v>0</v>
      </c>
      <c r="W50" s="357"/>
      <c r="X50" s="390">
        <f>SUM(X51:X54)</f>
        <v>-5614</v>
      </c>
      <c r="Z50" s="357"/>
      <c r="AA50" s="357"/>
      <c r="AB50" s="375" t="s">
        <v>1628</v>
      </c>
      <c r="AC50" s="375" t="s">
        <v>1633</v>
      </c>
      <c r="AD50" s="376" t="s">
        <v>1648</v>
      </c>
      <c r="AE50" s="416" t="s">
        <v>1659</v>
      </c>
      <c r="AF50" s="377">
        <f t="shared" ref="AF50:AQ50" si="75">I50*$A50</f>
        <v>0</v>
      </c>
      <c r="AG50" s="377">
        <f t="shared" si="75"/>
        <v>0</v>
      </c>
      <c r="AH50" s="377">
        <f t="shared" si="75"/>
        <v>0</v>
      </c>
      <c r="AI50" s="377">
        <f t="shared" si="75"/>
        <v>0</v>
      </c>
      <c r="AJ50" s="377">
        <f t="shared" si="75"/>
        <v>0</v>
      </c>
      <c r="AK50" s="377">
        <f t="shared" si="75"/>
        <v>0</v>
      </c>
      <c r="AL50" s="377">
        <f t="shared" si="75"/>
        <v>0</v>
      </c>
      <c r="AM50" s="377">
        <f t="shared" si="75"/>
        <v>0</v>
      </c>
      <c r="AN50" s="377">
        <f t="shared" si="75"/>
        <v>0</v>
      </c>
      <c r="AO50" s="377">
        <f t="shared" si="75"/>
        <v>0</v>
      </c>
      <c r="AP50" s="377">
        <f t="shared" si="75"/>
        <v>0</v>
      </c>
      <c r="AQ50" s="377">
        <f t="shared" si="75"/>
        <v>0</v>
      </c>
      <c r="AR50" s="357"/>
      <c r="AS50" s="385">
        <f t="shared" si="64"/>
        <v>0</v>
      </c>
      <c r="AT50" s="357"/>
      <c r="AU50" s="357"/>
    </row>
    <row r="51" ht="15.75" customHeight="1">
      <c r="A51" s="374">
        <f t="shared" si="3"/>
        <v>1</v>
      </c>
      <c r="B51" s="364">
        <v>0.0</v>
      </c>
      <c r="C51" s="357"/>
      <c r="D51" s="360" t="str">
        <f t="shared" si="4"/>
        <v>FissiMARKETING</v>
      </c>
      <c r="E51" s="375" t="s">
        <v>1628</v>
      </c>
      <c r="F51" s="375" t="s">
        <v>1633</v>
      </c>
      <c r="G51" s="376" t="s">
        <v>1648</v>
      </c>
      <c r="H51" s="416" t="s">
        <v>1660</v>
      </c>
      <c r="I51" s="385" t="str">
        <f t="shared" ref="I51:T51" si="76">SUM(I52:I54)</f>
        <v>#VALUE!</v>
      </c>
      <c r="J51" s="385" t="str">
        <f t="shared" si="76"/>
        <v>#VALUE!</v>
      </c>
      <c r="K51" s="385" t="str">
        <f t="shared" si="76"/>
        <v>#VALUE!</v>
      </c>
      <c r="L51" s="385" t="str">
        <f t="shared" si="76"/>
        <v>#VALUE!</v>
      </c>
      <c r="M51" s="385" t="str">
        <f t="shared" si="76"/>
        <v>#VALUE!</v>
      </c>
      <c r="N51" s="385" t="str">
        <f t="shared" si="76"/>
        <v>#VALUE!</v>
      </c>
      <c r="O51" s="385" t="str">
        <f t="shared" si="76"/>
        <v>#VALUE!</v>
      </c>
      <c r="P51" s="385" t="str">
        <f t="shared" si="76"/>
        <v>#VALUE!</v>
      </c>
      <c r="Q51" s="385" t="str">
        <f t="shared" si="76"/>
        <v>#VALUE!</v>
      </c>
      <c r="R51" s="385" t="str">
        <f t="shared" si="76"/>
        <v>#VALUE!</v>
      </c>
      <c r="S51" s="385" t="str">
        <f t="shared" si="76"/>
        <v>#VALUE!</v>
      </c>
      <c r="T51" s="385" t="str">
        <f t="shared" si="76"/>
        <v>#VALUE!</v>
      </c>
      <c r="U51" s="357"/>
      <c r="V51" s="385" t="str">
        <f t="shared" si="62"/>
        <v>#VALUE!</v>
      </c>
      <c r="W51" s="357"/>
      <c r="X51" s="424">
        <v>-2775.0</v>
      </c>
      <c r="Z51" s="357"/>
      <c r="AA51" s="357"/>
      <c r="AB51" s="375" t="s">
        <v>1628</v>
      </c>
      <c r="AC51" s="375" t="s">
        <v>1633</v>
      </c>
      <c r="AD51" s="376" t="s">
        <v>1648</v>
      </c>
      <c r="AE51" s="416" t="s">
        <v>1660</v>
      </c>
      <c r="AF51" s="385" t="str">
        <f t="shared" ref="AF51:AQ51" si="77">SUM(AF52:AF54)</f>
        <v>#VALUE!</v>
      </c>
      <c r="AG51" s="385" t="str">
        <f t="shared" si="77"/>
        <v>#VALUE!</v>
      </c>
      <c r="AH51" s="385" t="str">
        <f t="shared" si="77"/>
        <v>#VALUE!</v>
      </c>
      <c r="AI51" s="385" t="str">
        <f t="shared" si="77"/>
        <v>#VALUE!</v>
      </c>
      <c r="AJ51" s="385" t="str">
        <f t="shared" si="77"/>
        <v>#VALUE!</v>
      </c>
      <c r="AK51" s="385" t="str">
        <f t="shared" si="77"/>
        <v>#VALUE!</v>
      </c>
      <c r="AL51" s="385" t="str">
        <f t="shared" si="77"/>
        <v>#VALUE!</v>
      </c>
      <c r="AM51" s="385" t="str">
        <f t="shared" si="77"/>
        <v>#VALUE!</v>
      </c>
      <c r="AN51" s="385" t="str">
        <f t="shared" si="77"/>
        <v>#VALUE!</v>
      </c>
      <c r="AO51" s="385" t="str">
        <f t="shared" si="77"/>
        <v>#VALUE!</v>
      </c>
      <c r="AP51" s="385" t="str">
        <f t="shared" si="77"/>
        <v>#VALUE!</v>
      </c>
      <c r="AQ51" s="385" t="str">
        <f t="shared" si="77"/>
        <v>#VALUE!</v>
      </c>
      <c r="AR51" s="357"/>
      <c r="AS51" s="385" t="str">
        <f t="shared" si="64"/>
        <v>#VALUE!</v>
      </c>
      <c r="AT51" s="357"/>
      <c r="AU51" s="357"/>
    </row>
    <row r="52" ht="15.75" customHeight="1" outlineLevel="1">
      <c r="A52" s="374">
        <f t="shared" si="3"/>
        <v>1.25</v>
      </c>
      <c r="B52" s="364">
        <v>0.25</v>
      </c>
      <c r="C52" s="357"/>
      <c r="D52" s="360" t="str">
        <f t="shared" si="4"/>
        <v>Shooting</v>
      </c>
      <c r="E52" s="420"/>
      <c r="F52" s="380"/>
      <c r="G52" s="421"/>
      <c r="H52" s="381" t="s">
        <v>1661</v>
      </c>
      <c r="I52" s="385" t="str">
        <f>SUMIFS('EXPENSES MASTER'!$F:$F,'EXPENSES MASTER'!$G:$G,'BUDGET 2026 DRAFT1'!$H$51,'EXPENSES MASTER'!$B:$B,'BUDGET 2026 DRAFT1'!I$3,#REF!,'BUDGET 2026 DRAFT1'!$H52)</f>
        <v>#VALUE!</v>
      </c>
      <c r="J52" s="385" t="str">
        <f>SUMIFS('EXPENSES MASTER'!$F:$F,'EXPENSES MASTER'!$G:$G,'BUDGET 2026 DRAFT1'!$H$51,'EXPENSES MASTER'!$B:$B,'BUDGET 2026 DRAFT1'!J$3,#REF!,'BUDGET 2026 DRAFT1'!$H52)</f>
        <v>#VALUE!</v>
      </c>
      <c r="K52" s="385" t="str">
        <f>SUMIFS('EXPENSES MASTER'!$F:$F,'EXPENSES MASTER'!$G:$G,'BUDGET 2026 DRAFT1'!$H$51,'EXPENSES MASTER'!$B:$B,'BUDGET 2026 DRAFT1'!K$3,#REF!,'BUDGET 2026 DRAFT1'!$H52)</f>
        <v>#VALUE!</v>
      </c>
      <c r="L52" s="385" t="str">
        <f>SUMIFS('EXPENSES MASTER'!$F:$F,'EXPENSES MASTER'!$G:$G,'BUDGET 2026 DRAFT1'!$H$51,'EXPENSES MASTER'!$B:$B,'BUDGET 2026 DRAFT1'!L$3,#REF!,'BUDGET 2026 DRAFT1'!$H52)</f>
        <v>#VALUE!</v>
      </c>
      <c r="M52" s="385" t="str">
        <f>SUMIFS('EXPENSES MASTER'!$F:$F,'EXPENSES MASTER'!$G:$G,'BUDGET 2026 DRAFT1'!$H$51,'EXPENSES MASTER'!$B:$B,'BUDGET 2026 DRAFT1'!M$3,#REF!,'BUDGET 2026 DRAFT1'!$H52)</f>
        <v>#VALUE!</v>
      </c>
      <c r="N52" s="385" t="str">
        <f>SUMIFS('EXPENSES MASTER'!$F:$F,'EXPENSES MASTER'!$G:$G,'BUDGET 2026 DRAFT1'!$H$51,'EXPENSES MASTER'!$B:$B,'BUDGET 2026 DRAFT1'!N$3,#REF!,'BUDGET 2026 DRAFT1'!$H52)</f>
        <v>#VALUE!</v>
      </c>
      <c r="O52" s="385" t="str">
        <f>SUMIFS('EXPENSES MASTER'!$F:$F,'EXPENSES MASTER'!$G:$G,'BUDGET 2026 DRAFT1'!$H$51,'EXPENSES MASTER'!$B:$B,'BUDGET 2026 DRAFT1'!O$3,#REF!,'BUDGET 2026 DRAFT1'!$H52)</f>
        <v>#VALUE!</v>
      </c>
      <c r="P52" s="385" t="str">
        <f>SUMIFS('EXPENSES MASTER'!$F:$F,'EXPENSES MASTER'!$G:$G,'BUDGET 2026 DRAFT1'!$H$51,'EXPENSES MASTER'!$B:$B,'BUDGET 2026 DRAFT1'!P$3,#REF!,'BUDGET 2026 DRAFT1'!$H52)</f>
        <v>#VALUE!</v>
      </c>
      <c r="Q52" s="385" t="str">
        <f>SUMIFS('EXPENSES MASTER'!$F:$F,'EXPENSES MASTER'!$G:$G,'BUDGET 2026 DRAFT1'!$H$51,'EXPENSES MASTER'!$B:$B,'BUDGET 2026 DRAFT1'!Q$3,#REF!,'BUDGET 2026 DRAFT1'!$H52)</f>
        <v>#VALUE!</v>
      </c>
      <c r="R52" s="385" t="str">
        <f>SUMIFS('EXPENSES MASTER'!$F:$F,'EXPENSES MASTER'!$G:$G,'BUDGET 2026 DRAFT1'!$H$51,'EXPENSES MASTER'!$B:$B,'BUDGET 2026 DRAFT1'!R$3,#REF!,'BUDGET 2026 DRAFT1'!$H52)</f>
        <v>#VALUE!</v>
      </c>
      <c r="S52" s="385" t="str">
        <f>SUMIFS('EXPENSES MASTER'!$F:$F,'EXPENSES MASTER'!$G:$G,'BUDGET 2026 DRAFT1'!$H$51,'EXPENSES MASTER'!$B:$B,'BUDGET 2026 DRAFT1'!S$3,#REF!,'BUDGET 2026 DRAFT1'!$H52)</f>
        <v>#VALUE!</v>
      </c>
      <c r="T52" s="385" t="str">
        <f>SUMIFS('EXPENSES MASTER'!$F:$F,'EXPENSES MASTER'!$G:$G,'BUDGET 2026 DRAFT1'!$H$51,'EXPENSES MASTER'!$B:$B,'BUDGET 2026 DRAFT1'!T$3,#REF!,'BUDGET 2026 DRAFT1'!$H52)</f>
        <v>#VALUE!</v>
      </c>
      <c r="U52" s="357"/>
      <c r="V52" s="385" t="str">
        <f t="shared" si="62"/>
        <v>#VALUE!</v>
      </c>
      <c r="W52" s="391" t="str">
        <f>V52/V51</f>
        <v>#VALUE!</v>
      </c>
      <c r="X52" s="424">
        <v>-1505.0</v>
      </c>
      <c r="Y52" s="402">
        <v>5000.0</v>
      </c>
      <c r="Z52" s="357"/>
      <c r="AA52" s="357"/>
      <c r="AB52" s="420"/>
      <c r="AC52" s="380"/>
      <c r="AD52" s="421"/>
      <c r="AE52" s="381" t="s">
        <v>1661</v>
      </c>
      <c r="AF52" s="377" t="str">
        <f t="shared" ref="AF52:AQ52" si="78">I52*$A52</f>
        <v>#VALUE!</v>
      </c>
      <c r="AG52" s="377" t="str">
        <f t="shared" si="78"/>
        <v>#VALUE!</v>
      </c>
      <c r="AH52" s="377" t="str">
        <f t="shared" si="78"/>
        <v>#VALUE!</v>
      </c>
      <c r="AI52" s="377" t="str">
        <f t="shared" si="78"/>
        <v>#VALUE!</v>
      </c>
      <c r="AJ52" s="377" t="str">
        <f t="shared" si="78"/>
        <v>#VALUE!</v>
      </c>
      <c r="AK52" s="377" t="str">
        <f t="shared" si="78"/>
        <v>#VALUE!</v>
      </c>
      <c r="AL52" s="377" t="str">
        <f t="shared" si="78"/>
        <v>#VALUE!</v>
      </c>
      <c r="AM52" s="377" t="str">
        <f t="shared" si="78"/>
        <v>#VALUE!</v>
      </c>
      <c r="AN52" s="377" t="str">
        <f t="shared" si="78"/>
        <v>#VALUE!</v>
      </c>
      <c r="AO52" s="377" t="str">
        <f t="shared" si="78"/>
        <v>#VALUE!</v>
      </c>
      <c r="AP52" s="377" t="str">
        <f t="shared" si="78"/>
        <v>#VALUE!</v>
      </c>
      <c r="AQ52" s="377" t="str">
        <f t="shared" si="78"/>
        <v>#VALUE!</v>
      </c>
      <c r="AR52" s="357"/>
      <c r="AS52" s="385" t="str">
        <f t="shared" si="64"/>
        <v>#VALUE!</v>
      </c>
      <c r="AT52" s="357"/>
      <c r="AU52" s="357"/>
    </row>
    <row r="53" ht="15.75" customHeight="1" outlineLevel="1">
      <c r="A53" s="374">
        <v>3.0</v>
      </c>
      <c r="B53" s="364">
        <v>1.0</v>
      </c>
      <c r="C53" s="357"/>
      <c r="D53" s="360" t="str">
        <f t="shared" si="4"/>
        <v>Meta Ads</v>
      </c>
      <c r="E53" s="420"/>
      <c r="F53" s="380"/>
      <c r="G53" s="421"/>
      <c r="H53" s="381" t="s">
        <v>1662</v>
      </c>
      <c r="I53" s="385" t="str">
        <f t="shared" ref="I53:T53" si="79">-'25 Sales Forecast'!E7</f>
        <v>#REF!</v>
      </c>
      <c r="J53" s="385" t="str">
        <f t="shared" si="79"/>
        <v>#REF!</v>
      </c>
      <c r="K53" s="385" t="str">
        <f t="shared" si="79"/>
        <v>#REF!</v>
      </c>
      <c r="L53" s="385" t="str">
        <f t="shared" si="79"/>
        <v>#REF!</v>
      </c>
      <c r="M53" s="385" t="str">
        <f t="shared" si="79"/>
        <v>#REF!</v>
      </c>
      <c r="N53" s="385" t="str">
        <f t="shared" si="79"/>
        <v>#REF!</v>
      </c>
      <c r="O53" s="385" t="str">
        <f t="shared" si="79"/>
        <v>#REF!</v>
      </c>
      <c r="P53" s="385" t="str">
        <f t="shared" si="79"/>
        <v>#REF!</v>
      </c>
      <c r="Q53" s="385" t="str">
        <f t="shared" si="79"/>
        <v>#REF!</v>
      </c>
      <c r="R53" s="385" t="str">
        <f t="shared" si="79"/>
        <v>#REF!</v>
      </c>
      <c r="S53" s="385" t="str">
        <f t="shared" si="79"/>
        <v>#REF!</v>
      </c>
      <c r="T53" s="385" t="str">
        <f t="shared" si="79"/>
        <v>#REF!</v>
      </c>
      <c r="U53" s="357"/>
      <c r="V53" s="385" t="str">
        <f t="shared" si="62"/>
        <v>#REF!</v>
      </c>
      <c r="W53" s="357"/>
      <c r="X53" s="424"/>
      <c r="Y53" s="402">
        <v>11000.0</v>
      </c>
      <c r="Z53" s="357"/>
      <c r="AA53" s="357"/>
      <c r="AB53" s="420"/>
      <c r="AC53" s="380"/>
      <c r="AD53" s="421"/>
      <c r="AE53" s="381" t="s">
        <v>1662</v>
      </c>
      <c r="AF53" s="377" t="str">
        <f t="shared" ref="AF53:AQ53" si="80">I53*$A53</f>
        <v>#REF!</v>
      </c>
      <c r="AG53" s="377" t="str">
        <f t="shared" si="80"/>
        <v>#REF!</v>
      </c>
      <c r="AH53" s="377" t="str">
        <f t="shared" si="80"/>
        <v>#REF!</v>
      </c>
      <c r="AI53" s="377" t="str">
        <f t="shared" si="80"/>
        <v>#REF!</v>
      </c>
      <c r="AJ53" s="377" t="str">
        <f t="shared" si="80"/>
        <v>#REF!</v>
      </c>
      <c r="AK53" s="377" t="str">
        <f t="shared" si="80"/>
        <v>#REF!</v>
      </c>
      <c r="AL53" s="377" t="str">
        <f t="shared" si="80"/>
        <v>#REF!</v>
      </c>
      <c r="AM53" s="377" t="str">
        <f t="shared" si="80"/>
        <v>#REF!</v>
      </c>
      <c r="AN53" s="377" t="str">
        <f t="shared" si="80"/>
        <v>#REF!</v>
      </c>
      <c r="AO53" s="377" t="str">
        <f t="shared" si="80"/>
        <v>#REF!</v>
      </c>
      <c r="AP53" s="377" t="str">
        <f t="shared" si="80"/>
        <v>#REF!</v>
      </c>
      <c r="AQ53" s="377" t="str">
        <f t="shared" si="80"/>
        <v>#REF!</v>
      </c>
      <c r="AR53" s="357"/>
      <c r="AS53" s="385" t="str">
        <f t="shared" si="64"/>
        <v>#REF!</v>
      </c>
      <c r="AT53" s="357"/>
      <c r="AU53" s="357"/>
    </row>
    <row r="54" ht="15.75" customHeight="1" outlineLevel="1">
      <c r="A54" s="374">
        <f t="shared" ref="A54:A55" si="82">1+B54</f>
        <v>1.25</v>
      </c>
      <c r="B54" s="364">
        <v>0.25</v>
      </c>
      <c r="C54" s="357"/>
      <c r="D54" s="360" t="str">
        <f t="shared" si="4"/>
        <v>Others</v>
      </c>
      <c r="E54" s="420"/>
      <c r="F54" s="380"/>
      <c r="G54" s="421"/>
      <c r="H54" s="381" t="s">
        <v>1658</v>
      </c>
      <c r="I54" s="385" t="str">
        <f>SUMIFS('EXPENSES MASTER'!$F:$F,'EXPENSES MASTER'!$G:$G,'BUDGET 2026 DRAFT1'!$H$51,'EXPENSES MASTER'!$B:$B,'BUDGET 2026 DRAFT1'!I$3,#REF!,'BUDGET 2026 DRAFT1'!$H54)</f>
        <v>#VALUE!</v>
      </c>
      <c r="J54" s="385" t="str">
        <f>SUMIFS('EXPENSES MASTER'!$F:$F,'EXPENSES MASTER'!$G:$G,'BUDGET 2026 DRAFT1'!$H$51,'EXPENSES MASTER'!$B:$B,'BUDGET 2026 DRAFT1'!J$3,#REF!,'BUDGET 2026 DRAFT1'!$H54)</f>
        <v>#VALUE!</v>
      </c>
      <c r="K54" s="385" t="str">
        <f>SUMIFS('EXPENSES MASTER'!$F:$F,'EXPENSES MASTER'!$G:$G,'BUDGET 2026 DRAFT1'!$H$51,'EXPENSES MASTER'!$B:$B,'BUDGET 2026 DRAFT1'!K$3,#REF!,'BUDGET 2026 DRAFT1'!$H54)</f>
        <v>#VALUE!</v>
      </c>
      <c r="L54" s="385" t="str">
        <f>SUMIFS('EXPENSES MASTER'!$F:$F,'EXPENSES MASTER'!$G:$G,'BUDGET 2026 DRAFT1'!$H$51,'EXPENSES MASTER'!$B:$B,'BUDGET 2026 DRAFT1'!L$3,#REF!,'BUDGET 2026 DRAFT1'!$H54)</f>
        <v>#VALUE!</v>
      </c>
      <c r="M54" s="385" t="str">
        <f>SUMIFS('EXPENSES MASTER'!$F:$F,'EXPENSES MASTER'!$G:$G,'BUDGET 2026 DRAFT1'!$H$51,'EXPENSES MASTER'!$B:$B,'BUDGET 2026 DRAFT1'!M$3,#REF!,'BUDGET 2026 DRAFT1'!$H54)</f>
        <v>#VALUE!</v>
      </c>
      <c r="N54" s="385" t="str">
        <f>SUMIFS('EXPENSES MASTER'!$F:$F,'EXPENSES MASTER'!$G:$G,'BUDGET 2026 DRAFT1'!$H$51,'EXPENSES MASTER'!$B:$B,'BUDGET 2026 DRAFT1'!N$3,#REF!,'BUDGET 2026 DRAFT1'!$H54)</f>
        <v>#VALUE!</v>
      </c>
      <c r="O54" s="385" t="str">
        <f>SUMIFS('EXPENSES MASTER'!$F:$F,'EXPENSES MASTER'!$G:$G,'BUDGET 2026 DRAFT1'!$H$51,'EXPENSES MASTER'!$B:$B,'BUDGET 2026 DRAFT1'!O$3,#REF!,'BUDGET 2026 DRAFT1'!$H54)</f>
        <v>#VALUE!</v>
      </c>
      <c r="P54" s="385" t="str">
        <f>SUMIFS('EXPENSES MASTER'!$F:$F,'EXPENSES MASTER'!$G:$G,'BUDGET 2026 DRAFT1'!$H$51,'EXPENSES MASTER'!$B:$B,'BUDGET 2026 DRAFT1'!P$3,#REF!,'BUDGET 2026 DRAFT1'!$H54)</f>
        <v>#VALUE!</v>
      </c>
      <c r="Q54" s="385" t="str">
        <f>SUMIFS('EXPENSES MASTER'!$F:$F,'EXPENSES MASTER'!$G:$G,'BUDGET 2026 DRAFT1'!$H$51,'EXPENSES MASTER'!$B:$B,'BUDGET 2026 DRAFT1'!Q$3,#REF!,'BUDGET 2026 DRAFT1'!$H54)</f>
        <v>#VALUE!</v>
      </c>
      <c r="R54" s="385" t="str">
        <f>SUMIFS('EXPENSES MASTER'!$F:$F,'EXPENSES MASTER'!$G:$G,'BUDGET 2026 DRAFT1'!$H$51,'EXPENSES MASTER'!$B:$B,'BUDGET 2026 DRAFT1'!R$3,#REF!,'BUDGET 2026 DRAFT1'!$H54)</f>
        <v>#VALUE!</v>
      </c>
      <c r="S54" s="385" t="str">
        <f>SUMIFS('EXPENSES MASTER'!$F:$F,'EXPENSES MASTER'!$G:$G,'BUDGET 2026 DRAFT1'!$H$51,'EXPENSES MASTER'!$B:$B,'BUDGET 2026 DRAFT1'!S$3,#REF!,'BUDGET 2026 DRAFT1'!$H54)</f>
        <v>#VALUE!</v>
      </c>
      <c r="T54" s="385" t="str">
        <f>SUMIFS('EXPENSES MASTER'!$F:$F,'EXPENSES MASTER'!$G:$G,'BUDGET 2026 DRAFT1'!$H$51,'EXPENSES MASTER'!$B:$B,'BUDGET 2026 DRAFT1'!T$3,#REF!,'BUDGET 2026 DRAFT1'!$H54)</f>
        <v>#VALUE!</v>
      </c>
      <c r="U54" s="357"/>
      <c r="V54" s="385" t="str">
        <f t="shared" si="62"/>
        <v>#VALUE!</v>
      </c>
      <c r="W54" s="357"/>
      <c r="X54" s="424">
        <v>-1334.0</v>
      </c>
      <c r="Z54" s="357"/>
      <c r="AA54" s="357"/>
      <c r="AB54" s="420"/>
      <c r="AC54" s="380"/>
      <c r="AD54" s="421"/>
      <c r="AE54" s="381" t="s">
        <v>1658</v>
      </c>
      <c r="AF54" s="377" t="str">
        <f t="shared" ref="AF54:AQ54" si="81">I54*$A54</f>
        <v>#VALUE!</v>
      </c>
      <c r="AG54" s="377" t="str">
        <f t="shared" si="81"/>
        <v>#VALUE!</v>
      </c>
      <c r="AH54" s="377" t="str">
        <f t="shared" si="81"/>
        <v>#VALUE!</v>
      </c>
      <c r="AI54" s="377" t="str">
        <f t="shared" si="81"/>
        <v>#VALUE!</v>
      </c>
      <c r="AJ54" s="377" t="str">
        <f t="shared" si="81"/>
        <v>#VALUE!</v>
      </c>
      <c r="AK54" s="377" t="str">
        <f t="shared" si="81"/>
        <v>#VALUE!</v>
      </c>
      <c r="AL54" s="377" t="str">
        <f t="shared" si="81"/>
        <v>#VALUE!</v>
      </c>
      <c r="AM54" s="377" t="str">
        <f t="shared" si="81"/>
        <v>#VALUE!</v>
      </c>
      <c r="AN54" s="377" t="str">
        <f t="shared" si="81"/>
        <v>#VALUE!</v>
      </c>
      <c r="AO54" s="377" t="str">
        <f t="shared" si="81"/>
        <v>#VALUE!</v>
      </c>
      <c r="AP54" s="377" t="str">
        <f t="shared" si="81"/>
        <v>#VALUE!</v>
      </c>
      <c r="AQ54" s="377" t="str">
        <f t="shared" si="81"/>
        <v>#VALUE!</v>
      </c>
      <c r="AR54" s="357"/>
      <c r="AS54" s="385" t="str">
        <f t="shared" si="64"/>
        <v>#VALUE!</v>
      </c>
      <c r="AT54" s="357"/>
      <c r="AU54" s="357"/>
    </row>
    <row r="55" ht="15.75" customHeight="1">
      <c r="A55" s="374">
        <f t="shared" si="82"/>
        <v>1</v>
      </c>
      <c r="B55" s="364">
        <v>0.0</v>
      </c>
      <c r="C55" s="357"/>
      <c r="D55" s="360" t="str">
        <f t="shared" si="4"/>
        <v>FissiTotal </v>
      </c>
      <c r="E55" s="392" t="s">
        <v>1628</v>
      </c>
      <c r="F55" s="392" t="s">
        <v>1633</v>
      </c>
      <c r="G55" s="411" t="s">
        <v>1648</v>
      </c>
      <c r="H55" s="392" t="s">
        <v>1663</v>
      </c>
      <c r="I55" s="393" t="str">
        <f>I50+I45+I44+I43+I42+I51</f>
        <v>#VALUE!</v>
      </c>
      <c r="J55" s="393" t="str">
        <f t="shared" ref="J55:T55" si="83">J42+J43+J44+J45+J50+J51</f>
        <v>#VALUE!</v>
      </c>
      <c r="K55" s="393" t="str">
        <f t="shared" si="83"/>
        <v>#VALUE!</v>
      </c>
      <c r="L55" s="393" t="str">
        <f t="shared" si="83"/>
        <v>#VALUE!</v>
      </c>
      <c r="M55" s="393" t="str">
        <f t="shared" si="83"/>
        <v>#VALUE!</v>
      </c>
      <c r="N55" s="393" t="str">
        <f t="shared" si="83"/>
        <v>#VALUE!</v>
      </c>
      <c r="O55" s="393" t="str">
        <f t="shared" si="83"/>
        <v>#VALUE!</v>
      </c>
      <c r="P55" s="393" t="str">
        <f t="shared" si="83"/>
        <v>#VALUE!</v>
      </c>
      <c r="Q55" s="393" t="str">
        <f t="shared" si="83"/>
        <v>#VALUE!</v>
      </c>
      <c r="R55" s="393" t="str">
        <f t="shared" si="83"/>
        <v>#VALUE!</v>
      </c>
      <c r="S55" s="393" t="str">
        <f t="shared" si="83"/>
        <v>#VALUE!</v>
      </c>
      <c r="T55" s="393" t="str">
        <f t="shared" si="83"/>
        <v>#VALUE!</v>
      </c>
      <c r="U55" s="357"/>
      <c r="V55" s="393" t="str">
        <f t="shared" si="62"/>
        <v>#VALUE!</v>
      </c>
      <c r="W55" s="357"/>
      <c r="X55" s="393">
        <f>SUM(X42:X50)</f>
        <v>-43435</v>
      </c>
      <c r="Z55" s="357"/>
      <c r="AA55" s="357"/>
      <c r="AB55" s="392" t="s">
        <v>1628</v>
      </c>
      <c r="AC55" s="392" t="s">
        <v>1633</v>
      </c>
      <c r="AD55" s="411" t="s">
        <v>1648</v>
      </c>
      <c r="AE55" s="392" t="s">
        <v>1663</v>
      </c>
      <c r="AF55" s="393" t="str">
        <f>AF50+AF45+AF44+AF43+AF42+AF51</f>
        <v>#VALUE!</v>
      </c>
      <c r="AG55" s="393" t="str">
        <f t="shared" ref="AG55:AQ55" si="84">AG42+AG43+AG44+AG45+AG50+AG51</f>
        <v>#VALUE!</v>
      </c>
      <c r="AH55" s="393" t="str">
        <f t="shared" si="84"/>
        <v>#VALUE!</v>
      </c>
      <c r="AI55" s="393" t="str">
        <f t="shared" si="84"/>
        <v>#VALUE!</v>
      </c>
      <c r="AJ55" s="393" t="str">
        <f t="shared" si="84"/>
        <v>#VALUE!</v>
      </c>
      <c r="AK55" s="393" t="str">
        <f t="shared" si="84"/>
        <v>#VALUE!</v>
      </c>
      <c r="AL55" s="393" t="str">
        <f t="shared" si="84"/>
        <v>#VALUE!</v>
      </c>
      <c r="AM55" s="393" t="str">
        <f t="shared" si="84"/>
        <v>#VALUE!</v>
      </c>
      <c r="AN55" s="393" t="str">
        <f t="shared" si="84"/>
        <v>#VALUE!</v>
      </c>
      <c r="AO55" s="393" t="str">
        <f t="shared" si="84"/>
        <v>#VALUE!</v>
      </c>
      <c r="AP55" s="393" t="str">
        <f t="shared" si="84"/>
        <v>#VALUE!</v>
      </c>
      <c r="AQ55" s="393" t="str">
        <f t="shared" si="84"/>
        <v>#VALUE!</v>
      </c>
      <c r="AR55" s="357"/>
      <c r="AS55" s="393" t="str">
        <f t="shared" si="64"/>
        <v>#VALUE!</v>
      </c>
      <c r="AT55" s="357"/>
      <c r="AU55" s="357"/>
    </row>
    <row r="56" ht="15.75" customHeight="1">
      <c r="A56" s="357"/>
      <c r="B56" s="357"/>
      <c r="C56" s="357"/>
      <c r="D56" s="360" t="str">
        <f t="shared" si="4"/>
        <v/>
      </c>
      <c r="E56" s="357"/>
      <c r="F56" s="357"/>
      <c r="G56" s="357"/>
      <c r="H56" s="357"/>
      <c r="I56" s="401"/>
      <c r="J56" s="401"/>
      <c r="K56" s="401"/>
      <c r="L56" s="401"/>
      <c r="M56" s="401"/>
      <c r="N56" s="401"/>
      <c r="O56" s="401"/>
      <c r="P56" s="401"/>
      <c r="Q56" s="401"/>
      <c r="R56" s="401"/>
      <c r="S56" s="401"/>
      <c r="T56" s="401"/>
      <c r="U56" s="357"/>
      <c r="V56" s="401"/>
      <c r="W56" s="357"/>
      <c r="Z56" s="357"/>
      <c r="AA56" s="357"/>
      <c r="AB56" s="357"/>
      <c r="AC56" s="357"/>
      <c r="AD56" s="357"/>
      <c r="AE56" s="357"/>
      <c r="AF56" s="377">
        <f t="shared" ref="AF56:AQ56" si="85">I56*$A56</f>
        <v>0</v>
      </c>
      <c r="AG56" s="377">
        <f t="shared" si="85"/>
        <v>0</v>
      </c>
      <c r="AH56" s="377">
        <f t="shared" si="85"/>
        <v>0</v>
      </c>
      <c r="AI56" s="377">
        <f t="shared" si="85"/>
        <v>0</v>
      </c>
      <c r="AJ56" s="377">
        <f t="shared" si="85"/>
        <v>0</v>
      </c>
      <c r="AK56" s="377">
        <f t="shared" si="85"/>
        <v>0</v>
      </c>
      <c r="AL56" s="377">
        <f t="shared" si="85"/>
        <v>0</v>
      </c>
      <c r="AM56" s="377">
        <f t="shared" si="85"/>
        <v>0</v>
      </c>
      <c r="AN56" s="377">
        <f t="shared" si="85"/>
        <v>0</v>
      </c>
      <c r="AO56" s="377">
        <f t="shared" si="85"/>
        <v>0</v>
      </c>
      <c r="AP56" s="377">
        <f t="shared" si="85"/>
        <v>0</v>
      </c>
      <c r="AQ56" s="377">
        <f t="shared" si="85"/>
        <v>0</v>
      </c>
      <c r="AR56" s="357"/>
      <c r="AS56" s="401"/>
      <c r="AT56" s="357"/>
      <c r="AU56" s="357"/>
    </row>
    <row r="57" ht="15.75" customHeight="1">
      <c r="A57" s="357"/>
      <c r="B57" s="357"/>
      <c r="C57" s="357"/>
      <c r="D57" s="360" t="str">
        <f t="shared" si="4"/>
        <v>OmnichannelMargine di Contribuzione_2</v>
      </c>
      <c r="E57" s="357"/>
      <c r="F57" s="357"/>
      <c r="G57" s="399" t="s">
        <v>1632</v>
      </c>
      <c r="H57" s="413" t="s">
        <v>1664</v>
      </c>
      <c r="I57" s="414" t="str">
        <f t="shared" ref="I57:T57" si="86">I40+I55</f>
        <v>#VALUE!</v>
      </c>
      <c r="J57" s="414" t="str">
        <f t="shared" si="86"/>
        <v>#VALUE!</v>
      </c>
      <c r="K57" s="414" t="str">
        <f t="shared" si="86"/>
        <v>#VALUE!</v>
      </c>
      <c r="L57" s="414" t="str">
        <f t="shared" si="86"/>
        <v>#VALUE!</v>
      </c>
      <c r="M57" s="414" t="str">
        <f t="shared" si="86"/>
        <v>#VALUE!</v>
      </c>
      <c r="N57" s="414" t="str">
        <f t="shared" si="86"/>
        <v>#VALUE!</v>
      </c>
      <c r="O57" s="414" t="str">
        <f t="shared" si="86"/>
        <v>#VALUE!</v>
      </c>
      <c r="P57" s="414" t="str">
        <f t="shared" si="86"/>
        <v>#VALUE!</v>
      </c>
      <c r="Q57" s="414" t="str">
        <f t="shared" si="86"/>
        <v>#VALUE!</v>
      </c>
      <c r="R57" s="414" t="str">
        <f t="shared" si="86"/>
        <v>#VALUE!</v>
      </c>
      <c r="S57" s="414" t="str">
        <f t="shared" si="86"/>
        <v>#VALUE!</v>
      </c>
      <c r="T57" s="414" t="str">
        <f t="shared" si="86"/>
        <v>#VALUE!</v>
      </c>
      <c r="U57" s="357"/>
      <c r="V57" s="414" t="str">
        <f>SUM(I57:T57)</f>
        <v>#VALUE!</v>
      </c>
      <c r="W57" s="357"/>
      <c r="X57" s="414">
        <f>X40+X55</f>
        <v>3837.559672</v>
      </c>
      <c r="Y57" s="357"/>
      <c r="Z57" s="357"/>
      <c r="AA57" s="357"/>
      <c r="AB57" s="357"/>
      <c r="AC57" s="357"/>
      <c r="AD57" s="357" t="s">
        <v>1632</v>
      </c>
      <c r="AE57" s="357" t="s">
        <v>1664</v>
      </c>
      <c r="AF57" s="414" t="str">
        <f t="shared" ref="AF57:AQ57" si="87">AF40+AF55</f>
        <v>#VALUE!</v>
      </c>
      <c r="AG57" s="414" t="str">
        <f t="shared" si="87"/>
        <v>#VALUE!</v>
      </c>
      <c r="AH57" s="414" t="str">
        <f t="shared" si="87"/>
        <v>#VALUE!</v>
      </c>
      <c r="AI57" s="414" t="str">
        <f t="shared" si="87"/>
        <v>#VALUE!</v>
      </c>
      <c r="AJ57" s="414" t="str">
        <f t="shared" si="87"/>
        <v>#VALUE!</v>
      </c>
      <c r="AK57" s="414" t="str">
        <f t="shared" si="87"/>
        <v>#VALUE!</v>
      </c>
      <c r="AL57" s="414" t="str">
        <f t="shared" si="87"/>
        <v>#VALUE!</v>
      </c>
      <c r="AM57" s="414" t="str">
        <f t="shared" si="87"/>
        <v>#VALUE!</v>
      </c>
      <c r="AN57" s="414" t="str">
        <f t="shared" si="87"/>
        <v>#VALUE!</v>
      </c>
      <c r="AO57" s="414" t="str">
        <f t="shared" si="87"/>
        <v>#VALUE!</v>
      </c>
      <c r="AP57" s="414" t="str">
        <f t="shared" si="87"/>
        <v>#VALUE!</v>
      </c>
      <c r="AQ57" s="414" t="str">
        <f t="shared" si="87"/>
        <v>#VALUE!</v>
      </c>
      <c r="AR57" s="357"/>
      <c r="AS57" s="414" t="str">
        <f>SUM(AF57:AQ57)</f>
        <v>#VALUE!</v>
      </c>
      <c r="AT57" s="357"/>
      <c r="AU57" s="357"/>
    </row>
    <row r="58" ht="15.75" customHeight="1">
      <c r="A58" s="357"/>
      <c r="B58" s="357"/>
      <c r="C58" s="357"/>
      <c r="D58" s="360"/>
      <c r="E58" s="357"/>
      <c r="F58" s="357"/>
      <c r="G58" s="357"/>
      <c r="H58" s="357"/>
      <c r="I58" s="415" t="str">
        <f t="shared" ref="I58:T58" si="88">I57/I25</f>
        <v>#VALUE!</v>
      </c>
      <c r="J58" s="415" t="str">
        <f t="shared" si="88"/>
        <v>#VALUE!</v>
      </c>
      <c r="K58" s="415" t="str">
        <f t="shared" si="88"/>
        <v>#VALUE!</v>
      </c>
      <c r="L58" s="415" t="str">
        <f t="shared" si="88"/>
        <v>#VALUE!</v>
      </c>
      <c r="M58" s="415" t="str">
        <f t="shared" si="88"/>
        <v>#VALUE!</v>
      </c>
      <c r="N58" s="415" t="str">
        <f t="shared" si="88"/>
        <v>#VALUE!</v>
      </c>
      <c r="O58" s="415" t="str">
        <f t="shared" si="88"/>
        <v>#VALUE!</v>
      </c>
      <c r="P58" s="415" t="str">
        <f t="shared" si="88"/>
        <v>#VALUE!</v>
      </c>
      <c r="Q58" s="415" t="str">
        <f t="shared" si="88"/>
        <v>#VALUE!</v>
      </c>
      <c r="R58" s="415" t="str">
        <f t="shared" si="88"/>
        <v>#VALUE!</v>
      </c>
      <c r="S58" s="415" t="str">
        <f t="shared" si="88"/>
        <v>#VALUE!</v>
      </c>
      <c r="T58" s="415" t="str">
        <f t="shared" si="88"/>
        <v>#VALUE!</v>
      </c>
      <c r="U58" s="357"/>
      <c r="V58" s="415" t="str">
        <f>V57/V25</f>
        <v>#VALUE!</v>
      </c>
      <c r="W58" s="357"/>
      <c r="X58" s="415">
        <f>X57/X17</f>
        <v>0.06007370021</v>
      </c>
      <c r="Y58" s="357"/>
      <c r="Z58" s="357"/>
      <c r="AA58" s="357"/>
      <c r="AB58" s="357"/>
      <c r="AC58" s="357"/>
      <c r="AD58" s="357"/>
      <c r="AE58" s="357"/>
      <c r="AF58" s="415" t="str">
        <f t="shared" ref="AF58:AQ58" si="89">AF57/AF25</f>
        <v>#VALUE!</v>
      </c>
      <c r="AG58" s="415" t="str">
        <f t="shared" si="89"/>
        <v>#VALUE!</v>
      </c>
      <c r="AH58" s="415" t="str">
        <f t="shared" si="89"/>
        <v>#VALUE!</v>
      </c>
      <c r="AI58" s="415" t="str">
        <f t="shared" si="89"/>
        <v>#VALUE!</v>
      </c>
      <c r="AJ58" s="415" t="str">
        <f t="shared" si="89"/>
        <v>#VALUE!</v>
      </c>
      <c r="AK58" s="415" t="str">
        <f t="shared" si="89"/>
        <v>#VALUE!</v>
      </c>
      <c r="AL58" s="415" t="str">
        <f t="shared" si="89"/>
        <v>#VALUE!</v>
      </c>
      <c r="AM58" s="415" t="str">
        <f t="shared" si="89"/>
        <v>#VALUE!</v>
      </c>
      <c r="AN58" s="415" t="str">
        <f t="shared" si="89"/>
        <v>#VALUE!</v>
      </c>
      <c r="AO58" s="415" t="str">
        <f t="shared" si="89"/>
        <v>#VALUE!</v>
      </c>
      <c r="AP58" s="415" t="str">
        <f t="shared" si="89"/>
        <v>#VALUE!</v>
      </c>
      <c r="AQ58" s="415" t="str">
        <f t="shared" si="89"/>
        <v>#VALUE!</v>
      </c>
      <c r="AR58" s="357"/>
      <c r="AS58" s="415" t="str">
        <f>AS57/AS25</f>
        <v>#VALUE!</v>
      </c>
      <c r="AT58" s="357"/>
      <c r="AU58" s="357"/>
    </row>
    <row r="59" ht="15.75" customHeight="1">
      <c r="A59" s="357"/>
      <c r="B59" s="357"/>
      <c r="C59" s="357"/>
      <c r="D59" s="360"/>
      <c r="E59" s="357"/>
      <c r="F59" s="357"/>
      <c r="G59" s="357"/>
      <c r="H59" s="357"/>
      <c r="I59" s="415"/>
      <c r="J59" s="415"/>
      <c r="K59" s="415"/>
      <c r="L59" s="415"/>
      <c r="M59" s="415"/>
      <c r="N59" s="415"/>
      <c r="O59" s="415"/>
      <c r="P59" s="415"/>
      <c r="Q59" s="415"/>
      <c r="R59" s="415"/>
      <c r="S59" s="415"/>
      <c r="T59" s="415"/>
      <c r="U59" s="357"/>
      <c r="V59" s="415"/>
      <c r="W59" s="357"/>
      <c r="X59" s="415"/>
      <c r="Y59" s="357"/>
      <c r="Z59" s="357"/>
      <c r="AA59" s="357"/>
      <c r="AB59" s="357"/>
      <c r="AC59" s="357"/>
      <c r="AD59" s="357"/>
      <c r="AE59" s="357"/>
      <c r="AF59" s="415"/>
      <c r="AG59" s="415"/>
      <c r="AH59" s="415"/>
      <c r="AI59" s="415"/>
      <c r="AJ59" s="415"/>
      <c r="AK59" s="415"/>
      <c r="AL59" s="415"/>
      <c r="AM59" s="415"/>
      <c r="AN59" s="415"/>
      <c r="AO59" s="415"/>
      <c r="AP59" s="415"/>
      <c r="AQ59" s="415"/>
      <c r="AR59" s="357"/>
      <c r="AS59" s="357"/>
      <c r="AT59" s="357"/>
      <c r="AU59" s="357"/>
    </row>
    <row r="60" ht="15.75" customHeight="1">
      <c r="A60" s="357"/>
      <c r="B60" s="357"/>
      <c r="C60" s="357"/>
      <c r="D60" s="360"/>
      <c r="E60" s="357"/>
      <c r="F60" s="357"/>
      <c r="G60" s="357"/>
      <c r="H60" s="425" t="s">
        <v>1599</v>
      </c>
      <c r="I60" s="426" t="s">
        <v>7028</v>
      </c>
      <c r="J60" s="427">
        <f>SUMIFS('EXPENSES MASTER'!$F:$F,'EXPENSES MASTER'!$G:$G,'BUDGET 2026 DRAFT1'!$H$60,'EXPENSES MASTER'!$B:$B,'BUDGET 2026 DRAFT1'!J$3)</f>
        <v>0</v>
      </c>
      <c r="K60" s="427">
        <f>SUMIFS('EXPENSES MASTER'!$F:$F,'EXPENSES MASTER'!$G:$G,'BUDGET 2026 DRAFT1'!$H$60,'EXPENSES MASTER'!$B:$B,'BUDGET 2026 DRAFT1'!K$3)</f>
        <v>0</v>
      </c>
      <c r="L60" s="427">
        <f>SUMIFS('EXPENSES MASTER'!$F:$F,'EXPENSES MASTER'!$G:$G,'BUDGET 2026 DRAFT1'!$H$60,'EXPENSES MASTER'!$B:$B,'BUDGET 2026 DRAFT1'!L$3)</f>
        <v>0</v>
      </c>
      <c r="M60" s="427">
        <f>SUMIFS('EXPENSES MASTER'!$F:$F,'EXPENSES MASTER'!$G:$G,'BUDGET 2026 DRAFT1'!$H$60,'EXPENSES MASTER'!$B:$B,'BUDGET 2026 DRAFT1'!M$3)</f>
        <v>0</v>
      </c>
      <c r="N60" s="427">
        <f>SUMIFS('EXPENSES MASTER'!$F:$F,'EXPENSES MASTER'!$G:$G,'BUDGET 2026 DRAFT1'!$H$60,'EXPENSES MASTER'!$B:$B,'BUDGET 2026 DRAFT1'!N$3)</f>
        <v>0</v>
      </c>
      <c r="O60" s="427">
        <f>SUMIFS('EXPENSES MASTER'!$F:$F,'EXPENSES MASTER'!$G:$G,'BUDGET 2026 DRAFT1'!$H$60,'EXPENSES MASTER'!$B:$B,'BUDGET 2026 DRAFT1'!O$3)</f>
        <v>0</v>
      </c>
      <c r="P60" s="427">
        <f>SUMIFS('EXPENSES MASTER'!$F:$F,'EXPENSES MASTER'!$G:$G,'BUDGET 2026 DRAFT1'!$H$60,'EXPENSES MASTER'!$B:$B,'BUDGET 2026 DRAFT1'!P$3)</f>
        <v>0</v>
      </c>
      <c r="Q60" s="427">
        <f>SUMIFS('EXPENSES MASTER'!$F:$F,'EXPENSES MASTER'!$G:$G,'BUDGET 2026 DRAFT1'!$H$60,'EXPENSES MASTER'!$B:$B,'BUDGET 2026 DRAFT1'!Q$3)</f>
        <v>0</v>
      </c>
      <c r="R60" s="427">
        <f>SUMIFS('EXPENSES MASTER'!$F:$F,'EXPENSES MASTER'!$G:$G,'BUDGET 2026 DRAFT1'!$H$60,'EXPENSES MASTER'!$B:$B,'BUDGET 2026 DRAFT1'!R$3)</f>
        <v>0</v>
      </c>
      <c r="S60" s="427">
        <f>SUMIFS('EXPENSES MASTER'!$F:$F,'EXPENSES MASTER'!$G:$G,'BUDGET 2026 DRAFT1'!$H$60,'EXPENSES MASTER'!$B:$B,'BUDGET 2026 DRAFT1'!S$3)</f>
        <v>0</v>
      </c>
      <c r="T60" s="427">
        <f>SUMIFS('EXPENSES MASTER'!$F:$F,'EXPENSES MASTER'!$G:$G,'BUDGET 2026 DRAFT1'!$H$60,'EXPENSES MASTER'!$B:$B,'BUDGET 2026 DRAFT1'!T$3)</f>
        <v>0</v>
      </c>
      <c r="U60" s="357"/>
      <c r="V60" s="428">
        <f>SUM(I60:T60)</f>
        <v>0</v>
      </c>
      <c r="W60" s="357"/>
      <c r="Y60" s="357"/>
      <c r="Z60" s="357"/>
      <c r="AA60" s="357"/>
      <c r="AB60" s="357"/>
      <c r="AC60" s="357"/>
      <c r="AD60" s="357"/>
      <c r="AE60" s="357"/>
      <c r="AF60" s="426" t="s">
        <v>7028</v>
      </c>
      <c r="AG60" s="427">
        <f>SUMIFS('EXPENSES MASTER'!$F:$F,'EXPENSES MASTER'!$G:$G,'BUDGET 2026 DRAFT1'!$H$60,'EXPENSES MASTER'!$B:$B,'BUDGET 2026 DRAFT1'!AG$3)</f>
        <v>0</v>
      </c>
      <c r="AH60" s="427">
        <f>SUMIFS('EXPENSES MASTER'!$F:$F,'EXPENSES MASTER'!$G:$G,'BUDGET 2026 DRAFT1'!$H$60,'EXPENSES MASTER'!$B:$B,'BUDGET 2026 DRAFT1'!AH$3)</f>
        <v>0</v>
      </c>
      <c r="AI60" s="427">
        <f>SUMIFS('EXPENSES MASTER'!$F:$F,'EXPENSES MASTER'!$G:$G,'BUDGET 2026 DRAFT1'!$H$60,'EXPENSES MASTER'!$B:$B,'BUDGET 2026 DRAFT1'!AI$3)</f>
        <v>0</v>
      </c>
      <c r="AJ60" s="427">
        <f>SUMIFS('EXPENSES MASTER'!$F:$F,'EXPENSES MASTER'!$G:$G,'BUDGET 2026 DRAFT1'!$H$60,'EXPENSES MASTER'!$B:$B,'BUDGET 2026 DRAFT1'!AJ$3)</f>
        <v>0</v>
      </c>
      <c r="AK60" s="427">
        <f>SUMIFS('EXPENSES MASTER'!$F:$F,'EXPENSES MASTER'!$G:$G,'BUDGET 2026 DRAFT1'!$H$60,'EXPENSES MASTER'!$B:$B,'BUDGET 2026 DRAFT1'!AK$3)</f>
        <v>0</v>
      </c>
      <c r="AL60" s="427">
        <f>SUMIFS('EXPENSES MASTER'!$F:$F,'EXPENSES MASTER'!$G:$G,'BUDGET 2026 DRAFT1'!$H$60,'EXPENSES MASTER'!$B:$B,'BUDGET 2026 DRAFT1'!AL$3)</f>
        <v>0</v>
      </c>
      <c r="AM60" s="427">
        <f>SUMIFS('EXPENSES MASTER'!$F:$F,'EXPENSES MASTER'!$G:$G,'BUDGET 2026 DRAFT1'!$H$60,'EXPENSES MASTER'!$B:$B,'BUDGET 2026 DRAFT1'!AM$3)</f>
        <v>0</v>
      </c>
      <c r="AN60" s="427">
        <f>SUMIFS('EXPENSES MASTER'!$F:$F,'EXPENSES MASTER'!$G:$G,'BUDGET 2026 DRAFT1'!$H$60,'EXPENSES MASTER'!$B:$B,'BUDGET 2026 DRAFT1'!AN$3)</f>
        <v>0</v>
      </c>
      <c r="AO60" s="427">
        <f>SUMIFS('EXPENSES MASTER'!$F:$F,'EXPENSES MASTER'!$G:$G,'BUDGET 2026 DRAFT1'!$H$60,'EXPENSES MASTER'!$B:$B,'BUDGET 2026 DRAFT1'!AO$3)</f>
        <v>0</v>
      </c>
      <c r="AP60" s="427">
        <f>SUMIFS('EXPENSES MASTER'!$F:$F,'EXPENSES MASTER'!$G:$G,'BUDGET 2026 DRAFT1'!$H$60,'EXPENSES MASTER'!$B:$B,'BUDGET 2026 DRAFT1'!AP$3)</f>
        <v>0</v>
      </c>
      <c r="AQ60" s="427">
        <f>SUMIFS('EXPENSES MASTER'!$F:$F,'EXPENSES MASTER'!$G:$G,'BUDGET 2026 DRAFT1'!$H$60,'EXPENSES MASTER'!$B:$B,'BUDGET 2026 DRAFT1'!AQ$3)</f>
        <v>0</v>
      </c>
      <c r="AR60" s="357"/>
      <c r="AS60" s="357"/>
      <c r="AT60" s="357"/>
      <c r="AU60" s="357"/>
    </row>
    <row r="61" ht="15.75" customHeight="1">
      <c r="A61" s="357"/>
      <c r="B61" s="357"/>
      <c r="C61" s="357"/>
      <c r="D61" s="360"/>
      <c r="E61" s="357"/>
      <c r="F61" s="357"/>
      <c r="G61" s="357"/>
      <c r="H61" s="357"/>
      <c r="I61" s="357"/>
      <c r="J61" s="357"/>
      <c r="K61" s="357"/>
      <c r="L61" s="357"/>
      <c r="M61" s="357"/>
      <c r="N61" s="357"/>
      <c r="O61" s="357"/>
      <c r="P61" s="357"/>
      <c r="Q61" s="357"/>
      <c r="R61" s="357"/>
      <c r="S61" s="357"/>
      <c r="T61" s="357"/>
      <c r="U61" s="357"/>
      <c r="V61" s="357"/>
      <c r="W61" s="357"/>
      <c r="Y61" s="357"/>
      <c r="Z61" s="357"/>
      <c r="AA61" s="357"/>
      <c r="AB61" s="357"/>
      <c r="AC61" s="357"/>
      <c r="AD61" s="357"/>
      <c r="AE61" s="357"/>
      <c r="AF61" s="357"/>
      <c r="AG61" s="357"/>
      <c r="AH61" s="357"/>
      <c r="AI61" s="357"/>
      <c r="AJ61" s="357"/>
      <c r="AK61" s="357"/>
      <c r="AL61" s="357"/>
      <c r="AM61" s="357"/>
      <c r="AN61" s="357"/>
      <c r="AO61" s="357"/>
      <c r="AP61" s="357"/>
      <c r="AQ61" s="357"/>
      <c r="AR61" s="357"/>
      <c r="AS61" s="357"/>
      <c r="AT61" s="357"/>
      <c r="AU61" s="357"/>
    </row>
    <row r="62" ht="15.75" customHeight="1">
      <c r="A62" s="357"/>
      <c r="B62" s="357"/>
      <c r="C62" s="357"/>
      <c r="D62" s="360"/>
      <c r="E62" s="357"/>
      <c r="F62" s="357"/>
      <c r="G62" s="357"/>
      <c r="H62" s="357"/>
      <c r="I62" s="357"/>
      <c r="J62" s="357"/>
      <c r="K62" s="357"/>
      <c r="L62" s="357"/>
      <c r="M62" s="357"/>
      <c r="N62" s="357"/>
      <c r="O62" s="357"/>
      <c r="P62" s="357"/>
      <c r="Q62" s="357"/>
      <c r="R62" s="357"/>
      <c r="S62" s="357"/>
      <c r="T62" s="357"/>
      <c r="U62" s="357"/>
      <c r="V62" s="357"/>
      <c r="W62" s="357"/>
      <c r="Y62" s="357"/>
      <c r="Z62" s="357"/>
      <c r="AA62" s="357"/>
      <c r="AB62" s="357"/>
      <c r="AC62" s="357"/>
      <c r="AD62" s="357"/>
      <c r="AE62" s="357"/>
      <c r="AF62" s="357"/>
      <c r="AG62" s="357"/>
      <c r="AH62" s="357"/>
      <c r="AI62" s="357"/>
      <c r="AJ62" s="357"/>
      <c r="AK62" s="357"/>
      <c r="AL62" s="357"/>
      <c r="AM62" s="357"/>
      <c r="AN62" s="357"/>
      <c r="AO62" s="357"/>
      <c r="AP62" s="357"/>
      <c r="AQ62" s="357"/>
      <c r="AR62" s="357"/>
      <c r="AS62" s="357"/>
      <c r="AT62" s="357"/>
      <c r="AU62" s="357"/>
    </row>
    <row r="63" ht="15.75" customHeight="1">
      <c r="A63" s="357"/>
      <c r="B63" s="357"/>
      <c r="C63" s="357"/>
      <c r="D63" s="360"/>
      <c r="E63" s="357"/>
      <c r="F63" s="357"/>
      <c r="G63" s="357"/>
      <c r="H63" s="357"/>
      <c r="I63" s="357"/>
      <c r="J63" s="357"/>
      <c r="K63" s="357"/>
      <c r="L63" s="357"/>
      <c r="M63" s="357"/>
      <c r="N63" s="357"/>
      <c r="O63" s="357"/>
      <c r="P63" s="357"/>
      <c r="Q63" s="357"/>
      <c r="R63" s="357"/>
      <c r="S63" s="357"/>
      <c r="T63" s="357"/>
      <c r="U63" s="357"/>
      <c r="V63" s="357"/>
      <c r="W63" s="357"/>
      <c r="Y63" s="357"/>
      <c r="Z63" s="357"/>
      <c r="AA63" s="357"/>
      <c r="AB63" s="357"/>
      <c r="AC63" s="357"/>
      <c r="AD63" s="357"/>
      <c r="AE63" s="357"/>
      <c r="AF63" s="357"/>
      <c r="AG63" s="357"/>
      <c r="AH63" s="357"/>
      <c r="AI63" s="357"/>
      <c r="AJ63" s="357"/>
      <c r="AK63" s="357"/>
      <c r="AL63" s="357"/>
      <c r="AM63" s="357"/>
      <c r="AN63" s="357"/>
      <c r="AO63" s="357"/>
      <c r="AP63" s="357"/>
      <c r="AQ63" s="357"/>
      <c r="AR63" s="357"/>
      <c r="AS63" s="357"/>
      <c r="AT63" s="357"/>
      <c r="AU63" s="357"/>
    </row>
    <row r="64" ht="15.75" customHeight="1">
      <c r="A64" s="357"/>
      <c r="B64" s="357"/>
      <c r="C64" s="357"/>
      <c r="D64" s="360"/>
      <c r="E64" s="357"/>
      <c r="F64" s="357"/>
      <c r="G64" s="357"/>
      <c r="H64" s="357"/>
      <c r="I64" s="357"/>
      <c r="J64" s="357"/>
      <c r="K64" s="357"/>
      <c r="L64" s="357"/>
      <c r="M64" s="357"/>
      <c r="N64" s="357"/>
      <c r="O64" s="357"/>
      <c r="P64" s="357"/>
      <c r="Q64" s="357"/>
      <c r="R64" s="357"/>
      <c r="S64" s="357"/>
      <c r="T64" s="357"/>
      <c r="U64" s="357"/>
      <c r="V64" s="357"/>
      <c r="W64" s="357"/>
      <c r="Y64" s="357"/>
      <c r="Z64" s="357"/>
      <c r="AA64" s="357"/>
      <c r="AB64" s="357"/>
      <c r="AC64" s="357"/>
      <c r="AD64" s="357"/>
      <c r="AE64" s="357"/>
      <c r="AF64" s="357"/>
      <c r="AG64" s="357"/>
      <c r="AH64" s="357"/>
      <c r="AI64" s="357"/>
      <c r="AJ64" s="357"/>
      <c r="AK64" s="357"/>
      <c r="AL64" s="357"/>
      <c r="AM64" s="357"/>
      <c r="AN64" s="357"/>
      <c r="AO64" s="357"/>
      <c r="AP64" s="357"/>
      <c r="AQ64" s="357"/>
      <c r="AR64" s="357"/>
      <c r="AS64" s="357"/>
      <c r="AT64" s="357"/>
      <c r="AU64" s="357"/>
    </row>
    <row r="65" ht="15.75" customHeight="1">
      <c r="A65" s="357"/>
      <c r="B65" s="357"/>
      <c r="C65" s="357"/>
      <c r="D65" s="360"/>
      <c r="E65" s="357"/>
      <c r="F65" s="357"/>
      <c r="G65" s="357"/>
      <c r="H65" s="357"/>
      <c r="I65" s="357"/>
      <c r="J65" s="357"/>
      <c r="K65" s="357"/>
      <c r="L65" s="357"/>
      <c r="M65" s="357"/>
      <c r="N65" s="357"/>
      <c r="O65" s="357"/>
      <c r="P65" s="357"/>
      <c r="Q65" s="357"/>
      <c r="R65" s="357"/>
      <c r="S65" s="357"/>
      <c r="T65" s="357"/>
      <c r="U65" s="357"/>
      <c r="V65" s="357"/>
      <c r="W65" s="357"/>
      <c r="Y65" s="357"/>
      <c r="Z65" s="357"/>
      <c r="AA65" s="357"/>
      <c r="AB65" s="357"/>
      <c r="AC65" s="357"/>
      <c r="AD65" s="357"/>
      <c r="AE65" s="357"/>
      <c r="AF65" s="357"/>
      <c r="AG65" s="357"/>
      <c r="AH65" s="357"/>
      <c r="AI65" s="357"/>
      <c r="AJ65" s="357"/>
      <c r="AK65" s="357"/>
      <c r="AL65" s="357"/>
      <c r="AM65" s="357"/>
      <c r="AN65" s="357"/>
      <c r="AO65" s="357"/>
      <c r="AP65" s="357"/>
      <c r="AQ65" s="357"/>
      <c r="AR65" s="357"/>
      <c r="AS65" s="357"/>
      <c r="AT65" s="357"/>
      <c r="AU65" s="357"/>
    </row>
    <row r="66" ht="15.75" customHeight="1">
      <c r="A66" s="357"/>
      <c r="B66" s="357"/>
      <c r="C66" s="357"/>
      <c r="D66" s="360"/>
      <c r="E66" s="357"/>
      <c r="F66" s="357"/>
      <c r="G66" s="357"/>
      <c r="H66" s="357"/>
      <c r="I66" s="357"/>
      <c r="J66" s="357"/>
      <c r="K66" s="357"/>
      <c r="L66" s="357"/>
      <c r="M66" s="357"/>
      <c r="N66" s="357"/>
      <c r="O66" s="357"/>
      <c r="P66" s="357"/>
      <c r="Q66" s="357"/>
      <c r="R66" s="357"/>
      <c r="S66" s="357"/>
      <c r="T66" s="357"/>
      <c r="U66" s="357"/>
      <c r="V66" s="357"/>
      <c r="W66" s="357"/>
      <c r="Y66" s="357"/>
      <c r="Z66" s="357"/>
      <c r="AA66" s="357"/>
      <c r="AB66" s="357"/>
      <c r="AC66" s="357"/>
      <c r="AD66" s="357"/>
      <c r="AE66" s="357"/>
      <c r="AF66" s="357"/>
      <c r="AG66" s="357"/>
      <c r="AH66" s="357"/>
      <c r="AI66" s="357"/>
      <c r="AJ66" s="357"/>
      <c r="AK66" s="357"/>
      <c r="AL66" s="357"/>
      <c r="AM66" s="357"/>
      <c r="AN66" s="357"/>
      <c r="AO66" s="357"/>
      <c r="AP66" s="357"/>
      <c r="AQ66" s="357"/>
      <c r="AR66" s="357"/>
      <c r="AS66" s="357"/>
      <c r="AT66" s="357"/>
      <c r="AU66" s="357"/>
    </row>
    <row r="67" ht="15.75" customHeight="1">
      <c r="A67" s="357"/>
      <c r="B67" s="357"/>
      <c r="C67" s="357"/>
      <c r="D67" s="360"/>
      <c r="E67" s="357"/>
      <c r="F67" s="357"/>
      <c r="G67" s="357"/>
      <c r="H67" s="357"/>
      <c r="I67" s="357"/>
      <c r="J67" s="357"/>
      <c r="K67" s="357"/>
      <c r="L67" s="357"/>
      <c r="M67" s="357"/>
      <c r="N67" s="357"/>
      <c r="O67" s="357"/>
      <c r="P67" s="357"/>
      <c r="Q67" s="357"/>
      <c r="R67" s="357"/>
      <c r="S67" s="357"/>
      <c r="T67" s="357"/>
      <c r="U67" s="357"/>
      <c r="V67" s="357"/>
      <c r="W67" s="357"/>
      <c r="Y67" s="357"/>
      <c r="Z67" s="357"/>
      <c r="AA67" s="357"/>
      <c r="AB67" s="357"/>
      <c r="AC67" s="357"/>
      <c r="AD67" s="357"/>
      <c r="AE67" s="357"/>
      <c r="AF67" s="357"/>
      <c r="AG67" s="357"/>
      <c r="AH67" s="357"/>
      <c r="AI67" s="357"/>
      <c r="AJ67" s="357"/>
      <c r="AK67" s="357"/>
      <c r="AL67" s="357"/>
      <c r="AM67" s="357"/>
      <c r="AN67" s="357"/>
      <c r="AO67" s="357"/>
      <c r="AP67" s="357"/>
      <c r="AQ67" s="357"/>
      <c r="AR67" s="357"/>
      <c r="AS67" s="357"/>
      <c r="AT67" s="357"/>
      <c r="AU67" s="357"/>
    </row>
    <row r="68" ht="15.75" customHeight="1">
      <c r="A68" s="357"/>
      <c r="B68" s="357"/>
      <c r="C68" s="357"/>
      <c r="D68" s="360"/>
      <c r="E68" s="357"/>
      <c r="F68" s="357"/>
      <c r="G68" s="357"/>
      <c r="H68" s="357"/>
      <c r="I68" s="357"/>
      <c r="J68" s="357"/>
      <c r="K68" s="357"/>
      <c r="L68" s="357"/>
      <c r="M68" s="357"/>
      <c r="N68" s="357"/>
      <c r="O68" s="357"/>
      <c r="P68" s="357"/>
      <c r="Q68" s="357"/>
      <c r="R68" s="357"/>
      <c r="S68" s="357"/>
      <c r="T68" s="357"/>
      <c r="U68" s="357"/>
      <c r="V68" s="357"/>
      <c r="W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row>
    <row r="69" ht="15.75" customHeight="1">
      <c r="A69" s="357"/>
      <c r="B69" s="357"/>
      <c r="C69" s="357"/>
      <c r="D69" s="360"/>
      <c r="E69" s="357"/>
      <c r="F69" s="357"/>
      <c r="G69" s="357"/>
      <c r="H69" s="357"/>
      <c r="I69" s="357"/>
      <c r="J69" s="357"/>
      <c r="K69" s="357"/>
      <c r="L69" s="357"/>
      <c r="M69" s="357"/>
      <c r="N69" s="357"/>
      <c r="O69" s="357"/>
      <c r="P69" s="357"/>
      <c r="Q69" s="357"/>
      <c r="R69" s="357"/>
      <c r="S69" s="357"/>
      <c r="T69" s="357"/>
      <c r="U69" s="357"/>
      <c r="V69" s="357"/>
      <c r="W69" s="357"/>
      <c r="Y69" s="357"/>
      <c r="Z69" s="357"/>
      <c r="AA69" s="357"/>
      <c r="AB69" s="357"/>
      <c r="AC69" s="357"/>
      <c r="AD69" s="357"/>
      <c r="AE69" s="357"/>
      <c r="AF69" s="357"/>
      <c r="AG69" s="357"/>
      <c r="AH69" s="357"/>
      <c r="AI69" s="357"/>
      <c r="AJ69" s="357"/>
      <c r="AK69" s="357"/>
      <c r="AL69" s="357"/>
      <c r="AM69" s="357"/>
      <c r="AN69" s="357"/>
      <c r="AO69" s="357"/>
      <c r="AP69" s="357"/>
      <c r="AQ69" s="357"/>
      <c r="AR69" s="357"/>
      <c r="AS69" s="357"/>
      <c r="AT69" s="357"/>
      <c r="AU69" s="357"/>
    </row>
    <row r="70" ht="15.75" customHeight="1">
      <c r="A70" s="357"/>
      <c r="B70" s="357"/>
      <c r="C70" s="357"/>
      <c r="D70" s="360"/>
      <c r="E70" s="357"/>
      <c r="F70" s="357"/>
      <c r="G70" s="357"/>
      <c r="H70" s="357"/>
      <c r="I70" s="357"/>
      <c r="J70" s="357"/>
      <c r="K70" s="357"/>
      <c r="L70" s="357"/>
      <c r="M70" s="357"/>
      <c r="N70" s="357"/>
      <c r="O70" s="357"/>
      <c r="P70" s="357"/>
      <c r="Q70" s="357"/>
      <c r="R70" s="357"/>
      <c r="S70" s="357"/>
      <c r="T70" s="357"/>
      <c r="U70" s="357"/>
      <c r="V70" s="357"/>
      <c r="W70" s="357"/>
      <c r="Y70" s="357"/>
      <c r="Z70" s="357"/>
      <c r="AA70" s="357"/>
      <c r="AB70" s="357"/>
      <c r="AC70" s="357"/>
      <c r="AD70" s="357"/>
      <c r="AE70" s="357"/>
      <c r="AF70" s="357"/>
      <c r="AG70" s="357"/>
      <c r="AH70" s="357"/>
      <c r="AI70" s="357"/>
      <c r="AJ70" s="357"/>
      <c r="AK70" s="357"/>
      <c r="AL70" s="357"/>
      <c r="AM70" s="357"/>
      <c r="AN70" s="357"/>
      <c r="AO70" s="357"/>
      <c r="AP70" s="357"/>
      <c r="AQ70" s="357"/>
      <c r="AR70" s="357"/>
      <c r="AS70" s="357"/>
      <c r="AT70" s="357"/>
      <c r="AU70" s="357"/>
    </row>
    <row r="71" ht="15.75" customHeight="1">
      <c r="A71" s="357"/>
      <c r="B71" s="357"/>
      <c r="C71" s="357"/>
      <c r="D71" s="360"/>
      <c r="E71" s="357"/>
      <c r="F71" s="357"/>
      <c r="G71" s="357"/>
      <c r="H71" s="357"/>
      <c r="I71" s="357"/>
      <c r="J71" s="357"/>
      <c r="K71" s="357"/>
      <c r="L71" s="357"/>
      <c r="M71" s="357"/>
      <c r="N71" s="357"/>
      <c r="O71" s="357"/>
      <c r="P71" s="357"/>
      <c r="Q71" s="357"/>
      <c r="R71" s="357"/>
      <c r="S71" s="357"/>
      <c r="T71" s="357"/>
      <c r="U71" s="357"/>
      <c r="V71" s="357"/>
      <c r="W71" s="357"/>
      <c r="Y71" s="357"/>
      <c r="Z71" s="357"/>
      <c r="AA71" s="357"/>
      <c r="AB71" s="357"/>
      <c r="AC71" s="357"/>
      <c r="AD71" s="357"/>
      <c r="AE71" s="357"/>
      <c r="AF71" s="357"/>
      <c r="AG71" s="357"/>
      <c r="AH71" s="357"/>
      <c r="AI71" s="357"/>
      <c r="AJ71" s="357"/>
      <c r="AK71" s="357"/>
      <c r="AL71" s="357"/>
      <c r="AM71" s="357"/>
      <c r="AN71" s="357"/>
      <c r="AO71" s="357"/>
      <c r="AP71" s="357"/>
      <c r="AQ71" s="357"/>
      <c r="AR71" s="357"/>
      <c r="AS71" s="357"/>
      <c r="AT71" s="357"/>
      <c r="AU71" s="357"/>
    </row>
    <row r="72" ht="15.75" customHeight="1">
      <c r="A72" s="357"/>
      <c r="B72" s="357"/>
      <c r="C72" s="357"/>
      <c r="D72" s="360"/>
      <c r="E72" s="357"/>
      <c r="F72" s="357"/>
      <c r="G72" s="357"/>
      <c r="H72" s="357"/>
      <c r="I72" s="357"/>
      <c r="J72" s="357"/>
      <c r="K72" s="357"/>
      <c r="L72" s="357"/>
      <c r="M72" s="357"/>
      <c r="N72" s="357"/>
      <c r="O72" s="357"/>
      <c r="P72" s="357"/>
      <c r="Q72" s="357"/>
      <c r="R72" s="357"/>
      <c r="S72" s="357"/>
      <c r="T72" s="357"/>
      <c r="U72" s="357"/>
      <c r="V72" s="357"/>
      <c r="W72" s="357"/>
      <c r="Y72" s="357"/>
      <c r="Z72" s="357"/>
      <c r="AA72" s="357"/>
      <c r="AB72" s="357"/>
      <c r="AC72" s="357"/>
      <c r="AD72" s="357"/>
      <c r="AE72" s="357"/>
      <c r="AF72" s="357"/>
      <c r="AG72" s="357"/>
      <c r="AH72" s="357"/>
      <c r="AI72" s="357"/>
      <c r="AJ72" s="357"/>
      <c r="AK72" s="357"/>
      <c r="AL72" s="357"/>
      <c r="AM72" s="357"/>
      <c r="AN72" s="357"/>
      <c r="AO72" s="357"/>
      <c r="AP72" s="357"/>
      <c r="AQ72" s="357"/>
      <c r="AR72" s="357"/>
      <c r="AS72" s="357"/>
      <c r="AT72" s="357"/>
      <c r="AU72" s="357"/>
    </row>
    <row r="73" ht="15.75" customHeight="1">
      <c r="A73" s="357"/>
      <c r="B73" s="357"/>
      <c r="C73" s="357"/>
      <c r="D73" s="360"/>
      <c r="E73" s="357"/>
      <c r="F73" s="357"/>
      <c r="G73" s="357"/>
      <c r="H73" s="357"/>
      <c r="I73" s="357"/>
      <c r="J73" s="357"/>
      <c r="K73" s="357"/>
      <c r="L73" s="357"/>
      <c r="M73" s="357"/>
      <c r="N73" s="357"/>
      <c r="O73" s="357"/>
      <c r="P73" s="357"/>
      <c r="Q73" s="357"/>
      <c r="R73" s="357"/>
      <c r="S73" s="357"/>
      <c r="T73" s="357"/>
      <c r="U73" s="357"/>
      <c r="V73" s="357"/>
      <c r="W73" s="357"/>
      <c r="Y73" s="357"/>
      <c r="Z73" s="357"/>
      <c r="AA73" s="357"/>
      <c r="AB73" s="357"/>
      <c r="AC73" s="357"/>
      <c r="AD73" s="357"/>
      <c r="AE73" s="357"/>
      <c r="AF73" s="357"/>
      <c r="AG73" s="357"/>
      <c r="AH73" s="357"/>
      <c r="AI73" s="357"/>
      <c r="AJ73" s="357"/>
      <c r="AK73" s="357"/>
      <c r="AL73" s="357"/>
      <c r="AM73" s="357"/>
      <c r="AN73" s="357"/>
      <c r="AO73" s="357"/>
      <c r="AP73" s="357"/>
      <c r="AQ73" s="357"/>
      <c r="AR73" s="357"/>
      <c r="AS73" s="357"/>
      <c r="AT73" s="357"/>
      <c r="AU73" s="357"/>
    </row>
    <row r="74" ht="15.75" customHeight="1">
      <c r="A74" s="357"/>
      <c r="B74" s="357"/>
      <c r="C74" s="357"/>
      <c r="D74" s="360"/>
      <c r="E74" s="357"/>
      <c r="F74" s="357"/>
      <c r="G74" s="357"/>
      <c r="H74" s="357"/>
      <c r="I74" s="357"/>
      <c r="J74" s="357"/>
      <c r="K74" s="357"/>
      <c r="L74" s="357"/>
      <c r="M74" s="357"/>
      <c r="N74" s="357"/>
      <c r="O74" s="357"/>
      <c r="P74" s="357"/>
      <c r="Q74" s="357"/>
      <c r="R74" s="357"/>
      <c r="S74" s="357"/>
      <c r="T74" s="357"/>
      <c r="U74" s="357"/>
      <c r="V74" s="357"/>
      <c r="W74" s="357"/>
      <c r="Y74" s="357"/>
      <c r="Z74" s="357"/>
      <c r="AA74" s="357"/>
      <c r="AB74" s="357"/>
      <c r="AC74" s="357"/>
      <c r="AD74" s="357"/>
      <c r="AE74" s="357"/>
      <c r="AF74" s="357"/>
      <c r="AG74" s="357"/>
      <c r="AH74" s="357"/>
      <c r="AI74" s="357"/>
      <c r="AJ74" s="357"/>
      <c r="AK74" s="357"/>
      <c r="AL74" s="357"/>
      <c r="AM74" s="357"/>
      <c r="AN74" s="357"/>
      <c r="AO74" s="357"/>
      <c r="AP74" s="357"/>
      <c r="AQ74" s="357"/>
      <c r="AR74" s="357"/>
      <c r="AS74" s="357"/>
      <c r="AT74" s="357"/>
      <c r="AU74" s="357"/>
    </row>
    <row r="75" ht="15.75" customHeight="1">
      <c r="A75" s="357"/>
      <c r="B75" s="357"/>
      <c r="C75" s="357"/>
      <c r="D75" s="360"/>
      <c r="E75" s="357"/>
      <c r="F75" s="357"/>
      <c r="G75" s="357"/>
      <c r="H75" s="357"/>
      <c r="I75" s="357"/>
      <c r="J75" s="357"/>
      <c r="K75" s="357"/>
      <c r="L75" s="357"/>
      <c r="M75" s="357"/>
      <c r="N75" s="357"/>
      <c r="O75" s="357"/>
      <c r="P75" s="357"/>
      <c r="Q75" s="357"/>
      <c r="R75" s="357"/>
      <c r="S75" s="357"/>
      <c r="T75" s="357"/>
      <c r="U75" s="357"/>
      <c r="V75" s="357"/>
      <c r="W75" s="357"/>
      <c r="Y75" s="357"/>
      <c r="Z75" s="357"/>
      <c r="AA75" s="357"/>
      <c r="AB75" s="357"/>
      <c r="AC75" s="357"/>
      <c r="AD75" s="357"/>
      <c r="AE75" s="357"/>
      <c r="AF75" s="357"/>
      <c r="AG75" s="357"/>
      <c r="AH75" s="357"/>
      <c r="AI75" s="357"/>
      <c r="AJ75" s="357"/>
      <c r="AK75" s="357"/>
      <c r="AL75" s="357"/>
      <c r="AM75" s="357"/>
      <c r="AN75" s="357"/>
      <c r="AO75" s="357"/>
      <c r="AP75" s="357"/>
      <c r="AQ75" s="357"/>
      <c r="AR75" s="357"/>
      <c r="AS75" s="357"/>
      <c r="AT75" s="357"/>
      <c r="AU75" s="357"/>
    </row>
    <row r="76" ht="15.75" customHeight="1">
      <c r="A76" s="357"/>
      <c r="B76" s="357"/>
      <c r="C76" s="357"/>
      <c r="D76" s="360"/>
      <c r="E76" s="357"/>
      <c r="F76" s="357"/>
      <c r="G76" s="357"/>
      <c r="H76" s="357"/>
      <c r="I76" s="357"/>
      <c r="J76" s="357"/>
      <c r="K76" s="357"/>
      <c r="L76" s="357"/>
      <c r="M76" s="357"/>
      <c r="N76" s="357"/>
      <c r="O76" s="357"/>
      <c r="P76" s="357"/>
      <c r="Q76" s="357"/>
      <c r="R76" s="357"/>
      <c r="S76" s="357"/>
      <c r="T76" s="357"/>
      <c r="U76" s="357"/>
      <c r="V76" s="357"/>
      <c r="W76" s="357"/>
      <c r="Y76" s="357"/>
      <c r="Z76" s="357"/>
      <c r="AA76" s="357"/>
      <c r="AB76" s="357"/>
      <c r="AC76" s="357"/>
      <c r="AD76" s="357"/>
      <c r="AE76" s="357"/>
      <c r="AF76" s="357"/>
      <c r="AG76" s="357"/>
      <c r="AH76" s="357"/>
      <c r="AI76" s="357"/>
      <c r="AJ76" s="357"/>
      <c r="AK76" s="357"/>
      <c r="AL76" s="357"/>
      <c r="AM76" s="357"/>
      <c r="AN76" s="357"/>
      <c r="AO76" s="357"/>
      <c r="AP76" s="357"/>
      <c r="AQ76" s="357"/>
      <c r="AR76" s="357"/>
      <c r="AS76" s="357"/>
      <c r="AT76" s="357"/>
      <c r="AU76" s="357"/>
    </row>
    <row r="77" ht="15.75" customHeight="1">
      <c r="A77" s="357"/>
      <c r="B77" s="357"/>
      <c r="C77" s="357"/>
      <c r="D77" s="360"/>
      <c r="E77" s="357"/>
      <c r="F77" s="357"/>
      <c r="G77" s="357"/>
      <c r="H77" s="357"/>
      <c r="I77" s="357"/>
      <c r="J77" s="357"/>
      <c r="K77" s="357"/>
      <c r="L77" s="357"/>
      <c r="M77" s="357"/>
      <c r="N77" s="357"/>
      <c r="O77" s="357"/>
      <c r="P77" s="357"/>
      <c r="Q77" s="357"/>
      <c r="R77" s="357"/>
      <c r="S77" s="357"/>
      <c r="T77" s="357"/>
      <c r="U77" s="357"/>
      <c r="V77" s="357"/>
      <c r="W77" s="357"/>
      <c r="Y77" s="357"/>
      <c r="Z77" s="357"/>
      <c r="AA77" s="357"/>
      <c r="AB77" s="357"/>
      <c r="AC77" s="357"/>
      <c r="AD77" s="357"/>
      <c r="AE77" s="357"/>
      <c r="AF77" s="357"/>
      <c r="AG77" s="357"/>
      <c r="AH77" s="357"/>
      <c r="AI77" s="357"/>
      <c r="AJ77" s="357"/>
      <c r="AK77" s="357"/>
      <c r="AL77" s="357"/>
      <c r="AM77" s="357"/>
      <c r="AN77" s="357"/>
      <c r="AO77" s="357"/>
      <c r="AP77" s="357"/>
      <c r="AQ77" s="357"/>
      <c r="AR77" s="357"/>
      <c r="AS77" s="357"/>
      <c r="AT77" s="357"/>
      <c r="AU77" s="357"/>
    </row>
    <row r="78" ht="15.75" customHeight="1">
      <c r="A78" s="357"/>
      <c r="B78" s="357"/>
      <c r="C78" s="357"/>
      <c r="D78" s="360"/>
      <c r="E78" s="357"/>
      <c r="F78" s="357"/>
      <c r="G78" s="357"/>
      <c r="H78" s="357"/>
      <c r="I78" s="357"/>
      <c r="J78" s="357"/>
      <c r="K78" s="357"/>
      <c r="L78" s="357"/>
      <c r="M78" s="357"/>
      <c r="N78" s="357"/>
      <c r="O78" s="357"/>
      <c r="P78" s="357"/>
      <c r="Q78" s="357"/>
      <c r="R78" s="357"/>
      <c r="S78" s="357"/>
      <c r="T78" s="357"/>
      <c r="U78" s="357"/>
      <c r="V78" s="357"/>
      <c r="W78" s="357"/>
      <c r="Y78" s="357"/>
      <c r="Z78" s="357"/>
      <c r="AA78" s="357"/>
      <c r="AB78" s="357"/>
      <c r="AC78" s="357"/>
      <c r="AD78" s="357"/>
      <c r="AE78" s="357"/>
      <c r="AF78" s="357"/>
      <c r="AG78" s="357"/>
      <c r="AH78" s="357"/>
      <c r="AI78" s="357"/>
      <c r="AJ78" s="357"/>
      <c r="AK78" s="357"/>
      <c r="AL78" s="357"/>
      <c r="AM78" s="357"/>
      <c r="AN78" s="357"/>
      <c r="AO78" s="357"/>
      <c r="AP78" s="357"/>
      <c r="AQ78" s="357"/>
      <c r="AR78" s="357"/>
      <c r="AS78" s="357"/>
      <c r="AT78" s="357"/>
      <c r="AU78" s="357"/>
    </row>
    <row r="79" ht="15.75" customHeight="1">
      <c r="A79" s="357"/>
      <c r="B79" s="357"/>
      <c r="C79" s="357"/>
      <c r="D79" s="360"/>
      <c r="E79" s="357"/>
      <c r="F79" s="357"/>
      <c r="G79" s="357"/>
      <c r="H79" s="357"/>
      <c r="I79" s="357"/>
      <c r="J79" s="357"/>
      <c r="K79" s="357"/>
      <c r="L79" s="357"/>
      <c r="M79" s="357"/>
      <c r="N79" s="357"/>
      <c r="O79" s="357"/>
      <c r="P79" s="357"/>
      <c r="Q79" s="357"/>
      <c r="R79" s="357"/>
      <c r="S79" s="357"/>
      <c r="T79" s="357"/>
      <c r="U79" s="357"/>
      <c r="V79" s="357"/>
      <c r="W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row>
    <row r="80" ht="15.75" customHeight="1">
      <c r="A80" s="357"/>
      <c r="B80" s="357"/>
      <c r="C80" s="357"/>
      <c r="D80" s="360"/>
      <c r="E80" s="357"/>
      <c r="F80" s="357"/>
      <c r="G80" s="357"/>
      <c r="H80" s="357"/>
      <c r="I80" s="357"/>
      <c r="J80" s="357"/>
      <c r="K80" s="357"/>
      <c r="L80" s="357"/>
      <c r="M80" s="357"/>
      <c r="N80" s="357"/>
      <c r="O80" s="357"/>
      <c r="P80" s="357"/>
      <c r="Q80" s="357"/>
      <c r="R80" s="357"/>
      <c r="S80" s="357"/>
      <c r="T80" s="357"/>
      <c r="U80" s="357"/>
      <c r="V80" s="357"/>
      <c r="W80" s="357"/>
      <c r="Y80" s="357"/>
      <c r="Z80" s="357"/>
      <c r="AA80" s="357"/>
      <c r="AB80" s="357"/>
      <c r="AC80" s="357"/>
      <c r="AD80" s="357"/>
      <c r="AE80" s="357"/>
      <c r="AF80" s="357"/>
      <c r="AG80" s="357"/>
      <c r="AH80" s="357"/>
      <c r="AI80" s="357"/>
      <c r="AJ80" s="357"/>
      <c r="AK80" s="357"/>
      <c r="AL80" s="357"/>
      <c r="AM80" s="357"/>
      <c r="AN80" s="357"/>
      <c r="AO80" s="357"/>
      <c r="AP80" s="357"/>
      <c r="AQ80" s="357"/>
      <c r="AR80" s="357"/>
      <c r="AS80" s="357"/>
      <c r="AT80" s="357"/>
      <c r="AU80" s="357"/>
    </row>
    <row r="81" ht="15.75" customHeight="1">
      <c r="A81" s="357"/>
      <c r="B81" s="357"/>
      <c r="C81" s="357"/>
      <c r="D81" s="360"/>
      <c r="E81" s="357"/>
      <c r="F81" s="357"/>
      <c r="G81" s="357"/>
      <c r="H81" s="357"/>
      <c r="I81" s="357"/>
      <c r="J81" s="357"/>
      <c r="K81" s="357"/>
      <c r="L81" s="357"/>
      <c r="M81" s="357"/>
      <c r="N81" s="357"/>
      <c r="O81" s="357"/>
      <c r="P81" s="357"/>
      <c r="Q81" s="357"/>
      <c r="R81" s="357"/>
      <c r="S81" s="357"/>
      <c r="T81" s="357"/>
      <c r="U81" s="357"/>
      <c r="V81" s="357"/>
      <c r="W81" s="357"/>
      <c r="Y81" s="357"/>
      <c r="Z81" s="357"/>
      <c r="AA81" s="357"/>
      <c r="AB81" s="357"/>
      <c r="AC81" s="357"/>
      <c r="AD81" s="357"/>
      <c r="AE81" s="357"/>
      <c r="AF81" s="357"/>
      <c r="AG81" s="357"/>
      <c r="AH81" s="357"/>
      <c r="AI81" s="357"/>
      <c r="AJ81" s="357"/>
      <c r="AK81" s="357"/>
      <c r="AL81" s="357"/>
      <c r="AM81" s="357"/>
      <c r="AN81" s="357"/>
      <c r="AO81" s="357"/>
      <c r="AP81" s="357"/>
      <c r="AQ81" s="357"/>
      <c r="AR81" s="357"/>
      <c r="AS81" s="357"/>
      <c r="AT81" s="357"/>
      <c r="AU81" s="357"/>
    </row>
    <row r="82" ht="15.75" customHeight="1">
      <c r="A82" s="357"/>
      <c r="B82" s="357"/>
      <c r="C82" s="357"/>
      <c r="D82" s="360"/>
      <c r="E82" s="357"/>
      <c r="F82" s="357"/>
      <c r="G82" s="357"/>
      <c r="H82" s="357"/>
      <c r="I82" s="357"/>
      <c r="J82" s="357"/>
      <c r="K82" s="357"/>
      <c r="L82" s="357"/>
      <c r="M82" s="357"/>
      <c r="N82" s="357"/>
      <c r="O82" s="357"/>
      <c r="P82" s="357"/>
      <c r="Q82" s="357"/>
      <c r="R82" s="357"/>
      <c r="S82" s="357"/>
      <c r="T82" s="357"/>
      <c r="U82" s="357"/>
      <c r="V82" s="357"/>
      <c r="W82" s="357"/>
      <c r="Y82" s="357"/>
      <c r="Z82" s="357"/>
      <c r="AA82" s="357"/>
      <c r="AB82" s="357"/>
      <c r="AC82" s="357"/>
      <c r="AD82" s="357"/>
      <c r="AE82" s="357"/>
      <c r="AF82" s="357"/>
      <c r="AG82" s="357"/>
      <c r="AH82" s="357"/>
      <c r="AI82" s="357"/>
      <c r="AJ82" s="357"/>
      <c r="AK82" s="357"/>
      <c r="AL82" s="357"/>
      <c r="AM82" s="357"/>
      <c r="AN82" s="357"/>
      <c r="AO82" s="357"/>
      <c r="AP82" s="357"/>
      <c r="AQ82" s="357"/>
      <c r="AR82" s="357"/>
      <c r="AS82" s="357"/>
      <c r="AT82" s="357"/>
      <c r="AU82" s="357"/>
    </row>
    <row r="83" ht="15.75" customHeight="1">
      <c r="A83" s="357"/>
      <c r="B83" s="357"/>
      <c r="C83" s="357"/>
      <c r="D83" s="360"/>
      <c r="E83" s="357"/>
      <c r="F83" s="357"/>
      <c r="G83" s="357"/>
      <c r="H83" s="357"/>
      <c r="I83" s="357"/>
      <c r="J83" s="357"/>
      <c r="K83" s="357"/>
      <c r="L83" s="357"/>
      <c r="M83" s="357"/>
      <c r="N83" s="357"/>
      <c r="O83" s="357"/>
      <c r="P83" s="357"/>
      <c r="Q83" s="357"/>
      <c r="R83" s="357"/>
      <c r="S83" s="357"/>
      <c r="T83" s="357"/>
      <c r="U83" s="357"/>
      <c r="V83" s="357"/>
      <c r="W83" s="357"/>
      <c r="Y83" s="357"/>
      <c r="Z83" s="357"/>
      <c r="AA83" s="357"/>
      <c r="AB83" s="357"/>
      <c r="AC83" s="357"/>
      <c r="AD83" s="357"/>
      <c r="AE83" s="357"/>
      <c r="AF83" s="357"/>
      <c r="AG83" s="357"/>
      <c r="AH83" s="357"/>
      <c r="AI83" s="357"/>
      <c r="AJ83" s="357"/>
      <c r="AK83" s="357"/>
      <c r="AL83" s="357"/>
      <c r="AM83" s="357"/>
      <c r="AN83" s="357"/>
      <c r="AO83" s="357"/>
      <c r="AP83" s="357"/>
      <c r="AQ83" s="357"/>
      <c r="AR83" s="357"/>
      <c r="AS83" s="357"/>
      <c r="AT83" s="357"/>
      <c r="AU83" s="357"/>
    </row>
    <row r="84" ht="15.75" customHeight="1">
      <c r="A84" s="357"/>
      <c r="B84" s="357"/>
      <c r="C84" s="357"/>
      <c r="D84" s="360"/>
      <c r="E84" s="357"/>
      <c r="F84" s="357"/>
      <c r="G84" s="357"/>
      <c r="H84" s="357"/>
      <c r="I84" s="357"/>
      <c r="J84" s="357"/>
      <c r="K84" s="357"/>
      <c r="L84" s="357"/>
      <c r="M84" s="357"/>
      <c r="N84" s="357"/>
      <c r="O84" s="357"/>
      <c r="P84" s="357"/>
      <c r="Q84" s="357"/>
      <c r="R84" s="357"/>
      <c r="S84" s="357"/>
      <c r="T84" s="357"/>
      <c r="U84" s="357"/>
      <c r="V84" s="357"/>
      <c r="W84" s="357"/>
      <c r="Y84" s="357"/>
      <c r="Z84" s="357"/>
      <c r="AA84" s="357"/>
      <c r="AB84" s="357"/>
      <c r="AC84" s="357"/>
      <c r="AD84" s="357"/>
      <c r="AE84" s="357"/>
      <c r="AF84" s="357"/>
      <c r="AG84" s="357"/>
      <c r="AH84" s="357"/>
      <c r="AI84" s="357"/>
      <c r="AJ84" s="357"/>
      <c r="AK84" s="357"/>
      <c r="AL84" s="357"/>
      <c r="AM84" s="357"/>
      <c r="AN84" s="357"/>
      <c r="AO84" s="357"/>
      <c r="AP84" s="357"/>
      <c r="AQ84" s="357"/>
      <c r="AR84" s="357"/>
      <c r="AS84" s="357"/>
      <c r="AT84" s="357"/>
      <c r="AU84" s="357"/>
    </row>
    <row r="85" ht="15.75" customHeight="1">
      <c r="A85" s="357"/>
      <c r="B85" s="357"/>
      <c r="C85" s="357"/>
      <c r="D85" s="360"/>
      <c r="E85" s="357"/>
      <c r="F85" s="357"/>
      <c r="G85" s="357"/>
      <c r="H85" s="357"/>
      <c r="I85" s="357"/>
      <c r="J85" s="357"/>
      <c r="K85" s="357"/>
      <c r="L85" s="357"/>
      <c r="M85" s="357"/>
      <c r="N85" s="357"/>
      <c r="O85" s="357"/>
      <c r="P85" s="357"/>
      <c r="Q85" s="357"/>
      <c r="R85" s="357"/>
      <c r="S85" s="357"/>
      <c r="T85" s="357"/>
      <c r="U85" s="357"/>
      <c r="V85" s="357"/>
      <c r="W85" s="357"/>
      <c r="Y85" s="357"/>
      <c r="Z85" s="357"/>
      <c r="AA85" s="357"/>
      <c r="AB85" s="357"/>
      <c r="AC85" s="357"/>
      <c r="AD85" s="357"/>
      <c r="AE85" s="357"/>
      <c r="AF85" s="357"/>
      <c r="AG85" s="357"/>
      <c r="AH85" s="357"/>
      <c r="AI85" s="357"/>
      <c r="AJ85" s="357"/>
      <c r="AK85" s="357"/>
      <c r="AL85" s="357"/>
      <c r="AM85" s="357"/>
      <c r="AN85" s="357"/>
      <c r="AO85" s="357"/>
      <c r="AP85" s="357"/>
      <c r="AQ85" s="357"/>
      <c r="AR85" s="357"/>
      <c r="AS85" s="357"/>
      <c r="AT85" s="357"/>
      <c r="AU85" s="357"/>
    </row>
    <row r="86" ht="15.75" customHeight="1">
      <c r="A86" s="357"/>
      <c r="B86" s="357"/>
      <c r="C86" s="357"/>
      <c r="D86" s="360"/>
      <c r="E86" s="357"/>
      <c r="F86" s="357"/>
      <c r="G86" s="357"/>
      <c r="H86" s="357"/>
      <c r="I86" s="357"/>
      <c r="J86" s="357"/>
      <c r="K86" s="357"/>
      <c r="L86" s="357"/>
      <c r="M86" s="357"/>
      <c r="N86" s="357"/>
      <c r="O86" s="357"/>
      <c r="P86" s="357"/>
      <c r="Q86" s="357"/>
      <c r="R86" s="357"/>
      <c r="S86" s="357"/>
      <c r="T86" s="357"/>
      <c r="U86" s="357"/>
      <c r="V86" s="357"/>
      <c r="W86" s="357"/>
      <c r="Y86" s="357"/>
      <c r="Z86" s="357"/>
      <c r="AA86" s="357"/>
      <c r="AB86" s="357"/>
      <c r="AC86" s="357"/>
      <c r="AD86" s="357"/>
      <c r="AE86" s="357"/>
      <c r="AF86" s="357"/>
      <c r="AG86" s="357"/>
      <c r="AH86" s="357"/>
      <c r="AI86" s="357"/>
      <c r="AJ86" s="357"/>
      <c r="AK86" s="357"/>
      <c r="AL86" s="357"/>
      <c r="AM86" s="357"/>
      <c r="AN86" s="357"/>
      <c r="AO86" s="357"/>
      <c r="AP86" s="357"/>
      <c r="AQ86" s="357"/>
      <c r="AR86" s="357"/>
      <c r="AS86" s="357"/>
      <c r="AT86" s="357"/>
      <c r="AU86" s="357"/>
    </row>
    <row r="87" ht="15.75" customHeight="1">
      <c r="A87" s="357"/>
      <c r="B87" s="357"/>
      <c r="C87" s="357"/>
      <c r="D87" s="360"/>
      <c r="E87" s="357"/>
      <c r="F87" s="357"/>
      <c r="G87" s="357"/>
      <c r="H87" s="357"/>
      <c r="I87" s="357"/>
      <c r="J87" s="357"/>
      <c r="K87" s="357"/>
      <c r="L87" s="357"/>
      <c r="M87" s="357"/>
      <c r="N87" s="357"/>
      <c r="O87" s="357"/>
      <c r="P87" s="357"/>
      <c r="Q87" s="357"/>
      <c r="R87" s="357"/>
      <c r="S87" s="357"/>
      <c r="T87" s="357"/>
      <c r="U87" s="357"/>
      <c r="V87" s="357"/>
      <c r="W87" s="357"/>
      <c r="Y87" s="357"/>
      <c r="Z87" s="357"/>
      <c r="AA87" s="357"/>
      <c r="AB87" s="357"/>
      <c r="AC87" s="357"/>
      <c r="AD87" s="357"/>
      <c r="AE87" s="357"/>
      <c r="AF87" s="357"/>
      <c r="AG87" s="357"/>
      <c r="AH87" s="357"/>
      <c r="AI87" s="357"/>
      <c r="AJ87" s="357"/>
      <c r="AK87" s="357"/>
      <c r="AL87" s="357"/>
      <c r="AM87" s="357"/>
      <c r="AN87" s="357"/>
      <c r="AO87" s="357"/>
      <c r="AP87" s="357"/>
      <c r="AQ87" s="357"/>
      <c r="AR87" s="357"/>
      <c r="AS87" s="357"/>
      <c r="AT87" s="357"/>
      <c r="AU87" s="357"/>
    </row>
    <row r="88" ht="15.75" customHeight="1">
      <c r="A88" s="357"/>
      <c r="B88" s="357"/>
      <c r="C88" s="357"/>
      <c r="D88" s="360"/>
      <c r="E88" s="357"/>
      <c r="F88" s="357"/>
      <c r="G88" s="357"/>
      <c r="H88" s="357"/>
      <c r="I88" s="357"/>
      <c r="J88" s="357"/>
      <c r="K88" s="357"/>
      <c r="L88" s="357"/>
      <c r="M88" s="357"/>
      <c r="N88" s="357"/>
      <c r="O88" s="357"/>
      <c r="P88" s="357"/>
      <c r="Q88" s="357"/>
      <c r="R88" s="357"/>
      <c r="S88" s="357"/>
      <c r="T88" s="357"/>
      <c r="U88" s="357"/>
      <c r="V88" s="357"/>
      <c r="W88" s="357"/>
      <c r="Y88" s="357"/>
      <c r="Z88" s="357"/>
      <c r="AA88" s="357"/>
      <c r="AB88" s="357"/>
      <c r="AC88" s="357"/>
      <c r="AD88" s="357"/>
      <c r="AE88" s="357"/>
      <c r="AF88" s="357"/>
      <c r="AG88" s="357"/>
      <c r="AH88" s="357"/>
      <c r="AI88" s="357"/>
      <c r="AJ88" s="357"/>
      <c r="AK88" s="357"/>
      <c r="AL88" s="357"/>
      <c r="AM88" s="357"/>
      <c r="AN88" s="357"/>
      <c r="AO88" s="357"/>
      <c r="AP88" s="357"/>
      <c r="AQ88" s="357"/>
      <c r="AR88" s="357"/>
      <c r="AS88" s="357"/>
      <c r="AT88" s="357"/>
      <c r="AU88" s="357"/>
    </row>
    <row r="89" ht="15.75" customHeight="1">
      <c r="A89" s="357"/>
      <c r="B89" s="357"/>
      <c r="C89" s="357"/>
      <c r="D89" s="360"/>
      <c r="E89" s="357"/>
      <c r="F89" s="357"/>
      <c r="G89" s="357"/>
      <c r="H89" s="357"/>
      <c r="I89" s="357"/>
      <c r="J89" s="357"/>
      <c r="K89" s="357"/>
      <c r="L89" s="357"/>
      <c r="M89" s="357"/>
      <c r="N89" s="357"/>
      <c r="O89" s="357"/>
      <c r="P89" s="357"/>
      <c r="Q89" s="357"/>
      <c r="R89" s="357"/>
      <c r="S89" s="357"/>
      <c r="T89" s="357"/>
      <c r="U89" s="357"/>
      <c r="V89" s="357"/>
      <c r="W89" s="357"/>
      <c r="Y89" s="357"/>
      <c r="Z89" s="357"/>
      <c r="AA89" s="357"/>
      <c r="AB89" s="357"/>
      <c r="AC89" s="357"/>
      <c r="AD89" s="357"/>
      <c r="AE89" s="357"/>
      <c r="AF89" s="357"/>
      <c r="AG89" s="357"/>
      <c r="AH89" s="357"/>
      <c r="AI89" s="357"/>
      <c r="AJ89" s="357"/>
      <c r="AK89" s="357"/>
      <c r="AL89" s="357"/>
      <c r="AM89" s="357"/>
      <c r="AN89" s="357"/>
      <c r="AO89" s="357"/>
      <c r="AP89" s="357"/>
      <c r="AQ89" s="357"/>
      <c r="AR89" s="357"/>
      <c r="AS89" s="357"/>
      <c r="AT89" s="357"/>
      <c r="AU89" s="357"/>
    </row>
    <row r="90" ht="15.75" customHeight="1">
      <c r="A90" s="357"/>
      <c r="B90" s="357"/>
      <c r="C90" s="357"/>
      <c r="D90" s="360"/>
      <c r="E90" s="357"/>
      <c r="F90" s="357"/>
      <c r="G90" s="357"/>
      <c r="H90" s="357"/>
      <c r="I90" s="357"/>
      <c r="J90" s="357"/>
      <c r="K90" s="357"/>
      <c r="L90" s="357"/>
      <c r="M90" s="357"/>
      <c r="N90" s="357"/>
      <c r="O90" s="357"/>
      <c r="P90" s="357"/>
      <c r="Q90" s="357"/>
      <c r="R90" s="357"/>
      <c r="S90" s="357"/>
      <c r="T90" s="357"/>
      <c r="U90" s="357"/>
      <c r="V90" s="357"/>
      <c r="W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row>
    <row r="91" ht="15.75" customHeight="1">
      <c r="A91" s="357"/>
      <c r="B91" s="357"/>
      <c r="C91" s="357"/>
      <c r="D91" s="360"/>
      <c r="E91" s="357"/>
      <c r="F91" s="357"/>
      <c r="G91" s="357"/>
      <c r="H91" s="357"/>
      <c r="I91" s="357"/>
      <c r="J91" s="357"/>
      <c r="K91" s="357"/>
      <c r="L91" s="357"/>
      <c r="M91" s="357"/>
      <c r="N91" s="357"/>
      <c r="O91" s="357"/>
      <c r="P91" s="357"/>
      <c r="Q91" s="357"/>
      <c r="R91" s="357"/>
      <c r="S91" s="357"/>
      <c r="T91" s="357"/>
      <c r="U91" s="357"/>
      <c r="V91" s="357"/>
      <c r="W91" s="357"/>
      <c r="Y91" s="357"/>
      <c r="Z91" s="357"/>
      <c r="AA91" s="357"/>
      <c r="AB91" s="357"/>
      <c r="AC91" s="357"/>
      <c r="AD91" s="357"/>
      <c r="AE91" s="357"/>
      <c r="AF91" s="357"/>
      <c r="AG91" s="357"/>
      <c r="AH91" s="357"/>
      <c r="AI91" s="357"/>
      <c r="AJ91" s="357"/>
      <c r="AK91" s="357"/>
      <c r="AL91" s="357"/>
      <c r="AM91" s="357"/>
      <c r="AN91" s="357"/>
      <c r="AO91" s="357"/>
      <c r="AP91" s="357"/>
      <c r="AQ91" s="357"/>
      <c r="AR91" s="357"/>
      <c r="AS91" s="357"/>
      <c r="AT91" s="357"/>
      <c r="AU91" s="357"/>
    </row>
    <row r="92" ht="15.75" customHeight="1">
      <c r="A92" s="357"/>
      <c r="B92" s="357"/>
      <c r="C92" s="357"/>
      <c r="D92" s="360"/>
      <c r="E92" s="357"/>
      <c r="F92" s="357"/>
      <c r="G92" s="357"/>
      <c r="H92" s="357"/>
      <c r="I92" s="357"/>
      <c r="J92" s="357"/>
      <c r="K92" s="357"/>
      <c r="L92" s="357"/>
      <c r="M92" s="357"/>
      <c r="N92" s="357"/>
      <c r="O92" s="357"/>
      <c r="P92" s="357"/>
      <c r="Q92" s="357"/>
      <c r="R92" s="357"/>
      <c r="S92" s="357"/>
      <c r="T92" s="357"/>
      <c r="U92" s="357"/>
      <c r="V92" s="357"/>
      <c r="W92" s="357"/>
      <c r="Y92" s="357"/>
      <c r="Z92" s="357"/>
      <c r="AA92" s="357"/>
      <c r="AB92" s="357"/>
      <c r="AC92" s="357"/>
      <c r="AD92" s="357"/>
      <c r="AE92" s="357"/>
      <c r="AF92" s="357"/>
      <c r="AG92" s="357"/>
      <c r="AH92" s="357"/>
      <c r="AI92" s="357"/>
      <c r="AJ92" s="357"/>
      <c r="AK92" s="357"/>
      <c r="AL92" s="357"/>
      <c r="AM92" s="357"/>
      <c r="AN92" s="357"/>
      <c r="AO92" s="357"/>
      <c r="AP92" s="357"/>
      <c r="AQ92" s="357"/>
      <c r="AR92" s="357"/>
      <c r="AS92" s="357"/>
      <c r="AT92" s="357"/>
      <c r="AU92" s="357"/>
    </row>
    <row r="93" ht="15.75" customHeight="1">
      <c r="A93" s="357"/>
      <c r="B93" s="357"/>
      <c r="C93" s="357"/>
      <c r="D93" s="360"/>
      <c r="E93" s="357"/>
      <c r="F93" s="357"/>
      <c r="G93" s="357"/>
      <c r="H93" s="357"/>
      <c r="I93" s="357"/>
      <c r="J93" s="357"/>
      <c r="K93" s="357"/>
      <c r="L93" s="357"/>
      <c r="M93" s="357"/>
      <c r="N93" s="357"/>
      <c r="O93" s="357"/>
      <c r="P93" s="357"/>
      <c r="Q93" s="357"/>
      <c r="R93" s="357"/>
      <c r="S93" s="357"/>
      <c r="T93" s="357"/>
      <c r="U93" s="357"/>
      <c r="V93" s="357"/>
      <c r="W93" s="357"/>
      <c r="Y93" s="357"/>
      <c r="Z93" s="357"/>
      <c r="AA93" s="357"/>
      <c r="AB93" s="357"/>
      <c r="AC93" s="357"/>
      <c r="AD93" s="357"/>
      <c r="AE93" s="357"/>
      <c r="AF93" s="357"/>
      <c r="AG93" s="357"/>
      <c r="AH93" s="357"/>
      <c r="AI93" s="357"/>
      <c r="AJ93" s="357"/>
      <c r="AK93" s="357"/>
      <c r="AL93" s="357"/>
      <c r="AM93" s="357"/>
      <c r="AN93" s="357"/>
      <c r="AO93" s="357"/>
      <c r="AP93" s="357"/>
      <c r="AQ93" s="357"/>
      <c r="AR93" s="357"/>
      <c r="AS93" s="357"/>
      <c r="AT93" s="357"/>
      <c r="AU93" s="357"/>
    </row>
    <row r="94" ht="15.75" customHeight="1">
      <c r="A94" s="357"/>
      <c r="B94" s="357"/>
      <c r="C94" s="357"/>
      <c r="D94" s="360"/>
      <c r="E94" s="357"/>
      <c r="F94" s="357"/>
      <c r="G94" s="357"/>
      <c r="H94" s="357"/>
      <c r="I94" s="357"/>
      <c r="J94" s="357"/>
      <c r="K94" s="357"/>
      <c r="L94" s="357"/>
      <c r="M94" s="357"/>
      <c r="N94" s="357"/>
      <c r="O94" s="357"/>
      <c r="P94" s="357"/>
      <c r="Q94" s="357"/>
      <c r="R94" s="357"/>
      <c r="S94" s="357"/>
      <c r="T94" s="357"/>
      <c r="U94" s="357"/>
      <c r="V94" s="357"/>
      <c r="W94" s="357"/>
      <c r="Y94" s="357"/>
      <c r="Z94" s="357"/>
      <c r="AA94" s="357"/>
      <c r="AB94" s="357"/>
      <c r="AC94" s="357"/>
      <c r="AD94" s="357"/>
      <c r="AE94" s="357"/>
      <c r="AF94" s="357"/>
      <c r="AG94" s="357"/>
      <c r="AH94" s="357"/>
      <c r="AI94" s="357"/>
      <c r="AJ94" s="357"/>
      <c r="AK94" s="357"/>
      <c r="AL94" s="357"/>
      <c r="AM94" s="357"/>
      <c r="AN94" s="357"/>
      <c r="AO94" s="357"/>
      <c r="AP94" s="357"/>
      <c r="AQ94" s="357"/>
      <c r="AR94" s="357"/>
      <c r="AS94" s="357"/>
      <c r="AT94" s="357"/>
      <c r="AU94" s="357"/>
    </row>
    <row r="95" ht="15.75" customHeight="1">
      <c r="A95" s="357"/>
      <c r="B95" s="357"/>
      <c r="C95" s="357"/>
      <c r="D95" s="360"/>
      <c r="E95" s="357"/>
      <c r="F95" s="357"/>
      <c r="G95" s="357"/>
      <c r="H95" s="357"/>
      <c r="I95" s="357"/>
      <c r="J95" s="357"/>
      <c r="K95" s="357"/>
      <c r="L95" s="357"/>
      <c r="M95" s="357"/>
      <c r="N95" s="357"/>
      <c r="O95" s="357"/>
      <c r="P95" s="357"/>
      <c r="Q95" s="357"/>
      <c r="R95" s="357"/>
      <c r="S95" s="357"/>
      <c r="T95" s="357"/>
      <c r="U95" s="357"/>
      <c r="V95" s="357"/>
      <c r="W95" s="357"/>
      <c r="Y95" s="357"/>
      <c r="Z95" s="357"/>
      <c r="AA95" s="357"/>
      <c r="AB95" s="357"/>
      <c r="AC95" s="357"/>
      <c r="AD95" s="357"/>
      <c r="AE95" s="357"/>
      <c r="AF95" s="357"/>
      <c r="AG95" s="357"/>
      <c r="AH95" s="357"/>
      <c r="AI95" s="357"/>
      <c r="AJ95" s="357"/>
      <c r="AK95" s="357"/>
      <c r="AL95" s="357"/>
      <c r="AM95" s="357"/>
      <c r="AN95" s="357"/>
      <c r="AO95" s="357"/>
      <c r="AP95" s="357"/>
      <c r="AQ95" s="357"/>
      <c r="AR95" s="357"/>
      <c r="AS95" s="357"/>
      <c r="AT95" s="357"/>
      <c r="AU95" s="357"/>
    </row>
    <row r="96" ht="15.75" customHeight="1">
      <c r="A96" s="357"/>
      <c r="B96" s="357"/>
      <c r="C96" s="357"/>
      <c r="D96" s="360"/>
      <c r="E96" s="357"/>
      <c r="F96" s="357"/>
      <c r="G96" s="357"/>
      <c r="H96" s="357"/>
      <c r="I96" s="357"/>
      <c r="J96" s="357"/>
      <c r="K96" s="357"/>
      <c r="L96" s="357"/>
      <c r="M96" s="357"/>
      <c r="N96" s="357"/>
      <c r="O96" s="357"/>
      <c r="P96" s="357"/>
      <c r="Q96" s="357"/>
      <c r="R96" s="357"/>
      <c r="S96" s="357"/>
      <c r="T96" s="357"/>
      <c r="U96" s="357"/>
      <c r="V96" s="357"/>
      <c r="W96" s="357"/>
      <c r="Y96" s="357"/>
      <c r="Z96" s="357"/>
      <c r="AA96" s="357"/>
      <c r="AB96" s="357"/>
      <c r="AC96" s="357"/>
      <c r="AD96" s="357"/>
      <c r="AE96" s="357"/>
      <c r="AF96" s="357"/>
      <c r="AG96" s="357"/>
      <c r="AH96" s="357"/>
      <c r="AI96" s="357"/>
      <c r="AJ96" s="357"/>
      <c r="AK96" s="357"/>
      <c r="AL96" s="357"/>
      <c r="AM96" s="357"/>
      <c r="AN96" s="357"/>
      <c r="AO96" s="357"/>
      <c r="AP96" s="357"/>
      <c r="AQ96" s="357"/>
      <c r="AR96" s="357"/>
      <c r="AS96" s="357"/>
      <c r="AT96" s="357"/>
      <c r="AU96" s="357"/>
    </row>
    <row r="97" ht="15.75" customHeight="1">
      <c r="A97" s="357"/>
      <c r="B97" s="357"/>
      <c r="C97" s="357"/>
      <c r="D97" s="360"/>
      <c r="E97" s="357"/>
      <c r="F97" s="357"/>
      <c r="G97" s="357"/>
      <c r="H97" s="357"/>
      <c r="I97" s="357"/>
      <c r="J97" s="357"/>
      <c r="K97" s="357"/>
      <c r="L97" s="357"/>
      <c r="M97" s="357"/>
      <c r="N97" s="357"/>
      <c r="O97" s="357"/>
      <c r="P97" s="357"/>
      <c r="Q97" s="357"/>
      <c r="R97" s="357"/>
      <c r="S97" s="357"/>
      <c r="T97" s="357"/>
      <c r="U97" s="357"/>
      <c r="V97" s="357"/>
      <c r="W97" s="357"/>
      <c r="Y97" s="357"/>
      <c r="Z97" s="357"/>
      <c r="AA97" s="357"/>
      <c r="AB97" s="357"/>
      <c r="AC97" s="357"/>
      <c r="AD97" s="357"/>
      <c r="AE97" s="357"/>
      <c r="AF97" s="357"/>
      <c r="AG97" s="357"/>
      <c r="AH97" s="357"/>
      <c r="AI97" s="357"/>
      <c r="AJ97" s="357"/>
      <c r="AK97" s="357"/>
      <c r="AL97" s="357"/>
      <c r="AM97" s="357"/>
      <c r="AN97" s="357"/>
      <c r="AO97" s="357"/>
      <c r="AP97" s="357"/>
      <c r="AQ97" s="357"/>
      <c r="AR97" s="357"/>
      <c r="AS97" s="357"/>
      <c r="AT97" s="357"/>
      <c r="AU97" s="357"/>
    </row>
    <row r="98" ht="15.75" customHeight="1">
      <c r="A98" s="357"/>
      <c r="B98" s="357"/>
      <c r="C98" s="357"/>
      <c r="D98" s="360"/>
      <c r="E98" s="357"/>
      <c r="F98" s="357"/>
      <c r="G98" s="357"/>
      <c r="H98" s="357"/>
      <c r="I98" s="357"/>
      <c r="J98" s="357"/>
      <c r="K98" s="357"/>
      <c r="L98" s="357"/>
      <c r="M98" s="357"/>
      <c r="N98" s="357"/>
      <c r="O98" s="357"/>
      <c r="P98" s="357"/>
      <c r="Q98" s="357"/>
      <c r="R98" s="357"/>
      <c r="S98" s="357"/>
      <c r="T98" s="357"/>
      <c r="U98" s="357"/>
      <c r="V98" s="357"/>
      <c r="W98" s="357"/>
      <c r="Y98" s="357"/>
      <c r="Z98" s="357"/>
      <c r="AA98" s="357"/>
      <c r="AB98" s="357"/>
      <c r="AC98" s="357"/>
      <c r="AD98" s="357"/>
      <c r="AE98" s="357"/>
      <c r="AF98" s="357"/>
      <c r="AG98" s="357"/>
      <c r="AH98" s="357"/>
      <c r="AI98" s="357"/>
      <c r="AJ98" s="357"/>
      <c r="AK98" s="357"/>
      <c r="AL98" s="357"/>
      <c r="AM98" s="357"/>
      <c r="AN98" s="357"/>
      <c r="AO98" s="357"/>
      <c r="AP98" s="357"/>
      <c r="AQ98" s="357"/>
      <c r="AR98" s="357"/>
      <c r="AS98" s="357"/>
      <c r="AT98" s="357"/>
      <c r="AU98" s="357"/>
    </row>
    <row r="99" ht="15.75" customHeight="1">
      <c r="A99" s="357"/>
      <c r="B99" s="357"/>
      <c r="C99" s="357"/>
      <c r="D99" s="360"/>
      <c r="E99" s="357"/>
      <c r="F99" s="357"/>
      <c r="G99" s="357"/>
      <c r="H99" s="357"/>
      <c r="I99" s="357"/>
      <c r="J99" s="357"/>
      <c r="K99" s="357"/>
      <c r="L99" s="357"/>
      <c r="M99" s="357"/>
      <c r="N99" s="357"/>
      <c r="O99" s="357"/>
      <c r="P99" s="357"/>
      <c r="Q99" s="357"/>
      <c r="R99" s="357"/>
      <c r="S99" s="357"/>
      <c r="T99" s="357"/>
      <c r="U99" s="357"/>
      <c r="V99" s="357"/>
      <c r="W99" s="357"/>
      <c r="Y99" s="357"/>
      <c r="Z99" s="357"/>
      <c r="AA99" s="357"/>
      <c r="AB99" s="357"/>
      <c r="AC99" s="357"/>
      <c r="AD99" s="357"/>
      <c r="AE99" s="357"/>
      <c r="AF99" s="357"/>
      <c r="AG99" s="357"/>
      <c r="AH99" s="357"/>
      <c r="AI99" s="357"/>
      <c r="AJ99" s="357"/>
      <c r="AK99" s="357"/>
      <c r="AL99" s="357"/>
      <c r="AM99" s="357"/>
      <c r="AN99" s="357"/>
      <c r="AO99" s="357"/>
      <c r="AP99" s="357"/>
      <c r="AQ99" s="357"/>
      <c r="AR99" s="357"/>
      <c r="AS99" s="357"/>
      <c r="AT99" s="357"/>
      <c r="AU99" s="357"/>
    </row>
    <row r="100" ht="15.75" customHeight="1">
      <c r="A100" s="357"/>
      <c r="B100" s="357"/>
      <c r="C100" s="357"/>
      <c r="D100" s="360"/>
      <c r="E100" s="357"/>
      <c r="F100" s="357"/>
      <c r="G100" s="357"/>
      <c r="H100" s="357"/>
      <c r="I100" s="357"/>
      <c r="J100" s="357"/>
      <c r="K100" s="357"/>
      <c r="L100" s="357"/>
      <c r="M100" s="357"/>
      <c r="N100" s="357"/>
      <c r="O100" s="357"/>
      <c r="P100" s="357"/>
      <c r="Q100" s="357"/>
      <c r="R100" s="357"/>
      <c r="S100" s="357"/>
      <c r="T100" s="357"/>
      <c r="U100" s="357"/>
      <c r="V100" s="357"/>
      <c r="W100" s="357"/>
      <c r="Y100" s="357"/>
      <c r="Z100" s="357"/>
      <c r="AA100" s="357"/>
      <c r="AB100" s="357"/>
      <c r="AC100" s="357"/>
      <c r="AD100" s="357"/>
      <c r="AE100" s="357"/>
      <c r="AF100" s="357"/>
      <c r="AG100" s="357"/>
      <c r="AH100" s="357"/>
      <c r="AI100" s="357"/>
      <c r="AJ100" s="357"/>
      <c r="AK100" s="357"/>
      <c r="AL100" s="357"/>
      <c r="AM100" s="357"/>
      <c r="AN100" s="357"/>
      <c r="AO100" s="357"/>
      <c r="AP100" s="357"/>
      <c r="AQ100" s="357"/>
      <c r="AR100" s="357"/>
      <c r="AS100" s="357"/>
      <c r="AT100" s="357"/>
      <c r="AU100" s="357"/>
    </row>
    <row r="101" ht="15.75" customHeight="1">
      <c r="A101" s="357"/>
      <c r="B101" s="357"/>
      <c r="C101" s="357"/>
      <c r="D101" s="360"/>
      <c r="E101" s="357"/>
      <c r="F101" s="357"/>
      <c r="G101" s="357"/>
      <c r="H101" s="357"/>
      <c r="I101" s="357"/>
      <c r="J101" s="357"/>
      <c r="K101" s="357"/>
      <c r="L101" s="357"/>
      <c r="M101" s="357"/>
      <c r="N101" s="357"/>
      <c r="O101" s="357"/>
      <c r="P101" s="357"/>
      <c r="Q101" s="357"/>
      <c r="R101" s="357"/>
      <c r="S101" s="357"/>
      <c r="T101" s="357"/>
      <c r="U101" s="357"/>
      <c r="V101" s="357"/>
      <c r="W101" s="357"/>
      <c r="Y101" s="357"/>
      <c r="Z101" s="357"/>
      <c r="AA101" s="357"/>
      <c r="AB101" s="357"/>
      <c r="AC101" s="357"/>
      <c r="AD101" s="357"/>
      <c r="AE101" s="357"/>
      <c r="AF101" s="357"/>
      <c r="AG101" s="357"/>
      <c r="AH101" s="357"/>
      <c r="AI101" s="357"/>
      <c r="AJ101" s="357"/>
      <c r="AK101" s="357"/>
      <c r="AL101" s="357"/>
      <c r="AM101" s="357"/>
      <c r="AN101" s="357"/>
      <c r="AO101" s="357"/>
      <c r="AP101" s="357"/>
      <c r="AQ101" s="357"/>
      <c r="AR101" s="357"/>
      <c r="AS101" s="357"/>
      <c r="AT101" s="357"/>
      <c r="AU101" s="357"/>
    </row>
    <row r="102" ht="15.75" customHeight="1">
      <c r="A102" s="357"/>
      <c r="B102" s="357"/>
      <c r="C102" s="357"/>
      <c r="D102" s="360"/>
      <c r="E102" s="357"/>
      <c r="F102" s="357"/>
      <c r="G102" s="357"/>
      <c r="H102" s="357"/>
      <c r="I102" s="357"/>
      <c r="J102" s="357"/>
      <c r="K102" s="357"/>
      <c r="L102" s="357"/>
      <c r="M102" s="357"/>
      <c r="N102" s="357"/>
      <c r="O102" s="357"/>
      <c r="P102" s="357"/>
      <c r="Q102" s="357"/>
      <c r="R102" s="357"/>
      <c r="S102" s="357"/>
      <c r="T102" s="357"/>
      <c r="U102" s="357"/>
      <c r="V102" s="357"/>
      <c r="W102" s="357"/>
      <c r="Y102" s="357"/>
      <c r="Z102" s="357"/>
      <c r="AA102" s="357"/>
      <c r="AB102" s="357"/>
      <c r="AC102" s="357"/>
      <c r="AD102" s="357"/>
      <c r="AE102" s="357"/>
      <c r="AF102" s="357"/>
      <c r="AG102" s="357"/>
      <c r="AH102" s="357"/>
      <c r="AI102" s="357"/>
      <c r="AJ102" s="357"/>
      <c r="AK102" s="357"/>
      <c r="AL102" s="357"/>
      <c r="AM102" s="357"/>
      <c r="AN102" s="357"/>
      <c r="AO102" s="357"/>
      <c r="AP102" s="357"/>
      <c r="AQ102" s="357"/>
      <c r="AR102" s="357"/>
      <c r="AS102" s="357"/>
      <c r="AT102" s="357"/>
      <c r="AU102" s="357"/>
    </row>
    <row r="103" ht="15.75" customHeight="1">
      <c r="A103" s="357"/>
      <c r="B103" s="357"/>
      <c r="C103" s="357"/>
      <c r="D103" s="360"/>
      <c r="E103" s="357"/>
      <c r="F103" s="357"/>
      <c r="G103" s="357"/>
      <c r="H103" s="357"/>
      <c r="I103" s="357"/>
      <c r="J103" s="357"/>
      <c r="K103" s="357"/>
      <c r="L103" s="357"/>
      <c r="M103" s="357"/>
      <c r="N103" s="357"/>
      <c r="O103" s="357"/>
      <c r="P103" s="357"/>
      <c r="Q103" s="357"/>
      <c r="R103" s="357"/>
      <c r="S103" s="357"/>
      <c r="T103" s="357"/>
      <c r="U103" s="357"/>
      <c r="V103" s="357"/>
      <c r="W103" s="357"/>
      <c r="Y103" s="357"/>
      <c r="Z103" s="357"/>
      <c r="AA103" s="357"/>
      <c r="AB103" s="357"/>
      <c r="AC103" s="357"/>
      <c r="AD103" s="357"/>
      <c r="AE103" s="357"/>
      <c r="AF103" s="357"/>
      <c r="AG103" s="357"/>
      <c r="AH103" s="357"/>
      <c r="AI103" s="357"/>
      <c r="AJ103" s="357"/>
      <c r="AK103" s="357"/>
      <c r="AL103" s="357"/>
      <c r="AM103" s="357"/>
      <c r="AN103" s="357"/>
      <c r="AO103" s="357"/>
      <c r="AP103" s="357"/>
      <c r="AQ103" s="357"/>
      <c r="AR103" s="357"/>
      <c r="AS103" s="357"/>
      <c r="AT103" s="357"/>
      <c r="AU103" s="357"/>
    </row>
    <row r="104" ht="15.75" customHeight="1">
      <c r="A104" s="357"/>
      <c r="B104" s="357"/>
      <c r="C104" s="357"/>
      <c r="D104" s="360"/>
      <c r="E104" s="357"/>
      <c r="F104" s="357"/>
      <c r="G104" s="357"/>
      <c r="H104" s="357"/>
      <c r="I104" s="357"/>
      <c r="J104" s="357"/>
      <c r="K104" s="357"/>
      <c r="L104" s="357"/>
      <c r="M104" s="357"/>
      <c r="N104" s="357"/>
      <c r="O104" s="357"/>
      <c r="P104" s="357"/>
      <c r="Q104" s="357"/>
      <c r="R104" s="357"/>
      <c r="S104" s="357"/>
      <c r="T104" s="357"/>
      <c r="U104" s="357"/>
      <c r="V104" s="357"/>
      <c r="W104" s="357"/>
      <c r="Y104" s="357"/>
      <c r="Z104" s="357"/>
      <c r="AA104" s="357"/>
      <c r="AB104" s="357"/>
      <c r="AC104" s="357"/>
      <c r="AD104" s="357"/>
      <c r="AE104" s="357"/>
      <c r="AF104" s="357"/>
      <c r="AG104" s="357"/>
      <c r="AH104" s="357"/>
      <c r="AI104" s="357"/>
      <c r="AJ104" s="357"/>
      <c r="AK104" s="357"/>
      <c r="AL104" s="357"/>
      <c r="AM104" s="357"/>
      <c r="AN104" s="357"/>
      <c r="AO104" s="357"/>
      <c r="AP104" s="357"/>
      <c r="AQ104" s="357"/>
      <c r="AR104" s="357"/>
      <c r="AS104" s="357"/>
      <c r="AT104" s="357"/>
      <c r="AU104" s="357"/>
    </row>
    <row r="105" ht="15.75" customHeight="1">
      <c r="A105" s="357"/>
      <c r="B105" s="357"/>
      <c r="C105" s="357"/>
      <c r="D105" s="360"/>
      <c r="E105" s="357"/>
      <c r="F105" s="357"/>
      <c r="G105" s="357"/>
      <c r="H105" s="357"/>
      <c r="I105" s="357"/>
      <c r="J105" s="357"/>
      <c r="K105" s="357"/>
      <c r="L105" s="357"/>
      <c r="M105" s="357"/>
      <c r="N105" s="357"/>
      <c r="O105" s="357"/>
      <c r="P105" s="357"/>
      <c r="Q105" s="357"/>
      <c r="R105" s="357"/>
      <c r="S105" s="357"/>
      <c r="T105" s="357"/>
      <c r="U105" s="357"/>
      <c r="V105" s="357"/>
      <c r="W105" s="357"/>
      <c r="Y105" s="357"/>
      <c r="Z105" s="357"/>
      <c r="AA105" s="357"/>
      <c r="AB105" s="357"/>
      <c r="AC105" s="357"/>
      <c r="AD105" s="357"/>
      <c r="AE105" s="357"/>
      <c r="AF105" s="357"/>
      <c r="AG105" s="357"/>
      <c r="AH105" s="357"/>
      <c r="AI105" s="357"/>
      <c r="AJ105" s="357"/>
      <c r="AK105" s="357"/>
      <c r="AL105" s="357"/>
      <c r="AM105" s="357"/>
      <c r="AN105" s="357"/>
      <c r="AO105" s="357"/>
      <c r="AP105" s="357"/>
      <c r="AQ105" s="357"/>
      <c r="AR105" s="357"/>
      <c r="AS105" s="357"/>
      <c r="AT105" s="357"/>
      <c r="AU105" s="357"/>
    </row>
    <row r="106" ht="15.75" customHeight="1">
      <c r="A106" s="357"/>
      <c r="B106" s="357"/>
      <c r="C106" s="357"/>
      <c r="D106" s="360"/>
      <c r="E106" s="357"/>
      <c r="F106" s="357"/>
      <c r="G106" s="357"/>
      <c r="H106" s="357"/>
      <c r="I106" s="357"/>
      <c r="J106" s="357"/>
      <c r="K106" s="357"/>
      <c r="L106" s="357"/>
      <c r="M106" s="357"/>
      <c r="N106" s="357"/>
      <c r="O106" s="357"/>
      <c r="P106" s="357"/>
      <c r="Q106" s="357"/>
      <c r="R106" s="357"/>
      <c r="S106" s="357"/>
      <c r="T106" s="357"/>
      <c r="U106" s="357"/>
      <c r="V106" s="357"/>
      <c r="W106" s="357"/>
      <c r="Y106" s="357"/>
      <c r="Z106" s="357"/>
      <c r="AA106" s="357"/>
      <c r="AB106" s="357"/>
      <c r="AC106" s="357"/>
      <c r="AD106" s="357"/>
      <c r="AE106" s="357"/>
      <c r="AF106" s="357"/>
      <c r="AG106" s="357"/>
      <c r="AH106" s="357"/>
      <c r="AI106" s="357"/>
      <c r="AJ106" s="357"/>
      <c r="AK106" s="357"/>
      <c r="AL106" s="357"/>
      <c r="AM106" s="357"/>
      <c r="AN106" s="357"/>
      <c r="AO106" s="357"/>
      <c r="AP106" s="357"/>
      <c r="AQ106" s="357"/>
      <c r="AR106" s="357"/>
      <c r="AS106" s="357"/>
      <c r="AT106" s="357"/>
      <c r="AU106" s="357"/>
    </row>
    <row r="107" ht="15.75" customHeight="1">
      <c r="A107" s="357"/>
      <c r="B107" s="357"/>
      <c r="C107" s="357"/>
      <c r="D107" s="360"/>
      <c r="E107" s="357"/>
      <c r="F107" s="357"/>
      <c r="G107" s="357"/>
      <c r="H107" s="357"/>
      <c r="I107" s="357"/>
      <c r="J107" s="357"/>
      <c r="K107" s="357"/>
      <c r="L107" s="357"/>
      <c r="M107" s="357"/>
      <c r="N107" s="357"/>
      <c r="O107" s="357"/>
      <c r="P107" s="357"/>
      <c r="Q107" s="357"/>
      <c r="R107" s="357"/>
      <c r="S107" s="357"/>
      <c r="T107" s="357"/>
      <c r="U107" s="357"/>
      <c r="V107" s="357"/>
      <c r="W107" s="357"/>
      <c r="Y107" s="357"/>
      <c r="Z107" s="357"/>
      <c r="AA107" s="357"/>
      <c r="AB107" s="357"/>
      <c r="AC107" s="357"/>
      <c r="AD107" s="357"/>
      <c r="AE107" s="357"/>
      <c r="AF107" s="357"/>
      <c r="AG107" s="357"/>
      <c r="AH107" s="357"/>
      <c r="AI107" s="357"/>
      <c r="AJ107" s="357"/>
      <c r="AK107" s="357"/>
      <c r="AL107" s="357"/>
      <c r="AM107" s="357"/>
      <c r="AN107" s="357"/>
      <c r="AO107" s="357"/>
      <c r="AP107" s="357"/>
      <c r="AQ107" s="357"/>
      <c r="AR107" s="357"/>
      <c r="AS107" s="357"/>
      <c r="AT107" s="357"/>
      <c r="AU107" s="357"/>
    </row>
    <row r="108" ht="15.75" customHeight="1">
      <c r="A108" s="357"/>
      <c r="B108" s="357"/>
      <c r="C108" s="357"/>
      <c r="D108" s="360"/>
      <c r="E108" s="357"/>
      <c r="F108" s="357"/>
      <c r="G108" s="357"/>
      <c r="H108" s="357"/>
      <c r="I108" s="357"/>
      <c r="J108" s="357"/>
      <c r="K108" s="357"/>
      <c r="L108" s="357"/>
      <c r="M108" s="357"/>
      <c r="N108" s="357"/>
      <c r="O108" s="357"/>
      <c r="P108" s="357"/>
      <c r="Q108" s="357"/>
      <c r="R108" s="357"/>
      <c r="S108" s="357"/>
      <c r="T108" s="357"/>
      <c r="U108" s="357"/>
      <c r="V108" s="357"/>
      <c r="W108" s="357"/>
      <c r="Y108" s="357"/>
      <c r="Z108" s="357"/>
      <c r="AA108" s="357"/>
      <c r="AB108" s="357"/>
      <c r="AC108" s="357"/>
      <c r="AD108" s="357"/>
      <c r="AE108" s="357"/>
      <c r="AF108" s="357"/>
      <c r="AG108" s="357"/>
      <c r="AH108" s="357"/>
      <c r="AI108" s="357"/>
      <c r="AJ108" s="357"/>
      <c r="AK108" s="357"/>
      <c r="AL108" s="357"/>
      <c r="AM108" s="357"/>
      <c r="AN108" s="357"/>
      <c r="AO108" s="357"/>
      <c r="AP108" s="357"/>
      <c r="AQ108" s="357"/>
      <c r="AR108" s="357"/>
      <c r="AS108" s="357"/>
      <c r="AT108" s="357"/>
      <c r="AU108" s="357"/>
    </row>
    <row r="109" ht="15.75" customHeight="1">
      <c r="A109" s="357"/>
      <c r="B109" s="357"/>
      <c r="C109" s="357"/>
      <c r="D109" s="360"/>
      <c r="E109" s="357"/>
      <c r="F109" s="357"/>
      <c r="G109" s="357"/>
      <c r="H109" s="357"/>
      <c r="I109" s="357"/>
      <c r="J109" s="357"/>
      <c r="K109" s="357"/>
      <c r="L109" s="357"/>
      <c r="M109" s="357"/>
      <c r="N109" s="357"/>
      <c r="O109" s="357"/>
      <c r="P109" s="357"/>
      <c r="Q109" s="357"/>
      <c r="R109" s="357"/>
      <c r="S109" s="357"/>
      <c r="T109" s="357"/>
      <c r="U109" s="357"/>
      <c r="V109" s="357"/>
      <c r="W109" s="357"/>
      <c r="Y109" s="357"/>
      <c r="Z109" s="357"/>
      <c r="AA109" s="357"/>
      <c r="AB109" s="357"/>
      <c r="AC109" s="357"/>
      <c r="AD109" s="357"/>
      <c r="AE109" s="357"/>
      <c r="AF109" s="357"/>
      <c r="AG109" s="357"/>
      <c r="AH109" s="357"/>
      <c r="AI109" s="357"/>
      <c r="AJ109" s="357"/>
      <c r="AK109" s="357"/>
      <c r="AL109" s="357"/>
      <c r="AM109" s="357"/>
      <c r="AN109" s="357"/>
      <c r="AO109" s="357"/>
      <c r="AP109" s="357"/>
      <c r="AQ109" s="357"/>
      <c r="AR109" s="357"/>
      <c r="AS109" s="357"/>
      <c r="AT109" s="357"/>
      <c r="AU109" s="357"/>
    </row>
    <row r="110" ht="15.75" customHeight="1">
      <c r="A110" s="357"/>
      <c r="B110" s="357"/>
      <c r="C110" s="357"/>
      <c r="D110" s="360"/>
      <c r="E110" s="357"/>
      <c r="F110" s="357"/>
      <c r="G110" s="357"/>
      <c r="H110" s="357"/>
      <c r="I110" s="357"/>
      <c r="J110" s="357"/>
      <c r="K110" s="357"/>
      <c r="L110" s="357"/>
      <c r="M110" s="357"/>
      <c r="N110" s="357"/>
      <c r="O110" s="357"/>
      <c r="P110" s="357"/>
      <c r="Q110" s="357"/>
      <c r="R110" s="357"/>
      <c r="S110" s="357"/>
      <c r="T110" s="357"/>
      <c r="U110" s="357"/>
      <c r="V110" s="357"/>
      <c r="W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row>
    <row r="111" ht="15.75" customHeight="1">
      <c r="A111" s="357"/>
      <c r="B111" s="357"/>
      <c r="C111" s="357"/>
      <c r="D111" s="360"/>
      <c r="E111" s="357"/>
      <c r="F111" s="357"/>
      <c r="G111" s="357"/>
      <c r="H111" s="357"/>
      <c r="I111" s="357"/>
      <c r="J111" s="357"/>
      <c r="K111" s="357"/>
      <c r="L111" s="357"/>
      <c r="M111" s="357"/>
      <c r="N111" s="357"/>
      <c r="O111" s="357"/>
      <c r="P111" s="357"/>
      <c r="Q111" s="357"/>
      <c r="R111" s="357"/>
      <c r="S111" s="357"/>
      <c r="T111" s="357"/>
      <c r="U111" s="357"/>
      <c r="V111" s="357"/>
      <c r="W111" s="357"/>
      <c r="Y111" s="357"/>
      <c r="Z111" s="357"/>
      <c r="AA111" s="357"/>
      <c r="AB111" s="357"/>
      <c r="AC111" s="357"/>
      <c r="AD111" s="357"/>
      <c r="AE111" s="357"/>
      <c r="AF111" s="357"/>
      <c r="AG111" s="357"/>
      <c r="AH111" s="357"/>
      <c r="AI111" s="357"/>
      <c r="AJ111" s="357"/>
      <c r="AK111" s="357"/>
      <c r="AL111" s="357"/>
      <c r="AM111" s="357"/>
      <c r="AN111" s="357"/>
      <c r="AO111" s="357"/>
      <c r="AP111" s="357"/>
      <c r="AQ111" s="357"/>
      <c r="AR111" s="357"/>
      <c r="AS111" s="357"/>
      <c r="AT111" s="357"/>
      <c r="AU111" s="357"/>
    </row>
    <row r="112" ht="15.75" customHeight="1">
      <c r="A112" s="357"/>
      <c r="B112" s="357"/>
      <c r="C112" s="357"/>
      <c r="D112" s="360"/>
      <c r="E112" s="357"/>
      <c r="F112" s="357"/>
      <c r="G112" s="357"/>
      <c r="H112" s="357"/>
      <c r="I112" s="357"/>
      <c r="J112" s="357"/>
      <c r="K112" s="357"/>
      <c r="L112" s="357"/>
      <c r="M112" s="357"/>
      <c r="N112" s="357"/>
      <c r="O112" s="357"/>
      <c r="P112" s="357"/>
      <c r="Q112" s="357"/>
      <c r="R112" s="357"/>
      <c r="S112" s="357"/>
      <c r="T112" s="357"/>
      <c r="U112" s="357"/>
      <c r="V112" s="357"/>
      <c r="W112" s="357"/>
      <c r="Y112" s="357"/>
      <c r="Z112" s="357"/>
      <c r="AA112" s="357"/>
      <c r="AB112" s="357"/>
      <c r="AC112" s="357"/>
      <c r="AD112" s="357"/>
      <c r="AE112" s="357"/>
      <c r="AF112" s="357"/>
      <c r="AG112" s="357"/>
      <c r="AH112" s="357"/>
      <c r="AI112" s="357"/>
      <c r="AJ112" s="357"/>
      <c r="AK112" s="357"/>
      <c r="AL112" s="357"/>
      <c r="AM112" s="357"/>
      <c r="AN112" s="357"/>
      <c r="AO112" s="357"/>
      <c r="AP112" s="357"/>
      <c r="AQ112" s="357"/>
      <c r="AR112" s="357"/>
      <c r="AS112" s="357"/>
      <c r="AT112" s="357"/>
      <c r="AU112" s="357"/>
    </row>
    <row r="113" ht="15.75" customHeight="1">
      <c r="A113" s="357"/>
      <c r="B113" s="357"/>
      <c r="C113" s="357"/>
      <c r="D113" s="360"/>
      <c r="E113" s="357"/>
      <c r="F113" s="357"/>
      <c r="G113" s="357"/>
      <c r="H113" s="357"/>
      <c r="I113" s="357"/>
      <c r="J113" s="357"/>
      <c r="K113" s="357"/>
      <c r="L113" s="357"/>
      <c r="M113" s="357"/>
      <c r="N113" s="357"/>
      <c r="O113" s="357"/>
      <c r="P113" s="357"/>
      <c r="Q113" s="357"/>
      <c r="R113" s="357"/>
      <c r="S113" s="357"/>
      <c r="T113" s="357"/>
      <c r="U113" s="357"/>
      <c r="V113" s="357"/>
      <c r="W113" s="357"/>
      <c r="Y113" s="357"/>
      <c r="Z113" s="357"/>
      <c r="AA113" s="357"/>
      <c r="AB113" s="357"/>
      <c r="AC113" s="357"/>
      <c r="AD113" s="357"/>
      <c r="AE113" s="357"/>
      <c r="AF113" s="357"/>
      <c r="AG113" s="357"/>
      <c r="AH113" s="357"/>
      <c r="AI113" s="357"/>
      <c r="AJ113" s="357"/>
      <c r="AK113" s="357"/>
      <c r="AL113" s="357"/>
      <c r="AM113" s="357"/>
      <c r="AN113" s="357"/>
      <c r="AO113" s="357"/>
      <c r="AP113" s="357"/>
      <c r="AQ113" s="357"/>
      <c r="AR113" s="357"/>
      <c r="AS113" s="357"/>
      <c r="AT113" s="357"/>
      <c r="AU113" s="357"/>
    </row>
    <row r="114" ht="15.75" customHeight="1">
      <c r="A114" s="357"/>
      <c r="B114" s="357"/>
      <c r="C114" s="357"/>
      <c r="D114" s="360"/>
      <c r="E114" s="357"/>
      <c r="F114" s="357"/>
      <c r="G114" s="357"/>
      <c r="H114" s="357"/>
      <c r="I114" s="357"/>
      <c r="J114" s="357"/>
      <c r="K114" s="357"/>
      <c r="L114" s="357"/>
      <c r="M114" s="357"/>
      <c r="N114" s="357"/>
      <c r="O114" s="357"/>
      <c r="P114" s="357"/>
      <c r="Q114" s="357"/>
      <c r="R114" s="357"/>
      <c r="S114" s="357"/>
      <c r="T114" s="357"/>
      <c r="U114" s="357"/>
      <c r="V114" s="357"/>
      <c r="W114" s="357"/>
      <c r="Y114" s="357"/>
      <c r="Z114" s="357"/>
      <c r="AA114" s="357"/>
      <c r="AB114" s="357"/>
      <c r="AC114" s="357"/>
      <c r="AD114" s="357"/>
      <c r="AE114" s="357"/>
      <c r="AF114" s="357"/>
      <c r="AG114" s="357"/>
      <c r="AH114" s="357"/>
      <c r="AI114" s="357"/>
      <c r="AJ114" s="357"/>
      <c r="AK114" s="357"/>
      <c r="AL114" s="357"/>
      <c r="AM114" s="357"/>
      <c r="AN114" s="357"/>
      <c r="AO114" s="357"/>
      <c r="AP114" s="357"/>
      <c r="AQ114" s="357"/>
      <c r="AR114" s="357"/>
      <c r="AS114" s="357"/>
      <c r="AT114" s="357"/>
      <c r="AU114" s="357"/>
    </row>
    <row r="115" ht="15.75" customHeight="1">
      <c r="A115" s="357"/>
      <c r="B115" s="357"/>
      <c r="C115" s="357"/>
      <c r="D115" s="360"/>
      <c r="E115" s="357"/>
      <c r="F115" s="357"/>
      <c r="G115" s="357"/>
      <c r="H115" s="357"/>
      <c r="I115" s="357"/>
      <c r="J115" s="357"/>
      <c r="K115" s="357"/>
      <c r="L115" s="357"/>
      <c r="M115" s="357"/>
      <c r="N115" s="357"/>
      <c r="O115" s="357"/>
      <c r="P115" s="357"/>
      <c r="Q115" s="357"/>
      <c r="R115" s="357"/>
      <c r="S115" s="357"/>
      <c r="T115" s="357"/>
      <c r="U115" s="357"/>
      <c r="V115" s="357"/>
      <c r="W115" s="357"/>
      <c r="Y115" s="357"/>
      <c r="Z115" s="357"/>
      <c r="AA115" s="357"/>
      <c r="AB115" s="357"/>
      <c r="AC115" s="357"/>
      <c r="AD115" s="357"/>
      <c r="AE115" s="357"/>
      <c r="AF115" s="357"/>
      <c r="AG115" s="357"/>
      <c r="AH115" s="357"/>
      <c r="AI115" s="357"/>
      <c r="AJ115" s="357"/>
      <c r="AK115" s="357"/>
      <c r="AL115" s="357"/>
      <c r="AM115" s="357"/>
      <c r="AN115" s="357"/>
      <c r="AO115" s="357"/>
      <c r="AP115" s="357"/>
      <c r="AQ115" s="357"/>
      <c r="AR115" s="357"/>
      <c r="AS115" s="357"/>
      <c r="AT115" s="357"/>
      <c r="AU115" s="357"/>
    </row>
    <row r="116" ht="15.75" customHeight="1">
      <c r="A116" s="357"/>
      <c r="B116" s="357"/>
      <c r="C116" s="357"/>
      <c r="D116" s="360"/>
      <c r="E116" s="357"/>
      <c r="F116" s="357"/>
      <c r="G116" s="357"/>
      <c r="H116" s="357"/>
      <c r="I116" s="357"/>
      <c r="J116" s="357"/>
      <c r="K116" s="357"/>
      <c r="L116" s="357"/>
      <c r="M116" s="357"/>
      <c r="N116" s="357"/>
      <c r="O116" s="357"/>
      <c r="P116" s="357"/>
      <c r="Q116" s="357"/>
      <c r="R116" s="357"/>
      <c r="S116" s="357"/>
      <c r="T116" s="357"/>
      <c r="U116" s="357"/>
      <c r="V116" s="357"/>
      <c r="W116" s="357"/>
      <c r="Y116" s="357"/>
      <c r="Z116" s="357"/>
      <c r="AA116" s="357"/>
      <c r="AB116" s="357"/>
      <c r="AC116" s="357"/>
      <c r="AD116" s="357"/>
      <c r="AE116" s="357"/>
      <c r="AF116" s="357"/>
      <c r="AG116" s="357"/>
      <c r="AH116" s="357"/>
      <c r="AI116" s="357"/>
      <c r="AJ116" s="357"/>
      <c r="AK116" s="357"/>
      <c r="AL116" s="357"/>
      <c r="AM116" s="357"/>
      <c r="AN116" s="357"/>
      <c r="AO116" s="357"/>
      <c r="AP116" s="357"/>
      <c r="AQ116" s="357"/>
      <c r="AR116" s="357"/>
      <c r="AS116" s="357"/>
      <c r="AT116" s="357"/>
      <c r="AU116" s="357"/>
    </row>
    <row r="117" ht="15.75" customHeight="1">
      <c r="A117" s="357"/>
      <c r="B117" s="357"/>
      <c r="C117" s="357"/>
      <c r="D117" s="360"/>
      <c r="E117" s="357"/>
      <c r="F117" s="357"/>
      <c r="G117" s="357"/>
      <c r="H117" s="357"/>
      <c r="I117" s="357"/>
      <c r="J117" s="357"/>
      <c r="K117" s="357"/>
      <c r="L117" s="357"/>
      <c r="M117" s="357"/>
      <c r="N117" s="357"/>
      <c r="O117" s="357"/>
      <c r="P117" s="357"/>
      <c r="Q117" s="357"/>
      <c r="R117" s="357"/>
      <c r="S117" s="357"/>
      <c r="T117" s="357"/>
      <c r="U117" s="357"/>
      <c r="V117" s="357"/>
      <c r="W117" s="357"/>
      <c r="Y117" s="357"/>
      <c r="Z117" s="357"/>
      <c r="AA117" s="357"/>
      <c r="AB117" s="357"/>
      <c r="AC117" s="357"/>
      <c r="AD117" s="357"/>
      <c r="AE117" s="357"/>
      <c r="AF117" s="357"/>
      <c r="AG117" s="357"/>
      <c r="AH117" s="357"/>
      <c r="AI117" s="357"/>
      <c r="AJ117" s="357"/>
      <c r="AK117" s="357"/>
      <c r="AL117" s="357"/>
      <c r="AM117" s="357"/>
      <c r="AN117" s="357"/>
      <c r="AO117" s="357"/>
      <c r="AP117" s="357"/>
      <c r="AQ117" s="357"/>
      <c r="AR117" s="357"/>
      <c r="AS117" s="357"/>
      <c r="AT117" s="357"/>
      <c r="AU117" s="357"/>
    </row>
    <row r="118" ht="15.75" customHeight="1">
      <c r="A118" s="357"/>
      <c r="B118" s="357"/>
      <c r="C118" s="357"/>
      <c r="D118" s="360"/>
      <c r="E118" s="357"/>
      <c r="F118" s="357"/>
      <c r="G118" s="357"/>
      <c r="H118" s="357"/>
      <c r="I118" s="357"/>
      <c r="J118" s="357"/>
      <c r="K118" s="357"/>
      <c r="L118" s="357"/>
      <c r="M118" s="357"/>
      <c r="N118" s="357"/>
      <c r="O118" s="357"/>
      <c r="P118" s="357"/>
      <c r="Q118" s="357"/>
      <c r="R118" s="357"/>
      <c r="S118" s="357"/>
      <c r="T118" s="357"/>
      <c r="U118" s="357"/>
      <c r="V118" s="357"/>
      <c r="W118" s="357"/>
      <c r="Y118" s="357"/>
      <c r="Z118" s="357"/>
      <c r="AA118" s="357"/>
      <c r="AB118" s="357"/>
      <c r="AC118" s="357"/>
      <c r="AD118" s="357"/>
      <c r="AE118" s="357"/>
      <c r="AF118" s="357"/>
      <c r="AG118" s="357"/>
      <c r="AH118" s="357"/>
      <c r="AI118" s="357"/>
      <c r="AJ118" s="357"/>
      <c r="AK118" s="357"/>
      <c r="AL118" s="357"/>
      <c r="AM118" s="357"/>
      <c r="AN118" s="357"/>
      <c r="AO118" s="357"/>
      <c r="AP118" s="357"/>
      <c r="AQ118" s="357"/>
      <c r="AR118" s="357"/>
      <c r="AS118" s="357"/>
      <c r="AT118" s="357"/>
      <c r="AU118" s="357"/>
    </row>
    <row r="119" ht="15.75" customHeight="1">
      <c r="A119" s="357"/>
      <c r="B119" s="357"/>
      <c r="C119" s="357"/>
      <c r="D119" s="360"/>
      <c r="E119" s="357"/>
      <c r="F119" s="357"/>
      <c r="G119" s="357"/>
      <c r="H119" s="357"/>
      <c r="I119" s="357"/>
      <c r="J119" s="357"/>
      <c r="K119" s="357"/>
      <c r="L119" s="357"/>
      <c r="M119" s="357"/>
      <c r="N119" s="357"/>
      <c r="O119" s="357"/>
      <c r="P119" s="357"/>
      <c r="Q119" s="357"/>
      <c r="R119" s="357"/>
      <c r="S119" s="357"/>
      <c r="T119" s="357"/>
      <c r="U119" s="357"/>
      <c r="V119" s="357"/>
      <c r="W119" s="357"/>
      <c r="Y119" s="357"/>
      <c r="Z119" s="357"/>
      <c r="AA119" s="357"/>
      <c r="AB119" s="357"/>
      <c r="AC119" s="357"/>
      <c r="AD119" s="357"/>
      <c r="AE119" s="357"/>
      <c r="AF119" s="357"/>
      <c r="AG119" s="357"/>
      <c r="AH119" s="357"/>
      <c r="AI119" s="357"/>
      <c r="AJ119" s="357"/>
      <c r="AK119" s="357"/>
      <c r="AL119" s="357"/>
      <c r="AM119" s="357"/>
      <c r="AN119" s="357"/>
      <c r="AO119" s="357"/>
      <c r="AP119" s="357"/>
      <c r="AQ119" s="357"/>
      <c r="AR119" s="357"/>
      <c r="AS119" s="357"/>
      <c r="AT119" s="357"/>
      <c r="AU119" s="357"/>
    </row>
    <row r="120" ht="15.75" customHeight="1">
      <c r="A120" s="357"/>
      <c r="B120" s="357"/>
      <c r="C120" s="357"/>
      <c r="D120" s="360"/>
      <c r="E120" s="357"/>
      <c r="F120" s="357"/>
      <c r="G120" s="357"/>
      <c r="H120" s="357"/>
      <c r="I120" s="357"/>
      <c r="J120" s="357"/>
      <c r="K120" s="357"/>
      <c r="L120" s="357"/>
      <c r="M120" s="357"/>
      <c r="N120" s="357"/>
      <c r="O120" s="357"/>
      <c r="P120" s="357"/>
      <c r="Q120" s="357"/>
      <c r="R120" s="357"/>
      <c r="S120" s="357"/>
      <c r="T120" s="357"/>
      <c r="U120" s="357"/>
      <c r="V120" s="357"/>
      <c r="W120" s="357"/>
      <c r="Y120" s="357"/>
      <c r="Z120" s="357"/>
      <c r="AA120" s="357"/>
      <c r="AB120" s="357"/>
      <c r="AC120" s="357"/>
      <c r="AD120" s="357"/>
      <c r="AE120" s="357"/>
      <c r="AF120" s="357"/>
      <c r="AG120" s="357"/>
      <c r="AH120" s="357"/>
      <c r="AI120" s="357"/>
      <c r="AJ120" s="357"/>
      <c r="AK120" s="357"/>
      <c r="AL120" s="357"/>
      <c r="AM120" s="357"/>
      <c r="AN120" s="357"/>
      <c r="AO120" s="357"/>
      <c r="AP120" s="357"/>
      <c r="AQ120" s="357"/>
      <c r="AR120" s="357"/>
      <c r="AS120" s="357"/>
      <c r="AT120" s="357"/>
      <c r="AU120" s="357"/>
    </row>
    <row r="121" ht="15.75" customHeight="1">
      <c r="A121" s="357"/>
      <c r="B121" s="357"/>
      <c r="C121" s="357"/>
      <c r="D121" s="360"/>
      <c r="E121" s="357"/>
      <c r="F121" s="357"/>
      <c r="G121" s="357"/>
      <c r="H121" s="357"/>
      <c r="I121" s="357"/>
      <c r="J121" s="357"/>
      <c r="K121" s="357"/>
      <c r="L121" s="357"/>
      <c r="M121" s="357"/>
      <c r="N121" s="357"/>
      <c r="O121" s="357"/>
      <c r="P121" s="357"/>
      <c r="Q121" s="357"/>
      <c r="R121" s="357"/>
      <c r="S121" s="357"/>
      <c r="T121" s="357"/>
      <c r="U121" s="357"/>
      <c r="V121" s="357"/>
      <c r="W121" s="357"/>
      <c r="Y121" s="357"/>
      <c r="Z121" s="357"/>
      <c r="AA121" s="357"/>
      <c r="AB121" s="357"/>
      <c r="AC121" s="357"/>
      <c r="AD121" s="357"/>
      <c r="AE121" s="357"/>
      <c r="AF121" s="357"/>
      <c r="AG121" s="357"/>
      <c r="AH121" s="357"/>
      <c r="AI121" s="357"/>
      <c r="AJ121" s="357"/>
      <c r="AK121" s="357"/>
      <c r="AL121" s="357"/>
      <c r="AM121" s="357"/>
      <c r="AN121" s="357"/>
      <c r="AO121" s="357"/>
      <c r="AP121" s="357"/>
      <c r="AQ121" s="357"/>
      <c r="AR121" s="357"/>
      <c r="AS121" s="357"/>
      <c r="AT121" s="357"/>
      <c r="AU121" s="357"/>
    </row>
    <row r="122" ht="15.75" customHeight="1">
      <c r="A122" s="357"/>
      <c r="B122" s="357"/>
      <c r="C122" s="357"/>
      <c r="D122" s="360"/>
      <c r="E122" s="357"/>
      <c r="F122" s="357"/>
      <c r="G122" s="357"/>
      <c r="H122" s="357"/>
      <c r="I122" s="357"/>
      <c r="J122" s="357"/>
      <c r="K122" s="357"/>
      <c r="L122" s="357"/>
      <c r="M122" s="357"/>
      <c r="N122" s="357"/>
      <c r="O122" s="357"/>
      <c r="P122" s="357"/>
      <c r="Q122" s="357"/>
      <c r="R122" s="357"/>
      <c r="S122" s="357"/>
      <c r="T122" s="357"/>
      <c r="U122" s="357"/>
      <c r="V122" s="357"/>
      <c r="W122" s="357"/>
      <c r="Y122" s="357"/>
      <c r="Z122" s="357"/>
      <c r="AA122" s="357"/>
      <c r="AB122" s="357"/>
      <c r="AC122" s="357"/>
      <c r="AD122" s="357"/>
      <c r="AE122" s="357"/>
      <c r="AF122" s="357"/>
      <c r="AG122" s="357"/>
      <c r="AH122" s="357"/>
      <c r="AI122" s="357"/>
      <c r="AJ122" s="357"/>
      <c r="AK122" s="357"/>
      <c r="AL122" s="357"/>
      <c r="AM122" s="357"/>
      <c r="AN122" s="357"/>
      <c r="AO122" s="357"/>
      <c r="AP122" s="357"/>
      <c r="AQ122" s="357"/>
      <c r="AR122" s="357"/>
      <c r="AS122" s="357"/>
      <c r="AT122" s="357"/>
      <c r="AU122" s="357"/>
    </row>
    <row r="123" ht="15.75" customHeight="1">
      <c r="A123" s="357"/>
      <c r="B123" s="357"/>
      <c r="C123" s="357"/>
      <c r="D123" s="360"/>
      <c r="E123" s="357"/>
      <c r="F123" s="357"/>
      <c r="G123" s="357"/>
      <c r="H123" s="357"/>
      <c r="I123" s="357"/>
      <c r="J123" s="357"/>
      <c r="K123" s="357"/>
      <c r="L123" s="357"/>
      <c r="M123" s="357"/>
      <c r="N123" s="357"/>
      <c r="O123" s="357"/>
      <c r="P123" s="357"/>
      <c r="Q123" s="357"/>
      <c r="R123" s="357"/>
      <c r="S123" s="357"/>
      <c r="T123" s="357"/>
      <c r="U123" s="357"/>
      <c r="V123" s="357"/>
      <c r="W123" s="357"/>
      <c r="Y123" s="357"/>
      <c r="Z123" s="357"/>
      <c r="AA123" s="357"/>
      <c r="AB123" s="357"/>
      <c r="AC123" s="357"/>
      <c r="AD123" s="357"/>
      <c r="AE123" s="357"/>
      <c r="AF123" s="357"/>
      <c r="AG123" s="357"/>
      <c r="AH123" s="357"/>
      <c r="AI123" s="357"/>
      <c r="AJ123" s="357"/>
      <c r="AK123" s="357"/>
      <c r="AL123" s="357"/>
      <c r="AM123" s="357"/>
      <c r="AN123" s="357"/>
      <c r="AO123" s="357"/>
      <c r="AP123" s="357"/>
      <c r="AQ123" s="357"/>
      <c r="AR123" s="357"/>
      <c r="AS123" s="357"/>
      <c r="AT123" s="357"/>
      <c r="AU123" s="357"/>
    </row>
    <row r="124" ht="15.75" customHeight="1">
      <c r="A124" s="357"/>
      <c r="B124" s="357"/>
      <c r="C124" s="357"/>
      <c r="D124" s="360"/>
      <c r="E124" s="357"/>
      <c r="F124" s="357"/>
      <c r="G124" s="357"/>
      <c r="H124" s="357"/>
      <c r="I124" s="357"/>
      <c r="J124" s="357"/>
      <c r="K124" s="357"/>
      <c r="L124" s="357"/>
      <c r="M124" s="357"/>
      <c r="N124" s="357"/>
      <c r="O124" s="357"/>
      <c r="P124" s="357"/>
      <c r="Q124" s="357"/>
      <c r="R124" s="357"/>
      <c r="S124" s="357"/>
      <c r="T124" s="357"/>
      <c r="U124" s="357"/>
      <c r="V124" s="357"/>
      <c r="W124" s="357"/>
      <c r="Y124" s="357"/>
      <c r="Z124" s="357"/>
      <c r="AA124" s="357"/>
      <c r="AB124" s="357"/>
      <c r="AC124" s="357"/>
      <c r="AD124" s="357"/>
      <c r="AE124" s="357"/>
      <c r="AF124" s="357"/>
      <c r="AG124" s="357"/>
      <c r="AH124" s="357"/>
      <c r="AI124" s="357"/>
      <c r="AJ124" s="357"/>
      <c r="AK124" s="357"/>
      <c r="AL124" s="357"/>
      <c r="AM124" s="357"/>
      <c r="AN124" s="357"/>
      <c r="AO124" s="357"/>
      <c r="AP124" s="357"/>
      <c r="AQ124" s="357"/>
      <c r="AR124" s="357"/>
      <c r="AS124" s="357"/>
      <c r="AT124" s="357"/>
      <c r="AU124" s="357"/>
    </row>
    <row r="125" ht="15.75" customHeight="1">
      <c r="A125" s="357"/>
      <c r="B125" s="357"/>
      <c r="C125" s="357"/>
      <c r="D125" s="360"/>
      <c r="E125" s="357"/>
      <c r="F125" s="357"/>
      <c r="G125" s="357"/>
      <c r="H125" s="357"/>
      <c r="I125" s="357"/>
      <c r="J125" s="357"/>
      <c r="K125" s="357"/>
      <c r="L125" s="357"/>
      <c r="M125" s="357"/>
      <c r="N125" s="357"/>
      <c r="O125" s="357"/>
      <c r="P125" s="357"/>
      <c r="Q125" s="357"/>
      <c r="R125" s="357"/>
      <c r="S125" s="357"/>
      <c r="T125" s="357"/>
      <c r="U125" s="357"/>
      <c r="V125" s="357"/>
      <c r="W125" s="357"/>
      <c r="Y125" s="357"/>
      <c r="Z125" s="357"/>
      <c r="AA125" s="357"/>
      <c r="AB125" s="357"/>
      <c r="AC125" s="357"/>
      <c r="AD125" s="357"/>
      <c r="AE125" s="357"/>
      <c r="AF125" s="357"/>
      <c r="AG125" s="357"/>
      <c r="AH125" s="357"/>
      <c r="AI125" s="357"/>
      <c r="AJ125" s="357"/>
      <c r="AK125" s="357"/>
      <c r="AL125" s="357"/>
      <c r="AM125" s="357"/>
      <c r="AN125" s="357"/>
      <c r="AO125" s="357"/>
      <c r="AP125" s="357"/>
      <c r="AQ125" s="357"/>
      <c r="AR125" s="357"/>
      <c r="AS125" s="357"/>
      <c r="AT125" s="357"/>
      <c r="AU125" s="357"/>
    </row>
    <row r="126" ht="15.75" customHeight="1">
      <c r="A126" s="357"/>
      <c r="B126" s="357"/>
      <c r="C126" s="357"/>
      <c r="D126" s="360"/>
      <c r="E126" s="357"/>
      <c r="F126" s="357"/>
      <c r="G126" s="357"/>
      <c r="H126" s="357"/>
      <c r="I126" s="357"/>
      <c r="J126" s="357"/>
      <c r="K126" s="357"/>
      <c r="L126" s="357"/>
      <c r="M126" s="357"/>
      <c r="N126" s="357"/>
      <c r="O126" s="357"/>
      <c r="P126" s="357"/>
      <c r="Q126" s="357"/>
      <c r="R126" s="357"/>
      <c r="S126" s="357"/>
      <c r="T126" s="357"/>
      <c r="U126" s="357"/>
      <c r="V126" s="357"/>
      <c r="W126" s="357"/>
      <c r="Y126" s="357"/>
      <c r="Z126" s="357"/>
      <c r="AA126" s="357"/>
      <c r="AB126" s="357"/>
      <c r="AC126" s="357"/>
      <c r="AD126" s="357"/>
      <c r="AE126" s="357"/>
      <c r="AF126" s="357"/>
      <c r="AG126" s="357"/>
      <c r="AH126" s="357"/>
      <c r="AI126" s="357"/>
      <c r="AJ126" s="357"/>
      <c r="AK126" s="357"/>
      <c r="AL126" s="357"/>
      <c r="AM126" s="357"/>
      <c r="AN126" s="357"/>
      <c r="AO126" s="357"/>
      <c r="AP126" s="357"/>
      <c r="AQ126" s="357"/>
      <c r="AR126" s="357"/>
      <c r="AS126" s="357"/>
      <c r="AT126" s="357"/>
      <c r="AU126" s="357"/>
    </row>
    <row r="127" ht="15.75" customHeight="1">
      <c r="A127" s="357"/>
      <c r="B127" s="357"/>
      <c r="C127" s="357"/>
      <c r="D127" s="360"/>
      <c r="E127" s="357"/>
      <c r="F127" s="357"/>
      <c r="G127" s="357"/>
      <c r="H127" s="357"/>
      <c r="I127" s="357"/>
      <c r="J127" s="357"/>
      <c r="K127" s="357"/>
      <c r="L127" s="357"/>
      <c r="M127" s="357"/>
      <c r="N127" s="357"/>
      <c r="O127" s="357"/>
      <c r="P127" s="357"/>
      <c r="Q127" s="357"/>
      <c r="R127" s="357"/>
      <c r="S127" s="357"/>
      <c r="T127" s="357"/>
      <c r="U127" s="357"/>
      <c r="V127" s="357"/>
      <c r="W127" s="357"/>
      <c r="Y127" s="357"/>
      <c r="Z127" s="357"/>
      <c r="AA127" s="357"/>
      <c r="AB127" s="357"/>
      <c r="AC127" s="357"/>
      <c r="AD127" s="357"/>
      <c r="AE127" s="357"/>
      <c r="AF127" s="357"/>
      <c r="AG127" s="357"/>
      <c r="AH127" s="357"/>
      <c r="AI127" s="357"/>
      <c r="AJ127" s="357"/>
      <c r="AK127" s="357"/>
      <c r="AL127" s="357"/>
      <c r="AM127" s="357"/>
      <c r="AN127" s="357"/>
      <c r="AO127" s="357"/>
      <c r="AP127" s="357"/>
      <c r="AQ127" s="357"/>
      <c r="AR127" s="357"/>
      <c r="AS127" s="357"/>
      <c r="AT127" s="357"/>
      <c r="AU127" s="357"/>
    </row>
    <row r="128" ht="15.75" customHeight="1">
      <c r="A128" s="357"/>
      <c r="B128" s="357"/>
      <c r="C128" s="357"/>
      <c r="D128" s="360"/>
      <c r="E128" s="357"/>
      <c r="F128" s="357"/>
      <c r="G128" s="357"/>
      <c r="H128" s="357"/>
      <c r="I128" s="357"/>
      <c r="J128" s="357"/>
      <c r="K128" s="357"/>
      <c r="L128" s="357"/>
      <c r="M128" s="357"/>
      <c r="N128" s="357"/>
      <c r="O128" s="357"/>
      <c r="P128" s="357"/>
      <c r="Q128" s="357"/>
      <c r="R128" s="357"/>
      <c r="S128" s="357"/>
      <c r="T128" s="357"/>
      <c r="U128" s="357"/>
      <c r="V128" s="357"/>
      <c r="W128" s="357"/>
      <c r="Y128" s="357"/>
      <c r="Z128" s="357"/>
      <c r="AA128" s="357"/>
      <c r="AB128" s="357"/>
      <c r="AC128" s="357"/>
      <c r="AD128" s="357"/>
      <c r="AE128" s="357"/>
      <c r="AF128" s="357"/>
      <c r="AG128" s="357"/>
      <c r="AH128" s="357"/>
      <c r="AI128" s="357"/>
      <c r="AJ128" s="357"/>
      <c r="AK128" s="357"/>
      <c r="AL128" s="357"/>
      <c r="AM128" s="357"/>
      <c r="AN128" s="357"/>
      <c r="AO128" s="357"/>
      <c r="AP128" s="357"/>
      <c r="AQ128" s="357"/>
      <c r="AR128" s="357"/>
      <c r="AS128" s="357"/>
      <c r="AT128" s="357"/>
      <c r="AU128" s="357"/>
    </row>
    <row r="129" ht="15.75" customHeight="1">
      <c r="A129" s="357"/>
      <c r="B129" s="357"/>
      <c r="C129" s="357"/>
      <c r="D129" s="360"/>
      <c r="E129" s="357"/>
      <c r="F129" s="357"/>
      <c r="G129" s="357"/>
      <c r="H129" s="357"/>
      <c r="I129" s="357"/>
      <c r="J129" s="357"/>
      <c r="K129" s="357"/>
      <c r="L129" s="357"/>
      <c r="M129" s="357"/>
      <c r="N129" s="357"/>
      <c r="O129" s="357"/>
      <c r="P129" s="357"/>
      <c r="Q129" s="357"/>
      <c r="R129" s="357"/>
      <c r="S129" s="357"/>
      <c r="T129" s="357"/>
      <c r="U129" s="357"/>
      <c r="V129" s="357"/>
      <c r="W129" s="357"/>
      <c r="Y129" s="357"/>
      <c r="Z129" s="357"/>
      <c r="AA129" s="357"/>
      <c r="AB129" s="357"/>
      <c r="AC129" s="357"/>
      <c r="AD129" s="357"/>
      <c r="AE129" s="357"/>
      <c r="AF129" s="357"/>
      <c r="AG129" s="357"/>
      <c r="AH129" s="357"/>
      <c r="AI129" s="357"/>
      <c r="AJ129" s="357"/>
      <c r="AK129" s="357"/>
      <c r="AL129" s="357"/>
      <c r="AM129" s="357"/>
      <c r="AN129" s="357"/>
      <c r="AO129" s="357"/>
      <c r="AP129" s="357"/>
      <c r="AQ129" s="357"/>
      <c r="AR129" s="357"/>
      <c r="AS129" s="357"/>
      <c r="AT129" s="357"/>
      <c r="AU129" s="357"/>
    </row>
    <row r="130" ht="15.75" customHeight="1">
      <c r="A130" s="357"/>
      <c r="B130" s="357"/>
      <c r="C130" s="357"/>
      <c r="D130" s="360"/>
      <c r="E130" s="357"/>
      <c r="F130" s="357"/>
      <c r="G130" s="357"/>
      <c r="H130" s="357"/>
      <c r="I130" s="357"/>
      <c r="J130" s="357"/>
      <c r="K130" s="357"/>
      <c r="L130" s="357"/>
      <c r="M130" s="357"/>
      <c r="N130" s="357"/>
      <c r="O130" s="357"/>
      <c r="P130" s="357"/>
      <c r="Q130" s="357"/>
      <c r="R130" s="357"/>
      <c r="S130" s="357"/>
      <c r="T130" s="357"/>
      <c r="U130" s="357"/>
      <c r="V130" s="357"/>
      <c r="W130" s="357"/>
      <c r="Y130" s="357"/>
      <c r="Z130" s="357"/>
      <c r="AA130" s="357"/>
      <c r="AB130" s="357"/>
      <c r="AC130" s="357"/>
      <c r="AD130" s="357"/>
      <c r="AE130" s="357"/>
      <c r="AF130" s="357"/>
      <c r="AG130" s="357"/>
      <c r="AH130" s="357"/>
      <c r="AI130" s="357"/>
      <c r="AJ130" s="357"/>
      <c r="AK130" s="357"/>
      <c r="AL130" s="357"/>
      <c r="AM130" s="357"/>
      <c r="AN130" s="357"/>
      <c r="AO130" s="357"/>
      <c r="AP130" s="357"/>
      <c r="AQ130" s="357"/>
      <c r="AR130" s="357"/>
      <c r="AS130" s="357"/>
      <c r="AT130" s="357"/>
      <c r="AU130" s="357"/>
    </row>
    <row r="131" ht="15.75" customHeight="1">
      <c r="A131" s="357"/>
      <c r="B131" s="357"/>
      <c r="C131" s="357"/>
      <c r="D131" s="360"/>
      <c r="E131" s="357"/>
      <c r="F131" s="357"/>
      <c r="G131" s="357"/>
      <c r="H131" s="357"/>
      <c r="I131" s="357"/>
      <c r="J131" s="357"/>
      <c r="K131" s="357"/>
      <c r="L131" s="357"/>
      <c r="M131" s="357"/>
      <c r="N131" s="357"/>
      <c r="O131" s="357"/>
      <c r="P131" s="357"/>
      <c r="Q131" s="357"/>
      <c r="R131" s="357"/>
      <c r="S131" s="357"/>
      <c r="T131" s="357"/>
      <c r="U131" s="357"/>
      <c r="V131" s="357"/>
      <c r="W131" s="357"/>
      <c r="Y131" s="357"/>
      <c r="Z131" s="357"/>
      <c r="AA131" s="357"/>
      <c r="AB131" s="357"/>
      <c r="AC131" s="357"/>
      <c r="AD131" s="357"/>
      <c r="AE131" s="357"/>
      <c r="AF131" s="357"/>
      <c r="AG131" s="357"/>
      <c r="AH131" s="357"/>
      <c r="AI131" s="357"/>
      <c r="AJ131" s="357"/>
      <c r="AK131" s="357"/>
      <c r="AL131" s="357"/>
      <c r="AM131" s="357"/>
      <c r="AN131" s="357"/>
      <c r="AO131" s="357"/>
      <c r="AP131" s="357"/>
      <c r="AQ131" s="357"/>
      <c r="AR131" s="357"/>
      <c r="AS131" s="357"/>
      <c r="AT131" s="357"/>
      <c r="AU131" s="357"/>
    </row>
    <row r="132" ht="15.75" customHeight="1">
      <c r="A132" s="357"/>
      <c r="B132" s="357"/>
      <c r="C132" s="357"/>
      <c r="D132" s="360"/>
      <c r="E132" s="357"/>
      <c r="F132" s="357"/>
      <c r="G132" s="357"/>
      <c r="H132" s="357"/>
      <c r="I132" s="357"/>
      <c r="J132" s="357"/>
      <c r="K132" s="357"/>
      <c r="L132" s="357"/>
      <c r="M132" s="357"/>
      <c r="N132" s="357"/>
      <c r="O132" s="357"/>
      <c r="P132" s="357"/>
      <c r="Q132" s="357"/>
      <c r="R132" s="357"/>
      <c r="S132" s="357"/>
      <c r="T132" s="357"/>
      <c r="U132" s="357"/>
      <c r="V132" s="357"/>
      <c r="W132" s="357"/>
      <c r="Y132" s="357"/>
      <c r="Z132" s="357"/>
      <c r="AA132" s="357"/>
      <c r="AB132" s="357"/>
      <c r="AC132" s="357"/>
      <c r="AD132" s="357"/>
      <c r="AE132" s="357"/>
      <c r="AF132" s="357"/>
      <c r="AG132" s="357"/>
      <c r="AH132" s="357"/>
      <c r="AI132" s="357"/>
      <c r="AJ132" s="357"/>
      <c r="AK132" s="357"/>
      <c r="AL132" s="357"/>
      <c r="AM132" s="357"/>
      <c r="AN132" s="357"/>
      <c r="AO132" s="357"/>
      <c r="AP132" s="357"/>
      <c r="AQ132" s="357"/>
      <c r="AR132" s="357"/>
      <c r="AS132" s="357"/>
      <c r="AT132" s="357"/>
      <c r="AU132" s="357"/>
    </row>
    <row r="133" ht="15.75" customHeight="1">
      <c r="A133" s="357"/>
      <c r="B133" s="357"/>
      <c r="C133" s="357"/>
      <c r="D133" s="360"/>
      <c r="E133" s="357"/>
      <c r="F133" s="357"/>
      <c r="G133" s="357"/>
      <c r="H133" s="357"/>
      <c r="I133" s="357"/>
      <c r="J133" s="357"/>
      <c r="K133" s="357"/>
      <c r="L133" s="357"/>
      <c r="M133" s="357"/>
      <c r="N133" s="357"/>
      <c r="O133" s="357"/>
      <c r="P133" s="357"/>
      <c r="Q133" s="357"/>
      <c r="R133" s="357"/>
      <c r="S133" s="357"/>
      <c r="T133" s="357"/>
      <c r="U133" s="357"/>
      <c r="V133" s="357"/>
      <c r="W133" s="357"/>
      <c r="Y133" s="357"/>
      <c r="Z133" s="357"/>
      <c r="AA133" s="357"/>
      <c r="AB133" s="357"/>
      <c r="AC133" s="357"/>
      <c r="AD133" s="357"/>
      <c r="AE133" s="357"/>
      <c r="AF133" s="357"/>
      <c r="AG133" s="357"/>
      <c r="AH133" s="357"/>
      <c r="AI133" s="357"/>
      <c r="AJ133" s="357"/>
      <c r="AK133" s="357"/>
      <c r="AL133" s="357"/>
      <c r="AM133" s="357"/>
      <c r="AN133" s="357"/>
      <c r="AO133" s="357"/>
      <c r="AP133" s="357"/>
      <c r="AQ133" s="357"/>
      <c r="AR133" s="357"/>
      <c r="AS133" s="357"/>
      <c r="AT133" s="357"/>
      <c r="AU133" s="357"/>
    </row>
    <row r="134" ht="15.75" customHeight="1">
      <c r="A134" s="357"/>
      <c r="B134" s="357"/>
      <c r="C134" s="357"/>
      <c r="D134" s="360"/>
      <c r="E134" s="357"/>
      <c r="F134" s="357"/>
      <c r="G134" s="357"/>
      <c r="H134" s="357"/>
      <c r="I134" s="357"/>
      <c r="J134" s="357"/>
      <c r="K134" s="357"/>
      <c r="L134" s="357"/>
      <c r="M134" s="357"/>
      <c r="N134" s="357"/>
      <c r="O134" s="357"/>
      <c r="P134" s="357"/>
      <c r="Q134" s="357"/>
      <c r="R134" s="357"/>
      <c r="S134" s="357"/>
      <c r="T134" s="357"/>
      <c r="U134" s="357"/>
      <c r="V134" s="357"/>
      <c r="W134" s="357"/>
      <c r="Y134" s="357"/>
      <c r="Z134" s="357"/>
      <c r="AA134" s="357"/>
      <c r="AB134" s="357"/>
      <c r="AC134" s="357"/>
      <c r="AD134" s="357"/>
      <c r="AE134" s="357"/>
      <c r="AF134" s="357"/>
      <c r="AG134" s="357"/>
      <c r="AH134" s="357"/>
      <c r="AI134" s="357"/>
      <c r="AJ134" s="357"/>
      <c r="AK134" s="357"/>
      <c r="AL134" s="357"/>
      <c r="AM134" s="357"/>
      <c r="AN134" s="357"/>
      <c r="AO134" s="357"/>
      <c r="AP134" s="357"/>
      <c r="AQ134" s="357"/>
      <c r="AR134" s="357"/>
      <c r="AS134" s="357"/>
      <c r="AT134" s="357"/>
      <c r="AU134" s="357"/>
    </row>
    <row r="135" ht="15.75" customHeight="1">
      <c r="A135" s="357"/>
      <c r="B135" s="357"/>
      <c r="C135" s="357"/>
      <c r="D135" s="360"/>
      <c r="E135" s="357"/>
      <c r="F135" s="357"/>
      <c r="G135" s="357"/>
      <c r="H135" s="357"/>
      <c r="I135" s="357"/>
      <c r="J135" s="357"/>
      <c r="K135" s="357"/>
      <c r="L135" s="357"/>
      <c r="M135" s="357"/>
      <c r="N135" s="357"/>
      <c r="O135" s="357"/>
      <c r="P135" s="357"/>
      <c r="Q135" s="357"/>
      <c r="R135" s="357"/>
      <c r="S135" s="357"/>
      <c r="T135" s="357"/>
      <c r="U135" s="357"/>
      <c r="V135" s="357"/>
      <c r="W135" s="357"/>
      <c r="Y135" s="357"/>
      <c r="Z135" s="357"/>
      <c r="AA135" s="357"/>
      <c r="AB135" s="357"/>
      <c r="AC135" s="357"/>
      <c r="AD135" s="357"/>
      <c r="AE135" s="357"/>
      <c r="AF135" s="357"/>
      <c r="AG135" s="357"/>
      <c r="AH135" s="357"/>
      <c r="AI135" s="357"/>
      <c r="AJ135" s="357"/>
      <c r="AK135" s="357"/>
      <c r="AL135" s="357"/>
      <c r="AM135" s="357"/>
      <c r="AN135" s="357"/>
      <c r="AO135" s="357"/>
      <c r="AP135" s="357"/>
      <c r="AQ135" s="357"/>
      <c r="AR135" s="357"/>
      <c r="AS135" s="357"/>
      <c r="AT135" s="357"/>
      <c r="AU135" s="357"/>
    </row>
    <row r="136" ht="15.75" customHeight="1">
      <c r="A136" s="357"/>
      <c r="B136" s="357"/>
      <c r="C136" s="357"/>
      <c r="D136" s="360"/>
      <c r="E136" s="357"/>
      <c r="F136" s="357"/>
      <c r="G136" s="357"/>
      <c r="H136" s="357"/>
      <c r="I136" s="357"/>
      <c r="J136" s="357"/>
      <c r="K136" s="357"/>
      <c r="L136" s="357"/>
      <c r="M136" s="357"/>
      <c r="N136" s="357"/>
      <c r="O136" s="357"/>
      <c r="P136" s="357"/>
      <c r="Q136" s="357"/>
      <c r="R136" s="357"/>
      <c r="S136" s="357"/>
      <c r="T136" s="357"/>
      <c r="U136" s="357"/>
      <c r="V136" s="357"/>
      <c r="W136" s="357"/>
      <c r="Y136" s="357"/>
      <c r="Z136" s="357"/>
      <c r="AA136" s="357"/>
      <c r="AB136" s="357"/>
      <c r="AC136" s="357"/>
      <c r="AD136" s="357"/>
      <c r="AE136" s="357"/>
      <c r="AF136" s="357"/>
      <c r="AG136" s="357"/>
      <c r="AH136" s="357"/>
      <c r="AI136" s="357"/>
      <c r="AJ136" s="357"/>
      <c r="AK136" s="357"/>
      <c r="AL136" s="357"/>
      <c r="AM136" s="357"/>
      <c r="AN136" s="357"/>
      <c r="AO136" s="357"/>
      <c r="AP136" s="357"/>
      <c r="AQ136" s="357"/>
      <c r="AR136" s="357"/>
      <c r="AS136" s="357"/>
      <c r="AT136" s="357"/>
      <c r="AU136" s="357"/>
    </row>
    <row r="137" ht="15.75" customHeight="1">
      <c r="A137" s="357"/>
      <c r="B137" s="357"/>
      <c r="C137" s="357"/>
      <c r="D137" s="360"/>
      <c r="E137" s="357"/>
      <c r="F137" s="357"/>
      <c r="G137" s="357"/>
      <c r="H137" s="357"/>
      <c r="I137" s="357"/>
      <c r="J137" s="357"/>
      <c r="K137" s="357"/>
      <c r="L137" s="357"/>
      <c r="M137" s="357"/>
      <c r="N137" s="357"/>
      <c r="O137" s="357"/>
      <c r="P137" s="357"/>
      <c r="Q137" s="357"/>
      <c r="R137" s="357"/>
      <c r="S137" s="357"/>
      <c r="T137" s="357"/>
      <c r="U137" s="357"/>
      <c r="V137" s="357"/>
      <c r="W137" s="357"/>
      <c r="Y137" s="357"/>
      <c r="Z137" s="357"/>
      <c r="AA137" s="357"/>
      <c r="AB137" s="357"/>
      <c r="AC137" s="357"/>
      <c r="AD137" s="357"/>
      <c r="AE137" s="357"/>
      <c r="AF137" s="357"/>
      <c r="AG137" s="357"/>
      <c r="AH137" s="357"/>
      <c r="AI137" s="357"/>
      <c r="AJ137" s="357"/>
      <c r="AK137" s="357"/>
      <c r="AL137" s="357"/>
      <c r="AM137" s="357"/>
      <c r="AN137" s="357"/>
      <c r="AO137" s="357"/>
      <c r="AP137" s="357"/>
      <c r="AQ137" s="357"/>
      <c r="AR137" s="357"/>
      <c r="AS137" s="357"/>
      <c r="AT137" s="357"/>
      <c r="AU137" s="357"/>
    </row>
    <row r="138" ht="15.75" customHeight="1">
      <c r="A138" s="357"/>
      <c r="B138" s="357"/>
      <c r="C138" s="357"/>
      <c r="D138" s="360"/>
      <c r="E138" s="357"/>
      <c r="F138" s="357"/>
      <c r="G138" s="357"/>
      <c r="H138" s="357"/>
      <c r="I138" s="357"/>
      <c r="J138" s="357"/>
      <c r="K138" s="357"/>
      <c r="L138" s="357"/>
      <c r="M138" s="357"/>
      <c r="N138" s="357"/>
      <c r="O138" s="357"/>
      <c r="P138" s="357"/>
      <c r="Q138" s="357"/>
      <c r="R138" s="357"/>
      <c r="S138" s="357"/>
      <c r="T138" s="357"/>
      <c r="U138" s="357"/>
      <c r="V138" s="357"/>
      <c r="W138" s="357"/>
      <c r="Y138" s="357"/>
      <c r="Z138" s="357"/>
      <c r="AA138" s="357"/>
      <c r="AB138" s="357"/>
      <c r="AC138" s="357"/>
      <c r="AD138" s="357"/>
      <c r="AE138" s="357"/>
      <c r="AF138" s="357"/>
      <c r="AG138" s="357"/>
      <c r="AH138" s="357"/>
      <c r="AI138" s="357"/>
      <c r="AJ138" s="357"/>
      <c r="AK138" s="357"/>
      <c r="AL138" s="357"/>
      <c r="AM138" s="357"/>
      <c r="AN138" s="357"/>
      <c r="AO138" s="357"/>
      <c r="AP138" s="357"/>
      <c r="AQ138" s="357"/>
      <c r="AR138" s="357"/>
      <c r="AS138" s="357"/>
      <c r="AT138" s="357"/>
      <c r="AU138" s="357"/>
    </row>
    <row r="139" ht="15.75" customHeight="1">
      <c r="A139" s="357"/>
      <c r="B139" s="357"/>
      <c r="C139" s="357"/>
      <c r="D139" s="360"/>
      <c r="E139" s="357"/>
      <c r="F139" s="357"/>
      <c r="G139" s="357"/>
      <c r="H139" s="357"/>
      <c r="I139" s="357"/>
      <c r="J139" s="357"/>
      <c r="K139" s="357"/>
      <c r="L139" s="357"/>
      <c r="M139" s="357"/>
      <c r="N139" s="357"/>
      <c r="O139" s="357"/>
      <c r="P139" s="357"/>
      <c r="Q139" s="357"/>
      <c r="R139" s="357"/>
      <c r="S139" s="357"/>
      <c r="T139" s="357"/>
      <c r="U139" s="357"/>
      <c r="V139" s="357"/>
      <c r="W139" s="357"/>
      <c r="Y139" s="357"/>
      <c r="Z139" s="357"/>
      <c r="AA139" s="357"/>
      <c r="AB139" s="357"/>
      <c r="AC139" s="357"/>
      <c r="AD139" s="357"/>
      <c r="AE139" s="357"/>
      <c r="AF139" s="357"/>
      <c r="AG139" s="357"/>
      <c r="AH139" s="357"/>
      <c r="AI139" s="357"/>
      <c r="AJ139" s="357"/>
      <c r="AK139" s="357"/>
      <c r="AL139" s="357"/>
      <c r="AM139" s="357"/>
      <c r="AN139" s="357"/>
      <c r="AO139" s="357"/>
      <c r="AP139" s="357"/>
      <c r="AQ139" s="357"/>
      <c r="AR139" s="357"/>
      <c r="AS139" s="357"/>
      <c r="AT139" s="357"/>
      <c r="AU139" s="357"/>
    </row>
    <row r="140" ht="15.75" customHeight="1">
      <c r="A140" s="357"/>
      <c r="B140" s="357"/>
      <c r="C140" s="357"/>
      <c r="D140" s="360"/>
      <c r="E140" s="357"/>
      <c r="F140" s="357"/>
      <c r="G140" s="357"/>
      <c r="H140" s="357"/>
      <c r="I140" s="357"/>
      <c r="J140" s="357"/>
      <c r="K140" s="357"/>
      <c r="L140" s="357"/>
      <c r="M140" s="357"/>
      <c r="N140" s="357"/>
      <c r="O140" s="357"/>
      <c r="P140" s="357"/>
      <c r="Q140" s="357"/>
      <c r="R140" s="357"/>
      <c r="S140" s="357"/>
      <c r="T140" s="357"/>
      <c r="U140" s="357"/>
      <c r="V140" s="357"/>
      <c r="W140" s="357"/>
      <c r="Y140" s="357"/>
      <c r="Z140" s="357"/>
      <c r="AA140" s="357"/>
      <c r="AB140" s="357"/>
      <c r="AC140" s="357"/>
      <c r="AD140" s="357"/>
      <c r="AE140" s="357"/>
      <c r="AF140" s="357"/>
      <c r="AG140" s="357"/>
      <c r="AH140" s="357"/>
      <c r="AI140" s="357"/>
      <c r="AJ140" s="357"/>
      <c r="AK140" s="357"/>
      <c r="AL140" s="357"/>
      <c r="AM140" s="357"/>
      <c r="AN140" s="357"/>
      <c r="AO140" s="357"/>
      <c r="AP140" s="357"/>
      <c r="AQ140" s="357"/>
      <c r="AR140" s="357"/>
      <c r="AS140" s="357"/>
      <c r="AT140" s="357"/>
      <c r="AU140" s="357"/>
    </row>
    <row r="141" ht="15.75" customHeight="1">
      <c r="A141" s="357"/>
      <c r="B141" s="357"/>
      <c r="C141" s="357"/>
      <c r="D141" s="360"/>
      <c r="E141" s="357"/>
      <c r="F141" s="357"/>
      <c r="G141" s="357"/>
      <c r="H141" s="357"/>
      <c r="I141" s="357"/>
      <c r="J141" s="357"/>
      <c r="K141" s="357"/>
      <c r="L141" s="357"/>
      <c r="M141" s="357"/>
      <c r="N141" s="357"/>
      <c r="O141" s="357"/>
      <c r="P141" s="357"/>
      <c r="Q141" s="357"/>
      <c r="R141" s="357"/>
      <c r="S141" s="357"/>
      <c r="T141" s="357"/>
      <c r="U141" s="357"/>
      <c r="V141" s="357"/>
      <c r="W141" s="357"/>
      <c r="Y141" s="357"/>
      <c r="Z141" s="357"/>
      <c r="AA141" s="357"/>
      <c r="AB141" s="357"/>
      <c r="AC141" s="357"/>
      <c r="AD141" s="357"/>
      <c r="AE141" s="357"/>
      <c r="AF141" s="357"/>
      <c r="AG141" s="357"/>
      <c r="AH141" s="357"/>
      <c r="AI141" s="357"/>
      <c r="AJ141" s="357"/>
      <c r="AK141" s="357"/>
      <c r="AL141" s="357"/>
      <c r="AM141" s="357"/>
      <c r="AN141" s="357"/>
      <c r="AO141" s="357"/>
      <c r="AP141" s="357"/>
      <c r="AQ141" s="357"/>
      <c r="AR141" s="357"/>
      <c r="AS141" s="357"/>
      <c r="AT141" s="357"/>
      <c r="AU141" s="357"/>
    </row>
    <row r="142" ht="15.75" customHeight="1">
      <c r="A142" s="357"/>
      <c r="B142" s="357"/>
      <c r="C142" s="357"/>
      <c r="D142" s="360"/>
      <c r="E142" s="357"/>
      <c r="F142" s="357"/>
      <c r="G142" s="357"/>
      <c r="H142" s="357"/>
      <c r="I142" s="357"/>
      <c r="J142" s="357"/>
      <c r="K142" s="357"/>
      <c r="L142" s="357"/>
      <c r="M142" s="357"/>
      <c r="N142" s="357"/>
      <c r="O142" s="357"/>
      <c r="P142" s="357"/>
      <c r="Q142" s="357"/>
      <c r="R142" s="357"/>
      <c r="S142" s="357"/>
      <c r="T142" s="357"/>
      <c r="U142" s="357"/>
      <c r="V142" s="357"/>
      <c r="W142" s="357"/>
      <c r="Y142" s="357"/>
      <c r="Z142" s="357"/>
      <c r="AA142" s="357"/>
      <c r="AB142" s="357"/>
      <c r="AC142" s="357"/>
      <c r="AD142" s="357"/>
      <c r="AE142" s="357"/>
      <c r="AF142" s="357"/>
      <c r="AG142" s="357"/>
      <c r="AH142" s="357"/>
      <c r="AI142" s="357"/>
      <c r="AJ142" s="357"/>
      <c r="AK142" s="357"/>
      <c r="AL142" s="357"/>
      <c r="AM142" s="357"/>
      <c r="AN142" s="357"/>
      <c r="AO142" s="357"/>
      <c r="AP142" s="357"/>
      <c r="AQ142" s="357"/>
      <c r="AR142" s="357"/>
      <c r="AS142" s="357"/>
      <c r="AT142" s="357"/>
      <c r="AU142" s="357"/>
    </row>
    <row r="143" ht="15.75" customHeight="1">
      <c r="A143" s="357"/>
      <c r="B143" s="357"/>
      <c r="C143" s="357"/>
      <c r="D143" s="360"/>
      <c r="E143" s="357"/>
      <c r="F143" s="357"/>
      <c r="G143" s="357"/>
      <c r="H143" s="357"/>
      <c r="I143" s="357"/>
      <c r="J143" s="357"/>
      <c r="K143" s="357"/>
      <c r="L143" s="357"/>
      <c r="M143" s="357"/>
      <c r="N143" s="357"/>
      <c r="O143" s="357"/>
      <c r="P143" s="357"/>
      <c r="Q143" s="357"/>
      <c r="R143" s="357"/>
      <c r="S143" s="357"/>
      <c r="T143" s="357"/>
      <c r="U143" s="357"/>
      <c r="V143" s="357"/>
      <c r="W143" s="357"/>
      <c r="Y143" s="357"/>
      <c r="Z143" s="357"/>
      <c r="AA143" s="357"/>
      <c r="AB143" s="357"/>
      <c r="AC143" s="357"/>
      <c r="AD143" s="357"/>
      <c r="AE143" s="357"/>
      <c r="AF143" s="357"/>
      <c r="AG143" s="357"/>
      <c r="AH143" s="357"/>
      <c r="AI143" s="357"/>
      <c r="AJ143" s="357"/>
      <c r="AK143" s="357"/>
      <c r="AL143" s="357"/>
      <c r="AM143" s="357"/>
      <c r="AN143" s="357"/>
      <c r="AO143" s="357"/>
      <c r="AP143" s="357"/>
      <c r="AQ143" s="357"/>
      <c r="AR143" s="357"/>
      <c r="AS143" s="357"/>
      <c r="AT143" s="357"/>
      <c r="AU143" s="357"/>
    </row>
    <row r="144" ht="15.75" customHeight="1">
      <c r="A144" s="357"/>
      <c r="B144" s="357"/>
      <c r="C144" s="357"/>
      <c r="D144" s="360"/>
      <c r="E144" s="357"/>
      <c r="F144" s="357"/>
      <c r="G144" s="357"/>
      <c r="H144" s="357"/>
      <c r="I144" s="357"/>
      <c r="J144" s="357"/>
      <c r="K144" s="357"/>
      <c r="L144" s="357"/>
      <c r="M144" s="357"/>
      <c r="N144" s="357"/>
      <c r="O144" s="357"/>
      <c r="P144" s="357"/>
      <c r="Q144" s="357"/>
      <c r="R144" s="357"/>
      <c r="S144" s="357"/>
      <c r="T144" s="357"/>
      <c r="U144" s="357"/>
      <c r="V144" s="357"/>
      <c r="W144" s="357"/>
      <c r="Y144" s="357"/>
      <c r="Z144" s="357"/>
      <c r="AA144" s="357"/>
      <c r="AB144" s="357"/>
      <c r="AC144" s="357"/>
      <c r="AD144" s="357"/>
      <c r="AE144" s="357"/>
      <c r="AF144" s="357"/>
      <c r="AG144" s="357"/>
      <c r="AH144" s="357"/>
      <c r="AI144" s="357"/>
      <c r="AJ144" s="357"/>
      <c r="AK144" s="357"/>
      <c r="AL144" s="357"/>
      <c r="AM144" s="357"/>
      <c r="AN144" s="357"/>
      <c r="AO144" s="357"/>
      <c r="AP144" s="357"/>
      <c r="AQ144" s="357"/>
      <c r="AR144" s="357"/>
      <c r="AS144" s="357"/>
      <c r="AT144" s="357"/>
      <c r="AU144" s="357"/>
    </row>
    <row r="145" ht="15.75" customHeight="1">
      <c r="A145" s="357"/>
      <c r="B145" s="357"/>
      <c r="C145" s="357"/>
      <c r="D145" s="360"/>
      <c r="E145" s="357"/>
      <c r="F145" s="357"/>
      <c r="G145" s="357"/>
      <c r="H145" s="357"/>
      <c r="I145" s="357"/>
      <c r="J145" s="357"/>
      <c r="K145" s="357"/>
      <c r="L145" s="357"/>
      <c r="M145" s="357"/>
      <c r="N145" s="357"/>
      <c r="O145" s="357"/>
      <c r="P145" s="357"/>
      <c r="Q145" s="357"/>
      <c r="R145" s="357"/>
      <c r="S145" s="357"/>
      <c r="T145" s="357"/>
      <c r="U145" s="357"/>
      <c r="V145" s="357"/>
      <c r="W145" s="357"/>
      <c r="Y145" s="357"/>
      <c r="Z145" s="357"/>
      <c r="AA145" s="357"/>
      <c r="AB145" s="357"/>
      <c r="AC145" s="357"/>
      <c r="AD145" s="357"/>
      <c r="AE145" s="357"/>
      <c r="AF145" s="357"/>
      <c r="AG145" s="357"/>
      <c r="AH145" s="357"/>
      <c r="AI145" s="357"/>
      <c r="AJ145" s="357"/>
      <c r="AK145" s="357"/>
      <c r="AL145" s="357"/>
      <c r="AM145" s="357"/>
      <c r="AN145" s="357"/>
      <c r="AO145" s="357"/>
      <c r="AP145" s="357"/>
      <c r="AQ145" s="357"/>
      <c r="AR145" s="357"/>
      <c r="AS145" s="357"/>
      <c r="AT145" s="357"/>
      <c r="AU145" s="357"/>
    </row>
    <row r="146" ht="15.75" customHeight="1">
      <c r="A146" s="357"/>
      <c r="B146" s="357"/>
      <c r="C146" s="357"/>
      <c r="D146" s="360"/>
      <c r="E146" s="357"/>
      <c r="F146" s="357"/>
      <c r="G146" s="357"/>
      <c r="H146" s="357"/>
      <c r="I146" s="357"/>
      <c r="J146" s="357"/>
      <c r="K146" s="357"/>
      <c r="L146" s="357"/>
      <c r="M146" s="357"/>
      <c r="N146" s="357"/>
      <c r="O146" s="357"/>
      <c r="P146" s="357"/>
      <c r="Q146" s="357"/>
      <c r="R146" s="357"/>
      <c r="S146" s="357"/>
      <c r="T146" s="357"/>
      <c r="U146" s="357"/>
      <c r="V146" s="357"/>
      <c r="W146" s="357"/>
      <c r="Y146" s="357"/>
      <c r="Z146" s="357"/>
      <c r="AA146" s="357"/>
      <c r="AB146" s="357"/>
      <c r="AC146" s="357"/>
      <c r="AD146" s="357"/>
      <c r="AE146" s="357"/>
      <c r="AF146" s="357"/>
      <c r="AG146" s="357"/>
      <c r="AH146" s="357"/>
      <c r="AI146" s="357"/>
      <c r="AJ146" s="357"/>
      <c r="AK146" s="357"/>
      <c r="AL146" s="357"/>
      <c r="AM146" s="357"/>
      <c r="AN146" s="357"/>
      <c r="AO146" s="357"/>
      <c r="AP146" s="357"/>
      <c r="AQ146" s="357"/>
      <c r="AR146" s="357"/>
      <c r="AS146" s="357"/>
      <c r="AT146" s="357"/>
      <c r="AU146" s="357"/>
    </row>
    <row r="147" ht="15.75" customHeight="1">
      <c r="A147" s="357"/>
      <c r="B147" s="357"/>
      <c r="C147" s="357"/>
      <c r="D147" s="360"/>
      <c r="E147" s="357"/>
      <c r="F147" s="357"/>
      <c r="G147" s="357"/>
      <c r="H147" s="357"/>
      <c r="I147" s="357"/>
      <c r="J147" s="357"/>
      <c r="K147" s="357"/>
      <c r="L147" s="357"/>
      <c r="M147" s="357"/>
      <c r="N147" s="357"/>
      <c r="O147" s="357"/>
      <c r="P147" s="357"/>
      <c r="Q147" s="357"/>
      <c r="R147" s="357"/>
      <c r="S147" s="357"/>
      <c r="T147" s="357"/>
      <c r="U147" s="357"/>
      <c r="V147" s="357"/>
      <c r="W147" s="357"/>
      <c r="Y147" s="357"/>
      <c r="Z147" s="357"/>
      <c r="AA147" s="357"/>
      <c r="AB147" s="357"/>
      <c r="AC147" s="357"/>
      <c r="AD147" s="357"/>
      <c r="AE147" s="357"/>
      <c r="AF147" s="357"/>
      <c r="AG147" s="357"/>
      <c r="AH147" s="357"/>
      <c r="AI147" s="357"/>
      <c r="AJ147" s="357"/>
      <c r="AK147" s="357"/>
      <c r="AL147" s="357"/>
      <c r="AM147" s="357"/>
      <c r="AN147" s="357"/>
      <c r="AO147" s="357"/>
      <c r="AP147" s="357"/>
      <c r="AQ147" s="357"/>
      <c r="AR147" s="357"/>
      <c r="AS147" s="357"/>
      <c r="AT147" s="357"/>
      <c r="AU147" s="357"/>
    </row>
    <row r="148" ht="15.75" customHeight="1">
      <c r="A148" s="357"/>
      <c r="B148" s="357"/>
      <c r="C148" s="357"/>
      <c r="D148" s="360"/>
      <c r="E148" s="357"/>
      <c r="F148" s="357"/>
      <c r="G148" s="357"/>
      <c r="H148" s="357"/>
      <c r="I148" s="357"/>
      <c r="J148" s="357"/>
      <c r="K148" s="357"/>
      <c r="L148" s="357"/>
      <c r="M148" s="357"/>
      <c r="N148" s="357"/>
      <c r="O148" s="357"/>
      <c r="P148" s="357"/>
      <c r="Q148" s="357"/>
      <c r="R148" s="357"/>
      <c r="S148" s="357"/>
      <c r="T148" s="357"/>
      <c r="U148" s="357"/>
      <c r="V148" s="357"/>
      <c r="W148" s="357"/>
      <c r="Y148" s="357"/>
      <c r="Z148" s="357"/>
      <c r="AA148" s="357"/>
      <c r="AB148" s="357"/>
      <c r="AC148" s="357"/>
      <c r="AD148" s="357"/>
      <c r="AE148" s="357"/>
      <c r="AF148" s="357"/>
      <c r="AG148" s="357"/>
      <c r="AH148" s="357"/>
      <c r="AI148" s="357"/>
      <c r="AJ148" s="357"/>
      <c r="AK148" s="357"/>
      <c r="AL148" s="357"/>
      <c r="AM148" s="357"/>
      <c r="AN148" s="357"/>
      <c r="AO148" s="357"/>
      <c r="AP148" s="357"/>
      <c r="AQ148" s="357"/>
      <c r="AR148" s="357"/>
      <c r="AS148" s="357"/>
      <c r="AT148" s="357"/>
      <c r="AU148" s="357"/>
    </row>
    <row r="149" ht="15.75" customHeight="1">
      <c r="A149" s="357"/>
      <c r="B149" s="357"/>
      <c r="C149" s="357"/>
      <c r="D149" s="360"/>
      <c r="E149" s="357"/>
      <c r="F149" s="357"/>
      <c r="G149" s="357"/>
      <c r="H149" s="357"/>
      <c r="I149" s="357"/>
      <c r="J149" s="357"/>
      <c r="K149" s="357"/>
      <c r="L149" s="357"/>
      <c r="M149" s="357"/>
      <c r="N149" s="357"/>
      <c r="O149" s="357"/>
      <c r="P149" s="357"/>
      <c r="Q149" s="357"/>
      <c r="R149" s="357"/>
      <c r="S149" s="357"/>
      <c r="T149" s="357"/>
      <c r="U149" s="357"/>
      <c r="V149" s="357"/>
      <c r="W149" s="357"/>
      <c r="Y149" s="357"/>
      <c r="Z149" s="357"/>
      <c r="AA149" s="357"/>
      <c r="AB149" s="357"/>
      <c r="AC149" s="357"/>
      <c r="AD149" s="357"/>
      <c r="AE149" s="357"/>
      <c r="AF149" s="357"/>
      <c r="AG149" s="357"/>
      <c r="AH149" s="357"/>
      <c r="AI149" s="357"/>
      <c r="AJ149" s="357"/>
      <c r="AK149" s="357"/>
      <c r="AL149" s="357"/>
      <c r="AM149" s="357"/>
      <c r="AN149" s="357"/>
      <c r="AO149" s="357"/>
      <c r="AP149" s="357"/>
      <c r="AQ149" s="357"/>
      <c r="AR149" s="357"/>
      <c r="AS149" s="357"/>
      <c r="AT149" s="357"/>
      <c r="AU149" s="357"/>
    </row>
    <row r="150" ht="15.75" customHeight="1">
      <c r="A150" s="357"/>
      <c r="B150" s="357"/>
      <c r="C150" s="357"/>
      <c r="D150" s="360"/>
      <c r="E150" s="357"/>
      <c r="F150" s="357"/>
      <c r="G150" s="357"/>
      <c r="H150" s="357"/>
      <c r="I150" s="357"/>
      <c r="J150" s="357"/>
      <c r="K150" s="357"/>
      <c r="L150" s="357"/>
      <c r="M150" s="357"/>
      <c r="N150" s="357"/>
      <c r="O150" s="357"/>
      <c r="P150" s="357"/>
      <c r="Q150" s="357"/>
      <c r="R150" s="357"/>
      <c r="S150" s="357"/>
      <c r="T150" s="357"/>
      <c r="U150" s="357"/>
      <c r="V150" s="357"/>
      <c r="W150" s="357"/>
      <c r="Y150" s="357"/>
      <c r="Z150" s="357"/>
      <c r="AA150" s="357"/>
      <c r="AB150" s="357"/>
      <c r="AC150" s="357"/>
      <c r="AD150" s="357"/>
      <c r="AE150" s="357"/>
      <c r="AF150" s="357"/>
      <c r="AG150" s="357"/>
      <c r="AH150" s="357"/>
      <c r="AI150" s="357"/>
      <c r="AJ150" s="357"/>
      <c r="AK150" s="357"/>
      <c r="AL150" s="357"/>
      <c r="AM150" s="357"/>
      <c r="AN150" s="357"/>
      <c r="AO150" s="357"/>
      <c r="AP150" s="357"/>
      <c r="AQ150" s="357"/>
      <c r="AR150" s="357"/>
      <c r="AS150" s="357"/>
      <c r="AT150" s="357"/>
      <c r="AU150" s="357"/>
    </row>
    <row r="151" ht="15.75" customHeight="1">
      <c r="A151" s="357"/>
      <c r="B151" s="357"/>
      <c r="C151" s="357"/>
      <c r="D151" s="360"/>
      <c r="E151" s="357"/>
      <c r="F151" s="357"/>
      <c r="G151" s="357"/>
      <c r="H151" s="357"/>
      <c r="I151" s="357"/>
      <c r="J151" s="357"/>
      <c r="K151" s="357"/>
      <c r="L151" s="357"/>
      <c r="M151" s="357"/>
      <c r="N151" s="357"/>
      <c r="O151" s="357"/>
      <c r="P151" s="357"/>
      <c r="Q151" s="357"/>
      <c r="R151" s="357"/>
      <c r="S151" s="357"/>
      <c r="T151" s="357"/>
      <c r="U151" s="357"/>
      <c r="V151" s="357"/>
      <c r="W151" s="357"/>
      <c r="Y151" s="357"/>
      <c r="Z151" s="357"/>
      <c r="AA151" s="357"/>
      <c r="AB151" s="357"/>
      <c r="AC151" s="357"/>
      <c r="AD151" s="357"/>
      <c r="AE151" s="357"/>
      <c r="AF151" s="357"/>
      <c r="AG151" s="357"/>
      <c r="AH151" s="357"/>
      <c r="AI151" s="357"/>
      <c r="AJ151" s="357"/>
      <c r="AK151" s="357"/>
      <c r="AL151" s="357"/>
      <c r="AM151" s="357"/>
      <c r="AN151" s="357"/>
      <c r="AO151" s="357"/>
      <c r="AP151" s="357"/>
      <c r="AQ151" s="357"/>
      <c r="AR151" s="357"/>
      <c r="AS151" s="357"/>
      <c r="AT151" s="357"/>
      <c r="AU151" s="357"/>
    </row>
    <row r="152" ht="15.75" customHeight="1">
      <c r="A152" s="357"/>
      <c r="B152" s="357"/>
      <c r="C152" s="357"/>
      <c r="D152" s="360"/>
      <c r="E152" s="357"/>
      <c r="F152" s="357"/>
      <c r="G152" s="357"/>
      <c r="H152" s="357"/>
      <c r="I152" s="357"/>
      <c r="J152" s="357"/>
      <c r="K152" s="357"/>
      <c r="L152" s="357"/>
      <c r="M152" s="357"/>
      <c r="N152" s="357"/>
      <c r="O152" s="357"/>
      <c r="P152" s="357"/>
      <c r="Q152" s="357"/>
      <c r="R152" s="357"/>
      <c r="S152" s="357"/>
      <c r="T152" s="357"/>
      <c r="U152" s="357"/>
      <c r="V152" s="357"/>
      <c r="W152" s="357"/>
      <c r="Y152" s="357"/>
      <c r="Z152" s="357"/>
      <c r="AA152" s="357"/>
      <c r="AB152" s="357"/>
      <c r="AC152" s="357"/>
      <c r="AD152" s="357"/>
      <c r="AE152" s="357"/>
      <c r="AF152" s="357"/>
      <c r="AG152" s="357"/>
      <c r="AH152" s="357"/>
      <c r="AI152" s="357"/>
      <c r="AJ152" s="357"/>
      <c r="AK152" s="357"/>
      <c r="AL152" s="357"/>
      <c r="AM152" s="357"/>
      <c r="AN152" s="357"/>
      <c r="AO152" s="357"/>
      <c r="AP152" s="357"/>
      <c r="AQ152" s="357"/>
      <c r="AR152" s="357"/>
      <c r="AS152" s="357"/>
      <c r="AT152" s="357"/>
      <c r="AU152" s="357"/>
    </row>
    <row r="153" ht="15.75" customHeight="1">
      <c r="A153" s="357"/>
      <c r="B153" s="357"/>
      <c r="C153" s="357"/>
      <c r="D153" s="360"/>
      <c r="E153" s="357"/>
      <c r="F153" s="357"/>
      <c r="G153" s="357"/>
      <c r="H153" s="357"/>
      <c r="I153" s="357"/>
      <c r="J153" s="357"/>
      <c r="K153" s="357"/>
      <c r="L153" s="357"/>
      <c r="M153" s="357"/>
      <c r="N153" s="357"/>
      <c r="O153" s="357"/>
      <c r="P153" s="357"/>
      <c r="Q153" s="357"/>
      <c r="R153" s="357"/>
      <c r="S153" s="357"/>
      <c r="T153" s="357"/>
      <c r="U153" s="357"/>
      <c r="V153" s="357"/>
      <c r="W153" s="357"/>
      <c r="Y153" s="357"/>
      <c r="Z153" s="357"/>
      <c r="AA153" s="357"/>
      <c r="AB153" s="357"/>
      <c r="AC153" s="357"/>
      <c r="AD153" s="357"/>
      <c r="AE153" s="357"/>
      <c r="AF153" s="357"/>
      <c r="AG153" s="357"/>
      <c r="AH153" s="357"/>
      <c r="AI153" s="357"/>
      <c r="AJ153" s="357"/>
      <c r="AK153" s="357"/>
      <c r="AL153" s="357"/>
      <c r="AM153" s="357"/>
      <c r="AN153" s="357"/>
      <c r="AO153" s="357"/>
      <c r="AP153" s="357"/>
      <c r="AQ153" s="357"/>
      <c r="AR153" s="357"/>
      <c r="AS153" s="357"/>
      <c r="AT153" s="357"/>
      <c r="AU153" s="357"/>
    </row>
    <row r="154" ht="15.75" customHeight="1">
      <c r="A154" s="357"/>
      <c r="B154" s="357"/>
      <c r="C154" s="357"/>
      <c r="D154" s="360"/>
      <c r="E154" s="357"/>
      <c r="F154" s="357"/>
      <c r="G154" s="357"/>
      <c r="H154" s="357"/>
      <c r="I154" s="357"/>
      <c r="J154" s="357"/>
      <c r="K154" s="357"/>
      <c r="L154" s="357"/>
      <c r="M154" s="357"/>
      <c r="N154" s="357"/>
      <c r="O154" s="357"/>
      <c r="P154" s="357"/>
      <c r="Q154" s="357"/>
      <c r="R154" s="357"/>
      <c r="S154" s="357"/>
      <c r="T154" s="357"/>
      <c r="U154" s="357"/>
      <c r="V154" s="357"/>
      <c r="W154" s="357"/>
      <c r="Y154" s="357"/>
      <c r="Z154" s="357"/>
      <c r="AA154" s="357"/>
      <c r="AB154" s="357"/>
      <c r="AC154" s="357"/>
      <c r="AD154" s="357"/>
      <c r="AE154" s="357"/>
      <c r="AF154" s="357"/>
      <c r="AG154" s="357"/>
      <c r="AH154" s="357"/>
      <c r="AI154" s="357"/>
      <c r="AJ154" s="357"/>
      <c r="AK154" s="357"/>
      <c r="AL154" s="357"/>
      <c r="AM154" s="357"/>
      <c r="AN154" s="357"/>
      <c r="AO154" s="357"/>
      <c r="AP154" s="357"/>
      <c r="AQ154" s="357"/>
      <c r="AR154" s="357"/>
      <c r="AS154" s="357"/>
      <c r="AT154" s="357"/>
      <c r="AU154" s="357"/>
    </row>
    <row r="155" ht="15.75" customHeight="1">
      <c r="A155" s="357"/>
      <c r="B155" s="357"/>
      <c r="C155" s="357"/>
      <c r="D155" s="360"/>
      <c r="E155" s="357"/>
      <c r="F155" s="357"/>
      <c r="G155" s="357"/>
      <c r="H155" s="357"/>
      <c r="I155" s="357"/>
      <c r="J155" s="357"/>
      <c r="K155" s="357"/>
      <c r="L155" s="357"/>
      <c r="M155" s="357"/>
      <c r="N155" s="357"/>
      <c r="O155" s="357"/>
      <c r="P155" s="357"/>
      <c r="Q155" s="357"/>
      <c r="R155" s="357"/>
      <c r="S155" s="357"/>
      <c r="T155" s="357"/>
      <c r="U155" s="357"/>
      <c r="V155" s="357"/>
      <c r="W155" s="357"/>
      <c r="Y155" s="357"/>
      <c r="Z155" s="357"/>
      <c r="AA155" s="357"/>
      <c r="AB155" s="357"/>
      <c r="AC155" s="357"/>
      <c r="AD155" s="357"/>
      <c r="AE155" s="357"/>
      <c r="AF155" s="357"/>
      <c r="AG155" s="357"/>
      <c r="AH155" s="357"/>
      <c r="AI155" s="357"/>
      <c r="AJ155" s="357"/>
      <c r="AK155" s="357"/>
      <c r="AL155" s="357"/>
      <c r="AM155" s="357"/>
      <c r="AN155" s="357"/>
      <c r="AO155" s="357"/>
      <c r="AP155" s="357"/>
      <c r="AQ155" s="357"/>
      <c r="AR155" s="357"/>
      <c r="AS155" s="357"/>
      <c r="AT155" s="357"/>
      <c r="AU155" s="357"/>
    </row>
    <row r="156" ht="15.75" customHeight="1">
      <c r="A156" s="357"/>
      <c r="B156" s="357"/>
      <c r="C156" s="357"/>
      <c r="D156" s="360"/>
      <c r="E156" s="357"/>
      <c r="F156" s="357"/>
      <c r="G156" s="357"/>
      <c r="H156" s="357"/>
      <c r="I156" s="357"/>
      <c r="J156" s="357"/>
      <c r="K156" s="357"/>
      <c r="L156" s="357"/>
      <c r="M156" s="357"/>
      <c r="N156" s="357"/>
      <c r="O156" s="357"/>
      <c r="P156" s="357"/>
      <c r="Q156" s="357"/>
      <c r="R156" s="357"/>
      <c r="S156" s="357"/>
      <c r="T156" s="357"/>
      <c r="U156" s="357"/>
      <c r="V156" s="357"/>
      <c r="W156" s="357"/>
      <c r="Y156" s="357"/>
      <c r="Z156" s="357"/>
      <c r="AA156" s="357"/>
      <c r="AB156" s="357"/>
      <c r="AC156" s="357"/>
      <c r="AD156" s="357"/>
      <c r="AE156" s="357"/>
      <c r="AF156" s="357"/>
      <c r="AG156" s="357"/>
      <c r="AH156" s="357"/>
      <c r="AI156" s="357"/>
      <c r="AJ156" s="357"/>
      <c r="AK156" s="357"/>
      <c r="AL156" s="357"/>
      <c r="AM156" s="357"/>
      <c r="AN156" s="357"/>
      <c r="AO156" s="357"/>
      <c r="AP156" s="357"/>
      <c r="AQ156" s="357"/>
      <c r="AR156" s="357"/>
      <c r="AS156" s="357"/>
      <c r="AT156" s="357"/>
      <c r="AU156" s="357"/>
    </row>
    <row r="157" ht="15.75" customHeight="1">
      <c r="A157" s="357"/>
      <c r="B157" s="357"/>
      <c r="C157" s="357"/>
      <c r="D157" s="360"/>
      <c r="E157" s="357"/>
      <c r="F157" s="357"/>
      <c r="G157" s="357"/>
      <c r="H157" s="357"/>
      <c r="I157" s="357"/>
      <c r="J157" s="357"/>
      <c r="K157" s="357"/>
      <c r="L157" s="357"/>
      <c r="M157" s="357"/>
      <c r="N157" s="357"/>
      <c r="O157" s="357"/>
      <c r="P157" s="357"/>
      <c r="Q157" s="357"/>
      <c r="R157" s="357"/>
      <c r="S157" s="357"/>
      <c r="T157" s="357"/>
      <c r="U157" s="357"/>
      <c r="V157" s="357"/>
      <c r="W157" s="357"/>
      <c r="Y157" s="357"/>
      <c r="Z157" s="357"/>
      <c r="AA157" s="357"/>
      <c r="AB157" s="357"/>
      <c r="AC157" s="357"/>
      <c r="AD157" s="357"/>
      <c r="AE157" s="357"/>
      <c r="AF157" s="357"/>
      <c r="AG157" s="357"/>
      <c r="AH157" s="357"/>
      <c r="AI157" s="357"/>
      <c r="AJ157" s="357"/>
      <c r="AK157" s="357"/>
      <c r="AL157" s="357"/>
      <c r="AM157" s="357"/>
      <c r="AN157" s="357"/>
      <c r="AO157" s="357"/>
      <c r="AP157" s="357"/>
      <c r="AQ157" s="357"/>
      <c r="AR157" s="357"/>
      <c r="AS157" s="357"/>
      <c r="AT157" s="357"/>
      <c r="AU157" s="357"/>
    </row>
    <row r="158" ht="15.75" customHeight="1">
      <c r="A158" s="357"/>
      <c r="B158" s="357"/>
      <c r="C158" s="357"/>
      <c r="D158" s="360"/>
      <c r="E158" s="357"/>
      <c r="F158" s="357"/>
      <c r="G158" s="357"/>
      <c r="H158" s="357"/>
      <c r="I158" s="357"/>
      <c r="J158" s="357"/>
      <c r="K158" s="357"/>
      <c r="L158" s="357"/>
      <c r="M158" s="357"/>
      <c r="N158" s="357"/>
      <c r="O158" s="357"/>
      <c r="P158" s="357"/>
      <c r="Q158" s="357"/>
      <c r="R158" s="357"/>
      <c r="S158" s="357"/>
      <c r="T158" s="357"/>
      <c r="U158" s="357"/>
      <c r="V158" s="357"/>
      <c r="W158" s="357"/>
      <c r="Y158" s="357"/>
      <c r="Z158" s="357"/>
      <c r="AA158" s="357"/>
      <c r="AB158" s="357"/>
      <c r="AC158" s="357"/>
      <c r="AD158" s="357"/>
      <c r="AE158" s="357"/>
      <c r="AF158" s="357"/>
      <c r="AG158" s="357"/>
      <c r="AH158" s="357"/>
      <c r="AI158" s="357"/>
      <c r="AJ158" s="357"/>
      <c r="AK158" s="357"/>
      <c r="AL158" s="357"/>
      <c r="AM158" s="357"/>
      <c r="AN158" s="357"/>
      <c r="AO158" s="357"/>
      <c r="AP158" s="357"/>
      <c r="AQ158" s="357"/>
      <c r="AR158" s="357"/>
      <c r="AS158" s="357"/>
      <c r="AT158" s="357"/>
      <c r="AU158" s="357"/>
    </row>
    <row r="159" ht="15.75" customHeight="1">
      <c r="A159" s="357"/>
      <c r="B159" s="357"/>
      <c r="C159" s="357"/>
      <c r="D159" s="360"/>
      <c r="E159" s="357"/>
      <c r="F159" s="357"/>
      <c r="G159" s="357"/>
      <c r="H159" s="357"/>
      <c r="I159" s="357"/>
      <c r="J159" s="357"/>
      <c r="K159" s="357"/>
      <c r="L159" s="357"/>
      <c r="M159" s="357"/>
      <c r="N159" s="357"/>
      <c r="O159" s="357"/>
      <c r="P159" s="357"/>
      <c r="Q159" s="357"/>
      <c r="R159" s="357"/>
      <c r="S159" s="357"/>
      <c r="T159" s="357"/>
      <c r="U159" s="357"/>
      <c r="V159" s="357"/>
      <c r="W159" s="357"/>
      <c r="Y159" s="357"/>
      <c r="Z159" s="357"/>
      <c r="AA159" s="357"/>
      <c r="AB159" s="357"/>
      <c r="AC159" s="357"/>
      <c r="AD159" s="357"/>
      <c r="AE159" s="357"/>
      <c r="AF159" s="357"/>
      <c r="AG159" s="357"/>
      <c r="AH159" s="357"/>
      <c r="AI159" s="357"/>
      <c r="AJ159" s="357"/>
      <c r="AK159" s="357"/>
      <c r="AL159" s="357"/>
      <c r="AM159" s="357"/>
      <c r="AN159" s="357"/>
      <c r="AO159" s="357"/>
      <c r="AP159" s="357"/>
      <c r="AQ159" s="357"/>
      <c r="AR159" s="357"/>
      <c r="AS159" s="357"/>
      <c r="AT159" s="357"/>
      <c r="AU159" s="357"/>
    </row>
    <row r="160" ht="15.75" customHeight="1">
      <c r="A160" s="357"/>
      <c r="B160" s="357"/>
      <c r="C160" s="357"/>
      <c r="D160" s="360"/>
      <c r="E160" s="357"/>
      <c r="F160" s="357"/>
      <c r="G160" s="357"/>
      <c r="H160" s="357"/>
      <c r="I160" s="357"/>
      <c r="J160" s="357"/>
      <c r="K160" s="357"/>
      <c r="L160" s="357"/>
      <c r="M160" s="357"/>
      <c r="N160" s="357"/>
      <c r="O160" s="357"/>
      <c r="P160" s="357"/>
      <c r="Q160" s="357"/>
      <c r="R160" s="357"/>
      <c r="S160" s="357"/>
      <c r="T160" s="357"/>
      <c r="U160" s="357"/>
      <c r="V160" s="357"/>
      <c r="W160" s="357"/>
      <c r="Y160" s="357"/>
      <c r="Z160" s="357"/>
      <c r="AA160" s="357"/>
      <c r="AB160" s="357"/>
      <c r="AC160" s="357"/>
      <c r="AD160" s="357"/>
      <c r="AE160" s="357"/>
      <c r="AF160" s="357"/>
      <c r="AG160" s="357"/>
      <c r="AH160" s="357"/>
      <c r="AI160" s="357"/>
      <c r="AJ160" s="357"/>
      <c r="AK160" s="357"/>
      <c r="AL160" s="357"/>
      <c r="AM160" s="357"/>
      <c r="AN160" s="357"/>
      <c r="AO160" s="357"/>
      <c r="AP160" s="357"/>
      <c r="AQ160" s="357"/>
      <c r="AR160" s="357"/>
      <c r="AS160" s="357"/>
      <c r="AT160" s="357"/>
      <c r="AU160" s="357"/>
    </row>
    <row r="161" ht="15.75" customHeight="1">
      <c r="A161" s="357"/>
      <c r="B161" s="357"/>
      <c r="C161" s="357"/>
      <c r="D161" s="360"/>
      <c r="E161" s="357"/>
      <c r="F161" s="357"/>
      <c r="G161" s="357"/>
      <c r="H161" s="357"/>
      <c r="I161" s="357"/>
      <c r="J161" s="357"/>
      <c r="K161" s="357"/>
      <c r="L161" s="357"/>
      <c r="M161" s="357"/>
      <c r="N161" s="357"/>
      <c r="O161" s="357"/>
      <c r="P161" s="357"/>
      <c r="Q161" s="357"/>
      <c r="R161" s="357"/>
      <c r="S161" s="357"/>
      <c r="T161" s="357"/>
      <c r="U161" s="357"/>
      <c r="V161" s="357"/>
      <c r="W161" s="357"/>
      <c r="Y161" s="357"/>
      <c r="Z161" s="357"/>
      <c r="AA161" s="357"/>
      <c r="AB161" s="357"/>
      <c r="AC161" s="357"/>
      <c r="AD161" s="357"/>
      <c r="AE161" s="357"/>
      <c r="AF161" s="357"/>
      <c r="AG161" s="357"/>
      <c r="AH161" s="357"/>
      <c r="AI161" s="357"/>
      <c r="AJ161" s="357"/>
      <c r="AK161" s="357"/>
      <c r="AL161" s="357"/>
      <c r="AM161" s="357"/>
      <c r="AN161" s="357"/>
      <c r="AO161" s="357"/>
      <c r="AP161" s="357"/>
      <c r="AQ161" s="357"/>
      <c r="AR161" s="357"/>
      <c r="AS161" s="357"/>
      <c r="AT161" s="357"/>
      <c r="AU161" s="357"/>
    </row>
    <row r="162" ht="15.75" customHeight="1">
      <c r="A162" s="357"/>
      <c r="B162" s="357"/>
      <c r="C162" s="357"/>
      <c r="D162" s="360"/>
      <c r="E162" s="357"/>
      <c r="F162" s="357"/>
      <c r="G162" s="357"/>
      <c r="H162" s="357"/>
      <c r="I162" s="357"/>
      <c r="J162" s="357"/>
      <c r="K162" s="357"/>
      <c r="L162" s="357"/>
      <c r="M162" s="357"/>
      <c r="N162" s="357"/>
      <c r="O162" s="357"/>
      <c r="P162" s="357"/>
      <c r="Q162" s="357"/>
      <c r="R162" s="357"/>
      <c r="S162" s="357"/>
      <c r="T162" s="357"/>
      <c r="U162" s="357"/>
      <c r="V162" s="357"/>
      <c r="W162" s="357"/>
      <c r="Y162" s="357"/>
      <c r="Z162" s="357"/>
      <c r="AA162" s="357"/>
      <c r="AB162" s="357"/>
      <c r="AC162" s="357"/>
      <c r="AD162" s="357"/>
      <c r="AE162" s="357"/>
      <c r="AF162" s="357"/>
      <c r="AG162" s="357"/>
      <c r="AH162" s="357"/>
      <c r="AI162" s="357"/>
      <c r="AJ162" s="357"/>
      <c r="AK162" s="357"/>
      <c r="AL162" s="357"/>
      <c r="AM162" s="357"/>
      <c r="AN162" s="357"/>
      <c r="AO162" s="357"/>
      <c r="AP162" s="357"/>
      <c r="AQ162" s="357"/>
      <c r="AR162" s="357"/>
      <c r="AS162" s="357"/>
      <c r="AT162" s="357"/>
      <c r="AU162" s="357"/>
    </row>
    <row r="163" ht="15.75" customHeight="1">
      <c r="A163" s="357"/>
      <c r="B163" s="357"/>
      <c r="C163" s="357"/>
      <c r="D163" s="360"/>
      <c r="E163" s="357"/>
      <c r="F163" s="357"/>
      <c r="G163" s="357"/>
      <c r="H163" s="357"/>
      <c r="I163" s="357"/>
      <c r="J163" s="357"/>
      <c r="K163" s="357"/>
      <c r="L163" s="357"/>
      <c r="M163" s="357"/>
      <c r="N163" s="357"/>
      <c r="O163" s="357"/>
      <c r="P163" s="357"/>
      <c r="Q163" s="357"/>
      <c r="R163" s="357"/>
      <c r="S163" s="357"/>
      <c r="T163" s="357"/>
      <c r="U163" s="357"/>
      <c r="V163" s="357"/>
      <c r="W163" s="357"/>
      <c r="Y163" s="357"/>
      <c r="Z163" s="357"/>
      <c r="AA163" s="357"/>
      <c r="AB163" s="357"/>
      <c r="AC163" s="357"/>
      <c r="AD163" s="357"/>
      <c r="AE163" s="357"/>
      <c r="AF163" s="357"/>
      <c r="AG163" s="357"/>
      <c r="AH163" s="357"/>
      <c r="AI163" s="357"/>
      <c r="AJ163" s="357"/>
      <c r="AK163" s="357"/>
      <c r="AL163" s="357"/>
      <c r="AM163" s="357"/>
      <c r="AN163" s="357"/>
      <c r="AO163" s="357"/>
      <c r="AP163" s="357"/>
      <c r="AQ163" s="357"/>
      <c r="AR163" s="357"/>
      <c r="AS163" s="357"/>
      <c r="AT163" s="357"/>
      <c r="AU163" s="357"/>
    </row>
    <row r="164" ht="15.75" customHeight="1">
      <c r="A164" s="357"/>
      <c r="B164" s="357"/>
      <c r="C164" s="357"/>
      <c r="D164" s="360"/>
      <c r="E164" s="357"/>
      <c r="F164" s="357"/>
      <c r="G164" s="357"/>
      <c r="H164" s="357"/>
      <c r="I164" s="357"/>
      <c r="J164" s="357"/>
      <c r="K164" s="357"/>
      <c r="L164" s="357"/>
      <c r="M164" s="357"/>
      <c r="N164" s="357"/>
      <c r="O164" s="357"/>
      <c r="P164" s="357"/>
      <c r="Q164" s="357"/>
      <c r="R164" s="357"/>
      <c r="S164" s="357"/>
      <c r="T164" s="357"/>
      <c r="U164" s="357"/>
      <c r="V164" s="357"/>
      <c r="W164" s="357"/>
      <c r="Y164" s="357"/>
      <c r="Z164" s="357"/>
      <c r="AA164" s="357"/>
      <c r="AB164" s="357"/>
      <c r="AC164" s="357"/>
      <c r="AD164" s="357"/>
      <c r="AE164" s="357"/>
      <c r="AF164" s="357"/>
      <c r="AG164" s="357"/>
      <c r="AH164" s="357"/>
      <c r="AI164" s="357"/>
      <c r="AJ164" s="357"/>
      <c r="AK164" s="357"/>
      <c r="AL164" s="357"/>
      <c r="AM164" s="357"/>
      <c r="AN164" s="357"/>
      <c r="AO164" s="357"/>
      <c r="AP164" s="357"/>
      <c r="AQ164" s="357"/>
      <c r="AR164" s="357"/>
      <c r="AS164" s="357"/>
      <c r="AT164" s="357"/>
      <c r="AU164" s="357"/>
    </row>
    <row r="165" ht="15.75" customHeight="1">
      <c r="A165" s="357"/>
      <c r="B165" s="357"/>
      <c r="C165" s="357"/>
      <c r="D165" s="360"/>
      <c r="E165" s="357"/>
      <c r="F165" s="357"/>
      <c r="G165" s="357"/>
      <c r="H165" s="357"/>
      <c r="I165" s="357"/>
      <c r="J165" s="357"/>
      <c r="K165" s="357"/>
      <c r="L165" s="357"/>
      <c r="M165" s="357"/>
      <c r="N165" s="357"/>
      <c r="O165" s="357"/>
      <c r="P165" s="357"/>
      <c r="Q165" s="357"/>
      <c r="R165" s="357"/>
      <c r="S165" s="357"/>
      <c r="T165" s="357"/>
      <c r="U165" s="357"/>
      <c r="V165" s="357"/>
      <c r="W165" s="357"/>
      <c r="Y165" s="357"/>
      <c r="Z165" s="357"/>
      <c r="AA165" s="357"/>
      <c r="AB165" s="357"/>
      <c r="AC165" s="357"/>
      <c r="AD165" s="357"/>
      <c r="AE165" s="357"/>
      <c r="AF165" s="357"/>
      <c r="AG165" s="357"/>
      <c r="AH165" s="357"/>
      <c r="AI165" s="357"/>
      <c r="AJ165" s="357"/>
      <c r="AK165" s="357"/>
      <c r="AL165" s="357"/>
      <c r="AM165" s="357"/>
      <c r="AN165" s="357"/>
      <c r="AO165" s="357"/>
      <c r="AP165" s="357"/>
      <c r="AQ165" s="357"/>
      <c r="AR165" s="357"/>
      <c r="AS165" s="357"/>
      <c r="AT165" s="357"/>
      <c r="AU165" s="357"/>
    </row>
    <row r="166" ht="15.75" customHeight="1">
      <c r="A166" s="357"/>
      <c r="B166" s="357"/>
      <c r="C166" s="357"/>
      <c r="D166" s="360"/>
      <c r="E166" s="357"/>
      <c r="F166" s="357"/>
      <c r="G166" s="357"/>
      <c r="H166" s="357"/>
      <c r="I166" s="357"/>
      <c r="J166" s="357"/>
      <c r="K166" s="357"/>
      <c r="L166" s="357"/>
      <c r="M166" s="357"/>
      <c r="N166" s="357"/>
      <c r="O166" s="357"/>
      <c r="P166" s="357"/>
      <c r="Q166" s="357"/>
      <c r="R166" s="357"/>
      <c r="S166" s="357"/>
      <c r="T166" s="357"/>
      <c r="U166" s="357"/>
      <c r="V166" s="357"/>
      <c r="W166" s="357"/>
      <c r="Y166" s="357"/>
      <c r="Z166" s="357"/>
      <c r="AA166" s="357"/>
      <c r="AB166" s="357"/>
      <c r="AC166" s="357"/>
      <c r="AD166" s="357"/>
      <c r="AE166" s="357"/>
      <c r="AF166" s="357"/>
      <c r="AG166" s="357"/>
      <c r="AH166" s="357"/>
      <c r="AI166" s="357"/>
      <c r="AJ166" s="357"/>
      <c r="AK166" s="357"/>
      <c r="AL166" s="357"/>
      <c r="AM166" s="357"/>
      <c r="AN166" s="357"/>
      <c r="AO166" s="357"/>
      <c r="AP166" s="357"/>
      <c r="AQ166" s="357"/>
      <c r="AR166" s="357"/>
      <c r="AS166" s="357"/>
      <c r="AT166" s="357"/>
      <c r="AU166" s="357"/>
    </row>
    <row r="167" ht="15.75" customHeight="1">
      <c r="A167" s="357"/>
      <c r="B167" s="357"/>
      <c r="C167" s="357"/>
      <c r="D167" s="360"/>
      <c r="E167" s="357"/>
      <c r="F167" s="357"/>
      <c r="G167" s="357"/>
      <c r="H167" s="357"/>
      <c r="I167" s="357"/>
      <c r="J167" s="357"/>
      <c r="K167" s="357"/>
      <c r="L167" s="357"/>
      <c r="M167" s="357"/>
      <c r="N167" s="357"/>
      <c r="O167" s="357"/>
      <c r="P167" s="357"/>
      <c r="Q167" s="357"/>
      <c r="R167" s="357"/>
      <c r="S167" s="357"/>
      <c r="T167" s="357"/>
      <c r="U167" s="357"/>
      <c r="V167" s="357"/>
      <c r="W167" s="357"/>
      <c r="Y167" s="357"/>
      <c r="Z167" s="357"/>
      <c r="AA167" s="357"/>
      <c r="AB167" s="357"/>
      <c r="AC167" s="357"/>
      <c r="AD167" s="357"/>
      <c r="AE167" s="357"/>
      <c r="AF167" s="357"/>
      <c r="AG167" s="357"/>
      <c r="AH167" s="357"/>
      <c r="AI167" s="357"/>
      <c r="AJ167" s="357"/>
      <c r="AK167" s="357"/>
      <c r="AL167" s="357"/>
      <c r="AM167" s="357"/>
      <c r="AN167" s="357"/>
      <c r="AO167" s="357"/>
      <c r="AP167" s="357"/>
      <c r="AQ167" s="357"/>
      <c r="AR167" s="357"/>
      <c r="AS167" s="357"/>
      <c r="AT167" s="357"/>
      <c r="AU167" s="357"/>
    </row>
    <row r="168" ht="15.75" customHeight="1">
      <c r="A168" s="357"/>
      <c r="B168" s="357"/>
      <c r="C168" s="357"/>
      <c r="D168" s="360"/>
      <c r="E168" s="357"/>
      <c r="F168" s="357"/>
      <c r="G168" s="357"/>
      <c r="H168" s="357"/>
      <c r="I168" s="357"/>
      <c r="J168" s="357"/>
      <c r="K168" s="357"/>
      <c r="L168" s="357"/>
      <c r="M168" s="357"/>
      <c r="N168" s="357"/>
      <c r="O168" s="357"/>
      <c r="P168" s="357"/>
      <c r="Q168" s="357"/>
      <c r="R168" s="357"/>
      <c r="S168" s="357"/>
      <c r="T168" s="357"/>
      <c r="U168" s="357"/>
      <c r="V168" s="357"/>
      <c r="W168" s="357"/>
      <c r="Y168" s="357"/>
      <c r="Z168" s="357"/>
      <c r="AA168" s="357"/>
      <c r="AB168" s="357"/>
      <c r="AC168" s="357"/>
      <c r="AD168" s="357"/>
      <c r="AE168" s="357"/>
      <c r="AF168" s="357"/>
      <c r="AG168" s="357"/>
      <c r="AH168" s="357"/>
      <c r="AI168" s="357"/>
      <c r="AJ168" s="357"/>
      <c r="AK168" s="357"/>
      <c r="AL168" s="357"/>
      <c r="AM168" s="357"/>
      <c r="AN168" s="357"/>
      <c r="AO168" s="357"/>
      <c r="AP168" s="357"/>
      <c r="AQ168" s="357"/>
      <c r="AR168" s="357"/>
      <c r="AS168" s="357"/>
      <c r="AT168" s="357"/>
      <c r="AU168" s="357"/>
    </row>
    <row r="169" ht="15.75" customHeight="1">
      <c r="A169" s="357"/>
      <c r="B169" s="357"/>
      <c r="C169" s="357"/>
      <c r="D169" s="360"/>
      <c r="E169" s="357"/>
      <c r="F169" s="357"/>
      <c r="G169" s="357"/>
      <c r="H169" s="357"/>
      <c r="I169" s="357"/>
      <c r="J169" s="357"/>
      <c r="K169" s="357"/>
      <c r="L169" s="357"/>
      <c r="M169" s="357"/>
      <c r="N169" s="357"/>
      <c r="O169" s="357"/>
      <c r="P169" s="357"/>
      <c r="Q169" s="357"/>
      <c r="R169" s="357"/>
      <c r="S169" s="357"/>
      <c r="T169" s="357"/>
      <c r="U169" s="357"/>
      <c r="V169" s="357"/>
      <c r="W169" s="357"/>
      <c r="Y169" s="357"/>
      <c r="Z169" s="357"/>
      <c r="AA169" s="357"/>
      <c r="AB169" s="357"/>
      <c r="AC169" s="357"/>
      <c r="AD169" s="357"/>
      <c r="AE169" s="357"/>
      <c r="AF169" s="357"/>
      <c r="AG169" s="357"/>
      <c r="AH169" s="357"/>
      <c r="AI169" s="357"/>
      <c r="AJ169" s="357"/>
      <c r="AK169" s="357"/>
      <c r="AL169" s="357"/>
      <c r="AM169" s="357"/>
      <c r="AN169" s="357"/>
      <c r="AO169" s="357"/>
      <c r="AP169" s="357"/>
      <c r="AQ169" s="357"/>
      <c r="AR169" s="357"/>
      <c r="AS169" s="357"/>
      <c r="AT169" s="357"/>
      <c r="AU169" s="357"/>
    </row>
    <row r="170" ht="15.75" customHeight="1">
      <c r="A170" s="357"/>
      <c r="B170" s="357"/>
      <c r="C170" s="357"/>
      <c r="D170" s="360"/>
      <c r="E170" s="357"/>
      <c r="F170" s="357"/>
      <c r="G170" s="357"/>
      <c r="H170" s="357"/>
      <c r="I170" s="357"/>
      <c r="J170" s="357"/>
      <c r="K170" s="357"/>
      <c r="L170" s="357"/>
      <c r="M170" s="357"/>
      <c r="N170" s="357"/>
      <c r="O170" s="357"/>
      <c r="P170" s="357"/>
      <c r="Q170" s="357"/>
      <c r="R170" s="357"/>
      <c r="S170" s="357"/>
      <c r="T170" s="357"/>
      <c r="U170" s="357"/>
      <c r="V170" s="357"/>
      <c r="W170" s="357"/>
      <c r="Y170" s="357"/>
      <c r="Z170" s="357"/>
      <c r="AA170" s="357"/>
      <c r="AB170" s="357"/>
      <c r="AC170" s="357"/>
      <c r="AD170" s="357"/>
      <c r="AE170" s="357"/>
      <c r="AF170" s="357"/>
      <c r="AG170" s="357"/>
      <c r="AH170" s="357"/>
      <c r="AI170" s="357"/>
      <c r="AJ170" s="357"/>
      <c r="AK170" s="357"/>
      <c r="AL170" s="357"/>
      <c r="AM170" s="357"/>
      <c r="AN170" s="357"/>
      <c r="AO170" s="357"/>
      <c r="AP170" s="357"/>
      <c r="AQ170" s="357"/>
      <c r="AR170" s="357"/>
      <c r="AS170" s="357"/>
      <c r="AT170" s="357"/>
      <c r="AU170" s="357"/>
    </row>
    <row r="171" ht="15.75" customHeight="1">
      <c r="A171" s="357"/>
      <c r="B171" s="357"/>
      <c r="C171" s="357"/>
      <c r="D171" s="360"/>
      <c r="E171" s="357"/>
      <c r="F171" s="357"/>
      <c r="G171" s="357"/>
      <c r="H171" s="357"/>
      <c r="I171" s="357"/>
      <c r="J171" s="357"/>
      <c r="K171" s="357"/>
      <c r="L171" s="357"/>
      <c r="M171" s="357"/>
      <c r="N171" s="357"/>
      <c r="O171" s="357"/>
      <c r="P171" s="357"/>
      <c r="Q171" s="357"/>
      <c r="R171" s="357"/>
      <c r="S171" s="357"/>
      <c r="T171" s="357"/>
      <c r="U171" s="357"/>
      <c r="V171" s="357"/>
      <c r="W171" s="357"/>
      <c r="Y171" s="357"/>
      <c r="Z171" s="357"/>
      <c r="AA171" s="357"/>
      <c r="AB171" s="357"/>
      <c r="AC171" s="357"/>
      <c r="AD171" s="357"/>
      <c r="AE171" s="357"/>
      <c r="AF171" s="357"/>
      <c r="AG171" s="357"/>
      <c r="AH171" s="357"/>
      <c r="AI171" s="357"/>
      <c r="AJ171" s="357"/>
      <c r="AK171" s="357"/>
      <c r="AL171" s="357"/>
      <c r="AM171" s="357"/>
      <c r="AN171" s="357"/>
      <c r="AO171" s="357"/>
      <c r="AP171" s="357"/>
      <c r="AQ171" s="357"/>
      <c r="AR171" s="357"/>
      <c r="AS171" s="357"/>
      <c r="AT171" s="357"/>
      <c r="AU171" s="357"/>
    </row>
    <row r="172" ht="15.75" customHeight="1">
      <c r="A172" s="357"/>
      <c r="B172" s="357"/>
      <c r="C172" s="357"/>
      <c r="D172" s="360"/>
      <c r="E172" s="357"/>
      <c r="F172" s="357"/>
      <c r="G172" s="357"/>
      <c r="H172" s="357"/>
      <c r="I172" s="357"/>
      <c r="J172" s="357"/>
      <c r="K172" s="357"/>
      <c r="L172" s="357"/>
      <c r="M172" s="357"/>
      <c r="N172" s="357"/>
      <c r="O172" s="357"/>
      <c r="P172" s="357"/>
      <c r="Q172" s="357"/>
      <c r="R172" s="357"/>
      <c r="S172" s="357"/>
      <c r="T172" s="357"/>
      <c r="U172" s="357"/>
      <c r="V172" s="357"/>
      <c r="W172" s="357"/>
      <c r="Y172" s="357"/>
      <c r="Z172" s="357"/>
      <c r="AA172" s="357"/>
      <c r="AB172" s="357"/>
      <c r="AC172" s="357"/>
      <c r="AD172" s="357"/>
      <c r="AE172" s="357"/>
      <c r="AF172" s="357"/>
      <c r="AG172" s="357"/>
      <c r="AH172" s="357"/>
      <c r="AI172" s="357"/>
      <c r="AJ172" s="357"/>
      <c r="AK172" s="357"/>
      <c r="AL172" s="357"/>
      <c r="AM172" s="357"/>
      <c r="AN172" s="357"/>
      <c r="AO172" s="357"/>
      <c r="AP172" s="357"/>
      <c r="AQ172" s="357"/>
      <c r="AR172" s="357"/>
      <c r="AS172" s="357"/>
      <c r="AT172" s="357"/>
      <c r="AU172" s="357"/>
    </row>
    <row r="173" ht="15.75" customHeight="1">
      <c r="A173" s="357"/>
      <c r="B173" s="357"/>
      <c r="C173" s="357"/>
      <c r="D173" s="360"/>
      <c r="E173" s="357"/>
      <c r="F173" s="357"/>
      <c r="G173" s="357"/>
      <c r="H173" s="357"/>
      <c r="I173" s="357"/>
      <c r="J173" s="357"/>
      <c r="K173" s="357"/>
      <c r="L173" s="357"/>
      <c r="M173" s="357"/>
      <c r="N173" s="357"/>
      <c r="O173" s="357"/>
      <c r="P173" s="357"/>
      <c r="Q173" s="357"/>
      <c r="R173" s="357"/>
      <c r="S173" s="357"/>
      <c r="T173" s="357"/>
      <c r="U173" s="357"/>
      <c r="V173" s="357"/>
      <c r="W173" s="357"/>
      <c r="Y173" s="357"/>
      <c r="Z173" s="357"/>
      <c r="AA173" s="357"/>
      <c r="AB173" s="357"/>
      <c r="AC173" s="357"/>
      <c r="AD173" s="357"/>
      <c r="AE173" s="357"/>
      <c r="AF173" s="357"/>
      <c r="AG173" s="357"/>
      <c r="AH173" s="357"/>
      <c r="AI173" s="357"/>
      <c r="AJ173" s="357"/>
      <c r="AK173" s="357"/>
      <c r="AL173" s="357"/>
      <c r="AM173" s="357"/>
      <c r="AN173" s="357"/>
      <c r="AO173" s="357"/>
      <c r="AP173" s="357"/>
      <c r="AQ173" s="357"/>
      <c r="AR173" s="357"/>
      <c r="AS173" s="357"/>
      <c r="AT173" s="357"/>
      <c r="AU173" s="357"/>
    </row>
    <row r="174" ht="15.75" customHeight="1">
      <c r="A174" s="357"/>
      <c r="B174" s="357"/>
      <c r="C174" s="357"/>
      <c r="D174" s="360"/>
      <c r="E174" s="357"/>
      <c r="F174" s="357"/>
      <c r="G174" s="357"/>
      <c r="H174" s="357"/>
      <c r="I174" s="357"/>
      <c r="J174" s="357"/>
      <c r="K174" s="357"/>
      <c r="L174" s="357"/>
      <c r="M174" s="357"/>
      <c r="N174" s="357"/>
      <c r="O174" s="357"/>
      <c r="P174" s="357"/>
      <c r="Q174" s="357"/>
      <c r="R174" s="357"/>
      <c r="S174" s="357"/>
      <c r="T174" s="357"/>
      <c r="U174" s="357"/>
      <c r="V174" s="357"/>
      <c r="W174" s="357"/>
      <c r="Y174" s="357"/>
      <c r="Z174" s="357"/>
      <c r="AA174" s="357"/>
      <c r="AB174" s="357"/>
      <c r="AC174" s="357"/>
      <c r="AD174" s="357"/>
      <c r="AE174" s="357"/>
      <c r="AF174" s="357"/>
      <c r="AG174" s="357"/>
      <c r="AH174" s="357"/>
      <c r="AI174" s="357"/>
      <c r="AJ174" s="357"/>
      <c r="AK174" s="357"/>
      <c r="AL174" s="357"/>
      <c r="AM174" s="357"/>
      <c r="AN174" s="357"/>
      <c r="AO174" s="357"/>
      <c r="AP174" s="357"/>
      <c r="AQ174" s="357"/>
      <c r="AR174" s="357"/>
      <c r="AS174" s="357"/>
      <c r="AT174" s="357"/>
      <c r="AU174" s="357"/>
    </row>
    <row r="175" ht="15.75" customHeight="1">
      <c r="A175" s="357"/>
      <c r="B175" s="357"/>
      <c r="C175" s="357"/>
      <c r="D175" s="360"/>
      <c r="E175" s="357"/>
      <c r="F175" s="357"/>
      <c r="G175" s="357"/>
      <c r="H175" s="357"/>
      <c r="I175" s="357"/>
      <c r="J175" s="357"/>
      <c r="K175" s="357"/>
      <c r="L175" s="357"/>
      <c r="M175" s="357"/>
      <c r="N175" s="357"/>
      <c r="O175" s="357"/>
      <c r="P175" s="357"/>
      <c r="Q175" s="357"/>
      <c r="R175" s="357"/>
      <c r="S175" s="357"/>
      <c r="T175" s="357"/>
      <c r="U175" s="357"/>
      <c r="V175" s="357"/>
      <c r="W175" s="357"/>
      <c r="Y175" s="357"/>
      <c r="Z175" s="357"/>
      <c r="AA175" s="357"/>
      <c r="AB175" s="357"/>
      <c r="AC175" s="357"/>
      <c r="AD175" s="357"/>
      <c r="AE175" s="357"/>
      <c r="AF175" s="357"/>
      <c r="AG175" s="357"/>
      <c r="AH175" s="357"/>
      <c r="AI175" s="357"/>
      <c r="AJ175" s="357"/>
      <c r="AK175" s="357"/>
      <c r="AL175" s="357"/>
      <c r="AM175" s="357"/>
      <c r="AN175" s="357"/>
      <c r="AO175" s="357"/>
      <c r="AP175" s="357"/>
      <c r="AQ175" s="357"/>
      <c r="AR175" s="357"/>
      <c r="AS175" s="357"/>
      <c r="AT175" s="357"/>
      <c r="AU175" s="357"/>
    </row>
    <row r="176" ht="15.75" customHeight="1">
      <c r="A176" s="357"/>
      <c r="B176" s="357"/>
      <c r="C176" s="357"/>
      <c r="D176" s="360"/>
      <c r="E176" s="357"/>
      <c r="F176" s="357"/>
      <c r="G176" s="357"/>
      <c r="H176" s="357"/>
      <c r="I176" s="357"/>
      <c r="J176" s="357"/>
      <c r="K176" s="357"/>
      <c r="L176" s="357"/>
      <c r="M176" s="357"/>
      <c r="N176" s="357"/>
      <c r="O176" s="357"/>
      <c r="P176" s="357"/>
      <c r="Q176" s="357"/>
      <c r="R176" s="357"/>
      <c r="S176" s="357"/>
      <c r="T176" s="357"/>
      <c r="U176" s="357"/>
      <c r="V176" s="357"/>
      <c r="W176" s="357"/>
      <c r="Y176" s="357"/>
      <c r="Z176" s="357"/>
      <c r="AA176" s="357"/>
      <c r="AB176" s="357"/>
      <c r="AC176" s="357"/>
      <c r="AD176" s="357"/>
      <c r="AE176" s="357"/>
      <c r="AF176" s="357"/>
      <c r="AG176" s="357"/>
      <c r="AH176" s="357"/>
      <c r="AI176" s="357"/>
      <c r="AJ176" s="357"/>
      <c r="AK176" s="357"/>
      <c r="AL176" s="357"/>
      <c r="AM176" s="357"/>
      <c r="AN176" s="357"/>
      <c r="AO176" s="357"/>
      <c r="AP176" s="357"/>
      <c r="AQ176" s="357"/>
      <c r="AR176" s="357"/>
      <c r="AS176" s="357"/>
      <c r="AT176" s="357"/>
      <c r="AU176" s="357"/>
    </row>
    <row r="177" ht="15.75" customHeight="1">
      <c r="A177" s="357"/>
      <c r="B177" s="357"/>
      <c r="C177" s="357"/>
      <c r="D177" s="360"/>
      <c r="E177" s="357"/>
      <c r="F177" s="357"/>
      <c r="G177" s="357"/>
      <c r="H177" s="357"/>
      <c r="I177" s="357"/>
      <c r="J177" s="357"/>
      <c r="K177" s="357"/>
      <c r="L177" s="357"/>
      <c r="M177" s="357"/>
      <c r="N177" s="357"/>
      <c r="O177" s="357"/>
      <c r="P177" s="357"/>
      <c r="Q177" s="357"/>
      <c r="R177" s="357"/>
      <c r="S177" s="357"/>
      <c r="T177" s="357"/>
      <c r="U177" s="357"/>
      <c r="V177" s="357"/>
      <c r="W177" s="357"/>
      <c r="Y177" s="357"/>
      <c r="Z177" s="357"/>
      <c r="AA177" s="357"/>
      <c r="AB177" s="357"/>
      <c r="AC177" s="357"/>
      <c r="AD177" s="357"/>
      <c r="AE177" s="357"/>
      <c r="AF177" s="357"/>
      <c r="AG177" s="357"/>
      <c r="AH177" s="357"/>
      <c r="AI177" s="357"/>
      <c r="AJ177" s="357"/>
      <c r="AK177" s="357"/>
      <c r="AL177" s="357"/>
      <c r="AM177" s="357"/>
      <c r="AN177" s="357"/>
      <c r="AO177" s="357"/>
      <c r="AP177" s="357"/>
      <c r="AQ177" s="357"/>
      <c r="AR177" s="357"/>
      <c r="AS177" s="357"/>
      <c r="AT177" s="357"/>
      <c r="AU177" s="357"/>
    </row>
    <row r="178" ht="15.75" customHeight="1">
      <c r="A178" s="357"/>
      <c r="B178" s="357"/>
      <c r="C178" s="357"/>
      <c r="D178" s="360"/>
      <c r="E178" s="357"/>
      <c r="F178" s="357"/>
      <c r="G178" s="357"/>
      <c r="H178" s="357"/>
      <c r="I178" s="357"/>
      <c r="J178" s="357"/>
      <c r="K178" s="357"/>
      <c r="L178" s="357"/>
      <c r="M178" s="357"/>
      <c r="N178" s="357"/>
      <c r="O178" s="357"/>
      <c r="P178" s="357"/>
      <c r="Q178" s="357"/>
      <c r="R178" s="357"/>
      <c r="S178" s="357"/>
      <c r="T178" s="357"/>
      <c r="U178" s="357"/>
      <c r="V178" s="357"/>
      <c r="W178" s="357"/>
      <c r="Y178" s="357"/>
      <c r="Z178" s="357"/>
      <c r="AA178" s="357"/>
      <c r="AB178" s="357"/>
      <c r="AC178" s="357"/>
      <c r="AD178" s="357"/>
      <c r="AE178" s="357"/>
      <c r="AF178" s="357"/>
      <c r="AG178" s="357"/>
      <c r="AH178" s="357"/>
      <c r="AI178" s="357"/>
      <c r="AJ178" s="357"/>
      <c r="AK178" s="357"/>
      <c r="AL178" s="357"/>
      <c r="AM178" s="357"/>
      <c r="AN178" s="357"/>
      <c r="AO178" s="357"/>
      <c r="AP178" s="357"/>
      <c r="AQ178" s="357"/>
      <c r="AR178" s="357"/>
      <c r="AS178" s="357"/>
      <c r="AT178" s="357"/>
      <c r="AU178" s="357"/>
    </row>
    <row r="179" ht="15.75" customHeight="1">
      <c r="A179" s="357"/>
      <c r="B179" s="357"/>
      <c r="C179" s="357"/>
      <c r="D179" s="360"/>
      <c r="E179" s="357"/>
      <c r="F179" s="357"/>
      <c r="G179" s="357"/>
      <c r="H179" s="357"/>
      <c r="I179" s="357"/>
      <c r="J179" s="357"/>
      <c r="K179" s="357"/>
      <c r="L179" s="357"/>
      <c r="M179" s="357"/>
      <c r="N179" s="357"/>
      <c r="O179" s="357"/>
      <c r="P179" s="357"/>
      <c r="Q179" s="357"/>
      <c r="R179" s="357"/>
      <c r="S179" s="357"/>
      <c r="T179" s="357"/>
      <c r="U179" s="357"/>
      <c r="V179" s="357"/>
      <c r="W179" s="357"/>
      <c r="Y179" s="357"/>
      <c r="Z179" s="357"/>
      <c r="AA179" s="357"/>
      <c r="AB179" s="357"/>
      <c r="AC179" s="357"/>
      <c r="AD179" s="357"/>
      <c r="AE179" s="357"/>
      <c r="AF179" s="357"/>
      <c r="AG179" s="357"/>
      <c r="AH179" s="357"/>
      <c r="AI179" s="357"/>
      <c r="AJ179" s="357"/>
      <c r="AK179" s="357"/>
      <c r="AL179" s="357"/>
      <c r="AM179" s="357"/>
      <c r="AN179" s="357"/>
      <c r="AO179" s="357"/>
      <c r="AP179" s="357"/>
      <c r="AQ179" s="357"/>
      <c r="AR179" s="357"/>
      <c r="AS179" s="357"/>
      <c r="AT179" s="357"/>
      <c r="AU179" s="357"/>
    </row>
    <row r="180" ht="15.75" customHeight="1">
      <c r="A180" s="357"/>
      <c r="B180" s="357"/>
      <c r="C180" s="357"/>
      <c r="D180" s="360"/>
      <c r="E180" s="357"/>
      <c r="F180" s="357"/>
      <c r="G180" s="357"/>
      <c r="H180" s="357"/>
      <c r="I180" s="357"/>
      <c r="J180" s="357"/>
      <c r="K180" s="357"/>
      <c r="L180" s="357"/>
      <c r="M180" s="357"/>
      <c r="N180" s="357"/>
      <c r="O180" s="357"/>
      <c r="P180" s="357"/>
      <c r="Q180" s="357"/>
      <c r="R180" s="357"/>
      <c r="S180" s="357"/>
      <c r="T180" s="357"/>
      <c r="U180" s="357"/>
      <c r="V180" s="357"/>
      <c r="W180" s="357"/>
      <c r="Y180" s="357"/>
      <c r="Z180" s="357"/>
      <c r="AA180" s="357"/>
      <c r="AB180" s="357"/>
      <c r="AC180" s="357"/>
      <c r="AD180" s="357"/>
      <c r="AE180" s="357"/>
      <c r="AF180" s="357"/>
      <c r="AG180" s="357"/>
      <c r="AH180" s="357"/>
      <c r="AI180" s="357"/>
      <c r="AJ180" s="357"/>
      <c r="AK180" s="357"/>
      <c r="AL180" s="357"/>
      <c r="AM180" s="357"/>
      <c r="AN180" s="357"/>
      <c r="AO180" s="357"/>
      <c r="AP180" s="357"/>
      <c r="AQ180" s="357"/>
      <c r="AR180" s="357"/>
      <c r="AS180" s="357"/>
      <c r="AT180" s="357"/>
      <c r="AU180" s="357"/>
    </row>
    <row r="181" ht="15.75" customHeight="1">
      <c r="A181" s="357"/>
      <c r="B181" s="357"/>
      <c r="C181" s="357"/>
      <c r="D181" s="360"/>
      <c r="E181" s="357"/>
      <c r="F181" s="357"/>
      <c r="G181" s="357"/>
      <c r="H181" s="357"/>
      <c r="I181" s="357"/>
      <c r="J181" s="357"/>
      <c r="K181" s="357"/>
      <c r="L181" s="357"/>
      <c r="M181" s="357"/>
      <c r="N181" s="357"/>
      <c r="O181" s="357"/>
      <c r="P181" s="357"/>
      <c r="Q181" s="357"/>
      <c r="R181" s="357"/>
      <c r="S181" s="357"/>
      <c r="T181" s="357"/>
      <c r="U181" s="357"/>
      <c r="V181" s="357"/>
      <c r="W181" s="357"/>
      <c r="Y181" s="357"/>
      <c r="Z181" s="357"/>
      <c r="AA181" s="357"/>
      <c r="AB181" s="357"/>
      <c r="AC181" s="357"/>
      <c r="AD181" s="357"/>
      <c r="AE181" s="357"/>
      <c r="AF181" s="357"/>
      <c r="AG181" s="357"/>
      <c r="AH181" s="357"/>
      <c r="AI181" s="357"/>
      <c r="AJ181" s="357"/>
      <c r="AK181" s="357"/>
      <c r="AL181" s="357"/>
      <c r="AM181" s="357"/>
      <c r="AN181" s="357"/>
      <c r="AO181" s="357"/>
      <c r="AP181" s="357"/>
      <c r="AQ181" s="357"/>
      <c r="AR181" s="357"/>
      <c r="AS181" s="357"/>
      <c r="AT181" s="357"/>
      <c r="AU181" s="357"/>
    </row>
    <row r="182" ht="15.75" customHeight="1">
      <c r="A182" s="357"/>
      <c r="B182" s="357"/>
      <c r="C182" s="357"/>
      <c r="D182" s="360"/>
      <c r="E182" s="357"/>
      <c r="F182" s="357"/>
      <c r="G182" s="357"/>
      <c r="H182" s="357"/>
      <c r="I182" s="357"/>
      <c r="J182" s="357"/>
      <c r="K182" s="357"/>
      <c r="L182" s="357"/>
      <c r="M182" s="357"/>
      <c r="N182" s="357"/>
      <c r="O182" s="357"/>
      <c r="P182" s="357"/>
      <c r="Q182" s="357"/>
      <c r="R182" s="357"/>
      <c r="S182" s="357"/>
      <c r="T182" s="357"/>
      <c r="U182" s="357"/>
      <c r="V182" s="357"/>
      <c r="W182" s="357"/>
      <c r="Y182" s="357"/>
      <c r="Z182" s="357"/>
      <c r="AA182" s="357"/>
      <c r="AB182" s="357"/>
      <c r="AC182" s="357"/>
      <c r="AD182" s="357"/>
      <c r="AE182" s="357"/>
      <c r="AF182" s="357"/>
      <c r="AG182" s="357"/>
      <c r="AH182" s="357"/>
      <c r="AI182" s="357"/>
      <c r="AJ182" s="357"/>
      <c r="AK182" s="357"/>
      <c r="AL182" s="357"/>
      <c r="AM182" s="357"/>
      <c r="AN182" s="357"/>
      <c r="AO182" s="357"/>
      <c r="AP182" s="357"/>
      <c r="AQ182" s="357"/>
      <c r="AR182" s="357"/>
      <c r="AS182" s="357"/>
      <c r="AT182" s="357"/>
      <c r="AU182" s="357"/>
    </row>
    <row r="183" ht="15.75" customHeight="1">
      <c r="A183" s="357"/>
      <c r="B183" s="357"/>
      <c r="C183" s="357"/>
      <c r="D183" s="360"/>
      <c r="E183" s="357"/>
      <c r="F183" s="357"/>
      <c r="G183" s="357"/>
      <c r="H183" s="357"/>
      <c r="I183" s="357"/>
      <c r="J183" s="357"/>
      <c r="K183" s="357"/>
      <c r="L183" s="357"/>
      <c r="M183" s="357"/>
      <c r="N183" s="357"/>
      <c r="O183" s="357"/>
      <c r="P183" s="357"/>
      <c r="Q183" s="357"/>
      <c r="R183" s="357"/>
      <c r="S183" s="357"/>
      <c r="T183" s="357"/>
      <c r="U183" s="357"/>
      <c r="V183" s="357"/>
      <c r="W183" s="357"/>
      <c r="Y183" s="357"/>
      <c r="Z183" s="357"/>
      <c r="AA183" s="357"/>
      <c r="AB183" s="357"/>
      <c r="AC183" s="357"/>
      <c r="AD183" s="357"/>
      <c r="AE183" s="357"/>
      <c r="AF183" s="357"/>
      <c r="AG183" s="357"/>
      <c r="AH183" s="357"/>
      <c r="AI183" s="357"/>
      <c r="AJ183" s="357"/>
      <c r="AK183" s="357"/>
      <c r="AL183" s="357"/>
      <c r="AM183" s="357"/>
      <c r="AN183" s="357"/>
      <c r="AO183" s="357"/>
      <c r="AP183" s="357"/>
      <c r="AQ183" s="357"/>
      <c r="AR183" s="357"/>
      <c r="AS183" s="357"/>
      <c r="AT183" s="357"/>
      <c r="AU183" s="357"/>
    </row>
    <row r="184" ht="15.75" customHeight="1">
      <c r="A184" s="357"/>
      <c r="B184" s="357"/>
      <c r="C184" s="357"/>
      <c r="D184" s="360"/>
      <c r="E184" s="357"/>
      <c r="F184" s="357"/>
      <c r="G184" s="357"/>
      <c r="H184" s="357"/>
      <c r="I184" s="357"/>
      <c r="J184" s="357"/>
      <c r="K184" s="357"/>
      <c r="L184" s="357"/>
      <c r="M184" s="357"/>
      <c r="N184" s="357"/>
      <c r="O184" s="357"/>
      <c r="P184" s="357"/>
      <c r="Q184" s="357"/>
      <c r="R184" s="357"/>
      <c r="S184" s="357"/>
      <c r="T184" s="357"/>
      <c r="U184" s="357"/>
      <c r="V184" s="357"/>
      <c r="W184" s="357"/>
      <c r="Y184" s="357"/>
      <c r="Z184" s="357"/>
      <c r="AA184" s="357"/>
      <c r="AB184" s="357"/>
      <c r="AC184" s="357"/>
      <c r="AD184" s="357"/>
      <c r="AE184" s="357"/>
      <c r="AF184" s="357"/>
      <c r="AG184" s="357"/>
      <c r="AH184" s="357"/>
      <c r="AI184" s="357"/>
      <c r="AJ184" s="357"/>
      <c r="AK184" s="357"/>
      <c r="AL184" s="357"/>
      <c r="AM184" s="357"/>
      <c r="AN184" s="357"/>
      <c r="AO184" s="357"/>
      <c r="AP184" s="357"/>
      <c r="AQ184" s="357"/>
      <c r="AR184" s="357"/>
      <c r="AS184" s="357"/>
      <c r="AT184" s="357"/>
      <c r="AU184" s="357"/>
    </row>
    <row r="185" ht="15.75" customHeight="1">
      <c r="A185" s="357"/>
      <c r="B185" s="357"/>
      <c r="C185" s="357"/>
      <c r="D185" s="360"/>
      <c r="E185" s="357"/>
      <c r="F185" s="357"/>
      <c r="G185" s="357"/>
      <c r="H185" s="357"/>
      <c r="I185" s="357"/>
      <c r="J185" s="357"/>
      <c r="K185" s="357"/>
      <c r="L185" s="357"/>
      <c r="M185" s="357"/>
      <c r="N185" s="357"/>
      <c r="O185" s="357"/>
      <c r="P185" s="357"/>
      <c r="Q185" s="357"/>
      <c r="R185" s="357"/>
      <c r="S185" s="357"/>
      <c r="T185" s="357"/>
      <c r="U185" s="357"/>
      <c r="V185" s="357"/>
      <c r="W185" s="357"/>
      <c r="Y185" s="357"/>
      <c r="Z185" s="357"/>
      <c r="AA185" s="357"/>
      <c r="AB185" s="357"/>
      <c r="AC185" s="357"/>
      <c r="AD185" s="357"/>
      <c r="AE185" s="357"/>
      <c r="AF185" s="357"/>
      <c r="AG185" s="357"/>
      <c r="AH185" s="357"/>
      <c r="AI185" s="357"/>
      <c r="AJ185" s="357"/>
      <c r="AK185" s="357"/>
      <c r="AL185" s="357"/>
      <c r="AM185" s="357"/>
      <c r="AN185" s="357"/>
      <c r="AO185" s="357"/>
      <c r="AP185" s="357"/>
      <c r="AQ185" s="357"/>
      <c r="AR185" s="357"/>
      <c r="AS185" s="357"/>
      <c r="AT185" s="357"/>
      <c r="AU185" s="357"/>
    </row>
    <row r="186" ht="15.75" customHeight="1">
      <c r="A186" s="357"/>
      <c r="B186" s="357"/>
      <c r="C186" s="357"/>
      <c r="D186" s="360"/>
      <c r="E186" s="357"/>
      <c r="F186" s="357"/>
      <c r="G186" s="357"/>
      <c r="H186" s="357"/>
      <c r="I186" s="357"/>
      <c r="J186" s="357"/>
      <c r="K186" s="357"/>
      <c r="L186" s="357"/>
      <c r="M186" s="357"/>
      <c r="N186" s="357"/>
      <c r="O186" s="357"/>
      <c r="P186" s="357"/>
      <c r="Q186" s="357"/>
      <c r="R186" s="357"/>
      <c r="S186" s="357"/>
      <c r="T186" s="357"/>
      <c r="U186" s="357"/>
      <c r="V186" s="357"/>
      <c r="W186" s="357"/>
      <c r="Y186" s="357"/>
      <c r="Z186" s="357"/>
      <c r="AA186" s="357"/>
      <c r="AB186" s="357"/>
      <c r="AC186" s="357"/>
      <c r="AD186" s="357"/>
      <c r="AE186" s="357"/>
      <c r="AF186" s="357"/>
      <c r="AG186" s="357"/>
      <c r="AH186" s="357"/>
      <c r="AI186" s="357"/>
      <c r="AJ186" s="357"/>
      <c r="AK186" s="357"/>
      <c r="AL186" s="357"/>
      <c r="AM186" s="357"/>
      <c r="AN186" s="357"/>
      <c r="AO186" s="357"/>
      <c r="AP186" s="357"/>
      <c r="AQ186" s="357"/>
      <c r="AR186" s="357"/>
      <c r="AS186" s="357"/>
      <c r="AT186" s="357"/>
      <c r="AU186" s="357"/>
    </row>
    <row r="187" ht="15.75" customHeight="1">
      <c r="A187" s="357"/>
      <c r="B187" s="357"/>
      <c r="C187" s="357"/>
      <c r="D187" s="360"/>
      <c r="E187" s="357"/>
      <c r="F187" s="357"/>
      <c r="G187" s="357"/>
      <c r="H187" s="357"/>
      <c r="I187" s="357"/>
      <c r="J187" s="357"/>
      <c r="K187" s="357"/>
      <c r="L187" s="357"/>
      <c r="M187" s="357"/>
      <c r="N187" s="357"/>
      <c r="O187" s="357"/>
      <c r="P187" s="357"/>
      <c r="Q187" s="357"/>
      <c r="R187" s="357"/>
      <c r="S187" s="357"/>
      <c r="T187" s="357"/>
      <c r="U187" s="357"/>
      <c r="V187" s="357"/>
      <c r="W187" s="357"/>
      <c r="Y187" s="357"/>
      <c r="Z187" s="357"/>
      <c r="AA187" s="357"/>
      <c r="AB187" s="357"/>
      <c r="AC187" s="357"/>
      <c r="AD187" s="357"/>
      <c r="AE187" s="357"/>
      <c r="AF187" s="357"/>
      <c r="AG187" s="357"/>
      <c r="AH187" s="357"/>
      <c r="AI187" s="357"/>
      <c r="AJ187" s="357"/>
      <c r="AK187" s="357"/>
      <c r="AL187" s="357"/>
      <c r="AM187" s="357"/>
      <c r="AN187" s="357"/>
      <c r="AO187" s="357"/>
      <c r="AP187" s="357"/>
      <c r="AQ187" s="357"/>
      <c r="AR187" s="357"/>
      <c r="AS187" s="357"/>
      <c r="AT187" s="357"/>
      <c r="AU187" s="357"/>
    </row>
    <row r="188" ht="15.75" customHeight="1">
      <c r="A188" s="357"/>
      <c r="B188" s="357"/>
      <c r="C188" s="357"/>
      <c r="D188" s="360"/>
      <c r="E188" s="357"/>
      <c r="F188" s="357"/>
      <c r="G188" s="357"/>
      <c r="H188" s="357"/>
      <c r="I188" s="357"/>
      <c r="J188" s="357"/>
      <c r="K188" s="357"/>
      <c r="L188" s="357"/>
      <c r="M188" s="357"/>
      <c r="N188" s="357"/>
      <c r="O188" s="357"/>
      <c r="P188" s="357"/>
      <c r="Q188" s="357"/>
      <c r="R188" s="357"/>
      <c r="S188" s="357"/>
      <c r="T188" s="357"/>
      <c r="U188" s="357"/>
      <c r="V188" s="357"/>
      <c r="W188" s="357"/>
      <c r="Y188" s="357"/>
      <c r="Z188" s="357"/>
      <c r="AA188" s="357"/>
      <c r="AB188" s="357"/>
      <c r="AC188" s="357"/>
      <c r="AD188" s="357"/>
      <c r="AE188" s="357"/>
      <c r="AF188" s="357"/>
      <c r="AG188" s="357"/>
      <c r="AH188" s="357"/>
      <c r="AI188" s="357"/>
      <c r="AJ188" s="357"/>
      <c r="AK188" s="357"/>
      <c r="AL188" s="357"/>
      <c r="AM188" s="357"/>
      <c r="AN188" s="357"/>
      <c r="AO188" s="357"/>
      <c r="AP188" s="357"/>
      <c r="AQ188" s="357"/>
      <c r="AR188" s="357"/>
      <c r="AS188" s="357"/>
      <c r="AT188" s="357"/>
      <c r="AU188" s="357"/>
    </row>
    <row r="189" ht="15.75" customHeight="1">
      <c r="A189" s="357"/>
      <c r="B189" s="357"/>
      <c r="C189" s="357"/>
      <c r="D189" s="360"/>
      <c r="E189" s="357"/>
      <c r="F189" s="357"/>
      <c r="G189" s="357"/>
      <c r="H189" s="357"/>
      <c r="I189" s="357"/>
      <c r="J189" s="357"/>
      <c r="K189" s="357"/>
      <c r="L189" s="357"/>
      <c r="M189" s="357"/>
      <c r="N189" s="357"/>
      <c r="O189" s="357"/>
      <c r="P189" s="357"/>
      <c r="Q189" s="357"/>
      <c r="R189" s="357"/>
      <c r="S189" s="357"/>
      <c r="T189" s="357"/>
      <c r="U189" s="357"/>
      <c r="V189" s="357"/>
      <c r="W189" s="357"/>
      <c r="Y189" s="357"/>
      <c r="Z189" s="357"/>
      <c r="AA189" s="357"/>
      <c r="AB189" s="357"/>
      <c r="AC189" s="357"/>
      <c r="AD189" s="357"/>
      <c r="AE189" s="357"/>
      <c r="AF189" s="357"/>
      <c r="AG189" s="357"/>
      <c r="AH189" s="357"/>
      <c r="AI189" s="357"/>
      <c r="AJ189" s="357"/>
      <c r="AK189" s="357"/>
      <c r="AL189" s="357"/>
      <c r="AM189" s="357"/>
      <c r="AN189" s="357"/>
      <c r="AO189" s="357"/>
      <c r="AP189" s="357"/>
      <c r="AQ189" s="357"/>
      <c r="AR189" s="357"/>
      <c r="AS189" s="357"/>
      <c r="AT189" s="357"/>
      <c r="AU189" s="357"/>
    </row>
    <row r="190" ht="15.75" customHeight="1">
      <c r="A190" s="357"/>
      <c r="B190" s="357"/>
      <c r="C190" s="357"/>
      <c r="D190" s="360"/>
      <c r="E190" s="357"/>
      <c r="F190" s="357"/>
      <c r="G190" s="357"/>
      <c r="H190" s="357"/>
      <c r="I190" s="357"/>
      <c r="J190" s="357"/>
      <c r="K190" s="357"/>
      <c r="L190" s="357"/>
      <c r="M190" s="357"/>
      <c r="N190" s="357"/>
      <c r="O190" s="357"/>
      <c r="P190" s="357"/>
      <c r="Q190" s="357"/>
      <c r="R190" s="357"/>
      <c r="S190" s="357"/>
      <c r="T190" s="357"/>
      <c r="U190" s="357"/>
      <c r="V190" s="357"/>
      <c r="W190" s="357"/>
      <c r="Y190" s="357"/>
      <c r="Z190" s="357"/>
      <c r="AA190" s="357"/>
      <c r="AB190" s="357"/>
      <c r="AC190" s="357"/>
      <c r="AD190" s="357"/>
      <c r="AE190" s="357"/>
      <c r="AF190" s="357"/>
      <c r="AG190" s="357"/>
      <c r="AH190" s="357"/>
      <c r="AI190" s="357"/>
      <c r="AJ190" s="357"/>
      <c r="AK190" s="357"/>
      <c r="AL190" s="357"/>
      <c r="AM190" s="357"/>
      <c r="AN190" s="357"/>
      <c r="AO190" s="357"/>
      <c r="AP190" s="357"/>
      <c r="AQ190" s="357"/>
      <c r="AR190" s="357"/>
      <c r="AS190" s="357"/>
      <c r="AT190" s="357"/>
      <c r="AU190" s="357"/>
    </row>
    <row r="191" ht="15.75" customHeight="1">
      <c r="A191" s="357"/>
      <c r="B191" s="357"/>
      <c r="C191" s="357"/>
      <c r="D191" s="360"/>
      <c r="E191" s="357"/>
      <c r="F191" s="357"/>
      <c r="G191" s="357"/>
      <c r="H191" s="357"/>
      <c r="I191" s="357"/>
      <c r="J191" s="357"/>
      <c r="K191" s="357"/>
      <c r="L191" s="357"/>
      <c r="M191" s="357"/>
      <c r="N191" s="357"/>
      <c r="O191" s="357"/>
      <c r="P191" s="357"/>
      <c r="Q191" s="357"/>
      <c r="R191" s="357"/>
      <c r="S191" s="357"/>
      <c r="T191" s="357"/>
      <c r="U191" s="357"/>
      <c r="V191" s="357"/>
      <c r="W191" s="357"/>
      <c r="Y191" s="357"/>
      <c r="Z191" s="357"/>
      <c r="AA191" s="357"/>
      <c r="AB191" s="357"/>
      <c r="AC191" s="357"/>
      <c r="AD191" s="357"/>
      <c r="AE191" s="357"/>
      <c r="AF191" s="357"/>
      <c r="AG191" s="357"/>
      <c r="AH191" s="357"/>
      <c r="AI191" s="357"/>
      <c r="AJ191" s="357"/>
      <c r="AK191" s="357"/>
      <c r="AL191" s="357"/>
      <c r="AM191" s="357"/>
      <c r="AN191" s="357"/>
      <c r="AO191" s="357"/>
      <c r="AP191" s="357"/>
      <c r="AQ191" s="357"/>
      <c r="AR191" s="357"/>
      <c r="AS191" s="357"/>
      <c r="AT191" s="357"/>
      <c r="AU191" s="357"/>
    </row>
    <row r="192" ht="15.75" customHeight="1">
      <c r="A192" s="357"/>
      <c r="B192" s="357"/>
      <c r="C192" s="357"/>
      <c r="D192" s="360"/>
      <c r="E192" s="357"/>
      <c r="F192" s="357"/>
      <c r="G192" s="357"/>
      <c r="H192" s="357"/>
      <c r="I192" s="357"/>
      <c r="J192" s="357"/>
      <c r="K192" s="357"/>
      <c r="L192" s="357"/>
      <c r="M192" s="357"/>
      <c r="N192" s="357"/>
      <c r="O192" s="357"/>
      <c r="P192" s="357"/>
      <c r="Q192" s="357"/>
      <c r="R192" s="357"/>
      <c r="S192" s="357"/>
      <c r="T192" s="357"/>
      <c r="U192" s="357"/>
      <c r="V192" s="357"/>
      <c r="W192" s="357"/>
      <c r="Y192" s="357"/>
      <c r="Z192" s="357"/>
      <c r="AA192" s="357"/>
      <c r="AB192" s="357"/>
      <c r="AC192" s="357"/>
      <c r="AD192" s="357"/>
      <c r="AE192" s="357"/>
      <c r="AF192" s="357"/>
      <c r="AG192" s="357"/>
      <c r="AH192" s="357"/>
      <c r="AI192" s="357"/>
      <c r="AJ192" s="357"/>
      <c r="AK192" s="357"/>
      <c r="AL192" s="357"/>
      <c r="AM192" s="357"/>
      <c r="AN192" s="357"/>
      <c r="AO192" s="357"/>
      <c r="AP192" s="357"/>
      <c r="AQ192" s="357"/>
      <c r="AR192" s="357"/>
      <c r="AS192" s="357"/>
      <c r="AT192" s="357"/>
      <c r="AU192" s="357"/>
    </row>
    <row r="193" ht="15.75" customHeight="1">
      <c r="A193" s="357"/>
      <c r="B193" s="357"/>
      <c r="C193" s="357"/>
      <c r="D193" s="360"/>
      <c r="E193" s="357"/>
      <c r="F193" s="357"/>
      <c r="G193" s="357"/>
      <c r="H193" s="357"/>
      <c r="I193" s="357"/>
      <c r="J193" s="357"/>
      <c r="K193" s="357"/>
      <c r="L193" s="357"/>
      <c r="M193" s="357"/>
      <c r="N193" s="357"/>
      <c r="O193" s="357"/>
      <c r="P193" s="357"/>
      <c r="Q193" s="357"/>
      <c r="R193" s="357"/>
      <c r="S193" s="357"/>
      <c r="T193" s="357"/>
      <c r="U193" s="357"/>
      <c r="V193" s="357"/>
      <c r="W193" s="357"/>
      <c r="Y193" s="357"/>
      <c r="Z193" s="357"/>
      <c r="AA193" s="357"/>
      <c r="AB193" s="357"/>
      <c r="AC193" s="357"/>
      <c r="AD193" s="357"/>
      <c r="AE193" s="357"/>
      <c r="AF193" s="357"/>
      <c r="AG193" s="357"/>
      <c r="AH193" s="357"/>
      <c r="AI193" s="357"/>
      <c r="AJ193" s="357"/>
      <c r="AK193" s="357"/>
      <c r="AL193" s="357"/>
      <c r="AM193" s="357"/>
      <c r="AN193" s="357"/>
      <c r="AO193" s="357"/>
      <c r="AP193" s="357"/>
      <c r="AQ193" s="357"/>
      <c r="AR193" s="357"/>
      <c r="AS193" s="357"/>
      <c r="AT193" s="357"/>
      <c r="AU193" s="357"/>
    </row>
    <row r="194" ht="15.75" customHeight="1">
      <c r="A194" s="357"/>
      <c r="B194" s="357"/>
      <c r="C194" s="357"/>
      <c r="D194" s="360"/>
      <c r="E194" s="357"/>
      <c r="F194" s="357"/>
      <c r="G194" s="357"/>
      <c r="H194" s="357"/>
      <c r="I194" s="357"/>
      <c r="J194" s="357"/>
      <c r="K194" s="357"/>
      <c r="L194" s="357"/>
      <c r="M194" s="357"/>
      <c r="N194" s="357"/>
      <c r="O194" s="357"/>
      <c r="P194" s="357"/>
      <c r="Q194" s="357"/>
      <c r="R194" s="357"/>
      <c r="S194" s="357"/>
      <c r="T194" s="357"/>
      <c r="U194" s="357"/>
      <c r="V194" s="357"/>
      <c r="W194" s="357"/>
      <c r="Y194" s="357"/>
      <c r="Z194" s="357"/>
      <c r="AA194" s="357"/>
      <c r="AB194" s="357"/>
      <c r="AC194" s="357"/>
      <c r="AD194" s="357"/>
      <c r="AE194" s="357"/>
      <c r="AF194" s="357"/>
      <c r="AG194" s="357"/>
      <c r="AH194" s="357"/>
      <c r="AI194" s="357"/>
      <c r="AJ194" s="357"/>
      <c r="AK194" s="357"/>
      <c r="AL194" s="357"/>
      <c r="AM194" s="357"/>
      <c r="AN194" s="357"/>
      <c r="AO194" s="357"/>
      <c r="AP194" s="357"/>
      <c r="AQ194" s="357"/>
      <c r="AR194" s="357"/>
      <c r="AS194" s="357"/>
      <c r="AT194" s="357"/>
      <c r="AU194" s="357"/>
    </row>
    <row r="195" ht="15.75" customHeight="1">
      <c r="A195" s="357"/>
      <c r="B195" s="357"/>
      <c r="C195" s="357"/>
      <c r="D195" s="360"/>
      <c r="E195" s="357"/>
      <c r="F195" s="357"/>
      <c r="G195" s="357"/>
      <c r="H195" s="357"/>
      <c r="I195" s="357"/>
      <c r="J195" s="357"/>
      <c r="K195" s="357"/>
      <c r="L195" s="357"/>
      <c r="M195" s="357"/>
      <c r="N195" s="357"/>
      <c r="O195" s="357"/>
      <c r="P195" s="357"/>
      <c r="Q195" s="357"/>
      <c r="R195" s="357"/>
      <c r="S195" s="357"/>
      <c r="T195" s="357"/>
      <c r="U195" s="357"/>
      <c r="V195" s="357"/>
      <c r="W195" s="357"/>
      <c r="Y195" s="357"/>
      <c r="Z195" s="357"/>
      <c r="AA195" s="357"/>
      <c r="AB195" s="357"/>
      <c r="AC195" s="357"/>
      <c r="AD195" s="357"/>
      <c r="AE195" s="357"/>
      <c r="AF195" s="357"/>
      <c r="AG195" s="357"/>
      <c r="AH195" s="357"/>
      <c r="AI195" s="357"/>
      <c r="AJ195" s="357"/>
      <c r="AK195" s="357"/>
      <c r="AL195" s="357"/>
      <c r="AM195" s="357"/>
      <c r="AN195" s="357"/>
      <c r="AO195" s="357"/>
      <c r="AP195" s="357"/>
      <c r="AQ195" s="357"/>
      <c r="AR195" s="357"/>
      <c r="AS195" s="357"/>
      <c r="AT195" s="357"/>
      <c r="AU195" s="357"/>
    </row>
    <row r="196" ht="15.75" customHeight="1">
      <c r="A196" s="357"/>
      <c r="B196" s="357"/>
      <c r="C196" s="357"/>
      <c r="D196" s="360"/>
      <c r="E196" s="357"/>
      <c r="F196" s="357"/>
      <c r="G196" s="357"/>
      <c r="H196" s="357"/>
      <c r="I196" s="357"/>
      <c r="J196" s="357"/>
      <c r="K196" s="357"/>
      <c r="L196" s="357"/>
      <c r="M196" s="357"/>
      <c r="N196" s="357"/>
      <c r="O196" s="357"/>
      <c r="P196" s="357"/>
      <c r="Q196" s="357"/>
      <c r="R196" s="357"/>
      <c r="S196" s="357"/>
      <c r="T196" s="357"/>
      <c r="U196" s="357"/>
      <c r="V196" s="357"/>
      <c r="W196" s="357"/>
      <c r="Y196" s="357"/>
      <c r="Z196" s="357"/>
      <c r="AA196" s="357"/>
      <c r="AB196" s="357"/>
      <c r="AC196" s="357"/>
      <c r="AD196" s="357"/>
      <c r="AE196" s="357"/>
      <c r="AF196" s="357"/>
      <c r="AG196" s="357"/>
      <c r="AH196" s="357"/>
      <c r="AI196" s="357"/>
      <c r="AJ196" s="357"/>
      <c r="AK196" s="357"/>
      <c r="AL196" s="357"/>
      <c r="AM196" s="357"/>
      <c r="AN196" s="357"/>
      <c r="AO196" s="357"/>
      <c r="AP196" s="357"/>
      <c r="AQ196" s="357"/>
      <c r="AR196" s="357"/>
      <c r="AS196" s="357"/>
      <c r="AT196" s="357"/>
      <c r="AU196" s="357"/>
    </row>
    <row r="197" ht="15.75" customHeight="1">
      <c r="A197" s="357"/>
      <c r="B197" s="357"/>
      <c r="C197" s="357"/>
      <c r="D197" s="360"/>
      <c r="E197" s="357"/>
      <c r="F197" s="357"/>
      <c r="G197" s="357"/>
      <c r="H197" s="357"/>
      <c r="I197" s="357"/>
      <c r="J197" s="357"/>
      <c r="K197" s="357"/>
      <c r="L197" s="357"/>
      <c r="M197" s="357"/>
      <c r="N197" s="357"/>
      <c r="O197" s="357"/>
      <c r="P197" s="357"/>
      <c r="Q197" s="357"/>
      <c r="R197" s="357"/>
      <c r="S197" s="357"/>
      <c r="T197" s="357"/>
      <c r="U197" s="357"/>
      <c r="V197" s="357"/>
      <c r="W197" s="357"/>
      <c r="Y197" s="357"/>
      <c r="Z197" s="357"/>
      <c r="AA197" s="357"/>
      <c r="AB197" s="357"/>
      <c r="AC197" s="357"/>
      <c r="AD197" s="357"/>
      <c r="AE197" s="357"/>
      <c r="AF197" s="357"/>
      <c r="AG197" s="357"/>
      <c r="AH197" s="357"/>
      <c r="AI197" s="357"/>
      <c r="AJ197" s="357"/>
      <c r="AK197" s="357"/>
      <c r="AL197" s="357"/>
      <c r="AM197" s="357"/>
      <c r="AN197" s="357"/>
      <c r="AO197" s="357"/>
      <c r="AP197" s="357"/>
      <c r="AQ197" s="357"/>
      <c r="AR197" s="357"/>
      <c r="AS197" s="357"/>
      <c r="AT197" s="357"/>
      <c r="AU197" s="357"/>
    </row>
    <row r="198" ht="15.75" customHeight="1">
      <c r="A198" s="357"/>
      <c r="B198" s="357"/>
      <c r="C198" s="357"/>
      <c r="D198" s="360"/>
      <c r="E198" s="357"/>
      <c r="F198" s="357"/>
      <c r="G198" s="357"/>
      <c r="H198" s="357"/>
      <c r="I198" s="357"/>
      <c r="J198" s="357"/>
      <c r="K198" s="357"/>
      <c r="L198" s="357"/>
      <c r="M198" s="357"/>
      <c r="N198" s="357"/>
      <c r="O198" s="357"/>
      <c r="P198" s="357"/>
      <c r="Q198" s="357"/>
      <c r="R198" s="357"/>
      <c r="S198" s="357"/>
      <c r="T198" s="357"/>
      <c r="U198" s="357"/>
      <c r="V198" s="357"/>
      <c r="W198" s="357"/>
      <c r="Y198" s="357"/>
      <c r="Z198" s="357"/>
      <c r="AA198" s="357"/>
      <c r="AB198" s="357"/>
      <c r="AC198" s="357"/>
      <c r="AD198" s="357"/>
      <c r="AE198" s="357"/>
      <c r="AF198" s="357"/>
      <c r="AG198" s="357"/>
      <c r="AH198" s="357"/>
      <c r="AI198" s="357"/>
      <c r="AJ198" s="357"/>
      <c r="AK198" s="357"/>
      <c r="AL198" s="357"/>
      <c r="AM198" s="357"/>
      <c r="AN198" s="357"/>
      <c r="AO198" s="357"/>
      <c r="AP198" s="357"/>
      <c r="AQ198" s="357"/>
      <c r="AR198" s="357"/>
      <c r="AS198" s="357"/>
      <c r="AT198" s="357"/>
      <c r="AU198" s="357"/>
    </row>
    <row r="199" ht="15.75" customHeight="1">
      <c r="A199" s="357"/>
      <c r="B199" s="357"/>
      <c r="C199" s="357"/>
      <c r="D199" s="360"/>
      <c r="E199" s="357"/>
      <c r="F199" s="357"/>
      <c r="G199" s="357"/>
      <c r="H199" s="357"/>
      <c r="I199" s="357"/>
      <c r="J199" s="357"/>
      <c r="K199" s="357"/>
      <c r="L199" s="357"/>
      <c r="M199" s="357"/>
      <c r="N199" s="357"/>
      <c r="O199" s="357"/>
      <c r="P199" s="357"/>
      <c r="Q199" s="357"/>
      <c r="R199" s="357"/>
      <c r="S199" s="357"/>
      <c r="T199" s="357"/>
      <c r="U199" s="357"/>
      <c r="V199" s="357"/>
      <c r="W199" s="357"/>
      <c r="Y199" s="357"/>
      <c r="Z199" s="357"/>
      <c r="AA199" s="357"/>
      <c r="AB199" s="357"/>
      <c r="AC199" s="357"/>
      <c r="AD199" s="357"/>
      <c r="AE199" s="357"/>
      <c r="AF199" s="357"/>
      <c r="AG199" s="357"/>
      <c r="AH199" s="357"/>
      <c r="AI199" s="357"/>
      <c r="AJ199" s="357"/>
      <c r="AK199" s="357"/>
      <c r="AL199" s="357"/>
      <c r="AM199" s="357"/>
      <c r="AN199" s="357"/>
      <c r="AO199" s="357"/>
      <c r="AP199" s="357"/>
      <c r="AQ199" s="357"/>
      <c r="AR199" s="357"/>
      <c r="AS199" s="357"/>
      <c r="AT199" s="357"/>
      <c r="AU199" s="357"/>
    </row>
    <row r="200" ht="15.75" customHeight="1">
      <c r="A200" s="357"/>
      <c r="B200" s="357"/>
      <c r="C200" s="357"/>
      <c r="D200" s="360"/>
      <c r="E200" s="357"/>
      <c r="F200" s="357"/>
      <c r="G200" s="357"/>
      <c r="H200" s="357"/>
      <c r="I200" s="357"/>
      <c r="J200" s="357"/>
      <c r="K200" s="357"/>
      <c r="L200" s="357"/>
      <c r="M200" s="357"/>
      <c r="N200" s="357"/>
      <c r="O200" s="357"/>
      <c r="P200" s="357"/>
      <c r="Q200" s="357"/>
      <c r="R200" s="357"/>
      <c r="S200" s="357"/>
      <c r="T200" s="357"/>
      <c r="U200" s="357"/>
      <c r="V200" s="357"/>
      <c r="W200" s="357"/>
      <c r="Y200" s="357"/>
      <c r="Z200" s="357"/>
      <c r="AA200" s="357"/>
      <c r="AB200" s="357"/>
      <c r="AC200" s="357"/>
      <c r="AD200" s="357"/>
      <c r="AE200" s="357"/>
      <c r="AF200" s="357"/>
      <c r="AG200" s="357"/>
      <c r="AH200" s="357"/>
      <c r="AI200" s="357"/>
      <c r="AJ200" s="357"/>
      <c r="AK200" s="357"/>
      <c r="AL200" s="357"/>
      <c r="AM200" s="357"/>
      <c r="AN200" s="357"/>
      <c r="AO200" s="357"/>
      <c r="AP200" s="357"/>
      <c r="AQ200" s="357"/>
      <c r="AR200" s="357"/>
      <c r="AS200" s="357"/>
      <c r="AT200" s="357"/>
      <c r="AU200" s="357"/>
    </row>
    <row r="201" ht="15.75" customHeight="1">
      <c r="A201" s="357"/>
      <c r="B201" s="357"/>
      <c r="C201" s="357"/>
      <c r="D201" s="360"/>
      <c r="E201" s="357"/>
      <c r="F201" s="357"/>
      <c r="G201" s="357"/>
      <c r="H201" s="357"/>
      <c r="I201" s="357"/>
      <c r="J201" s="357"/>
      <c r="K201" s="357"/>
      <c r="L201" s="357"/>
      <c r="M201" s="357"/>
      <c r="N201" s="357"/>
      <c r="O201" s="357"/>
      <c r="P201" s="357"/>
      <c r="Q201" s="357"/>
      <c r="R201" s="357"/>
      <c r="S201" s="357"/>
      <c r="T201" s="357"/>
      <c r="U201" s="357"/>
      <c r="V201" s="357"/>
      <c r="W201" s="357"/>
      <c r="Y201" s="357"/>
      <c r="Z201" s="357"/>
      <c r="AA201" s="357"/>
      <c r="AB201" s="357"/>
      <c r="AC201" s="357"/>
      <c r="AD201" s="357"/>
      <c r="AE201" s="357"/>
      <c r="AF201" s="357"/>
      <c r="AG201" s="357"/>
      <c r="AH201" s="357"/>
      <c r="AI201" s="357"/>
      <c r="AJ201" s="357"/>
      <c r="AK201" s="357"/>
      <c r="AL201" s="357"/>
      <c r="AM201" s="357"/>
      <c r="AN201" s="357"/>
      <c r="AO201" s="357"/>
      <c r="AP201" s="357"/>
      <c r="AQ201" s="357"/>
      <c r="AR201" s="357"/>
      <c r="AS201" s="357"/>
      <c r="AT201" s="357"/>
      <c r="AU201" s="357"/>
    </row>
    <row r="202" ht="15.75" customHeight="1">
      <c r="A202" s="357"/>
      <c r="B202" s="357"/>
      <c r="C202" s="357"/>
      <c r="D202" s="360"/>
      <c r="E202" s="357"/>
      <c r="F202" s="357"/>
      <c r="G202" s="357"/>
      <c r="H202" s="357"/>
      <c r="I202" s="357"/>
      <c r="J202" s="357"/>
      <c r="K202" s="357"/>
      <c r="L202" s="357"/>
      <c r="M202" s="357"/>
      <c r="N202" s="357"/>
      <c r="O202" s="357"/>
      <c r="P202" s="357"/>
      <c r="Q202" s="357"/>
      <c r="R202" s="357"/>
      <c r="S202" s="357"/>
      <c r="T202" s="357"/>
      <c r="U202" s="357"/>
      <c r="V202" s="357"/>
      <c r="W202" s="357"/>
      <c r="Y202" s="357"/>
      <c r="Z202" s="357"/>
      <c r="AA202" s="357"/>
      <c r="AB202" s="357"/>
      <c r="AC202" s="357"/>
      <c r="AD202" s="357"/>
      <c r="AE202" s="357"/>
      <c r="AF202" s="357"/>
      <c r="AG202" s="357"/>
      <c r="AH202" s="357"/>
      <c r="AI202" s="357"/>
      <c r="AJ202" s="357"/>
      <c r="AK202" s="357"/>
      <c r="AL202" s="357"/>
      <c r="AM202" s="357"/>
      <c r="AN202" s="357"/>
      <c r="AO202" s="357"/>
      <c r="AP202" s="357"/>
      <c r="AQ202" s="357"/>
      <c r="AR202" s="357"/>
      <c r="AS202" s="357"/>
      <c r="AT202" s="357"/>
      <c r="AU202" s="357"/>
    </row>
    <row r="203" ht="15.75" customHeight="1">
      <c r="A203" s="357"/>
      <c r="B203" s="357"/>
      <c r="C203" s="357"/>
      <c r="D203" s="360"/>
      <c r="E203" s="357"/>
      <c r="F203" s="357"/>
      <c r="G203" s="357"/>
      <c r="H203" s="357"/>
      <c r="I203" s="357"/>
      <c r="J203" s="357"/>
      <c r="K203" s="357"/>
      <c r="L203" s="357"/>
      <c r="M203" s="357"/>
      <c r="N203" s="357"/>
      <c r="O203" s="357"/>
      <c r="P203" s="357"/>
      <c r="Q203" s="357"/>
      <c r="R203" s="357"/>
      <c r="S203" s="357"/>
      <c r="T203" s="357"/>
      <c r="U203" s="357"/>
      <c r="V203" s="357"/>
      <c r="W203" s="357"/>
      <c r="Y203" s="357"/>
      <c r="Z203" s="357"/>
      <c r="AA203" s="357"/>
      <c r="AB203" s="357"/>
      <c r="AC203" s="357"/>
      <c r="AD203" s="357"/>
      <c r="AE203" s="357"/>
      <c r="AF203" s="357"/>
      <c r="AG203" s="357"/>
      <c r="AH203" s="357"/>
      <c r="AI203" s="357"/>
      <c r="AJ203" s="357"/>
      <c r="AK203" s="357"/>
      <c r="AL203" s="357"/>
      <c r="AM203" s="357"/>
      <c r="AN203" s="357"/>
      <c r="AO203" s="357"/>
      <c r="AP203" s="357"/>
      <c r="AQ203" s="357"/>
      <c r="AR203" s="357"/>
      <c r="AS203" s="357"/>
      <c r="AT203" s="357"/>
      <c r="AU203" s="357"/>
    </row>
    <row r="204" ht="15.75" customHeight="1">
      <c r="A204" s="357"/>
      <c r="B204" s="357"/>
      <c r="C204" s="357"/>
      <c r="D204" s="360"/>
      <c r="E204" s="357"/>
      <c r="F204" s="357"/>
      <c r="G204" s="357"/>
      <c r="H204" s="357"/>
      <c r="I204" s="357"/>
      <c r="J204" s="357"/>
      <c r="K204" s="357"/>
      <c r="L204" s="357"/>
      <c r="M204" s="357"/>
      <c r="N204" s="357"/>
      <c r="O204" s="357"/>
      <c r="P204" s="357"/>
      <c r="Q204" s="357"/>
      <c r="R204" s="357"/>
      <c r="S204" s="357"/>
      <c r="T204" s="357"/>
      <c r="U204" s="357"/>
      <c r="V204" s="357"/>
      <c r="W204" s="357"/>
      <c r="Y204" s="357"/>
      <c r="Z204" s="357"/>
      <c r="AA204" s="357"/>
      <c r="AB204" s="357"/>
      <c r="AC204" s="357"/>
      <c r="AD204" s="357"/>
      <c r="AE204" s="357"/>
      <c r="AF204" s="357"/>
      <c r="AG204" s="357"/>
      <c r="AH204" s="357"/>
      <c r="AI204" s="357"/>
      <c r="AJ204" s="357"/>
      <c r="AK204" s="357"/>
      <c r="AL204" s="357"/>
      <c r="AM204" s="357"/>
      <c r="AN204" s="357"/>
      <c r="AO204" s="357"/>
      <c r="AP204" s="357"/>
      <c r="AQ204" s="357"/>
      <c r="AR204" s="357"/>
      <c r="AS204" s="357"/>
      <c r="AT204" s="357"/>
      <c r="AU204" s="357"/>
    </row>
    <row r="205" ht="15.75" customHeight="1">
      <c r="A205" s="357"/>
      <c r="B205" s="357"/>
      <c r="C205" s="357"/>
      <c r="D205" s="360"/>
      <c r="E205" s="357"/>
      <c r="F205" s="357"/>
      <c r="G205" s="357"/>
      <c r="H205" s="357"/>
      <c r="I205" s="357"/>
      <c r="J205" s="357"/>
      <c r="K205" s="357"/>
      <c r="L205" s="357"/>
      <c r="M205" s="357"/>
      <c r="N205" s="357"/>
      <c r="O205" s="357"/>
      <c r="P205" s="357"/>
      <c r="Q205" s="357"/>
      <c r="R205" s="357"/>
      <c r="S205" s="357"/>
      <c r="T205" s="357"/>
      <c r="U205" s="357"/>
      <c r="V205" s="357"/>
      <c r="W205" s="357"/>
      <c r="Y205" s="357"/>
      <c r="Z205" s="357"/>
      <c r="AA205" s="357"/>
      <c r="AB205" s="357"/>
      <c r="AC205" s="357"/>
      <c r="AD205" s="357"/>
      <c r="AE205" s="357"/>
      <c r="AF205" s="357"/>
      <c r="AG205" s="357"/>
      <c r="AH205" s="357"/>
      <c r="AI205" s="357"/>
      <c r="AJ205" s="357"/>
      <c r="AK205" s="357"/>
      <c r="AL205" s="357"/>
      <c r="AM205" s="357"/>
      <c r="AN205" s="357"/>
      <c r="AO205" s="357"/>
      <c r="AP205" s="357"/>
      <c r="AQ205" s="357"/>
      <c r="AR205" s="357"/>
      <c r="AS205" s="357"/>
      <c r="AT205" s="357"/>
      <c r="AU205" s="357"/>
    </row>
    <row r="206" ht="15.75" customHeight="1">
      <c r="A206" s="357"/>
      <c r="B206" s="357"/>
      <c r="C206" s="357"/>
      <c r="D206" s="360"/>
      <c r="E206" s="357"/>
      <c r="F206" s="357"/>
      <c r="G206" s="357"/>
      <c r="H206" s="357"/>
      <c r="I206" s="357"/>
      <c r="J206" s="357"/>
      <c r="K206" s="357"/>
      <c r="L206" s="357"/>
      <c r="M206" s="357"/>
      <c r="N206" s="357"/>
      <c r="O206" s="357"/>
      <c r="P206" s="357"/>
      <c r="Q206" s="357"/>
      <c r="R206" s="357"/>
      <c r="S206" s="357"/>
      <c r="T206" s="357"/>
      <c r="U206" s="357"/>
      <c r="V206" s="357"/>
      <c r="W206" s="357"/>
      <c r="Y206" s="357"/>
      <c r="Z206" s="357"/>
      <c r="AA206" s="357"/>
      <c r="AB206" s="357"/>
      <c r="AC206" s="357"/>
      <c r="AD206" s="357"/>
      <c r="AE206" s="357"/>
      <c r="AF206" s="357"/>
      <c r="AG206" s="357"/>
      <c r="AH206" s="357"/>
      <c r="AI206" s="357"/>
      <c r="AJ206" s="357"/>
      <c r="AK206" s="357"/>
      <c r="AL206" s="357"/>
      <c r="AM206" s="357"/>
      <c r="AN206" s="357"/>
      <c r="AO206" s="357"/>
      <c r="AP206" s="357"/>
      <c r="AQ206" s="357"/>
      <c r="AR206" s="357"/>
      <c r="AS206" s="357"/>
      <c r="AT206" s="357"/>
      <c r="AU206" s="357"/>
    </row>
    <row r="207" ht="15.75" customHeight="1">
      <c r="A207" s="357"/>
      <c r="B207" s="357"/>
      <c r="C207" s="357"/>
      <c r="D207" s="360"/>
      <c r="E207" s="357"/>
      <c r="F207" s="357"/>
      <c r="G207" s="357"/>
      <c r="H207" s="357"/>
      <c r="I207" s="357"/>
      <c r="J207" s="357"/>
      <c r="K207" s="357"/>
      <c r="L207" s="357"/>
      <c r="M207" s="357"/>
      <c r="N207" s="357"/>
      <c r="O207" s="357"/>
      <c r="P207" s="357"/>
      <c r="Q207" s="357"/>
      <c r="R207" s="357"/>
      <c r="S207" s="357"/>
      <c r="T207" s="357"/>
      <c r="U207" s="357"/>
      <c r="V207" s="357"/>
      <c r="W207" s="357"/>
      <c r="Y207" s="357"/>
      <c r="Z207" s="357"/>
      <c r="AA207" s="357"/>
      <c r="AB207" s="357"/>
      <c r="AC207" s="357"/>
      <c r="AD207" s="357"/>
      <c r="AE207" s="357"/>
      <c r="AF207" s="357"/>
      <c r="AG207" s="357"/>
      <c r="AH207" s="357"/>
      <c r="AI207" s="357"/>
      <c r="AJ207" s="357"/>
      <c r="AK207" s="357"/>
      <c r="AL207" s="357"/>
      <c r="AM207" s="357"/>
      <c r="AN207" s="357"/>
      <c r="AO207" s="357"/>
      <c r="AP207" s="357"/>
      <c r="AQ207" s="357"/>
      <c r="AR207" s="357"/>
      <c r="AS207" s="357"/>
      <c r="AT207" s="357"/>
      <c r="AU207" s="357"/>
    </row>
    <row r="208" ht="15.75" customHeight="1">
      <c r="A208" s="357"/>
      <c r="B208" s="357"/>
      <c r="C208" s="357"/>
      <c r="D208" s="360"/>
      <c r="E208" s="357"/>
      <c r="F208" s="357"/>
      <c r="G208" s="357"/>
      <c r="H208" s="357"/>
      <c r="I208" s="357"/>
      <c r="J208" s="357"/>
      <c r="K208" s="357"/>
      <c r="L208" s="357"/>
      <c r="M208" s="357"/>
      <c r="N208" s="357"/>
      <c r="O208" s="357"/>
      <c r="P208" s="357"/>
      <c r="Q208" s="357"/>
      <c r="R208" s="357"/>
      <c r="S208" s="357"/>
      <c r="T208" s="357"/>
      <c r="U208" s="357"/>
      <c r="V208" s="357"/>
      <c r="W208" s="357"/>
      <c r="Y208" s="357"/>
      <c r="Z208" s="357"/>
      <c r="AA208" s="357"/>
      <c r="AB208" s="357"/>
      <c r="AC208" s="357"/>
      <c r="AD208" s="357"/>
      <c r="AE208" s="357"/>
      <c r="AF208" s="357"/>
      <c r="AG208" s="357"/>
      <c r="AH208" s="357"/>
      <c r="AI208" s="357"/>
      <c r="AJ208" s="357"/>
      <c r="AK208" s="357"/>
      <c r="AL208" s="357"/>
      <c r="AM208" s="357"/>
      <c r="AN208" s="357"/>
      <c r="AO208" s="357"/>
      <c r="AP208" s="357"/>
      <c r="AQ208" s="357"/>
      <c r="AR208" s="357"/>
      <c r="AS208" s="357"/>
      <c r="AT208" s="357"/>
      <c r="AU208" s="357"/>
    </row>
    <row r="209" ht="15.75" customHeight="1">
      <c r="A209" s="357"/>
      <c r="B209" s="357"/>
      <c r="C209" s="357"/>
      <c r="D209" s="360"/>
      <c r="E209" s="357"/>
      <c r="F209" s="357"/>
      <c r="G209" s="357"/>
      <c r="H209" s="357"/>
      <c r="I209" s="357"/>
      <c r="J209" s="357"/>
      <c r="K209" s="357"/>
      <c r="L209" s="357"/>
      <c r="M209" s="357"/>
      <c r="N209" s="357"/>
      <c r="O209" s="357"/>
      <c r="P209" s="357"/>
      <c r="Q209" s="357"/>
      <c r="R209" s="357"/>
      <c r="S209" s="357"/>
      <c r="T209" s="357"/>
      <c r="U209" s="357"/>
      <c r="V209" s="357"/>
      <c r="W209" s="357"/>
      <c r="Y209" s="357"/>
      <c r="Z209" s="357"/>
      <c r="AA209" s="357"/>
      <c r="AB209" s="357"/>
      <c r="AC209" s="357"/>
      <c r="AD209" s="357"/>
      <c r="AE209" s="357"/>
      <c r="AF209" s="357"/>
      <c r="AG209" s="357"/>
      <c r="AH209" s="357"/>
      <c r="AI209" s="357"/>
      <c r="AJ209" s="357"/>
      <c r="AK209" s="357"/>
      <c r="AL209" s="357"/>
      <c r="AM209" s="357"/>
      <c r="AN209" s="357"/>
      <c r="AO209" s="357"/>
      <c r="AP209" s="357"/>
      <c r="AQ209" s="357"/>
      <c r="AR209" s="357"/>
      <c r="AS209" s="357"/>
      <c r="AT209" s="357"/>
      <c r="AU209" s="357"/>
    </row>
    <row r="210" ht="15.75" customHeight="1">
      <c r="A210" s="357"/>
      <c r="B210" s="357"/>
      <c r="C210" s="357"/>
      <c r="D210" s="360"/>
      <c r="E210" s="357"/>
      <c r="F210" s="357"/>
      <c r="G210" s="357"/>
      <c r="H210" s="357"/>
      <c r="I210" s="357"/>
      <c r="J210" s="357"/>
      <c r="K210" s="357"/>
      <c r="L210" s="357"/>
      <c r="M210" s="357"/>
      <c r="N210" s="357"/>
      <c r="O210" s="357"/>
      <c r="P210" s="357"/>
      <c r="Q210" s="357"/>
      <c r="R210" s="357"/>
      <c r="S210" s="357"/>
      <c r="T210" s="357"/>
      <c r="U210" s="357"/>
      <c r="V210" s="357"/>
      <c r="W210" s="357"/>
      <c r="Y210" s="357"/>
      <c r="Z210" s="357"/>
      <c r="AA210" s="357"/>
      <c r="AB210" s="357"/>
      <c r="AC210" s="357"/>
      <c r="AD210" s="357"/>
      <c r="AE210" s="357"/>
      <c r="AF210" s="357"/>
      <c r="AG210" s="357"/>
      <c r="AH210" s="357"/>
      <c r="AI210" s="357"/>
      <c r="AJ210" s="357"/>
      <c r="AK210" s="357"/>
      <c r="AL210" s="357"/>
      <c r="AM210" s="357"/>
      <c r="AN210" s="357"/>
      <c r="AO210" s="357"/>
      <c r="AP210" s="357"/>
      <c r="AQ210" s="357"/>
      <c r="AR210" s="357"/>
      <c r="AS210" s="357"/>
      <c r="AT210" s="357"/>
      <c r="AU210" s="357"/>
    </row>
    <row r="211" ht="15.75" customHeight="1">
      <c r="A211" s="357"/>
      <c r="B211" s="357"/>
      <c r="C211" s="357"/>
      <c r="D211" s="360"/>
      <c r="E211" s="357"/>
      <c r="F211" s="357"/>
      <c r="G211" s="357"/>
      <c r="H211" s="357"/>
      <c r="I211" s="357"/>
      <c r="J211" s="357"/>
      <c r="K211" s="357"/>
      <c r="L211" s="357"/>
      <c r="M211" s="357"/>
      <c r="N211" s="357"/>
      <c r="O211" s="357"/>
      <c r="P211" s="357"/>
      <c r="Q211" s="357"/>
      <c r="R211" s="357"/>
      <c r="S211" s="357"/>
      <c r="T211" s="357"/>
      <c r="U211" s="357"/>
      <c r="V211" s="357"/>
      <c r="W211" s="357"/>
      <c r="Y211" s="357"/>
      <c r="Z211" s="357"/>
      <c r="AA211" s="357"/>
      <c r="AB211" s="357"/>
      <c r="AC211" s="357"/>
      <c r="AD211" s="357"/>
      <c r="AE211" s="357"/>
      <c r="AF211" s="357"/>
      <c r="AG211" s="357"/>
      <c r="AH211" s="357"/>
      <c r="AI211" s="357"/>
      <c r="AJ211" s="357"/>
      <c r="AK211" s="357"/>
      <c r="AL211" s="357"/>
      <c r="AM211" s="357"/>
      <c r="AN211" s="357"/>
      <c r="AO211" s="357"/>
      <c r="AP211" s="357"/>
      <c r="AQ211" s="357"/>
      <c r="AR211" s="357"/>
      <c r="AS211" s="357"/>
      <c r="AT211" s="357"/>
      <c r="AU211" s="357"/>
    </row>
    <row r="212" ht="15.75" customHeight="1">
      <c r="A212" s="357"/>
      <c r="B212" s="357"/>
      <c r="C212" s="357"/>
      <c r="D212" s="360"/>
      <c r="E212" s="357"/>
      <c r="F212" s="357"/>
      <c r="G212" s="357"/>
      <c r="H212" s="357"/>
      <c r="I212" s="357"/>
      <c r="J212" s="357"/>
      <c r="K212" s="357"/>
      <c r="L212" s="357"/>
      <c r="M212" s="357"/>
      <c r="N212" s="357"/>
      <c r="O212" s="357"/>
      <c r="P212" s="357"/>
      <c r="Q212" s="357"/>
      <c r="R212" s="357"/>
      <c r="S212" s="357"/>
      <c r="T212" s="357"/>
      <c r="U212" s="357"/>
      <c r="V212" s="357"/>
      <c r="W212" s="357"/>
      <c r="Y212" s="357"/>
      <c r="Z212" s="357"/>
      <c r="AA212" s="357"/>
      <c r="AB212" s="357"/>
      <c r="AC212" s="357"/>
      <c r="AD212" s="357"/>
      <c r="AE212" s="357"/>
      <c r="AF212" s="357"/>
      <c r="AG212" s="357"/>
      <c r="AH212" s="357"/>
      <c r="AI212" s="357"/>
      <c r="AJ212" s="357"/>
      <c r="AK212" s="357"/>
      <c r="AL212" s="357"/>
      <c r="AM212" s="357"/>
      <c r="AN212" s="357"/>
      <c r="AO212" s="357"/>
      <c r="AP212" s="357"/>
      <c r="AQ212" s="357"/>
      <c r="AR212" s="357"/>
      <c r="AS212" s="357"/>
      <c r="AT212" s="357"/>
      <c r="AU212" s="357"/>
    </row>
    <row r="213" ht="15.75" customHeight="1">
      <c r="A213" s="357"/>
      <c r="B213" s="357"/>
      <c r="C213" s="357"/>
      <c r="D213" s="360"/>
      <c r="E213" s="357"/>
      <c r="F213" s="357"/>
      <c r="G213" s="357"/>
      <c r="H213" s="357"/>
      <c r="I213" s="357"/>
      <c r="J213" s="357"/>
      <c r="K213" s="357"/>
      <c r="L213" s="357"/>
      <c r="M213" s="357"/>
      <c r="N213" s="357"/>
      <c r="O213" s="357"/>
      <c r="P213" s="357"/>
      <c r="Q213" s="357"/>
      <c r="R213" s="357"/>
      <c r="S213" s="357"/>
      <c r="T213" s="357"/>
      <c r="U213" s="357"/>
      <c r="V213" s="357"/>
      <c r="W213" s="357"/>
      <c r="Y213" s="357"/>
      <c r="Z213" s="357"/>
      <c r="AA213" s="357"/>
      <c r="AB213" s="357"/>
      <c r="AC213" s="357"/>
      <c r="AD213" s="357"/>
      <c r="AE213" s="357"/>
      <c r="AF213" s="357"/>
      <c r="AG213" s="357"/>
      <c r="AH213" s="357"/>
      <c r="AI213" s="357"/>
      <c r="AJ213" s="357"/>
      <c r="AK213" s="357"/>
      <c r="AL213" s="357"/>
      <c r="AM213" s="357"/>
      <c r="AN213" s="357"/>
      <c r="AO213" s="357"/>
      <c r="AP213" s="357"/>
      <c r="AQ213" s="357"/>
      <c r="AR213" s="357"/>
      <c r="AS213" s="357"/>
      <c r="AT213" s="357"/>
      <c r="AU213" s="357"/>
    </row>
    <row r="214" ht="15.75" customHeight="1">
      <c r="A214" s="357"/>
      <c r="B214" s="357"/>
      <c r="C214" s="357"/>
      <c r="D214" s="360"/>
      <c r="E214" s="357"/>
      <c r="F214" s="357"/>
      <c r="G214" s="357"/>
      <c r="H214" s="357"/>
      <c r="I214" s="357"/>
      <c r="J214" s="357"/>
      <c r="K214" s="357"/>
      <c r="L214" s="357"/>
      <c r="M214" s="357"/>
      <c r="N214" s="357"/>
      <c r="O214" s="357"/>
      <c r="P214" s="357"/>
      <c r="Q214" s="357"/>
      <c r="R214" s="357"/>
      <c r="S214" s="357"/>
      <c r="T214" s="357"/>
      <c r="U214" s="357"/>
      <c r="V214" s="357"/>
      <c r="W214" s="357"/>
      <c r="Y214" s="357"/>
      <c r="Z214" s="357"/>
      <c r="AA214" s="357"/>
      <c r="AB214" s="357"/>
      <c r="AC214" s="357"/>
      <c r="AD214" s="357"/>
      <c r="AE214" s="357"/>
      <c r="AF214" s="357"/>
      <c r="AG214" s="357"/>
      <c r="AH214" s="357"/>
      <c r="AI214" s="357"/>
      <c r="AJ214" s="357"/>
      <c r="AK214" s="357"/>
      <c r="AL214" s="357"/>
      <c r="AM214" s="357"/>
      <c r="AN214" s="357"/>
      <c r="AO214" s="357"/>
      <c r="AP214" s="357"/>
      <c r="AQ214" s="357"/>
      <c r="AR214" s="357"/>
      <c r="AS214" s="357"/>
      <c r="AT214" s="357"/>
      <c r="AU214" s="357"/>
    </row>
    <row r="215" ht="15.75" customHeight="1">
      <c r="A215" s="357"/>
      <c r="B215" s="357"/>
      <c r="C215" s="357"/>
      <c r="D215" s="360"/>
      <c r="E215" s="357"/>
      <c r="F215" s="357"/>
      <c r="G215" s="357"/>
      <c r="H215" s="357"/>
      <c r="I215" s="357"/>
      <c r="J215" s="357"/>
      <c r="K215" s="357"/>
      <c r="L215" s="357"/>
      <c r="M215" s="357"/>
      <c r="N215" s="357"/>
      <c r="O215" s="357"/>
      <c r="P215" s="357"/>
      <c r="Q215" s="357"/>
      <c r="R215" s="357"/>
      <c r="S215" s="357"/>
      <c r="T215" s="357"/>
      <c r="U215" s="357"/>
      <c r="V215" s="357"/>
      <c r="W215" s="357"/>
      <c r="Y215" s="357"/>
      <c r="Z215" s="357"/>
      <c r="AA215" s="357"/>
      <c r="AB215" s="357"/>
      <c r="AC215" s="357"/>
      <c r="AD215" s="357"/>
      <c r="AE215" s="357"/>
      <c r="AF215" s="357"/>
      <c r="AG215" s="357"/>
      <c r="AH215" s="357"/>
      <c r="AI215" s="357"/>
      <c r="AJ215" s="357"/>
      <c r="AK215" s="357"/>
      <c r="AL215" s="357"/>
      <c r="AM215" s="357"/>
      <c r="AN215" s="357"/>
      <c r="AO215" s="357"/>
      <c r="AP215" s="357"/>
      <c r="AQ215" s="357"/>
      <c r="AR215" s="357"/>
      <c r="AS215" s="357"/>
      <c r="AT215" s="357"/>
      <c r="AU215" s="357"/>
    </row>
    <row r="216" ht="15.75" customHeight="1">
      <c r="A216" s="357"/>
      <c r="B216" s="357"/>
      <c r="C216" s="357"/>
      <c r="D216" s="360"/>
      <c r="E216" s="357"/>
      <c r="F216" s="357"/>
      <c r="G216" s="357"/>
      <c r="H216" s="357"/>
      <c r="I216" s="357"/>
      <c r="J216" s="357"/>
      <c r="K216" s="357"/>
      <c r="L216" s="357"/>
      <c r="M216" s="357"/>
      <c r="N216" s="357"/>
      <c r="O216" s="357"/>
      <c r="P216" s="357"/>
      <c r="Q216" s="357"/>
      <c r="R216" s="357"/>
      <c r="S216" s="357"/>
      <c r="T216" s="357"/>
      <c r="U216" s="357"/>
      <c r="V216" s="357"/>
      <c r="W216" s="357"/>
      <c r="Y216" s="357"/>
      <c r="Z216" s="357"/>
      <c r="AA216" s="357"/>
      <c r="AB216" s="357"/>
      <c r="AC216" s="357"/>
      <c r="AD216" s="357"/>
      <c r="AE216" s="357"/>
      <c r="AF216" s="357"/>
      <c r="AG216" s="357"/>
      <c r="AH216" s="357"/>
      <c r="AI216" s="357"/>
      <c r="AJ216" s="357"/>
      <c r="AK216" s="357"/>
      <c r="AL216" s="357"/>
      <c r="AM216" s="357"/>
      <c r="AN216" s="357"/>
      <c r="AO216" s="357"/>
      <c r="AP216" s="357"/>
      <c r="AQ216" s="357"/>
      <c r="AR216" s="357"/>
      <c r="AS216" s="357"/>
      <c r="AT216" s="357"/>
      <c r="AU216" s="357"/>
    </row>
    <row r="217" ht="15.75" customHeight="1">
      <c r="A217" s="357"/>
      <c r="B217" s="357"/>
      <c r="C217" s="357"/>
      <c r="D217" s="360"/>
      <c r="E217" s="357"/>
      <c r="F217" s="357"/>
      <c r="G217" s="357"/>
      <c r="H217" s="357"/>
      <c r="I217" s="357"/>
      <c r="J217" s="357"/>
      <c r="K217" s="357"/>
      <c r="L217" s="357"/>
      <c r="M217" s="357"/>
      <c r="N217" s="357"/>
      <c r="O217" s="357"/>
      <c r="P217" s="357"/>
      <c r="Q217" s="357"/>
      <c r="R217" s="357"/>
      <c r="S217" s="357"/>
      <c r="T217" s="357"/>
      <c r="U217" s="357"/>
      <c r="V217" s="357"/>
      <c r="W217" s="357"/>
      <c r="Y217" s="357"/>
      <c r="Z217" s="357"/>
      <c r="AA217" s="357"/>
      <c r="AB217" s="357"/>
      <c r="AC217" s="357"/>
      <c r="AD217" s="357"/>
      <c r="AE217" s="357"/>
      <c r="AF217" s="357"/>
      <c r="AG217" s="357"/>
      <c r="AH217" s="357"/>
      <c r="AI217" s="357"/>
      <c r="AJ217" s="357"/>
      <c r="AK217" s="357"/>
      <c r="AL217" s="357"/>
      <c r="AM217" s="357"/>
      <c r="AN217" s="357"/>
      <c r="AO217" s="357"/>
      <c r="AP217" s="357"/>
      <c r="AQ217" s="357"/>
      <c r="AR217" s="357"/>
      <c r="AS217" s="357"/>
      <c r="AT217" s="357"/>
      <c r="AU217" s="357"/>
    </row>
    <row r="218" ht="15.75" customHeight="1">
      <c r="A218" s="357"/>
      <c r="B218" s="357"/>
      <c r="C218" s="357"/>
      <c r="D218" s="360"/>
      <c r="E218" s="357"/>
      <c r="F218" s="357"/>
      <c r="G218" s="357"/>
      <c r="H218" s="357"/>
      <c r="I218" s="357"/>
      <c r="J218" s="357"/>
      <c r="K218" s="357"/>
      <c r="L218" s="357"/>
      <c r="M218" s="357"/>
      <c r="N218" s="357"/>
      <c r="O218" s="357"/>
      <c r="P218" s="357"/>
      <c r="Q218" s="357"/>
      <c r="R218" s="357"/>
      <c r="S218" s="357"/>
      <c r="T218" s="357"/>
      <c r="U218" s="357"/>
      <c r="V218" s="357"/>
      <c r="W218" s="357"/>
      <c r="Y218" s="357"/>
      <c r="Z218" s="357"/>
      <c r="AA218" s="357"/>
      <c r="AB218" s="357"/>
      <c r="AC218" s="357"/>
      <c r="AD218" s="357"/>
      <c r="AE218" s="357"/>
      <c r="AF218" s="357"/>
      <c r="AG218" s="357"/>
      <c r="AH218" s="357"/>
      <c r="AI218" s="357"/>
      <c r="AJ218" s="357"/>
      <c r="AK218" s="357"/>
      <c r="AL218" s="357"/>
      <c r="AM218" s="357"/>
      <c r="AN218" s="357"/>
      <c r="AO218" s="357"/>
      <c r="AP218" s="357"/>
      <c r="AQ218" s="357"/>
      <c r="AR218" s="357"/>
      <c r="AS218" s="357"/>
      <c r="AT218" s="357"/>
      <c r="AU218" s="357"/>
    </row>
    <row r="219" ht="15.75" customHeight="1">
      <c r="A219" s="357"/>
      <c r="B219" s="357"/>
      <c r="C219" s="357"/>
      <c r="D219" s="360"/>
      <c r="E219" s="357"/>
      <c r="F219" s="357"/>
      <c r="G219" s="357"/>
      <c r="H219" s="357"/>
      <c r="I219" s="357"/>
      <c r="J219" s="357"/>
      <c r="K219" s="357"/>
      <c r="L219" s="357"/>
      <c r="M219" s="357"/>
      <c r="N219" s="357"/>
      <c r="O219" s="357"/>
      <c r="P219" s="357"/>
      <c r="Q219" s="357"/>
      <c r="R219" s="357"/>
      <c r="S219" s="357"/>
      <c r="T219" s="357"/>
      <c r="U219" s="357"/>
      <c r="V219" s="357"/>
      <c r="W219" s="357"/>
      <c r="Y219" s="357"/>
      <c r="Z219" s="357"/>
      <c r="AA219" s="357"/>
      <c r="AB219" s="357"/>
      <c r="AC219" s="357"/>
      <c r="AD219" s="357"/>
      <c r="AE219" s="357"/>
      <c r="AF219" s="357"/>
      <c r="AG219" s="357"/>
      <c r="AH219" s="357"/>
      <c r="AI219" s="357"/>
      <c r="AJ219" s="357"/>
      <c r="AK219" s="357"/>
      <c r="AL219" s="357"/>
      <c r="AM219" s="357"/>
      <c r="AN219" s="357"/>
      <c r="AO219" s="357"/>
      <c r="AP219" s="357"/>
      <c r="AQ219" s="357"/>
      <c r="AR219" s="357"/>
      <c r="AS219" s="357"/>
      <c r="AT219" s="357"/>
      <c r="AU219" s="357"/>
    </row>
    <row r="220" ht="15.75" customHeight="1">
      <c r="A220" s="357"/>
      <c r="B220" s="357"/>
      <c r="C220" s="357"/>
      <c r="D220" s="360"/>
      <c r="E220" s="357"/>
      <c r="F220" s="357"/>
      <c r="G220" s="357"/>
      <c r="H220" s="357"/>
      <c r="I220" s="357"/>
      <c r="J220" s="357"/>
      <c r="K220" s="357"/>
      <c r="L220" s="357"/>
      <c r="M220" s="357"/>
      <c r="N220" s="357"/>
      <c r="O220" s="357"/>
      <c r="P220" s="357"/>
      <c r="Q220" s="357"/>
      <c r="R220" s="357"/>
      <c r="S220" s="357"/>
      <c r="T220" s="357"/>
      <c r="U220" s="357"/>
      <c r="V220" s="357"/>
      <c r="W220" s="357"/>
      <c r="Y220" s="357"/>
      <c r="Z220" s="357"/>
      <c r="AA220" s="357"/>
      <c r="AB220" s="357"/>
      <c r="AC220" s="357"/>
      <c r="AD220" s="357"/>
      <c r="AE220" s="357"/>
      <c r="AF220" s="357"/>
      <c r="AG220" s="357"/>
      <c r="AH220" s="357"/>
      <c r="AI220" s="357"/>
      <c r="AJ220" s="357"/>
      <c r="AK220" s="357"/>
      <c r="AL220" s="357"/>
      <c r="AM220" s="357"/>
      <c r="AN220" s="357"/>
      <c r="AO220" s="357"/>
      <c r="AP220" s="357"/>
      <c r="AQ220" s="357"/>
      <c r="AR220" s="357"/>
      <c r="AS220" s="357"/>
      <c r="AT220" s="357"/>
      <c r="AU220" s="357"/>
    </row>
    <row r="221" ht="15.75" customHeight="1">
      <c r="A221" s="357"/>
      <c r="B221" s="357"/>
      <c r="C221" s="357"/>
      <c r="D221" s="360"/>
      <c r="E221" s="357"/>
      <c r="F221" s="357"/>
      <c r="G221" s="357"/>
      <c r="H221" s="357"/>
      <c r="I221" s="357"/>
      <c r="J221" s="357"/>
      <c r="K221" s="357"/>
      <c r="L221" s="357"/>
      <c r="M221" s="357"/>
      <c r="N221" s="357"/>
      <c r="O221" s="357"/>
      <c r="P221" s="357"/>
      <c r="Q221" s="357"/>
      <c r="R221" s="357"/>
      <c r="S221" s="357"/>
      <c r="T221" s="357"/>
      <c r="U221" s="357"/>
      <c r="V221" s="357"/>
      <c r="W221" s="357"/>
      <c r="Y221" s="357"/>
      <c r="Z221" s="357"/>
      <c r="AA221" s="357"/>
      <c r="AB221" s="357"/>
      <c r="AC221" s="357"/>
      <c r="AD221" s="357"/>
      <c r="AE221" s="357"/>
      <c r="AF221" s="357"/>
      <c r="AG221" s="357"/>
      <c r="AH221" s="357"/>
      <c r="AI221" s="357"/>
      <c r="AJ221" s="357"/>
      <c r="AK221" s="357"/>
      <c r="AL221" s="357"/>
      <c r="AM221" s="357"/>
      <c r="AN221" s="357"/>
      <c r="AO221" s="357"/>
      <c r="AP221" s="357"/>
      <c r="AQ221" s="357"/>
      <c r="AR221" s="357"/>
      <c r="AS221" s="357"/>
      <c r="AT221" s="357"/>
      <c r="AU221" s="357"/>
    </row>
    <row r="222" ht="15.75" customHeight="1">
      <c r="A222" s="357"/>
      <c r="B222" s="357"/>
      <c r="C222" s="357"/>
      <c r="D222" s="360"/>
      <c r="E222" s="357"/>
      <c r="F222" s="357"/>
      <c r="G222" s="357"/>
      <c r="H222" s="357"/>
      <c r="I222" s="357"/>
      <c r="J222" s="357"/>
      <c r="K222" s="357"/>
      <c r="L222" s="357"/>
      <c r="M222" s="357"/>
      <c r="N222" s="357"/>
      <c r="O222" s="357"/>
      <c r="P222" s="357"/>
      <c r="Q222" s="357"/>
      <c r="R222" s="357"/>
      <c r="S222" s="357"/>
      <c r="T222" s="357"/>
      <c r="U222" s="357"/>
      <c r="V222" s="357"/>
      <c r="W222" s="357"/>
      <c r="Y222" s="357"/>
      <c r="Z222" s="357"/>
      <c r="AA222" s="357"/>
      <c r="AB222" s="357"/>
      <c r="AC222" s="357"/>
      <c r="AD222" s="357"/>
      <c r="AE222" s="357"/>
      <c r="AF222" s="357"/>
      <c r="AG222" s="357"/>
      <c r="AH222" s="357"/>
      <c r="AI222" s="357"/>
      <c r="AJ222" s="357"/>
      <c r="AK222" s="357"/>
      <c r="AL222" s="357"/>
      <c r="AM222" s="357"/>
      <c r="AN222" s="357"/>
      <c r="AO222" s="357"/>
      <c r="AP222" s="357"/>
      <c r="AQ222" s="357"/>
      <c r="AR222" s="357"/>
      <c r="AS222" s="357"/>
      <c r="AT222" s="357"/>
      <c r="AU222" s="357"/>
    </row>
    <row r="223" ht="15.75" customHeight="1">
      <c r="A223" s="357"/>
      <c r="B223" s="357"/>
      <c r="C223" s="357"/>
      <c r="D223" s="360"/>
      <c r="E223" s="357"/>
      <c r="F223" s="357"/>
      <c r="G223" s="357"/>
      <c r="H223" s="357"/>
      <c r="I223" s="357"/>
      <c r="J223" s="357"/>
      <c r="K223" s="357"/>
      <c r="L223" s="357"/>
      <c r="M223" s="357"/>
      <c r="N223" s="357"/>
      <c r="O223" s="357"/>
      <c r="P223" s="357"/>
      <c r="Q223" s="357"/>
      <c r="R223" s="357"/>
      <c r="S223" s="357"/>
      <c r="T223" s="357"/>
      <c r="U223" s="357"/>
      <c r="V223" s="357"/>
      <c r="W223" s="357"/>
      <c r="Y223" s="357"/>
      <c r="Z223" s="357"/>
      <c r="AA223" s="357"/>
      <c r="AB223" s="357"/>
      <c r="AC223" s="357"/>
      <c r="AD223" s="357"/>
      <c r="AE223" s="357"/>
      <c r="AF223" s="357"/>
      <c r="AG223" s="357"/>
      <c r="AH223" s="357"/>
      <c r="AI223" s="357"/>
      <c r="AJ223" s="357"/>
      <c r="AK223" s="357"/>
      <c r="AL223" s="357"/>
      <c r="AM223" s="357"/>
      <c r="AN223" s="357"/>
      <c r="AO223" s="357"/>
      <c r="AP223" s="357"/>
      <c r="AQ223" s="357"/>
      <c r="AR223" s="357"/>
      <c r="AS223" s="357"/>
      <c r="AT223" s="357"/>
      <c r="AU223" s="357"/>
    </row>
    <row r="224" ht="15.75" customHeight="1">
      <c r="A224" s="357"/>
      <c r="B224" s="357"/>
      <c r="C224" s="357"/>
      <c r="D224" s="360"/>
      <c r="E224" s="357"/>
      <c r="F224" s="357"/>
      <c r="G224" s="357"/>
      <c r="H224" s="357"/>
      <c r="I224" s="357"/>
      <c r="J224" s="357"/>
      <c r="K224" s="357"/>
      <c r="L224" s="357"/>
      <c r="M224" s="357"/>
      <c r="N224" s="357"/>
      <c r="O224" s="357"/>
      <c r="P224" s="357"/>
      <c r="Q224" s="357"/>
      <c r="R224" s="357"/>
      <c r="S224" s="357"/>
      <c r="T224" s="357"/>
      <c r="U224" s="357"/>
      <c r="V224" s="357"/>
      <c r="W224" s="357"/>
      <c r="Y224" s="357"/>
      <c r="Z224" s="357"/>
      <c r="AA224" s="357"/>
      <c r="AB224" s="357"/>
      <c r="AC224" s="357"/>
      <c r="AD224" s="357"/>
      <c r="AE224" s="357"/>
      <c r="AF224" s="357"/>
      <c r="AG224" s="357"/>
      <c r="AH224" s="357"/>
      <c r="AI224" s="357"/>
      <c r="AJ224" s="357"/>
      <c r="AK224" s="357"/>
      <c r="AL224" s="357"/>
      <c r="AM224" s="357"/>
      <c r="AN224" s="357"/>
      <c r="AO224" s="357"/>
      <c r="AP224" s="357"/>
      <c r="AQ224" s="357"/>
      <c r="AR224" s="357"/>
      <c r="AS224" s="357"/>
      <c r="AT224" s="357"/>
      <c r="AU224" s="357"/>
    </row>
    <row r="225" ht="15.75" customHeight="1">
      <c r="A225" s="357"/>
      <c r="B225" s="357"/>
      <c r="C225" s="357"/>
      <c r="D225" s="360"/>
      <c r="E225" s="357"/>
      <c r="F225" s="357"/>
      <c r="G225" s="357"/>
      <c r="H225" s="357"/>
      <c r="I225" s="357"/>
      <c r="J225" s="357"/>
      <c r="K225" s="357"/>
      <c r="L225" s="357"/>
      <c r="M225" s="357"/>
      <c r="N225" s="357"/>
      <c r="O225" s="357"/>
      <c r="P225" s="357"/>
      <c r="Q225" s="357"/>
      <c r="R225" s="357"/>
      <c r="S225" s="357"/>
      <c r="T225" s="357"/>
      <c r="U225" s="357"/>
      <c r="V225" s="357"/>
      <c r="W225" s="357"/>
      <c r="Y225" s="357"/>
      <c r="Z225" s="357"/>
      <c r="AA225" s="357"/>
      <c r="AB225" s="357"/>
      <c r="AC225" s="357"/>
      <c r="AD225" s="357"/>
      <c r="AE225" s="357"/>
      <c r="AF225" s="357"/>
      <c r="AG225" s="357"/>
      <c r="AH225" s="357"/>
      <c r="AI225" s="357"/>
      <c r="AJ225" s="357"/>
      <c r="AK225" s="357"/>
      <c r="AL225" s="357"/>
      <c r="AM225" s="357"/>
      <c r="AN225" s="357"/>
      <c r="AO225" s="357"/>
      <c r="AP225" s="357"/>
      <c r="AQ225" s="357"/>
      <c r="AR225" s="357"/>
      <c r="AS225" s="357"/>
      <c r="AT225" s="357"/>
      <c r="AU225" s="357"/>
    </row>
    <row r="226" ht="15.75" customHeight="1">
      <c r="A226" s="357"/>
      <c r="B226" s="357"/>
      <c r="C226" s="357"/>
      <c r="D226" s="360"/>
      <c r="E226" s="357"/>
      <c r="F226" s="357"/>
      <c r="G226" s="357"/>
      <c r="H226" s="357"/>
      <c r="I226" s="357"/>
      <c r="J226" s="357"/>
      <c r="K226" s="357"/>
      <c r="L226" s="357"/>
      <c r="M226" s="357"/>
      <c r="N226" s="357"/>
      <c r="O226" s="357"/>
      <c r="P226" s="357"/>
      <c r="Q226" s="357"/>
      <c r="R226" s="357"/>
      <c r="S226" s="357"/>
      <c r="T226" s="357"/>
      <c r="U226" s="357"/>
      <c r="V226" s="357"/>
      <c r="W226" s="357"/>
      <c r="Y226" s="357"/>
      <c r="Z226" s="357"/>
      <c r="AA226" s="357"/>
      <c r="AB226" s="357"/>
      <c r="AC226" s="357"/>
      <c r="AD226" s="357"/>
      <c r="AE226" s="357"/>
      <c r="AF226" s="357"/>
      <c r="AG226" s="357"/>
      <c r="AH226" s="357"/>
      <c r="AI226" s="357"/>
      <c r="AJ226" s="357"/>
      <c r="AK226" s="357"/>
      <c r="AL226" s="357"/>
      <c r="AM226" s="357"/>
      <c r="AN226" s="357"/>
      <c r="AO226" s="357"/>
      <c r="AP226" s="357"/>
      <c r="AQ226" s="357"/>
      <c r="AR226" s="357"/>
      <c r="AS226" s="357"/>
      <c r="AT226" s="357"/>
      <c r="AU226" s="357"/>
    </row>
    <row r="227" ht="15.75" customHeight="1">
      <c r="A227" s="357"/>
      <c r="B227" s="357"/>
      <c r="C227" s="357"/>
      <c r="D227" s="360"/>
      <c r="E227" s="357"/>
      <c r="F227" s="357"/>
      <c r="G227" s="357"/>
      <c r="H227" s="357"/>
      <c r="I227" s="357"/>
      <c r="J227" s="357"/>
      <c r="K227" s="357"/>
      <c r="L227" s="357"/>
      <c r="M227" s="357"/>
      <c r="N227" s="357"/>
      <c r="O227" s="357"/>
      <c r="P227" s="357"/>
      <c r="Q227" s="357"/>
      <c r="R227" s="357"/>
      <c r="S227" s="357"/>
      <c r="T227" s="357"/>
      <c r="U227" s="357"/>
      <c r="V227" s="357"/>
      <c r="W227" s="357"/>
      <c r="Y227" s="357"/>
      <c r="Z227" s="357"/>
      <c r="AA227" s="357"/>
      <c r="AB227" s="357"/>
      <c r="AC227" s="357"/>
      <c r="AD227" s="357"/>
      <c r="AE227" s="357"/>
      <c r="AF227" s="357"/>
      <c r="AG227" s="357"/>
      <c r="AH227" s="357"/>
      <c r="AI227" s="357"/>
      <c r="AJ227" s="357"/>
      <c r="AK227" s="357"/>
      <c r="AL227" s="357"/>
      <c r="AM227" s="357"/>
      <c r="AN227" s="357"/>
      <c r="AO227" s="357"/>
      <c r="AP227" s="357"/>
      <c r="AQ227" s="357"/>
      <c r="AR227" s="357"/>
      <c r="AS227" s="357"/>
      <c r="AT227" s="357"/>
      <c r="AU227" s="357"/>
    </row>
    <row r="228" ht="15.75" customHeight="1">
      <c r="A228" s="357"/>
      <c r="B228" s="357"/>
      <c r="C228" s="357"/>
      <c r="D228" s="360"/>
      <c r="E228" s="357"/>
      <c r="F228" s="357"/>
      <c r="G228" s="357"/>
      <c r="H228" s="357"/>
      <c r="I228" s="357"/>
      <c r="J228" s="357"/>
      <c r="K228" s="357"/>
      <c r="L228" s="357"/>
      <c r="M228" s="357"/>
      <c r="N228" s="357"/>
      <c r="O228" s="357"/>
      <c r="P228" s="357"/>
      <c r="Q228" s="357"/>
      <c r="R228" s="357"/>
      <c r="S228" s="357"/>
      <c r="T228" s="357"/>
      <c r="U228" s="357"/>
      <c r="V228" s="357"/>
      <c r="W228" s="357"/>
      <c r="Y228" s="357"/>
      <c r="Z228" s="357"/>
      <c r="AA228" s="357"/>
      <c r="AB228" s="357"/>
      <c r="AC228" s="357"/>
      <c r="AD228" s="357"/>
      <c r="AE228" s="357"/>
      <c r="AF228" s="357"/>
      <c r="AG228" s="357"/>
      <c r="AH228" s="357"/>
      <c r="AI228" s="357"/>
      <c r="AJ228" s="357"/>
      <c r="AK228" s="357"/>
      <c r="AL228" s="357"/>
      <c r="AM228" s="357"/>
      <c r="AN228" s="357"/>
      <c r="AO228" s="357"/>
      <c r="AP228" s="357"/>
      <c r="AQ228" s="357"/>
      <c r="AR228" s="357"/>
      <c r="AS228" s="357"/>
      <c r="AT228" s="357"/>
      <c r="AU228" s="357"/>
    </row>
    <row r="229" ht="15.75" customHeight="1">
      <c r="A229" s="357"/>
      <c r="B229" s="357"/>
      <c r="C229" s="357"/>
      <c r="D229" s="360"/>
      <c r="E229" s="357"/>
      <c r="F229" s="357"/>
      <c r="G229" s="357"/>
      <c r="H229" s="357"/>
      <c r="I229" s="357"/>
      <c r="J229" s="357"/>
      <c r="K229" s="357"/>
      <c r="L229" s="357"/>
      <c r="M229" s="357"/>
      <c r="N229" s="357"/>
      <c r="O229" s="357"/>
      <c r="P229" s="357"/>
      <c r="Q229" s="357"/>
      <c r="R229" s="357"/>
      <c r="S229" s="357"/>
      <c r="T229" s="357"/>
      <c r="U229" s="357"/>
      <c r="V229" s="357"/>
      <c r="W229" s="357"/>
      <c r="Y229" s="357"/>
      <c r="Z229" s="357"/>
      <c r="AA229" s="357"/>
      <c r="AB229" s="357"/>
      <c r="AC229" s="357"/>
      <c r="AD229" s="357"/>
      <c r="AE229" s="357"/>
      <c r="AF229" s="357"/>
      <c r="AG229" s="357"/>
      <c r="AH229" s="357"/>
      <c r="AI229" s="357"/>
      <c r="AJ229" s="357"/>
      <c r="AK229" s="357"/>
      <c r="AL229" s="357"/>
      <c r="AM229" s="357"/>
      <c r="AN229" s="357"/>
      <c r="AO229" s="357"/>
      <c r="AP229" s="357"/>
      <c r="AQ229" s="357"/>
      <c r="AR229" s="357"/>
      <c r="AS229" s="357"/>
      <c r="AT229" s="357"/>
      <c r="AU229" s="357"/>
    </row>
    <row r="230" ht="15.75" customHeight="1">
      <c r="A230" s="357"/>
      <c r="B230" s="357"/>
      <c r="C230" s="357"/>
      <c r="D230" s="360"/>
      <c r="E230" s="357"/>
      <c r="F230" s="357"/>
      <c r="G230" s="357"/>
      <c r="H230" s="357"/>
      <c r="I230" s="357"/>
      <c r="J230" s="357"/>
      <c r="K230" s="357"/>
      <c r="L230" s="357"/>
      <c r="M230" s="357"/>
      <c r="N230" s="357"/>
      <c r="O230" s="357"/>
      <c r="P230" s="357"/>
      <c r="Q230" s="357"/>
      <c r="R230" s="357"/>
      <c r="S230" s="357"/>
      <c r="T230" s="357"/>
      <c r="U230" s="357"/>
      <c r="V230" s="357"/>
      <c r="W230" s="357"/>
      <c r="Y230" s="357"/>
      <c r="Z230" s="357"/>
      <c r="AA230" s="357"/>
      <c r="AB230" s="357"/>
      <c r="AC230" s="357"/>
      <c r="AD230" s="357"/>
      <c r="AE230" s="357"/>
      <c r="AF230" s="357"/>
      <c r="AG230" s="357"/>
      <c r="AH230" s="357"/>
      <c r="AI230" s="357"/>
      <c r="AJ230" s="357"/>
      <c r="AK230" s="357"/>
      <c r="AL230" s="357"/>
      <c r="AM230" s="357"/>
      <c r="AN230" s="357"/>
      <c r="AO230" s="357"/>
      <c r="AP230" s="357"/>
      <c r="AQ230" s="357"/>
      <c r="AR230" s="357"/>
      <c r="AS230" s="357"/>
      <c r="AT230" s="357"/>
      <c r="AU230" s="357"/>
    </row>
    <row r="231" ht="15.75" customHeight="1">
      <c r="A231" s="357"/>
      <c r="B231" s="357"/>
      <c r="C231" s="357"/>
      <c r="D231" s="360"/>
      <c r="E231" s="357"/>
      <c r="F231" s="357"/>
      <c r="G231" s="357"/>
      <c r="H231" s="357"/>
      <c r="I231" s="357"/>
      <c r="J231" s="357"/>
      <c r="K231" s="357"/>
      <c r="L231" s="357"/>
      <c r="M231" s="357"/>
      <c r="N231" s="357"/>
      <c r="O231" s="357"/>
      <c r="P231" s="357"/>
      <c r="Q231" s="357"/>
      <c r="R231" s="357"/>
      <c r="S231" s="357"/>
      <c r="T231" s="357"/>
      <c r="U231" s="357"/>
      <c r="V231" s="357"/>
      <c r="W231" s="357"/>
      <c r="Y231" s="357"/>
      <c r="Z231" s="357"/>
      <c r="AA231" s="357"/>
      <c r="AB231" s="357"/>
      <c r="AC231" s="357"/>
      <c r="AD231" s="357"/>
      <c r="AE231" s="357"/>
      <c r="AF231" s="357"/>
      <c r="AG231" s="357"/>
      <c r="AH231" s="357"/>
      <c r="AI231" s="357"/>
      <c r="AJ231" s="357"/>
      <c r="AK231" s="357"/>
      <c r="AL231" s="357"/>
      <c r="AM231" s="357"/>
      <c r="AN231" s="357"/>
      <c r="AO231" s="357"/>
      <c r="AP231" s="357"/>
      <c r="AQ231" s="357"/>
      <c r="AR231" s="357"/>
      <c r="AS231" s="357"/>
      <c r="AT231" s="357"/>
      <c r="AU231" s="357"/>
    </row>
    <row r="232" ht="15.75" customHeight="1">
      <c r="A232" s="357"/>
      <c r="B232" s="357"/>
      <c r="C232" s="357"/>
      <c r="D232" s="360"/>
      <c r="E232" s="357"/>
      <c r="F232" s="357"/>
      <c r="G232" s="357"/>
      <c r="H232" s="357"/>
      <c r="I232" s="357"/>
      <c r="J232" s="357"/>
      <c r="K232" s="357"/>
      <c r="L232" s="357"/>
      <c r="M232" s="357"/>
      <c r="N232" s="357"/>
      <c r="O232" s="357"/>
      <c r="P232" s="357"/>
      <c r="Q232" s="357"/>
      <c r="R232" s="357"/>
      <c r="S232" s="357"/>
      <c r="T232" s="357"/>
      <c r="U232" s="357"/>
      <c r="V232" s="357"/>
      <c r="W232" s="357"/>
      <c r="Y232" s="357"/>
      <c r="Z232" s="357"/>
      <c r="AA232" s="357"/>
      <c r="AB232" s="357"/>
      <c r="AC232" s="357"/>
      <c r="AD232" s="357"/>
      <c r="AE232" s="357"/>
      <c r="AF232" s="357"/>
      <c r="AG232" s="357"/>
      <c r="AH232" s="357"/>
      <c r="AI232" s="357"/>
      <c r="AJ232" s="357"/>
      <c r="AK232" s="357"/>
      <c r="AL232" s="357"/>
      <c r="AM232" s="357"/>
      <c r="AN232" s="357"/>
      <c r="AO232" s="357"/>
      <c r="AP232" s="357"/>
      <c r="AQ232" s="357"/>
      <c r="AR232" s="357"/>
      <c r="AS232" s="357"/>
      <c r="AT232" s="357"/>
      <c r="AU232" s="357"/>
    </row>
    <row r="233" ht="15.75" customHeight="1">
      <c r="A233" s="357"/>
      <c r="B233" s="357"/>
      <c r="C233" s="357"/>
      <c r="D233" s="360"/>
      <c r="E233" s="357"/>
      <c r="F233" s="357"/>
      <c r="G233" s="357"/>
      <c r="H233" s="357"/>
      <c r="I233" s="357"/>
      <c r="J233" s="357"/>
      <c r="K233" s="357"/>
      <c r="L233" s="357"/>
      <c r="M233" s="357"/>
      <c r="N233" s="357"/>
      <c r="O233" s="357"/>
      <c r="P233" s="357"/>
      <c r="Q233" s="357"/>
      <c r="R233" s="357"/>
      <c r="S233" s="357"/>
      <c r="T233" s="357"/>
      <c r="U233" s="357"/>
      <c r="V233" s="357"/>
      <c r="W233" s="357"/>
      <c r="Y233" s="357"/>
      <c r="Z233" s="357"/>
      <c r="AA233" s="357"/>
      <c r="AB233" s="357"/>
      <c r="AC233" s="357"/>
      <c r="AD233" s="357"/>
      <c r="AE233" s="357"/>
      <c r="AF233" s="357"/>
      <c r="AG233" s="357"/>
      <c r="AH233" s="357"/>
      <c r="AI233" s="357"/>
      <c r="AJ233" s="357"/>
      <c r="AK233" s="357"/>
      <c r="AL233" s="357"/>
      <c r="AM233" s="357"/>
      <c r="AN233" s="357"/>
      <c r="AO233" s="357"/>
      <c r="AP233" s="357"/>
      <c r="AQ233" s="357"/>
      <c r="AR233" s="357"/>
      <c r="AS233" s="357"/>
      <c r="AT233" s="357"/>
      <c r="AU233" s="357"/>
    </row>
    <row r="234" ht="15.75" customHeight="1">
      <c r="A234" s="357"/>
      <c r="B234" s="357"/>
      <c r="C234" s="357"/>
      <c r="D234" s="360"/>
      <c r="E234" s="357"/>
      <c r="F234" s="357"/>
      <c r="G234" s="357"/>
      <c r="H234" s="357"/>
      <c r="I234" s="357"/>
      <c r="J234" s="357"/>
      <c r="K234" s="357"/>
      <c r="L234" s="357"/>
      <c r="M234" s="357"/>
      <c r="N234" s="357"/>
      <c r="O234" s="357"/>
      <c r="P234" s="357"/>
      <c r="Q234" s="357"/>
      <c r="R234" s="357"/>
      <c r="S234" s="357"/>
      <c r="T234" s="357"/>
      <c r="U234" s="357"/>
      <c r="V234" s="357"/>
      <c r="W234" s="357"/>
      <c r="Y234" s="357"/>
      <c r="Z234" s="357"/>
      <c r="AA234" s="357"/>
      <c r="AB234" s="357"/>
      <c r="AC234" s="357"/>
      <c r="AD234" s="357"/>
      <c r="AE234" s="357"/>
      <c r="AF234" s="357"/>
      <c r="AG234" s="357"/>
      <c r="AH234" s="357"/>
      <c r="AI234" s="357"/>
      <c r="AJ234" s="357"/>
      <c r="AK234" s="357"/>
      <c r="AL234" s="357"/>
      <c r="AM234" s="357"/>
      <c r="AN234" s="357"/>
      <c r="AO234" s="357"/>
      <c r="AP234" s="357"/>
      <c r="AQ234" s="357"/>
      <c r="AR234" s="357"/>
      <c r="AS234" s="357"/>
      <c r="AT234" s="357"/>
      <c r="AU234" s="357"/>
    </row>
    <row r="235" ht="15.75" customHeight="1">
      <c r="A235" s="357"/>
      <c r="B235" s="357"/>
      <c r="C235" s="357"/>
      <c r="D235" s="360"/>
      <c r="E235" s="357"/>
      <c r="F235" s="357"/>
      <c r="G235" s="357"/>
      <c r="H235" s="357"/>
      <c r="I235" s="357"/>
      <c r="J235" s="357"/>
      <c r="K235" s="357"/>
      <c r="L235" s="357"/>
      <c r="M235" s="357"/>
      <c r="N235" s="357"/>
      <c r="O235" s="357"/>
      <c r="P235" s="357"/>
      <c r="Q235" s="357"/>
      <c r="R235" s="357"/>
      <c r="S235" s="357"/>
      <c r="T235" s="357"/>
      <c r="U235" s="357"/>
      <c r="V235" s="357"/>
      <c r="W235" s="357"/>
      <c r="Y235" s="357"/>
      <c r="Z235" s="357"/>
      <c r="AA235" s="357"/>
      <c r="AB235" s="357"/>
      <c r="AC235" s="357"/>
      <c r="AD235" s="357"/>
      <c r="AE235" s="357"/>
      <c r="AF235" s="357"/>
      <c r="AG235" s="357"/>
      <c r="AH235" s="357"/>
      <c r="AI235" s="357"/>
      <c r="AJ235" s="357"/>
      <c r="AK235" s="357"/>
      <c r="AL235" s="357"/>
      <c r="AM235" s="357"/>
      <c r="AN235" s="357"/>
      <c r="AO235" s="357"/>
      <c r="AP235" s="357"/>
      <c r="AQ235" s="357"/>
      <c r="AR235" s="357"/>
      <c r="AS235" s="357"/>
      <c r="AT235" s="357"/>
      <c r="AU235" s="357"/>
    </row>
    <row r="236" ht="15.75" customHeight="1">
      <c r="A236" s="357"/>
      <c r="B236" s="357"/>
      <c r="C236" s="357"/>
      <c r="D236" s="360"/>
      <c r="E236" s="357"/>
      <c r="F236" s="357"/>
      <c r="G236" s="357"/>
      <c r="H236" s="357"/>
      <c r="I236" s="357"/>
      <c r="J236" s="357"/>
      <c r="K236" s="357"/>
      <c r="L236" s="357"/>
      <c r="M236" s="357"/>
      <c r="N236" s="357"/>
      <c r="O236" s="357"/>
      <c r="P236" s="357"/>
      <c r="Q236" s="357"/>
      <c r="R236" s="357"/>
      <c r="S236" s="357"/>
      <c r="T236" s="357"/>
      <c r="U236" s="357"/>
      <c r="V236" s="357"/>
      <c r="W236" s="357"/>
      <c r="Y236" s="357"/>
      <c r="Z236" s="357"/>
      <c r="AA236" s="357"/>
      <c r="AB236" s="357"/>
      <c r="AC236" s="357"/>
      <c r="AD236" s="357"/>
      <c r="AE236" s="357"/>
      <c r="AF236" s="357"/>
      <c r="AG236" s="357"/>
      <c r="AH236" s="357"/>
      <c r="AI236" s="357"/>
      <c r="AJ236" s="357"/>
      <c r="AK236" s="357"/>
      <c r="AL236" s="357"/>
      <c r="AM236" s="357"/>
      <c r="AN236" s="357"/>
      <c r="AO236" s="357"/>
      <c r="AP236" s="357"/>
      <c r="AQ236" s="357"/>
      <c r="AR236" s="357"/>
      <c r="AS236" s="357"/>
      <c r="AT236" s="357"/>
      <c r="AU236" s="357"/>
    </row>
    <row r="237" ht="15.75" customHeight="1">
      <c r="A237" s="357"/>
      <c r="B237" s="357"/>
      <c r="C237" s="357"/>
      <c r="D237" s="360"/>
      <c r="E237" s="357"/>
      <c r="F237" s="357"/>
      <c r="G237" s="357"/>
      <c r="H237" s="357"/>
      <c r="I237" s="357"/>
      <c r="J237" s="357"/>
      <c r="K237" s="357"/>
      <c r="L237" s="357"/>
      <c r="M237" s="357"/>
      <c r="N237" s="357"/>
      <c r="O237" s="357"/>
      <c r="P237" s="357"/>
      <c r="Q237" s="357"/>
      <c r="R237" s="357"/>
      <c r="S237" s="357"/>
      <c r="T237" s="357"/>
      <c r="U237" s="357"/>
      <c r="V237" s="357"/>
      <c r="W237" s="357"/>
      <c r="Y237" s="357"/>
      <c r="Z237" s="357"/>
      <c r="AA237" s="357"/>
      <c r="AB237" s="357"/>
      <c r="AC237" s="357"/>
      <c r="AD237" s="357"/>
      <c r="AE237" s="357"/>
      <c r="AF237" s="357"/>
      <c r="AG237" s="357"/>
      <c r="AH237" s="357"/>
      <c r="AI237" s="357"/>
      <c r="AJ237" s="357"/>
      <c r="AK237" s="357"/>
      <c r="AL237" s="357"/>
      <c r="AM237" s="357"/>
      <c r="AN237" s="357"/>
      <c r="AO237" s="357"/>
      <c r="AP237" s="357"/>
      <c r="AQ237" s="357"/>
      <c r="AR237" s="357"/>
      <c r="AS237" s="357"/>
      <c r="AT237" s="357"/>
      <c r="AU237" s="357"/>
    </row>
    <row r="238" ht="15.75" customHeight="1">
      <c r="A238" s="357"/>
      <c r="B238" s="357"/>
      <c r="C238" s="357"/>
      <c r="D238" s="360"/>
      <c r="E238" s="357"/>
      <c r="F238" s="357"/>
      <c r="G238" s="357"/>
      <c r="H238" s="357"/>
      <c r="I238" s="357"/>
      <c r="J238" s="357"/>
      <c r="K238" s="357"/>
      <c r="L238" s="357"/>
      <c r="M238" s="357"/>
      <c r="N238" s="357"/>
      <c r="O238" s="357"/>
      <c r="P238" s="357"/>
      <c r="Q238" s="357"/>
      <c r="R238" s="357"/>
      <c r="S238" s="357"/>
      <c r="T238" s="357"/>
      <c r="U238" s="357"/>
      <c r="V238" s="357"/>
      <c r="W238" s="357"/>
      <c r="Y238" s="357"/>
      <c r="Z238" s="357"/>
      <c r="AA238" s="357"/>
      <c r="AB238" s="357"/>
      <c r="AC238" s="357"/>
      <c r="AD238" s="357"/>
      <c r="AE238" s="357"/>
      <c r="AF238" s="357"/>
      <c r="AG238" s="357"/>
      <c r="AH238" s="357"/>
      <c r="AI238" s="357"/>
      <c r="AJ238" s="357"/>
      <c r="AK238" s="357"/>
      <c r="AL238" s="357"/>
      <c r="AM238" s="357"/>
      <c r="AN238" s="357"/>
      <c r="AO238" s="357"/>
      <c r="AP238" s="357"/>
      <c r="AQ238" s="357"/>
      <c r="AR238" s="357"/>
      <c r="AS238" s="357"/>
      <c r="AT238" s="357"/>
      <c r="AU238" s="357"/>
    </row>
    <row r="239" ht="15.75" customHeight="1">
      <c r="A239" s="357"/>
      <c r="B239" s="357"/>
      <c r="C239" s="357"/>
      <c r="D239" s="360"/>
      <c r="E239" s="357"/>
      <c r="F239" s="357"/>
      <c r="G239" s="357"/>
      <c r="H239" s="357"/>
      <c r="I239" s="357"/>
      <c r="J239" s="357"/>
      <c r="K239" s="357"/>
      <c r="L239" s="357"/>
      <c r="M239" s="357"/>
      <c r="N239" s="357"/>
      <c r="O239" s="357"/>
      <c r="P239" s="357"/>
      <c r="Q239" s="357"/>
      <c r="R239" s="357"/>
      <c r="S239" s="357"/>
      <c r="T239" s="357"/>
      <c r="U239" s="357"/>
      <c r="V239" s="357"/>
      <c r="W239" s="357"/>
      <c r="Y239" s="357"/>
      <c r="Z239" s="357"/>
      <c r="AA239" s="357"/>
      <c r="AB239" s="357"/>
      <c r="AC239" s="357"/>
      <c r="AD239" s="357"/>
      <c r="AE239" s="357"/>
      <c r="AF239" s="357"/>
      <c r="AG239" s="357"/>
      <c r="AH239" s="357"/>
      <c r="AI239" s="357"/>
      <c r="AJ239" s="357"/>
      <c r="AK239" s="357"/>
      <c r="AL239" s="357"/>
      <c r="AM239" s="357"/>
      <c r="AN239" s="357"/>
      <c r="AO239" s="357"/>
      <c r="AP239" s="357"/>
      <c r="AQ239" s="357"/>
      <c r="AR239" s="357"/>
      <c r="AS239" s="357"/>
      <c r="AT239" s="357"/>
      <c r="AU239" s="357"/>
    </row>
    <row r="240" ht="15.75" customHeight="1">
      <c r="A240" s="357"/>
      <c r="B240" s="357"/>
      <c r="C240" s="357"/>
      <c r="D240" s="360"/>
      <c r="E240" s="357"/>
      <c r="F240" s="357"/>
      <c r="G240" s="357"/>
      <c r="H240" s="357"/>
      <c r="I240" s="357"/>
      <c r="J240" s="357"/>
      <c r="K240" s="357"/>
      <c r="L240" s="357"/>
      <c r="M240" s="357"/>
      <c r="N240" s="357"/>
      <c r="O240" s="357"/>
      <c r="P240" s="357"/>
      <c r="Q240" s="357"/>
      <c r="R240" s="357"/>
      <c r="S240" s="357"/>
      <c r="T240" s="357"/>
      <c r="U240" s="357"/>
      <c r="V240" s="357"/>
      <c r="W240" s="357"/>
      <c r="Y240" s="357"/>
      <c r="Z240" s="357"/>
      <c r="AA240" s="357"/>
      <c r="AB240" s="357"/>
      <c r="AC240" s="357"/>
      <c r="AD240" s="357"/>
      <c r="AE240" s="357"/>
      <c r="AF240" s="357"/>
      <c r="AG240" s="357"/>
      <c r="AH240" s="357"/>
      <c r="AI240" s="357"/>
      <c r="AJ240" s="357"/>
      <c r="AK240" s="357"/>
      <c r="AL240" s="357"/>
      <c r="AM240" s="357"/>
      <c r="AN240" s="357"/>
      <c r="AO240" s="357"/>
      <c r="AP240" s="357"/>
      <c r="AQ240" s="357"/>
      <c r="AR240" s="357"/>
      <c r="AS240" s="357"/>
      <c r="AT240" s="357"/>
      <c r="AU240" s="357"/>
    </row>
    <row r="241" ht="15.75" customHeight="1">
      <c r="A241" s="357"/>
      <c r="B241" s="357"/>
      <c r="C241" s="357"/>
      <c r="D241" s="360"/>
      <c r="E241" s="357"/>
      <c r="F241" s="357"/>
      <c r="G241" s="357"/>
      <c r="H241" s="357"/>
      <c r="I241" s="357"/>
      <c r="J241" s="357"/>
      <c r="K241" s="357"/>
      <c r="L241" s="357"/>
      <c r="M241" s="357"/>
      <c r="N241" s="357"/>
      <c r="O241" s="357"/>
      <c r="P241" s="357"/>
      <c r="Q241" s="357"/>
      <c r="R241" s="357"/>
      <c r="S241" s="357"/>
      <c r="T241" s="357"/>
      <c r="U241" s="357"/>
      <c r="V241" s="357"/>
      <c r="W241" s="357"/>
      <c r="Y241" s="357"/>
      <c r="Z241" s="357"/>
      <c r="AA241" s="357"/>
      <c r="AB241" s="357"/>
      <c r="AC241" s="357"/>
      <c r="AD241" s="357"/>
      <c r="AE241" s="357"/>
      <c r="AF241" s="357"/>
      <c r="AG241" s="357"/>
      <c r="AH241" s="357"/>
      <c r="AI241" s="357"/>
      <c r="AJ241" s="357"/>
      <c r="AK241" s="357"/>
      <c r="AL241" s="357"/>
      <c r="AM241" s="357"/>
      <c r="AN241" s="357"/>
      <c r="AO241" s="357"/>
      <c r="AP241" s="357"/>
      <c r="AQ241" s="357"/>
      <c r="AR241" s="357"/>
      <c r="AS241" s="357"/>
      <c r="AT241" s="357"/>
      <c r="AU241" s="357"/>
    </row>
    <row r="242" ht="15.75" customHeight="1">
      <c r="A242" s="357"/>
      <c r="B242" s="357"/>
      <c r="C242" s="357"/>
      <c r="D242" s="360"/>
      <c r="E242" s="357"/>
      <c r="F242" s="357"/>
      <c r="G242" s="357"/>
      <c r="H242" s="357"/>
      <c r="I242" s="357"/>
      <c r="J242" s="357"/>
      <c r="K242" s="357"/>
      <c r="L242" s="357"/>
      <c r="M242" s="357"/>
      <c r="N242" s="357"/>
      <c r="O242" s="357"/>
      <c r="P242" s="357"/>
      <c r="Q242" s="357"/>
      <c r="R242" s="357"/>
      <c r="S242" s="357"/>
      <c r="T242" s="357"/>
      <c r="U242" s="357"/>
      <c r="V242" s="357"/>
      <c r="W242" s="357"/>
      <c r="Y242" s="357"/>
      <c r="Z242" s="357"/>
      <c r="AA242" s="357"/>
      <c r="AB242" s="357"/>
      <c r="AC242" s="357"/>
      <c r="AD242" s="357"/>
      <c r="AE242" s="357"/>
      <c r="AF242" s="357"/>
      <c r="AG242" s="357"/>
      <c r="AH242" s="357"/>
      <c r="AI242" s="357"/>
      <c r="AJ242" s="357"/>
      <c r="AK242" s="357"/>
      <c r="AL242" s="357"/>
      <c r="AM242" s="357"/>
      <c r="AN242" s="357"/>
      <c r="AO242" s="357"/>
      <c r="AP242" s="357"/>
      <c r="AQ242" s="357"/>
      <c r="AR242" s="357"/>
      <c r="AS242" s="357"/>
      <c r="AT242" s="357"/>
      <c r="AU242" s="357"/>
    </row>
    <row r="243" ht="15.75" customHeight="1">
      <c r="A243" s="357"/>
      <c r="B243" s="357"/>
      <c r="C243" s="357"/>
      <c r="D243" s="360"/>
      <c r="E243" s="357"/>
      <c r="F243" s="357"/>
      <c r="G243" s="357"/>
      <c r="H243" s="357"/>
      <c r="I243" s="357"/>
      <c r="J243" s="357"/>
      <c r="K243" s="357"/>
      <c r="L243" s="357"/>
      <c r="M243" s="357"/>
      <c r="N243" s="357"/>
      <c r="O243" s="357"/>
      <c r="P243" s="357"/>
      <c r="Q243" s="357"/>
      <c r="R243" s="357"/>
      <c r="S243" s="357"/>
      <c r="T243" s="357"/>
      <c r="U243" s="357"/>
      <c r="V243" s="357"/>
      <c r="W243" s="357"/>
      <c r="Y243" s="357"/>
      <c r="Z243" s="357"/>
      <c r="AA243" s="357"/>
      <c r="AB243" s="357"/>
      <c r="AC243" s="357"/>
      <c r="AD243" s="357"/>
      <c r="AE243" s="357"/>
      <c r="AF243" s="357"/>
      <c r="AG243" s="357"/>
      <c r="AH243" s="357"/>
      <c r="AI243" s="357"/>
      <c r="AJ243" s="357"/>
      <c r="AK243" s="357"/>
      <c r="AL243" s="357"/>
      <c r="AM243" s="357"/>
      <c r="AN243" s="357"/>
      <c r="AO243" s="357"/>
      <c r="AP243" s="357"/>
      <c r="AQ243" s="357"/>
      <c r="AR243" s="357"/>
      <c r="AS243" s="357"/>
      <c r="AT243" s="357"/>
      <c r="AU243" s="357"/>
    </row>
    <row r="244" ht="15.75" customHeight="1">
      <c r="A244" s="357"/>
      <c r="B244" s="357"/>
      <c r="C244" s="357"/>
      <c r="D244" s="360"/>
      <c r="E244" s="357"/>
      <c r="F244" s="357"/>
      <c r="G244" s="357"/>
      <c r="H244" s="357"/>
      <c r="I244" s="357"/>
      <c r="J244" s="357"/>
      <c r="K244" s="357"/>
      <c r="L244" s="357"/>
      <c r="M244" s="357"/>
      <c r="N244" s="357"/>
      <c r="O244" s="357"/>
      <c r="P244" s="357"/>
      <c r="Q244" s="357"/>
      <c r="R244" s="357"/>
      <c r="S244" s="357"/>
      <c r="T244" s="357"/>
      <c r="U244" s="357"/>
      <c r="V244" s="357"/>
      <c r="W244" s="357"/>
      <c r="Y244" s="357"/>
      <c r="Z244" s="357"/>
      <c r="AA244" s="357"/>
      <c r="AB244" s="357"/>
      <c r="AC244" s="357"/>
      <c r="AD244" s="357"/>
      <c r="AE244" s="357"/>
      <c r="AF244" s="357"/>
      <c r="AG244" s="357"/>
      <c r="AH244" s="357"/>
      <c r="AI244" s="357"/>
      <c r="AJ244" s="357"/>
      <c r="AK244" s="357"/>
      <c r="AL244" s="357"/>
      <c r="AM244" s="357"/>
      <c r="AN244" s="357"/>
      <c r="AO244" s="357"/>
      <c r="AP244" s="357"/>
      <c r="AQ244" s="357"/>
      <c r="AR244" s="357"/>
      <c r="AS244" s="357"/>
      <c r="AT244" s="357"/>
      <c r="AU244" s="357"/>
    </row>
    <row r="245" ht="15.75" customHeight="1">
      <c r="A245" s="357"/>
      <c r="B245" s="357"/>
      <c r="C245" s="357"/>
      <c r="D245" s="360"/>
      <c r="E245" s="357"/>
      <c r="F245" s="357"/>
      <c r="G245" s="357"/>
      <c r="H245" s="357"/>
      <c r="I245" s="357"/>
      <c r="J245" s="357"/>
      <c r="K245" s="357"/>
      <c r="L245" s="357"/>
      <c r="M245" s="357"/>
      <c r="N245" s="357"/>
      <c r="O245" s="357"/>
      <c r="P245" s="357"/>
      <c r="Q245" s="357"/>
      <c r="R245" s="357"/>
      <c r="S245" s="357"/>
      <c r="T245" s="357"/>
      <c r="U245" s="357"/>
      <c r="V245" s="357"/>
      <c r="W245" s="357"/>
      <c r="Y245" s="357"/>
      <c r="Z245" s="357"/>
      <c r="AA245" s="357"/>
      <c r="AB245" s="357"/>
      <c r="AC245" s="357"/>
      <c r="AD245" s="357"/>
      <c r="AE245" s="357"/>
      <c r="AF245" s="357"/>
      <c r="AG245" s="357"/>
      <c r="AH245" s="357"/>
      <c r="AI245" s="357"/>
      <c r="AJ245" s="357"/>
      <c r="AK245" s="357"/>
      <c r="AL245" s="357"/>
      <c r="AM245" s="357"/>
      <c r="AN245" s="357"/>
      <c r="AO245" s="357"/>
      <c r="AP245" s="357"/>
      <c r="AQ245" s="357"/>
      <c r="AR245" s="357"/>
      <c r="AS245" s="357"/>
      <c r="AT245" s="357"/>
      <c r="AU245" s="357"/>
    </row>
    <row r="246" ht="15.75" customHeight="1">
      <c r="A246" s="357"/>
      <c r="B246" s="357"/>
      <c r="C246" s="357"/>
      <c r="D246" s="360"/>
      <c r="E246" s="357"/>
      <c r="F246" s="357"/>
      <c r="G246" s="357"/>
      <c r="H246" s="357"/>
      <c r="I246" s="357"/>
      <c r="J246" s="357"/>
      <c r="K246" s="357"/>
      <c r="L246" s="357"/>
      <c r="M246" s="357"/>
      <c r="N246" s="357"/>
      <c r="O246" s="357"/>
      <c r="P246" s="357"/>
      <c r="Q246" s="357"/>
      <c r="R246" s="357"/>
      <c r="S246" s="357"/>
      <c r="T246" s="357"/>
      <c r="U246" s="357"/>
      <c r="V246" s="357"/>
      <c r="W246" s="357"/>
      <c r="Y246" s="357"/>
      <c r="Z246" s="357"/>
      <c r="AA246" s="357"/>
      <c r="AB246" s="357"/>
      <c r="AC246" s="357"/>
      <c r="AD246" s="357"/>
      <c r="AE246" s="357"/>
      <c r="AF246" s="357"/>
      <c r="AG246" s="357"/>
      <c r="AH246" s="357"/>
      <c r="AI246" s="357"/>
      <c r="AJ246" s="357"/>
      <c r="AK246" s="357"/>
      <c r="AL246" s="357"/>
      <c r="AM246" s="357"/>
      <c r="AN246" s="357"/>
      <c r="AO246" s="357"/>
      <c r="AP246" s="357"/>
      <c r="AQ246" s="357"/>
      <c r="AR246" s="357"/>
      <c r="AS246" s="357"/>
      <c r="AT246" s="357"/>
      <c r="AU246" s="357"/>
    </row>
    <row r="247" ht="15.75" customHeight="1">
      <c r="A247" s="357"/>
      <c r="B247" s="357"/>
      <c r="C247" s="357"/>
      <c r="D247" s="360"/>
      <c r="E247" s="357"/>
      <c r="F247" s="357"/>
      <c r="G247" s="357"/>
      <c r="H247" s="357"/>
      <c r="I247" s="357"/>
      <c r="J247" s="357"/>
      <c r="K247" s="357"/>
      <c r="L247" s="357"/>
      <c r="M247" s="357"/>
      <c r="N247" s="357"/>
      <c r="O247" s="357"/>
      <c r="P247" s="357"/>
      <c r="Q247" s="357"/>
      <c r="R247" s="357"/>
      <c r="S247" s="357"/>
      <c r="T247" s="357"/>
      <c r="U247" s="357"/>
      <c r="V247" s="357"/>
      <c r="W247" s="357"/>
      <c r="Y247" s="357"/>
      <c r="Z247" s="357"/>
      <c r="AA247" s="357"/>
      <c r="AB247" s="357"/>
      <c r="AC247" s="357"/>
      <c r="AD247" s="357"/>
      <c r="AE247" s="357"/>
      <c r="AF247" s="357"/>
      <c r="AG247" s="357"/>
      <c r="AH247" s="357"/>
      <c r="AI247" s="357"/>
      <c r="AJ247" s="357"/>
      <c r="AK247" s="357"/>
      <c r="AL247" s="357"/>
      <c r="AM247" s="357"/>
      <c r="AN247" s="357"/>
      <c r="AO247" s="357"/>
      <c r="AP247" s="357"/>
      <c r="AQ247" s="357"/>
      <c r="AR247" s="357"/>
      <c r="AS247" s="357"/>
      <c r="AT247" s="357"/>
      <c r="AU247" s="357"/>
    </row>
    <row r="248" ht="15.75" customHeight="1">
      <c r="A248" s="357"/>
      <c r="B248" s="357"/>
      <c r="C248" s="357"/>
      <c r="D248" s="360"/>
      <c r="E248" s="357"/>
      <c r="F248" s="357"/>
      <c r="G248" s="357"/>
      <c r="H248" s="357"/>
      <c r="I248" s="357"/>
      <c r="J248" s="357"/>
      <c r="K248" s="357"/>
      <c r="L248" s="357"/>
      <c r="M248" s="357"/>
      <c r="N248" s="357"/>
      <c r="O248" s="357"/>
      <c r="P248" s="357"/>
      <c r="Q248" s="357"/>
      <c r="R248" s="357"/>
      <c r="S248" s="357"/>
      <c r="T248" s="357"/>
      <c r="U248" s="357"/>
      <c r="V248" s="357"/>
      <c r="W248" s="357"/>
      <c r="Y248" s="357"/>
      <c r="Z248" s="357"/>
      <c r="AA248" s="357"/>
      <c r="AB248" s="357"/>
      <c r="AC248" s="357"/>
      <c r="AD248" s="357"/>
      <c r="AE248" s="357"/>
      <c r="AF248" s="357"/>
      <c r="AG248" s="357"/>
      <c r="AH248" s="357"/>
      <c r="AI248" s="357"/>
      <c r="AJ248" s="357"/>
      <c r="AK248" s="357"/>
      <c r="AL248" s="357"/>
      <c r="AM248" s="357"/>
      <c r="AN248" s="357"/>
      <c r="AO248" s="357"/>
      <c r="AP248" s="357"/>
      <c r="AQ248" s="357"/>
      <c r="AR248" s="357"/>
      <c r="AS248" s="357"/>
      <c r="AT248" s="357"/>
      <c r="AU248" s="357"/>
    </row>
    <row r="249" ht="15.75" customHeight="1">
      <c r="A249" s="357"/>
      <c r="B249" s="357"/>
      <c r="C249" s="357"/>
      <c r="D249" s="360"/>
      <c r="E249" s="357"/>
      <c r="F249" s="357"/>
      <c r="G249" s="357"/>
      <c r="H249" s="357"/>
      <c r="I249" s="357"/>
      <c r="J249" s="357"/>
      <c r="K249" s="357"/>
      <c r="L249" s="357"/>
      <c r="M249" s="357"/>
      <c r="N249" s="357"/>
      <c r="O249" s="357"/>
      <c r="P249" s="357"/>
      <c r="Q249" s="357"/>
      <c r="R249" s="357"/>
      <c r="S249" s="357"/>
      <c r="T249" s="357"/>
      <c r="U249" s="357"/>
      <c r="V249" s="357"/>
      <c r="W249" s="357"/>
      <c r="Y249" s="357"/>
      <c r="Z249" s="357"/>
      <c r="AA249" s="357"/>
      <c r="AB249" s="357"/>
      <c r="AC249" s="357"/>
      <c r="AD249" s="357"/>
      <c r="AE249" s="357"/>
      <c r="AF249" s="357"/>
      <c r="AG249" s="357"/>
      <c r="AH249" s="357"/>
      <c r="AI249" s="357"/>
      <c r="AJ249" s="357"/>
      <c r="AK249" s="357"/>
      <c r="AL249" s="357"/>
      <c r="AM249" s="357"/>
      <c r="AN249" s="357"/>
      <c r="AO249" s="357"/>
      <c r="AP249" s="357"/>
      <c r="AQ249" s="357"/>
      <c r="AR249" s="357"/>
      <c r="AS249" s="357"/>
      <c r="AT249" s="357"/>
      <c r="AU249" s="357"/>
    </row>
    <row r="250" ht="15.75" customHeight="1">
      <c r="A250" s="357"/>
      <c r="B250" s="357"/>
      <c r="C250" s="357"/>
      <c r="D250" s="360"/>
      <c r="E250" s="357"/>
      <c r="F250" s="357"/>
      <c r="G250" s="357"/>
      <c r="H250" s="357"/>
      <c r="I250" s="357"/>
      <c r="J250" s="357"/>
      <c r="K250" s="357"/>
      <c r="L250" s="357"/>
      <c r="M250" s="357"/>
      <c r="N250" s="357"/>
      <c r="O250" s="357"/>
      <c r="P250" s="357"/>
      <c r="Q250" s="357"/>
      <c r="R250" s="357"/>
      <c r="S250" s="357"/>
      <c r="T250" s="357"/>
      <c r="U250" s="357"/>
      <c r="V250" s="357"/>
      <c r="W250" s="357"/>
      <c r="Y250" s="357"/>
      <c r="Z250" s="357"/>
      <c r="AA250" s="357"/>
      <c r="AB250" s="357"/>
      <c r="AC250" s="357"/>
      <c r="AD250" s="357"/>
      <c r="AE250" s="357"/>
      <c r="AF250" s="357"/>
      <c r="AG250" s="357"/>
      <c r="AH250" s="357"/>
      <c r="AI250" s="357"/>
      <c r="AJ250" s="357"/>
      <c r="AK250" s="357"/>
      <c r="AL250" s="357"/>
      <c r="AM250" s="357"/>
      <c r="AN250" s="357"/>
      <c r="AO250" s="357"/>
      <c r="AP250" s="357"/>
      <c r="AQ250" s="357"/>
      <c r="AR250" s="357"/>
      <c r="AS250" s="357"/>
      <c r="AT250" s="357"/>
      <c r="AU250" s="357"/>
    </row>
    <row r="251" ht="15.75" customHeight="1">
      <c r="A251" s="357"/>
      <c r="B251" s="357"/>
      <c r="C251" s="357"/>
      <c r="D251" s="360"/>
      <c r="E251" s="357"/>
      <c r="F251" s="357"/>
      <c r="G251" s="357"/>
      <c r="H251" s="357"/>
      <c r="I251" s="357"/>
      <c r="J251" s="357"/>
      <c r="K251" s="357"/>
      <c r="L251" s="357"/>
      <c r="M251" s="357"/>
      <c r="N251" s="357"/>
      <c r="O251" s="357"/>
      <c r="P251" s="357"/>
      <c r="Q251" s="357"/>
      <c r="R251" s="357"/>
      <c r="S251" s="357"/>
      <c r="T251" s="357"/>
      <c r="U251" s="357"/>
      <c r="V251" s="357"/>
      <c r="W251" s="357"/>
      <c r="Y251" s="357"/>
      <c r="Z251" s="357"/>
      <c r="AA251" s="357"/>
      <c r="AB251" s="357"/>
      <c r="AC251" s="357"/>
      <c r="AD251" s="357"/>
      <c r="AE251" s="357"/>
      <c r="AF251" s="357"/>
      <c r="AG251" s="357"/>
      <c r="AH251" s="357"/>
      <c r="AI251" s="357"/>
      <c r="AJ251" s="357"/>
      <c r="AK251" s="357"/>
      <c r="AL251" s="357"/>
      <c r="AM251" s="357"/>
      <c r="AN251" s="357"/>
      <c r="AO251" s="357"/>
      <c r="AP251" s="357"/>
      <c r="AQ251" s="357"/>
      <c r="AR251" s="357"/>
      <c r="AS251" s="357"/>
      <c r="AT251" s="357"/>
      <c r="AU251" s="357"/>
    </row>
    <row r="252" ht="15.75" customHeight="1">
      <c r="A252" s="357"/>
      <c r="B252" s="357"/>
      <c r="C252" s="357"/>
      <c r="D252" s="360"/>
      <c r="E252" s="357"/>
      <c r="F252" s="357"/>
      <c r="G252" s="357"/>
      <c r="H252" s="357"/>
      <c r="I252" s="357"/>
      <c r="J252" s="357"/>
      <c r="K252" s="357"/>
      <c r="L252" s="357"/>
      <c r="M252" s="357"/>
      <c r="N252" s="357"/>
      <c r="O252" s="357"/>
      <c r="P252" s="357"/>
      <c r="Q252" s="357"/>
      <c r="R252" s="357"/>
      <c r="S252" s="357"/>
      <c r="T252" s="357"/>
      <c r="U252" s="357"/>
      <c r="V252" s="357"/>
      <c r="W252" s="357"/>
      <c r="Y252" s="357"/>
      <c r="Z252" s="357"/>
      <c r="AA252" s="357"/>
      <c r="AB252" s="357"/>
      <c r="AC252" s="357"/>
      <c r="AD252" s="357"/>
      <c r="AE252" s="357"/>
      <c r="AF252" s="357"/>
      <c r="AG252" s="357"/>
      <c r="AH252" s="357"/>
      <c r="AI252" s="357"/>
      <c r="AJ252" s="357"/>
      <c r="AK252" s="357"/>
      <c r="AL252" s="357"/>
      <c r="AM252" s="357"/>
      <c r="AN252" s="357"/>
      <c r="AO252" s="357"/>
      <c r="AP252" s="357"/>
      <c r="AQ252" s="357"/>
      <c r="AR252" s="357"/>
      <c r="AS252" s="357"/>
      <c r="AT252" s="357"/>
      <c r="AU252" s="357"/>
    </row>
    <row r="253" ht="15.75" customHeight="1">
      <c r="A253" s="357"/>
      <c r="B253" s="357"/>
      <c r="C253" s="357"/>
      <c r="D253" s="360"/>
      <c r="E253" s="357"/>
      <c r="F253" s="357"/>
      <c r="G253" s="357"/>
      <c r="H253" s="357"/>
      <c r="I253" s="357"/>
      <c r="J253" s="357"/>
      <c r="K253" s="357"/>
      <c r="L253" s="357"/>
      <c r="M253" s="357"/>
      <c r="N253" s="357"/>
      <c r="O253" s="357"/>
      <c r="P253" s="357"/>
      <c r="Q253" s="357"/>
      <c r="R253" s="357"/>
      <c r="S253" s="357"/>
      <c r="T253" s="357"/>
      <c r="U253" s="357"/>
      <c r="V253" s="357"/>
      <c r="W253" s="357"/>
      <c r="Y253" s="357"/>
      <c r="Z253" s="357"/>
      <c r="AA253" s="357"/>
      <c r="AB253" s="357"/>
      <c r="AC253" s="357"/>
      <c r="AD253" s="357"/>
      <c r="AE253" s="357"/>
      <c r="AF253" s="357"/>
      <c r="AG253" s="357"/>
      <c r="AH253" s="357"/>
      <c r="AI253" s="357"/>
      <c r="AJ253" s="357"/>
      <c r="AK253" s="357"/>
      <c r="AL253" s="357"/>
      <c r="AM253" s="357"/>
      <c r="AN253" s="357"/>
      <c r="AO253" s="357"/>
      <c r="AP253" s="357"/>
      <c r="AQ253" s="357"/>
      <c r="AR253" s="357"/>
      <c r="AS253" s="357"/>
      <c r="AT253" s="357"/>
      <c r="AU253" s="357"/>
    </row>
    <row r="254" ht="15.75" customHeight="1">
      <c r="A254" s="357"/>
      <c r="B254" s="357"/>
      <c r="C254" s="357"/>
      <c r="D254" s="360"/>
      <c r="E254" s="357"/>
      <c r="F254" s="357"/>
      <c r="G254" s="357"/>
      <c r="H254" s="357"/>
      <c r="I254" s="357"/>
      <c r="J254" s="357"/>
      <c r="K254" s="357"/>
      <c r="L254" s="357"/>
      <c r="M254" s="357"/>
      <c r="N254" s="357"/>
      <c r="O254" s="357"/>
      <c r="P254" s="357"/>
      <c r="Q254" s="357"/>
      <c r="R254" s="357"/>
      <c r="S254" s="357"/>
      <c r="T254" s="357"/>
      <c r="U254" s="357"/>
      <c r="V254" s="357"/>
      <c r="W254" s="357"/>
      <c r="Y254" s="357"/>
      <c r="Z254" s="357"/>
      <c r="AA254" s="357"/>
      <c r="AB254" s="357"/>
      <c r="AC254" s="357"/>
      <c r="AD254" s="357"/>
      <c r="AE254" s="357"/>
      <c r="AF254" s="357"/>
      <c r="AG254" s="357"/>
      <c r="AH254" s="357"/>
      <c r="AI254" s="357"/>
      <c r="AJ254" s="357"/>
      <c r="AK254" s="357"/>
      <c r="AL254" s="357"/>
      <c r="AM254" s="357"/>
      <c r="AN254" s="357"/>
      <c r="AO254" s="357"/>
      <c r="AP254" s="357"/>
      <c r="AQ254" s="357"/>
      <c r="AR254" s="357"/>
      <c r="AS254" s="357"/>
      <c r="AT254" s="357"/>
      <c r="AU254" s="357"/>
    </row>
    <row r="255" ht="15.75" customHeight="1">
      <c r="A255" s="357"/>
      <c r="B255" s="357"/>
      <c r="C255" s="357"/>
      <c r="D255" s="360"/>
      <c r="E255" s="357"/>
      <c r="F255" s="357"/>
      <c r="G255" s="357"/>
      <c r="H255" s="357"/>
      <c r="I255" s="357"/>
      <c r="J255" s="357"/>
      <c r="K255" s="357"/>
      <c r="L255" s="357"/>
      <c r="M255" s="357"/>
      <c r="N255" s="357"/>
      <c r="O255" s="357"/>
      <c r="P255" s="357"/>
      <c r="Q255" s="357"/>
      <c r="R255" s="357"/>
      <c r="S255" s="357"/>
      <c r="T255" s="357"/>
      <c r="U255" s="357"/>
      <c r="V255" s="357"/>
      <c r="W255" s="357"/>
      <c r="Y255" s="357"/>
      <c r="Z255" s="357"/>
      <c r="AA255" s="357"/>
      <c r="AB255" s="357"/>
      <c r="AC255" s="357"/>
      <c r="AD255" s="357"/>
      <c r="AE255" s="357"/>
      <c r="AF255" s="357"/>
      <c r="AG255" s="357"/>
      <c r="AH255" s="357"/>
      <c r="AI255" s="357"/>
      <c r="AJ255" s="357"/>
      <c r="AK255" s="357"/>
      <c r="AL255" s="357"/>
      <c r="AM255" s="357"/>
      <c r="AN255" s="357"/>
      <c r="AO255" s="357"/>
      <c r="AP255" s="357"/>
      <c r="AQ255" s="357"/>
      <c r="AR255" s="357"/>
      <c r="AS255" s="357"/>
      <c r="AT255" s="357"/>
      <c r="AU255" s="357"/>
    </row>
    <row r="256" ht="15.75" customHeight="1">
      <c r="A256" s="357"/>
      <c r="B256" s="357"/>
      <c r="C256" s="357"/>
      <c r="D256" s="360"/>
      <c r="E256" s="357"/>
      <c r="F256" s="357"/>
      <c r="G256" s="357"/>
      <c r="H256" s="357"/>
      <c r="I256" s="357"/>
      <c r="J256" s="357"/>
      <c r="K256" s="357"/>
      <c r="L256" s="357"/>
      <c r="M256" s="357"/>
      <c r="N256" s="357"/>
      <c r="O256" s="357"/>
      <c r="P256" s="357"/>
      <c r="Q256" s="357"/>
      <c r="R256" s="357"/>
      <c r="S256" s="357"/>
      <c r="T256" s="357"/>
      <c r="U256" s="357"/>
      <c r="V256" s="357"/>
      <c r="W256" s="357"/>
      <c r="Y256" s="357"/>
      <c r="Z256" s="357"/>
      <c r="AA256" s="357"/>
      <c r="AB256" s="357"/>
      <c r="AC256" s="357"/>
      <c r="AD256" s="357"/>
      <c r="AE256" s="357"/>
      <c r="AF256" s="357"/>
      <c r="AG256" s="357"/>
      <c r="AH256" s="357"/>
      <c r="AI256" s="357"/>
      <c r="AJ256" s="357"/>
      <c r="AK256" s="357"/>
      <c r="AL256" s="357"/>
      <c r="AM256" s="357"/>
      <c r="AN256" s="357"/>
      <c r="AO256" s="357"/>
      <c r="AP256" s="357"/>
      <c r="AQ256" s="357"/>
      <c r="AR256" s="357"/>
      <c r="AS256" s="357"/>
      <c r="AT256" s="357"/>
      <c r="AU256" s="357"/>
    </row>
    <row r="257" ht="15.75" customHeight="1">
      <c r="A257" s="357"/>
      <c r="B257" s="357"/>
      <c r="C257" s="357"/>
      <c r="D257" s="360"/>
      <c r="E257" s="357"/>
      <c r="F257" s="357"/>
      <c r="G257" s="357"/>
      <c r="H257" s="357"/>
      <c r="I257" s="357"/>
      <c r="J257" s="357"/>
      <c r="K257" s="357"/>
      <c r="L257" s="357"/>
      <c r="M257" s="357"/>
      <c r="N257" s="357"/>
      <c r="O257" s="357"/>
      <c r="P257" s="357"/>
      <c r="Q257" s="357"/>
      <c r="R257" s="357"/>
      <c r="S257" s="357"/>
      <c r="T257" s="357"/>
      <c r="U257" s="357"/>
      <c r="V257" s="357"/>
      <c r="W257" s="357"/>
      <c r="Y257" s="357"/>
      <c r="Z257" s="357"/>
      <c r="AA257" s="357"/>
      <c r="AB257" s="357"/>
      <c r="AC257" s="357"/>
      <c r="AD257" s="357"/>
      <c r="AE257" s="357"/>
      <c r="AF257" s="357"/>
      <c r="AG257" s="357"/>
      <c r="AH257" s="357"/>
      <c r="AI257" s="357"/>
      <c r="AJ257" s="357"/>
      <c r="AK257" s="357"/>
      <c r="AL257" s="357"/>
      <c r="AM257" s="357"/>
      <c r="AN257" s="357"/>
      <c r="AO257" s="357"/>
      <c r="AP257" s="357"/>
      <c r="AQ257" s="357"/>
      <c r="AR257" s="357"/>
      <c r="AS257" s="357"/>
      <c r="AT257" s="357"/>
      <c r="AU257" s="357"/>
    </row>
    <row r="258" ht="15.75" customHeight="1">
      <c r="A258" s="357"/>
      <c r="B258" s="357"/>
      <c r="C258" s="357"/>
      <c r="D258" s="360"/>
      <c r="E258" s="357"/>
      <c r="F258" s="357"/>
      <c r="G258" s="357"/>
      <c r="H258" s="357"/>
      <c r="I258" s="357"/>
      <c r="J258" s="357"/>
      <c r="K258" s="357"/>
      <c r="L258" s="357"/>
      <c r="M258" s="357"/>
      <c r="N258" s="357"/>
      <c r="O258" s="357"/>
      <c r="P258" s="357"/>
      <c r="Q258" s="357"/>
      <c r="R258" s="357"/>
      <c r="S258" s="357"/>
      <c r="T258" s="357"/>
      <c r="U258" s="357"/>
      <c r="V258" s="357"/>
      <c r="W258" s="357"/>
      <c r="Y258" s="357"/>
      <c r="Z258" s="357"/>
      <c r="AA258" s="357"/>
      <c r="AB258" s="357"/>
      <c r="AC258" s="357"/>
      <c r="AD258" s="357"/>
      <c r="AE258" s="357"/>
      <c r="AF258" s="357"/>
      <c r="AG258" s="357"/>
      <c r="AH258" s="357"/>
      <c r="AI258" s="357"/>
      <c r="AJ258" s="357"/>
      <c r="AK258" s="357"/>
      <c r="AL258" s="357"/>
      <c r="AM258" s="357"/>
      <c r="AN258" s="357"/>
      <c r="AO258" s="357"/>
      <c r="AP258" s="357"/>
      <c r="AQ258" s="357"/>
      <c r="AR258" s="357"/>
      <c r="AS258" s="357"/>
      <c r="AT258" s="357"/>
      <c r="AU258" s="357"/>
    </row>
    <row r="259" ht="15.75" customHeight="1">
      <c r="A259" s="357"/>
      <c r="B259" s="357"/>
      <c r="C259" s="357"/>
      <c r="D259" s="360"/>
      <c r="E259" s="357"/>
      <c r="F259" s="357"/>
      <c r="G259" s="357"/>
      <c r="H259" s="357"/>
      <c r="I259" s="357"/>
      <c r="J259" s="357"/>
      <c r="K259" s="357"/>
      <c r="L259" s="357"/>
      <c r="M259" s="357"/>
      <c r="N259" s="357"/>
      <c r="O259" s="357"/>
      <c r="P259" s="357"/>
      <c r="Q259" s="357"/>
      <c r="R259" s="357"/>
      <c r="S259" s="357"/>
      <c r="T259" s="357"/>
      <c r="U259" s="357"/>
      <c r="V259" s="357"/>
      <c r="W259" s="357"/>
      <c r="Y259" s="357"/>
      <c r="Z259" s="357"/>
      <c r="AA259" s="357"/>
      <c r="AB259" s="357"/>
      <c r="AC259" s="357"/>
      <c r="AD259" s="357"/>
      <c r="AE259" s="357"/>
      <c r="AF259" s="357"/>
      <c r="AG259" s="357"/>
      <c r="AH259" s="357"/>
      <c r="AI259" s="357"/>
      <c r="AJ259" s="357"/>
      <c r="AK259" s="357"/>
      <c r="AL259" s="357"/>
      <c r="AM259" s="357"/>
      <c r="AN259" s="357"/>
      <c r="AO259" s="357"/>
      <c r="AP259" s="357"/>
      <c r="AQ259" s="357"/>
      <c r="AR259" s="357"/>
      <c r="AS259" s="357"/>
      <c r="AT259" s="357"/>
      <c r="AU259" s="357"/>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6:$AU$58"/>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3.88"/>
    <col customWidth="1" min="3" max="3" width="31.75"/>
    <col customWidth="1" hidden="1" min="4" max="7" width="0.13"/>
    <col customWidth="1" hidden="1" min="8" max="8" width="13.88"/>
    <col customWidth="1" hidden="1" min="9" max="9" width="24.25"/>
    <col customWidth="1" hidden="1" min="10" max="10" width="0.13"/>
    <col customWidth="1" hidden="1" min="11" max="11" width="27.75"/>
    <col customWidth="1" min="12" max="12" width="18.38"/>
    <col customWidth="1" min="13" max="14" width="8.63"/>
    <col customWidth="1" hidden="1" min="15" max="16" width="0.13"/>
    <col customWidth="1" hidden="1" min="17" max="17" width="10.13"/>
    <col customWidth="1" hidden="1" min="18" max="21" width="0.13"/>
    <col customWidth="1" hidden="1" min="22" max="22" width="10.88"/>
    <col customWidth="1" hidden="1" min="23" max="25" width="0.13"/>
    <col customWidth="1" min="26" max="26" width="42.75"/>
    <col customWidth="1" min="27" max="27" width="18.63"/>
    <col customWidth="1" min="28" max="28" width="8.63"/>
    <col customWidth="1" min="29" max="30" width="6.5"/>
  </cols>
  <sheetData>
    <row r="1" ht="14.25" customHeight="1">
      <c r="A1" s="429" t="s">
        <v>29</v>
      </c>
      <c r="B1" s="429" t="s">
        <v>34</v>
      </c>
      <c r="C1" s="429" t="s">
        <v>7029</v>
      </c>
      <c r="D1" s="429" t="s">
        <v>7030</v>
      </c>
      <c r="E1" s="429" t="s">
        <v>7031</v>
      </c>
      <c r="F1" s="429" t="s">
        <v>7032</v>
      </c>
      <c r="G1" s="429" t="s">
        <v>7033</v>
      </c>
      <c r="H1" s="429" t="s">
        <v>7034</v>
      </c>
      <c r="I1" s="429" t="s">
        <v>7035</v>
      </c>
      <c r="J1" s="430" t="s">
        <v>7036</v>
      </c>
      <c r="K1" s="429" t="s">
        <v>7037</v>
      </c>
      <c r="L1" s="431" t="s">
        <v>7038</v>
      </c>
      <c r="M1" s="429" t="s">
        <v>7039</v>
      </c>
      <c r="Z1" s="432"/>
      <c r="AA1" s="433"/>
    </row>
    <row r="2" ht="14.25" customHeight="1">
      <c r="A2" s="434">
        <v>45874.0</v>
      </c>
      <c r="B2" s="429" t="s">
        <v>7040</v>
      </c>
      <c r="C2" s="429" t="s">
        <v>6719</v>
      </c>
      <c r="D2" s="429">
        <v>4.0</v>
      </c>
      <c r="E2" s="429">
        <v>2.0</v>
      </c>
      <c r="F2" s="429">
        <v>1.0</v>
      </c>
      <c r="H2" s="429">
        <v>7.0</v>
      </c>
      <c r="J2" s="430">
        <f t="shared" ref="J2:J58" si="1">H2+I2</f>
        <v>7</v>
      </c>
      <c r="K2" s="435">
        <v>3.0</v>
      </c>
      <c r="L2" s="430">
        <f t="shared" ref="L2:L58" si="2">(J2-K2)+M2</f>
        <v>4</v>
      </c>
      <c r="T2" s="429" t="s">
        <v>2078</v>
      </c>
      <c r="U2" s="429" t="s">
        <v>1596</v>
      </c>
      <c r="V2" s="429" t="s">
        <v>2502</v>
      </c>
      <c r="W2" s="429" t="s">
        <v>7041</v>
      </c>
      <c r="X2" s="429" t="s">
        <v>7042</v>
      </c>
      <c r="Z2" s="432"/>
      <c r="AA2" s="432"/>
    </row>
    <row r="3" ht="14.25" customHeight="1">
      <c r="A3" s="434">
        <v>45874.0</v>
      </c>
      <c r="B3" s="429" t="s">
        <v>7040</v>
      </c>
      <c r="C3" s="429" t="s">
        <v>280</v>
      </c>
      <c r="D3" s="429">
        <v>4.0</v>
      </c>
      <c r="E3" s="429">
        <v>2.0</v>
      </c>
      <c r="H3" s="429">
        <v>6.0</v>
      </c>
      <c r="I3" s="429">
        <v>1.0</v>
      </c>
      <c r="J3" s="430">
        <f t="shared" si="1"/>
        <v>7</v>
      </c>
      <c r="K3" s="429">
        <v>5.0</v>
      </c>
      <c r="L3" s="430">
        <f t="shared" si="2"/>
        <v>2</v>
      </c>
      <c r="T3" s="429" t="s">
        <v>2078</v>
      </c>
      <c r="U3" s="429">
        <v>5.0</v>
      </c>
      <c r="V3" s="429" t="s">
        <v>7043</v>
      </c>
      <c r="W3" s="429" t="s">
        <v>7044</v>
      </c>
      <c r="X3" s="429">
        <v>1.0</v>
      </c>
    </row>
    <row r="4" ht="14.25" customHeight="1">
      <c r="A4" s="434">
        <v>45874.0</v>
      </c>
      <c r="B4" s="429" t="s">
        <v>7040</v>
      </c>
      <c r="C4" s="429" t="s">
        <v>278</v>
      </c>
      <c r="D4" s="429">
        <v>4.0</v>
      </c>
      <c r="E4" s="429">
        <v>1.0</v>
      </c>
      <c r="H4" s="429">
        <v>5.0</v>
      </c>
      <c r="I4" s="429">
        <v>1.0</v>
      </c>
      <c r="J4" s="430">
        <f t="shared" si="1"/>
        <v>6</v>
      </c>
      <c r="K4" s="429">
        <v>4.0</v>
      </c>
      <c r="L4" s="430">
        <f t="shared" si="2"/>
        <v>5</v>
      </c>
      <c r="M4" s="429">
        <v>3.0</v>
      </c>
      <c r="T4" s="429" t="s">
        <v>2078</v>
      </c>
      <c r="U4" s="429">
        <v>5.0</v>
      </c>
      <c r="V4" s="429" t="s">
        <v>7043</v>
      </c>
      <c r="W4" s="429" t="s">
        <v>7045</v>
      </c>
      <c r="X4" s="429">
        <v>1.0</v>
      </c>
    </row>
    <row r="5" ht="14.25" customHeight="1">
      <c r="A5" s="434">
        <v>45874.0</v>
      </c>
      <c r="B5" s="429" t="s">
        <v>7040</v>
      </c>
      <c r="C5" s="429" t="s">
        <v>6732</v>
      </c>
      <c r="D5" s="429">
        <v>3.0</v>
      </c>
      <c r="E5" s="429">
        <v>0.0</v>
      </c>
      <c r="H5" s="429">
        <v>3.0</v>
      </c>
      <c r="J5" s="430">
        <f t="shared" si="1"/>
        <v>3</v>
      </c>
      <c r="K5" s="429">
        <v>1.0</v>
      </c>
      <c r="L5" s="430">
        <f t="shared" si="2"/>
        <v>2</v>
      </c>
      <c r="T5" s="429" t="s">
        <v>2078</v>
      </c>
      <c r="U5" s="429">
        <v>5.0</v>
      </c>
      <c r="V5" s="429" t="s">
        <v>7043</v>
      </c>
      <c r="W5" s="429" t="s">
        <v>7047</v>
      </c>
      <c r="X5" s="429">
        <v>1.0</v>
      </c>
    </row>
    <row r="6" ht="14.25" customHeight="1">
      <c r="A6" s="434">
        <v>45874.0</v>
      </c>
      <c r="B6" s="429" t="s">
        <v>7040</v>
      </c>
      <c r="C6" s="429" t="s">
        <v>274</v>
      </c>
      <c r="D6" s="429">
        <v>3.0</v>
      </c>
      <c r="E6" s="429">
        <v>0.0</v>
      </c>
      <c r="H6" s="429">
        <v>3.0</v>
      </c>
      <c r="I6" s="429">
        <v>4.0</v>
      </c>
      <c r="J6" s="430">
        <f t="shared" si="1"/>
        <v>7</v>
      </c>
      <c r="K6" s="429">
        <v>7.0</v>
      </c>
      <c r="L6" s="430">
        <f t="shared" si="2"/>
        <v>1</v>
      </c>
      <c r="M6" s="429">
        <v>1.0</v>
      </c>
      <c r="Q6" s="429"/>
      <c r="T6" s="429" t="s">
        <v>2078</v>
      </c>
      <c r="U6" s="429">
        <v>5.0</v>
      </c>
      <c r="V6" s="429" t="s">
        <v>7043</v>
      </c>
      <c r="W6" s="429" t="s">
        <v>7048</v>
      </c>
      <c r="X6" s="429">
        <v>1.0</v>
      </c>
      <c r="AB6" s="429" t="s">
        <v>7050</v>
      </c>
      <c r="AC6" s="436"/>
      <c r="AD6" s="429"/>
    </row>
    <row r="7" ht="14.25" customHeight="1">
      <c r="A7" s="434">
        <v>45874.0</v>
      </c>
      <c r="B7" s="429" t="s">
        <v>7040</v>
      </c>
      <c r="C7" s="429" t="s">
        <v>2839</v>
      </c>
      <c r="D7" s="429">
        <v>2.0</v>
      </c>
      <c r="E7" s="429">
        <v>2.0</v>
      </c>
      <c r="H7" s="429">
        <v>4.0</v>
      </c>
      <c r="J7" s="430">
        <f t="shared" si="1"/>
        <v>4</v>
      </c>
      <c r="K7" s="429">
        <v>3.0</v>
      </c>
      <c r="L7" s="430">
        <f t="shared" si="2"/>
        <v>1</v>
      </c>
      <c r="Q7" s="429"/>
      <c r="T7" s="429" t="s">
        <v>2078</v>
      </c>
      <c r="U7" s="429">
        <v>5.0</v>
      </c>
      <c r="V7" s="429" t="s">
        <v>7043</v>
      </c>
      <c r="W7" s="429" t="s">
        <v>7051</v>
      </c>
      <c r="X7" s="429">
        <v>1.0</v>
      </c>
      <c r="AB7" s="429" t="s">
        <v>7050</v>
      </c>
      <c r="AC7" s="436"/>
      <c r="AD7" s="429"/>
    </row>
    <row r="8" ht="14.25" customHeight="1">
      <c r="A8" s="429" t="s">
        <v>7053</v>
      </c>
      <c r="B8" s="429" t="s">
        <v>7040</v>
      </c>
      <c r="C8" s="429" t="s">
        <v>7054</v>
      </c>
      <c r="I8" s="429">
        <v>1.0</v>
      </c>
      <c r="J8" s="430">
        <f t="shared" si="1"/>
        <v>1</v>
      </c>
      <c r="K8" s="429">
        <v>0.0</v>
      </c>
      <c r="L8" s="430">
        <f t="shared" si="2"/>
        <v>6</v>
      </c>
      <c r="M8" s="429">
        <v>5.0</v>
      </c>
      <c r="Q8" s="429"/>
      <c r="T8" s="429" t="s">
        <v>2078</v>
      </c>
      <c r="U8" s="429">
        <v>5.0</v>
      </c>
      <c r="V8" s="429" t="s">
        <v>7055</v>
      </c>
      <c r="W8" s="437" t="s">
        <v>6702</v>
      </c>
      <c r="X8" s="429">
        <v>1.0</v>
      </c>
      <c r="AB8" s="429" t="s">
        <v>7050</v>
      </c>
      <c r="AC8" s="436"/>
      <c r="AD8" s="429"/>
    </row>
    <row r="9" ht="14.25" customHeight="1">
      <c r="A9" s="429" t="s">
        <v>7053</v>
      </c>
      <c r="B9" s="429" t="s">
        <v>7040</v>
      </c>
      <c r="C9" s="429" t="s">
        <v>7057</v>
      </c>
      <c r="I9" s="429">
        <v>1.0</v>
      </c>
      <c r="J9" s="430">
        <f t="shared" si="1"/>
        <v>1</v>
      </c>
      <c r="K9" s="429">
        <v>0.0</v>
      </c>
      <c r="L9" s="430">
        <f t="shared" si="2"/>
        <v>1</v>
      </c>
      <c r="Q9" s="429"/>
      <c r="T9" s="429" t="s">
        <v>2078</v>
      </c>
      <c r="U9" s="429">
        <v>5.0</v>
      </c>
      <c r="V9" s="429" t="s">
        <v>7055</v>
      </c>
      <c r="W9" s="429" t="s">
        <v>7045</v>
      </c>
      <c r="X9" s="429">
        <v>1.0</v>
      </c>
      <c r="AB9" s="429"/>
      <c r="AC9" s="436"/>
    </row>
    <row r="10" ht="14.25" customHeight="1">
      <c r="A10" s="434">
        <v>45874.0</v>
      </c>
      <c r="B10" s="429" t="s">
        <v>7059</v>
      </c>
      <c r="C10" s="429" t="s">
        <v>7060</v>
      </c>
      <c r="D10" s="429">
        <v>3.0</v>
      </c>
      <c r="E10" s="429">
        <v>0.0</v>
      </c>
      <c r="H10" s="429">
        <v>3.0</v>
      </c>
      <c r="J10" s="430">
        <f t="shared" si="1"/>
        <v>3</v>
      </c>
      <c r="K10" s="429">
        <v>0.0</v>
      </c>
      <c r="L10" s="430">
        <f t="shared" si="2"/>
        <v>3</v>
      </c>
      <c r="Q10" s="429"/>
      <c r="T10" s="429" t="s">
        <v>2078</v>
      </c>
      <c r="U10" s="429">
        <v>5.0</v>
      </c>
      <c r="V10" s="429" t="s">
        <v>7055</v>
      </c>
      <c r="W10" s="429" t="s">
        <v>6632</v>
      </c>
      <c r="X10" s="429">
        <v>1.0</v>
      </c>
      <c r="AB10" s="429" t="s">
        <v>7050</v>
      </c>
      <c r="AC10" s="436"/>
    </row>
    <row r="11" ht="14.25" customHeight="1">
      <c r="A11" s="434">
        <v>45874.0</v>
      </c>
      <c r="B11" s="429" t="s">
        <v>7059</v>
      </c>
      <c r="C11" s="429" t="s">
        <v>7062</v>
      </c>
      <c r="D11" s="429">
        <v>3.0</v>
      </c>
      <c r="E11" s="429">
        <v>0.0</v>
      </c>
      <c r="H11" s="429">
        <v>3.0</v>
      </c>
      <c r="J11" s="430">
        <f t="shared" si="1"/>
        <v>3</v>
      </c>
      <c r="K11" s="429">
        <v>0.0</v>
      </c>
      <c r="L11" s="430">
        <f t="shared" si="2"/>
        <v>3</v>
      </c>
      <c r="Q11" s="429"/>
      <c r="T11" s="429" t="s">
        <v>2078</v>
      </c>
      <c r="U11" s="429">
        <v>5.0</v>
      </c>
      <c r="V11" s="429" t="s">
        <v>7063</v>
      </c>
      <c r="W11" s="437" t="s">
        <v>7064</v>
      </c>
      <c r="X11" s="429">
        <v>1.0</v>
      </c>
      <c r="AB11" s="429" t="s">
        <v>7050</v>
      </c>
      <c r="AC11" s="436"/>
    </row>
    <row r="12" ht="14.25" customHeight="1">
      <c r="A12" s="434">
        <v>45874.0</v>
      </c>
      <c r="B12" s="429" t="s">
        <v>7059</v>
      </c>
      <c r="C12" s="429" t="s">
        <v>7066</v>
      </c>
      <c r="D12" s="429">
        <v>1.0</v>
      </c>
      <c r="E12" s="429">
        <v>0.0</v>
      </c>
      <c r="H12" s="429">
        <v>1.0</v>
      </c>
      <c r="J12" s="430">
        <f t="shared" si="1"/>
        <v>1</v>
      </c>
      <c r="K12" s="429">
        <v>0.0</v>
      </c>
      <c r="L12" s="430">
        <f t="shared" si="2"/>
        <v>1</v>
      </c>
      <c r="Q12" s="429"/>
      <c r="T12" s="429" t="s">
        <v>2078</v>
      </c>
      <c r="U12" s="429">
        <v>5.0</v>
      </c>
      <c r="V12" s="429" t="s">
        <v>7063</v>
      </c>
      <c r="W12" s="437" t="s">
        <v>7067</v>
      </c>
      <c r="X12" s="429">
        <v>1.0</v>
      </c>
      <c r="AB12" s="429" t="s">
        <v>7050</v>
      </c>
      <c r="AC12" s="436"/>
    </row>
    <row r="13" ht="14.25" customHeight="1">
      <c r="A13" s="434">
        <v>45874.0</v>
      </c>
      <c r="B13" s="429" t="s">
        <v>7059</v>
      </c>
      <c r="C13" s="429" t="s">
        <v>7069</v>
      </c>
      <c r="D13" s="429">
        <v>4.0</v>
      </c>
      <c r="E13" s="429">
        <v>0.0</v>
      </c>
      <c r="H13" s="429">
        <v>4.0</v>
      </c>
      <c r="J13" s="430">
        <f t="shared" si="1"/>
        <v>4</v>
      </c>
      <c r="K13" s="429">
        <v>0.0</v>
      </c>
      <c r="L13" s="430">
        <f t="shared" si="2"/>
        <v>4</v>
      </c>
      <c r="Q13" s="429"/>
      <c r="T13" s="429" t="s">
        <v>2078</v>
      </c>
      <c r="U13" s="429">
        <v>5.0</v>
      </c>
      <c r="V13" s="429" t="s">
        <v>7063</v>
      </c>
      <c r="W13" s="429" t="s">
        <v>6640</v>
      </c>
      <c r="X13" s="429">
        <v>1.0</v>
      </c>
      <c r="AB13" s="429" t="s">
        <v>7050</v>
      </c>
      <c r="AC13" s="436"/>
    </row>
    <row r="14" ht="14.25" customHeight="1">
      <c r="A14" s="434">
        <v>45874.0</v>
      </c>
      <c r="B14" s="429" t="s">
        <v>7059</v>
      </c>
      <c r="C14" s="429" t="s">
        <v>7071</v>
      </c>
      <c r="D14" s="429">
        <v>1.0</v>
      </c>
      <c r="E14" s="429">
        <v>0.0</v>
      </c>
      <c r="H14" s="429">
        <v>1.0</v>
      </c>
      <c r="J14" s="430">
        <f t="shared" si="1"/>
        <v>1</v>
      </c>
      <c r="K14" s="429">
        <v>0.0</v>
      </c>
      <c r="L14" s="430">
        <f t="shared" si="2"/>
        <v>1</v>
      </c>
      <c r="Q14" s="429"/>
      <c r="T14" s="429" t="s">
        <v>2078</v>
      </c>
      <c r="U14" s="429">
        <v>5.0</v>
      </c>
      <c r="V14" s="429" t="s">
        <v>7063</v>
      </c>
      <c r="W14" s="429" t="s">
        <v>7072</v>
      </c>
      <c r="X14" s="429">
        <v>2.0</v>
      </c>
      <c r="AB14" s="429" t="s">
        <v>7050</v>
      </c>
      <c r="AC14" s="436"/>
    </row>
    <row r="15" ht="14.25" customHeight="1">
      <c r="A15" s="434">
        <v>45874.0</v>
      </c>
      <c r="B15" s="429" t="s">
        <v>7073</v>
      </c>
      <c r="C15" s="429" t="s">
        <v>201</v>
      </c>
      <c r="D15" s="429">
        <v>3.0</v>
      </c>
      <c r="E15" s="429">
        <v>0.0</v>
      </c>
      <c r="H15" s="429">
        <v>3.0</v>
      </c>
      <c r="J15" s="430">
        <f t="shared" si="1"/>
        <v>3</v>
      </c>
      <c r="K15" s="429">
        <v>0.0</v>
      </c>
      <c r="L15" s="430">
        <f t="shared" si="2"/>
        <v>3</v>
      </c>
      <c r="T15" s="429" t="s">
        <v>2078</v>
      </c>
      <c r="U15" s="429">
        <v>5.0</v>
      </c>
      <c r="V15" s="429" t="s">
        <v>7074</v>
      </c>
      <c r="W15" s="429">
        <v>0.0</v>
      </c>
      <c r="X15" s="429">
        <v>1.0</v>
      </c>
      <c r="AC15" s="436"/>
    </row>
    <row r="16" ht="14.25" customHeight="1">
      <c r="A16" s="434">
        <v>45874.0</v>
      </c>
      <c r="B16" s="429" t="s">
        <v>7075</v>
      </c>
      <c r="C16" s="429" t="s">
        <v>6638</v>
      </c>
      <c r="D16" s="429">
        <v>3.0</v>
      </c>
      <c r="E16" s="429">
        <v>3.0</v>
      </c>
      <c r="H16" s="429">
        <v>6.0</v>
      </c>
      <c r="J16" s="430">
        <f t="shared" si="1"/>
        <v>6</v>
      </c>
      <c r="K16" s="429">
        <v>3.0</v>
      </c>
      <c r="L16" s="430">
        <f t="shared" si="2"/>
        <v>3</v>
      </c>
      <c r="T16" s="429" t="s">
        <v>2078</v>
      </c>
      <c r="U16" s="429">
        <v>5.0</v>
      </c>
      <c r="V16" s="429" t="s">
        <v>7074</v>
      </c>
      <c r="W16" s="429" t="s">
        <v>7051</v>
      </c>
      <c r="X16" s="429">
        <v>1.0</v>
      </c>
      <c r="AC16" s="436"/>
    </row>
    <row r="17" ht="14.25" customHeight="1">
      <c r="A17" s="434">
        <v>45874.0</v>
      </c>
      <c r="B17" s="429" t="s">
        <v>7075</v>
      </c>
      <c r="C17" s="429" t="s">
        <v>2153</v>
      </c>
      <c r="D17" s="429">
        <v>0.0</v>
      </c>
      <c r="E17" s="429">
        <v>1.0</v>
      </c>
      <c r="H17" s="429">
        <v>1.0</v>
      </c>
      <c r="J17" s="430">
        <f t="shared" si="1"/>
        <v>1</v>
      </c>
      <c r="K17" s="429">
        <v>1.0</v>
      </c>
      <c r="L17" s="430">
        <f t="shared" si="2"/>
        <v>0</v>
      </c>
      <c r="T17" s="429" t="s">
        <v>2078</v>
      </c>
      <c r="U17" s="429">
        <v>5.0</v>
      </c>
      <c r="V17" s="429" t="s">
        <v>7074</v>
      </c>
      <c r="W17" s="429" t="s">
        <v>7077</v>
      </c>
      <c r="X17" s="429">
        <v>1.0</v>
      </c>
      <c r="AC17" s="436"/>
    </row>
    <row r="18" ht="14.25" customHeight="1">
      <c r="A18" s="434">
        <v>45874.0</v>
      </c>
      <c r="B18" s="429" t="s">
        <v>7075</v>
      </c>
      <c r="C18" s="429" t="s">
        <v>7078</v>
      </c>
      <c r="D18" s="429">
        <v>0.0</v>
      </c>
      <c r="E18" s="429">
        <v>11.0</v>
      </c>
      <c r="H18" s="429">
        <v>11.0</v>
      </c>
      <c r="J18" s="430">
        <f t="shared" si="1"/>
        <v>11</v>
      </c>
      <c r="K18" s="429">
        <v>7.0</v>
      </c>
      <c r="L18" s="430">
        <f t="shared" si="2"/>
        <v>4</v>
      </c>
      <c r="T18" s="429" t="s">
        <v>2078</v>
      </c>
      <c r="U18" s="429">
        <v>5.0</v>
      </c>
      <c r="V18" s="429" t="s">
        <v>7079</v>
      </c>
      <c r="W18" s="429" t="s">
        <v>7080</v>
      </c>
      <c r="X18" s="429">
        <v>1.0</v>
      </c>
      <c r="AB18" s="429" t="s">
        <v>7050</v>
      </c>
      <c r="AC18" s="436"/>
    </row>
    <row r="19" ht="14.25" customHeight="1">
      <c r="A19" s="434">
        <v>45874.0</v>
      </c>
      <c r="B19" s="429" t="s">
        <v>7075</v>
      </c>
      <c r="C19" s="429" t="s">
        <v>6939</v>
      </c>
      <c r="D19" s="429">
        <v>0.0</v>
      </c>
      <c r="E19" s="429">
        <v>2.0</v>
      </c>
      <c r="H19" s="429">
        <v>2.0</v>
      </c>
      <c r="I19" s="429">
        <v>10.0</v>
      </c>
      <c r="J19" s="430">
        <f t="shared" si="1"/>
        <v>12</v>
      </c>
      <c r="K19" s="429">
        <v>5.0</v>
      </c>
      <c r="L19" s="430">
        <f t="shared" si="2"/>
        <v>7</v>
      </c>
      <c r="T19" s="429" t="s">
        <v>2078</v>
      </c>
      <c r="U19" s="429">
        <v>5.0</v>
      </c>
      <c r="V19" s="429" t="s">
        <v>7082</v>
      </c>
      <c r="W19" s="429" t="s">
        <v>7072</v>
      </c>
      <c r="X19" s="429">
        <v>1.0</v>
      </c>
      <c r="AB19" s="429" t="s">
        <v>7050</v>
      </c>
      <c r="AC19" s="436"/>
    </row>
    <row r="20" ht="14.25" customHeight="1">
      <c r="A20" s="434">
        <v>45874.0</v>
      </c>
      <c r="B20" s="429" t="s">
        <v>7075</v>
      </c>
      <c r="C20" s="429" t="s">
        <v>7084</v>
      </c>
      <c r="D20" s="429">
        <v>0.0</v>
      </c>
      <c r="E20" s="429">
        <v>1.0</v>
      </c>
      <c r="H20" s="429">
        <v>1.0</v>
      </c>
      <c r="I20" s="429">
        <v>5.0</v>
      </c>
      <c r="J20" s="430">
        <f t="shared" si="1"/>
        <v>6</v>
      </c>
      <c r="K20" s="429">
        <v>3.0</v>
      </c>
      <c r="L20" s="430">
        <f t="shared" si="2"/>
        <v>3</v>
      </c>
      <c r="T20" s="429" t="s">
        <v>2078</v>
      </c>
      <c r="U20" s="429">
        <v>5.0</v>
      </c>
      <c r="V20" s="429" t="s">
        <v>7082</v>
      </c>
      <c r="W20" s="429" t="s">
        <v>6588</v>
      </c>
      <c r="X20" s="429">
        <v>2.0</v>
      </c>
      <c r="AB20" s="429" t="s">
        <v>7050</v>
      </c>
      <c r="AC20" s="436"/>
    </row>
    <row r="21" ht="14.25" customHeight="1">
      <c r="A21" s="434">
        <v>45874.0</v>
      </c>
      <c r="B21" s="429" t="s">
        <v>7075</v>
      </c>
      <c r="C21" s="429" t="s">
        <v>6626</v>
      </c>
      <c r="D21" s="429">
        <v>6.0</v>
      </c>
      <c r="E21" s="429">
        <v>0.0</v>
      </c>
      <c r="H21" s="429">
        <v>6.0</v>
      </c>
      <c r="I21" s="429">
        <v>5.0</v>
      </c>
      <c r="J21" s="430">
        <f t="shared" si="1"/>
        <v>11</v>
      </c>
      <c r="K21" s="429">
        <v>11.0</v>
      </c>
      <c r="L21" s="430">
        <f t="shared" si="2"/>
        <v>0</v>
      </c>
      <c r="T21" s="429" t="s">
        <v>2078</v>
      </c>
      <c r="U21" s="429">
        <v>5.0</v>
      </c>
      <c r="V21" s="429" t="s">
        <v>7085</v>
      </c>
      <c r="W21" s="429" t="s">
        <v>7065</v>
      </c>
      <c r="X21" s="429">
        <v>1.0</v>
      </c>
      <c r="AB21" s="429" t="s">
        <v>7050</v>
      </c>
      <c r="AC21" s="436"/>
    </row>
    <row r="22" ht="14.25" customHeight="1">
      <c r="A22" s="434">
        <v>45874.0</v>
      </c>
      <c r="B22" s="429" t="s">
        <v>7075</v>
      </c>
      <c r="C22" s="429" t="s">
        <v>6938</v>
      </c>
      <c r="D22" s="429">
        <v>5.0</v>
      </c>
      <c r="E22" s="429">
        <v>2.0</v>
      </c>
      <c r="H22" s="429">
        <v>7.0</v>
      </c>
      <c r="J22" s="430">
        <f t="shared" si="1"/>
        <v>7</v>
      </c>
      <c r="K22" s="429">
        <v>6.0</v>
      </c>
      <c r="L22" s="430">
        <f t="shared" si="2"/>
        <v>1</v>
      </c>
      <c r="T22" s="429" t="s">
        <v>2078</v>
      </c>
      <c r="U22" s="429">
        <v>5.0</v>
      </c>
      <c r="V22" s="429" t="s">
        <v>7085</v>
      </c>
      <c r="W22" s="429" t="s">
        <v>7070</v>
      </c>
      <c r="X22" s="429">
        <v>1.0</v>
      </c>
      <c r="AB22" s="429" t="s">
        <v>7050</v>
      </c>
      <c r="AC22" s="436"/>
    </row>
    <row r="23" ht="14.25" customHeight="1">
      <c r="A23" s="434">
        <v>45874.0</v>
      </c>
      <c r="B23" s="429" t="s">
        <v>7075</v>
      </c>
      <c r="C23" s="429" t="s">
        <v>7088</v>
      </c>
      <c r="D23" s="429">
        <v>3.0</v>
      </c>
      <c r="E23" s="429">
        <v>7.0</v>
      </c>
      <c r="H23" s="429">
        <v>10.0</v>
      </c>
      <c r="J23" s="430">
        <f t="shared" si="1"/>
        <v>10</v>
      </c>
      <c r="K23" s="429">
        <v>3.0</v>
      </c>
      <c r="L23" s="430">
        <f t="shared" si="2"/>
        <v>7</v>
      </c>
      <c r="T23" s="429" t="s">
        <v>2078</v>
      </c>
      <c r="U23" s="429">
        <v>5.0</v>
      </c>
      <c r="V23" s="429" t="s">
        <v>7085</v>
      </c>
      <c r="W23" s="429" t="s">
        <v>7089</v>
      </c>
      <c r="X23" s="429">
        <v>1.0</v>
      </c>
      <c r="AB23" s="429" t="s">
        <v>7050</v>
      </c>
      <c r="AC23" s="436"/>
    </row>
    <row r="24" ht="14.25" customHeight="1">
      <c r="A24" s="434">
        <v>45874.0</v>
      </c>
      <c r="B24" s="429" t="s">
        <v>7075</v>
      </c>
      <c r="C24" s="429" t="s">
        <v>6643</v>
      </c>
      <c r="D24" s="429">
        <v>1.0</v>
      </c>
      <c r="E24" s="429">
        <v>1.0</v>
      </c>
      <c r="H24" s="429">
        <v>2.0</v>
      </c>
      <c r="J24" s="430">
        <f t="shared" si="1"/>
        <v>2</v>
      </c>
      <c r="K24" s="429">
        <v>0.0</v>
      </c>
      <c r="L24" s="430">
        <f t="shared" si="2"/>
        <v>2</v>
      </c>
      <c r="T24" s="429" t="s">
        <v>2078</v>
      </c>
      <c r="U24" s="429">
        <v>5.0</v>
      </c>
      <c r="V24" s="429" t="s">
        <v>7085</v>
      </c>
      <c r="W24" s="437" t="s">
        <v>7067</v>
      </c>
      <c r="X24" s="429">
        <v>1.0</v>
      </c>
      <c r="AB24" s="429" t="s">
        <v>7050</v>
      </c>
      <c r="AC24" s="436"/>
    </row>
    <row r="25" ht="14.25" customHeight="1">
      <c r="A25" s="434">
        <v>45874.0</v>
      </c>
      <c r="B25" s="429" t="s">
        <v>7075</v>
      </c>
      <c r="C25" s="429" t="s">
        <v>7092</v>
      </c>
      <c r="D25" s="429">
        <v>0.0</v>
      </c>
      <c r="E25" s="429">
        <v>1.0</v>
      </c>
      <c r="H25" s="429">
        <v>1.0</v>
      </c>
      <c r="I25" s="429">
        <v>6.0</v>
      </c>
      <c r="J25" s="430">
        <f t="shared" si="1"/>
        <v>7</v>
      </c>
      <c r="K25" s="429">
        <v>5.0</v>
      </c>
      <c r="L25" s="430">
        <f t="shared" si="2"/>
        <v>2</v>
      </c>
      <c r="T25" s="429" t="s">
        <v>2078</v>
      </c>
      <c r="U25" s="429">
        <v>5.0</v>
      </c>
      <c r="V25" s="429" t="s">
        <v>7085</v>
      </c>
      <c r="W25" s="429" t="s">
        <v>7093</v>
      </c>
      <c r="X25" s="429">
        <v>1.0</v>
      </c>
      <c r="AB25" s="429" t="s">
        <v>7050</v>
      </c>
      <c r="AC25" s="436"/>
    </row>
    <row r="26" ht="14.25" customHeight="1">
      <c r="A26" s="434">
        <v>45874.0</v>
      </c>
      <c r="B26" s="429" t="s">
        <v>7075</v>
      </c>
      <c r="C26" s="429" t="s">
        <v>7095</v>
      </c>
      <c r="D26" s="429">
        <v>1.0</v>
      </c>
      <c r="E26" s="429">
        <v>1.0</v>
      </c>
      <c r="H26" s="429">
        <v>2.0</v>
      </c>
      <c r="J26" s="430">
        <f t="shared" si="1"/>
        <v>2</v>
      </c>
      <c r="K26" s="429">
        <v>0.0</v>
      </c>
      <c r="L26" s="430">
        <f t="shared" si="2"/>
        <v>2</v>
      </c>
      <c r="T26" s="429" t="s">
        <v>2078</v>
      </c>
      <c r="U26" s="429">
        <v>5.0</v>
      </c>
      <c r="V26" s="429" t="s">
        <v>7085</v>
      </c>
      <c r="W26" s="429" t="s">
        <v>6632</v>
      </c>
      <c r="X26" s="429">
        <v>1.0</v>
      </c>
      <c r="AB26" s="429" t="s">
        <v>7050</v>
      </c>
      <c r="AC26" s="436"/>
    </row>
    <row r="27" ht="14.25" customHeight="1">
      <c r="A27" s="434">
        <v>45874.0</v>
      </c>
      <c r="B27" s="429" t="s">
        <v>7075</v>
      </c>
      <c r="C27" s="429" t="s">
        <v>7096</v>
      </c>
      <c r="D27" s="429">
        <v>1.0</v>
      </c>
      <c r="E27" s="429">
        <v>0.0</v>
      </c>
      <c r="H27" s="429">
        <v>1.0</v>
      </c>
      <c r="I27" s="429">
        <v>9.0</v>
      </c>
      <c r="J27" s="430">
        <f t="shared" si="1"/>
        <v>10</v>
      </c>
      <c r="K27" s="429">
        <v>2.0</v>
      </c>
      <c r="L27" s="430">
        <f t="shared" si="2"/>
        <v>8</v>
      </c>
      <c r="T27" s="429" t="s">
        <v>2078</v>
      </c>
      <c r="U27" s="429">
        <v>5.0</v>
      </c>
      <c r="V27" s="429" t="s">
        <v>7085</v>
      </c>
      <c r="W27" s="429" t="s">
        <v>7051</v>
      </c>
      <c r="X27" s="429">
        <v>1.0</v>
      </c>
      <c r="AB27" s="429" t="s">
        <v>7050</v>
      </c>
      <c r="AC27" s="436"/>
    </row>
    <row r="28" ht="14.25" customHeight="1">
      <c r="A28" s="429" t="s">
        <v>7098</v>
      </c>
      <c r="B28" s="429" t="s">
        <v>7075</v>
      </c>
      <c r="C28" s="429" t="s">
        <v>259</v>
      </c>
      <c r="J28" s="430">
        <f t="shared" si="1"/>
        <v>0</v>
      </c>
      <c r="K28" s="429">
        <v>0.0</v>
      </c>
      <c r="L28" s="430">
        <f t="shared" si="2"/>
        <v>0</v>
      </c>
      <c r="T28" s="429" t="s">
        <v>2078</v>
      </c>
      <c r="U28" s="429">
        <v>5.0</v>
      </c>
      <c r="V28" s="429" t="s">
        <v>7085</v>
      </c>
      <c r="W28" s="429" t="s">
        <v>6588</v>
      </c>
      <c r="X28" s="429">
        <v>1.0</v>
      </c>
      <c r="AB28" s="429" t="s">
        <v>7050</v>
      </c>
      <c r="AC28" s="436"/>
    </row>
    <row r="29" ht="14.25" customHeight="1">
      <c r="A29" s="434">
        <v>45874.0</v>
      </c>
      <c r="B29" s="429" t="s">
        <v>7100</v>
      </c>
      <c r="C29" s="429" t="s">
        <v>248</v>
      </c>
      <c r="D29" s="429">
        <v>28.0</v>
      </c>
      <c r="E29" s="429">
        <v>5.0</v>
      </c>
      <c r="G29" s="429">
        <v>23.0</v>
      </c>
      <c r="H29" s="429">
        <v>56.0</v>
      </c>
      <c r="J29" s="430">
        <f t="shared" si="1"/>
        <v>56</v>
      </c>
      <c r="K29" s="429">
        <v>1.0</v>
      </c>
      <c r="L29" s="430">
        <f t="shared" si="2"/>
        <v>55</v>
      </c>
      <c r="T29" s="429" t="s">
        <v>2078</v>
      </c>
      <c r="U29" s="429">
        <v>5.0</v>
      </c>
      <c r="V29" s="429" t="s">
        <v>7101</v>
      </c>
      <c r="W29" s="429" t="s">
        <v>7044</v>
      </c>
      <c r="X29" s="429">
        <v>1.0</v>
      </c>
      <c r="AB29" s="429" t="s">
        <v>7050</v>
      </c>
      <c r="AC29" s="436"/>
    </row>
    <row r="30" ht="14.25" customHeight="1">
      <c r="A30" s="434">
        <v>45874.0</v>
      </c>
      <c r="B30" s="429" t="s">
        <v>7100</v>
      </c>
      <c r="C30" s="429" t="s">
        <v>209</v>
      </c>
      <c r="D30" s="429">
        <v>23.0</v>
      </c>
      <c r="E30" s="429">
        <v>26.0</v>
      </c>
      <c r="G30" s="429">
        <v>41.0</v>
      </c>
      <c r="H30" s="429">
        <v>90.0</v>
      </c>
      <c r="J30" s="430">
        <f t="shared" si="1"/>
        <v>90</v>
      </c>
      <c r="K30" s="429">
        <v>2.0</v>
      </c>
      <c r="L30" s="430">
        <f t="shared" si="2"/>
        <v>88</v>
      </c>
      <c r="T30" s="429" t="s">
        <v>2078</v>
      </c>
      <c r="U30" s="429">
        <v>5.0</v>
      </c>
      <c r="V30" s="429" t="s">
        <v>7101</v>
      </c>
      <c r="W30" s="429" t="s">
        <v>7048</v>
      </c>
      <c r="X30" s="429">
        <v>1.0</v>
      </c>
      <c r="AB30" s="429" t="s">
        <v>7050</v>
      </c>
      <c r="AC30" s="436"/>
    </row>
    <row r="31" ht="14.25" customHeight="1">
      <c r="A31" s="434">
        <v>45874.0</v>
      </c>
      <c r="B31" s="429" t="s">
        <v>7100</v>
      </c>
      <c r="C31" s="429" t="s">
        <v>7104</v>
      </c>
      <c r="D31" s="429">
        <v>0.0</v>
      </c>
      <c r="E31" s="429">
        <v>1.0</v>
      </c>
      <c r="H31" s="429">
        <v>1.0</v>
      </c>
      <c r="J31" s="430">
        <f t="shared" si="1"/>
        <v>1</v>
      </c>
      <c r="K31" s="429">
        <v>0.0</v>
      </c>
      <c r="L31" s="430">
        <f t="shared" si="2"/>
        <v>1</v>
      </c>
      <c r="T31" s="429" t="s">
        <v>2078</v>
      </c>
      <c r="U31" s="429">
        <v>5.0</v>
      </c>
      <c r="V31" s="429" t="s">
        <v>7101</v>
      </c>
      <c r="W31" s="429" t="s">
        <v>7105</v>
      </c>
      <c r="X31" s="429">
        <v>1.0</v>
      </c>
      <c r="AC31" s="436"/>
    </row>
    <row r="32" ht="14.25" customHeight="1">
      <c r="A32" s="434">
        <v>45874.0</v>
      </c>
      <c r="B32" s="429" t="s">
        <v>7100</v>
      </c>
      <c r="C32" s="429" t="s">
        <v>259</v>
      </c>
      <c r="D32" s="429">
        <v>1.0</v>
      </c>
      <c r="E32" s="429">
        <v>3.0</v>
      </c>
      <c r="H32" s="429">
        <v>4.0</v>
      </c>
      <c r="J32" s="430">
        <f t="shared" si="1"/>
        <v>4</v>
      </c>
      <c r="K32" s="429">
        <v>0.0</v>
      </c>
      <c r="L32" s="430">
        <f t="shared" si="2"/>
        <v>4</v>
      </c>
      <c r="T32" s="429" t="s">
        <v>2078</v>
      </c>
      <c r="U32" s="429">
        <v>5.0</v>
      </c>
      <c r="V32" s="429" t="s">
        <v>7101</v>
      </c>
      <c r="W32" s="429" t="s">
        <v>210</v>
      </c>
      <c r="X32" s="429">
        <v>1.0</v>
      </c>
      <c r="AB32" s="429" t="s">
        <v>7050</v>
      </c>
      <c r="AC32" s="436"/>
    </row>
    <row r="33" ht="14.25" customHeight="1">
      <c r="A33" s="434">
        <v>45874.0</v>
      </c>
      <c r="B33" s="429" t="s">
        <v>7106</v>
      </c>
      <c r="C33" s="429" t="s">
        <v>6748</v>
      </c>
      <c r="D33" s="429">
        <v>1.0</v>
      </c>
      <c r="E33" s="429">
        <v>8.0</v>
      </c>
      <c r="H33" s="429">
        <v>9.0</v>
      </c>
      <c r="J33" s="430">
        <f t="shared" si="1"/>
        <v>9</v>
      </c>
      <c r="K33" s="429"/>
      <c r="L33" s="430">
        <f t="shared" si="2"/>
        <v>9</v>
      </c>
      <c r="T33" s="429" t="s">
        <v>2078</v>
      </c>
      <c r="U33" s="429">
        <v>5.0</v>
      </c>
      <c r="V33" s="429" t="s">
        <v>7101</v>
      </c>
      <c r="W33" s="429" t="s">
        <v>6588</v>
      </c>
      <c r="X33" s="429">
        <v>1.0</v>
      </c>
      <c r="AB33" s="429" t="s">
        <v>7050</v>
      </c>
      <c r="AC33" s="436"/>
    </row>
    <row r="34" ht="14.25" customHeight="1">
      <c r="A34" s="434">
        <v>45874.0</v>
      </c>
      <c r="B34" s="429" t="s">
        <v>7106</v>
      </c>
      <c r="C34" s="429" t="s">
        <v>6722</v>
      </c>
      <c r="D34" s="429">
        <v>1.0</v>
      </c>
      <c r="E34" s="429">
        <v>4.0</v>
      </c>
      <c r="H34" s="429">
        <v>5.0</v>
      </c>
      <c r="J34" s="430">
        <f t="shared" si="1"/>
        <v>5</v>
      </c>
      <c r="K34" s="429">
        <v>1.0</v>
      </c>
      <c r="L34" s="430">
        <f t="shared" si="2"/>
        <v>4</v>
      </c>
      <c r="T34" s="429" t="s">
        <v>2078</v>
      </c>
      <c r="U34" s="429">
        <v>5.0</v>
      </c>
      <c r="V34" s="429" t="s">
        <v>7107</v>
      </c>
      <c r="W34" s="429" t="s">
        <v>7072</v>
      </c>
      <c r="X34" s="429">
        <v>1.0</v>
      </c>
      <c r="AB34" s="429" t="s">
        <v>7050</v>
      </c>
      <c r="AC34" s="436"/>
    </row>
    <row r="35" ht="14.25" customHeight="1">
      <c r="A35" s="434">
        <v>45874.0</v>
      </c>
      <c r="B35" s="429" t="s">
        <v>7106</v>
      </c>
      <c r="C35" s="429" t="s">
        <v>257</v>
      </c>
      <c r="D35" s="429">
        <v>1.0</v>
      </c>
      <c r="E35" s="429">
        <v>9.0</v>
      </c>
      <c r="H35" s="429">
        <v>10.0</v>
      </c>
      <c r="J35" s="430">
        <f t="shared" si="1"/>
        <v>10</v>
      </c>
      <c r="K35" s="429">
        <v>1.0</v>
      </c>
      <c r="L35" s="430">
        <f t="shared" si="2"/>
        <v>9</v>
      </c>
      <c r="T35" s="429" t="s">
        <v>2078</v>
      </c>
      <c r="U35" s="429">
        <v>5.0</v>
      </c>
      <c r="V35" s="429" t="s">
        <v>7109</v>
      </c>
      <c r="W35" s="429" t="s">
        <v>7065</v>
      </c>
      <c r="X35" s="429">
        <v>1.0</v>
      </c>
      <c r="AB35" s="429" t="s">
        <v>7050</v>
      </c>
      <c r="AC35" s="436"/>
    </row>
    <row r="36" ht="14.25" customHeight="1">
      <c r="A36" s="434">
        <v>45874.0</v>
      </c>
      <c r="B36" s="429" t="s">
        <v>7106</v>
      </c>
      <c r="C36" s="429" t="s">
        <v>7110</v>
      </c>
      <c r="D36" s="429">
        <v>1.0</v>
      </c>
      <c r="E36" s="429">
        <v>4.0</v>
      </c>
      <c r="H36" s="429">
        <v>5.0</v>
      </c>
      <c r="J36" s="430">
        <f t="shared" si="1"/>
        <v>5</v>
      </c>
      <c r="K36" s="429"/>
      <c r="L36" s="430">
        <f t="shared" si="2"/>
        <v>5</v>
      </c>
      <c r="T36" s="429" t="s">
        <v>2078</v>
      </c>
      <c r="U36" s="429">
        <v>5.0</v>
      </c>
      <c r="V36" s="429" t="s">
        <v>7109</v>
      </c>
      <c r="W36" s="429" t="s">
        <v>7070</v>
      </c>
      <c r="X36" s="429">
        <v>1.0</v>
      </c>
      <c r="AB36" s="429" t="s">
        <v>7050</v>
      </c>
      <c r="AC36" s="436"/>
    </row>
    <row r="37" ht="14.25" customHeight="1">
      <c r="A37" s="434">
        <v>45874.0</v>
      </c>
      <c r="B37" s="429" t="s">
        <v>7106</v>
      </c>
      <c r="C37" s="429" t="s">
        <v>7111</v>
      </c>
      <c r="D37" s="429">
        <v>1.0</v>
      </c>
      <c r="E37" s="429">
        <v>5.0</v>
      </c>
      <c r="H37" s="429">
        <v>6.0</v>
      </c>
      <c r="J37" s="430">
        <f t="shared" si="1"/>
        <v>6</v>
      </c>
      <c r="K37" s="429"/>
      <c r="L37" s="430">
        <f t="shared" si="2"/>
        <v>6</v>
      </c>
      <c r="T37" s="429" t="s">
        <v>2078</v>
      </c>
      <c r="U37" s="429">
        <v>5.0</v>
      </c>
      <c r="V37" s="429" t="s">
        <v>7109</v>
      </c>
      <c r="W37" s="429" t="s">
        <v>7045</v>
      </c>
      <c r="X37" s="429">
        <v>1.0</v>
      </c>
      <c r="AC37" s="436"/>
    </row>
    <row r="38" ht="14.25" customHeight="1">
      <c r="A38" s="434">
        <v>45874.0</v>
      </c>
      <c r="B38" s="429" t="s">
        <v>7106</v>
      </c>
      <c r="C38" s="429" t="s">
        <v>7112</v>
      </c>
      <c r="D38" s="429">
        <v>1.0</v>
      </c>
      <c r="E38" s="429">
        <v>18.0</v>
      </c>
      <c r="H38" s="429">
        <v>19.0</v>
      </c>
      <c r="J38" s="430">
        <f t="shared" si="1"/>
        <v>19</v>
      </c>
      <c r="K38" s="429">
        <v>1.0</v>
      </c>
      <c r="L38" s="430">
        <f t="shared" si="2"/>
        <v>18</v>
      </c>
      <c r="T38" s="429" t="s">
        <v>2078</v>
      </c>
      <c r="U38" s="429">
        <v>5.0</v>
      </c>
      <c r="V38" s="429" t="s">
        <v>7109</v>
      </c>
      <c r="W38" s="429" t="s">
        <v>7113</v>
      </c>
      <c r="X38" s="429">
        <v>1.0</v>
      </c>
      <c r="AC38" s="436"/>
    </row>
    <row r="39" ht="14.25" customHeight="1">
      <c r="A39" s="434">
        <v>45874.0</v>
      </c>
      <c r="B39" s="429" t="s">
        <v>7106</v>
      </c>
      <c r="C39" s="429" t="s">
        <v>7114</v>
      </c>
      <c r="D39" s="429">
        <v>1.0</v>
      </c>
      <c r="E39" s="429">
        <v>7.0</v>
      </c>
      <c r="H39" s="429">
        <v>8.0</v>
      </c>
      <c r="J39" s="430">
        <f t="shared" si="1"/>
        <v>8</v>
      </c>
      <c r="K39" s="429">
        <v>3.0</v>
      </c>
      <c r="L39" s="430">
        <f t="shared" si="2"/>
        <v>5</v>
      </c>
      <c r="T39" s="429" t="s">
        <v>2078</v>
      </c>
      <c r="U39" s="429">
        <v>5.0</v>
      </c>
      <c r="V39" s="429" t="s">
        <v>7115</v>
      </c>
      <c r="W39" s="429" t="s">
        <v>7051</v>
      </c>
      <c r="X39" s="429">
        <v>1.0</v>
      </c>
      <c r="AC39" s="436"/>
    </row>
    <row r="40" ht="14.25" customHeight="1">
      <c r="A40" s="434">
        <v>45874.0</v>
      </c>
      <c r="B40" s="429" t="s">
        <v>7106</v>
      </c>
      <c r="C40" s="429" t="s">
        <v>263</v>
      </c>
      <c r="D40" s="429">
        <v>1.0</v>
      </c>
      <c r="E40" s="429">
        <v>7.0</v>
      </c>
      <c r="H40" s="429">
        <v>8.0</v>
      </c>
      <c r="J40" s="430">
        <f t="shared" si="1"/>
        <v>8</v>
      </c>
      <c r="K40" s="429">
        <v>5.0</v>
      </c>
      <c r="L40" s="430">
        <f t="shared" si="2"/>
        <v>3</v>
      </c>
      <c r="T40" s="429" t="s">
        <v>2078</v>
      </c>
      <c r="U40" s="429">
        <v>5.0</v>
      </c>
      <c r="V40" s="429" t="s">
        <v>7116</v>
      </c>
      <c r="W40" s="437" t="s">
        <v>7064</v>
      </c>
      <c r="X40" s="429">
        <v>1.0</v>
      </c>
      <c r="AC40" s="436"/>
    </row>
    <row r="41" ht="14.25" customHeight="1">
      <c r="A41" s="434">
        <v>45874.0</v>
      </c>
      <c r="B41" s="429" t="s">
        <v>7106</v>
      </c>
      <c r="C41" s="429" t="s">
        <v>255</v>
      </c>
      <c r="D41" s="429">
        <v>1.0</v>
      </c>
      <c r="E41" s="429">
        <v>5.0</v>
      </c>
      <c r="H41" s="429">
        <v>6.0</v>
      </c>
      <c r="J41" s="430">
        <f t="shared" si="1"/>
        <v>6</v>
      </c>
      <c r="K41" s="429">
        <v>1.0</v>
      </c>
      <c r="L41" s="430">
        <f t="shared" si="2"/>
        <v>5</v>
      </c>
      <c r="T41" s="429" t="s">
        <v>2078</v>
      </c>
      <c r="U41" s="429">
        <v>5.0</v>
      </c>
      <c r="V41" s="429" t="s">
        <v>7116</v>
      </c>
      <c r="W41" s="437" t="s">
        <v>7094</v>
      </c>
      <c r="X41" s="429">
        <v>1.0</v>
      </c>
      <c r="AB41" s="429" t="s">
        <v>7050</v>
      </c>
      <c r="AC41" s="436"/>
    </row>
    <row r="42" ht="14.25" customHeight="1">
      <c r="A42" s="434">
        <v>45874.0</v>
      </c>
      <c r="B42" s="429" t="s">
        <v>7106</v>
      </c>
      <c r="C42" s="429" t="s">
        <v>7117</v>
      </c>
      <c r="D42" s="429">
        <v>1.0</v>
      </c>
      <c r="E42" s="429">
        <v>6.0</v>
      </c>
      <c r="H42" s="429">
        <v>7.0</v>
      </c>
      <c r="J42" s="430">
        <f t="shared" si="1"/>
        <v>7</v>
      </c>
      <c r="K42" s="429">
        <v>4.0</v>
      </c>
      <c r="L42" s="430">
        <f t="shared" si="2"/>
        <v>3</v>
      </c>
      <c r="T42" s="429" t="s">
        <v>2078</v>
      </c>
      <c r="U42" s="429">
        <v>5.0</v>
      </c>
      <c r="V42" s="429" t="s">
        <v>7118</v>
      </c>
      <c r="W42" s="429" t="s">
        <v>7068</v>
      </c>
      <c r="X42" s="429">
        <v>1.0</v>
      </c>
      <c r="AB42" s="429" t="s">
        <v>7050</v>
      </c>
      <c r="AC42" s="436"/>
    </row>
    <row r="43" ht="14.25" customHeight="1">
      <c r="A43" s="434">
        <v>45874.0</v>
      </c>
      <c r="B43" s="429" t="s">
        <v>7106</v>
      </c>
      <c r="C43" s="429" t="s">
        <v>7119</v>
      </c>
      <c r="D43" s="429">
        <v>0.0</v>
      </c>
      <c r="E43" s="429">
        <v>2.0</v>
      </c>
      <c r="H43" s="429">
        <v>2.0</v>
      </c>
      <c r="J43" s="430">
        <f t="shared" si="1"/>
        <v>2</v>
      </c>
      <c r="K43" s="429">
        <v>1.0</v>
      </c>
      <c r="L43" s="430">
        <f t="shared" si="2"/>
        <v>1</v>
      </c>
      <c r="T43" s="429" t="s">
        <v>2078</v>
      </c>
      <c r="U43" s="429">
        <v>5.0</v>
      </c>
      <c r="V43" s="429" t="s">
        <v>7118</v>
      </c>
      <c r="W43" s="429" t="s">
        <v>7070</v>
      </c>
      <c r="X43" s="429">
        <v>1.0</v>
      </c>
      <c r="AB43" s="429" t="s">
        <v>7050</v>
      </c>
      <c r="AC43" s="436"/>
    </row>
    <row r="44" ht="14.25" customHeight="1">
      <c r="A44" s="434">
        <v>45874.0</v>
      </c>
      <c r="B44" s="429" t="s">
        <v>7106</v>
      </c>
      <c r="C44" s="429" t="s">
        <v>7120</v>
      </c>
      <c r="D44" s="429">
        <v>0.0</v>
      </c>
      <c r="E44" s="429">
        <v>4.0</v>
      </c>
      <c r="H44" s="429">
        <v>4.0</v>
      </c>
      <c r="J44" s="430">
        <f t="shared" si="1"/>
        <v>4</v>
      </c>
      <c r="K44" s="429">
        <v>4.0</v>
      </c>
      <c r="L44" s="430">
        <f t="shared" si="2"/>
        <v>0</v>
      </c>
      <c r="T44" s="429" t="s">
        <v>2078</v>
      </c>
      <c r="U44" s="429">
        <v>5.0</v>
      </c>
      <c r="V44" s="429" t="s">
        <v>7118</v>
      </c>
      <c r="W44" s="437" t="s">
        <v>7090</v>
      </c>
      <c r="X44" s="429">
        <v>1.0</v>
      </c>
      <c r="AB44" s="429" t="s">
        <v>7050</v>
      </c>
      <c r="AC44" s="436"/>
    </row>
    <row r="45" ht="14.25" customHeight="1">
      <c r="A45" s="429" t="s">
        <v>7121</v>
      </c>
      <c r="B45" s="429" t="s">
        <v>7106</v>
      </c>
      <c r="C45" s="429" t="s">
        <v>306</v>
      </c>
      <c r="I45" s="429">
        <v>10.0</v>
      </c>
      <c r="J45" s="430">
        <f t="shared" si="1"/>
        <v>10</v>
      </c>
      <c r="K45" s="429">
        <v>3.0</v>
      </c>
      <c r="L45" s="430">
        <f t="shared" si="2"/>
        <v>7</v>
      </c>
      <c r="T45" s="429" t="s">
        <v>2078</v>
      </c>
      <c r="U45" s="429">
        <v>5.0</v>
      </c>
      <c r="V45" s="429" t="s">
        <v>7118</v>
      </c>
      <c r="W45" s="429" t="s">
        <v>7102</v>
      </c>
      <c r="X45" s="429">
        <v>1.0</v>
      </c>
      <c r="AB45" s="429" t="s">
        <v>7050</v>
      </c>
      <c r="AC45" s="436"/>
    </row>
    <row r="46" ht="14.25" customHeight="1">
      <c r="A46" s="429" t="s">
        <v>7121</v>
      </c>
      <c r="B46" s="429" t="s">
        <v>7106</v>
      </c>
      <c r="C46" s="429" t="s">
        <v>7122</v>
      </c>
      <c r="I46" s="429">
        <v>5.0</v>
      </c>
      <c r="J46" s="430">
        <f t="shared" si="1"/>
        <v>5</v>
      </c>
      <c r="K46" s="429">
        <v>8.0</v>
      </c>
      <c r="L46" s="430">
        <f t="shared" si="2"/>
        <v>-3</v>
      </c>
      <c r="T46" s="429" t="s">
        <v>2078</v>
      </c>
      <c r="U46" s="429">
        <v>5.0</v>
      </c>
      <c r="V46" s="429" t="s">
        <v>7123</v>
      </c>
      <c r="W46" s="437" t="s">
        <v>7076</v>
      </c>
      <c r="X46" s="429">
        <v>1.0</v>
      </c>
      <c r="AB46" s="429" t="s">
        <v>7050</v>
      </c>
      <c r="AC46" s="436"/>
    </row>
    <row r="47" ht="14.25" customHeight="1">
      <c r="A47" s="434">
        <v>45874.0</v>
      </c>
      <c r="B47" s="429" t="s">
        <v>6613</v>
      </c>
      <c r="C47" s="429" t="s">
        <v>6725</v>
      </c>
      <c r="D47" s="429">
        <v>2.0</v>
      </c>
      <c r="E47" s="429">
        <v>1.0</v>
      </c>
      <c r="H47" s="429">
        <v>3.0</v>
      </c>
      <c r="J47" s="430">
        <f t="shared" si="1"/>
        <v>3</v>
      </c>
      <c r="K47" s="429">
        <v>2.0</v>
      </c>
      <c r="L47" s="430">
        <f t="shared" si="2"/>
        <v>1</v>
      </c>
      <c r="T47" s="429" t="s">
        <v>2078</v>
      </c>
      <c r="U47" s="429">
        <v>5.0</v>
      </c>
      <c r="V47" s="429" t="s">
        <v>7123</v>
      </c>
      <c r="W47" s="437" t="s">
        <v>7086</v>
      </c>
      <c r="X47" s="429">
        <v>1.0</v>
      </c>
      <c r="Z47" s="436"/>
      <c r="AA47" s="435"/>
      <c r="AB47" s="429" t="s">
        <v>7050</v>
      </c>
      <c r="AC47" s="436"/>
    </row>
    <row r="48" ht="14.25" customHeight="1">
      <c r="A48" s="434">
        <v>45874.0</v>
      </c>
      <c r="B48" s="429" t="s">
        <v>7125</v>
      </c>
      <c r="C48" s="429" t="s">
        <v>7126</v>
      </c>
      <c r="D48" s="429">
        <v>3.0</v>
      </c>
      <c r="E48" s="429">
        <v>3.0</v>
      </c>
      <c r="H48" s="429">
        <v>6.0</v>
      </c>
      <c r="J48" s="430">
        <f t="shared" si="1"/>
        <v>6</v>
      </c>
      <c r="K48" s="429"/>
      <c r="L48" s="430">
        <f t="shared" si="2"/>
        <v>6</v>
      </c>
      <c r="T48" s="429" t="s">
        <v>2078</v>
      </c>
      <c r="U48" s="429">
        <v>5.0</v>
      </c>
      <c r="V48" s="429" t="s">
        <v>7123</v>
      </c>
      <c r="W48" s="429" t="s">
        <v>7108</v>
      </c>
      <c r="X48" s="429">
        <v>2.0</v>
      </c>
      <c r="Z48" s="436"/>
      <c r="AA48" s="435"/>
      <c r="AB48" s="429" t="s">
        <v>7050</v>
      </c>
      <c r="AC48" s="436"/>
    </row>
    <row r="49" ht="14.25" customHeight="1">
      <c r="A49" s="434">
        <v>45874.0</v>
      </c>
      <c r="B49" s="429" t="s">
        <v>6613</v>
      </c>
      <c r="C49" s="429" t="s">
        <v>7127</v>
      </c>
      <c r="D49" s="429">
        <v>2.0</v>
      </c>
      <c r="E49" s="429">
        <v>3.0</v>
      </c>
      <c r="H49" s="429">
        <v>5.0</v>
      </c>
      <c r="J49" s="430">
        <f t="shared" si="1"/>
        <v>5</v>
      </c>
      <c r="K49" s="429"/>
      <c r="L49" s="430">
        <f t="shared" si="2"/>
        <v>5</v>
      </c>
      <c r="T49" s="429" t="s">
        <v>2078</v>
      </c>
      <c r="U49" s="429">
        <v>5.0</v>
      </c>
      <c r="V49" s="429" t="s">
        <v>7128</v>
      </c>
      <c r="W49" s="437" t="s">
        <v>7067</v>
      </c>
      <c r="X49" s="429">
        <v>1.0</v>
      </c>
      <c r="Z49" s="436"/>
      <c r="AA49" s="435"/>
      <c r="AB49" s="429" t="s">
        <v>7050</v>
      </c>
      <c r="AC49" s="436"/>
    </row>
    <row r="50" ht="14.25" customHeight="1">
      <c r="A50" s="434">
        <v>45874.0</v>
      </c>
      <c r="B50" s="429" t="s">
        <v>6613</v>
      </c>
      <c r="C50" s="429" t="s">
        <v>6728</v>
      </c>
      <c r="D50" s="429">
        <v>2.0</v>
      </c>
      <c r="E50" s="429">
        <v>2.0</v>
      </c>
      <c r="H50" s="429">
        <v>4.0</v>
      </c>
      <c r="J50" s="430">
        <f t="shared" si="1"/>
        <v>4</v>
      </c>
      <c r="K50" s="429"/>
      <c r="L50" s="430">
        <f t="shared" si="2"/>
        <v>4</v>
      </c>
      <c r="T50" s="429" t="s">
        <v>2078</v>
      </c>
      <c r="U50" s="429">
        <v>5.0</v>
      </c>
      <c r="V50" s="429" t="s">
        <v>7128</v>
      </c>
      <c r="W50" s="437" t="s">
        <v>7091</v>
      </c>
      <c r="X50" s="429">
        <v>2.0</v>
      </c>
      <c r="Z50" s="436"/>
      <c r="AA50" s="435"/>
      <c r="AB50" s="429" t="s">
        <v>7050</v>
      </c>
      <c r="AC50" s="436"/>
    </row>
    <row r="51" ht="14.25" customHeight="1">
      <c r="A51" s="434">
        <v>45874.0</v>
      </c>
      <c r="B51" s="429" t="s">
        <v>6613</v>
      </c>
      <c r="C51" s="429" t="s">
        <v>6610</v>
      </c>
      <c r="D51" s="429">
        <v>2.0</v>
      </c>
      <c r="E51" s="429">
        <v>3.0</v>
      </c>
      <c r="H51" s="429">
        <v>5.0</v>
      </c>
      <c r="J51" s="430">
        <f t="shared" si="1"/>
        <v>5</v>
      </c>
      <c r="K51" s="429"/>
      <c r="L51" s="430">
        <f t="shared" si="2"/>
        <v>5</v>
      </c>
      <c r="T51" s="429" t="s">
        <v>2078</v>
      </c>
      <c r="U51" s="429">
        <v>5.0</v>
      </c>
      <c r="V51" s="429" t="s">
        <v>7128</v>
      </c>
      <c r="W51" s="429" t="s">
        <v>6683</v>
      </c>
      <c r="X51" s="429">
        <v>1.0</v>
      </c>
      <c r="Z51" s="436"/>
      <c r="AA51" s="435"/>
      <c r="AC51" s="436"/>
    </row>
    <row r="52" ht="14.25" customHeight="1">
      <c r="A52" s="434">
        <v>45874.0</v>
      </c>
      <c r="B52" s="429" t="s">
        <v>6613</v>
      </c>
      <c r="C52" s="429" t="s">
        <v>7129</v>
      </c>
      <c r="D52" s="429">
        <v>1.0</v>
      </c>
      <c r="E52" s="429">
        <v>2.0</v>
      </c>
      <c r="H52" s="429">
        <v>3.0</v>
      </c>
      <c r="J52" s="430">
        <f t="shared" si="1"/>
        <v>3</v>
      </c>
      <c r="K52" s="429">
        <v>2.0</v>
      </c>
      <c r="L52" s="430">
        <f t="shared" si="2"/>
        <v>1</v>
      </c>
      <c r="T52" s="429" t="s">
        <v>2078</v>
      </c>
      <c r="U52" s="429">
        <v>5.0</v>
      </c>
      <c r="V52" s="429" t="s">
        <v>7128</v>
      </c>
      <c r="W52" s="429" t="s">
        <v>7047</v>
      </c>
      <c r="X52" s="429">
        <v>1.0</v>
      </c>
      <c r="Z52" s="436"/>
      <c r="AA52" s="435"/>
      <c r="AC52" s="436"/>
    </row>
    <row r="53" ht="14.25" customHeight="1">
      <c r="A53" s="434">
        <v>45874.0</v>
      </c>
      <c r="B53" s="429" t="s">
        <v>6613</v>
      </c>
      <c r="C53" s="429" t="s">
        <v>6614</v>
      </c>
      <c r="D53" s="429">
        <v>2.0</v>
      </c>
      <c r="E53" s="429">
        <v>1.0</v>
      </c>
      <c r="H53" s="429">
        <v>3.0</v>
      </c>
      <c r="J53" s="430">
        <f t="shared" si="1"/>
        <v>3</v>
      </c>
      <c r="K53" s="429">
        <v>2.0</v>
      </c>
      <c r="L53" s="430">
        <f t="shared" si="2"/>
        <v>1</v>
      </c>
      <c r="T53" s="429" t="s">
        <v>2078</v>
      </c>
      <c r="U53" s="429">
        <v>5.0</v>
      </c>
      <c r="V53" s="429" t="s">
        <v>7130</v>
      </c>
      <c r="W53" s="429" t="s">
        <v>7048</v>
      </c>
      <c r="X53" s="429">
        <v>1.0</v>
      </c>
      <c r="Z53" s="436"/>
      <c r="AA53" s="435"/>
      <c r="AC53" s="436"/>
    </row>
    <row r="54" ht="14.25" customHeight="1">
      <c r="A54" s="434">
        <v>45874.0</v>
      </c>
      <c r="B54" s="429" t="s">
        <v>7131</v>
      </c>
      <c r="C54" s="429" t="s">
        <v>7132</v>
      </c>
      <c r="D54" s="429">
        <v>0.0</v>
      </c>
      <c r="E54" s="429">
        <v>6.0</v>
      </c>
      <c r="H54" s="429">
        <v>6.0</v>
      </c>
      <c r="J54" s="430">
        <f t="shared" si="1"/>
        <v>6</v>
      </c>
      <c r="K54" s="429">
        <v>1.0</v>
      </c>
      <c r="L54" s="430">
        <f t="shared" si="2"/>
        <v>5</v>
      </c>
      <c r="T54" s="429" t="s">
        <v>2078</v>
      </c>
      <c r="U54" s="429">
        <v>5.0</v>
      </c>
      <c r="V54" s="429" t="s">
        <v>7130</v>
      </c>
      <c r="W54" s="429" t="s">
        <v>7051</v>
      </c>
      <c r="X54" s="429">
        <v>1.0</v>
      </c>
      <c r="Z54" s="436"/>
      <c r="AA54" s="435"/>
      <c r="AC54" s="436"/>
    </row>
    <row r="55" ht="14.25" customHeight="1">
      <c r="A55" s="434">
        <v>45874.0</v>
      </c>
      <c r="B55" s="429" t="s">
        <v>7131</v>
      </c>
      <c r="C55" s="429" t="s">
        <v>7133</v>
      </c>
      <c r="D55" s="429">
        <v>0.0</v>
      </c>
      <c r="E55" s="429">
        <v>6.0</v>
      </c>
      <c r="H55" s="429">
        <v>6.0</v>
      </c>
      <c r="J55" s="430">
        <f t="shared" si="1"/>
        <v>6</v>
      </c>
      <c r="K55" s="429">
        <v>1.0</v>
      </c>
      <c r="L55" s="430">
        <f t="shared" si="2"/>
        <v>5</v>
      </c>
      <c r="T55" s="429" t="s">
        <v>2078</v>
      </c>
      <c r="U55" s="429">
        <v>5.0</v>
      </c>
      <c r="V55" s="429" t="s">
        <v>7134</v>
      </c>
      <c r="W55" s="429" t="s">
        <v>7065</v>
      </c>
      <c r="X55" s="429">
        <v>1.0</v>
      </c>
      <c r="Z55" s="436"/>
      <c r="AA55" s="435"/>
      <c r="AC55" s="436"/>
    </row>
    <row r="56" ht="14.25" customHeight="1">
      <c r="A56" s="434">
        <v>45874.0</v>
      </c>
      <c r="B56" s="429" t="s">
        <v>7131</v>
      </c>
      <c r="C56" s="429" t="s">
        <v>7135</v>
      </c>
      <c r="D56" s="429">
        <v>0.0</v>
      </c>
      <c r="E56" s="429">
        <v>5.0</v>
      </c>
      <c r="H56" s="429">
        <v>5.0</v>
      </c>
      <c r="J56" s="430">
        <f t="shared" si="1"/>
        <v>5</v>
      </c>
      <c r="K56" s="429">
        <v>1.0</v>
      </c>
      <c r="L56" s="430">
        <f t="shared" si="2"/>
        <v>4</v>
      </c>
      <c r="T56" s="429" t="s">
        <v>2078</v>
      </c>
      <c r="U56" s="429">
        <v>5.0</v>
      </c>
      <c r="V56" s="429" t="s">
        <v>7134</v>
      </c>
      <c r="W56" s="429" t="s">
        <v>7045</v>
      </c>
      <c r="X56" s="429">
        <v>1.0</v>
      </c>
      <c r="Z56" s="436"/>
      <c r="AA56" s="435"/>
      <c r="AC56" s="436"/>
    </row>
    <row r="57" ht="14.25" customHeight="1">
      <c r="A57" s="434">
        <v>45874.0</v>
      </c>
      <c r="B57" s="429" t="s">
        <v>7131</v>
      </c>
      <c r="C57" s="429" t="s">
        <v>7136</v>
      </c>
      <c r="D57" s="429">
        <v>0.0</v>
      </c>
      <c r="E57" s="429">
        <v>3.0</v>
      </c>
      <c r="H57" s="429">
        <v>3.0</v>
      </c>
      <c r="J57" s="430">
        <f t="shared" si="1"/>
        <v>3</v>
      </c>
      <c r="K57" s="429"/>
      <c r="L57" s="430">
        <f t="shared" si="2"/>
        <v>3</v>
      </c>
      <c r="T57" s="429" t="s">
        <v>2078</v>
      </c>
      <c r="U57" s="429">
        <v>5.0</v>
      </c>
      <c r="V57" s="429" t="s">
        <v>7134</v>
      </c>
      <c r="W57" s="429" t="s">
        <v>210</v>
      </c>
      <c r="X57" s="429">
        <v>1.0</v>
      </c>
      <c r="Z57" s="436"/>
      <c r="AA57" s="435"/>
      <c r="AC57" s="436"/>
    </row>
    <row r="58" ht="14.25" customHeight="1">
      <c r="H58" s="429">
        <v>382.0</v>
      </c>
      <c r="J58" s="430">
        <f t="shared" si="1"/>
        <v>382</v>
      </c>
      <c r="L58" s="430">
        <f t="shared" si="2"/>
        <v>382</v>
      </c>
      <c r="T58" s="429" t="s">
        <v>2078</v>
      </c>
      <c r="U58" s="429">
        <v>5.0</v>
      </c>
      <c r="V58" s="429" t="s">
        <v>7137</v>
      </c>
      <c r="W58" s="429" t="s">
        <v>7045</v>
      </c>
      <c r="X58" s="429">
        <v>1.0</v>
      </c>
      <c r="Z58" s="436"/>
      <c r="AA58" s="435"/>
      <c r="AB58" s="429" t="s">
        <v>7050</v>
      </c>
      <c r="AC58" s="436"/>
    </row>
    <row r="59" ht="14.25" customHeight="1">
      <c r="J59" s="430"/>
      <c r="L59" s="431"/>
      <c r="T59" s="429" t="s">
        <v>2078</v>
      </c>
      <c r="U59" s="429">
        <v>5.0</v>
      </c>
      <c r="V59" s="429" t="s">
        <v>7137</v>
      </c>
      <c r="W59" s="429" t="s">
        <v>7047</v>
      </c>
      <c r="X59" s="429">
        <v>1.0</v>
      </c>
      <c r="Z59" s="436"/>
      <c r="AA59" s="435"/>
      <c r="AC59" s="436"/>
    </row>
    <row r="60" ht="14.25" customHeight="1">
      <c r="A60" s="434">
        <v>45783.0</v>
      </c>
      <c r="B60" s="429" t="s">
        <v>7138</v>
      </c>
      <c r="C60" s="429" t="s">
        <v>7139</v>
      </c>
      <c r="H60" s="429">
        <v>33.0</v>
      </c>
      <c r="J60" s="430">
        <f t="shared" ref="J60:J68" si="3">H60+I60</f>
        <v>33</v>
      </c>
      <c r="L60" s="431"/>
      <c r="T60" s="429" t="s">
        <v>2078</v>
      </c>
      <c r="U60" s="429">
        <v>5.0</v>
      </c>
      <c r="V60" s="429" t="s">
        <v>7137</v>
      </c>
      <c r="W60" s="429" t="s">
        <v>7051</v>
      </c>
      <c r="X60" s="429">
        <v>1.0</v>
      </c>
      <c r="Z60" s="436"/>
      <c r="AA60" s="435"/>
      <c r="AB60" s="429" t="s">
        <v>7050</v>
      </c>
      <c r="AC60" s="436"/>
    </row>
    <row r="61" ht="14.25" customHeight="1">
      <c r="A61" s="434">
        <v>45783.0</v>
      </c>
      <c r="B61" s="429" t="s">
        <v>7138</v>
      </c>
      <c r="C61" s="429" t="s">
        <v>7140</v>
      </c>
      <c r="H61" s="429">
        <v>20.0</v>
      </c>
      <c r="J61" s="430">
        <f t="shared" si="3"/>
        <v>20</v>
      </c>
      <c r="L61" s="431"/>
      <c r="T61" s="429" t="s">
        <v>2078</v>
      </c>
      <c r="U61" s="429">
        <v>5.0</v>
      </c>
      <c r="V61" s="429" t="s">
        <v>7141</v>
      </c>
      <c r="W61" s="429" t="s">
        <v>7056</v>
      </c>
      <c r="X61" s="429">
        <v>1.0</v>
      </c>
      <c r="Z61" s="438"/>
      <c r="AA61" s="432"/>
      <c r="AC61" s="438"/>
    </row>
    <row r="62" ht="14.25" customHeight="1">
      <c r="A62" s="434">
        <v>45783.0</v>
      </c>
      <c r="B62" s="429" t="s">
        <v>7138</v>
      </c>
      <c r="C62" s="429" t="s">
        <v>7142</v>
      </c>
      <c r="H62" s="429">
        <v>23.0</v>
      </c>
      <c r="J62" s="430">
        <f t="shared" si="3"/>
        <v>23</v>
      </c>
      <c r="L62" s="431"/>
      <c r="T62" s="429" t="s">
        <v>2078</v>
      </c>
      <c r="U62" s="429">
        <v>5.0</v>
      </c>
      <c r="V62" s="429" t="s">
        <v>7141</v>
      </c>
      <c r="W62" s="437" t="s">
        <v>7083</v>
      </c>
      <c r="X62" s="429">
        <v>1.0</v>
      </c>
    </row>
    <row r="63" ht="14.25" customHeight="1">
      <c r="A63" s="434">
        <v>45783.0</v>
      </c>
      <c r="B63" s="429" t="s">
        <v>7138</v>
      </c>
      <c r="C63" s="429" t="s">
        <v>7143</v>
      </c>
      <c r="H63" s="429">
        <v>26.0</v>
      </c>
      <c r="J63" s="430">
        <f t="shared" si="3"/>
        <v>26</v>
      </c>
      <c r="L63" s="431"/>
      <c r="T63" s="429" t="s">
        <v>2078</v>
      </c>
      <c r="U63" s="429">
        <v>5.0</v>
      </c>
      <c r="V63" s="429" t="s">
        <v>7141</v>
      </c>
      <c r="W63" s="429" t="s">
        <v>7097</v>
      </c>
      <c r="X63" s="429">
        <v>1.0</v>
      </c>
    </row>
    <row r="64" ht="14.25" customHeight="1">
      <c r="A64" s="434">
        <v>45783.0</v>
      </c>
      <c r="B64" s="429" t="s">
        <v>7138</v>
      </c>
      <c r="C64" s="429" t="s">
        <v>7144</v>
      </c>
      <c r="H64" s="429">
        <v>36.0</v>
      </c>
      <c r="J64" s="430">
        <f t="shared" si="3"/>
        <v>36</v>
      </c>
      <c r="L64" s="431"/>
      <c r="T64" s="429" t="s">
        <v>2078</v>
      </c>
      <c r="U64" s="429">
        <v>5.0</v>
      </c>
      <c r="V64" s="429" t="s">
        <v>7141</v>
      </c>
      <c r="W64" s="429" t="s">
        <v>7103</v>
      </c>
      <c r="X64" s="429">
        <v>1.0</v>
      </c>
    </row>
    <row r="65" ht="14.25" customHeight="1">
      <c r="A65" s="434">
        <v>45783.0</v>
      </c>
      <c r="B65" s="429" t="s">
        <v>7138</v>
      </c>
      <c r="C65" s="429" t="s">
        <v>7145</v>
      </c>
      <c r="H65" s="429">
        <v>41.0</v>
      </c>
      <c r="J65" s="430">
        <f t="shared" si="3"/>
        <v>41</v>
      </c>
      <c r="L65" s="431"/>
      <c r="T65" s="429" t="s">
        <v>2078</v>
      </c>
      <c r="U65" s="429">
        <v>5.0</v>
      </c>
      <c r="V65" s="429" t="s">
        <v>7141</v>
      </c>
      <c r="W65" s="429" t="s">
        <v>6632</v>
      </c>
      <c r="X65" s="429">
        <v>1.0</v>
      </c>
    </row>
    <row r="66" ht="14.25" customHeight="1">
      <c r="A66" s="434">
        <v>45783.0</v>
      </c>
      <c r="B66" s="429" t="s">
        <v>7138</v>
      </c>
      <c r="C66" s="429" t="s">
        <v>7146</v>
      </c>
      <c r="H66" s="429">
        <v>12.0</v>
      </c>
      <c r="J66" s="430">
        <f t="shared" si="3"/>
        <v>12</v>
      </c>
      <c r="L66" s="431"/>
      <c r="T66" s="429" t="s">
        <v>2078</v>
      </c>
      <c r="U66" s="429">
        <v>5.0</v>
      </c>
      <c r="V66" s="429" t="s">
        <v>7147</v>
      </c>
      <c r="W66" s="437" t="s">
        <v>7090</v>
      </c>
      <c r="X66" s="429">
        <v>1.0</v>
      </c>
    </row>
    <row r="67" ht="14.25" customHeight="1">
      <c r="A67" s="434">
        <v>45783.0</v>
      </c>
      <c r="B67" s="429" t="s">
        <v>7138</v>
      </c>
      <c r="C67" s="429" t="s">
        <v>7148</v>
      </c>
      <c r="H67" s="429">
        <v>39.0</v>
      </c>
      <c r="J67" s="430">
        <f t="shared" si="3"/>
        <v>39</v>
      </c>
      <c r="L67" s="431"/>
      <c r="T67" s="429" t="s">
        <v>2078</v>
      </c>
      <c r="U67" s="429">
        <v>5.0</v>
      </c>
      <c r="V67" s="429" t="s">
        <v>7147</v>
      </c>
      <c r="W67" s="437" t="s">
        <v>7091</v>
      </c>
      <c r="X67" s="429">
        <v>1.0</v>
      </c>
    </row>
    <row r="68" ht="14.25" customHeight="1">
      <c r="H68" s="429">
        <v>230.0</v>
      </c>
      <c r="J68" s="430">
        <f t="shared" si="3"/>
        <v>230</v>
      </c>
      <c r="L68" s="431"/>
      <c r="T68" s="429" t="s">
        <v>2078</v>
      </c>
      <c r="U68" s="429">
        <v>5.0</v>
      </c>
      <c r="V68" s="429" t="s">
        <v>7147</v>
      </c>
      <c r="W68" s="429" t="s">
        <v>7044</v>
      </c>
      <c r="X68" s="429">
        <v>1.0</v>
      </c>
    </row>
    <row r="69" ht="14.25" customHeight="1">
      <c r="J69" s="430"/>
      <c r="L69" s="431"/>
      <c r="T69" s="429" t="s">
        <v>2078</v>
      </c>
      <c r="U69" s="429">
        <v>5.0</v>
      </c>
      <c r="V69" s="429" t="s">
        <v>7149</v>
      </c>
      <c r="W69" s="437" t="s">
        <v>6702</v>
      </c>
      <c r="X69" s="429">
        <v>1.0</v>
      </c>
    </row>
    <row r="70" ht="14.25" customHeight="1">
      <c r="J70" s="430"/>
      <c r="L70" s="431"/>
      <c r="T70" s="429" t="s">
        <v>2078</v>
      </c>
      <c r="U70" s="429">
        <v>5.0</v>
      </c>
      <c r="V70" s="429" t="s">
        <v>7149</v>
      </c>
      <c r="W70" s="437" t="s">
        <v>7094</v>
      </c>
      <c r="X70" s="429">
        <v>1.0</v>
      </c>
    </row>
    <row r="71" ht="14.25" customHeight="1">
      <c r="J71" s="430"/>
      <c r="L71" s="431"/>
      <c r="T71" s="429" t="s">
        <v>2078</v>
      </c>
      <c r="U71" s="429">
        <v>5.0</v>
      </c>
      <c r="V71" s="429" t="s">
        <v>7149</v>
      </c>
      <c r="W71" s="429" t="s">
        <v>202</v>
      </c>
      <c r="X71" s="429">
        <v>1.0</v>
      </c>
    </row>
    <row r="72" ht="14.25" customHeight="1">
      <c r="J72" s="430"/>
      <c r="L72" s="431"/>
      <c r="T72" s="429" t="s">
        <v>2078</v>
      </c>
      <c r="U72" s="429">
        <v>5.0</v>
      </c>
      <c r="V72" s="429" t="s">
        <v>7149</v>
      </c>
      <c r="W72" s="429" t="s">
        <v>7045</v>
      </c>
      <c r="X72" s="429">
        <v>1.0</v>
      </c>
    </row>
    <row r="73" ht="14.25" customHeight="1">
      <c r="J73" s="430"/>
      <c r="L73" s="431"/>
      <c r="T73" s="429" t="s">
        <v>2078</v>
      </c>
      <c r="U73" s="429">
        <v>5.0</v>
      </c>
      <c r="V73" s="429" t="s">
        <v>7149</v>
      </c>
      <c r="W73" s="429" t="s">
        <v>6632</v>
      </c>
      <c r="X73" s="429">
        <v>1.0</v>
      </c>
    </row>
    <row r="74" ht="14.25" customHeight="1">
      <c r="J74" s="430"/>
      <c r="L74" s="431"/>
      <c r="T74" s="429" t="s">
        <v>2078</v>
      </c>
      <c r="U74" s="429">
        <v>5.0</v>
      </c>
      <c r="V74" s="429" t="s">
        <v>7149</v>
      </c>
      <c r="W74" s="429" t="s">
        <v>7048</v>
      </c>
      <c r="X74" s="429">
        <v>1.0</v>
      </c>
    </row>
    <row r="75" ht="14.25" customHeight="1">
      <c r="J75" s="430"/>
      <c r="L75" s="431"/>
      <c r="T75" s="429" t="s">
        <v>2078</v>
      </c>
      <c r="U75" s="429">
        <v>5.0</v>
      </c>
      <c r="V75" s="429" t="s">
        <v>7150</v>
      </c>
      <c r="W75" s="429" t="s">
        <v>7058</v>
      </c>
      <c r="X75" s="429">
        <v>1.0</v>
      </c>
    </row>
    <row r="76" ht="14.25" customHeight="1">
      <c r="J76" s="430"/>
      <c r="L76" s="431"/>
      <c r="T76" s="429" t="s">
        <v>2078</v>
      </c>
      <c r="U76" s="429">
        <v>5.0</v>
      </c>
      <c r="V76" s="429" t="s">
        <v>7150</v>
      </c>
      <c r="W76" s="429" t="s">
        <v>7061</v>
      </c>
      <c r="X76" s="429">
        <v>1.0</v>
      </c>
    </row>
    <row r="77" ht="14.25" customHeight="1">
      <c r="J77" s="430"/>
      <c r="L77" s="431"/>
      <c r="T77" s="429" t="s">
        <v>2078</v>
      </c>
      <c r="U77" s="429">
        <v>5.0</v>
      </c>
      <c r="V77" s="429" t="s">
        <v>7150</v>
      </c>
      <c r="W77" s="429" t="s">
        <v>7065</v>
      </c>
      <c r="X77" s="429">
        <v>1.0</v>
      </c>
    </row>
    <row r="78" ht="14.25" customHeight="1">
      <c r="J78" s="430"/>
      <c r="L78" s="431"/>
      <c r="T78" s="429" t="s">
        <v>2078</v>
      </c>
      <c r="U78" s="429">
        <v>5.0</v>
      </c>
      <c r="V78" s="429" t="s">
        <v>7150</v>
      </c>
      <c r="W78" s="437" t="s">
        <v>7081</v>
      </c>
      <c r="X78" s="429">
        <v>1.0</v>
      </c>
    </row>
    <row r="79" ht="14.25" customHeight="1">
      <c r="J79" s="430"/>
      <c r="L79" s="431"/>
      <c r="T79" s="429" t="s">
        <v>2078</v>
      </c>
      <c r="U79" s="429">
        <v>5.0</v>
      </c>
      <c r="V79" s="429" t="s">
        <v>7151</v>
      </c>
      <c r="W79" s="437" t="s">
        <v>7094</v>
      </c>
      <c r="X79" s="429">
        <v>1.0</v>
      </c>
    </row>
    <row r="80" ht="14.25" customHeight="1">
      <c r="J80" s="430"/>
      <c r="L80" s="431"/>
      <c r="T80" s="429" t="s">
        <v>2078</v>
      </c>
      <c r="U80" s="429">
        <v>5.0</v>
      </c>
      <c r="V80" s="429" t="s">
        <v>7151</v>
      </c>
      <c r="W80" s="437" t="s">
        <v>3660</v>
      </c>
      <c r="X80" s="429">
        <v>1.0</v>
      </c>
    </row>
    <row r="81" ht="14.25" customHeight="1">
      <c r="J81" s="430"/>
      <c r="L81" s="431"/>
      <c r="T81" s="429" t="s">
        <v>2078</v>
      </c>
      <c r="U81" s="429">
        <v>5.0</v>
      </c>
      <c r="V81" s="429" t="s">
        <v>7151</v>
      </c>
      <c r="W81" s="429" t="s">
        <v>7045</v>
      </c>
      <c r="X81" s="429">
        <v>1.0</v>
      </c>
    </row>
    <row r="82" ht="14.25" customHeight="1">
      <c r="J82" s="430"/>
      <c r="L82" s="431"/>
      <c r="T82" s="429" t="s">
        <v>2078</v>
      </c>
      <c r="U82" s="429">
        <v>5.0</v>
      </c>
      <c r="V82" s="429" t="s">
        <v>7151</v>
      </c>
      <c r="W82" s="429" t="s">
        <v>7051</v>
      </c>
      <c r="X82" s="429">
        <v>1.0</v>
      </c>
    </row>
    <row r="83" ht="14.25" customHeight="1">
      <c r="J83" s="430"/>
      <c r="L83" s="431"/>
      <c r="T83" s="429" t="s">
        <v>2078</v>
      </c>
      <c r="U83" s="429">
        <v>5.0</v>
      </c>
      <c r="V83" s="429" t="s">
        <v>7151</v>
      </c>
      <c r="W83" s="429" t="s">
        <v>249</v>
      </c>
      <c r="X83" s="429">
        <v>1.0</v>
      </c>
    </row>
    <row r="84" ht="14.25" customHeight="1">
      <c r="J84" s="430"/>
      <c r="L84" s="431"/>
      <c r="T84" s="429" t="s">
        <v>2078</v>
      </c>
      <c r="U84" s="429">
        <v>5.0</v>
      </c>
      <c r="V84" s="429" t="s">
        <v>7152</v>
      </c>
      <c r="W84" s="437" t="s">
        <v>7083</v>
      </c>
      <c r="X84" s="429">
        <v>2.0</v>
      </c>
    </row>
    <row r="85" ht="14.25" customHeight="1">
      <c r="J85" s="430"/>
      <c r="L85" s="431"/>
      <c r="T85" s="429" t="s">
        <v>2078</v>
      </c>
      <c r="U85" s="429">
        <v>5.0</v>
      </c>
      <c r="V85" s="429" t="s">
        <v>7152</v>
      </c>
      <c r="W85" s="429" t="s">
        <v>7044</v>
      </c>
      <c r="X85" s="429">
        <v>2.0</v>
      </c>
    </row>
    <row r="86" ht="14.25" customHeight="1">
      <c r="J86" s="430"/>
      <c r="L86" s="431"/>
      <c r="T86" s="429" t="s">
        <v>2078</v>
      </c>
      <c r="U86" s="429">
        <v>5.0</v>
      </c>
      <c r="V86" s="429" t="s">
        <v>7152</v>
      </c>
      <c r="W86" s="429" t="s">
        <v>7047</v>
      </c>
      <c r="X86" s="429">
        <v>1.0</v>
      </c>
    </row>
    <row r="87" ht="14.25" customHeight="1">
      <c r="J87" s="430"/>
      <c r="L87" s="431"/>
      <c r="T87" s="429" t="s">
        <v>2078</v>
      </c>
      <c r="U87" s="429">
        <v>5.0</v>
      </c>
      <c r="V87" s="429" t="s">
        <v>7153</v>
      </c>
      <c r="W87" s="429" t="s">
        <v>7049</v>
      </c>
      <c r="X87" s="429">
        <v>1.0</v>
      </c>
    </row>
    <row r="88" ht="14.25" customHeight="1">
      <c r="J88" s="430"/>
      <c r="L88" s="431"/>
      <c r="T88" s="429" t="s">
        <v>2078</v>
      </c>
      <c r="U88" s="429">
        <v>5.0</v>
      </c>
      <c r="V88" s="429" t="s">
        <v>7153</v>
      </c>
      <c r="W88" s="429" t="s">
        <v>7052</v>
      </c>
      <c r="X88" s="429">
        <v>1.0</v>
      </c>
    </row>
    <row r="89" ht="14.25" customHeight="1">
      <c r="J89" s="430"/>
      <c r="L89" s="431"/>
      <c r="T89" s="429" t="s">
        <v>2078</v>
      </c>
      <c r="U89" s="429">
        <v>5.0</v>
      </c>
      <c r="V89" s="429" t="s">
        <v>7153</v>
      </c>
      <c r="W89" s="437" t="s">
        <v>7094</v>
      </c>
      <c r="X89" s="429">
        <v>1.0</v>
      </c>
    </row>
    <row r="90" ht="14.25" customHeight="1">
      <c r="J90" s="430"/>
      <c r="L90" s="431"/>
      <c r="T90" s="429" t="s">
        <v>2078</v>
      </c>
      <c r="U90" s="429">
        <v>5.0</v>
      </c>
      <c r="V90" s="429" t="s">
        <v>7153</v>
      </c>
      <c r="W90" s="429" t="s">
        <v>7047</v>
      </c>
      <c r="X90" s="429">
        <v>1.0</v>
      </c>
    </row>
    <row r="91" ht="14.25" customHeight="1">
      <c r="J91" s="430"/>
      <c r="L91" s="431"/>
      <c r="T91" s="429" t="s">
        <v>2078</v>
      </c>
      <c r="U91" s="429">
        <v>5.0</v>
      </c>
      <c r="V91" s="429" t="s">
        <v>7154</v>
      </c>
      <c r="W91" s="437" t="s">
        <v>7076</v>
      </c>
      <c r="X91" s="429">
        <v>1.0</v>
      </c>
    </row>
    <row r="92" ht="14.25" customHeight="1">
      <c r="J92" s="430"/>
      <c r="L92" s="431"/>
      <c r="T92" s="429" t="s">
        <v>2078</v>
      </c>
      <c r="U92" s="429">
        <v>5.0</v>
      </c>
      <c r="V92" s="429" t="s">
        <v>7154</v>
      </c>
      <c r="W92" s="437" t="s">
        <v>7094</v>
      </c>
      <c r="X92" s="429">
        <v>2.0</v>
      </c>
    </row>
    <row r="93" ht="14.25" customHeight="1">
      <c r="J93" s="430"/>
      <c r="L93" s="431"/>
      <c r="T93" s="429" t="s">
        <v>2078</v>
      </c>
      <c r="U93" s="429">
        <v>5.0</v>
      </c>
      <c r="V93" s="429" t="s">
        <v>7154</v>
      </c>
      <c r="W93" s="429" t="s">
        <v>7099</v>
      </c>
      <c r="X93" s="429">
        <v>1.0</v>
      </c>
    </row>
    <row r="94" ht="14.25" customHeight="1">
      <c r="J94" s="430"/>
      <c r="L94" s="431"/>
      <c r="T94" s="429" t="s">
        <v>2078</v>
      </c>
      <c r="U94" s="429">
        <v>5.0</v>
      </c>
      <c r="V94" s="429" t="s">
        <v>7155</v>
      </c>
      <c r="W94" s="429" t="s">
        <v>7103</v>
      </c>
      <c r="X94" s="429">
        <v>1.0</v>
      </c>
    </row>
    <row r="95" ht="14.25" customHeight="1">
      <c r="J95" s="430"/>
      <c r="L95" s="431"/>
      <c r="T95" s="429" t="s">
        <v>2078</v>
      </c>
      <c r="U95" s="429">
        <v>5.0</v>
      </c>
      <c r="V95" s="429" t="s">
        <v>7155</v>
      </c>
      <c r="W95" s="429" t="s">
        <v>7072</v>
      </c>
      <c r="X95" s="429">
        <v>1.0</v>
      </c>
    </row>
    <row r="96" ht="14.25" customHeight="1">
      <c r="J96" s="430"/>
      <c r="L96" s="431"/>
      <c r="T96" s="429" t="s">
        <v>2078</v>
      </c>
      <c r="U96" s="429">
        <v>5.0</v>
      </c>
      <c r="V96" s="429" t="s">
        <v>7155</v>
      </c>
      <c r="W96" s="429" t="s">
        <v>7051</v>
      </c>
      <c r="X96" s="429">
        <v>1.0</v>
      </c>
    </row>
    <row r="97" ht="14.25" customHeight="1">
      <c r="J97" s="430"/>
      <c r="L97" s="431"/>
      <c r="T97" s="429" t="s">
        <v>2078</v>
      </c>
      <c r="U97" s="429">
        <v>5.0</v>
      </c>
      <c r="V97" s="429" t="s">
        <v>7155</v>
      </c>
      <c r="W97" s="429" t="s">
        <v>6588</v>
      </c>
      <c r="X97" s="429">
        <v>1.0</v>
      </c>
    </row>
    <row r="98" ht="14.25" customHeight="1">
      <c r="J98" s="430"/>
      <c r="L98" s="431"/>
      <c r="T98" s="429" t="s">
        <v>2078</v>
      </c>
      <c r="U98" s="429">
        <v>5.0</v>
      </c>
      <c r="V98" s="429" t="s">
        <v>7156</v>
      </c>
      <c r="W98" s="437" t="s">
        <v>7086</v>
      </c>
      <c r="X98" s="429">
        <v>1.0</v>
      </c>
    </row>
    <row r="99" ht="14.25" customHeight="1">
      <c r="J99" s="430"/>
      <c r="L99" s="431"/>
      <c r="T99" s="429" t="s">
        <v>2078</v>
      </c>
      <c r="U99" s="429">
        <v>5.0</v>
      </c>
      <c r="V99" s="429" t="s">
        <v>7156</v>
      </c>
      <c r="W99" s="429" t="s">
        <v>7072</v>
      </c>
      <c r="X99" s="429">
        <v>1.0</v>
      </c>
    </row>
    <row r="100" ht="14.25" customHeight="1">
      <c r="J100" s="430"/>
      <c r="L100" s="431"/>
      <c r="T100" s="429" t="s">
        <v>2078</v>
      </c>
      <c r="U100" s="429">
        <v>5.0</v>
      </c>
      <c r="V100" s="429" t="s">
        <v>7156</v>
      </c>
      <c r="W100" s="429" t="s">
        <v>7051</v>
      </c>
      <c r="X100" s="429">
        <v>2.0</v>
      </c>
    </row>
    <row r="101" ht="14.25" customHeight="1">
      <c r="J101" s="430"/>
      <c r="L101" s="431"/>
      <c r="T101" s="429" t="s">
        <v>2078</v>
      </c>
      <c r="U101" s="429">
        <v>5.0</v>
      </c>
      <c r="V101" s="429" t="s">
        <v>7156</v>
      </c>
      <c r="W101" s="429" t="s">
        <v>7113</v>
      </c>
      <c r="X101" s="429">
        <v>1.0</v>
      </c>
    </row>
    <row r="102" ht="14.25" customHeight="1">
      <c r="J102" s="430"/>
      <c r="L102" s="431"/>
      <c r="T102" s="429" t="s">
        <v>2078</v>
      </c>
      <c r="U102" s="429">
        <v>5.0</v>
      </c>
      <c r="V102" s="429" t="s">
        <v>7157</v>
      </c>
      <c r="W102" s="429">
        <v>0.0</v>
      </c>
      <c r="X102" s="429">
        <v>2.0</v>
      </c>
    </row>
    <row r="103" ht="14.25" customHeight="1">
      <c r="J103" s="430"/>
      <c r="L103" s="431"/>
      <c r="T103" s="429" t="s">
        <v>2078</v>
      </c>
      <c r="U103" s="429">
        <v>5.0</v>
      </c>
      <c r="V103" s="429" t="s">
        <v>7157</v>
      </c>
      <c r="W103" s="429" t="s">
        <v>7065</v>
      </c>
      <c r="X103" s="429">
        <v>1.0</v>
      </c>
    </row>
    <row r="104" ht="14.25" customHeight="1">
      <c r="J104" s="430"/>
      <c r="L104" s="431"/>
      <c r="T104" s="429" t="s">
        <v>2078</v>
      </c>
      <c r="U104" s="429">
        <v>5.0</v>
      </c>
      <c r="V104" s="429" t="s">
        <v>7157</v>
      </c>
      <c r="W104" s="437" t="s">
        <v>7087</v>
      </c>
      <c r="X104" s="429">
        <v>2.0</v>
      </c>
    </row>
    <row r="105" ht="14.25" customHeight="1">
      <c r="J105" s="430"/>
      <c r="L105" s="431"/>
      <c r="T105" s="429" t="s">
        <v>2078</v>
      </c>
      <c r="U105" s="429">
        <v>5.0</v>
      </c>
      <c r="V105" s="429" t="s">
        <v>7157</v>
      </c>
      <c r="W105" s="429" t="s">
        <v>6742</v>
      </c>
      <c r="X105" s="429">
        <v>1.0</v>
      </c>
    </row>
    <row r="106" ht="14.25" customHeight="1">
      <c r="J106" s="430"/>
      <c r="L106" s="431"/>
      <c r="T106" s="429" t="s">
        <v>2078</v>
      </c>
      <c r="U106" s="429">
        <v>5.0</v>
      </c>
      <c r="V106" s="429" t="s">
        <v>7157</v>
      </c>
      <c r="W106" s="429" t="s">
        <v>7044</v>
      </c>
      <c r="X106" s="429">
        <v>1.0</v>
      </c>
    </row>
    <row r="107" ht="14.25" customHeight="1">
      <c r="J107" s="430"/>
      <c r="L107" s="431"/>
      <c r="T107" s="429" t="s">
        <v>2078</v>
      </c>
      <c r="U107" s="429">
        <v>5.0</v>
      </c>
      <c r="V107" s="429" t="s">
        <v>7157</v>
      </c>
      <c r="W107" s="429" t="s">
        <v>7051</v>
      </c>
      <c r="X107" s="429">
        <v>2.0</v>
      </c>
    </row>
    <row r="108" ht="14.25" customHeight="1">
      <c r="J108" s="430"/>
      <c r="L108" s="431"/>
      <c r="T108" s="429" t="s">
        <v>2078</v>
      </c>
      <c r="U108" s="429">
        <v>5.0</v>
      </c>
      <c r="V108" s="429" t="s">
        <v>7157</v>
      </c>
      <c r="W108" s="429" t="s">
        <v>6588</v>
      </c>
      <c r="X108" s="429">
        <v>1.0</v>
      </c>
    </row>
    <row r="109" ht="14.25" customHeight="1">
      <c r="J109" s="430"/>
      <c r="L109" s="431"/>
      <c r="T109" s="429" t="s">
        <v>2078</v>
      </c>
      <c r="U109" s="429">
        <v>5.0</v>
      </c>
      <c r="V109" s="429" t="s">
        <v>7158</v>
      </c>
      <c r="W109" s="437" t="s">
        <v>3618</v>
      </c>
      <c r="X109" s="429">
        <v>1.0</v>
      </c>
    </row>
    <row r="110" ht="14.25" customHeight="1">
      <c r="J110" s="430"/>
      <c r="L110" s="431"/>
      <c r="T110" s="429" t="s">
        <v>2078</v>
      </c>
      <c r="U110" s="429">
        <v>5.0</v>
      </c>
      <c r="V110" s="429" t="s">
        <v>7158</v>
      </c>
      <c r="W110" s="429" t="s">
        <v>7044</v>
      </c>
      <c r="X110" s="429">
        <v>1.0</v>
      </c>
    </row>
    <row r="111" ht="14.25" customHeight="1">
      <c r="J111" s="430"/>
      <c r="L111" s="431"/>
      <c r="T111" s="429" t="s">
        <v>7159</v>
      </c>
      <c r="U111" s="429">
        <v>5.0</v>
      </c>
      <c r="V111" s="434">
        <v>45785.0</v>
      </c>
      <c r="W111" s="429" t="s">
        <v>7061</v>
      </c>
      <c r="X111" s="429">
        <v>1.0</v>
      </c>
    </row>
    <row r="112" ht="14.25" customHeight="1">
      <c r="J112" s="430"/>
      <c r="L112" s="431"/>
      <c r="T112" s="429" t="s">
        <v>7159</v>
      </c>
      <c r="U112" s="429">
        <v>5.0</v>
      </c>
      <c r="V112" s="434">
        <v>45785.0</v>
      </c>
      <c r="W112" s="429" t="s">
        <v>7065</v>
      </c>
      <c r="X112" s="429">
        <v>1.0</v>
      </c>
    </row>
    <row r="113" ht="14.25" customHeight="1">
      <c r="J113" s="430"/>
      <c r="L113" s="431"/>
      <c r="T113" s="429" t="s">
        <v>7159</v>
      </c>
      <c r="U113" s="429">
        <v>5.0</v>
      </c>
      <c r="V113" s="434">
        <v>45785.0</v>
      </c>
      <c r="W113" s="429" t="s">
        <v>6028</v>
      </c>
      <c r="X113" s="429">
        <v>1.0</v>
      </c>
    </row>
    <row r="114" ht="14.25" customHeight="1">
      <c r="J114" s="430"/>
      <c r="L114" s="431"/>
      <c r="T114" s="429" t="s">
        <v>7159</v>
      </c>
      <c r="U114" s="429">
        <v>5.0</v>
      </c>
      <c r="V114" s="434">
        <v>45786.0</v>
      </c>
      <c r="W114" s="429" t="s">
        <v>7070</v>
      </c>
      <c r="X114" s="429">
        <v>1.0</v>
      </c>
    </row>
    <row r="115" ht="14.25" customHeight="1">
      <c r="J115" s="430"/>
      <c r="L115" s="431"/>
      <c r="T115" s="429" t="s">
        <v>7159</v>
      </c>
      <c r="U115" s="429">
        <v>5.0</v>
      </c>
      <c r="V115" s="434">
        <v>45789.0</v>
      </c>
      <c r="W115" s="429" t="s">
        <v>7065</v>
      </c>
      <c r="X115" s="429">
        <v>1.0</v>
      </c>
    </row>
    <row r="116" ht="14.25" customHeight="1">
      <c r="J116" s="430"/>
      <c r="L116" s="431"/>
      <c r="T116" s="429" t="s">
        <v>7159</v>
      </c>
      <c r="U116" s="429">
        <v>5.0</v>
      </c>
      <c r="V116" s="434">
        <v>45789.0</v>
      </c>
      <c r="W116" s="429" t="s">
        <v>7070</v>
      </c>
      <c r="X116" s="429">
        <v>1.0</v>
      </c>
    </row>
    <row r="117" ht="14.25" customHeight="1">
      <c r="J117" s="430"/>
      <c r="L117" s="431"/>
      <c r="T117" s="429" t="s">
        <v>7159</v>
      </c>
      <c r="U117" s="429">
        <v>5.0</v>
      </c>
      <c r="V117" s="434">
        <v>45789.0</v>
      </c>
      <c r="W117" s="429" t="s">
        <v>7160</v>
      </c>
      <c r="X117" s="429">
        <v>1.0</v>
      </c>
    </row>
    <row r="118" ht="14.25" customHeight="1">
      <c r="J118" s="430"/>
      <c r="L118" s="431"/>
      <c r="T118" s="429" t="s">
        <v>7159</v>
      </c>
      <c r="U118" s="429">
        <v>5.0</v>
      </c>
      <c r="V118" s="434">
        <v>45789.0</v>
      </c>
      <c r="W118" s="429" t="s">
        <v>7161</v>
      </c>
      <c r="X118" s="429">
        <v>1.0</v>
      </c>
    </row>
    <row r="119" ht="14.25" customHeight="1">
      <c r="J119" s="430"/>
      <c r="L119" s="431"/>
      <c r="T119" s="429" t="s">
        <v>7159</v>
      </c>
      <c r="U119" s="429">
        <v>5.0</v>
      </c>
      <c r="V119" s="434">
        <v>45789.0</v>
      </c>
      <c r="W119" s="429" t="s">
        <v>7077</v>
      </c>
      <c r="X119" s="429">
        <v>1.0</v>
      </c>
    </row>
    <row r="120" ht="14.25" customHeight="1">
      <c r="J120" s="430"/>
      <c r="L120" s="431"/>
      <c r="T120" s="429" t="s">
        <v>7159</v>
      </c>
      <c r="U120" s="429">
        <v>5.0</v>
      </c>
      <c r="V120" s="434">
        <v>45790.0</v>
      </c>
      <c r="W120" s="429" t="s">
        <v>7044</v>
      </c>
      <c r="X120" s="429">
        <v>1.0</v>
      </c>
    </row>
    <row r="121" ht="14.25" customHeight="1">
      <c r="J121" s="430"/>
      <c r="L121" s="431"/>
      <c r="T121" s="429" t="s">
        <v>7159</v>
      </c>
      <c r="U121" s="429">
        <v>5.0</v>
      </c>
      <c r="V121" s="434">
        <v>45791.0</v>
      </c>
      <c r="W121" s="429" t="s">
        <v>7161</v>
      </c>
      <c r="X121" s="429">
        <v>1.0</v>
      </c>
    </row>
    <row r="122" ht="14.25" customHeight="1">
      <c r="J122" s="430"/>
      <c r="L122" s="431"/>
      <c r="T122" s="429" t="s">
        <v>7159</v>
      </c>
      <c r="U122" s="429">
        <v>5.0</v>
      </c>
      <c r="V122" s="434">
        <v>45791.0</v>
      </c>
      <c r="W122" s="429" t="s">
        <v>7162</v>
      </c>
      <c r="X122" s="429">
        <v>2.0</v>
      </c>
    </row>
    <row r="123" ht="14.25" customHeight="1">
      <c r="J123" s="430"/>
      <c r="L123" s="431"/>
      <c r="T123" s="429" t="s">
        <v>7159</v>
      </c>
      <c r="U123" s="429">
        <v>5.0</v>
      </c>
      <c r="V123" s="434">
        <v>45791.0</v>
      </c>
      <c r="W123" s="429" t="s">
        <v>7077</v>
      </c>
      <c r="X123" s="429">
        <v>1.0</v>
      </c>
    </row>
    <row r="124" ht="14.25" customHeight="1">
      <c r="J124" s="430"/>
      <c r="L124" s="431"/>
      <c r="T124" s="429" t="s">
        <v>7159</v>
      </c>
      <c r="U124" s="429">
        <v>5.0</v>
      </c>
      <c r="V124" s="434">
        <v>45791.0</v>
      </c>
      <c r="W124" s="429" t="s">
        <v>7163</v>
      </c>
      <c r="X124" s="429">
        <v>1.0</v>
      </c>
    </row>
    <row r="125" ht="14.25" customHeight="1">
      <c r="J125" s="430"/>
      <c r="L125" s="431"/>
      <c r="T125" s="429" t="s">
        <v>7159</v>
      </c>
      <c r="U125" s="429">
        <v>5.0</v>
      </c>
      <c r="V125" s="434">
        <v>45793.0</v>
      </c>
      <c r="W125" s="429" t="s">
        <v>7164</v>
      </c>
      <c r="X125" s="429">
        <v>1.0</v>
      </c>
    </row>
    <row r="126" ht="14.25" customHeight="1">
      <c r="J126" s="430"/>
      <c r="L126" s="431"/>
      <c r="T126" s="429" t="s">
        <v>7159</v>
      </c>
      <c r="U126" s="429">
        <v>5.0</v>
      </c>
      <c r="V126" s="434">
        <v>45793.0</v>
      </c>
      <c r="W126" s="429" t="s">
        <v>7165</v>
      </c>
      <c r="X126" s="429">
        <v>2.0</v>
      </c>
    </row>
    <row r="127" ht="14.25" customHeight="1">
      <c r="J127" s="430"/>
      <c r="L127" s="431"/>
      <c r="T127" s="429" t="s">
        <v>7159</v>
      </c>
      <c r="U127" s="429">
        <v>5.0</v>
      </c>
      <c r="V127" s="434">
        <v>45794.0</v>
      </c>
      <c r="W127" s="429" t="s">
        <v>7065</v>
      </c>
      <c r="X127" s="429">
        <v>1.0</v>
      </c>
    </row>
    <row r="128" ht="14.25" customHeight="1">
      <c r="J128" s="430"/>
      <c r="L128" s="431"/>
      <c r="T128" s="429" t="s">
        <v>7159</v>
      </c>
      <c r="U128" s="429">
        <v>5.0</v>
      </c>
      <c r="V128" s="434">
        <v>45794.0</v>
      </c>
      <c r="W128" s="429" t="s">
        <v>7166</v>
      </c>
      <c r="X128" s="429">
        <v>1.0</v>
      </c>
    </row>
    <row r="129" ht="14.25" customHeight="1">
      <c r="J129" s="430"/>
      <c r="L129" s="431"/>
      <c r="T129" s="429" t="s">
        <v>7159</v>
      </c>
      <c r="U129" s="429">
        <v>5.0</v>
      </c>
      <c r="V129" s="434">
        <v>45794.0</v>
      </c>
      <c r="W129" s="429" t="s">
        <v>7080</v>
      </c>
      <c r="X129" s="429">
        <v>2.0</v>
      </c>
    </row>
    <row r="130" ht="14.25" customHeight="1">
      <c r="J130" s="430"/>
      <c r="L130" s="431"/>
      <c r="T130" s="429" t="s">
        <v>7159</v>
      </c>
      <c r="U130" s="429">
        <v>5.0</v>
      </c>
      <c r="V130" s="434">
        <v>45794.0</v>
      </c>
      <c r="W130" s="429" t="s">
        <v>7047</v>
      </c>
      <c r="X130" s="429">
        <v>1.0</v>
      </c>
    </row>
    <row r="131" ht="14.25" customHeight="1">
      <c r="J131" s="430"/>
      <c r="L131" s="431"/>
      <c r="T131" s="429" t="s">
        <v>7159</v>
      </c>
      <c r="U131" s="429">
        <v>5.0</v>
      </c>
      <c r="V131" s="434">
        <v>45794.0</v>
      </c>
      <c r="W131" s="429" t="s">
        <v>7051</v>
      </c>
      <c r="X131" s="429">
        <v>1.0</v>
      </c>
    </row>
    <row r="132" ht="14.25" customHeight="1">
      <c r="J132" s="430"/>
      <c r="L132" s="431"/>
      <c r="T132" s="429" t="s">
        <v>7159</v>
      </c>
      <c r="U132" s="429">
        <v>5.0</v>
      </c>
      <c r="V132" s="434">
        <v>45794.0</v>
      </c>
      <c r="W132" s="429" t="s">
        <v>210</v>
      </c>
      <c r="X132" s="429">
        <v>1.0</v>
      </c>
    </row>
    <row r="133" ht="14.25" customHeight="1">
      <c r="J133" s="430"/>
      <c r="L133" s="431"/>
      <c r="T133" s="429" t="s">
        <v>7159</v>
      </c>
      <c r="U133" s="429">
        <v>5.0</v>
      </c>
      <c r="V133" s="434">
        <v>45795.0</v>
      </c>
      <c r="W133" s="429" t="s">
        <v>7061</v>
      </c>
      <c r="X133" s="429">
        <v>1.0</v>
      </c>
    </row>
    <row r="134" ht="14.25" customHeight="1">
      <c r="J134" s="430"/>
      <c r="L134" s="431"/>
      <c r="T134" s="429" t="s">
        <v>7159</v>
      </c>
      <c r="U134" s="429">
        <v>5.0</v>
      </c>
      <c r="V134" s="434">
        <v>45795.0</v>
      </c>
      <c r="W134" s="429" t="s">
        <v>7166</v>
      </c>
      <c r="X134" s="429">
        <v>1.0</v>
      </c>
    </row>
    <row r="135" ht="14.25" customHeight="1">
      <c r="J135" s="430"/>
      <c r="L135" s="431"/>
      <c r="T135" s="429" t="s">
        <v>7159</v>
      </c>
      <c r="U135" s="429">
        <v>5.0</v>
      </c>
      <c r="V135" s="434">
        <v>45795.0</v>
      </c>
      <c r="W135" s="429" t="s">
        <v>7167</v>
      </c>
      <c r="X135" s="429">
        <v>2.0</v>
      </c>
    </row>
    <row r="136" ht="14.25" customHeight="1">
      <c r="J136" s="430"/>
      <c r="L136" s="431"/>
      <c r="T136" s="429" t="s">
        <v>7159</v>
      </c>
      <c r="U136" s="429">
        <v>5.0</v>
      </c>
      <c r="V136" s="434">
        <v>45795.0</v>
      </c>
      <c r="W136" s="429" t="s">
        <v>7080</v>
      </c>
      <c r="X136" s="429">
        <v>1.0</v>
      </c>
    </row>
    <row r="137" ht="14.25" customHeight="1">
      <c r="J137" s="430"/>
      <c r="L137" s="431"/>
      <c r="T137" s="429" t="s">
        <v>7159</v>
      </c>
      <c r="U137" s="429">
        <v>5.0</v>
      </c>
      <c r="V137" s="434">
        <v>45795.0</v>
      </c>
      <c r="W137" s="429" t="s">
        <v>6632</v>
      </c>
      <c r="X137" s="429">
        <v>1.0</v>
      </c>
    </row>
    <row r="138" ht="14.25" customHeight="1">
      <c r="J138" s="430"/>
      <c r="L138" s="431"/>
      <c r="T138" s="429" t="s">
        <v>7159</v>
      </c>
      <c r="U138" s="429">
        <v>5.0</v>
      </c>
      <c r="V138" s="434">
        <v>45795.0</v>
      </c>
      <c r="W138" s="429" t="s">
        <v>7047</v>
      </c>
      <c r="X138" s="429">
        <v>1.0</v>
      </c>
    </row>
    <row r="139" ht="14.25" customHeight="1">
      <c r="J139" s="430"/>
      <c r="L139" s="431"/>
      <c r="T139" s="429" t="s">
        <v>7159</v>
      </c>
      <c r="U139" s="429">
        <v>5.0</v>
      </c>
      <c r="V139" s="434">
        <v>45798.0</v>
      </c>
      <c r="W139" s="429" t="s">
        <v>6590</v>
      </c>
      <c r="X139" s="429">
        <v>1.0</v>
      </c>
    </row>
    <row r="140" ht="14.25" customHeight="1">
      <c r="J140" s="430"/>
      <c r="L140" s="431"/>
      <c r="T140" s="429" t="s">
        <v>7159</v>
      </c>
      <c r="U140" s="429">
        <v>5.0</v>
      </c>
      <c r="V140" s="434">
        <v>45800.0</v>
      </c>
      <c r="W140" s="429" t="s">
        <v>7166</v>
      </c>
      <c r="X140" s="429">
        <v>1.0</v>
      </c>
    </row>
    <row r="141" ht="14.25" customHeight="1">
      <c r="J141" s="430"/>
      <c r="L141" s="431"/>
      <c r="T141" s="429" t="s">
        <v>7159</v>
      </c>
      <c r="U141" s="429">
        <v>5.0</v>
      </c>
      <c r="V141" s="434">
        <v>45800.0</v>
      </c>
      <c r="W141" s="437" t="s">
        <v>6702</v>
      </c>
      <c r="X141" s="429">
        <v>1.0</v>
      </c>
    </row>
    <row r="142" ht="14.25" customHeight="1">
      <c r="J142" s="430"/>
      <c r="L142" s="431"/>
      <c r="T142" s="429" t="s">
        <v>7159</v>
      </c>
      <c r="U142" s="429">
        <v>5.0</v>
      </c>
      <c r="V142" s="434">
        <v>45800.0</v>
      </c>
      <c r="W142" s="429" t="s">
        <v>7048</v>
      </c>
      <c r="X142" s="429">
        <v>1.0</v>
      </c>
    </row>
    <row r="143" ht="14.25" customHeight="1">
      <c r="J143" s="430"/>
      <c r="L143" s="431"/>
      <c r="T143" s="429" t="s">
        <v>7159</v>
      </c>
      <c r="U143" s="429">
        <v>5.0</v>
      </c>
      <c r="V143" s="434">
        <v>45802.0</v>
      </c>
      <c r="W143" s="429" t="s">
        <v>7068</v>
      </c>
      <c r="X143" s="429">
        <v>1.0</v>
      </c>
    </row>
    <row r="144" ht="14.25" customHeight="1">
      <c r="J144" s="430"/>
      <c r="L144" s="431"/>
      <c r="T144" s="429" t="s">
        <v>7159</v>
      </c>
      <c r="U144" s="429">
        <v>5.0</v>
      </c>
      <c r="V144" s="434">
        <v>45802.0</v>
      </c>
      <c r="W144" s="429" t="s">
        <v>7166</v>
      </c>
      <c r="X144" s="429">
        <v>1.0</v>
      </c>
    </row>
    <row r="145" ht="14.25" customHeight="1">
      <c r="J145" s="430"/>
      <c r="L145" s="431"/>
      <c r="T145" s="429" t="s">
        <v>7159</v>
      </c>
      <c r="U145" s="429">
        <v>5.0</v>
      </c>
      <c r="V145" s="434">
        <v>45802.0</v>
      </c>
      <c r="W145" s="437" t="s">
        <v>7168</v>
      </c>
      <c r="X145" s="429">
        <v>1.0</v>
      </c>
    </row>
    <row r="146" ht="14.25" customHeight="1">
      <c r="J146" s="430"/>
      <c r="L146" s="431"/>
      <c r="T146" s="429" t="s">
        <v>7159</v>
      </c>
      <c r="U146" s="429">
        <v>5.0</v>
      </c>
      <c r="V146" s="434">
        <v>45802.0</v>
      </c>
      <c r="W146" s="429" t="s">
        <v>6632</v>
      </c>
      <c r="X146" s="429">
        <v>1.0</v>
      </c>
    </row>
    <row r="147" ht="14.25" customHeight="1">
      <c r="J147" s="430"/>
      <c r="L147" s="431"/>
      <c r="T147" s="429" t="s">
        <v>7159</v>
      </c>
      <c r="U147" s="429">
        <v>5.0</v>
      </c>
      <c r="V147" s="434">
        <v>45802.0</v>
      </c>
      <c r="W147" s="429" t="s">
        <v>7051</v>
      </c>
      <c r="X147" s="429">
        <v>1.0</v>
      </c>
    </row>
    <row r="148" ht="14.25" customHeight="1">
      <c r="J148" s="430"/>
      <c r="L148" s="431"/>
      <c r="T148" s="429" t="s">
        <v>7159</v>
      </c>
      <c r="U148" s="429">
        <v>5.0</v>
      </c>
      <c r="V148" s="434">
        <v>45803.0</v>
      </c>
      <c r="W148" s="429" t="s">
        <v>7165</v>
      </c>
      <c r="X148" s="429">
        <v>1.0</v>
      </c>
    </row>
    <row r="149" ht="14.25" customHeight="1">
      <c r="J149" s="430"/>
      <c r="L149" s="431"/>
      <c r="T149" s="429" t="s">
        <v>7159</v>
      </c>
      <c r="U149" s="429">
        <v>5.0</v>
      </c>
      <c r="V149" s="434">
        <v>45806.0</v>
      </c>
      <c r="W149" s="429" t="s">
        <v>7044</v>
      </c>
      <c r="X149" s="429">
        <v>1.0</v>
      </c>
    </row>
    <row r="150" ht="14.25" customHeight="1">
      <c r="J150" s="430"/>
      <c r="L150" s="431"/>
      <c r="T150" s="429" t="s">
        <v>7159</v>
      </c>
      <c r="U150" s="429">
        <v>5.0</v>
      </c>
      <c r="V150" s="434">
        <v>45807.0</v>
      </c>
      <c r="W150" s="429" t="s">
        <v>6640</v>
      </c>
      <c r="X150" s="429">
        <v>1.0</v>
      </c>
    </row>
    <row r="151" ht="14.25" customHeight="1">
      <c r="J151" s="430"/>
      <c r="L151" s="431"/>
      <c r="T151" s="429" t="s">
        <v>7159</v>
      </c>
      <c r="U151" s="429">
        <v>5.0</v>
      </c>
      <c r="V151" s="434">
        <v>45807.0</v>
      </c>
      <c r="W151" s="429" t="s">
        <v>6632</v>
      </c>
      <c r="X151" s="429">
        <v>1.0</v>
      </c>
    </row>
    <row r="152" ht="14.25" customHeight="1">
      <c r="J152" s="430"/>
      <c r="L152" s="431"/>
      <c r="T152" s="429" t="s">
        <v>7159</v>
      </c>
      <c r="U152" s="429">
        <v>5.0</v>
      </c>
      <c r="V152" s="434">
        <v>45807.0</v>
      </c>
      <c r="W152" s="429" t="s">
        <v>7169</v>
      </c>
      <c r="X152" s="429">
        <v>1.0</v>
      </c>
    </row>
    <row r="153" ht="14.25" customHeight="1">
      <c r="J153" s="430"/>
      <c r="L153" s="431"/>
    </row>
    <row r="154" ht="14.25" customHeight="1">
      <c r="J154" s="430"/>
      <c r="L154" s="431"/>
    </row>
    <row r="155" ht="14.25" customHeight="1">
      <c r="J155" s="430"/>
      <c r="L155" s="431"/>
    </row>
    <row r="156" ht="14.25" customHeight="1">
      <c r="J156" s="430"/>
      <c r="L156" s="431"/>
    </row>
    <row r="157" ht="14.25" customHeight="1">
      <c r="J157" s="430"/>
      <c r="L157" s="431"/>
    </row>
    <row r="158" ht="14.25" customHeight="1">
      <c r="J158" s="430"/>
      <c r="L158" s="431"/>
    </row>
    <row r="159" ht="14.25" customHeight="1">
      <c r="J159" s="430"/>
      <c r="L159" s="431"/>
    </row>
    <row r="160" ht="14.25" customHeight="1">
      <c r="J160" s="430"/>
      <c r="L160" s="431"/>
    </row>
    <row r="161" ht="14.25" customHeight="1">
      <c r="J161" s="430"/>
      <c r="L161" s="431"/>
    </row>
    <row r="162" ht="14.25" customHeight="1">
      <c r="J162" s="430"/>
      <c r="L162" s="431"/>
    </row>
    <row r="163" ht="14.25" customHeight="1">
      <c r="J163" s="430"/>
      <c r="L163" s="431"/>
    </row>
    <row r="164" ht="14.25" customHeight="1">
      <c r="J164" s="430"/>
      <c r="L164" s="431"/>
    </row>
    <row r="165" ht="14.25" customHeight="1">
      <c r="J165" s="430"/>
      <c r="L165" s="431"/>
    </row>
    <row r="166" ht="14.25" customHeight="1">
      <c r="J166" s="430"/>
      <c r="L166" s="431"/>
    </row>
    <row r="167" ht="14.25" customHeight="1">
      <c r="J167" s="430"/>
      <c r="L167" s="431"/>
    </row>
    <row r="168" ht="14.25" customHeight="1">
      <c r="J168" s="430"/>
      <c r="L168" s="431"/>
    </row>
    <row r="169" ht="14.25" customHeight="1">
      <c r="J169" s="430"/>
      <c r="L169" s="431"/>
    </row>
    <row r="170" ht="14.25" customHeight="1">
      <c r="J170" s="430"/>
      <c r="L170" s="431"/>
    </row>
    <row r="171" ht="14.25" customHeight="1">
      <c r="J171" s="430"/>
      <c r="L171" s="431"/>
    </row>
    <row r="172" ht="14.25" customHeight="1">
      <c r="J172" s="430"/>
      <c r="L172" s="431"/>
    </row>
    <row r="173" ht="14.25" customHeight="1">
      <c r="J173" s="430"/>
      <c r="L173" s="431"/>
    </row>
    <row r="174" ht="14.25" customHeight="1">
      <c r="J174" s="430"/>
      <c r="L174" s="431"/>
    </row>
    <row r="175" ht="14.25" customHeight="1">
      <c r="J175" s="430"/>
      <c r="L175" s="431"/>
    </row>
    <row r="176" ht="14.25" customHeight="1">
      <c r="J176" s="430"/>
      <c r="L176" s="431"/>
    </row>
    <row r="177" ht="14.25" customHeight="1">
      <c r="J177" s="430"/>
      <c r="L177" s="431"/>
    </row>
    <row r="178" ht="14.25" customHeight="1">
      <c r="J178" s="430"/>
      <c r="L178" s="431"/>
    </row>
    <row r="179" ht="14.25" customHeight="1">
      <c r="J179" s="430"/>
      <c r="L179" s="431"/>
    </row>
    <row r="180" ht="14.25" customHeight="1">
      <c r="J180" s="430"/>
      <c r="L180" s="431"/>
    </row>
    <row r="181" ht="14.25" customHeight="1">
      <c r="J181" s="430"/>
      <c r="L181" s="431"/>
    </row>
    <row r="182" ht="14.25" customHeight="1">
      <c r="J182" s="430"/>
      <c r="L182" s="431"/>
    </row>
    <row r="183" ht="14.25" customHeight="1">
      <c r="J183" s="430"/>
      <c r="L183" s="431"/>
    </row>
    <row r="184" ht="14.25" customHeight="1">
      <c r="J184" s="430"/>
      <c r="L184" s="431"/>
    </row>
    <row r="185" ht="14.25" customHeight="1">
      <c r="J185" s="430"/>
      <c r="L185" s="431"/>
    </row>
    <row r="186" ht="14.25" customHeight="1">
      <c r="J186" s="430"/>
      <c r="L186" s="431"/>
    </row>
    <row r="187" ht="14.25" customHeight="1">
      <c r="J187" s="430"/>
      <c r="L187" s="431"/>
    </row>
    <row r="188" ht="14.25" customHeight="1">
      <c r="J188" s="430"/>
      <c r="L188" s="431"/>
    </row>
    <row r="189" ht="14.25" customHeight="1">
      <c r="J189" s="430"/>
      <c r="L189" s="431"/>
    </row>
    <row r="190" ht="14.25" customHeight="1">
      <c r="J190" s="430"/>
      <c r="L190" s="431"/>
    </row>
    <row r="191" ht="14.25" customHeight="1">
      <c r="J191" s="430"/>
      <c r="L191" s="431"/>
    </row>
    <row r="192" ht="14.25" customHeight="1">
      <c r="J192" s="430"/>
      <c r="L192" s="431"/>
    </row>
    <row r="193" ht="14.25" customHeight="1">
      <c r="J193" s="430"/>
      <c r="L193" s="431"/>
    </row>
    <row r="194" ht="14.25" customHeight="1">
      <c r="J194" s="430"/>
      <c r="L194" s="431"/>
    </row>
    <row r="195" ht="14.25" customHeight="1">
      <c r="J195" s="430"/>
      <c r="L195" s="431"/>
    </row>
    <row r="196" ht="14.25" customHeight="1">
      <c r="J196" s="430"/>
      <c r="L196" s="431"/>
    </row>
    <row r="197" ht="14.25" customHeight="1">
      <c r="J197" s="430"/>
      <c r="L197" s="431"/>
    </row>
    <row r="198" ht="14.25" customHeight="1">
      <c r="J198" s="430"/>
      <c r="L198" s="431"/>
    </row>
    <row r="199" ht="14.25" customHeight="1">
      <c r="J199" s="430"/>
      <c r="L199" s="431"/>
    </row>
    <row r="200" ht="14.25" customHeight="1">
      <c r="J200" s="430"/>
      <c r="L200" s="431"/>
    </row>
    <row r="201" ht="14.25" customHeight="1">
      <c r="J201" s="430"/>
      <c r="L201" s="431"/>
    </row>
    <row r="202" ht="14.25" customHeight="1">
      <c r="J202" s="430"/>
      <c r="L202" s="431"/>
    </row>
    <row r="203" ht="14.25" customHeight="1">
      <c r="J203" s="430"/>
      <c r="L203" s="431"/>
    </row>
    <row r="204" ht="14.25" customHeight="1">
      <c r="J204" s="430"/>
      <c r="L204" s="431"/>
    </row>
    <row r="205" ht="14.25" customHeight="1">
      <c r="J205" s="430"/>
      <c r="L205" s="431"/>
    </row>
    <row r="206" ht="14.25" customHeight="1">
      <c r="J206" s="430"/>
      <c r="L206" s="431"/>
    </row>
    <row r="207" ht="14.25" customHeight="1">
      <c r="J207" s="430"/>
      <c r="L207" s="431"/>
    </row>
    <row r="208" ht="14.25" customHeight="1">
      <c r="J208" s="430"/>
      <c r="L208" s="431"/>
    </row>
    <row r="209" ht="14.25" customHeight="1">
      <c r="J209" s="430"/>
      <c r="L209" s="431"/>
    </row>
    <row r="210" ht="14.25" customHeight="1">
      <c r="J210" s="430"/>
      <c r="L210" s="431"/>
    </row>
    <row r="211" ht="14.25" customHeight="1">
      <c r="J211" s="430"/>
      <c r="L211" s="431"/>
    </row>
    <row r="212" ht="14.25" customHeight="1">
      <c r="J212" s="430"/>
      <c r="L212" s="431"/>
    </row>
    <row r="213" ht="14.25" customHeight="1">
      <c r="J213" s="430"/>
      <c r="L213" s="431"/>
    </row>
    <row r="214" ht="14.25" customHeight="1">
      <c r="J214" s="430"/>
      <c r="L214" s="431"/>
    </row>
    <row r="215" ht="14.25" customHeight="1">
      <c r="J215" s="430"/>
      <c r="L215" s="431"/>
    </row>
    <row r="216" ht="14.25" customHeight="1">
      <c r="J216" s="430"/>
      <c r="L216" s="431"/>
    </row>
    <row r="217" ht="14.25" customHeight="1">
      <c r="J217" s="430"/>
      <c r="L217" s="431"/>
    </row>
    <row r="218" ht="14.25" customHeight="1">
      <c r="J218" s="430"/>
      <c r="L218" s="431"/>
    </row>
    <row r="219" ht="14.25" customHeight="1">
      <c r="J219" s="430"/>
      <c r="L219" s="431"/>
    </row>
    <row r="220" ht="14.25" customHeight="1">
      <c r="J220" s="430"/>
      <c r="L220" s="431"/>
    </row>
    <row r="221" ht="14.25" customHeight="1">
      <c r="J221" s="430"/>
      <c r="L221" s="431"/>
    </row>
    <row r="222" ht="14.25" customHeight="1">
      <c r="J222" s="430"/>
      <c r="L222" s="431"/>
    </row>
    <row r="223" ht="14.25" customHeight="1">
      <c r="J223" s="430"/>
      <c r="L223" s="431"/>
    </row>
    <row r="224" ht="14.25" customHeight="1">
      <c r="J224" s="430"/>
      <c r="L224" s="431"/>
    </row>
    <row r="225" ht="14.25" customHeight="1">
      <c r="J225" s="430"/>
      <c r="L225" s="431"/>
    </row>
    <row r="226" ht="14.25" customHeight="1">
      <c r="J226" s="430"/>
      <c r="L226" s="431"/>
    </row>
    <row r="227" ht="14.25" customHeight="1">
      <c r="J227" s="430"/>
      <c r="L227" s="431"/>
    </row>
    <row r="228" ht="14.25" customHeight="1">
      <c r="J228" s="430"/>
      <c r="L228" s="431"/>
    </row>
    <row r="229" ht="14.25" customHeight="1">
      <c r="J229" s="430"/>
      <c r="L229" s="431"/>
    </row>
    <row r="230" ht="14.25" customHeight="1">
      <c r="J230" s="430"/>
      <c r="L230" s="431"/>
    </row>
    <row r="231" ht="14.25" customHeight="1">
      <c r="J231" s="430"/>
      <c r="L231" s="431"/>
    </row>
    <row r="232" ht="14.25" customHeight="1">
      <c r="J232" s="430"/>
      <c r="L232" s="431"/>
    </row>
    <row r="233" ht="14.25" customHeight="1">
      <c r="J233" s="430"/>
      <c r="L233" s="431"/>
    </row>
    <row r="234" ht="14.25" customHeight="1">
      <c r="J234" s="430"/>
      <c r="L234" s="431"/>
    </row>
    <row r="235" ht="14.25" customHeight="1">
      <c r="J235" s="430"/>
      <c r="L235" s="431"/>
    </row>
    <row r="236" ht="14.25" customHeight="1">
      <c r="J236" s="430"/>
      <c r="L236" s="431"/>
    </row>
    <row r="237" ht="14.25" customHeight="1">
      <c r="J237" s="430"/>
      <c r="L237" s="431"/>
    </row>
    <row r="238" ht="14.25" customHeight="1">
      <c r="J238" s="430"/>
      <c r="L238" s="431"/>
    </row>
    <row r="239" ht="14.25" customHeight="1">
      <c r="J239" s="430"/>
      <c r="L239" s="431"/>
    </row>
    <row r="240" ht="14.25" customHeight="1">
      <c r="J240" s="430"/>
      <c r="L240" s="431"/>
    </row>
    <row r="241" ht="14.25" customHeight="1">
      <c r="J241" s="430"/>
      <c r="L241" s="431"/>
    </row>
    <row r="242" ht="14.25" customHeight="1">
      <c r="J242" s="430"/>
      <c r="L242" s="431"/>
    </row>
    <row r="243" ht="14.25" customHeight="1">
      <c r="J243" s="430"/>
      <c r="L243" s="431"/>
    </row>
    <row r="244" ht="14.25" customHeight="1">
      <c r="J244" s="430"/>
      <c r="L244" s="431"/>
    </row>
    <row r="245" ht="14.25" customHeight="1">
      <c r="J245" s="430"/>
      <c r="L245" s="431"/>
    </row>
    <row r="246" ht="14.25" customHeight="1">
      <c r="J246" s="430"/>
      <c r="L246" s="431"/>
    </row>
    <row r="247" ht="14.25" customHeight="1">
      <c r="J247" s="430"/>
      <c r="L247" s="431"/>
    </row>
    <row r="248" ht="14.25" customHeight="1">
      <c r="J248" s="430"/>
      <c r="L248" s="431"/>
    </row>
    <row r="249" ht="14.25" customHeight="1">
      <c r="J249" s="430"/>
      <c r="L249" s="431"/>
    </row>
    <row r="250" ht="14.25" customHeight="1">
      <c r="J250" s="430"/>
      <c r="L250" s="431"/>
    </row>
    <row r="251" ht="14.25" customHeight="1">
      <c r="J251" s="430"/>
      <c r="L251" s="431"/>
    </row>
    <row r="252" ht="14.25" customHeight="1">
      <c r="J252" s="430"/>
      <c r="L252" s="431"/>
    </row>
    <row r="253" ht="14.25" customHeight="1">
      <c r="J253" s="430"/>
      <c r="L253" s="431"/>
    </row>
    <row r="254" ht="14.25" customHeight="1">
      <c r="J254" s="430"/>
      <c r="L254" s="431"/>
    </row>
    <row r="255" ht="14.25" customHeight="1">
      <c r="J255" s="430"/>
      <c r="L255" s="431"/>
    </row>
    <row r="256" ht="14.25" customHeight="1">
      <c r="J256" s="430"/>
      <c r="L256" s="431"/>
    </row>
    <row r="257" ht="14.25" customHeight="1">
      <c r="J257" s="430"/>
      <c r="L257" s="431"/>
    </row>
    <row r="258" ht="14.25" customHeight="1">
      <c r="J258" s="430"/>
      <c r="L258" s="431"/>
    </row>
    <row r="259" ht="14.25" customHeight="1">
      <c r="J259" s="430"/>
      <c r="L259" s="431"/>
    </row>
    <row r="260" ht="14.25" customHeight="1">
      <c r="J260" s="430"/>
      <c r="L260" s="431"/>
    </row>
    <row r="261" ht="14.25" customHeight="1">
      <c r="J261" s="430"/>
      <c r="L261" s="431"/>
    </row>
    <row r="262" ht="14.25" customHeight="1">
      <c r="J262" s="430"/>
      <c r="L262" s="431"/>
    </row>
    <row r="263" ht="14.25" customHeight="1">
      <c r="J263" s="430"/>
      <c r="L263" s="431"/>
    </row>
    <row r="264" ht="14.25" customHeight="1">
      <c r="J264" s="430"/>
      <c r="L264" s="431"/>
    </row>
    <row r="265" ht="14.25" customHeight="1">
      <c r="J265" s="430"/>
      <c r="L265" s="431"/>
    </row>
    <row r="266" ht="14.25" customHeight="1">
      <c r="J266" s="430"/>
      <c r="L266" s="431"/>
    </row>
    <row r="267" ht="14.25" customHeight="1">
      <c r="J267" s="430"/>
      <c r="L267" s="431"/>
    </row>
    <row r="268" ht="14.25" customHeight="1">
      <c r="J268" s="430"/>
      <c r="L268" s="431"/>
    </row>
    <row r="269" ht="14.25" customHeight="1">
      <c r="J269" s="430"/>
      <c r="L269" s="431"/>
    </row>
    <row r="270" ht="14.25" customHeight="1">
      <c r="J270" s="430"/>
      <c r="L270" s="431"/>
    </row>
    <row r="271" ht="14.25" customHeight="1">
      <c r="J271" s="430"/>
      <c r="L271" s="431"/>
    </row>
    <row r="272" ht="14.25" customHeight="1">
      <c r="J272" s="430"/>
      <c r="L272" s="431"/>
    </row>
    <row r="273" ht="14.25" customHeight="1">
      <c r="J273" s="430"/>
      <c r="L273" s="431"/>
    </row>
    <row r="274" ht="14.25" customHeight="1">
      <c r="J274" s="430"/>
      <c r="L274" s="431"/>
    </row>
    <row r="275" ht="14.25" customHeight="1">
      <c r="J275" s="430"/>
      <c r="L275" s="431"/>
    </row>
    <row r="276" ht="14.25" customHeight="1">
      <c r="J276" s="430"/>
      <c r="L276" s="431"/>
    </row>
    <row r="277" ht="14.25" customHeight="1">
      <c r="J277" s="430"/>
      <c r="L277" s="431"/>
    </row>
    <row r="278" ht="14.25" customHeight="1">
      <c r="J278" s="430"/>
      <c r="L278" s="431"/>
    </row>
    <row r="279" ht="14.25" customHeight="1">
      <c r="J279" s="430"/>
      <c r="L279" s="431"/>
    </row>
    <row r="280" ht="14.25" customHeight="1">
      <c r="J280" s="430"/>
      <c r="L280" s="431"/>
    </row>
    <row r="281" ht="14.25" customHeight="1">
      <c r="J281" s="430"/>
      <c r="L281" s="431"/>
    </row>
    <row r="282" ht="14.25" customHeight="1">
      <c r="J282" s="430"/>
      <c r="L282" s="431"/>
    </row>
    <row r="283" ht="14.25" customHeight="1">
      <c r="J283" s="430"/>
      <c r="L283" s="431"/>
    </row>
    <row r="284" ht="14.25" customHeight="1">
      <c r="J284" s="430"/>
      <c r="L284" s="431"/>
    </row>
    <row r="285" ht="14.25" customHeight="1">
      <c r="J285" s="430"/>
      <c r="L285" s="431"/>
    </row>
    <row r="286" ht="14.25" customHeight="1">
      <c r="J286" s="430"/>
      <c r="L286" s="431"/>
    </row>
    <row r="287" ht="14.25" customHeight="1">
      <c r="J287" s="430"/>
      <c r="L287" s="431"/>
    </row>
    <row r="288" ht="14.25" customHeight="1">
      <c r="J288" s="430"/>
      <c r="L288" s="431"/>
    </row>
    <row r="289" ht="14.25" customHeight="1">
      <c r="J289" s="430"/>
      <c r="L289" s="431"/>
    </row>
    <row r="290" ht="14.25" customHeight="1">
      <c r="J290" s="430"/>
      <c r="L290" s="431"/>
    </row>
    <row r="291" ht="14.25" customHeight="1">
      <c r="J291" s="430"/>
      <c r="L291" s="431"/>
    </row>
    <row r="292" ht="14.25" customHeight="1">
      <c r="J292" s="430"/>
      <c r="L292" s="431"/>
    </row>
    <row r="293" ht="14.25" customHeight="1">
      <c r="J293" s="430"/>
      <c r="L293" s="431"/>
    </row>
    <row r="294" ht="14.25" customHeight="1">
      <c r="J294" s="430"/>
      <c r="L294" s="431"/>
    </row>
    <row r="295" ht="14.25" customHeight="1">
      <c r="J295" s="430"/>
      <c r="L295" s="431"/>
    </row>
    <row r="296" ht="14.25" customHeight="1">
      <c r="J296" s="430"/>
      <c r="L296" s="431"/>
    </row>
    <row r="297" ht="14.25" customHeight="1">
      <c r="J297" s="430"/>
      <c r="L297" s="431"/>
    </row>
    <row r="298" ht="14.25" customHeight="1">
      <c r="J298" s="430"/>
      <c r="L298" s="431"/>
    </row>
    <row r="299" ht="14.25" customHeight="1">
      <c r="J299" s="430"/>
      <c r="L299" s="431"/>
    </row>
    <row r="300" ht="14.25" customHeight="1">
      <c r="J300" s="430"/>
      <c r="L300" s="431"/>
    </row>
    <row r="301" ht="14.25" customHeight="1">
      <c r="J301" s="430"/>
      <c r="L301" s="431"/>
    </row>
    <row r="302" ht="14.25" customHeight="1">
      <c r="J302" s="430"/>
      <c r="L302" s="431"/>
    </row>
    <row r="303" ht="14.25" customHeight="1">
      <c r="J303" s="430"/>
      <c r="L303" s="431"/>
    </row>
    <row r="304" ht="14.25" customHeight="1">
      <c r="J304" s="430"/>
      <c r="L304" s="431"/>
    </row>
    <row r="305" ht="14.25" customHeight="1">
      <c r="J305" s="430"/>
      <c r="L305" s="431"/>
    </row>
    <row r="306" ht="14.25" customHeight="1">
      <c r="J306" s="430"/>
      <c r="L306" s="431"/>
    </row>
    <row r="307" ht="14.25" customHeight="1">
      <c r="J307" s="430"/>
      <c r="L307" s="431"/>
    </row>
    <row r="308" ht="14.25" customHeight="1">
      <c r="J308" s="430"/>
      <c r="L308" s="431"/>
    </row>
    <row r="309" ht="14.25" customHeight="1">
      <c r="J309" s="430"/>
      <c r="L309" s="431"/>
    </row>
    <row r="310" ht="14.25" customHeight="1">
      <c r="J310" s="430"/>
      <c r="L310" s="431"/>
    </row>
    <row r="311" ht="14.25" customHeight="1">
      <c r="J311" s="430"/>
      <c r="L311" s="431"/>
    </row>
    <row r="312" ht="14.25" customHeight="1">
      <c r="J312" s="430"/>
      <c r="L312" s="431"/>
    </row>
    <row r="313" ht="14.25" customHeight="1">
      <c r="J313" s="430"/>
      <c r="L313" s="431"/>
    </row>
    <row r="314" ht="14.25" customHeight="1">
      <c r="J314" s="430"/>
      <c r="L314" s="431"/>
    </row>
    <row r="315" ht="14.25" customHeight="1">
      <c r="J315" s="430"/>
      <c r="L315" s="431"/>
    </row>
    <row r="316" ht="14.25" customHeight="1">
      <c r="J316" s="430"/>
      <c r="L316" s="431"/>
    </row>
    <row r="317" ht="14.25" customHeight="1">
      <c r="J317" s="430"/>
      <c r="L317" s="431"/>
    </row>
    <row r="318" ht="14.25" customHeight="1">
      <c r="J318" s="430"/>
      <c r="L318" s="431"/>
    </row>
    <row r="319" ht="14.25" customHeight="1">
      <c r="J319" s="430"/>
      <c r="L319" s="431"/>
    </row>
    <row r="320" ht="14.25" customHeight="1">
      <c r="J320" s="430"/>
      <c r="L320" s="431"/>
    </row>
    <row r="321" ht="14.25" customHeight="1">
      <c r="J321" s="430"/>
      <c r="L321" s="431"/>
    </row>
    <row r="322" ht="14.25" customHeight="1">
      <c r="J322" s="430"/>
      <c r="L322" s="431"/>
    </row>
    <row r="323" ht="14.25" customHeight="1">
      <c r="J323" s="430"/>
      <c r="L323" s="431"/>
    </row>
    <row r="324" ht="14.25" customHeight="1">
      <c r="J324" s="430"/>
      <c r="L324" s="431"/>
    </row>
    <row r="325" ht="14.25" customHeight="1">
      <c r="J325" s="430"/>
      <c r="L325" s="431"/>
    </row>
    <row r="326" ht="14.25" customHeight="1">
      <c r="J326" s="430"/>
      <c r="L326" s="431"/>
    </row>
    <row r="327" ht="14.25" customHeight="1">
      <c r="J327" s="430"/>
      <c r="L327" s="431"/>
    </row>
    <row r="328" ht="14.25" customHeight="1">
      <c r="J328" s="430"/>
      <c r="L328" s="431"/>
    </row>
    <row r="329" ht="14.25" customHeight="1">
      <c r="J329" s="430"/>
      <c r="L329" s="431"/>
    </row>
    <row r="330" ht="14.25" customHeight="1">
      <c r="J330" s="430"/>
      <c r="L330" s="431"/>
    </row>
    <row r="331" ht="14.25" customHeight="1">
      <c r="J331" s="430"/>
      <c r="L331" s="431"/>
    </row>
    <row r="332" ht="14.25" customHeight="1">
      <c r="J332" s="430"/>
      <c r="L332" s="431"/>
    </row>
    <row r="333" ht="14.25" customHeight="1">
      <c r="J333" s="430"/>
      <c r="L333" s="431"/>
    </row>
    <row r="334" ht="14.25" customHeight="1">
      <c r="J334" s="430"/>
      <c r="L334" s="431"/>
    </row>
    <row r="335" ht="14.25" customHeight="1">
      <c r="J335" s="430"/>
      <c r="L335" s="431"/>
    </row>
    <row r="336" ht="14.25" customHeight="1">
      <c r="J336" s="430"/>
      <c r="L336" s="431"/>
    </row>
    <row r="337" ht="14.25" customHeight="1">
      <c r="J337" s="430"/>
      <c r="L337" s="431"/>
    </row>
    <row r="338" ht="14.25" customHeight="1">
      <c r="J338" s="430"/>
      <c r="L338" s="431"/>
    </row>
    <row r="339" ht="14.25" customHeight="1">
      <c r="J339" s="430"/>
      <c r="L339" s="431"/>
    </row>
    <row r="340" ht="14.25" customHeight="1">
      <c r="J340" s="430"/>
      <c r="L340" s="431"/>
    </row>
    <row r="341" ht="14.25" customHeight="1">
      <c r="J341" s="430"/>
      <c r="L341" s="431"/>
    </row>
    <row r="342" ht="14.25" customHeight="1">
      <c r="J342" s="430"/>
      <c r="L342" s="431"/>
    </row>
    <row r="343" ht="14.25" customHeight="1">
      <c r="J343" s="430"/>
      <c r="L343" s="431"/>
    </row>
    <row r="344" ht="14.25" customHeight="1">
      <c r="J344" s="430"/>
      <c r="L344" s="431"/>
    </row>
    <row r="345" ht="14.25" customHeight="1">
      <c r="J345" s="430"/>
      <c r="L345" s="431"/>
    </row>
    <row r="346" ht="14.25" customHeight="1">
      <c r="J346" s="430"/>
      <c r="L346" s="431"/>
    </row>
    <row r="347" ht="14.25" customHeight="1">
      <c r="J347" s="430"/>
      <c r="L347" s="431"/>
    </row>
    <row r="348" ht="14.25" customHeight="1">
      <c r="J348" s="430"/>
      <c r="L348" s="431"/>
    </row>
    <row r="349" ht="14.25" customHeight="1">
      <c r="J349" s="430"/>
      <c r="L349" s="431"/>
    </row>
    <row r="350" ht="14.25" customHeight="1">
      <c r="J350" s="430"/>
      <c r="L350" s="431"/>
    </row>
    <row r="351" ht="14.25" customHeight="1">
      <c r="J351" s="430"/>
      <c r="L351" s="431"/>
    </row>
    <row r="352" ht="14.25" customHeight="1">
      <c r="J352" s="430"/>
      <c r="L352" s="431"/>
    </row>
    <row r="353" ht="14.25" customHeight="1">
      <c r="J353" s="430"/>
      <c r="L353" s="431"/>
    </row>
    <row r="354" ht="14.25" customHeight="1">
      <c r="J354" s="430"/>
      <c r="L354" s="431"/>
    </row>
    <row r="355" ht="14.25" customHeight="1">
      <c r="J355" s="430"/>
      <c r="L355" s="431"/>
    </row>
    <row r="356" ht="14.25" customHeight="1">
      <c r="J356" s="430"/>
      <c r="L356" s="431"/>
    </row>
    <row r="357" ht="14.25" customHeight="1">
      <c r="J357" s="430"/>
      <c r="L357" s="431"/>
    </row>
    <row r="358" ht="14.25" customHeight="1">
      <c r="J358" s="430"/>
      <c r="L358" s="431"/>
    </row>
    <row r="359" ht="14.25" customHeight="1">
      <c r="J359" s="430"/>
      <c r="L359" s="431"/>
    </row>
    <row r="360" ht="14.25" customHeight="1">
      <c r="J360" s="430"/>
      <c r="L360" s="431"/>
    </row>
    <row r="361" ht="14.25" customHeight="1">
      <c r="J361" s="430"/>
      <c r="L361" s="431"/>
    </row>
    <row r="362" ht="14.25" customHeight="1">
      <c r="J362" s="430"/>
      <c r="L362" s="431"/>
    </row>
    <row r="363" ht="14.25" customHeight="1">
      <c r="J363" s="430"/>
      <c r="L363" s="431"/>
    </row>
    <row r="364" ht="14.25" customHeight="1">
      <c r="J364" s="430"/>
      <c r="L364" s="431"/>
    </row>
    <row r="365" ht="14.25" customHeight="1">
      <c r="J365" s="430"/>
      <c r="L365" s="431"/>
    </row>
    <row r="366" ht="14.25" customHeight="1">
      <c r="J366" s="430"/>
      <c r="L366" s="431"/>
    </row>
    <row r="367" ht="14.25" customHeight="1">
      <c r="J367" s="430"/>
      <c r="L367" s="431"/>
    </row>
    <row r="368" ht="14.25" customHeight="1">
      <c r="J368" s="430"/>
      <c r="L368" s="431"/>
    </row>
    <row r="369" ht="14.25" customHeight="1">
      <c r="J369" s="430"/>
      <c r="L369" s="431"/>
    </row>
    <row r="370" ht="14.25" customHeight="1">
      <c r="J370" s="430"/>
      <c r="L370" s="431"/>
    </row>
    <row r="371" ht="14.25" customHeight="1">
      <c r="J371" s="430"/>
      <c r="L371" s="431"/>
    </row>
    <row r="372" ht="14.25" customHeight="1">
      <c r="J372" s="430"/>
      <c r="L372" s="431"/>
    </row>
    <row r="373" ht="14.25" customHeight="1">
      <c r="J373" s="430"/>
      <c r="L373" s="431"/>
    </row>
    <row r="374" ht="14.25" customHeight="1">
      <c r="J374" s="430"/>
      <c r="L374" s="431"/>
    </row>
    <row r="375" ht="14.25" customHeight="1">
      <c r="J375" s="430"/>
      <c r="L375" s="431"/>
    </row>
    <row r="376" ht="14.25" customHeight="1">
      <c r="J376" s="430"/>
      <c r="L376" s="431"/>
    </row>
    <row r="377" ht="14.25" customHeight="1">
      <c r="J377" s="430"/>
      <c r="L377" s="431"/>
    </row>
    <row r="378" ht="14.25" customHeight="1">
      <c r="J378" s="430"/>
      <c r="L378" s="431"/>
    </row>
    <row r="379" ht="14.25" customHeight="1">
      <c r="J379" s="430"/>
      <c r="L379" s="431"/>
    </row>
    <row r="380" ht="14.25" customHeight="1">
      <c r="J380" s="430"/>
      <c r="L380" s="431"/>
    </row>
    <row r="381" ht="14.25" customHeight="1">
      <c r="J381" s="430"/>
      <c r="L381" s="431"/>
    </row>
    <row r="382" ht="14.25" customHeight="1">
      <c r="J382" s="430"/>
      <c r="L382" s="431"/>
    </row>
    <row r="383" ht="14.25" customHeight="1">
      <c r="J383" s="430"/>
      <c r="L383" s="431"/>
    </row>
    <row r="384" ht="14.25" customHeight="1">
      <c r="J384" s="430"/>
      <c r="L384" s="431"/>
    </row>
    <row r="385" ht="14.25" customHeight="1">
      <c r="J385" s="430"/>
      <c r="L385" s="431"/>
    </row>
    <row r="386" ht="14.25" customHeight="1">
      <c r="J386" s="430"/>
      <c r="L386" s="431"/>
    </row>
    <row r="387" ht="14.25" customHeight="1">
      <c r="J387" s="430"/>
      <c r="L387" s="431"/>
    </row>
    <row r="388" ht="14.25" customHeight="1">
      <c r="J388" s="430"/>
      <c r="L388" s="431"/>
    </row>
    <row r="389" ht="14.25" customHeight="1">
      <c r="J389" s="430"/>
      <c r="L389" s="431"/>
    </row>
    <row r="390" ht="14.25" customHeight="1">
      <c r="J390" s="430"/>
      <c r="L390" s="431"/>
    </row>
    <row r="391" ht="14.25" customHeight="1">
      <c r="J391" s="430"/>
      <c r="L391" s="431"/>
    </row>
    <row r="392" ht="14.25" customHeight="1">
      <c r="J392" s="430"/>
      <c r="L392" s="431"/>
    </row>
    <row r="393" ht="14.25" customHeight="1">
      <c r="J393" s="430"/>
      <c r="L393" s="431"/>
    </row>
    <row r="394" ht="14.25" customHeight="1">
      <c r="J394" s="430"/>
      <c r="L394" s="431"/>
    </row>
    <row r="395" ht="14.25" customHeight="1">
      <c r="J395" s="430"/>
      <c r="L395" s="431"/>
    </row>
    <row r="396" ht="14.25" customHeight="1">
      <c r="J396" s="430"/>
      <c r="L396" s="431"/>
    </row>
    <row r="397" ht="14.25" customHeight="1">
      <c r="J397" s="430"/>
      <c r="L397" s="431"/>
    </row>
    <row r="398" ht="14.25" customHeight="1">
      <c r="J398" s="430"/>
      <c r="L398" s="431"/>
    </row>
    <row r="399" ht="14.25" customHeight="1">
      <c r="J399" s="430"/>
      <c r="L399" s="431"/>
    </row>
    <row r="400" ht="14.25" customHeight="1">
      <c r="J400" s="430"/>
      <c r="L400" s="431"/>
    </row>
    <row r="401" ht="14.25" customHeight="1">
      <c r="J401" s="430"/>
      <c r="L401" s="431"/>
    </row>
    <row r="402" ht="14.25" customHeight="1">
      <c r="J402" s="430"/>
      <c r="L402" s="431"/>
    </row>
    <row r="403" ht="14.25" customHeight="1">
      <c r="J403" s="430"/>
      <c r="L403" s="431"/>
    </row>
    <row r="404" ht="14.25" customHeight="1">
      <c r="J404" s="430"/>
      <c r="L404" s="431"/>
    </row>
    <row r="405" ht="14.25" customHeight="1">
      <c r="J405" s="430"/>
      <c r="L405" s="431"/>
    </row>
    <row r="406" ht="14.25" customHeight="1">
      <c r="J406" s="430"/>
      <c r="L406" s="431"/>
    </row>
    <row r="407" ht="14.25" customHeight="1">
      <c r="J407" s="430"/>
      <c r="L407" s="431"/>
    </row>
    <row r="408" ht="14.25" customHeight="1">
      <c r="J408" s="430"/>
      <c r="L408" s="431"/>
    </row>
    <row r="409" ht="14.25" customHeight="1">
      <c r="J409" s="430"/>
      <c r="L409" s="431"/>
    </row>
    <row r="410" ht="14.25" customHeight="1">
      <c r="J410" s="430"/>
      <c r="L410" s="431"/>
    </row>
    <row r="411" ht="14.25" customHeight="1">
      <c r="J411" s="430"/>
      <c r="L411" s="431"/>
    </row>
    <row r="412" ht="14.25" customHeight="1">
      <c r="J412" s="430"/>
      <c r="L412" s="431"/>
    </row>
    <row r="413" ht="14.25" customHeight="1">
      <c r="J413" s="430"/>
      <c r="L413" s="431"/>
    </row>
    <row r="414" ht="14.25" customHeight="1">
      <c r="J414" s="430"/>
      <c r="L414" s="431"/>
    </row>
    <row r="415" ht="14.25" customHeight="1">
      <c r="J415" s="430"/>
      <c r="L415" s="431"/>
    </row>
    <row r="416" ht="14.25" customHeight="1">
      <c r="J416" s="430"/>
      <c r="L416" s="431"/>
    </row>
    <row r="417" ht="14.25" customHeight="1">
      <c r="J417" s="430"/>
      <c r="L417" s="431"/>
    </row>
    <row r="418" ht="14.25" customHeight="1">
      <c r="J418" s="430"/>
      <c r="L418" s="431"/>
    </row>
    <row r="419" ht="14.25" customHeight="1">
      <c r="J419" s="430"/>
      <c r="L419" s="431"/>
    </row>
    <row r="420" ht="14.25" customHeight="1">
      <c r="J420" s="430"/>
      <c r="L420" s="431"/>
    </row>
    <row r="421" ht="14.25" customHeight="1">
      <c r="J421" s="430"/>
      <c r="L421" s="431"/>
    </row>
    <row r="422" ht="14.25" customHeight="1">
      <c r="J422" s="430"/>
      <c r="L422" s="431"/>
    </row>
    <row r="423" ht="14.25" customHeight="1">
      <c r="J423" s="430"/>
      <c r="L423" s="431"/>
    </row>
    <row r="424" ht="14.25" customHeight="1">
      <c r="J424" s="430"/>
      <c r="L424" s="431"/>
    </row>
    <row r="425" ht="14.25" customHeight="1">
      <c r="J425" s="430"/>
      <c r="L425" s="431"/>
    </row>
    <row r="426" ht="14.25" customHeight="1">
      <c r="J426" s="430"/>
      <c r="L426" s="431"/>
    </row>
    <row r="427" ht="14.25" customHeight="1">
      <c r="J427" s="430"/>
      <c r="L427" s="431"/>
    </row>
    <row r="428" ht="14.25" customHeight="1">
      <c r="J428" s="430"/>
      <c r="L428" s="431"/>
    </row>
    <row r="429" ht="14.25" customHeight="1">
      <c r="J429" s="430"/>
      <c r="L429" s="431"/>
    </row>
    <row r="430" ht="14.25" customHeight="1">
      <c r="J430" s="430"/>
      <c r="L430" s="431"/>
    </row>
    <row r="431" ht="14.25" customHeight="1">
      <c r="J431" s="430"/>
      <c r="L431" s="431"/>
    </row>
    <row r="432" ht="14.25" customHeight="1">
      <c r="J432" s="430"/>
      <c r="L432" s="431"/>
    </row>
    <row r="433" ht="14.25" customHeight="1">
      <c r="J433" s="430"/>
      <c r="L433" s="431"/>
    </row>
    <row r="434" ht="14.25" customHeight="1">
      <c r="J434" s="430"/>
      <c r="L434" s="431"/>
    </row>
    <row r="435" ht="14.25" customHeight="1">
      <c r="J435" s="430"/>
      <c r="L435" s="431"/>
    </row>
    <row r="436" ht="14.25" customHeight="1">
      <c r="J436" s="430"/>
      <c r="L436" s="431"/>
    </row>
    <row r="437" ht="14.25" customHeight="1">
      <c r="J437" s="430"/>
      <c r="L437" s="431"/>
    </row>
    <row r="438" ht="14.25" customHeight="1">
      <c r="J438" s="430"/>
      <c r="L438" s="431"/>
    </row>
    <row r="439" ht="14.25" customHeight="1">
      <c r="J439" s="430"/>
      <c r="L439" s="431"/>
    </row>
    <row r="440" ht="14.25" customHeight="1">
      <c r="J440" s="430"/>
      <c r="L440" s="431"/>
    </row>
    <row r="441" ht="14.25" customHeight="1">
      <c r="J441" s="430"/>
      <c r="L441" s="431"/>
    </row>
    <row r="442" ht="14.25" customHeight="1">
      <c r="J442" s="430"/>
      <c r="L442" s="431"/>
    </row>
    <row r="443" ht="14.25" customHeight="1">
      <c r="J443" s="430"/>
      <c r="L443" s="431"/>
    </row>
    <row r="444" ht="14.25" customHeight="1">
      <c r="J444" s="430"/>
      <c r="L444" s="431"/>
    </row>
    <row r="445" ht="14.25" customHeight="1">
      <c r="J445" s="430"/>
      <c r="L445" s="431"/>
    </row>
    <row r="446" ht="14.25" customHeight="1">
      <c r="J446" s="430"/>
      <c r="L446" s="431"/>
    </row>
    <row r="447" ht="14.25" customHeight="1">
      <c r="J447" s="430"/>
      <c r="L447" s="431"/>
    </row>
    <row r="448" ht="14.25" customHeight="1">
      <c r="J448" s="430"/>
      <c r="L448" s="431"/>
    </row>
    <row r="449" ht="14.25" customHeight="1">
      <c r="J449" s="430"/>
      <c r="L449" s="431"/>
    </row>
    <row r="450" ht="14.25" customHeight="1">
      <c r="J450" s="430"/>
      <c r="L450" s="431"/>
    </row>
    <row r="451" ht="14.25" customHeight="1">
      <c r="J451" s="430"/>
      <c r="L451" s="431"/>
    </row>
    <row r="452" ht="14.25" customHeight="1">
      <c r="J452" s="430"/>
      <c r="L452" s="431"/>
    </row>
    <row r="453" ht="14.25" customHeight="1">
      <c r="J453" s="430"/>
      <c r="L453" s="431"/>
    </row>
    <row r="454" ht="14.25" customHeight="1">
      <c r="J454" s="430"/>
      <c r="L454" s="431"/>
    </row>
    <row r="455" ht="14.25" customHeight="1">
      <c r="J455" s="430"/>
      <c r="L455" s="431"/>
    </row>
    <row r="456" ht="14.25" customHeight="1">
      <c r="J456" s="430"/>
      <c r="L456" s="431"/>
    </row>
    <row r="457" ht="14.25" customHeight="1">
      <c r="J457" s="430"/>
      <c r="L457" s="431"/>
    </row>
    <row r="458" ht="14.25" customHeight="1">
      <c r="J458" s="430"/>
      <c r="L458" s="431"/>
    </row>
    <row r="459" ht="14.25" customHeight="1">
      <c r="J459" s="430"/>
      <c r="L459" s="431"/>
    </row>
    <row r="460" ht="14.25" customHeight="1">
      <c r="J460" s="430"/>
      <c r="L460" s="431"/>
    </row>
    <row r="461" ht="14.25" customHeight="1">
      <c r="J461" s="430"/>
      <c r="L461" s="431"/>
    </row>
    <row r="462" ht="14.25" customHeight="1">
      <c r="J462" s="430"/>
      <c r="L462" s="431"/>
    </row>
    <row r="463" ht="14.25" customHeight="1">
      <c r="J463" s="430"/>
      <c r="L463" s="431"/>
    </row>
    <row r="464" ht="14.25" customHeight="1">
      <c r="J464" s="430"/>
      <c r="L464" s="431"/>
    </row>
    <row r="465" ht="14.25" customHeight="1">
      <c r="J465" s="430"/>
      <c r="L465" s="431"/>
    </row>
    <row r="466" ht="14.25" customHeight="1">
      <c r="J466" s="430"/>
      <c r="L466" s="431"/>
    </row>
    <row r="467" ht="14.25" customHeight="1">
      <c r="J467" s="430"/>
      <c r="L467" s="431"/>
    </row>
    <row r="468" ht="14.25" customHeight="1">
      <c r="J468" s="430"/>
      <c r="L468" s="431"/>
    </row>
    <row r="469" ht="14.25" customHeight="1">
      <c r="J469" s="430"/>
      <c r="L469" s="431"/>
    </row>
    <row r="470" ht="14.25" customHeight="1">
      <c r="J470" s="430"/>
      <c r="L470" s="431"/>
    </row>
    <row r="471" ht="14.25" customHeight="1">
      <c r="J471" s="430"/>
      <c r="L471" s="431"/>
    </row>
    <row r="472" ht="14.25" customHeight="1">
      <c r="J472" s="430"/>
      <c r="L472" s="431"/>
    </row>
    <row r="473" ht="14.25" customHeight="1">
      <c r="J473" s="430"/>
      <c r="L473" s="431"/>
    </row>
    <row r="474" ht="14.25" customHeight="1">
      <c r="J474" s="430"/>
      <c r="L474" s="431"/>
    </row>
    <row r="475" ht="14.25" customHeight="1">
      <c r="J475" s="430"/>
      <c r="L475" s="431"/>
    </row>
    <row r="476" ht="14.25" customHeight="1">
      <c r="J476" s="430"/>
      <c r="L476" s="431"/>
    </row>
    <row r="477" ht="14.25" customHeight="1">
      <c r="J477" s="430"/>
      <c r="L477" s="431"/>
    </row>
    <row r="478" ht="14.25" customHeight="1">
      <c r="J478" s="430"/>
      <c r="L478" s="431"/>
    </row>
    <row r="479" ht="14.25" customHeight="1">
      <c r="J479" s="430"/>
      <c r="L479" s="431"/>
    </row>
    <row r="480" ht="14.25" customHeight="1">
      <c r="J480" s="430"/>
      <c r="L480" s="431"/>
    </row>
    <row r="481" ht="14.25" customHeight="1">
      <c r="J481" s="430"/>
      <c r="L481" s="431"/>
    </row>
    <row r="482" ht="14.25" customHeight="1">
      <c r="J482" s="430"/>
      <c r="L482" s="431"/>
    </row>
    <row r="483" ht="14.25" customHeight="1">
      <c r="J483" s="430"/>
      <c r="L483" s="431"/>
    </row>
    <row r="484" ht="14.25" customHeight="1">
      <c r="J484" s="430"/>
      <c r="L484" s="431"/>
    </row>
    <row r="485" ht="14.25" customHeight="1">
      <c r="J485" s="430"/>
      <c r="L485" s="431"/>
    </row>
    <row r="486" ht="14.25" customHeight="1">
      <c r="J486" s="430"/>
      <c r="L486" s="431"/>
    </row>
    <row r="487" ht="14.25" customHeight="1">
      <c r="J487" s="430"/>
      <c r="L487" s="431"/>
    </row>
    <row r="488" ht="14.25" customHeight="1">
      <c r="J488" s="430"/>
      <c r="L488" s="431"/>
    </row>
    <row r="489" ht="14.25" customHeight="1">
      <c r="J489" s="430"/>
      <c r="L489" s="431"/>
    </row>
    <row r="490" ht="14.25" customHeight="1">
      <c r="J490" s="430"/>
      <c r="L490" s="431"/>
    </row>
    <row r="491" ht="14.25" customHeight="1">
      <c r="J491" s="430"/>
      <c r="L491" s="431"/>
    </row>
    <row r="492" ht="14.25" customHeight="1">
      <c r="J492" s="430"/>
      <c r="L492" s="431"/>
    </row>
    <row r="493" ht="14.25" customHeight="1">
      <c r="J493" s="430"/>
      <c r="L493" s="431"/>
    </row>
    <row r="494" ht="14.25" customHeight="1">
      <c r="J494" s="430"/>
      <c r="L494" s="431"/>
    </row>
    <row r="495" ht="14.25" customHeight="1">
      <c r="J495" s="430"/>
      <c r="L495" s="431"/>
    </row>
    <row r="496" ht="14.25" customHeight="1">
      <c r="J496" s="430"/>
      <c r="L496" s="431"/>
    </row>
    <row r="497" ht="14.25" customHeight="1">
      <c r="J497" s="430"/>
      <c r="L497" s="431"/>
    </row>
    <row r="498" ht="14.25" customHeight="1">
      <c r="J498" s="430"/>
      <c r="L498" s="431"/>
    </row>
    <row r="499" ht="14.25" customHeight="1">
      <c r="J499" s="430"/>
      <c r="L499" s="431"/>
    </row>
    <row r="500" ht="14.25" customHeight="1">
      <c r="J500" s="430"/>
      <c r="L500" s="431"/>
    </row>
    <row r="501" ht="14.25" customHeight="1">
      <c r="J501" s="430"/>
      <c r="L501" s="431"/>
    </row>
    <row r="502" ht="14.25" customHeight="1">
      <c r="J502" s="430"/>
      <c r="L502" s="431"/>
    </row>
    <row r="503" ht="14.25" customHeight="1">
      <c r="J503" s="430"/>
      <c r="L503" s="431"/>
    </row>
    <row r="504" ht="14.25" customHeight="1">
      <c r="J504" s="430"/>
      <c r="L504" s="431"/>
    </row>
    <row r="505" ht="14.25" customHeight="1">
      <c r="J505" s="430"/>
      <c r="L505" s="431"/>
    </row>
    <row r="506" ht="14.25" customHeight="1">
      <c r="J506" s="430"/>
      <c r="L506" s="431"/>
    </row>
    <row r="507" ht="14.25" customHeight="1">
      <c r="J507" s="430"/>
      <c r="L507" s="431"/>
    </row>
    <row r="508" ht="14.25" customHeight="1">
      <c r="J508" s="430"/>
      <c r="L508" s="431"/>
    </row>
    <row r="509" ht="14.25" customHeight="1">
      <c r="J509" s="430"/>
      <c r="L509" s="431"/>
    </row>
    <row r="510" ht="14.25" customHeight="1">
      <c r="J510" s="430"/>
      <c r="L510" s="431"/>
    </row>
    <row r="511" ht="14.25" customHeight="1">
      <c r="J511" s="430"/>
      <c r="L511" s="431"/>
    </row>
    <row r="512" ht="14.25" customHeight="1">
      <c r="J512" s="430"/>
      <c r="L512" s="431"/>
    </row>
    <row r="513" ht="14.25" customHeight="1">
      <c r="J513" s="430"/>
      <c r="L513" s="431"/>
    </row>
    <row r="514" ht="14.25" customHeight="1">
      <c r="J514" s="430"/>
      <c r="L514" s="431"/>
    </row>
    <row r="515" ht="14.25" customHeight="1">
      <c r="J515" s="430"/>
      <c r="L515" s="431"/>
    </row>
    <row r="516" ht="14.25" customHeight="1">
      <c r="J516" s="430"/>
      <c r="L516" s="431"/>
    </row>
    <row r="517" ht="14.25" customHeight="1">
      <c r="J517" s="430"/>
      <c r="L517" s="431"/>
    </row>
    <row r="518" ht="14.25" customHeight="1">
      <c r="J518" s="430"/>
      <c r="L518" s="431"/>
    </row>
    <row r="519" ht="14.25" customHeight="1">
      <c r="J519" s="430"/>
      <c r="L519" s="431"/>
    </row>
    <row r="520" ht="14.25" customHeight="1">
      <c r="J520" s="430"/>
      <c r="L520" s="431"/>
    </row>
    <row r="521" ht="14.25" customHeight="1">
      <c r="J521" s="430"/>
      <c r="L521" s="431"/>
    </row>
    <row r="522" ht="14.25" customHeight="1">
      <c r="J522" s="430"/>
      <c r="L522" s="431"/>
    </row>
    <row r="523" ht="14.25" customHeight="1">
      <c r="J523" s="430"/>
      <c r="L523" s="431"/>
    </row>
    <row r="524" ht="14.25" customHeight="1">
      <c r="J524" s="430"/>
      <c r="L524" s="431"/>
    </row>
    <row r="525" ht="14.25" customHeight="1">
      <c r="J525" s="430"/>
      <c r="L525" s="431"/>
    </row>
    <row r="526" ht="14.25" customHeight="1">
      <c r="J526" s="430"/>
      <c r="L526" s="431"/>
    </row>
    <row r="527" ht="14.25" customHeight="1">
      <c r="J527" s="430"/>
      <c r="L527" s="431"/>
    </row>
    <row r="528" ht="14.25" customHeight="1">
      <c r="J528" s="430"/>
      <c r="L528" s="431"/>
    </row>
    <row r="529" ht="14.25" customHeight="1">
      <c r="J529" s="430"/>
      <c r="L529" s="431"/>
    </row>
    <row r="530" ht="14.25" customHeight="1">
      <c r="J530" s="430"/>
      <c r="L530" s="431"/>
    </row>
    <row r="531" ht="14.25" customHeight="1">
      <c r="J531" s="430"/>
      <c r="L531" s="431"/>
    </row>
    <row r="532" ht="14.25" customHeight="1">
      <c r="J532" s="430"/>
      <c r="L532" s="431"/>
    </row>
    <row r="533" ht="14.25" customHeight="1">
      <c r="J533" s="430"/>
      <c r="L533" s="431"/>
    </row>
    <row r="534" ht="14.25" customHeight="1">
      <c r="J534" s="430"/>
      <c r="L534" s="431"/>
    </row>
    <row r="535" ht="14.25" customHeight="1">
      <c r="J535" s="430"/>
      <c r="L535" s="431"/>
    </row>
    <row r="536" ht="14.25" customHeight="1">
      <c r="J536" s="430"/>
      <c r="L536" s="431"/>
    </row>
    <row r="537" ht="14.25" customHeight="1">
      <c r="J537" s="430"/>
      <c r="L537" s="431"/>
    </row>
    <row r="538" ht="14.25" customHeight="1">
      <c r="J538" s="430"/>
      <c r="L538" s="431"/>
    </row>
    <row r="539" ht="14.25" customHeight="1">
      <c r="J539" s="430"/>
      <c r="L539" s="431"/>
    </row>
    <row r="540" ht="14.25" customHeight="1">
      <c r="J540" s="430"/>
      <c r="L540" s="431"/>
    </row>
    <row r="541" ht="14.25" customHeight="1">
      <c r="J541" s="430"/>
      <c r="L541" s="431"/>
    </row>
    <row r="542" ht="14.25" customHeight="1">
      <c r="J542" s="430"/>
      <c r="L542" s="431"/>
    </row>
    <row r="543" ht="14.25" customHeight="1">
      <c r="J543" s="430"/>
      <c r="L543" s="431"/>
    </row>
    <row r="544" ht="14.25" customHeight="1">
      <c r="J544" s="430"/>
      <c r="L544" s="431"/>
    </row>
    <row r="545" ht="14.25" customHeight="1">
      <c r="J545" s="430"/>
      <c r="L545" s="431"/>
    </row>
    <row r="546" ht="14.25" customHeight="1">
      <c r="J546" s="430"/>
      <c r="L546" s="431"/>
    </row>
    <row r="547" ht="14.25" customHeight="1">
      <c r="J547" s="430"/>
      <c r="L547" s="431"/>
    </row>
    <row r="548" ht="14.25" customHeight="1">
      <c r="J548" s="430"/>
      <c r="L548" s="431"/>
    </row>
    <row r="549" ht="14.25" customHeight="1">
      <c r="J549" s="430"/>
      <c r="L549" s="431"/>
    </row>
    <row r="550" ht="14.25" customHeight="1">
      <c r="J550" s="430"/>
      <c r="L550" s="431"/>
    </row>
    <row r="551" ht="14.25" customHeight="1">
      <c r="J551" s="430"/>
      <c r="L551" s="431"/>
    </row>
    <row r="552" ht="14.25" customHeight="1">
      <c r="J552" s="430"/>
      <c r="L552" s="431"/>
    </row>
    <row r="553" ht="14.25" customHeight="1">
      <c r="J553" s="430"/>
      <c r="L553" s="431"/>
    </row>
    <row r="554" ht="14.25" customHeight="1">
      <c r="J554" s="430"/>
      <c r="L554" s="431"/>
    </row>
    <row r="555" ht="14.25" customHeight="1">
      <c r="J555" s="430"/>
      <c r="L555" s="431"/>
    </row>
    <row r="556" ht="14.25" customHeight="1">
      <c r="J556" s="430"/>
      <c r="L556" s="431"/>
    </row>
    <row r="557" ht="14.25" customHeight="1">
      <c r="J557" s="430"/>
      <c r="L557" s="431"/>
    </row>
    <row r="558" ht="14.25" customHeight="1">
      <c r="J558" s="430"/>
      <c r="L558" s="431"/>
    </row>
    <row r="559" ht="14.25" customHeight="1">
      <c r="J559" s="430"/>
      <c r="L559" s="431"/>
    </row>
    <row r="560" ht="14.25" customHeight="1">
      <c r="J560" s="430"/>
      <c r="L560" s="431"/>
    </row>
    <row r="561" ht="14.25" customHeight="1">
      <c r="J561" s="430"/>
      <c r="L561" s="431"/>
    </row>
    <row r="562" ht="14.25" customHeight="1">
      <c r="J562" s="430"/>
      <c r="L562" s="431"/>
    </row>
    <row r="563" ht="14.25" customHeight="1">
      <c r="J563" s="430"/>
      <c r="L563" s="431"/>
    </row>
    <row r="564" ht="14.25" customHeight="1">
      <c r="J564" s="430"/>
      <c r="L564" s="431"/>
    </row>
    <row r="565" ht="14.25" customHeight="1">
      <c r="J565" s="430"/>
      <c r="L565" s="431"/>
    </row>
    <row r="566" ht="14.25" customHeight="1">
      <c r="J566" s="430"/>
      <c r="L566" s="431"/>
    </row>
    <row r="567" ht="14.25" customHeight="1">
      <c r="J567" s="430"/>
      <c r="L567" s="431"/>
    </row>
    <row r="568" ht="14.25" customHeight="1">
      <c r="J568" s="430"/>
      <c r="L568" s="431"/>
    </row>
    <row r="569" ht="14.25" customHeight="1">
      <c r="J569" s="430"/>
      <c r="L569" s="431"/>
    </row>
    <row r="570" ht="14.25" customHeight="1">
      <c r="J570" s="430"/>
      <c r="L570" s="431"/>
    </row>
    <row r="571" ht="14.25" customHeight="1">
      <c r="J571" s="430"/>
      <c r="L571" s="431"/>
    </row>
    <row r="572" ht="14.25" customHeight="1">
      <c r="J572" s="430"/>
      <c r="L572" s="431"/>
    </row>
    <row r="573" ht="14.25" customHeight="1">
      <c r="J573" s="430"/>
      <c r="L573" s="431"/>
    </row>
    <row r="574" ht="14.25" customHeight="1">
      <c r="J574" s="430"/>
      <c r="L574" s="431"/>
    </row>
    <row r="575" ht="14.25" customHeight="1">
      <c r="J575" s="430"/>
      <c r="L575" s="431"/>
    </row>
    <row r="576" ht="14.25" customHeight="1">
      <c r="J576" s="430"/>
      <c r="L576" s="431"/>
    </row>
    <row r="577" ht="14.25" customHeight="1">
      <c r="J577" s="430"/>
      <c r="L577" s="431"/>
    </row>
    <row r="578" ht="14.25" customHeight="1">
      <c r="J578" s="430"/>
      <c r="L578" s="431"/>
    </row>
    <row r="579" ht="14.25" customHeight="1">
      <c r="J579" s="430"/>
      <c r="L579" s="431"/>
    </row>
    <row r="580" ht="14.25" customHeight="1">
      <c r="J580" s="430"/>
      <c r="L580" s="431"/>
    </row>
    <row r="581" ht="14.25" customHeight="1">
      <c r="J581" s="430"/>
      <c r="L581" s="431"/>
    </row>
    <row r="582" ht="14.25" customHeight="1">
      <c r="J582" s="430"/>
      <c r="L582" s="431"/>
    </row>
    <row r="583" ht="14.25" customHeight="1">
      <c r="J583" s="430"/>
      <c r="L583" s="431"/>
    </row>
    <row r="584" ht="14.25" customHeight="1">
      <c r="J584" s="430"/>
      <c r="L584" s="431"/>
    </row>
    <row r="585" ht="14.25" customHeight="1">
      <c r="J585" s="430"/>
      <c r="L585" s="431"/>
    </row>
    <row r="586" ht="14.25" customHeight="1">
      <c r="J586" s="430"/>
      <c r="L586" s="431"/>
    </row>
    <row r="587" ht="14.25" customHeight="1">
      <c r="J587" s="430"/>
      <c r="L587" s="431"/>
    </row>
    <row r="588" ht="14.25" customHeight="1">
      <c r="J588" s="430"/>
      <c r="L588" s="431"/>
    </row>
    <row r="589" ht="14.25" customHeight="1">
      <c r="J589" s="430"/>
      <c r="L589" s="431"/>
    </row>
    <row r="590" ht="14.25" customHeight="1">
      <c r="J590" s="430"/>
      <c r="L590" s="431"/>
    </row>
    <row r="591" ht="14.25" customHeight="1">
      <c r="J591" s="430"/>
      <c r="L591" s="431"/>
    </row>
    <row r="592" ht="14.25" customHeight="1">
      <c r="J592" s="430"/>
      <c r="L592" s="431"/>
    </row>
    <row r="593" ht="14.25" customHeight="1">
      <c r="J593" s="430"/>
      <c r="L593" s="431"/>
    </row>
    <row r="594" ht="14.25" customHeight="1">
      <c r="J594" s="430"/>
      <c r="L594" s="431"/>
    </row>
    <row r="595" ht="14.25" customHeight="1">
      <c r="J595" s="430"/>
      <c r="L595" s="431"/>
    </row>
    <row r="596" ht="14.25" customHeight="1">
      <c r="J596" s="430"/>
      <c r="L596" s="431"/>
    </row>
    <row r="597" ht="14.25" customHeight="1">
      <c r="J597" s="430"/>
      <c r="L597" s="431"/>
    </row>
    <row r="598" ht="14.25" customHeight="1">
      <c r="J598" s="430"/>
      <c r="L598" s="431"/>
    </row>
    <row r="599" ht="14.25" customHeight="1">
      <c r="J599" s="430"/>
      <c r="L599" s="431"/>
    </row>
    <row r="600" ht="14.25" customHeight="1">
      <c r="J600" s="430"/>
      <c r="L600" s="431"/>
    </row>
    <row r="601" ht="14.25" customHeight="1">
      <c r="J601" s="430"/>
      <c r="L601" s="431"/>
    </row>
    <row r="602" ht="14.25" customHeight="1">
      <c r="J602" s="430"/>
      <c r="L602" s="431"/>
    </row>
    <row r="603" ht="14.25" customHeight="1">
      <c r="J603" s="430"/>
      <c r="L603" s="431"/>
    </row>
    <row r="604" ht="14.25" customHeight="1">
      <c r="J604" s="430"/>
      <c r="L604" s="431"/>
    </row>
    <row r="605" ht="14.25" customHeight="1">
      <c r="J605" s="430"/>
      <c r="L605" s="431"/>
    </row>
    <row r="606" ht="14.25" customHeight="1">
      <c r="J606" s="430"/>
      <c r="L606" s="431"/>
    </row>
    <row r="607" ht="14.25" customHeight="1">
      <c r="J607" s="430"/>
      <c r="L607" s="431"/>
    </row>
    <row r="608" ht="14.25" customHeight="1">
      <c r="J608" s="430"/>
      <c r="L608" s="431"/>
    </row>
    <row r="609" ht="14.25" customHeight="1">
      <c r="J609" s="430"/>
      <c r="L609" s="431"/>
    </row>
    <row r="610" ht="14.25" customHeight="1">
      <c r="J610" s="430"/>
      <c r="L610" s="431"/>
    </row>
    <row r="611" ht="14.25" customHeight="1">
      <c r="J611" s="430"/>
      <c r="L611" s="431"/>
    </row>
    <row r="612" ht="14.25" customHeight="1">
      <c r="J612" s="430"/>
      <c r="L612" s="431"/>
    </row>
    <row r="613" ht="14.25" customHeight="1">
      <c r="J613" s="430"/>
      <c r="L613" s="431"/>
    </row>
    <row r="614" ht="14.25" customHeight="1">
      <c r="J614" s="430"/>
      <c r="L614" s="431"/>
    </row>
    <row r="615" ht="14.25" customHeight="1">
      <c r="J615" s="430"/>
      <c r="L615" s="431"/>
    </row>
    <row r="616" ht="14.25" customHeight="1">
      <c r="J616" s="430"/>
      <c r="L616" s="431"/>
    </row>
    <row r="617" ht="14.25" customHeight="1">
      <c r="J617" s="430"/>
      <c r="L617" s="431"/>
    </row>
    <row r="618" ht="14.25" customHeight="1">
      <c r="J618" s="430"/>
      <c r="L618" s="431"/>
    </row>
    <row r="619" ht="14.25" customHeight="1">
      <c r="J619" s="430"/>
      <c r="L619" s="431"/>
    </row>
    <row r="620" ht="14.25" customHeight="1">
      <c r="J620" s="430"/>
      <c r="L620" s="431"/>
    </row>
    <row r="621" ht="14.25" customHeight="1">
      <c r="J621" s="430"/>
      <c r="L621" s="431"/>
    </row>
    <row r="622" ht="14.25" customHeight="1">
      <c r="J622" s="430"/>
      <c r="L622" s="431"/>
    </row>
    <row r="623" ht="14.25" customHeight="1">
      <c r="J623" s="430"/>
      <c r="L623" s="431"/>
    </row>
    <row r="624" ht="14.25" customHeight="1">
      <c r="J624" s="430"/>
      <c r="L624" s="431"/>
    </row>
    <row r="625" ht="14.25" customHeight="1">
      <c r="J625" s="430"/>
      <c r="L625" s="431"/>
    </row>
    <row r="626" ht="14.25" customHeight="1">
      <c r="J626" s="430"/>
      <c r="L626" s="431"/>
    </row>
    <row r="627" ht="14.25" customHeight="1">
      <c r="J627" s="430"/>
      <c r="L627" s="431"/>
    </row>
    <row r="628" ht="14.25" customHeight="1">
      <c r="J628" s="430"/>
      <c r="L628" s="431"/>
    </row>
    <row r="629" ht="14.25" customHeight="1">
      <c r="J629" s="430"/>
      <c r="L629" s="431"/>
    </row>
    <row r="630" ht="14.25" customHeight="1">
      <c r="J630" s="430"/>
      <c r="L630" s="431"/>
    </row>
    <row r="631" ht="14.25" customHeight="1">
      <c r="J631" s="430"/>
      <c r="L631" s="431"/>
    </row>
    <row r="632" ht="14.25" customHeight="1">
      <c r="J632" s="430"/>
      <c r="L632" s="431"/>
    </row>
    <row r="633" ht="14.25" customHeight="1">
      <c r="J633" s="430"/>
      <c r="L633" s="431"/>
    </row>
    <row r="634" ht="14.25" customHeight="1">
      <c r="J634" s="430"/>
      <c r="L634" s="431"/>
    </row>
    <row r="635" ht="14.25" customHeight="1">
      <c r="J635" s="430"/>
      <c r="L635" s="431"/>
    </row>
    <row r="636" ht="14.25" customHeight="1">
      <c r="J636" s="430"/>
      <c r="L636" s="431"/>
    </row>
    <row r="637" ht="14.25" customHeight="1">
      <c r="J637" s="430"/>
      <c r="L637" s="431"/>
    </row>
    <row r="638" ht="14.25" customHeight="1">
      <c r="J638" s="430"/>
      <c r="L638" s="431"/>
    </row>
    <row r="639" ht="14.25" customHeight="1">
      <c r="J639" s="430"/>
      <c r="L639" s="431"/>
    </row>
    <row r="640" ht="14.25" customHeight="1">
      <c r="J640" s="430"/>
      <c r="L640" s="431"/>
    </row>
    <row r="641" ht="14.25" customHeight="1">
      <c r="J641" s="430"/>
      <c r="L641" s="431"/>
    </row>
    <row r="642" ht="14.25" customHeight="1">
      <c r="J642" s="430"/>
      <c r="L642" s="431"/>
    </row>
    <row r="643" ht="14.25" customHeight="1">
      <c r="J643" s="430"/>
      <c r="L643" s="431"/>
    </row>
    <row r="644" ht="14.25" customHeight="1">
      <c r="J644" s="430"/>
      <c r="L644" s="431"/>
    </row>
    <row r="645" ht="14.25" customHeight="1">
      <c r="J645" s="430"/>
      <c r="L645" s="431"/>
    </row>
    <row r="646" ht="14.25" customHeight="1">
      <c r="J646" s="430"/>
      <c r="L646" s="431"/>
    </row>
    <row r="647" ht="14.25" customHeight="1">
      <c r="J647" s="430"/>
      <c r="L647" s="431"/>
    </row>
    <row r="648" ht="14.25" customHeight="1">
      <c r="J648" s="430"/>
      <c r="L648" s="431"/>
    </row>
    <row r="649" ht="14.25" customHeight="1">
      <c r="J649" s="430"/>
      <c r="L649" s="431"/>
    </row>
    <row r="650" ht="14.25" customHeight="1">
      <c r="J650" s="430"/>
      <c r="L650" s="431"/>
    </row>
    <row r="651" ht="14.25" customHeight="1">
      <c r="J651" s="430"/>
      <c r="L651" s="431"/>
    </row>
    <row r="652" ht="14.25" customHeight="1">
      <c r="J652" s="430"/>
      <c r="L652" s="431"/>
    </row>
    <row r="653" ht="14.25" customHeight="1">
      <c r="J653" s="430"/>
      <c r="L653" s="431"/>
    </row>
    <row r="654" ht="14.25" customHeight="1">
      <c r="J654" s="430"/>
      <c r="L654" s="431"/>
    </row>
    <row r="655" ht="14.25" customHeight="1">
      <c r="J655" s="430"/>
      <c r="L655" s="431"/>
    </row>
    <row r="656" ht="14.25" customHeight="1">
      <c r="J656" s="430"/>
      <c r="L656" s="431"/>
    </row>
    <row r="657" ht="14.25" customHeight="1">
      <c r="J657" s="430"/>
      <c r="L657" s="431"/>
    </row>
    <row r="658" ht="14.25" customHeight="1">
      <c r="J658" s="430"/>
      <c r="L658" s="431"/>
    </row>
    <row r="659" ht="14.25" customHeight="1">
      <c r="J659" s="430"/>
      <c r="L659" s="431"/>
    </row>
    <row r="660" ht="14.25" customHeight="1">
      <c r="J660" s="430"/>
      <c r="L660" s="431"/>
    </row>
    <row r="661" ht="14.25" customHeight="1">
      <c r="J661" s="430"/>
      <c r="L661" s="431"/>
    </row>
    <row r="662" ht="14.25" customHeight="1">
      <c r="J662" s="430"/>
      <c r="L662" s="431"/>
    </row>
    <row r="663" ht="14.25" customHeight="1">
      <c r="J663" s="430"/>
      <c r="L663" s="431"/>
    </row>
    <row r="664" ht="14.25" customHeight="1">
      <c r="J664" s="430"/>
      <c r="L664" s="431"/>
    </row>
    <row r="665" ht="14.25" customHeight="1">
      <c r="J665" s="430"/>
      <c r="L665" s="431"/>
    </row>
    <row r="666" ht="14.25" customHeight="1">
      <c r="J666" s="430"/>
      <c r="L666" s="431"/>
    </row>
    <row r="667" ht="14.25" customHeight="1">
      <c r="J667" s="430"/>
      <c r="L667" s="431"/>
    </row>
    <row r="668" ht="14.25" customHeight="1">
      <c r="J668" s="430"/>
      <c r="L668" s="431"/>
    </row>
    <row r="669" ht="14.25" customHeight="1">
      <c r="J669" s="430"/>
      <c r="L669" s="431"/>
    </row>
    <row r="670" ht="14.25" customHeight="1">
      <c r="J670" s="430"/>
      <c r="L670" s="431"/>
    </row>
    <row r="671" ht="14.25" customHeight="1">
      <c r="J671" s="430"/>
      <c r="L671" s="431"/>
    </row>
    <row r="672" ht="14.25" customHeight="1">
      <c r="J672" s="430"/>
      <c r="L672" s="431"/>
    </row>
    <row r="673" ht="14.25" customHeight="1">
      <c r="J673" s="430"/>
      <c r="L673" s="431"/>
    </row>
    <row r="674" ht="14.25" customHeight="1">
      <c r="J674" s="430"/>
      <c r="L674" s="431"/>
    </row>
    <row r="675" ht="14.25" customHeight="1">
      <c r="J675" s="430"/>
      <c r="L675" s="431"/>
    </row>
    <row r="676" ht="14.25" customHeight="1">
      <c r="J676" s="430"/>
      <c r="L676" s="431"/>
    </row>
    <row r="677" ht="14.25" customHeight="1">
      <c r="J677" s="430"/>
      <c r="L677" s="431"/>
    </row>
    <row r="678" ht="14.25" customHeight="1">
      <c r="J678" s="430"/>
      <c r="L678" s="431"/>
    </row>
    <row r="679" ht="14.25" customHeight="1">
      <c r="J679" s="430"/>
      <c r="L679" s="431"/>
    </row>
    <row r="680" ht="14.25" customHeight="1">
      <c r="J680" s="430"/>
      <c r="L680" s="431"/>
    </row>
    <row r="681" ht="14.25" customHeight="1">
      <c r="J681" s="430"/>
      <c r="L681" s="431"/>
    </row>
    <row r="682" ht="14.25" customHeight="1">
      <c r="J682" s="430"/>
      <c r="L682" s="431"/>
    </row>
    <row r="683" ht="14.25" customHeight="1">
      <c r="J683" s="430"/>
      <c r="L683" s="431"/>
    </row>
    <row r="684" ht="14.25" customHeight="1">
      <c r="J684" s="430"/>
      <c r="L684" s="431"/>
    </row>
    <row r="685" ht="14.25" customHeight="1">
      <c r="J685" s="430"/>
      <c r="L685" s="431"/>
    </row>
    <row r="686" ht="14.25" customHeight="1">
      <c r="J686" s="430"/>
      <c r="L686" s="431"/>
    </row>
    <row r="687" ht="14.25" customHeight="1">
      <c r="J687" s="430"/>
      <c r="L687" s="431"/>
    </row>
    <row r="688" ht="14.25" customHeight="1">
      <c r="J688" s="430"/>
      <c r="L688" s="431"/>
    </row>
    <row r="689" ht="14.25" customHeight="1">
      <c r="J689" s="430"/>
      <c r="L689" s="431"/>
    </row>
    <row r="690" ht="14.25" customHeight="1">
      <c r="J690" s="430"/>
      <c r="L690" s="431"/>
    </row>
    <row r="691" ht="14.25" customHeight="1">
      <c r="J691" s="430"/>
      <c r="L691" s="431"/>
    </row>
    <row r="692" ht="14.25" customHeight="1">
      <c r="J692" s="430"/>
      <c r="L692" s="431"/>
    </row>
    <row r="693" ht="14.25" customHeight="1">
      <c r="J693" s="430"/>
      <c r="L693" s="431"/>
    </row>
    <row r="694" ht="14.25" customHeight="1">
      <c r="J694" s="430"/>
      <c r="L694" s="431"/>
    </row>
    <row r="695" ht="14.25" customHeight="1">
      <c r="J695" s="430"/>
      <c r="L695" s="431"/>
    </row>
    <row r="696" ht="14.25" customHeight="1">
      <c r="J696" s="430"/>
      <c r="L696" s="431"/>
    </row>
    <row r="697" ht="14.25" customHeight="1">
      <c r="J697" s="430"/>
      <c r="L697" s="431"/>
    </row>
    <row r="698" ht="14.25" customHeight="1">
      <c r="J698" s="430"/>
      <c r="L698" s="431"/>
    </row>
    <row r="699" ht="14.25" customHeight="1">
      <c r="J699" s="430"/>
      <c r="L699" s="431"/>
    </row>
    <row r="700" ht="14.25" customHeight="1">
      <c r="J700" s="430"/>
      <c r="L700" s="431"/>
    </row>
    <row r="701" ht="14.25" customHeight="1">
      <c r="J701" s="430"/>
      <c r="L701" s="431"/>
    </row>
    <row r="702" ht="14.25" customHeight="1">
      <c r="J702" s="430"/>
      <c r="L702" s="431"/>
    </row>
    <row r="703" ht="14.25" customHeight="1">
      <c r="J703" s="430"/>
      <c r="L703" s="431"/>
    </row>
    <row r="704" ht="14.25" customHeight="1">
      <c r="J704" s="430"/>
      <c r="L704" s="431"/>
    </row>
    <row r="705" ht="14.25" customHeight="1">
      <c r="J705" s="430"/>
      <c r="L705" s="431"/>
    </row>
    <row r="706" ht="14.25" customHeight="1">
      <c r="J706" s="430"/>
      <c r="L706" s="431"/>
    </row>
    <row r="707" ht="14.25" customHeight="1">
      <c r="J707" s="430"/>
      <c r="L707" s="431"/>
    </row>
    <row r="708" ht="14.25" customHeight="1">
      <c r="J708" s="430"/>
      <c r="L708" s="431"/>
    </row>
    <row r="709" ht="14.25" customHeight="1">
      <c r="J709" s="430"/>
      <c r="L709" s="431"/>
    </row>
    <row r="710" ht="14.25" customHeight="1">
      <c r="J710" s="430"/>
      <c r="L710" s="431"/>
    </row>
    <row r="711" ht="14.25" customHeight="1">
      <c r="J711" s="430"/>
      <c r="L711" s="431"/>
    </row>
    <row r="712" ht="14.25" customHeight="1">
      <c r="J712" s="430"/>
      <c r="L712" s="431"/>
    </row>
    <row r="713" ht="14.25" customHeight="1">
      <c r="J713" s="430"/>
      <c r="L713" s="431"/>
    </row>
    <row r="714" ht="14.25" customHeight="1">
      <c r="J714" s="430"/>
      <c r="L714" s="431"/>
    </row>
    <row r="715" ht="14.25" customHeight="1">
      <c r="J715" s="430"/>
      <c r="L715" s="431"/>
    </row>
    <row r="716" ht="14.25" customHeight="1">
      <c r="J716" s="430"/>
      <c r="L716" s="431"/>
    </row>
    <row r="717" ht="14.25" customHeight="1">
      <c r="J717" s="430"/>
      <c r="L717" s="431"/>
    </row>
    <row r="718" ht="14.25" customHeight="1">
      <c r="J718" s="430"/>
      <c r="L718" s="431"/>
    </row>
    <row r="719" ht="14.25" customHeight="1">
      <c r="J719" s="430"/>
      <c r="L719" s="431"/>
    </row>
    <row r="720" ht="14.25" customHeight="1">
      <c r="J720" s="430"/>
      <c r="L720" s="431"/>
    </row>
    <row r="721" ht="14.25" customHeight="1">
      <c r="J721" s="430"/>
      <c r="L721" s="431"/>
    </row>
    <row r="722" ht="14.25" customHeight="1">
      <c r="J722" s="430"/>
      <c r="L722" s="431"/>
    </row>
    <row r="723" ht="14.25" customHeight="1">
      <c r="J723" s="430"/>
      <c r="L723" s="431"/>
    </row>
    <row r="724" ht="14.25" customHeight="1">
      <c r="J724" s="430"/>
      <c r="L724" s="431"/>
    </row>
    <row r="725" ht="14.25" customHeight="1">
      <c r="J725" s="430"/>
      <c r="L725" s="431"/>
    </row>
    <row r="726" ht="14.25" customHeight="1">
      <c r="J726" s="430"/>
      <c r="L726" s="431"/>
    </row>
    <row r="727" ht="14.25" customHeight="1">
      <c r="J727" s="430"/>
      <c r="L727" s="431"/>
    </row>
    <row r="728" ht="14.25" customHeight="1">
      <c r="J728" s="430"/>
      <c r="L728" s="431"/>
    </row>
    <row r="729" ht="14.25" customHeight="1">
      <c r="J729" s="430"/>
      <c r="L729" s="431"/>
    </row>
    <row r="730" ht="14.25" customHeight="1">
      <c r="J730" s="430"/>
      <c r="L730" s="431"/>
    </row>
    <row r="731" ht="14.25" customHeight="1">
      <c r="J731" s="430"/>
      <c r="L731" s="431"/>
    </row>
    <row r="732" ht="14.25" customHeight="1">
      <c r="J732" s="430"/>
      <c r="L732" s="431"/>
    </row>
    <row r="733" ht="14.25" customHeight="1">
      <c r="J733" s="430"/>
      <c r="L733" s="431"/>
    </row>
    <row r="734" ht="14.25" customHeight="1">
      <c r="J734" s="430"/>
      <c r="L734" s="431"/>
    </row>
    <row r="735" ht="14.25" customHeight="1">
      <c r="J735" s="430"/>
      <c r="L735" s="431"/>
    </row>
    <row r="736" ht="14.25" customHeight="1">
      <c r="J736" s="430"/>
      <c r="L736" s="431"/>
    </row>
    <row r="737" ht="14.25" customHeight="1">
      <c r="J737" s="430"/>
      <c r="L737" s="431"/>
    </row>
    <row r="738" ht="14.25" customHeight="1">
      <c r="J738" s="430"/>
      <c r="L738" s="431"/>
    </row>
    <row r="739" ht="14.25" customHeight="1">
      <c r="J739" s="430"/>
      <c r="L739" s="431"/>
    </row>
    <row r="740" ht="14.25" customHeight="1">
      <c r="J740" s="430"/>
      <c r="L740" s="431"/>
    </row>
    <row r="741" ht="14.25" customHeight="1">
      <c r="J741" s="430"/>
      <c r="L741" s="431"/>
    </row>
    <row r="742" ht="14.25" customHeight="1">
      <c r="J742" s="430"/>
      <c r="L742" s="431"/>
    </row>
    <row r="743" ht="14.25" customHeight="1">
      <c r="J743" s="430"/>
      <c r="L743" s="431"/>
    </row>
    <row r="744" ht="14.25" customHeight="1">
      <c r="J744" s="430"/>
      <c r="L744" s="431"/>
    </row>
    <row r="745" ht="14.25" customHeight="1">
      <c r="J745" s="430"/>
      <c r="L745" s="431"/>
    </row>
    <row r="746" ht="14.25" customHeight="1">
      <c r="J746" s="430"/>
      <c r="L746" s="431"/>
    </row>
    <row r="747" ht="14.25" customHeight="1">
      <c r="J747" s="430"/>
      <c r="L747" s="431"/>
    </row>
    <row r="748" ht="14.25" customHeight="1">
      <c r="J748" s="430"/>
      <c r="L748" s="431"/>
    </row>
    <row r="749" ht="14.25" customHeight="1">
      <c r="J749" s="430"/>
      <c r="L749" s="431"/>
    </row>
    <row r="750" ht="14.25" customHeight="1">
      <c r="J750" s="430"/>
      <c r="L750" s="431"/>
    </row>
    <row r="751" ht="14.25" customHeight="1">
      <c r="J751" s="430"/>
      <c r="L751" s="431"/>
    </row>
    <row r="752" ht="14.25" customHeight="1">
      <c r="J752" s="430"/>
      <c r="L752" s="431"/>
    </row>
    <row r="753" ht="14.25" customHeight="1">
      <c r="J753" s="430"/>
      <c r="L753" s="431"/>
    </row>
    <row r="754" ht="14.25" customHeight="1">
      <c r="J754" s="430"/>
      <c r="L754" s="431"/>
    </row>
    <row r="755" ht="14.25" customHeight="1">
      <c r="J755" s="430"/>
      <c r="L755" s="431"/>
    </row>
    <row r="756" ht="14.25" customHeight="1">
      <c r="J756" s="430"/>
      <c r="L756" s="431"/>
    </row>
    <row r="757" ht="14.25" customHeight="1">
      <c r="J757" s="430"/>
      <c r="L757" s="431"/>
    </row>
    <row r="758" ht="14.25" customHeight="1">
      <c r="J758" s="430"/>
      <c r="L758" s="431"/>
    </row>
    <row r="759" ht="14.25" customHeight="1">
      <c r="J759" s="430"/>
      <c r="L759" s="431"/>
    </row>
    <row r="760" ht="14.25" customHeight="1">
      <c r="J760" s="430"/>
      <c r="L760" s="431"/>
    </row>
    <row r="761" ht="14.25" customHeight="1">
      <c r="J761" s="430"/>
      <c r="L761" s="431"/>
    </row>
    <row r="762" ht="14.25" customHeight="1">
      <c r="J762" s="430"/>
      <c r="L762" s="431"/>
    </row>
    <row r="763" ht="14.25" customHeight="1">
      <c r="J763" s="430"/>
      <c r="L763" s="431"/>
    </row>
    <row r="764" ht="14.25" customHeight="1">
      <c r="J764" s="430"/>
      <c r="L764" s="431"/>
    </row>
    <row r="765" ht="14.25" customHeight="1">
      <c r="J765" s="430"/>
      <c r="L765" s="431"/>
    </row>
    <row r="766" ht="14.25" customHeight="1">
      <c r="J766" s="430"/>
      <c r="L766" s="431"/>
    </row>
    <row r="767" ht="14.25" customHeight="1">
      <c r="J767" s="430"/>
      <c r="L767" s="431"/>
    </row>
    <row r="768" ht="14.25" customHeight="1">
      <c r="J768" s="430"/>
      <c r="L768" s="431"/>
    </row>
    <row r="769" ht="14.25" customHeight="1">
      <c r="J769" s="430"/>
      <c r="L769" s="431"/>
    </row>
    <row r="770" ht="14.25" customHeight="1">
      <c r="J770" s="430"/>
      <c r="L770" s="431"/>
    </row>
    <row r="771" ht="14.25" customHeight="1">
      <c r="J771" s="430"/>
      <c r="L771" s="431"/>
    </row>
    <row r="772" ht="14.25" customHeight="1">
      <c r="J772" s="430"/>
      <c r="L772" s="431"/>
    </row>
    <row r="773" ht="14.25" customHeight="1">
      <c r="J773" s="430"/>
      <c r="L773" s="431"/>
    </row>
    <row r="774" ht="14.25" customHeight="1">
      <c r="J774" s="430"/>
      <c r="L774" s="431"/>
    </row>
    <row r="775" ht="14.25" customHeight="1">
      <c r="J775" s="430"/>
      <c r="L775" s="431"/>
    </row>
    <row r="776" ht="14.25" customHeight="1">
      <c r="J776" s="430"/>
      <c r="L776" s="431"/>
    </row>
    <row r="777" ht="14.25" customHeight="1">
      <c r="J777" s="430"/>
      <c r="L777" s="431"/>
    </row>
    <row r="778" ht="14.25" customHeight="1">
      <c r="J778" s="430"/>
      <c r="L778" s="431"/>
    </row>
    <row r="779" ht="14.25" customHeight="1">
      <c r="J779" s="430"/>
      <c r="L779" s="431"/>
    </row>
    <row r="780" ht="14.25" customHeight="1">
      <c r="J780" s="430"/>
      <c r="L780" s="431"/>
    </row>
    <row r="781" ht="14.25" customHeight="1">
      <c r="J781" s="430"/>
      <c r="L781" s="431"/>
    </row>
    <row r="782" ht="14.25" customHeight="1">
      <c r="J782" s="430"/>
      <c r="L782" s="431"/>
    </row>
    <row r="783" ht="14.25" customHeight="1">
      <c r="J783" s="430"/>
      <c r="L783" s="431"/>
    </row>
    <row r="784" ht="14.25" customHeight="1">
      <c r="J784" s="430"/>
      <c r="L784" s="431"/>
    </row>
    <row r="785" ht="14.25" customHeight="1">
      <c r="J785" s="430"/>
      <c r="L785" s="431"/>
    </row>
    <row r="786" ht="14.25" customHeight="1">
      <c r="J786" s="430"/>
      <c r="L786" s="431"/>
    </row>
    <row r="787" ht="14.25" customHeight="1">
      <c r="J787" s="430"/>
      <c r="L787" s="431"/>
    </row>
    <row r="788" ht="14.25" customHeight="1">
      <c r="J788" s="430"/>
      <c r="L788" s="431"/>
    </row>
    <row r="789" ht="14.25" customHeight="1">
      <c r="J789" s="430"/>
      <c r="L789" s="431"/>
    </row>
    <row r="790" ht="14.25" customHeight="1">
      <c r="J790" s="430"/>
      <c r="L790" s="431"/>
    </row>
    <row r="791" ht="14.25" customHeight="1">
      <c r="J791" s="430"/>
      <c r="L791" s="431"/>
    </row>
    <row r="792" ht="14.25" customHeight="1">
      <c r="J792" s="430"/>
      <c r="L792" s="431"/>
    </row>
    <row r="793" ht="14.25" customHeight="1">
      <c r="J793" s="430"/>
      <c r="L793" s="431"/>
    </row>
    <row r="794" ht="14.25" customHeight="1">
      <c r="J794" s="430"/>
      <c r="L794" s="431"/>
    </row>
    <row r="795" ht="14.25" customHeight="1">
      <c r="J795" s="430"/>
      <c r="L795" s="431"/>
    </row>
    <row r="796" ht="14.25" customHeight="1">
      <c r="J796" s="430"/>
      <c r="L796" s="431"/>
    </row>
    <row r="797" ht="14.25" customHeight="1">
      <c r="J797" s="430"/>
      <c r="L797" s="431"/>
    </row>
    <row r="798" ht="14.25" customHeight="1">
      <c r="J798" s="430"/>
      <c r="L798" s="431"/>
    </row>
    <row r="799" ht="14.25" customHeight="1">
      <c r="J799" s="430"/>
      <c r="L799" s="431"/>
    </row>
    <row r="800" ht="14.25" customHeight="1">
      <c r="J800" s="430"/>
      <c r="L800" s="431"/>
    </row>
    <row r="801" ht="14.25" customHeight="1">
      <c r="J801" s="430"/>
      <c r="L801" s="431"/>
    </row>
    <row r="802" ht="14.25" customHeight="1">
      <c r="J802" s="430"/>
      <c r="L802" s="431"/>
    </row>
    <row r="803" ht="14.25" customHeight="1">
      <c r="J803" s="430"/>
      <c r="L803" s="431"/>
    </row>
    <row r="804" ht="14.25" customHeight="1">
      <c r="J804" s="430"/>
      <c r="L804" s="431"/>
    </row>
    <row r="805" ht="14.25" customHeight="1">
      <c r="J805" s="430"/>
      <c r="L805" s="431"/>
    </row>
    <row r="806" ht="14.25" customHeight="1">
      <c r="J806" s="430"/>
      <c r="L806" s="431"/>
    </row>
    <row r="807" ht="14.25" customHeight="1">
      <c r="J807" s="430"/>
      <c r="L807" s="431"/>
    </row>
    <row r="808" ht="14.25" customHeight="1">
      <c r="J808" s="430"/>
      <c r="L808" s="431"/>
    </row>
    <row r="809" ht="14.25" customHeight="1">
      <c r="J809" s="430"/>
      <c r="L809" s="431"/>
    </row>
    <row r="810" ht="14.25" customHeight="1">
      <c r="J810" s="430"/>
      <c r="L810" s="431"/>
    </row>
    <row r="811" ht="14.25" customHeight="1">
      <c r="J811" s="430"/>
      <c r="L811" s="431"/>
    </row>
    <row r="812" ht="14.25" customHeight="1">
      <c r="J812" s="430"/>
      <c r="L812" s="431"/>
    </row>
    <row r="813" ht="14.25" customHeight="1">
      <c r="J813" s="430"/>
      <c r="L813" s="431"/>
    </row>
    <row r="814" ht="14.25" customHeight="1">
      <c r="J814" s="430"/>
      <c r="L814" s="431"/>
    </row>
    <row r="815" ht="14.25" customHeight="1">
      <c r="J815" s="430"/>
      <c r="L815" s="431"/>
    </row>
    <row r="816" ht="14.25" customHeight="1">
      <c r="J816" s="430"/>
      <c r="L816" s="431"/>
    </row>
    <row r="817" ht="14.25" customHeight="1">
      <c r="J817" s="430"/>
      <c r="L817" s="431"/>
    </row>
    <row r="818" ht="14.25" customHeight="1">
      <c r="J818" s="430"/>
      <c r="L818" s="431"/>
    </row>
    <row r="819" ht="14.25" customHeight="1">
      <c r="J819" s="430"/>
      <c r="L819" s="431"/>
    </row>
    <row r="820" ht="14.25" customHeight="1">
      <c r="J820" s="430"/>
      <c r="L820" s="431"/>
    </row>
    <row r="821" ht="14.25" customHeight="1">
      <c r="J821" s="430"/>
      <c r="L821" s="431"/>
    </row>
    <row r="822" ht="14.25" customHeight="1">
      <c r="J822" s="430"/>
      <c r="L822" s="431"/>
    </row>
    <row r="823" ht="14.25" customHeight="1">
      <c r="J823" s="430"/>
      <c r="L823" s="431"/>
    </row>
    <row r="824" ht="14.25" customHeight="1">
      <c r="J824" s="430"/>
      <c r="L824" s="431"/>
    </row>
    <row r="825" ht="14.25" customHeight="1">
      <c r="J825" s="430"/>
      <c r="L825" s="431"/>
    </row>
    <row r="826" ht="14.25" customHeight="1">
      <c r="J826" s="430"/>
      <c r="L826" s="431"/>
    </row>
    <row r="827" ht="14.25" customHeight="1">
      <c r="J827" s="430"/>
      <c r="L827" s="431"/>
    </row>
    <row r="828" ht="14.25" customHeight="1">
      <c r="J828" s="430"/>
      <c r="L828" s="431"/>
    </row>
    <row r="829" ht="14.25" customHeight="1">
      <c r="J829" s="430"/>
      <c r="L829" s="431"/>
    </row>
    <row r="830" ht="14.25" customHeight="1">
      <c r="J830" s="430"/>
      <c r="L830" s="431"/>
    </row>
    <row r="831" ht="14.25" customHeight="1">
      <c r="J831" s="430"/>
      <c r="L831" s="431"/>
    </row>
    <row r="832" ht="14.25" customHeight="1">
      <c r="J832" s="430"/>
      <c r="L832" s="431"/>
    </row>
    <row r="833" ht="14.25" customHeight="1">
      <c r="J833" s="430"/>
      <c r="L833" s="431"/>
    </row>
    <row r="834" ht="14.25" customHeight="1">
      <c r="J834" s="430"/>
      <c r="L834" s="431"/>
    </row>
    <row r="835" ht="14.25" customHeight="1">
      <c r="J835" s="430"/>
      <c r="L835" s="431"/>
    </row>
    <row r="836" ht="14.25" customHeight="1">
      <c r="J836" s="430"/>
      <c r="L836" s="431"/>
    </row>
    <row r="837" ht="14.25" customHeight="1">
      <c r="J837" s="430"/>
      <c r="L837" s="431"/>
    </row>
    <row r="838" ht="14.25" customHeight="1">
      <c r="J838" s="430"/>
      <c r="L838" s="431"/>
    </row>
    <row r="839" ht="14.25" customHeight="1">
      <c r="J839" s="430"/>
      <c r="L839" s="431"/>
    </row>
    <row r="840" ht="14.25" customHeight="1">
      <c r="J840" s="430"/>
      <c r="L840" s="431"/>
    </row>
    <row r="841" ht="14.25" customHeight="1">
      <c r="J841" s="430"/>
      <c r="L841" s="431"/>
    </row>
    <row r="842" ht="14.25" customHeight="1">
      <c r="J842" s="430"/>
      <c r="L842" s="431"/>
    </row>
    <row r="843" ht="14.25" customHeight="1">
      <c r="J843" s="430"/>
      <c r="L843" s="431"/>
    </row>
    <row r="844" ht="14.25" customHeight="1">
      <c r="J844" s="430"/>
      <c r="L844" s="431"/>
    </row>
    <row r="845" ht="14.25" customHeight="1">
      <c r="J845" s="430"/>
      <c r="L845" s="431"/>
    </row>
    <row r="846" ht="14.25" customHeight="1">
      <c r="J846" s="430"/>
      <c r="L846" s="431"/>
    </row>
    <row r="847" ht="14.25" customHeight="1">
      <c r="J847" s="430"/>
      <c r="L847" s="431"/>
    </row>
    <row r="848" ht="14.25" customHeight="1">
      <c r="J848" s="430"/>
      <c r="L848" s="431"/>
    </row>
    <row r="849" ht="14.25" customHeight="1">
      <c r="J849" s="430"/>
      <c r="L849" s="431"/>
    </row>
    <row r="850" ht="14.25" customHeight="1">
      <c r="J850" s="430"/>
      <c r="L850" s="431"/>
    </row>
    <row r="851" ht="14.25" customHeight="1">
      <c r="J851" s="430"/>
      <c r="L851" s="431"/>
    </row>
    <row r="852" ht="14.25" customHeight="1">
      <c r="J852" s="430"/>
      <c r="L852" s="431"/>
    </row>
    <row r="853" ht="14.25" customHeight="1">
      <c r="J853" s="430"/>
      <c r="L853" s="431"/>
    </row>
    <row r="854" ht="14.25" customHeight="1">
      <c r="J854" s="430"/>
      <c r="L854" s="431"/>
    </row>
    <row r="855" ht="14.25" customHeight="1">
      <c r="J855" s="430"/>
      <c r="L855" s="431"/>
    </row>
    <row r="856" ht="14.25" customHeight="1">
      <c r="J856" s="430"/>
      <c r="L856" s="431"/>
    </row>
    <row r="857" ht="14.25" customHeight="1">
      <c r="J857" s="430"/>
      <c r="L857" s="431"/>
    </row>
    <row r="858" ht="14.25" customHeight="1">
      <c r="J858" s="430"/>
      <c r="L858" s="431"/>
    </row>
    <row r="859" ht="14.25" customHeight="1">
      <c r="J859" s="430"/>
      <c r="L859" s="431"/>
    </row>
    <row r="860" ht="14.25" customHeight="1">
      <c r="J860" s="430"/>
      <c r="L860" s="431"/>
    </row>
    <row r="861" ht="14.25" customHeight="1">
      <c r="J861" s="430"/>
      <c r="L861" s="431"/>
    </row>
    <row r="862" ht="14.25" customHeight="1">
      <c r="J862" s="430"/>
      <c r="L862" s="431"/>
    </row>
    <row r="863" ht="14.25" customHeight="1">
      <c r="J863" s="430"/>
      <c r="L863" s="431"/>
    </row>
    <row r="864" ht="14.25" customHeight="1">
      <c r="J864" s="430"/>
      <c r="L864" s="431"/>
    </row>
    <row r="865" ht="14.25" customHeight="1">
      <c r="J865" s="430"/>
      <c r="L865" s="431"/>
    </row>
    <row r="866" ht="14.25" customHeight="1">
      <c r="J866" s="430"/>
      <c r="L866" s="431"/>
    </row>
    <row r="867" ht="14.25" customHeight="1">
      <c r="J867" s="430"/>
      <c r="L867" s="431"/>
    </row>
    <row r="868" ht="14.25" customHeight="1">
      <c r="J868" s="430"/>
      <c r="L868" s="431"/>
    </row>
    <row r="869" ht="14.25" customHeight="1">
      <c r="J869" s="430"/>
      <c r="L869" s="431"/>
    </row>
    <row r="870" ht="14.25" customHeight="1">
      <c r="J870" s="430"/>
      <c r="L870" s="431"/>
    </row>
    <row r="871" ht="14.25" customHeight="1">
      <c r="J871" s="430"/>
      <c r="L871" s="431"/>
    </row>
    <row r="872" ht="14.25" customHeight="1">
      <c r="J872" s="430"/>
      <c r="L872" s="431"/>
    </row>
    <row r="873" ht="14.25" customHeight="1">
      <c r="J873" s="430"/>
      <c r="L873" s="431"/>
    </row>
    <row r="874" ht="14.25" customHeight="1">
      <c r="J874" s="430"/>
      <c r="L874" s="431"/>
    </row>
    <row r="875" ht="14.25" customHeight="1">
      <c r="J875" s="430"/>
      <c r="L875" s="431"/>
    </row>
    <row r="876" ht="14.25" customHeight="1">
      <c r="J876" s="430"/>
      <c r="L876" s="431"/>
    </row>
    <row r="877" ht="14.25" customHeight="1">
      <c r="J877" s="430"/>
      <c r="L877" s="431"/>
    </row>
    <row r="878" ht="14.25" customHeight="1">
      <c r="J878" s="430"/>
      <c r="L878" s="431"/>
    </row>
    <row r="879" ht="14.25" customHeight="1">
      <c r="J879" s="430"/>
      <c r="L879" s="431"/>
    </row>
    <row r="880" ht="14.25" customHeight="1">
      <c r="J880" s="430"/>
      <c r="L880" s="431"/>
    </row>
    <row r="881" ht="14.25" customHeight="1">
      <c r="J881" s="430"/>
      <c r="L881" s="431"/>
    </row>
    <row r="882" ht="14.25" customHeight="1">
      <c r="J882" s="430"/>
      <c r="L882" s="431"/>
    </row>
    <row r="883" ht="14.25" customHeight="1">
      <c r="J883" s="430"/>
      <c r="L883" s="431"/>
    </row>
    <row r="884" ht="14.25" customHeight="1">
      <c r="J884" s="430"/>
      <c r="L884" s="431"/>
    </row>
    <row r="885" ht="14.25" customHeight="1">
      <c r="J885" s="430"/>
      <c r="L885" s="431"/>
    </row>
    <row r="886" ht="14.25" customHeight="1">
      <c r="J886" s="430"/>
      <c r="L886" s="431"/>
    </row>
    <row r="887" ht="14.25" customHeight="1">
      <c r="J887" s="430"/>
      <c r="L887" s="431"/>
    </row>
    <row r="888" ht="14.25" customHeight="1">
      <c r="J888" s="430"/>
      <c r="L888" s="431"/>
    </row>
    <row r="889" ht="14.25" customHeight="1">
      <c r="J889" s="430"/>
      <c r="L889" s="431"/>
    </row>
    <row r="890" ht="14.25" customHeight="1">
      <c r="J890" s="430"/>
      <c r="L890" s="431"/>
    </row>
    <row r="891" ht="14.25" customHeight="1">
      <c r="J891" s="430"/>
      <c r="L891" s="431"/>
    </row>
    <row r="892" ht="14.25" customHeight="1">
      <c r="J892" s="430"/>
      <c r="L892" s="431"/>
    </row>
    <row r="893" ht="14.25" customHeight="1">
      <c r="J893" s="430"/>
      <c r="L893" s="431"/>
    </row>
    <row r="894" ht="14.25" customHeight="1">
      <c r="J894" s="430"/>
      <c r="L894" s="431"/>
    </row>
    <row r="895" ht="14.25" customHeight="1">
      <c r="J895" s="430"/>
      <c r="L895" s="431"/>
    </row>
    <row r="896" ht="14.25" customHeight="1">
      <c r="J896" s="430"/>
      <c r="L896" s="431"/>
    </row>
    <row r="897" ht="14.25" customHeight="1">
      <c r="J897" s="430"/>
      <c r="L897" s="431"/>
    </row>
    <row r="898" ht="14.25" customHeight="1">
      <c r="J898" s="430"/>
      <c r="L898" s="431"/>
    </row>
    <row r="899" ht="14.25" customHeight="1">
      <c r="J899" s="430"/>
      <c r="L899" s="431"/>
    </row>
    <row r="900" ht="14.25" customHeight="1">
      <c r="J900" s="430"/>
      <c r="L900" s="431"/>
    </row>
    <row r="901" ht="14.25" customHeight="1">
      <c r="J901" s="430"/>
      <c r="L901" s="431"/>
    </row>
    <row r="902" ht="14.25" customHeight="1">
      <c r="J902" s="430"/>
      <c r="L902" s="431"/>
    </row>
    <row r="903" ht="14.25" customHeight="1">
      <c r="J903" s="430"/>
      <c r="L903" s="431"/>
    </row>
    <row r="904" ht="14.25" customHeight="1">
      <c r="J904" s="430"/>
      <c r="L904" s="431"/>
    </row>
    <row r="905" ht="14.25" customHeight="1">
      <c r="J905" s="430"/>
      <c r="L905" s="431"/>
    </row>
    <row r="906" ht="14.25" customHeight="1">
      <c r="J906" s="430"/>
      <c r="L906" s="431"/>
    </row>
    <row r="907" ht="14.25" customHeight="1">
      <c r="J907" s="430"/>
      <c r="L907" s="431"/>
    </row>
    <row r="908" ht="14.25" customHeight="1">
      <c r="J908" s="430"/>
      <c r="L908" s="431"/>
    </row>
    <row r="909" ht="14.25" customHeight="1">
      <c r="J909" s="430"/>
      <c r="L909" s="431"/>
    </row>
    <row r="910" ht="14.25" customHeight="1">
      <c r="J910" s="430"/>
      <c r="L910" s="431"/>
    </row>
    <row r="911" ht="14.25" customHeight="1">
      <c r="J911" s="430"/>
      <c r="L911" s="431"/>
    </row>
    <row r="912" ht="14.25" customHeight="1">
      <c r="J912" s="430"/>
      <c r="L912" s="431"/>
    </row>
    <row r="913" ht="14.25" customHeight="1">
      <c r="J913" s="430"/>
      <c r="L913" s="431"/>
    </row>
    <row r="914" ht="14.25" customHeight="1">
      <c r="J914" s="430"/>
      <c r="L914" s="431"/>
    </row>
    <row r="915" ht="14.25" customHeight="1">
      <c r="J915" s="430"/>
      <c r="L915" s="431"/>
    </row>
    <row r="916" ht="14.25" customHeight="1">
      <c r="J916" s="430"/>
      <c r="L916" s="431"/>
    </row>
    <row r="917" ht="14.25" customHeight="1">
      <c r="J917" s="430"/>
      <c r="L917" s="431"/>
    </row>
    <row r="918" ht="14.25" customHeight="1">
      <c r="J918" s="430"/>
      <c r="L918" s="431"/>
    </row>
    <row r="919" ht="14.25" customHeight="1">
      <c r="J919" s="430"/>
      <c r="L919" s="431"/>
    </row>
    <row r="920" ht="14.25" customHeight="1">
      <c r="J920" s="430"/>
      <c r="L920" s="431"/>
    </row>
    <row r="921" ht="14.25" customHeight="1">
      <c r="J921" s="430"/>
      <c r="L921" s="431"/>
    </row>
    <row r="922" ht="14.25" customHeight="1">
      <c r="J922" s="430"/>
      <c r="L922" s="431"/>
    </row>
    <row r="923" ht="14.25" customHeight="1">
      <c r="J923" s="430"/>
      <c r="L923" s="431"/>
    </row>
    <row r="924" ht="14.25" customHeight="1">
      <c r="J924" s="430"/>
      <c r="L924" s="431"/>
    </row>
    <row r="925" ht="14.25" customHeight="1">
      <c r="J925" s="430"/>
      <c r="L925" s="431"/>
    </row>
    <row r="926" ht="14.25" customHeight="1">
      <c r="J926" s="430"/>
      <c r="L926" s="431"/>
    </row>
    <row r="927" ht="14.25" customHeight="1">
      <c r="J927" s="430"/>
      <c r="L927" s="431"/>
    </row>
    <row r="928" ht="14.25" customHeight="1">
      <c r="J928" s="430"/>
      <c r="L928" s="431"/>
    </row>
    <row r="929" ht="14.25" customHeight="1">
      <c r="J929" s="430"/>
      <c r="L929" s="431"/>
    </row>
    <row r="930" ht="14.25" customHeight="1">
      <c r="J930" s="430"/>
      <c r="L930" s="431"/>
    </row>
    <row r="931" ht="14.25" customHeight="1">
      <c r="J931" s="430"/>
      <c r="L931" s="431"/>
    </row>
    <row r="932" ht="14.25" customHeight="1">
      <c r="J932" s="430"/>
      <c r="L932" s="431"/>
    </row>
    <row r="933" ht="14.25" customHeight="1">
      <c r="J933" s="430"/>
      <c r="L933" s="431"/>
    </row>
    <row r="934" ht="14.25" customHeight="1">
      <c r="J934" s="430"/>
      <c r="L934" s="431"/>
    </row>
    <row r="935" ht="14.25" customHeight="1">
      <c r="J935" s="430"/>
      <c r="L935" s="431"/>
    </row>
    <row r="936" ht="14.25" customHeight="1">
      <c r="J936" s="430"/>
      <c r="L936" s="431"/>
    </row>
    <row r="937" ht="14.25" customHeight="1">
      <c r="J937" s="430"/>
      <c r="L937" s="431"/>
    </row>
    <row r="938" ht="14.25" customHeight="1">
      <c r="J938" s="430"/>
      <c r="L938" s="431"/>
    </row>
    <row r="939" ht="14.25" customHeight="1">
      <c r="J939" s="430"/>
      <c r="L939" s="431"/>
    </row>
    <row r="940" ht="14.25" customHeight="1">
      <c r="J940" s="430"/>
      <c r="L940" s="431"/>
    </row>
    <row r="941" ht="14.25" customHeight="1">
      <c r="J941" s="430"/>
      <c r="L941" s="431"/>
    </row>
    <row r="942" ht="14.25" customHeight="1">
      <c r="J942" s="430"/>
      <c r="L942" s="431"/>
    </row>
    <row r="943" ht="14.25" customHeight="1">
      <c r="J943" s="430"/>
      <c r="L943" s="431"/>
    </row>
    <row r="944" ht="14.25" customHeight="1">
      <c r="J944" s="430"/>
      <c r="L944" s="431"/>
    </row>
    <row r="945" ht="14.25" customHeight="1">
      <c r="J945" s="430"/>
      <c r="L945" s="431"/>
    </row>
    <row r="946" ht="14.25" customHeight="1">
      <c r="J946" s="430"/>
      <c r="L946" s="431"/>
    </row>
    <row r="947" ht="14.25" customHeight="1">
      <c r="J947" s="430"/>
      <c r="L947" s="431"/>
    </row>
    <row r="948" ht="14.25" customHeight="1">
      <c r="J948" s="430"/>
      <c r="L948" s="431"/>
    </row>
    <row r="949" ht="14.25" customHeight="1">
      <c r="J949" s="430"/>
      <c r="L949" s="431"/>
    </row>
    <row r="950" ht="14.25" customHeight="1">
      <c r="J950" s="430"/>
      <c r="L950" s="431"/>
    </row>
    <row r="951" ht="14.25" customHeight="1">
      <c r="J951" s="430"/>
      <c r="L951" s="431"/>
    </row>
    <row r="952" ht="14.25" customHeight="1">
      <c r="J952" s="430"/>
      <c r="L952" s="431"/>
    </row>
    <row r="953" ht="14.25" customHeight="1">
      <c r="J953" s="430"/>
      <c r="L953" s="431"/>
    </row>
    <row r="954" ht="14.25" customHeight="1">
      <c r="J954" s="430"/>
      <c r="L954" s="431"/>
    </row>
    <row r="955" ht="14.25" customHeight="1">
      <c r="J955" s="430"/>
      <c r="L955" s="431"/>
    </row>
    <row r="956" ht="14.25" customHeight="1">
      <c r="J956" s="430"/>
      <c r="L956" s="431"/>
    </row>
    <row r="957" ht="14.25" customHeight="1">
      <c r="J957" s="430"/>
      <c r="L957" s="431"/>
    </row>
    <row r="958" ht="14.25" customHeight="1">
      <c r="J958" s="430"/>
      <c r="L958" s="431"/>
    </row>
    <row r="959" ht="14.25" customHeight="1">
      <c r="J959" s="430"/>
      <c r="L959" s="431"/>
    </row>
    <row r="960" ht="14.25" customHeight="1">
      <c r="J960" s="430"/>
      <c r="L960" s="431"/>
    </row>
    <row r="961" ht="14.25" customHeight="1">
      <c r="J961" s="430"/>
      <c r="L961" s="431"/>
    </row>
    <row r="962" ht="14.25" customHeight="1">
      <c r="J962" s="430"/>
      <c r="L962" s="431"/>
    </row>
    <row r="963" ht="14.25" customHeight="1">
      <c r="J963" s="430"/>
      <c r="L963" s="431"/>
    </row>
    <row r="964" ht="14.25" customHeight="1">
      <c r="J964" s="430"/>
      <c r="L964" s="431"/>
    </row>
    <row r="965" ht="14.25" customHeight="1">
      <c r="J965" s="430"/>
      <c r="L965" s="431"/>
    </row>
    <row r="966" ht="14.25" customHeight="1">
      <c r="J966" s="430"/>
      <c r="L966" s="431"/>
    </row>
    <row r="967" ht="14.25" customHeight="1">
      <c r="J967" s="430"/>
      <c r="L967" s="431"/>
    </row>
    <row r="968" ht="14.25" customHeight="1">
      <c r="J968" s="430"/>
      <c r="L968" s="431"/>
    </row>
    <row r="969" ht="14.25" customHeight="1">
      <c r="J969" s="430"/>
      <c r="L969" s="431"/>
    </row>
    <row r="970" ht="14.25" customHeight="1">
      <c r="J970" s="430"/>
      <c r="L970" s="431"/>
    </row>
    <row r="971" ht="14.25" customHeight="1">
      <c r="J971" s="430"/>
      <c r="L971" s="431"/>
    </row>
    <row r="972" ht="14.25" customHeight="1">
      <c r="J972" s="430"/>
      <c r="L972" s="431"/>
    </row>
    <row r="973" ht="14.25" customHeight="1">
      <c r="J973" s="430"/>
      <c r="L973" s="431"/>
    </row>
    <row r="974" ht="14.25" customHeight="1">
      <c r="J974" s="430"/>
      <c r="L974" s="431"/>
    </row>
    <row r="975" ht="14.25" customHeight="1">
      <c r="J975" s="430"/>
      <c r="L975" s="431"/>
    </row>
    <row r="976" ht="14.25" customHeight="1">
      <c r="J976" s="430"/>
      <c r="L976" s="431"/>
    </row>
    <row r="977" ht="14.25" customHeight="1">
      <c r="J977" s="430"/>
      <c r="L977" s="431"/>
    </row>
    <row r="978" ht="14.25" customHeight="1">
      <c r="J978" s="430"/>
      <c r="L978" s="431"/>
    </row>
    <row r="979" ht="14.25" customHeight="1">
      <c r="J979" s="430"/>
      <c r="L979" s="431"/>
    </row>
    <row r="980" ht="14.25" customHeight="1">
      <c r="J980" s="430"/>
      <c r="L980" s="431"/>
    </row>
    <row r="981" ht="14.25" customHeight="1">
      <c r="J981" s="430"/>
      <c r="L981" s="431"/>
    </row>
    <row r="982" ht="14.25" customHeight="1">
      <c r="J982" s="430"/>
      <c r="L982" s="431"/>
    </row>
    <row r="983" ht="14.25" customHeight="1">
      <c r="J983" s="430"/>
      <c r="L983" s="431"/>
    </row>
    <row r="984" ht="14.25" customHeight="1">
      <c r="J984" s="430"/>
      <c r="L984" s="431"/>
    </row>
    <row r="985" ht="14.25" customHeight="1">
      <c r="J985" s="430"/>
      <c r="L985" s="431"/>
    </row>
    <row r="986" ht="14.25" customHeight="1">
      <c r="J986" s="430"/>
      <c r="L986" s="431"/>
    </row>
    <row r="987" ht="14.25" customHeight="1">
      <c r="J987" s="430"/>
      <c r="L987" s="431"/>
    </row>
    <row r="988" ht="14.25" customHeight="1">
      <c r="J988" s="430"/>
      <c r="L988" s="431"/>
    </row>
    <row r="989" ht="14.25" customHeight="1">
      <c r="J989" s="430"/>
      <c r="L989" s="431"/>
    </row>
    <row r="990" ht="14.25" customHeight="1">
      <c r="J990" s="430"/>
      <c r="L990" s="431"/>
    </row>
    <row r="991" ht="14.25" customHeight="1">
      <c r="J991" s="430"/>
      <c r="L991" s="431"/>
    </row>
    <row r="992" ht="14.25" customHeight="1">
      <c r="J992" s="430"/>
      <c r="L992" s="431"/>
    </row>
    <row r="993" ht="14.25" customHeight="1">
      <c r="J993" s="430"/>
      <c r="L993" s="431"/>
    </row>
    <row r="994" ht="14.25" customHeight="1">
      <c r="J994" s="430"/>
      <c r="L994" s="431"/>
    </row>
    <row r="995" ht="14.25" customHeight="1">
      <c r="J995" s="430"/>
      <c r="L995" s="431"/>
    </row>
    <row r="996" ht="14.25" customHeight="1">
      <c r="J996" s="430"/>
      <c r="L996" s="431"/>
    </row>
    <row r="997" ht="14.25" customHeight="1">
      <c r="J997" s="430"/>
      <c r="L997" s="431"/>
    </row>
    <row r="998" ht="14.25" customHeight="1">
      <c r="J998" s="430"/>
      <c r="L998" s="431"/>
    </row>
    <row r="999" ht="14.25" customHeight="1">
      <c r="J999" s="430"/>
      <c r="L999" s="431"/>
    </row>
    <row r="1000" ht="14.25" customHeight="1">
      <c r="J1000" s="430"/>
      <c r="L1000" s="431"/>
    </row>
  </sheetData>
  <printOptions/>
  <pageMargins bottom="0.75" footer="0.0" header="0.0" left="0.7" right="0.7" top="0.75"/>
  <pageSetup paperSize="9" orientation="portrait"/>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2.63" defaultRowHeight="15.0"/>
  <cols>
    <col customWidth="1" min="1" max="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2.63" defaultRowHeight="15.0"/>
  <cols>
    <col customWidth="1" min="2" max="2" width="27.25"/>
    <col customWidth="1" min="3" max="14" width="9.5"/>
    <col customWidth="1" min="15" max="15" width="12.5"/>
    <col customWidth="1" min="16" max="16" width="9.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c r="B18" s="429"/>
      <c r="C18" s="429"/>
      <c r="D18" s="429"/>
      <c r="E18" s="429"/>
      <c r="F18" s="429"/>
      <c r="G18" s="429"/>
      <c r="H18" s="429"/>
      <c r="I18" s="429"/>
      <c r="J18" s="429"/>
      <c r="K18" s="429"/>
      <c r="L18" s="429"/>
      <c r="M18" s="429"/>
      <c r="N18" s="429"/>
      <c r="O18" s="429"/>
      <c r="P18" s="429"/>
    </row>
    <row r="19" ht="14.25" customHeight="1">
      <c r="D19" s="440">
        <v>1.0</v>
      </c>
      <c r="E19" s="440">
        <v>2.0</v>
      </c>
      <c r="F19" s="440">
        <v>3.0</v>
      </c>
      <c r="G19" s="440">
        <v>4.0</v>
      </c>
      <c r="H19" s="440">
        <v>5.0</v>
      </c>
      <c r="I19" s="440">
        <v>6.0</v>
      </c>
      <c r="J19" s="440">
        <v>7.0</v>
      </c>
      <c r="K19" s="440">
        <v>8.0</v>
      </c>
      <c r="L19" s="440">
        <v>9.0</v>
      </c>
      <c r="M19" s="440">
        <v>10.0</v>
      </c>
      <c r="N19" s="440">
        <v>11.0</v>
      </c>
      <c r="O19" s="440">
        <v>12.0</v>
      </c>
    </row>
    <row r="20" ht="14.25" customHeight="1">
      <c r="A20" s="360" t="s">
        <v>7184</v>
      </c>
      <c r="B20" s="441" t="s">
        <v>2078</v>
      </c>
      <c r="D20" s="442">
        <f t="shared" ref="D20:O20" si="1">D15</f>
        <v>508</v>
      </c>
      <c r="E20" s="442">
        <f t="shared" si="1"/>
        <v>1753.5</v>
      </c>
      <c r="F20" s="442">
        <f t="shared" si="1"/>
        <v>3374</v>
      </c>
      <c r="G20" s="442">
        <f t="shared" si="1"/>
        <v>9936.5</v>
      </c>
      <c r="H20" s="442">
        <f t="shared" si="1"/>
        <v>8824.3</v>
      </c>
      <c r="I20" s="442">
        <f t="shared" si="1"/>
        <v>7814.5</v>
      </c>
      <c r="J20" s="442">
        <f t="shared" si="1"/>
        <v>9505</v>
      </c>
      <c r="K20" s="442">
        <f t="shared" si="1"/>
        <v>1635.9</v>
      </c>
      <c r="L20" s="442">
        <f t="shared" si="1"/>
        <v>5912</v>
      </c>
      <c r="M20" s="442">
        <f t="shared" si="1"/>
        <v>6173.3</v>
      </c>
      <c r="N20" s="442">
        <f t="shared" si="1"/>
        <v>10069.05</v>
      </c>
      <c r="O20" s="442">
        <f t="shared" si="1"/>
        <v>12428.6</v>
      </c>
    </row>
    <row r="21" ht="14.25" customHeight="1">
      <c r="A21" s="360" t="s">
        <v>7185</v>
      </c>
      <c r="B21" s="441" t="s">
        <v>7159</v>
      </c>
      <c r="D21" s="442">
        <f t="shared" ref="D21:O21" si="2">D17-D20</f>
        <v>270</v>
      </c>
      <c r="E21" s="442">
        <f t="shared" si="2"/>
        <v>485</v>
      </c>
      <c r="F21" s="442">
        <f t="shared" si="2"/>
        <v>919</v>
      </c>
      <c r="G21" s="442">
        <f t="shared" si="2"/>
        <v>1610</v>
      </c>
      <c r="H21" s="442">
        <f t="shared" si="2"/>
        <v>3049</v>
      </c>
      <c r="I21" s="442">
        <f t="shared" si="2"/>
        <v>8429</v>
      </c>
      <c r="J21" s="442">
        <f t="shared" si="2"/>
        <v>2228.4</v>
      </c>
      <c r="K21" s="442">
        <f t="shared" si="2"/>
        <v>85</v>
      </c>
      <c r="L21" s="442">
        <f t="shared" si="2"/>
        <v>5988</v>
      </c>
      <c r="M21" s="442">
        <f t="shared" si="2"/>
        <v>1016</v>
      </c>
      <c r="N21" s="442">
        <f t="shared" si="2"/>
        <v>6907</v>
      </c>
      <c r="O21" s="442">
        <f t="shared" si="2"/>
        <v>7702.8</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c r="D40" s="440">
        <v>1.0</v>
      </c>
      <c r="E40" s="440">
        <v>2.0</v>
      </c>
      <c r="F40" s="440">
        <v>3.0</v>
      </c>
      <c r="G40" s="440">
        <v>4.0</v>
      </c>
      <c r="H40" s="440">
        <v>5.0</v>
      </c>
      <c r="I40" s="440">
        <v>6.0</v>
      </c>
      <c r="J40" s="440">
        <v>7.0</v>
      </c>
      <c r="K40" s="440">
        <v>8.0</v>
      </c>
      <c r="L40" s="440">
        <v>9.0</v>
      </c>
      <c r="M40" s="440">
        <v>10.0</v>
      </c>
      <c r="N40" s="440">
        <v>11.0</v>
      </c>
      <c r="O40" s="440">
        <v>12.0</v>
      </c>
    </row>
    <row r="41" ht="14.25" customHeight="1">
      <c r="A41" s="360" t="s">
        <v>7187</v>
      </c>
      <c r="B41" s="441" t="s">
        <v>2078</v>
      </c>
      <c r="D41" s="443">
        <f t="shared" ref="D41:O41" si="3">D36</f>
        <v>7</v>
      </c>
      <c r="E41" s="443">
        <f t="shared" si="3"/>
        <v>25</v>
      </c>
      <c r="F41" s="443">
        <f t="shared" si="3"/>
        <v>35</v>
      </c>
      <c r="G41" s="443">
        <f t="shared" si="3"/>
        <v>75</v>
      </c>
      <c r="H41" s="443">
        <f t="shared" si="3"/>
        <v>62</v>
      </c>
      <c r="I41" s="443">
        <f t="shared" si="3"/>
        <v>62</v>
      </c>
      <c r="J41" s="443">
        <f t="shared" si="3"/>
        <v>81</v>
      </c>
      <c r="K41" s="443">
        <f t="shared" si="3"/>
        <v>11</v>
      </c>
      <c r="L41" s="443">
        <f t="shared" si="3"/>
        <v>43</v>
      </c>
      <c r="M41" s="443">
        <f t="shared" si="3"/>
        <v>45</v>
      </c>
      <c r="N41" s="443">
        <f t="shared" si="3"/>
        <v>77</v>
      </c>
      <c r="O41" s="443">
        <f t="shared" si="3"/>
        <v>114</v>
      </c>
    </row>
    <row r="42" ht="14.25" customHeight="1">
      <c r="A42" s="360" t="s">
        <v>7188</v>
      </c>
      <c r="B42" s="441" t="s">
        <v>7159</v>
      </c>
      <c r="D42" s="443">
        <f t="shared" ref="D42:O42" si="4">D38-D41</f>
        <v>5</v>
      </c>
      <c r="E42" s="443">
        <f t="shared" si="4"/>
        <v>8</v>
      </c>
      <c r="F42" s="443">
        <f t="shared" si="4"/>
        <v>11</v>
      </c>
      <c r="G42" s="443">
        <f t="shared" si="4"/>
        <v>18</v>
      </c>
      <c r="H42" s="443">
        <f t="shared" si="4"/>
        <v>35</v>
      </c>
      <c r="I42" s="443">
        <f t="shared" si="4"/>
        <v>90</v>
      </c>
      <c r="J42" s="443">
        <f t="shared" si="4"/>
        <v>24</v>
      </c>
      <c r="K42" s="443">
        <f t="shared" si="4"/>
        <v>1</v>
      </c>
      <c r="L42" s="443">
        <f t="shared" si="4"/>
        <v>58</v>
      </c>
      <c r="M42" s="443">
        <f t="shared" si="4"/>
        <v>11</v>
      </c>
      <c r="N42" s="443">
        <f t="shared" si="4"/>
        <v>100</v>
      </c>
      <c r="O42" s="443">
        <f t="shared" si="4"/>
        <v>105</v>
      </c>
    </row>
    <row r="43" ht="14.25" customHeight="1">
      <c r="B43" s="444"/>
      <c r="C43" s="442"/>
      <c r="D43" s="442"/>
      <c r="E43" s="442"/>
      <c r="F43" s="442"/>
      <c r="G43" s="442"/>
      <c r="H43" s="442"/>
      <c r="I43" s="442"/>
      <c r="J43" s="442"/>
      <c r="K43" s="442"/>
      <c r="L43" s="442"/>
      <c r="M43" s="442"/>
      <c r="N43" s="442"/>
      <c r="O43" s="445"/>
    </row>
    <row r="44" ht="14.25" customHeight="1"/>
    <row r="45" ht="14.25" customHeight="1">
      <c r="B45" s="444"/>
      <c r="C45" s="446"/>
      <c r="D45" s="446"/>
      <c r="E45" s="446"/>
      <c r="F45" s="446"/>
      <c r="G45" s="446"/>
      <c r="H45" s="446"/>
      <c r="I45" s="446"/>
      <c r="J45" s="446"/>
      <c r="K45" s="446"/>
      <c r="L45" s="446"/>
      <c r="M45" s="446"/>
      <c r="N45" s="446"/>
      <c r="O45" s="446"/>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0.75" footer="0.0" header="0.0" left="0.7" right="0.7" top="0.75"/>
  <pageSetup orientation="landscape"/>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0.5"/>
    <col customWidth="1" min="2" max="2" width="16.13"/>
    <col customWidth="1" min="3" max="13" width="8.5"/>
    <col customWidth="1" min="14" max="14" width="6.88"/>
    <col customWidth="1" min="15" max="15" width="10.5"/>
  </cols>
  <sheetData>
    <row r="1" ht="14.25" customHeight="1"/>
    <row r="2" ht="14.25" customHeight="1"/>
    <row r="3" ht="14.25" customHeight="1"/>
    <row r="4" ht="15.0" customHeight="1"/>
    <row r="5" ht="14.25" customHeight="1"/>
    <row r="6" ht="14.25" customHeight="1"/>
    <row r="7" ht="14.25" customHeight="1"/>
    <row r="8" ht="14.25" customHeight="1"/>
    <row r="9" ht="14.25" customHeight="1"/>
    <row r="10" ht="14.25" customHeight="1"/>
    <row r="11" ht="14.25" customHeight="1"/>
    <row r="12" ht="14.25" customHeight="1">
      <c r="A12" s="447"/>
      <c r="B12" s="442"/>
      <c r="C12" s="442"/>
      <c r="D12" s="442"/>
      <c r="E12" s="442"/>
      <c r="F12" s="442"/>
      <c r="G12" s="442"/>
      <c r="H12" s="442"/>
      <c r="I12" s="442"/>
      <c r="J12" s="442"/>
      <c r="K12" s="442"/>
      <c r="L12" s="442"/>
      <c r="M12" s="442"/>
      <c r="N12" s="442"/>
      <c r="O12" s="442"/>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2.5"/>
    <col customWidth="1" min="2" max="2" width="37.25"/>
    <col customWidth="1" min="3" max="4" width="22.5"/>
    <col customWidth="1" min="5" max="6" width="17.75"/>
    <col customWidth="1" min="7" max="7" width="8.75"/>
    <col customWidth="1" min="8" max="8" width="12.38"/>
    <col customWidth="1" min="9" max="9" width="8.75"/>
    <col customWidth="1" min="10" max="26" width="8.63"/>
  </cols>
  <sheetData>
    <row r="1">
      <c r="A1" s="448" t="s">
        <v>1596</v>
      </c>
      <c r="B1" s="449" t="s">
        <v>7190</v>
      </c>
      <c r="C1" s="449" t="s">
        <v>1566</v>
      </c>
      <c r="D1" s="449" t="s">
        <v>7197</v>
      </c>
      <c r="E1" s="450" t="s">
        <v>1670</v>
      </c>
      <c r="F1" s="451" t="s">
        <v>7198</v>
      </c>
      <c r="G1" s="357"/>
      <c r="H1" s="357"/>
      <c r="I1" s="357"/>
      <c r="J1" s="357"/>
      <c r="K1" s="357"/>
      <c r="L1" s="357"/>
      <c r="M1" s="357"/>
      <c r="N1" s="357"/>
      <c r="O1" s="357"/>
      <c r="P1" s="357"/>
      <c r="Q1" s="357"/>
      <c r="R1" s="357"/>
      <c r="S1" s="357"/>
      <c r="T1" s="357"/>
      <c r="U1" s="357"/>
      <c r="V1" s="357"/>
      <c r="W1" s="357"/>
      <c r="X1" s="357"/>
      <c r="Y1" s="357"/>
      <c r="Z1" s="357"/>
    </row>
    <row r="2">
      <c r="A2" s="359">
        <v>1.0</v>
      </c>
      <c r="B2" s="452" t="s">
        <v>7199</v>
      </c>
      <c r="C2" s="452"/>
      <c r="D2" s="453">
        <v>6.95</v>
      </c>
      <c r="E2" s="357" t="s">
        <v>1653</v>
      </c>
      <c r="F2" s="357"/>
      <c r="G2" s="357"/>
      <c r="H2" s="454" t="s">
        <v>7200</v>
      </c>
      <c r="I2" s="357" t="s">
        <v>7201</v>
      </c>
      <c r="J2" s="357"/>
      <c r="K2" s="357"/>
      <c r="L2" s="357"/>
      <c r="M2" s="357"/>
      <c r="N2" s="357"/>
      <c r="O2" s="357"/>
      <c r="P2" s="357"/>
      <c r="Q2" s="357"/>
      <c r="R2" s="357"/>
      <c r="S2" s="357"/>
      <c r="T2" s="357"/>
      <c r="U2" s="357"/>
      <c r="V2" s="357"/>
      <c r="W2" s="357"/>
      <c r="X2" s="357"/>
      <c r="Y2" s="357"/>
      <c r="Z2" s="357"/>
    </row>
    <row r="3">
      <c r="A3" s="359">
        <v>1.0</v>
      </c>
      <c r="B3" s="452" t="s">
        <v>7202</v>
      </c>
      <c r="C3" s="452" t="s">
        <v>7203</v>
      </c>
      <c r="D3" s="453">
        <v>212.0</v>
      </c>
      <c r="E3" s="357" t="s">
        <v>1653</v>
      </c>
      <c r="F3" s="357"/>
      <c r="G3" s="357"/>
      <c r="H3" s="455" t="s">
        <v>42</v>
      </c>
      <c r="I3" s="357" t="s">
        <v>1730</v>
      </c>
      <c r="J3" s="357"/>
      <c r="K3" s="357"/>
      <c r="L3" s="357"/>
      <c r="M3" s="357"/>
      <c r="N3" s="357"/>
      <c r="O3" s="357"/>
      <c r="P3" s="357"/>
      <c r="Q3" s="357"/>
      <c r="R3" s="357"/>
      <c r="S3" s="357"/>
      <c r="T3" s="357"/>
      <c r="U3" s="357"/>
      <c r="V3" s="357"/>
      <c r="W3" s="357"/>
      <c r="X3" s="357"/>
      <c r="Y3" s="357"/>
      <c r="Z3" s="357"/>
    </row>
    <row r="4">
      <c r="A4" s="359">
        <v>1.0</v>
      </c>
      <c r="B4" s="452" t="s">
        <v>7204</v>
      </c>
      <c r="C4" s="452" t="s">
        <v>7205</v>
      </c>
      <c r="D4" s="453">
        <v>360.0</v>
      </c>
      <c r="E4" s="357" t="s">
        <v>42</v>
      </c>
      <c r="F4" s="357"/>
      <c r="G4" s="357"/>
      <c r="H4" s="455" t="s">
        <v>7206</v>
      </c>
      <c r="I4" s="357" t="s">
        <v>42</v>
      </c>
      <c r="J4" s="357"/>
      <c r="K4" s="357"/>
      <c r="L4" s="357"/>
      <c r="M4" s="357"/>
      <c r="N4" s="357"/>
      <c r="O4" s="357"/>
      <c r="P4" s="357"/>
      <c r="Q4" s="357"/>
      <c r="R4" s="357"/>
      <c r="S4" s="357"/>
      <c r="T4" s="357"/>
      <c r="U4" s="357"/>
      <c r="V4" s="357"/>
      <c r="W4" s="357"/>
      <c r="X4" s="357"/>
      <c r="Y4" s="357"/>
      <c r="Z4" s="357"/>
    </row>
    <row r="5">
      <c r="A5" s="359">
        <v>1.0</v>
      </c>
      <c r="B5" s="452" t="s">
        <v>7207</v>
      </c>
      <c r="C5" s="452" t="s">
        <v>7208</v>
      </c>
      <c r="D5" s="453">
        <v>320.25</v>
      </c>
      <c r="E5" s="357" t="s">
        <v>42</v>
      </c>
      <c r="F5" s="357"/>
      <c r="G5" s="357"/>
      <c r="H5" s="455" t="s">
        <v>7209</v>
      </c>
      <c r="I5" s="357" t="s">
        <v>1660</v>
      </c>
      <c r="J5" s="357"/>
      <c r="K5" s="357"/>
      <c r="L5" s="357"/>
      <c r="M5" s="357"/>
      <c r="N5" s="357"/>
      <c r="O5" s="357"/>
      <c r="P5" s="357"/>
      <c r="Q5" s="357"/>
      <c r="R5" s="357"/>
      <c r="S5" s="357"/>
      <c r="T5" s="357"/>
      <c r="U5" s="357"/>
      <c r="V5" s="357"/>
      <c r="W5" s="357"/>
      <c r="X5" s="357"/>
      <c r="Y5" s="357"/>
      <c r="Z5" s="357"/>
    </row>
    <row r="6">
      <c r="A6" s="359">
        <v>1.0</v>
      </c>
      <c r="B6" s="452" t="s">
        <v>7210</v>
      </c>
      <c r="C6" s="452" t="s">
        <v>7211</v>
      </c>
      <c r="D6" s="453">
        <v>60.0</v>
      </c>
      <c r="E6" s="357" t="s">
        <v>42</v>
      </c>
      <c r="F6" s="412" t="s">
        <v>7212</v>
      </c>
      <c r="G6" s="357"/>
      <c r="H6" s="455" t="s">
        <v>7213</v>
      </c>
      <c r="I6" s="357" t="s">
        <v>1650</v>
      </c>
      <c r="J6" s="357"/>
      <c r="K6" s="357"/>
      <c r="L6" s="357"/>
      <c r="M6" s="357"/>
      <c r="N6" s="357"/>
      <c r="O6" s="357"/>
      <c r="P6" s="357"/>
      <c r="Q6" s="357"/>
      <c r="R6" s="357"/>
      <c r="S6" s="357"/>
      <c r="T6" s="357"/>
      <c r="U6" s="357"/>
      <c r="V6" s="357"/>
      <c r="W6" s="357"/>
      <c r="X6" s="357"/>
      <c r="Y6" s="357"/>
      <c r="Z6" s="357"/>
    </row>
    <row r="7">
      <c r="A7" s="359">
        <v>1.0</v>
      </c>
      <c r="B7" s="452" t="s">
        <v>7214</v>
      </c>
      <c r="C7" s="452" t="s">
        <v>7215</v>
      </c>
      <c r="D7" s="453">
        <v>137.57</v>
      </c>
      <c r="E7" s="357" t="s">
        <v>42</v>
      </c>
      <c r="F7" s="357"/>
      <c r="G7" s="357"/>
      <c r="H7" s="455" t="s">
        <v>7216</v>
      </c>
      <c r="I7" s="357" t="s">
        <v>1653</v>
      </c>
      <c r="J7" s="357"/>
      <c r="K7" s="357"/>
      <c r="L7" s="357"/>
      <c r="M7" s="357"/>
      <c r="N7" s="357"/>
      <c r="O7" s="357"/>
      <c r="P7" s="357"/>
      <c r="Q7" s="357"/>
      <c r="R7" s="357"/>
      <c r="S7" s="357"/>
      <c r="T7" s="357"/>
      <c r="U7" s="357"/>
      <c r="V7" s="357"/>
      <c r="W7" s="357"/>
      <c r="X7" s="357"/>
      <c r="Y7" s="357"/>
      <c r="Z7" s="357"/>
    </row>
    <row r="8">
      <c r="A8" s="359">
        <v>1.0</v>
      </c>
      <c r="B8" s="452" t="s">
        <v>7217</v>
      </c>
      <c r="C8" s="452" t="s">
        <v>7218</v>
      </c>
      <c r="D8" s="456">
        <v>59.0</v>
      </c>
      <c r="E8" s="357" t="s">
        <v>1653</v>
      </c>
      <c r="F8" s="357"/>
      <c r="G8" s="357"/>
      <c r="H8" s="455" t="s">
        <v>1653</v>
      </c>
      <c r="I8" s="357" t="s">
        <v>1652</v>
      </c>
      <c r="J8" s="357"/>
      <c r="K8" s="357"/>
      <c r="L8" s="357"/>
      <c r="M8" s="357"/>
      <c r="N8" s="357"/>
      <c r="O8" s="357"/>
      <c r="P8" s="357"/>
      <c r="Q8" s="357"/>
      <c r="R8" s="357"/>
      <c r="S8" s="357"/>
      <c r="T8" s="357"/>
      <c r="U8" s="357"/>
      <c r="V8" s="357"/>
      <c r="W8" s="357"/>
      <c r="X8" s="357"/>
      <c r="Y8" s="357"/>
      <c r="Z8" s="357"/>
    </row>
    <row r="9">
      <c r="A9" s="359">
        <v>1.0</v>
      </c>
      <c r="B9" s="452" t="s">
        <v>7219</v>
      </c>
      <c r="C9" s="452"/>
      <c r="D9" s="453">
        <v>360.0</v>
      </c>
      <c r="E9" s="357" t="s">
        <v>1652</v>
      </c>
      <c r="F9" s="357"/>
      <c r="G9" s="357"/>
      <c r="H9" s="455" t="s">
        <v>7220</v>
      </c>
      <c r="I9" s="357"/>
      <c r="J9" s="357"/>
      <c r="K9" s="357"/>
      <c r="L9" s="357"/>
      <c r="M9" s="357"/>
      <c r="N9" s="357"/>
      <c r="O9" s="357"/>
      <c r="P9" s="357"/>
      <c r="Q9" s="357"/>
      <c r="R9" s="357"/>
      <c r="S9" s="357"/>
      <c r="T9" s="357"/>
      <c r="U9" s="357"/>
      <c r="V9" s="357"/>
      <c r="W9" s="357"/>
      <c r="X9" s="357"/>
      <c r="Y9" s="357"/>
      <c r="Z9" s="357"/>
    </row>
    <row r="10">
      <c r="A10" s="359">
        <v>2.0</v>
      </c>
      <c r="B10" s="452" t="s">
        <v>7221</v>
      </c>
      <c r="C10" s="452"/>
      <c r="D10" s="452">
        <v>464.21</v>
      </c>
      <c r="E10" s="357" t="s">
        <v>42</v>
      </c>
      <c r="F10" s="357"/>
      <c r="G10" s="357"/>
      <c r="H10" s="455" t="s">
        <v>1645</v>
      </c>
      <c r="I10" s="357"/>
      <c r="J10" s="357"/>
      <c r="K10" s="357"/>
      <c r="L10" s="357"/>
      <c r="M10" s="357"/>
      <c r="N10" s="357"/>
      <c r="O10" s="357"/>
      <c r="P10" s="357"/>
      <c r="Q10" s="357"/>
      <c r="R10" s="357"/>
      <c r="S10" s="357"/>
      <c r="T10" s="357"/>
      <c r="U10" s="357"/>
      <c r="V10" s="357"/>
      <c r="W10" s="357"/>
      <c r="X10" s="357"/>
      <c r="Y10" s="357"/>
      <c r="Z10" s="357"/>
    </row>
    <row r="11">
      <c r="A11" s="359">
        <v>2.0</v>
      </c>
      <c r="B11" s="452" t="s">
        <v>7221</v>
      </c>
      <c r="C11" s="452"/>
      <c r="D11" s="452">
        <v>523.38</v>
      </c>
      <c r="E11" s="357" t="s">
        <v>42</v>
      </c>
      <c r="F11" s="357"/>
      <c r="G11" s="357"/>
      <c r="H11" s="455" t="s">
        <v>2864</v>
      </c>
      <c r="I11" s="357"/>
      <c r="J11" s="357"/>
      <c r="K11" s="357"/>
      <c r="L11" s="357"/>
      <c r="M11" s="357"/>
      <c r="N11" s="357"/>
      <c r="O11" s="357"/>
      <c r="P11" s="357"/>
      <c r="Q11" s="357"/>
      <c r="R11" s="357"/>
      <c r="S11" s="357"/>
      <c r="T11" s="357"/>
      <c r="U11" s="357"/>
      <c r="V11" s="357"/>
      <c r="W11" s="357"/>
      <c r="X11" s="357"/>
      <c r="Y11" s="357"/>
      <c r="Z11" s="357"/>
    </row>
    <row r="12">
      <c r="A12" s="359">
        <v>2.0</v>
      </c>
      <c r="B12" s="452" t="s">
        <v>7222</v>
      </c>
      <c r="C12" s="452"/>
      <c r="D12" s="453">
        <v>10.0</v>
      </c>
      <c r="E12" s="357" t="s">
        <v>1660</v>
      </c>
      <c r="F12" s="357"/>
      <c r="G12" s="357"/>
      <c r="H12" s="357"/>
      <c r="I12" s="357"/>
      <c r="J12" s="357"/>
      <c r="K12" s="357"/>
      <c r="L12" s="357"/>
      <c r="M12" s="357"/>
      <c r="N12" s="357"/>
      <c r="O12" s="357"/>
      <c r="P12" s="357"/>
      <c r="Q12" s="357"/>
      <c r="R12" s="357"/>
      <c r="S12" s="357"/>
      <c r="T12" s="357"/>
      <c r="U12" s="357"/>
      <c r="V12" s="357"/>
      <c r="W12" s="357"/>
      <c r="X12" s="357"/>
      <c r="Y12" s="357"/>
      <c r="Z12" s="357"/>
    </row>
    <row r="13">
      <c r="A13" s="359">
        <v>2.0</v>
      </c>
      <c r="B13" s="452" t="s">
        <v>7223</v>
      </c>
      <c r="C13" s="452"/>
      <c r="D13" s="453">
        <v>50.0</v>
      </c>
      <c r="E13" s="357" t="s">
        <v>1660</v>
      </c>
      <c r="F13" s="357"/>
      <c r="G13" s="357"/>
      <c r="H13" s="357"/>
      <c r="I13" s="357"/>
      <c r="J13" s="357"/>
      <c r="K13" s="357"/>
      <c r="L13" s="357"/>
      <c r="M13" s="357"/>
      <c r="N13" s="357"/>
      <c r="O13" s="357"/>
      <c r="P13" s="357"/>
      <c r="Q13" s="357"/>
      <c r="R13" s="357"/>
      <c r="S13" s="357"/>
      <c r="T13" s="357"/>
      <c r="U13" s="357"/>
      <c r="V13" s="357"/>
      <c r="W13" s="357"/>
      <c r="X13" s="357"/>
      <c r="Y13" s="357"/>
      <c r="Z13" s="357"/>
    </row>
    <row r="14">
      <c r="A14" s="359">
        <v>2.0</v>
      </c>
      <c r="B14" s="452" t="s">
        <v>7224</v>
      </c>
      <c r="C14" s="452"/>
      <c r="D14" s="453">
        <v>145.0</v>
      </c>
      <c r="E14" s="357" t="s">
        <v>42</v>
      </c>
      <c r="F14" s="357"/>
      <c r="G14" s="357"/>
      <c r="H14" s="357"/>
      <c r="I14" s="357"/>
      <c r="J14" s="357"/>
      <c r="K14" s="357"/>
      <c r="L14" s="357"/>
      <c r="M14" s="357"/>
      <c r="N14" s="357"/>
      <c r="O14" s="357"/>
      <c r="P14" s="357"/>
      <c r="Q14" s="357"/>
      <c r="R14" s="357"/>
      <c r="S14" s="357"/>
      <c r="T14" s="357"/>
      <c r="U14" s="357"/>
      <c r="V14" s="357"/>
      <c r="W14" s="357"/>
      <c r="X14" s="357"/>
      <c r="Y14" s="357"/>
      <c r="Z14" s="357"/>
    </row>
    <row r="15">
      <c r="A15" s="359">
        <v>2.0</v>
      </c>
      <c r="B15" s="452" t="s">
        <v>7225</v>
      </c>
      <c r="C15" s="452"/>
      <c r="D15" s="453">
        <v>200.0</v>
      </c>
      <c r="E15" s="357" t="s">
        <v>1660</v>
      </c>
      <c r="F15" s="357"/>
      <c r="G15" s="357"/>
      <c r="H15" s="357"/>
      <c r="I15" s="357"/>
      <c r="J15" s="357"/>
      <c r="K15" s="357"/>
      <c r="L15" s="357"/>
      <c r="M15" s="357"/>
      <c r="N15" s="357"/>
      <c r="O15" s="357"/>
      <c r="P15" s="357"/>
      <c r="Q15" s="357"/>
      <c r="R15" s="357"/>
      <c r="S15" s="357"/>
      <c r="T15" s="357"/>
      <c r="U15" s="357"/>
      <c r="V15" s="357"/>
      <c r="W15" s="357"/>
      <c r="X15" s="357"/>
      <c r="Y15" s="357"/>
      <c r="Z15" s="357"/>
    </row>
    <row r="16">
      <c r="A16" s="359">
        <v>2.0</v>
      </c>
      <c r="B16" s="452" t="s">
        <v>7217</v>
      </c>
      <c r="C16" s="452" t="s">
        <v>7226</v>
      </c>
      <c r="D16" s="456">
        <v>15.0</v>
      </c>
      <c r="E16" s="357" t="s">
        <v>1653</v>
      </c>
      <c r="F16" s="357"/>
      <c r="G16" s="357"/>
      <c r="H16" s="357"/>
      <c r="I16" s="357"/>
      <c r="J16" s="357"/>
      <c r="K16" s="357"/>
      <c r="L16" s="357"/>
      <c r="M16" s="357"/>
      <c r="N16" s="357"/>
      <c r="O16" s="357"/>
      <c r="P16" s="357"/>
      <c r="Q16" s="357"/>
      <c r="R16" s="357"/>
      <c r="S16" s="357"/>
      <c r="T16" s="357"/>
      <c r="U16" s="357"/>
      <c r="V16" s="357"/>
      <c r="W16" s="357"/>
      <c r="X16" s="357"/>
      <c r="Y16" s="357"/>
      <c r="Z16" s="357"/>
    </row>
    <row r="17">
      <c r="A17" s="359">
        <v>2.0</v>
      </c>
      <c r="B17" s="452" t="s">
        <v>7227</v>
      </c>
      <c r="C17" s="452"/>
      <c r="D17" s="453">
        <v>22.0</v>
      </c>
      <c r="E17" s="357" t="s">
        <v>1653</v>
      </c>
      <c r="F17" s="357"/>
      <c r="G17" s="357"/>
      <c r="H17" s="357"/>
      <c r="I17" s="357"/>
      <c r="J17" s="357"/>
      <c r="K17" s="357"/>
      <c r="L17" s="357"/>
      <c r="M17" s="357"/>
      <c r="N17" s="357"/>
      <c r="O17" s="357"/>
      <c r="P17" s="357"/>
      <c r="Q17" s="357"/>
      <c r="R17" s="357"/>
      <c r="S17" s="357"/>
      <c r="T17" s="357"/>
      <c r="U17" s="357"/>
      <c r="V17" s="357"/>
      <c r="W17" s="357"/>
      <c r="X17" s="357"/>
      <c r="Y17" s="357"/>
      <c r="Z17" s="357"/>
    </row>
    <row r="18">
      <c r="A18" s="359">
        <v>2.0</v>
      </c>
      <c r="B18" s="452" t="s">
        <v>7228</v>
      </c>
      <c r="C18" s="452"/>
      <c r="D18" s="452">
        <v>987.0</v>
      </c>
      <c r="E18" s="357" t="s">
        <v>42</v>
      </c>
      <c r="F18" s="357"/>
      <c r="G18" s="357"/>
      <c r="H18" s="357"/>
      <c r="I18" s="357"/>
      <c r="J18" s="357"/>
      <c r="K18" s="357"/>
      <c r="L18" s="357"/>
      <c r="M18" s="357"/>
      <c r="N18" s="357"/>
      <c r="O18" s="357"/>
      <c r="P18" s="357"/>
      <c r="Q18" s="357"/>
      <c r="R18" s="357"/>
      <c r="S18" s="357"/>
      <c r="T18" s="357"/>
      <c r="U18" s="357"/>
      <c r="V18" s="357"/>
      <c r="W18" s="357"/>
      <c r="X18" s="357"/>
      <c r="Y18" s="357"/>
      <c r="Z18" s="357"/>
    </row>
    <row r="19">
      <c r="A19" s="359">
        <v>2.0</v>
      </c>
      <c r="B19" s="452" t="s">
        <v>1736</v>
      </c>
      <c r="C19" s="452"/>
      <c r="D19" s="457">
        <v>1073.15</v>
      </c>
      <c r="E19" s="357" t="s">
        <v>1650</v>
      </c>
      <c r="F19" s="357"/>
      <c r="G19" s="357"/>
      <c r="H19" s="357"/>
      <c r="I19" s="357"/>
      <c r="J19" s="357"/>
      <c r="K19" s="357"/>
      <c r="L19" s="357"/>
      <c r="M19" s="357"/>
      <c r="N19" s="357"/>
      <c r="O19" s="357"/>
      <c r="P19" s="357"/>
      <c r="Q19" s="357"/>
      <c r="R19" s="357"/>
      <c r="S19" s="357"/>
      <c r="T19" s="357"/>
      <c r="U19" s="357"/>
      <c r="V19" s="357"/>
      <c r="W19" s="357"/>
      <c r="X19" s="357"/>
      <c r="Y19" s="357"/>
      <c r="Z19" s="357"/>
    </row>
    <row r="20">
      <c r="A20" s="359">
        <v>3.0</v>
      </c>
      <c r="B20" s="452" t="s">
        <v>7229</v>
      </c>
      <c r="C20" s="452"/>
      <c r="D20" s="458">
        <v>993.0</v>
      </c>
      <c r="E20" s="357" t="s">
        <v>1653</v>
      </c>
      <c r="F20" s="357"/>
      <c r="G20" s="357"/>
      <c r="H20" s="357"/>
      <c r="I20" s="357"/>
      <c r="J20" s="357"/>
      <c r="K20" s="357"/>
      <c r="L20" s="357"/>
      <c r="M20" s="357"/>
      <c r="N20" s="357"/>
      <c r="O20" s="357"/>
      <c r="P20" s="357"/>
      <c r="Q20" s="357"/>
      <c r="R20" s="357"/>
      <c r="S20" s="357"/>
      <c r="T20" s="357"/>
      <c r="U20" s="357"/>
      <c r="V20" s="357"/>
      <c r="W20" s="357"/>
      <c r="X20" s="357"/>
      <c r="Y20" s="357"/>
      <c r="Z20" s="357"/>
    </row>
    <row r="21" ht="15.75" customHeight="1">
      <c r="A21" s="359">
        <v>3.0</v>
      </c>
      <c r="B21" s="452" t="s">
        <v>7221</v>
      </c>
      <c r="C21" s="452"/>
      <c r="D21" s="452">
        <v>174.0</v>
      </c>
      <c r="E21" s="357" t="s">
        <v>42</v>
      </c>
      <c r="F21" s="357"/>
      <c r="G21" s="357"/>
      <c r="H21" s="357"/>
      <c r="I21" s="357"/>
      <c r="J21" s="357"/>
      <c r="K21" s="357"/>
      <c r="L21" s="357"/>
      <c r="M21" s="357"/>
      <c r="N21" s="357"/>
      <c r="O21" s="357"/>
      <c r="P21" s="357"/>
      <c r="Q21" s="357"/>
      <c r="R21" s="357"/>
      <c r="S21" s="357"/>
      <c r="T21" s="357"/>
      <c r="U21" s="357"/>
      <c r="V21" s="357"/>
      <c r="W21" s="357"/>
      <c r="X21" s="357"/>
      <c r="Y21" s="357"/>
      <c r="Z21" s="357"/>
    </row>
    <row r="22" ht="15.75" customHeight="1">
      <c r="A22" s="359">
        <v>3.0</v>
      </c>
      <c r="B22" s="452" t="s">
        <v>2635</v>
      </c>
      <c r="C22" s="452"/>
      <c r="D22" s="452">
        <v>40.0</v>
      </c>
      <c r="E22" s="357" t="s">
        <v>42</v>
      </c>
      <c r="F22" s="357"/>
      <c r="G22" s="357"/>
      <c r="H22" s="357"/>
      <c r="I22" s="357"/>
      <c r="J22" s="357"/>
      <c r="K22" s="357"/>
      <c r="L22" s="357"/>
      <c r="M22" s="357"/>
      <c r="N22" s="357"/>
      <c r="O22" s="357"/>
      <c r="P22" s="357"/>
      <c r="Q22" s="357"/>
      <c r="R22" s="357"/>
      <c r="S22" s="357"/>
      <c r="T22" s="357"/>
      <c r="U22" s="357"/>
      <c r="V22" s="357"/>
      <c r="W22" s="357"/>
      <c r="X22" s="357"/>
      <c r="Y22" s="357"/>
      <c r="Z22" s="357"/>
    </row>
    <row r="23" ht="15.75" customHeight="1">
      <c r="A23" s="359">
        <v>3.0</v>
      </c>
      <c r="B23" s="452" t="s">
        <v>7230</v>
      </c>
      <c r="C23" s="452"/>
      <c r="D23" s="453">
        <v>12.0</v>
      </c>
      <c r="E23" s="357" t="s">
        <v>1660</v>
      </c>
      <c r="F23" s="357"/>
      <c r="G23" s="357"/>
      <c r="H23" s="357"/>
      <c r="I23" s="357"/>
      <c r="J23" s="357"/>
      <c r="K23" s="357"/>
      <c r="L23" s="357"/>
      <c r="M23" s="357"/>
      <c r="N23" s="357"/>
      <c r="O23" s="357"/>
      <c r="P23" s="357"/>
      <c r="Q23" s="357"/>
      <c r="R23" s="357"/>
      <c r="S23" s="357"/>
      <c r="T23" s="357"/>
      <c r="U23" s="357"/>
      <c r="V23" s="357"/>
      <c r="W23" s="357"/>
      <c r="X23" s="357"/>
      <c r="Y23" s="357"/>
      <c r="Z23" s="357"/>
    </row>
    <row r="24" ht="15.75" customHeight="1">
      <c r="A24" s="359">
        <v>3.0</v>
      </c>
      <c r="B24" s="452" t="s">
        <v>7231</v>
      </c>
      <c r="C24" s="452"/>
      <c r="D24" s="453">
        <v>9.0</v>
      </c>
      <c r="E24" s="357" t="s">
        <v>1660</v>
      </c>
      <c r="F24" s="357"/>
      <c r="G24" s="357"/>
      <c r="H24" s="357"/>
      <c r="I24" s="357"/>
      <c r="J24" s="357"/>
      <c r="K24" s="357"/>
      <c r="L24" s="357"/>
      <c r="M24" s="357"/>
      <c r="N24" s="357"/>
      <c r="O24" s="357"/>
      <c r="P24" s="357"/>
      <c r="Q24" s="357"/>
      <c r="R24" s="357"/>
      <c r="S24" s="357"/>
      <c r="T24" s="357"/>
      <c r="U24" s="357"/>
      <c r="V24" s="357"/>
      <c r="W24" s="357"/>
      <c r="X24" s="357"/>
      <c r="Y24" s="357"/>
      <c r="Z24" s="357"/>
    </row>
    <row r="25" ht="15.75" customHeight="1">
      <c r="A25" s="359">
        <v>3.0</v>
      </c>
      <c r="B25" s="452" t="s">
        <v>7232</v>
      </c>
      <c r="C25" s="452"/>
      <c r="D25" s="456">
        <v>90.0</v>
      </c>
      <c r="E25" s="357" t="s">
        <v>1653</v>
      </c>
      <c r="F25" s="357"/>
      <c r="G25" s="357"/>
      <c r="H25" s="357"/>
      <c r="I25" s="357"/>
      <c r="J25" s="357"/>
      <c r="K25" s="357"/>
      <c r="L25" s="357"/>
      <c r="M25" s="357"/>
      <c r="N25" s="357"/>
      <c r="O25" s="357"/>
      <c r="P25" s="357"/>
      <c r="Q25" s="357"/>
      <c r="R25" s="357"/>
      <c r="S25" s="357"/>
      <c r="T25" s="357"/>
      <c r="U25" s="357"/>
      <c r="V25" s="357"/>
      <c r="W25" s="357"/>
      <c r="X25" s="357"/>
      <c r="Y25" s="357"/>
      <c r="Z25" s="357"/>
    </row>
    <row r="26" ht="15.75" customHeight="1">
      <c r="A26" s="359">
        <v>3.0</v>
      </c>
      <c r="B26" s="452" t="s">
        <v>7233</v>
      </c>
      <c r="C26" s="452"/>
      <c r="D26" s="453">
        <v>130.0</v>
      </c>
      <c r="E26" s="357" t="s">
        <v>42</v>
      </c>
      <c r="F26" s="357"/>
      <c r="G26" s="357"/>
      <c r="H26" s="357"/>
      <c r="I26" s="357"/>
      <c r="J26" s="357"/>
      <c r="K26" s="357"/>
      <c r="L26" s="357"/>
      <c r="M26" s="357"/>
      <c r="N26" s="357"/>
      <c r="O26" s="357"/>
      <c r="P26" s="357"/>
      <c r="Q26" s="357"/>
      <c r="R26" s="357"/>
      <c r="S26" s="357"/>
      <c r="T26" s="357"/>
      <c r="U26" s="357"/>
      <c r="V26" s="357"/>
      <c r="W26" s="357"/>
      <c r="X26" s="357"/>
      <c r="Y26" s="357"/>
      <c r="Z26" s="357"/>
    </row>
    <row r="27" ht="15.75" customHeight="1">
      <c r="A27" s="359">
        <v>3.0</v>
      </c>
      <c r="B27" s="452" t="s">
        <v>7234</v>
      </c>
      <c r="C27" s="452"/>
      <c r="D27" s="453">
        <v>480.0</v>
      </c>
      <c r="E27" s="357" t="s">
        <v>42</v>
      </c>
      <c r="F27" s="357"/>
      <c r="G27" s="357"/>
      <c r="H27" s="357"/>
      <c r="I27" s="357"/>
      <c r="J27" s="357"/>
      <c r="K27" s="357"/>
      <c r="L27" s="357"/>
      <c r="M27" s="357"/>
      <c r="N27" s="357"/>
      <c r="O27" s="357"/>
      <c r="P27" s="357"/>
      <c r="Q27" s="357"/>
      <c r="R27" s="357"/>
      <c r="S27" s="357"/>
      <c r="T27" s="357"/>
      <c r="U27" s="357"/>
      <c r="V27" s="357"/>
      <c r="W27" s="357"/>
      <c r="X27" s="357"/>
      <c r="Y27" s="357"/>
      <c r="Z27" s="357"/>
    </row>
    <row r="28" ht="15.75" customHeight="1">
      <c r="A28" s="359">
        <v>3.0</v>
      </c>
      <c r="B28" s="452" t="s">
        <v>7235</v>
      </c>
      <c r="C28" s="452"/>
      <c r="D28" s="453">
        <v>210.0</v>
      </c>
      <c r="E28" s="357" t="s">
        <v>42</v>
      </c>
      <c r="F28" s="357"/>
      <c r="G28" s="357"/>
      <c r="H28" s="357"/>
      <c r="I28" s="357"/>
      <c r="J28" s="357"/>
      <c r="K28" s="357"/>
      <c r="L28" s="357"/>
      <c r="M28" s="357"/>
      <c r="N28" s="357"/>
      <c r="O28" s="357"/>
      <c r="P28" s="357"/>
      <c r="Q28" s="357"/>
      <c r="R28" s="357"/>
      <c r="S28" s="357"/>
      <c r="T28" s="357"/>
      <c r="U28" s="357"/>
      <c r="V28" s="357"/>
      <c r="W28" s="357"/>
      <c r="X28" s="357"/>
      <c r="Y28" s="357"/>
      <c r="Z28" s="357"/>
    </row>
    <row r="29" ht="15.75" customHeight="1">
      <c r="A29" s="359">
        <v>3.0</v>
      </c>
      <c r="B29" s="452" t="s">
        <v>7236</v>
      </c>
      <c r="C29" s="452"/>
      <c r="D29" s="453">
        <v>77.0</v>
      </c>
      <c r="E29" s="357" t="s">
        <v>42</v>
      </c>
      <c r="F29" s="357"/>
      <c r="G29" s="357"/>
      <c r="H29" s="357"/>
      <c r="I29" s="357"/>
      <c r="J29" s="357"/>
      <c r="K29" s="357"/>
      <c r="L29" s="357"/>
      <c r="M29" s="357"/>
      <c r="N29" s="357"/>
      <c r="O29" s="357"/>
      <c r="P29" s="357"/>
      <c r="Q29" s="357"/>
      <c r="R29" s="357"/>
      <c r="S29" s="357"/>
      <c r="T29" s="357"/>
      <c r="U29" s="357"/>
      <c r="V29" s="357"/>
      <c r="W29" s="357"/>
      <c r="X29" s="357"/>
      <c r="Y29" s="357"/>
      <c r="Z29" s="357"/>
    </row>
    <row r="30" ht="15.75" customHeight="1">
      <c r="A30" s="359">
        <v>3.0</v>
      </c>
      <c r="B30" s="452" t="s">
        <v>7237</v>
      </c>
      <c r="C30" s="452"/>
      <c r="D30" s="452">
        <v>25.28</v>
      </c>
      <c r="E30" s="357" t="s">
        <v>1660</v>
      </c>
      <c r="F30" s="357"/>
      <c r="G30" s="357"/>
      <c r="H30" s="357"/>
      <c r="I30" s="357"/>
      <c r="J30" s="357"/>
      <c r="K30" s="357"/>
      <c r="L30" s="357"/>
      <c r="M30" s="357"/>
      <c r="N30" s="357"/>
      <c r="O30" s="357"/>
      <c r="P30" s="357"/>
      <c r="Q30" s="357"/>
      <c r="R30" s="357"/>
      <c r="S30" s="357"/>
      <c r="T30" s="357"/>
      <c r="U30" s="357"/>
      <c r="V30" s="357"/>
      <c r="W30" s="357"/>
      <c r="X30" s="357"/>
      <c r="Y30" s="357"/>
      <c r="Z30" s="357"/>
    </row>
    <row r="31" ht="15.75" customHeight="1">
      <c r="A31" s="359">
        <v>3.0</v>
      </c>
      <c r="B31" s="452" t="s">
        <v>1736</v>
      </c>
      <c r="C31" s="452"/>
      <c r="D31" s="458">
        <v>958.0</v>
      </c>
      <c r="E31" s="357" t="s">
        <v>1650</v>
      </c>
      <c r="F31" s="357"/>
      <c r="G31" s="357"/>
      <c r="H31" s="357"/>
      <c r="I31" s="357"/>
      <c r="J31" s="357"/>
      <c r="K31" s="357"/>
      <c r="L31" s="357"/>
      <c r="M31" s="357"/>
      <c r="N31" s="357"/>
      <c r="O31" s="357"/>
      <c r="P31" s="357"/>
      <c r="Q31" s="357"/>
      <c r="R31" s="357"/>
      <c r="S31" s="357"/>
      <c r="T31" s="357"/>
      <c r="U31" s="357"/>
      <c r="V31" s="357"/>
      <c r="W31" s="357"/>
      <c r="X31" s="357"/>
      <c r="Y31" s="357"/>
      <c r="Z31" s="357"/>
    </row>
    <row r="32" ht="15.75" customHeight="1">
      <c r="A32" s="359">
        <v>3.0</v>
      </c>
      <c r="B32" s="452" t="s">
        <v>7238</v>
      </c>
      <c r="C32" s="452"/>
      <c r="D32" s="452">
        <v>765.0</v>
      </c>
      <c r="E32" s="357" t="s">
        <v>42</v>
      </c>
      <c r="F32" s="357"/>
      <c r="G32" s="357"/>
      <c r="H32" s="357"/>
      <c r="I32" s="357"/>
      <c r="J32" s="357"/>
      <c r="K32" s="357"/>
      <c r="L32" s="357"/>
      <c r="M32" s="357"/>
      <c r="N32" s="357"/>
      <c r="O32" s="357"/>
      <c r="P32" s="357"/>
      <c r="Q32" s="357"/>
      <c r="R32" s="357"/>
      <c r="S32" s="357"/>
      <c r="T32" s="357"/>
      <c r="U32" s="357"/>
      <c r="V32" s="357"/>
      <c r="W32" s="357"/>
      <c r="X32" s="357"/>
      <c r="Y32" s="357"/>
      <c r="Z32" s="357"/>
    </row>
    <row r="33" ht="15.75" customHeight="1">
      <c r="A33" s="359">
        <v>3.0</v>
      </c>
      <c r="B33" s="452" t="s">
        <v>7239</v>
      </c>
      <c r="C33" s="452"/>
      <c r="D33" s="453">
        <v>151.0</v>
      </c>
      <c r="E33" s="357" t="s">
        <v>42</v>
      </c>
      <c r="F33" s="412"/>
      <c r="G33" s="357"/>
      <c r="H33" s="357"/>
      <c r="I33" s="357"/>
      <c r="J33" s="357"/>
      <c r="K33" s="357"/>
      <c r="L33" s="357"/>
      <c r="M33" s="357"/>
      <c r="N33" s="357"/>
      <c r="O33" s="357"/>
      <c r="P33" s="357"/>
      <c r="Q33" s="357"/>
      <c r="R33" s="357"/>
      <c r="S33" s="357"/>
      <c r="T33" s="357"/>
      <c r="U33" s="357"/>
      <c r="V33" s="357"/>
      <c r="W33" s="357"/>
      <c r="X33" s="357"/>
      <c r="Y33" s="357"/>
      <c r="Z33" s="357"/>
    </row>
    <row r="34" ht="15.75" customHeight="1">
      <c r="A34" s="359">
        <v>3.0</v>
      </c>
      <c r="B34" s="452" t="s">
        <v>7227</v>
      </c>
      <c r="C34" s="452"/>
      <c r="D34" s="453">
        <v>22.0</v>
      </c>
      <c r="E34" s="357" t="s">
        <v>1653</v>
      </c>
      <c r="F34" s="357"/>
      <c r="G34" s="357"/>
      <c r="H34" s="357"/>
      <c r="I34" s="357"/>
      <c r="J34" s="357"/>
      <c r="K34" s="357"/>
      <c r="L34" s="357"/>
      <c r="M34" s="357"/>
      <c r="N34" s="357"/>
      <c r="O34" s="357"/>
      <c r="P34" s="357"/>
      <c r="Q34" s="357"/>
      <c r="R34" s="357"/>
      <c r="S34" s="357"/>
      <c r="T34" s="357"/>
      <c r="U34" s="357"/>
      <c r="V34" s="357"/>
      <c r="W34" s="357"/>
      <c r="X34" s="357"/>
      <c r="Y34" s="357"/>
      <c r="Z34" s="357"/>
    </row>
    <row r="35" ht="15.75" customHeight="1">
      <c r="A35" s="359">
        <v>3.0</v>
      </c>
      <c r="B35" s="452" t="s">
        <v>7240</v>
      </c>
      <c r="C35" s="452"/>
      <c r="D35" s="453">
        <v>200.0</v>
      </c>
      <c r="E35" s="357" t="s">
        <v>42</v>
      </c>
      <c r="F35" s="357"/>
      <c r="G35" s="357"/>
      <c r="H35" s="357"/>
      <c r="I35" s="357"/>
      <c r="J35" s="357"/>
      <c r="K35" s="357"/>
      <c r="L35" s="357"/>
      <c r="M35" s="357"/>
      <c r="N35" s="357"/>
      <c r="O35" s="357"/>
      <c r="P35" s="357"/>
      <c r="Q35" s="357"/>
      <c r="R35" s="357"/>
      <c r="S35" s="357"/>
      <c r="T35" s="357"/>
      <c r="U35" s="357"/>
      <c r="V35" s="357"/>
      <c r="W35" s="357"/>
      <c r="X35" s="357"/>
      <c r="Y35" s="357"/>
      <c r="Z35" s="357"/>
    </row>
    <row r="36" ht="15.75" customHeight="1">
      <c r="A36" s="359">
        <v>4.0</v>
      </c>
      <c r="B36" s="452" t="s">
        <v>7219</v>
      </c>
      <c r="C36" s="452"/>
      <c r="D36" s="453">
        <v>369.66</v>
      </c>
      <c r="E36" s="357" t="s">
        <v>1652</v>
      </c>
      <c r="F36" s="357"/>
      <c r="G36" s="357"/>
      <c r="H36" s="357"/>
      <c r="I36" s="357"/>
      <c r="J36" s="357"/>
      <c r="K36" s="357"/>
      <c r="L36" s="357"/>
      <c r="M36" s="357"/>
      <c r="N36" s="357"/>
      <c r="O36" s="357"/>
      <c r="P36" s="357"/>
      <c r="Q36" s="357"/>
      <c r="R36" s="357"/>
      <c r="S36" s="357"/>
      <c r="T36" s="357"/>
      <c r="U36" s="357"/>
      <c r="V36" s="357"/>
      <c r="W36" s="357"/>
      <c r="X36" s="357"/>
      <c r="Y36" s="357"/>
      <c r="Z36" s="357"/>
    </row>
    <row r="37" ht="15.75" customHeight="1">
      <c r="A37" s="359">
        <v>4.0</v>
      </c>
      <c r="B37" s="452" t="s">
        <v>7233</v>
      </c>
      <c r="C37" s="452"/>
      <c r="D37" s="453">
        <v>395.0</v>
      </c>
      <c r="E37" s="357" t="s">
        <v>42</v>
      </c>
      <c r="F37" s="357"/>
      <c r="G37" s="357"/>
      <c r="H37" s="357"/>
      <c r="I37" s="357"/>
      <c r="J37" s="357"/>
      <c r="K37" s="357"/>
      <c r="L37" s="357"/>
      <c r="M37" s="357"/>
      <c r="N37" s="357"/>
      <c r="O37" s="357"/>
      <c r="P37" s="357"/>
      <c r="Q37" s="357"/>
      <c r="R37" s="357"/>
      <c r="S37" s="357"/>
      <c r="T37" s="357"/>
      <c r="U37" s="357"/>
      <c r="V37" s="357"/>
      <c r="W37" s="357"/>
      <c r="X37" s="357"/>
      <c r="Y37" s="357"/>
      <c r="Z37" s="357"/>
    </row>
    <row r="38" ht="15.75" customHeight="1">
      <c r="A38" s="359">
        <v>4.0</v>
      </c>
      <c r="B38" s="452" t="s">
        <v>7241</v>
      </c>
      <c r="C38" s="452"/>
      <c r="D38" s="453">
        <v>158.0</v>
      </c>
      <c r="E38" s="357" t="s">
        <v>42</v>
      </c>
      <c r="F38" s="357"/>
      <c r="G38" s="357"/>
      <c r="H38" s="357"/>
      <c r="I38" s="357"/>
      <c r="J38" s="357"/>
      <c r="K38" s="357"/>
      <c r="L38" s="357"/>
      <c r="M38" s="357"/>
      <c r="N38" s="357"/>
      <c r="O38" s="357"/>
      <c r="P38" s="357"/>
      <c r="Q38" s="357"/>
      <c r="R38" s="357"/>
      <c r="S38" s="357"/>
      <c r="T38" s="357"/>
      <c r="U38" s="357"/>
      <c r="V38" s="357"/>
      <c r="W38" s="357"/>
      <c r="X38" s="357"/>
      <c r="Y38" s="357"/>
      <c r="Z38" s="357"/>
    </row>
    <row r="39" ht="15.75" customHeight="1">
      <c r="A39" s="359">
        <v>4.0</v>
      </c>
      <c r="B39" s="452" t="s">
        <v>7242</v>
      </c>
      <c r="C39" s="452"/>
      <c r="D39" s="452">
        <v>30.0</v>
      </c>
      <c r="E39" s="357" t="s">
        <v>42</v>
      </c>
      <c r="F39" s="357"/>
      <c r="G39" s="357"/>
      <c r="H39" s="357"/>
      <c r="I39" s="357"/>
      <c r="J39" s="357"/>
      <c r="K39" s="357"/>
      <c r="L39" s="357"/>
      <c r="M39" s="357"/>
      <c r="N39" s="357"/>
      <c r="O39" s="357"/>
      <c r="P39" s="357"/>
      <c r="Q39" s="357"/>
      <c r="R39" s="357"/>
      <c r="S39" s="357"/>
      <c r="T39" s="357"/>
      <c r="U39" s="357"/>
      <c r="V39" s="357"/>
      <c r="W39" s="357"/>
      <c r="X39" s="357"/>
      <c r="Y39" s="357"/>
      <c r="Z39" s="357"/>
    </row>
    <row r="40" ht="15.75" customHeight="1">
      <c r="A40" s="359">
        <v>4.0</v>
      </c>
      <c r="B40" s="452" t="s">
        <v>7243</v>
      </c>
      <c r="C40" s="452"/>
      <c r="D40" s="453">
        <v>50.0</v>
      </c>
      <c r="E40" s="357" t="s">
        <v>1659</v>
      </c>
      <c r="F40" s="357"/>
      <c r="G40" s="357"/>
      <c r="H40" s="357"/>
      <c r="I40" s="357"/>
      <c r="J40" s="357"/>
      <c r="K40" s="357"/>
      <c r="L40" s="357"/>
      <c r="M40" s="357"/>
      <c r="N40" s="357"/>
      <c r="O40" s="357"/>
      <c r="P40" s="357"/>
      <c r="Q40" s="357"/>
      <c r="R40" s="357"/>
      <c r="S40" s="357"/>
      <c r="T40" s="357"/>
      <c r="U40" s="357"/>
      <c r="V40" s="357"/>
      <c r="W40" s="357"/>
      <c r="X40" s="357"/>
      <c r="Y40" s="357"/>
      <c r="Z40" s="357"/>
    </row>
    <row r="41" ht="15.75" customHeight="1">
      <c r="A41" s="359">
        <v>4.0</v>
      </c>
      <c r="B41" s="452" t="s">
        <v>7244</v>
      </c>
      <c r="C41" s="452"/>
      <c r="D41" s="453">
        <v>660.0</v>
      </c>
      <c r="E41" s="357" t="s">
        <v>1659</v>
      </c>
      <c r="F41" s="357"/>
      <c r="G41" s="357"/>
      <c r="H41" s="357"/>
      <c r="I41" s="357"/>
      <c r="J41" s="357"/>
      <c r="K41" s="357"/>
      <c r="L41" s="357"/>
      <c r="M41" s="357"/>
      <c r="N41" s="357"/>
      <c r="O41" s="357"/>
      <c r="P41" s="357"/>
      <c r="Q41" s="357"/>
      <c r="R41" s="357"/>
      <c r="S41" s="357"/>
      <c r="T41" s="357"/>
      <c r="U41" s="357"/>
      <c r="V41" s="357"/>
      <c r="W41" s="357"/>
      <c r="X41" s="357"/>
      <c r="Y41" s="357"/>
      <c r="Z41" s="357"/>
    </row>
    <row r="42" ht="15.75" customHeight="1">
      <c r="A42" s="359">
        <v>4.0</v>
      </c>
      <c r="B42" s="452" t="s">
        <v>7245</v>
      </c>
      <c r="C42" s="452"/>
      <c r="D42" s="452" t="s">
        <v>7246</v>
      </c>
      <c r="E42" s="357" t="s">
        <v>42</v>
      </c>
      <c r="F42" s="357" t="s">
        <v>7247</v>
      </c>
      <c r="G42" s="357"/>
      <c r="H42" s="357"/>
      <c r="I42" s="357"/>
      <c r="J42" s="357"/>
      <c r="K42" s="357"/>
      <c r="L42" s="357"/>
      <c r="M42" s="357"/>
      <c r="N42" s="357"/>
      <c r="O42" s="357"/>
      <c r="P42" s="357"/>
      <c r="Q42" s="357"/>
      <c r="R42" s="357"/>
      <c r="S42" s="357"/>
      <c r="T42" s="357"/>
      <c r="U42" s="357"/>
      <c r="V42" s="357"/>
      <c r="W42" s="357"/>
      <c r="X42" s="357"/>
      <c r="Y42" s="357"/>
      <c r="Z42" s="357"/>
    </row>
    <row r="43" ht="15.75" customHeight="1">
      <c r="A43" s="359">
        <v>4.0</v>
      </c>
      <c r="B43" s="452" t="s">
        <v>7248</v>
      </c>
      <c r="C43" s="452"/>
      <c r="D43" s="452">
        <v>260.0</v>
      </c>
      <c r="E43" s="357" t="s">
        <v>1660</v>
      </c>
      <c r="F43" s="357"/>
      <c r="G43" s="357"/>
      <c r="H43" s="357"/>
      <c r="I43" s="357"/>
      <c r="J43" s="357"/>
      <c r="K43" s="357"/>
      <c r="L43" s="357"/>
      <c r="M43" s="357"/>
      <c r="N43" s="357"/>
      <c r="O43" s="357"/>
      <c r="P43" s="357"/>
      <c r="Q43" s="357"/>
      <c r="R43" s="357"/>
      <c r="S43" s="357"/>
      <c r="T43" s="357"/>
      <c r="U43" s="357"/>
      <c r="V43" s="357"/>
      <c r="W43" s="357"/>
      <c r="X43" s="357"/>
      <c r="Y43" s="357"/>
      <c r="Z43" s="357"/>
    </row>
    <row r="44" ht="15.75" customHeight="1">
      <c r="A44" s="359">
        <v>4.0</v>
      </c>
      <c r="B44" s="452" t="s">
        <v>7235</v>
      </c>
      <c r="C44" s="452"/>
      <c r="D44" s="453">
        <v>86.38</v>
      </c>
      <c r="E44" s="357" t="s">
        <v>42</v>
      </c>
      <c r="F44" s="357"/>
      <c r="G44" s="357"/>
      <c r="H44" s="357"/>
      <c r="I44" s="357"/>
      <c r="J44" s="357"/>
      <c r="K44" s="357"/>
      <c r="L44" s="357"/>
      <c r="M44" s="357"/>
      <c r="N44" s="357"/>
      <c r="O44" s="357"/>
      <c r="P44" s="357"/>
      <c r="Q44" s="357"/>
      <c r="R44" s="357"/>
      <c r="S44" s="357"/>
      <c r="T44" s="357"/>
      <c r="U44" s="357"/>
      <c r="V44" s="357"/>
      <c r="W44" s="357"/>
      <c r="X44" s="357"/>
      <c r="Y44" s="357"/>
      <c r="Z44" s="357"/>
    </row>
    <row r="45" ht="15.75" customHeight="1">
      <c r="A45" s="359">
        <v>4.0</v>
      </c>
      <c r="B45" s="452" t="s">
        <v>7249</v>
      </c>
      <c r="C45" s="452"/>
      <c r="D45" s="453">
        <v>1049.0</v>
      </c>
      <c r="E45" s="357" t="s">
        <v>1660</v>
      </c>
      <c r="F45" s="357"/>
      <c r="G45" s="357"/>
      <c r="H45" s="357"/>
      <c r="I45" s="357"/>
      <c r="J45" s="357"/>
      <c r="K45" s="357"/>
      <c r="L45" s="357"/>
      <c r="M45" s="357"/>
      <c r="N45" s="357"/>
      <c r="O45" s="357"/>
      <c r="P45" s="357"/>
      <c r="Q45" s="357"/>
      <c r="R45" s="357"/>
      <c r="S45" s="357"/>
      <c r="T45" s="357"/>
      <c r="U45" s="357"/>
      <c r="V45" s="357"/>
      <c r="W45" s="357"/>
      <c r="X45" s="357"/>
      <c r="Y45" s="357"/>
      <c r="Z45" s="357"/>
    </row>
    <row r="46" ht="15.75" customHeight="1">
      <c r="A46" s="359">
        <v>4.0</v>
      </c>
      <c r="B46" s="452" t="s">
        <v>7250</v>
      </c>
      <c r="C46" s="452"/>
      <c r="D46" s="453">
        <v>40.0</v>
      </c>
      <c r="E46" s="357" t="s">
        <v>1659</v>
      </c>
      <c r="F46" s="357"/>
      <c r="G46" s="357"/>
      <c r="H46" s="357"/>
      <c r="I46" s="357"/>
      <c r="J46" s="357"/>
      <c r="K46" s="357"/>
      <c r="L46" s="357"/>
      <c r="M46" s="357"/>
      <c r="N46" s="357"/>
      <c r="O46" s="357"/>
      <c r="P46" s="357"/>
      <c r="Q46" s="357"/>
      <c r="R46" s="357"/>
      <c r="S46" s="357"/>
      <c r="T46" s="357"/>
      <c r="U46" s="357"/>
      <c r="V46" s="357"/>
      <c r="W46" s="357"/>
      <c r="X46" s="357"/>
      <c r="Y46" s="357"/>
      <c r="Z46" s="357"/>
    </row>
    <row r="47" ht="15.75" customHeight="1">
      <c r="A47" s="359">
        <v>4.0</v>
      </c>
      <c r="B47" s="452" t="s">
        <v>7251</v>
      </c>
      <c r="C47" s="452"/>
      <c r="D47" s="453">
        <v>250.0</v>
      </c>
      <c r="E47" s="357" t="s">
        <v>1659</v>
      </c>
      <c r="F47" s="357"/>
      <c r="G47" s="357"/>
      <c r="H47" s="357"/>
      <c r="I47" s="357"/>
      <c r="J47" s="357"/>
      <c r="K47" s="357"/>
      <c r="L47" s="357"/>
      <c r="M47" s="357"/>
      <c r="N47" s="357"/>
      <c r="O47" s="357"/>
      <c r="P47" s="357"/>
      <c r="Q47" s="357"/>
      <c r="R47" s="357"/>
      <c r="S47" s="357"/>
      <c r="T47" s="357"/>
      <c r="U47" s="357"/>
      <c r="V47" s="357"/>
      <c r="W47" s="357"/>
      <c r="X47" s="357"/>
      <c r="Y47" s="357"/>
      <c r="Z47" s="357"/>
    </row>
    <row r="48" ht="15.75" customHeight="1">
      <c r="A48" s="359">
        <v>4.0</v>
      </c>
      <c r="B48" s="452" t="s">
        <v>7252</v>
      </c>
      <c r="C48" s="452"/>
      <c r="D48" s="458">
        <v>824.0</v>
      </c>
      <c r="E48" s="357" t="s">
        <v>1653</v>
      </c>
      <c r="F48" s="357"/>
      <c r="G48" s="357"/>
      <c r="H48" s="357"/>
      <c r="I48" s="357"/>
      <c r="J48" s="357"/>
      <c r="K48" s="357"/>
      <c r="L48" s="357"/>
      <c r="M48" s="357"/>
      <c r="N48" s="357"/>
      <c r="O48" s="357"/>
      <c r="P48" s="357"/>
      <c r="Q48" s="357"/>
      <c r="R48" s="357"/>
      <c r="S48" s="357"/>
      <c r="T48" s="357"/>
      <c r="U48" s="357"/>
      <c r="V48" s="357"/>
      <c r="W48" s="357"/>
      <c r="X48" s="357"/>
      <c r="Y48" s="357"/>
      <c r="Z48" s="357"/>
    </row>
    <row r="49" ht="15.75" customHeight="1">
      <c r="A49" s="359">
        <v>4.0</v>
      </c>
      <c r="B49" s="452" t="s">
        <v>7253</v>
      </c>
      <c r="C49" s="452"/>
      <c r="D49" s="453">
        <v>212.0</v>
      </c>
      <c r="E49" s="357" t="s">
        <v>42</v>
      </c>
      <c r="F49" s="357"/>
      <c r="G49" s="357"/>
      <c r="H49" s="357"/>
      <c r="I49" s="357"/>
      <c r="J49" s="357"/>
      <c r="K49" s="357"/>
      <c r="L49" s="357"/>
      <c r="M49" s="357"/>
      <c r="N49" s="357"/>
      <c r="O49" s="357"/>
      <c r="P49" s="357"/>
      <c r="Q49" s="357"/>
      <c r="R49" s="357"/>
      <c r="S49" s="357"/>
      <c r="T49" s="357"/>
      <c r="U49" s="357"/>
      <c r="V49" s="357"/>
      <c r="W49" s="357"/>
      <c r="X49" s="357"/>
      <c r="Y49" s="357"/>
      <c r="Z49" s="357"/>
    </row>
    <row r="50" ht="15.75" customHeight="1">
      <c r="A50" s="359">
        <v>4.0</v>
      </c>
      <c r="B50" s="452" t="s">
        <v>7242</v>
      </c>
      <c r="C50" s="452"/>
      <c r="D50" s="452">
        <v>100.0</v>
      </c>
      <c r="E50" s="357" t="s">
        <v>42</v>
      </c>
      <c r="F50" s="357"/>
      <c r="G50" s="357"/>
      <c r="H50" s="357"/>
      <c r="I50" s="357"/>
      <c r="J50" s="357"/>
      <c r="K50" s="357"/>
      <c r="L50" s="357"/>
      <c r="M50" s="357"/>
      <c r="N50" s="357"/>
      <c r="O50" s="357"/>
      <c r="P50" s="357"/>
      <c r="Q50" s="357"/>
      <c r="R50" s="357"/>
      <c r="S50" s="357"/>
      <c r="T50" s="357"/>
      <c r="U50" s="357"/>
      <c r="V50" s="357"/>
      <c r="W50" s="357"/>
      <c r="X50" s="357"/>
      <c r="Y50" s="357"/>
      <c r="Z50" s="357"/>
    </row>
    <row r="51" ht="15.75" customHeight="1">
      <c r="A51" s="359">
        <v>4.0</v>
      </c>
      <c r="B51" s="452" t="s">
        <v>7227</v>
      </c>
      <c r="C51" s="452"/>
      <c r="D51" s="453">
        <v>22.0</v>
      </c>
      <c r="E51" s="357" t="s">
        <v>1653</v>
      </c>
      <c r="F51" s="357"/>
      <c r="G51" s="357"/>
      <c r="H51" s="357"/>
      <c r="I51" s="357"/>
      <c r="J51" s="357"/>
      <c r="K51" s="357"/>
      <c r="L51" s="357"/>
      <c r="M51" s="357"/>
      <c r="N51" s="357"/>
      <c r="O51" s="357"/>
      <c r="P51" s="357"/>
      <c r="Q51" s="357"/>
      <c r="R51" s="357"/>
      <c r="S51" s="357"/>
      <c r="T51" s="357"/>
      <c r="U51" s="357"/>
      <c r="V51" s="357"/>
      <c r="W51" s="357"/>
      <c r="X51" s="357"/>
      <c r="Y51" s="357"/>
      <c r="Z51" s="357"/>
    </row>
    <row r="52" ht="15.75" customHeight="1">
      <c r="A52" s="359">
        <v>4.0</v>
      </c>
      <c r="B52" s="452" t="s">
        <v>1736</v>
      </c>
      <c r="C52" s="452"/>
      <c r="D52" s="458">
        <v>111.0</v>
      </c>
      <c r="E52" s="357" t="s">
        <v>1650</v>
      </c>
      <c r="F52" s="357"/>
      <c r="G52" s="357"/>
      <c r="H52" s="357"/>
      <c r="I52" s="357"/>
      <c r="J52" s="357"/>
      <c r="K52" s="357"/>
      <c r="L52" s="357"/>
      <c r="M52" s="357"/>
      <c r="N52" s="357"/>
      <c r="O52" s="357"/>
      <c r="P52" s="357"/>
      <c r="Q52" s="357"/>
      <c r="R52" s="357"/>
      <c r="S52" s="357"/>
      <c r="T52" s="357"/>
      <c r="U52" s="357"/>
      <c r="V52" s="357"/>
      <c r="W52" s="357"/>
      <c r="X52" s="357"/>
      <c r="Y52" s="357"/>
      <c r="Z52" s="357"/>
    </row>
    <row r="53" ht="15.75" customHeight="1">
      <c r="A53" s="359">
        <v>5.0</v>
      </c>
      <c r="B53" s="452" t="s">
        <v>7242</v>
      </c>
      <c r="C53" s="452"/>
      <c r="D53" s="452">
        <v>300.0</v>
      </c>
      <c r="E53" s="357" t="s">
        <v>42</v>
      </c>
      <c r="F53" s="357"/>
      <c r="G53" s="357"/>
      <c r="H53" s="357"/>
      <c r="I53" s="357"/>
      <c r="J53" s="357"/>
      <c r="K53" s="357"/>
      <c r="L53" s="357"/>
      <c r="M53" s="357"/>
      <c r="N53" s="357"/>
      <c r="O53" s="357"/>
      <c r="P53" s="357"/>
      <c r="Q53" s="357"/>
      <c r="R53" s="357"/>
      <c r="S53" s="357"/>
      <c r="T53" s="357"/>
      <c r="U53" s="357"/>
      <c r="V53" s="357"/>
      <c r="W53" s="357"/>
      <c r="X53" s="357"/>
      <c r="Y53" s="357"/>
      <c r="Z53" s="357"/>
    </row>
    <row r="54" ht="15.75" customHeight="1">
      <c r="A54" s="359">
        <v>5.0</v>
      </c>
      <c r="B54" s="452" t="s">
        <v>7254</v>
      </c>
      <c r="C54" s="452"/>
      <c r="D54" s="453">
        <v>100.0</v>
      </c>
      <c r="E54" s="357" t="s">
        <v>42</v>
      </c>
      <c r="F54" s="357"/>
      <c r="G54" s="357"/>
      <c r="H54" s="357"/>
      <c r="I54" s="357"/>
      <c r="J54" s="357"/>
      <c r="K54" s="357"/>
      <c r="L54" s="357"/>
      <c r="M54" s="357"/>
      <c r="N54" s="357"/>
      <c r="O54" s="357"/>
      <c r="P54" s="357"/>
      <c r="Q54" s="357"/>
      <c r="R54" s="357"/>
      <c r="S54" s="357"/>
      <c r="T54" s="357"/>
      <c r="U54" s="357"/>
      <c r="V54" s="357"/>
      <c r="W54" s="357"/>
      <c r="X54" s="357"/>
      <c r="Y54" s="357"/>
      <c r="Z54" s="357"/>
    </row>
    <row r="55" ht="15.75" customHeight="1">
      <c r="A55" s="359">
        <v>5.0</v>
      </c>
      <c r="B55" s="452" t="s">
        <v>7255</v>
      </c>
      <c r="C55" s="452"/>
      <c r="D55" s="452">
        <v>4304.0</v>
      </c>
      <c r="E55" s="357" t="s">
        <v>42</v>
      </c>
      <c r="F55" s="357"/>
      <c r="G55" s="357"/>
      <c r="H55" s="357"/>
      <c r="I55" s="357"/>
      <c r="J55" s="357"/>
      <c r="K55" s="357"/>
      <c r="L55" s="357"/>
      <c r="M55" s="357"/>
      <c r="N55" s="357"/>
      <c r="O55" s="357"/>
      <c r="P55" s="357"/>
      <c r="Q55" s="357"/>
      <c r="R55" s="357"/>
      <c r="S55" s="357"/>
      <c r="T55" s="357"/>
      <c r="U55" s="357"/>
      <c r="V55" s="357"/>
      <c r="W55" s="357"/>
      <c r="X55" s="357"/>
      <c r="Y55" s="357"/>
      <c r="Z55" s="357"/>
    </row>
    <row r="56" ht="15.75" customHeight="1">
      <c r="A56" s="359">
        <v>5.0</v>
      </c>
      <c r="B56" s="452" t="s">
        <v>7256</v>
      </c>
      <c r="C56" s="452"/>
      <c r="D56" s="453">
        <v>369.66</v>
      </c>
      <c r="E56" s="357" t="s">
        <v>1652</v>
      </c>
      <c r="F56" s="357"/>
      <c r="G56" s="357"/>
      <c r="H56" s="357"/>
      <c r="I56" s="357"/>
      <c r="J56" s="357"/>
      <c r="K56" s="357"/>
      <c r="L56" s="357"/>
      <c r="M56" s="357"/>
      <c r="N56" s="357"/>
      <c r="O56" s="357"/>
      <c r="P56" s="357"/>
      <c r="Q56" s="357"/>
      <c r="R56" s="357"/>
      <c r="S56" s="357"/>
      <c r="T56" s="357"/>
      <c r="U56" s="357"/>
      <c r="V56" s="357"/>
      <c r="W56" s="357"/>
      <c r="X56" s="357"/>
      <c r="Y56" s="357"/>
      <c r="Z56" s="357"/>
    </row>
    <row r="57" ht="15.75" customHeight="1">
      <c r="A57" s="359">
        <v>5.0</v>
      </c>
      <c r="B57" s="452" t="s">
        <v>7257</v>
      </c>
      <c r="C57" s="452"/>
      <c r="D57" s="453">
        <v>748.0</v>
      </c>
      <c r="E57" s="357" t="s">
        <v>42</v>
      </c>
      <c r="F57" s="357"/>
      <c r="G57" s="357"/>
      <c r="H57" s="357"/>
      <c r="I57" s="357"/>
      <c r="J57" s="357"/>
      <c r="K57" s="357"/>
      <c r="L57" s="357"/>
      <c r="M57" s="357"/>
      <c r="N57" s="357"/>
      <c r="O57" s="357"/>
      <c r="P57" s="357"/>
      <c r="Q57" s="357"/>
      <c r="R57" s="357"/>
      <c r="S57" s="357"/>
      <c r="T57" s="357"/>
      <c r="U57" s="357"/>
      <c r="V57" s="357"/>
      <c r="W57" s="357"/>
      <c r="X57" s="357"/>
      <c r="Y57" s="357"/>
      <c r="Z57" s="357"/>
    </row>
    <row r="58" ht="15.75" customHeight="1">
      <c r="A58" s="359">
        <v>5.0</v>
      </c>
      <c r="B58" s="452" t="s">
        <v>7258</v>
      </c>
      <c r="C58" s="452"/>
      <c r="D58" s="453">
        <v>50.0</v>
      </c>
      <c r="E58" s="357" t="s">
        <v>1653</v>
      </c>
      <c r="F58" s="357"/>
      <c r="G58" s="357"/>
      <c r="H58" s="357"/>
      <c r="I58" s="357"/>
      <c r="J58" s="357"/>
      <c r="K58" s="357"/>
      <c r="L58" s="357"/>
      <c r="M58" s="357"/>
      <c r="N58" s="357"/>
      <c r="O58" s="357"/>
      <c r="P58" s="357"/>
      <c r="Q58" s="357"/>
      <c r="R58" s="357"/>
      <c r="S58" s="357"/>
      <c r="T58" s="357"/>
      <c r="U58" s="357"/>
      <c r="V58" s="357"/>
      <c r="W58" s="357"/>
      <c r="X58" s="357"/>
      <c r="Y58" s="357"/>
      <c r="Z58" s="357"/>
    </row>
    <row r="59" ht="15.75" customHeight="1">
      <c r="A59" s="359">
        <v>5.0</v>
      </c>
      <c r="B59" s="452" t="s">
        <v>7259</v>
      </c>
      <c r="C59" s="452"/>
      <c r="D59" s="453">
        <v>203.0</v>
      </c>
      <c r="E59" s="357" t="s">
        <v>42</v>
      </c>
      <c r="F59" s="357" t="s">
        <v>7212</v>
      </c>
      <c r="G59" s="357"/>
      <c r="H59" s="357"/>
      <c r="I59" s="357"/>
      <c r="J59" s="357"/>
      <c r="K59" s="357"/>
      <c r="L59" s="357"/>
      <c r="M59" s="357"/>
      <c r="N59" s="357"/>
      <c r="O59" s="357"/>
      <c r="P59" s="357"/>
      <c r="Q59" s="357"/>
      <c r="R59" s="357"/>
      <c r="S59" s="357"/>
      <c r="T59" s="357"/>
      <c r="U59" s="357"/>
      <c r="V59" s="357"/>
      <c r="W59" s="357"/>
      <c r="X59" s="357"/>
      <c r="Y59" s="357"/>
      <c r="Z59" s="357"/>
    </row>
    <row r="60" ht="15.75" customHeight="1">
      <c r="A60" s="359">
        <v>5.0</v>
      </c>
      <c r="B60" s="452" t="s">
        <v>7260</v>
      </c>
      <c r="C60" s="452"/>
      <c r="D60" s="452">
        <v>50.0</v>
      </c>
      <c r="E60" s="357" t="s">
        <v>42</v>
      </c>
      <c r="F60" s="357" t="s">
        <v>7212</v>
      </c>
      <c r="G60" s="357"/>
      <c r="H60" s="357"/>
      <c r="I60" s="357"/>
      <c r="J60" s="357"/>
      <c r="K60" s="357"/>
      <c r="L60" s="357"/>
      <c r="M60" s="357"/>
      <c r="N60" s="357"/>
      <c r="O60" s="357"/>
      <c r="P60" s="357"/>
      <c r="Q60" s="357"/>
      <c r="R60" s="357"/>
      <c r="S60" s="357"/>
      <c r="T60" s="357"/>
      <c r="U60" s="357"/>
      <c r="V60" s="357"/>
      <c r="W60" s="357"/>
      <c r="X60" s="357"/>
      <c r="Y60" s="357"/>
      <c r="Z60" s="357"/>
    </row>
    <row r="61" ht="15.75" customHeight="1">
      <c r="A61" s="359">
        <v>5.0</v>
      </c>
      <c r="B61" s="452" t="s">
        <v>7261</v>
      </c>
      <c r="C61" s="452"/>
      <c r="D61" s="452">
        <v>17.5</v>
      </c>
      <c r="E61" s="357" t="s">
        <v>1659</v>
      </c>
      <c r="F61" s="357" t="s">
        <v>7262</v>
      </c>
      <c r="G61" s="357"/>
      <c r="H61" s="357"/>
      <c r="I61" s="357"/>
      <c r="J61" s="357"/>
      <c r="K61" s="357"/>
      <c r="L61" s="357"/>
      <c r="M61" s="357"/>
      <c r="N61" s="357"/>
      <c r="O61" s="357"/>
      <c r="P61" s="357"/>
      <c r="Q61" s="357"/>
      <c r="R61" s="357"/>
      <c r="S61" s="357"/>
      <c r="T61" s="357"/>
      <c r="U61" s="357"/>
      <c r="V61" s="357"/>
      <c r="W61" s="357"/>
      <c r="X61" s="357"/>
      <c r="Y61" s="357"/>
      <c r="Z61" s="357"/>
    </row>
    <row r="62" ht="15.75" customHeight="1">
      <c r="A62" s="359">
        <v>5.0</v>
      </c>
      <c r="B62" s="452" t="s">
        <v>7263</v>
      </c>
      <c r="C62" s="452"/>
      <c r="D62" s="453">
        <v>389.0</v>
      </c>
      <c r="E62" s="357" t="s">
        <v>42</v>
      </c>
      <c r="F62" s="357"/>
      <c r="G62" s="357"/>
      <c r="H62" s="357"/>
      <c r="I62" s="357"/>
      <c r="J62" s="357"/>
      <c r="K62" s="357"/>
      <c r="L62" s="357"/>
      <c r="M62" s="357"/>
      <c r="N62" s="357"/>
      <c r="O62" s="357"/>
      <c r="P62" s="357"/>
      <c r="Q62" s="357"/>
      <c r="R62" s="357"/>
      <c r="S62" s="357"/>
      <c r="T62" s="357"/>
      <c r="U62" s="357"/>
      <c r="V62" s="357"/>
      <c r="W62" s="357"/>
      <c r="X62" s="357"/>
      <c r="Y62" s="357"/>
      <c r="Z62" s="357"/>
    </row>
    <row r="63" ht="15.75" customHeight="1">
      <c r="A63" s="359">
        <v>5.0</v>
      </c>
      <c r="B63" s="452" t="s">
        <v>7264</v>
      </c>
      <c r="C63" s="452"/>
      <c r="D63" s="456">
        <v>857.33</v>
      </c>
      <c r="E63" s="357" t="s">
        <v>1650</v>
      </c>
      <c r="F63" s="357" t="s">
        <v>7265</v>
      </c>
      <c r="G63" s="357"/>
      <c r="H63" s="357"/>
      <c r="I63" s="357"/>
      <c r="J63" s="357"/>
      <c r="K63" s="357"/>
      <c r="L63" s="357"/>
      <c r="M63" s="357"/>
      <c r="N63" s="357"/>
      <c r="O63" s="357"/>
      <c r="P63" s="357"/>
      <c r="Q63" s="357"/>
      <c r="R63" s="357"/>
      <c r="S63" s="357"/>
      <c r="T63" s="357"/>
      <c r="U63" s="357"/>
      <c r="V63" s="357"/>
      <c r="W63" s="357"/>
      <c r="X63" s="357"/>
      <c r="Y63" s="357"/>
      <c r="Z63" s="357"/>
    </row>
    <row r="64" ht="15.75" customHeight="1">
      <c r="A64" s="359">
        <v>5.0</v>
      </c>
      <c r="B64" s="452" t="s">
        <v>7266</v>
      </c>
      <c r="C64" s="452"/>
      <c r="D64" s="457">
        <v>1128.87</v>
      </c>
      <c r="E64" s="357" t="s">
        <v>1650</v>
      </c>
      <c r="F64" s="357" t="s">
        <v>7267</v>
      </c>
      <c r="G64" s="357"/>
      <c r="H64" s="357"/>
      <c r="I64" s="357"/>
      <c r="J64" s="357"/>
      <c r="K64" s="357"/>
      <c r="L64" s="357"/>
      <c r="M64" s="357"/>
      <c r="N64" s="357"/>
      <c r="O64" s="357"/>
      <c r="P64" s="357"/>
      <c r="Q64" s="357"/>
      <c r="R64" s="357"/>
      <c r="S64" s="357"/>
      <c r="T64" s="357"/>
      <c r="U64" s="357"/>
      <c r="V64" s="357"/>
      <c r="W64" s="357"/>
      <c r="X64" s="357"/>
      <c r="Y64" s="357"/>
      <c r="Z64" s="357"/>
    </row>
    <row r="65" ht="15.75" customHeight="1">
      <c r="A65" s="359">
        <v>5.0</v>
      </c>
      <c r="B65" s="452" t="s">
        <v>7268</v>
      </c>
      <c r="C65" s="452"/>
      <c r="D65" s="453">
        <v>12.0</v>
      </c>
      <c r="E65" s="357" t="s">
        <v>42</v>
      </c>
      <c r="F65" s="357"/>
      <c r="G65" s="357"/>
      <c r="H65" s="357"/>
      <c r="I65" s="357"/>
      <c r="J65" s="357"/>
      <c r="K65" s="357"/>
      <c r="L65" s="357"/>
      <c r="M65" s="357"/>
      <c r="N65" s="357"/>
      <c r="O65" s="357"/>
      <c r="P65" s="357"/>
      <c r="Q65" s="357"/>
      <c r="R65" s="357"/>
      <c r="S65" s="357"/>
      <c r="T65" s="357"/>
      <c r="U65" s="357"/>
      <c r="V65" s="357"/>
      <c r="W65" s="357"/>
      <c r="X65" s="357"/>
      <c r="Y65" s="357"/>
      <c r="Z65" s="357"/>
    </row>
    <row r="66" ht="15.75" customHeight="1">
      <c r="A66" s="359">
        <v>5.0</v>
      </c>
      <c r="B66" s="452" t="s">
        <v>7269</v>
      </c>
      <c r="C66" s="452"/>
      <c r="D66" s="453">
        <v>300.0</v>
      </c>
      <c r="E66" s="357" t="s">
        <v>1659</v>
      </c>
      <c r="F66" s="357" t="s">
        <v>7265</v>
      </c>
      <c r="G66" s="357"/>
      <c r="H66" s="357"/>
      <c r="I66" s="357"/>
      <c r="J66" s="357"/>
      <c r="K66" s="357"/>
      <c r="L66" s="357"/>
      <c r="M66" s="357"/>
      <c r="N66" s="357"/>
      <c r="O66" s="357"/>
      <c r="P66" s="357"/>
      <c r="Q66" s="357"/>
      <c r="R66" s="357"/>
      <c r="S66" s="357"/>
      <c r="T66" s="357"/>
      <c r="U66" s="357"/>
      <c r="V66" s="357"/>
      <c r="W66" s="357"/>
      <c r="X66" s="357"/>
      <c r="Y66" s="357"/>
      <c r="Z66" s="357"/>
    </row>
    <row r="67" ht="15.75" customHeight="1">
      <c r="A67" s="359">
        <v>5.0</v>
      </c>
      <c r="B67" s="452" t="s">
        <v>7270</v>
      </c>
      <c r="C67" s="452"/>
      <c r="D67" s="456">
        <v>55.0</v>
      </c>
      <c r="E67" s="357" t="s">
        <v>1653</v>
      </c>
      <c r="F67" s="357"/>
      <c r="G67" s="357"/>
      <c r="H67" s="357"/>
      <c r="I67" s="357"/>
      <c r="J67" s="357"/>
      <c r="K67" s="357"/>
      <c r="L67" s="357"/>
      <c r="M67" s="357"/>
      <c r="N67" s="357"/>
      <c r="O67" s="357"/>
      <c r="P67" s="357"/>
      <c r="Q67" s="357"/>
      <c r="R67" s="357"/>
      <c r="S67" s="357"/>
      <c r="T67" s="357"/>
      <c r="U67" s="357"/>
      <c r="V67" s="357"/>
      <c r="W67" s="357"/>
      <c r="X67" s="357"/>
      <c r="Y67" s="357"/>
      <c r="Z67" s="357"/>
    </row>
    <row r="68" ht="15.75" customHeight="1">
      <c r="A68" s="359">
        <v>5.0</v>
      </c>
      <c r="B68" s="452" t="s">
        <v>7271</v>
      </c>
      <c r="C68" s="452"/>
      <c r="D68" s="456">
        <v>150.0</v>
      </c>
      <c r="E68" s="357" t="s">
        <v>1653</v>
      </c>
      <c r="F68" s="357"/>
      <c r="G68" s="357"/>
      <c r="H68" s="357"/>
      <c r="I68" s="357"/>
      <c r="J68" s="357"/>
      <c r="K68" s="357"/>
      <c r="L68" s="357"/>
      <c r="M68" s="357"/>
      <c r="N68" s="357"/>
      <c r="O68" s="357"/>
      <c r="P68" s="357"/>
      <c r="Q68" s="357"/>
      <c r="R68" s="357"/>
      <c r="S68" s="357"/>
      <c r="T68" s="357"/>
      <c r="U68" s="357"/>
      <c r="V68" s="357"/>
      <c r="W68" s="357"/>
      <c r="X68" s="357"/>
      <c r="Y68" s="357"/>
      <c r="Z68" s="357"/>
    </row>
    <row r="69" ht="15.75" customHeight="1">
      <c r="A69" s="359">
        <v>5.0</v>
      </c>
      <c r="B69" s="452" t="s">
        <v>7214</v>
      </c>
      <c r="C69" s="452"/>
      <c r="D69" s="453">
        <v>87.0</v>
      </c>
      <c r="E69" s="357" t="s">
        <v>42</v>
      </c>
      <c r="F69" s="357"/>
      <c r="G69" s="357"/>
      <c r="H69" s="357"/>
      <c r="I69" s="357"/>
      <c r="J69" s="357"/>
      <c r="K69" s="357"/>
      <c r="L69" s="357"/>
      <c r="M69" s="357"/>
      <c r="N69" s="357"/>
      <c r="O69" s="357"/>
      <c r="P69" s="357"/>
      <c r="Q69" s="357"/>
      <c r="R69" s="357"/>
      <c r="S69" s="357"/>
      <c r="T69" s="357"/>
      <c r="U69" s="357"/>
      <c r="V69" s="357"/>
      <c r="W69" s="357"/>
      <c r="X69" s="357"/>
      <c r="Y69" s="357"/>
      <c r="Z69" s="357"/>
    </row>
    <row r="70" ht="15.75" customHeight="1">
      <c r="A70" s="359">
        <v>5.0</v>
      </c>
      <c r="B70" s="452" t="s">
        <v>7272</v>
      </c>
      <c r="C70" s="452"/>
      <c r="D70" s="452">
        <v>1093.0</v>
      </c>
      <c r="E70" s="357" t="s">
        <v>42</v>
      </c>
      <c r="F70" s="357"/>
      <c r="G70" s="357"/>
      <c r="H70" s="357"/>
      <c r="I70" s="357"/>
      <c r="J70" s="357"/>
      <c r="K70" s="357"/>
      <c r="L70" s="357"/>
      <c r="M70" s="357"/>
      <c r="N70" s="357"/>
      <c r="O70" s="357"/>
      <c r="P70" s="357"/>
      <c r="Q70" s="357"/>
      <c r="R70" s="357"/>
      <c r="S70" s="357"/>
      <c r="T70" s="357"/>
      <c r="U70" s="357"/>
      <c r="V70" s="357"/>
      <c r="W70" s="357"/>
      <c r="X70" s="357"/>
      <c r="Y70" s="357"/>
      <c r="Z70" s="357"/>
    </row>
    <row r="71" ht="15.75" customHeight="1">
      <c r="A71" s="359">
        <v>5.0</v>
      </c>
      <c r="B71" s="452" t="s">
        <v>7273</v>
      </c>
      <c r="C71" s="452"/>
      <c r="D71" s="452">
        <v>353.0</v>
      </c>
      <c r="E71" s="357" t="s">
        <v>42</v>
      </c>
      <c r="F71" s="357"/>
      <c r="G71" s="357"/>
      <c r="H71" s="357"/>
      <c r="I71" s="357"/>
      <c r="J71" s="357"/>
      <c r="K71" s="357"/>
      <c r="L71" s="357"/>
      <c r="M71" s="357"/>
      <c r="N71" s="357"/>
      <c r="O71" s="357"/>
      <c r="P71" s="357"/>
      <c r="Q71" s="357"/>
      <c r="R71" s="357"/>
      <c r="S71" s="357"/>
      <c r="T71" s="357"/>
      <c r="U71" s="357"/>
      <c r="V71" s="357"/>
      <c r="W71" s="357"/>
      <c r="X71" s="357"/>
      <c r="Y71" s="357"/>
      <c r="Z71" s="357"/>
    </row>
    <row r="72" ht="15.75" customHeight="1">
      <c r="A72" s="359">
        <v>5.0</v>
      </c>
      <c r="B72" s="452" t="s">
        <v>7273</v>
      </c>
      <c r="C72" s="452"/>
      <c r="D72" s="452">
        <v>916.0</v>
      </c>
      <c r="E72" s="357" t="s">
        <v>42</v>
      </c>
      <c r="F72" s="357"/>
      <c r="G72" s="357"/>
      <c r="H72" s="357"/>
      <c r="I72" s="357"/>
      <c r="J72" s="357"/>
      <c r="K72" s="357"/>
      <c r="L72" s="357"/>
      <c r="M72" s="357"/>
      <c r="N72" s="357"/>
      <c r="O72" s="357"/>
      <c r="P72" s="357"/>
      <c r="Q72" s="357"/>
      <c r="R72" s="357"/>
      <c r="S72" s="357"/>
      <c r="T72" s="357"/>
      <c r="U72" s="357"/>
      <c r="V72" s="357"/>
      <c r="W72" s="357"/>
      <c r="X72" s="357"/>
      <c r="Y72" s="357"/>
      <c r="Z72" s="357"/>
    </row>
    <row r="73" ht="15.75" customHeight="1">
      <c r="A73" s="359">
        <v>5.0</v>
      </c>
      <c r="B73" s="452" t="s">
        <v>7274</v>
      </c>
      <c r="C73" s="452"/>
      <c r="D73" s="452">
        <v>35.9</v>
      </c>
      <c r="E73" s="357" t="s">
        <v>1653</v>
      </c>
      <c r="F73" s="357"/>
      <c r="G73" s="357"/>
      <c r="H73" s="357"/>
      <c r="I73" s="357"/>
      <c r="J73" s="357"/>
      <c r="K73" s="357"/>
      <c r="L73" s="357"/>
      <c r="M73" s="357"/>
      <c r="N73" s="357"/>
      <c r="O73" s="357"/>
      <c r="P73" s="357"/>
      <c r="Q73" s="357"/>
      <c r="R73" s="357"/>
      <c r="S73" s="357"/>
      <c r="T73" s="357"/>
      <c r="U73" s="357"/>
      <c r="V73" s="357"/>
      <c r="W73" s="357"/>
      <c r="X73" s="357"/>
      <c r="Y73" s="357"/>
      <c r="Z73" s="357"/>
    </row>
    <row r="74" ht="15.75" customHeight="1">
      <c r="A74" s="359">
        <v>5.0</v>
      </c>
      <c r="B74" s="452" t="s">
        <v>7274</v>
      </c>
      <c r="C74" s="452"/>
      <c r="D74" s="452">
        <v>35.0</v>
      </c>
      <c r="E74" s="357" t="s">
        <v>1653</v>
      </c>
      <c r="F74" s="357"/>
      <c r="G74" s="357"/>
      <c r="H74" s="357"/>
      <c r="I74" s="357"/>
      <c r="J74" s="357"/>
      <c r="K74" s="357"/>
      <c r="L74" s="357"/>
      <c r="M74" s="357"/>
      <c r="N74" s="357"/>
      <c r="O74" s="357"/>
      <c r="P74" s="357"/>
      <c r="Q74" s="357"/>
      <c r="R74" s="357"/>
      <c r="S74" s="357"/>
      <c r="T74" s="357"/>
      <c r="U74" s="357"/>
      <c r="V74" s="357"/>
      <c r="W74" s="357"/>
      <c r="X74" s="357"/>
      <c r="Y74" s="357"/>
      <c r="Z74" s="357"/>
    </row>
    <row r="75" ht="15.75" customHeight="1">
      <c r="A75" s="359">
        <v>5.0</v>
      </c>
      <c r="B75" s="452" t="s">
        <v>7275</v>
      </c>
      <c r="C75" s="452"/>
      <c r="D75" s="452">
        <v>160.0</v>
      </c>
      <c r="E75" s="357" t="s">
        <v>1653</v>
      </c>
      <c r="F75" s="357"/>
      <c r="G75" s="357"/>
      <c r="H75" s="357"/>
      <c r="I75" s="357"/>
      <c r="J75" s="357"/>
      <c r="K75" s="357"/>
      <c r="L75" s="357"/>
      <c r="M75" s="357"/>
      <c r="N75" s="357"/>
      <c r="O75" s="357"/>
      <c r="P75" s="357"/>
      <c r="Q75" s="357"/>
      <c r="R75" s="357"/>
      <c r="S75" s="357"/>
      <c r="T75" s="357"/>
      <c r="U75" s="357"/>
      <c r="V75" s="357"/>
      <c r="W75" s="357"/>
      <c r="X75" s="357"/>
      <c r="Y75" s="357"/>
      <c r="Z75" s="357"/>
    </row>
    <row r="76" ht="15.75" customHeight="1">
      <c r="A76" s="359">
        <v>5.0</v>
      </c>
      <c r="B76" s="452" t="s">
        <v>7276</v>
      </c>
      <c r="C76" s="452"/>
      <c r="D76" s="453">
        <v>150.0</v>
      </c>
      <c r="E76" s="357" t="s">
        <v>1660</v>
      </c>
      <c r="F76" s="357"/>
      <c r="G76" s="357"/>
      <c r="H76" s="357"/>
      <c r="I76" s="357"/>
      <c r="J76" s="357"/>
      <c r="K76" s="357"/>
      <c r="L76" s="357"/>
      <c r="M76" s="357"/>
      <c r="N76" s="357"/>
      <c r="O76" s="357"/>
      <c r="P76" s="357"/>
      <c r="Q76" s="357"/>
      <c r="R76" s="357"/>
      <c r="S76" s="357"/>
      <c r="T76" s="357"/>
      <c r="U76" s="357"/>
      <c r="V76" s="357"/>
      <c r="W76" s="357"/>
      <c r="X76" s="357"/>
      <c r="Y76" s="357"/>
      <c r="Z76" s="357"/>
    </row>
    <row r="77" ht="15.75" customHeight="1">
      <c r="A77" s="359">
        <v>6.0</v>
      </c>
      <c r="B77" s="452" t="s">
        <v>7274</v>
      </c>
      <c r="C77" s="452"/>
      <c r="D77" s="452">
        <v>20.0</v>
      </c>
      <c r="E77" s="357" t="s">
        <v>1653</v>
      </c>
      <c r="F77" s="357"/>
      <c r="G77" s="357"/>
      <c r="H77" s="357"/>
      <c r="I77" s="357"/>
      <c r="J77" s="357"/>
      <c r="K77" s="357"/>
      <c r="L77" s="357"/>
      <c r="M77" s="357"/>
      <c r="N77" s="357"/>
      <c r="O77" s="357"/>
      <c r="P77" s="357"/>
      <c r="Q77" s="357"/>
      <c r="R77" s="357"/>
      <c r="S77" s="357"/>
      <c r="T77" s="357"/>
      <c r="U77" s="357"/>
      <c r="V77" s="357"/>
      <c r="W77" s="357"/>
      <c r="X77" s="357"/>
      <c r="Y77" s="357"/>
      <c r="Z77" s="357"/>
    </row>
    <row r="78" ht="15.75" customHeight="1">
      <c r="A78" s="359">
        <v>6.0</v>
      </c>
      <c r="B78" s="452" t="s">
        <v>7277</v>
      </c>
      <c r="C78" s="452"/>
      <c r="D78" s="453">
        <v>90.0</v>
      </c>
      <c r="E78" s="357" t="s">
        <v>1659</v>
      </c>
      <c r="F78" s="357"/>
      <c r="G78" s="357"/>
      <c r="H78" s="357"/>
      <c r="I78" s="357"/>
      <c r="J78" s="357"/>
      <c r="K78" s="357"/>
      <c r="L78" s="357"/>
      <c r="M78" s="357"/>
      <c r="N78" s="357"/>
      <c r="O78" s="357"/>
      <c r="P78" s="357"/>
      <c r="Q78" s="357"/>
      <c r="R78" s="357"/>
      <c r="S78" s="357"/>
      <c r="T78" s="357"/>
      <c r="U78" s="357"/>
      <c r="V78" s="357"/>
      <c r="W78" s="357"/>
      <c r="X78" s="357"/>
      <c r="Y78" s="357"/>
      <c r="Z78" s="357"/>
    </row>
    <row r="79" ht="15.75" customHeight="1">
      <c r="A79" s="359">
        <v>6.0</v>
      </c>
      <c r="B79" s="452" t="s">
        <v>7278</v>
      </c>
      <c r="C79" s="452"/>
      <c r="D79" s="453">
        <v>200.0</v>
      </c>
      <c r="E79" s="357" t="s">
        <v>1659</v>
      </c>
      <c r="F79" s="357"/>
      <c r="G79" s="357"/>
      <c r="H79" s="357"/>
      <c r="I79" s="357"/>
      <c r="J79" s="357"/>
      <c r="K79" s="357"/>
      <c r="L79" s="357"/>
      <c r="M79" s="357"/>
      <c r="N79" s="357"/>
      <c r="O79" s="357"/>
      <c r="P79" s="357"/>
      <c r="Q79" s="357"/>
      <c r="R79" s="357"/>
      <c r="S79" s="357"/>
      <c r="T79" s="357"/>
      <c r="U79" s="357"/>
      <c r="V79" s="357"/>
      <c r="W79" s="357"/>
      <c r="X79" s="357"/>
      <c r="Y79" s="357"/>
      <c r="Z79" s="357"/>
    </row>
    <row r="80" ht="15.75" customHeight="1">
      <c r="A80" s="359">
        <v>6.0</v>
      </c>
      <c r="B80" s="452" t="s">
        <v>7279</v>
      </c>
      <c r="C80" s="452"/>
      <c r="D80" s="453">
        <v>200.0</v>
      </c>
      <c r="E80" s="357" t="s">
        <v>1660</v>
      </c>
      <c r="F80" s="357"/>
      <c r="G80" s="357"/>
      <c r="H80" s="357"/>
      <c r="I80" s="357"/>
      <c r="J80" s="357"/>
      <c r="K80" s="357"/>
      <c r="L80" s="357"/>
      <c r="M80" s="357"/>
      <c r="N80" s="357"/>
      <c r="O80" s="357"/>
      <c r="P80" s="357"/>
      <c r="Q80" s="357"/>
      <c r="R80" s="357"/>
      <c r="S80" s="357"/>
      <c r="T80" s="357"/>
      <c r="U80" s="357"/>
      <c r="V80" s="357"/>
      <c r="W80" s="357"/>
      <c r="X80" s="357"/>
      <c r="Y80" s="357"/>
      <c r="Z80" s="357"/>
    </row>
    <row r="81" ht="15.75" customHeight="1">
      <c r="A81" s="359">
        <v>6.0</v>
      </c>
      <c r="B81" s="452" t="s">
        <v>7219</v>
      </c>
      <c r="C81" s="452"/>
      <c r="D81" s="453">
        <v>369.99</v>
      </c>
      <c r="E81" s="357" t="s">
        <v>1652</v>
      </c>
      <c r="F81" s="357"/>
      <c r="G81" s="357"/>
      <c r="H81" s="357"/>
      <c r="I81" s="357"/>
      <c r="J81" s="357"/>
      <c r="K81" s="357"/>
      <c r="L81" s="357"/>
      <c r="M81" s="357"/>
      <c r="N81" s="357"/>
      <c r="O81" s="357"/>
      <c r="P81" s="357"/>
      <c r="Q81" s="357"/>
      <c r="R81" s="357"/>
      <c r="S81" s="357"/>
      <c r="T81" s="357"/>
      <c r="U81" s="357"/>
      <c r="V81" s="357"/>
      <c r="W81" s="357"/>
      <c r="X81" s="357"/>
      <c r="Y81" s="357"/>
      <c r="Z81" s="357"/>
    </row>
    <row r="82" ht="15.75" customHeight="1">
      <c r="A82" s="359">
        <v>6.0</v>
      </c>
      <c r="B82" s="452" t="s">
        <v>7280</v>
      </c>
      <c r="C82" s="452"/>
      <c r="D82" s="452">
        <v>192.0</v>
      </c>
      <c r="E82" s="357" t="s">
        <v>42</v>
      </c>
      <c r="F82" s="357"/>
      <c r="G82" s="357"/>
      <c r="H82" s="357"/>
      <c r="I82" s="357"/>
      <c r="J82" s="357"/>
      <c r="K82" s="357"/>
      <c r="L82" s="357"/>
      <c r="M82" s="357"/>
      <c r="N82" s="357"/>
      <c r="O82" s="357"/>
      <c r="P82" s="357"/>
      <c r="Q82" s="357"/>
      <c r="R82" s="357"/>
      <c r="S82" s="357"/>
      <c r="T82" s="357"/>
      <c r="U82" s="357"/>
      <c r="V82" s="357"/>
      <c r="W82" s="357"/>
      <c r="X82" s="357"/>
      <c r="Y82" s="357"/>
      <c r="Z82" s="357"/>
    </row>
    <row r="83" ht="15.75" customHeight="1">
      <c r="A83" s="359">
        <v>6.0</v>
      </c>
      <c r="B83" s="452" t="s">
        <v>7281</v>
      </c>
      <c r="C83" s="452"/>
      <c r="D83" s="452">
        <v>30.0</v>
      </c>
      <c r="E83" s="357" t="s">
        <v>1653</v>
      </c>
      <c r="F83" s="357"/>
      <c r="G83" s="357"/>
      <c r="H83" s="357"/>
      <c r="I83" s="357"/>
      <c r="J83" s="357"/>
      <c r="K83" s="357"/>
      <c r="L83" s="357"/>
      <c r="M83" s="357"/>
      <c r="N83" s="357"/>
      <c r="O83" s="357"/>
      <c r="P83" s="357"/>
      <c r="Q83" s="357"/>
      <c r="R83" s="357"/>
      <c r="S83" s="357"/>
      <c r="T83" s="357"/>
      <c r="U83" s="357"/>
      <c r="V83" s="357"/>
      <c r="W83" s="357"/>
      <c r="X83" s="357"/>
      <c r="Y83" s="357"/>
      <c r="Z83" s="357"/>
    </row>
    <row r="84" ht="15.75" customHeight="1">
      <c r="A84" s="359">
        <v>6.0</v>
      </c>
      <c r="B84" s="452" t="s">
        <v>7282</v>
      </c>
      <c r="C84" s="452"/>
      <c r="D84" s="452">
        <v>5511.47</v>
      </c>
      <c r="E84" s="357" t="s">
        <v>42</v>
      </c>
      <c r="F84" s="357"/>
      <c r="G84" s="357"/>
      <c r="H84" s="357"/>
      <c r="I84" s="357"/>
      <c r="J84" s="357"/>
      <c r="K84" s="357"/>
      <c r="L84" s="357"/>
      <c r="M84" s="357"/>
      <c r="N84" s="357"/>
      <c r="O84" s="357"/>
      <c r="P84" s="357"/>
      <c r="Q84" s="357"/>
      <c r="R84" s="357"/>
      <c r="S84" s="357"/>
      <c r="T84" s="357"/>
      <c r="U84" s="357"/>
      <c r="V84" s="357"/>
      <c r="W84" s="357"/>
      <c r="X84" s="357"/>
      <c r="Y84" s="357"/>
      <c r="Z84" s="357"/>
    </row>
    <row r="85" ht="15.75" customHeight="1">
      <c r="A85" s="359">
        <v>6.0</v>
      </c>
      <c r="B85" s="452" t="s">
        <v>7283</v>
      </c>
      <c r="C85" s="452"/>
      <c r="D85" s="458">
        <v>997.0</v>
      </c>
      <c r="E85" s="357" t="s">
        <v>1653</v>
      </c>
      <c r="F85" s="357"/>
      <c r="G85" s="357"/>
      <c r="H85" s="357"/>
      <c r="I85" s="357"/>
      <c r="J85" s="357"/>
      <c r="K85" s="357"/>
      <c r="L85" s="357"/>
      <c r="M85" s="357"/>
      <c r="N85" s="357"/>
      <c r="O85" s="357"/>
      <c r="P85" s="357"/>
      <c r="Q85" s="357"/>
      <c r="R85" s="357"/>
      <c r="S85" s="357"/>
      <c r="T85" s="357"/>
      <c r="U85" s="357"/>
      <c r="V85" s="357"/>
      <c r="W85" s="357"/>
      <c r="X85" s="357"/>
      <c r="Y85" s="357"/>
      <c r="Z85" s="357"/>
    </row>
    <row r="86" ht="15.75" customHeight="1">
      <c r="A86" s="359">
        <v>6.0</v>
      </c>
      <c r="B86" s="452" t="s">
        <v>7284</v>
      </c>
      <c r="C86" s="452"/>
      <c r="D86" s="453">
        <v>366.0</v>
      </c>
      <c r="E86" s="357" t="s">
        <v>1659</v>
      </c>
      <c r="F86" s="357"/>
      <c r="G86" s="357"/>
      <c r="H86" s="357"/>
      <c r="I86" s="357"/>
      <c r="J86" s="357"/>
      <c r="K86" s="357"/>
      <c r="L86" s="357"/>
      <c r="M86" s="357"/>
      <c r="N86" s="357"/>
      <c r="O86" s="357"/>
      <c r="P86" s="357"/>
      <c r="Q86" s="357"/>
      <c r="R86" s="357"/>
      <c r="S86" s="357"/>
      <c r="T86" s="357"/>
      <c r="U86" s="357"/>
      <c r="V86" s="357"/>
      <c r="W86" s="357"/>
      <c r="X86" s="357"/>
      <c r="Y86" s="357"/>
      <c r="Z86" s="357"/>
    </row>
    <row r="87" ht="15.75" customHeight="1">
      <c r="A87" s="359">
        <v>6.0</v>
      </c>
      <c r="B87" s="452" t="s">
        <v>7285</v>
      </c>
      <c r="C87" s="452"/>
      <c r="D87" s="453">
        <v>671.0</v>
      </c>
      <c r="E87" s="357" t="s">
        <v>1660</v>
      </c>
      <c r="F87" s="357"/>
      <c r="G87" s="357"/>
      <c r="H87" s="357"/>
      <c r="I87" s="357"/>
      <c r="J87" s="357"/>
      <c r="K87" s="357"/>
      <c r="L87" s="357"/>
      <c r="M87" s="357"/>
      <c r="N87" s="357"/>
      <c r="O87" s="357"/>
      <c r="P87" s="357"/>
      <c r="Q87" s="357"/>
      <c r="R87" s="357"/>
      <c r="S87" s="357"/>
      <c r="T87" s="357"/>
      <c r="U87" s="357"/>
      <c r="V87" s="357"/>
      <c r="W87" s="357"/>
      <c r="X87" s="357"/>
      <c r="Y87" s="357"/>
      <c r="Z87" s="357"/>
    </row>
    <row r="88" ht="15.75" customHeight="1">
      <c r="A88" s="359">
        <v>6.0</v>
      </c>
      <c r="B88" s="452" t="s">
        <v>7286</v>
      </c>
      <c r="C88" s="452"/>
      <c r="D88" s="453">
        <v>242.0</v>
      </c>
      <c r="E88" s="357" t="s">
        <v>42</v>
      </c>
      <c r="F88" s="357"/>
      <c r="G88" s="357"/>
      <c r="H88" s="357"/>
      <c r="I88" s="357"/>
      <c r="J88" s="357"/>
      <c r="K88" s="357"/>
      <c r="L88" s="357"/>
      <c r="M88" s="357"/>
      <c r="N88" s="357"/>
      <c r="O88" s="357"/>
      <c r="P88" s="357"/>
      <c r="Q88" s="357"/>
      <c r="R88" s="357"/>
      <c r="S88" s="357"/>
      <c r="T88" s="357"/>
      <c r="U88" s="357"/>
      <c r="V88" s="357"/>
      <c r="W88" s="357"/>
      <c r="X88" s="357"/>
      <c r="Y88" s="357"/>
      <c r="Z88" s="357"/>
    </row>
    <row r="89" ht="15.75" customHeight="1">
      <c r="A89" s="359">
        <v>6.0</v>
      </c>
      <c r="B89" s="452" t="s">
        <v>7287</v>
      </c>
      <c r="C89" s="452"/>
      <c r="D89" s="452">
        <v>10.0</v>
      </c>
      <c r="E89" s="357" t="s">
        <v>42</v>
      </c>
      <c r="F89" s="357"/>
      <c r="G89" s="357"/>
      <c r="H89" s="357"/>
      <c r="I89" s="357"/>
      <c r="J89" s="357"/>
      <c r="K89" s="357"/>
      <c r="L89" s="357"/>
      <c r="M89" s="357"/>
      <c r="N89" s="357"/>
      <c r="O89" s="357"/>
      <c r="P89" s="357"/>
      <c r="Q89" s="357"/>
      <c r="R89" s="357"/>
      <c r="S89" s="357"/>
      <c r="T89" s="357"/>
      <c r="U89" s="357"/>
      <c r="V89" s="357"/>
      <c r="W89" s="357"/>
      <c r="X89" s="357"/>
      <c r="Y89" s="357"/>
      <c r="Z89" s="357"/>
    </row>
    <row r="90" ht="15.75" customHeight="1">
      <c r="A90" s="359">
        <v>6.0</v>
      </c>
      <c r="B90" s="452" t="s">
        <v>7288</v>
      </c>
      <c r="C90" s="452"/>
      <c r="D90" s="456">
        <v>50.0</v>
      </c>
      <c r="E90" s="357" t="s">
        <v>1653</v>
      </c>
      <c r="F90" s="357"/>
      <c r="G90" s="357"/>
      <c r="H90" s="357"/>
      <c r="I90" s="357"/>
      <c r="J90" s="357"/>
      <c r="K90" s="357"/>
      <c r="L90" s="357"/>
      <c r="M90" s="357"/>
      <c r="N90" s="357"/>
      <c r="O90" s="357"/>
      <c r="P90" s="357"/>
      <c r="Q90" s="357"/>
      <c r="R90" s="357"/>
      <c r="S90" s="357"/>
      <c r="T90" s="357"/>
      <c r="U90" s="357"/>
      <c r="V90" s="357"/>
      <c r="W90" s="357"/>
      <c r="X90" s="357"/>
      <c r="Y90" s="357"/>
      <c r="Z90" s="357"/>
    </row>
    <row r="91" ht="15.75" customHeight="1">
      <c r="A91" s="359">
        <v>6.0</v>
      </c>
      <c r="B91" s="452" t="s">
        <v>7289</v>
      </c>
      <c r="C91" s="452"/>
      <c r="D91" s="456">
        <v>70.0</v>
      </c>
      <c r="E91" s="357" t="s">
        <v>1653</v>
      </c>
      <c r="F91" s="357"/>
      <c r="G91" s="357"/>
      <c r="H91" s="357"/>
      <c r="I91" s="357"/>
      <c r="J91" s="357"/>
      <c r="K91" s="357"/>
      <c r="L91" s="357"/>
      <c r="M91" s="357"/>
      <c r="N91" s="357"/>
      <c r="O91" s="357"/>
      <c r="P91" s="357"/>
      <c r="Q91" s="357"/>
      <c r="R91" s="357"/>
      <c r="S91" s="357"/>
      <c r="T91" s="357"/>
      <c r="U91" s="357"/>
      <c r="V91" s="357"/>
      <c r="W91" s="357"/>
      <c r="X91" s="357"/>
      <c r="Y91" s="357"/>
      <c r="Z91" s="357"/>
    </row>
    <row r="92" ht="15.75" customHeight="1">
      <c r="A92" s="359">
        <v>6.0</v>
      </c>
      <c r="B92" s="452" t="s">
        <v>7290</v>
      </c>
      <c r="C92" s="452"/>
      <c r="D92" s="456">
        <v>50.0</v>
      </c>
      <c r="E92" s="357" t="s">
        <v>1653</v>
      </c>
      <c r="F92" s="357"/>
      <c r="G92" s="357"/>
      <c r="H92" s="357"/>
      <c r="I92" s="357"/>
      <c r="J92" s="357"/>
      <c r="K92" s="357"/>
      <c r="L92" s="357"/>
      <c r="M92" s="357"/>
      <c r="N92" s="357"/>
      <c r="O92" s="357"/>
      <c r="P92" s="357"/>
      <c r="Q92" s="357"/>
      <c r="R92" s="357"/>
      <c r="S92" s="357"/>
      <c r="T92" s="357"/>
      <c r="U92" s="357"/>
      <c r="V92" s="357"/>
      <c r="W92" s="357"/>
      <c r="X92" s="357"/>
      <c r="Y92" s="357"/>
      <c r="Z92" s="357"/>
    </row>
    <row r="93" ht="15.75" customHeight="1">
      <c r="A93" s="359">
        <v>6.0</v>
      </c>
      <c r="B93" s="452" t="s">
        <v>7291</v>
      </c>
      <c r="C93" s="452"/>
      <c r="D93" s="452">
        <v>50.0</v>
      </c>
      <c r="E93" s="357" t="s">
        <v>1653</v>
      </c>
      <c r="F93" s="357"/>
      <c r="G93" s="357"/>
      <c r="H93" s="357"/>
      <c r="I93" s="357"/>
      <c r="J93" s="357"/>
      <c r="K93" s="357"/>
      <c r="L93" s="357"/>
      <c r="M93" s="357"/>
      <c r="N93" s="357"/>
      <c r="O93" s="357"/>
      <c r="P93" s="357"/>
      <c r="Q93" s="357"/>
      <c r="R93" s="357"/>
      <c r="S93" s="357"/>
      <c r="T93" s="357"/>
      <c r="U93" s="357"/>
      <c r="V93" s="357"/>
      <c r="W93" s="357"/>
      <c r="X93" s="357"/>
      <c r="Y93" s="357"/>
      <c r="Z93" s="357"/>
    </row>
    <row r="94" ht="15.75" customHeight="1">
      <c r="A94" s="359">
        <v>6.0</v>
      </c>
      <c r="B94" s="452" t="s">
        <v>7241</v>
      </c>
      <c r="C94" s="452"/>
      <c r="D94" s="453">
        <v>27.0</v>
      </c>
      <c r="E94" s="357" t="s">
        <v>42</v>
      </c>
      <c r="F94" s="357"/>
      <c r="G94" s="357"/>
      <c r="H94" s="357"/>
      <c r="I94" s="357"/>
      <c r="J94" s="357"/>
      <c r="K94" s="357"/>
      <c r="L94" s="357"/>
      <c r="M94" s="357"/>
      <c r="N94" s="357"/>
      <c r="O94" s="357"/>
      <c r="P94" s="357"/>
      <c r="Q94" s="357"/>
      <c r="R94" s="357"/>
      <c r="S94" s="357"/>
      <c r="T94" s="357"/>
      <c r="U94" s="357"/>
      <c r="V94" s="357"/>
      <c r="W94" s="357"/>
      <c r="X94" s="357"/>
      <c r="Y94" s="357"/>
      <c r="Z94" s="357"/>
    </row>
    <row r="95" ht="15.75" customHeight="1">
      <c r="A95" s="359">
        <v>6.0</v>
      </c>
      <c r="B95" s="452" t="s">
        <v>7292</v>
      </c>
      <c r="C95" s="452"/>
      <c r="D95" s="452">
        <v>71.0</v>
      </c>
      <c r="E95" s="357" t="s">
        <v>1653</v>
      </c>
      <c r="F95" s="357"/>
      <c r="G95" s="357"/>
      <c r="H95" s="357"/>
      <c r="I95" s="357"/>
      <c r="J95" s="357"/>
      <c r="K95" s="357"/>
      <c r="L95" s="357"/>
      <c r="M95" s="357"/>
      <c r="N95" s="357"/>
      <c r="O95" s="357"/>
      <c r="P95" s="357"/>
      <c r="Q95" s="357"/>
      <c r="R95" s="357"/>
      <c r="S95" s="357"/>
      <c r="T95" s="357"/>
      <c r="U95" s="357"/>
      <c r="V95" s="357"/>
      <c r="W95" s="357"/>
      <c r="X95" s="357"/>
      <c r="Y95" s="357"/>
      <c r="Z95" s="357"/>
    </row>
    <row r="96" ht="15.75" customHeight="1">
      <c r="A96" s="359">
        <v>6.0</v>
      </c>
      <c r="B96" s="452" t="s">
        <v>7293</v>
      </c>
      <c r="C96" s="452"/>
      <c r="D96" s="452">
        <v>350.0</v>
      </c>
      <c r="E96" s="357" t="s">
        <v>1653</v>
      </c>
      <c r="F96" s="357"/>
      <c r="G96" s="357"/>
      <c r="H96" s="357"/>
      <c r="I96" s="357"/>
      <c r="J96" s="357"/>
      <c r="K96" s="357"/>
      <c r="L96" s="357"/>
      <c r="M96" s="357"/>
      <c r="N96" s="357"/>
      <c r="O96" s="357"/>
      <c r="P96" s="357"/>
      <c r="Q96" s="357"/>
      <c r="R96" s="357"/>
      <c r="S96" s="357"/>
      <c r="T96" s="357"/>
      <c r="U96" s="357"/>
      <c r="V96" s="357"/>
      <c r="W96" s="357"/>
      <c r="X96" s="357"/>
      <c r="Y96" s="357"/>
      <c r="Z96" s="357"/>
    </row>
    <row r="97" ht="15.75" customHeight="1">
      <c r="A97" s="359">
        <v>6.0</v>
      </c>
      <c r="B97" s="459" t="s">
        <v>7294</v>
      </c>
      <c r="C97" s="459"/>
      <c r="D97" s="459">
        <v>540.0</v>
      </c>
      <c r="E97" s="357" t="s">
        <v>1653</v>
      </c>
      <c r="F97" s="357" t="s">
        <v>7295</v>
      </c>
      <c r="G97" s="357"/>
      <c r="H97" s="357"/>
      <c r="I97" s="357"/>
      <c r="J97" s="357"/>
      <c r="K97" s="357"/>
      <c r="L97" s="357"/>
      <c r="M97" s="357"/>
      <c r="N97" s="357"/>
      <c r="O97" s="357"/>
      <c r="P97" s="357"/>
      <c r="Q97" s="357"/>
      <c r="R97" s="357"/>
      <c r="S97" s="357"/>
      <c r="T97" s="357"/>
      <c r="U97" s="357"/>
      <c r="V97" s="357"/>
      <c r="W97" s="357"/>
      <c r="X97" s="357"/>
      <c r="Y97" s="357"/>
      <c r="Z97" s="357"/>
    </row>
    <row r="98" ht="15.75" customHeight="1">
      <c r="A98" s="359">
        <v>6.0</v>
      </c>
      <c r="B98" s="452" t="s">
        <v>7276</v>
      </c>
      <c r="C98" s="452"/>
      <c r="D98" s="453">
        <v>150.0</v>
      </c>
      <c r="E98" s="357" t="s">
        <v>1660</v>
      </c>
      <c r="F98" s="357"/>
      <c r="G98" s="357"/>
      <c r="H98" s="357"/>
      <c r="I98" s="357"/>
      <c r="J98" s="357"/>
      <c r="K98" s="357"/>
      <c r="L98" s="357"/>
      <c r="M98" s="357"/>
      <c r="N98" s="357"/>
      <c r="O98" s="357"/>
      <c r="P98" s="357"/>
      <c r="Q98" s="357"/>
      <c r="R98" s="357"/>
      <c r="S98" s="357"/>
      <c r="T98" s="357"/>
      <c r="U98" s="357"/>
      <c r="V98" s="357"/>
      <c r="W98" s="357"/>
      <c r="X98" s="357"/>
      <c r="Y98" s="357"/>
      <c r="Z98" s="357"/>
    </row>
    <row r="99" ht="15.75" customHeight="1">
      <c r="A99" s="359">
        <v>7.0</v>
      </c>
      <c r="B99" s="452" t="s">
        <v>7296</v>
      </c>
      <c r="C99" s="452"/>
      <c r="D99" s="452">
        <v>30.0</v>
      </c>
      <c r="E99" s="357" t="s">
        <v>1653</v>
      </c>
      <c r="F99" s="357"/>
      <c r="G99" s="357"/>
      <c r="H99" s="357"/>
      <c r="I99" s="357"/>
      <c r="J99" s="357"/>
      <c r="K99" s="357"/>
      <c r="L99" s="357"/>
      <c r="M99" s="357"/>
      <c r="N99" s="357"/>
      <c r="O99" s="357"/>
      <c r="P99" s="357"/>
      <c r="Q99" s="357"/>
      <c r="R99" s="357"/>
      <c r="S99" s="357"/>
      <c r="T99" s="357"/>
      <c r="U99" s="357"/>
      <c r="V99" s="357"/>
      <c r="W99" s="357"/>
      <c r="X99" s="357"/>
      <c r="Y99" s="357"/>
      <c r="Z99" s="357"/>
    </row>
    <row r="100" ht="15.75" customHeight="1">
      <c r="A100" s="359">
        <v>7.0</v>
      </c>
      <c r="B100" s="452" t="s">
        <v>7297</v>
      </c>
      <c r="C100" s="452"/>
      <c r="D100" s="456">
        <v>30.0</v>
      </c>
      <c r="E100" s="357" t="s">
        <v>1653</v>
      </c>
      <c r="F100" s="357"/>
      <c r="G100" s="357"/>
      <c r="H100" s="357"/>
      <c r="I100" s="357"/>
      <c r="J100" s="357"/>
      <c r="K100" s="357"/>
      <c r="L100" s="357"/>
      <c r="M100" s="357"/>
      <c r="N100" s="357"/>
      <c r="O100" s="357"/>
      <c r="P100" s="357"/>
      <c r="Q100" s="357"/>
      <c r="R100" s="357"/>
      <c r="S100" s="357"/>
      <c r="T100" s="357"/>
      <c r="U100" s="357"/>
      <c r="V100" s="357"/>
      <c r="W100" s="357"/>
      <c r="X100" s="357"/>
      <c r="Y100" s="357"/>
      <c r="Z100" s="357"/>
    </row>
    <row r="101" ht="15.75" customHeight="1">
      <c r="A101" s="359">
        <v>7.0</v>
      </c>
      <c r="B101" s="452" t="s">
        <v>7298</v>
      </c>
      <c r="C101" s="452"/>
      <c r="D101" s="453">
        <v>449.0</v>
      </c>
      <c r="E101" s="357" t="s">
        <v>1660</v>
      </c>
      <c r="F101" s="357"/>
      <c r="G101" s="357"/>
      <c r="H101" s="357"/>
      <c r="I101" s="357"/>
      <c r="J101" s="357"/>
      <c r="K101" s="357"/>
      <c r="L101" s="357"/>
      <c r="M101" s="357"/>
      <c r="N101" s="357"/>
      <c r="O101" s="357"/>
      <c r="P101" s="357"/>
      <c r="Q101" s="357"/>
      <c r="R101" s="357"/>
      <c r="S101" s="357"/>
      <c r="T101" s="357"/>
      <c r="U101" s="357"/>
      <c r="V101" s="357"/>
      <c r="W101" s="357"/>
      <c r="X101" s="357"/>
      <c r="Y101" s="357"/>
      <c r="Z101" s="357"/>
    </row>
    <row r="102" ht="15.75" customHeight="1">
      <c r="A102" s="359">
        <v>7.0</v>
      </c>
      <c r="B102" s="452" t="s">
        <v>7299</v>
      </c>
      <c r="C102" s="452"/>
      <c r="D102" s="452">
        <v>120.0</v>
      </c>
      <c r="E102" s="357" t="s">
        <v>1653</v>
      </c>
      <c r="F102" s="357"/>
      <c r="G102" s="357"/>
      <c r="H102" s="357"/>
      <c r="I102" s="357"/>
      <c r="J102" s="357"/>
      <c r="K102" s="357"/>
      <c r="L102" s="357"/>
      <c r="M102" s="357"/>
      <c r="N102" s="357"/>
      <c r="O102" s="357"/>
      <c r="P102" s="357"/>
      <c r="Q102" s="357"/>
      <c r="R102" s="357"/>
      <c r="S102" s="357"/>
      <c r="T102" s="357"/>
      <c r="U102" s="357"/>
      <c r="V102" s="357"/>
      <c r="W102" s="357"/>
      <c r="X102" s="357"/>
      <c r="Y102" s="357"/>
      <c r="Z102" s="357"/>
    </row>
    <row r="103" ht="15.75" customHeight="1">
      <c r="A103" s="359">
        <v>7.0</v>
      </c>
      <c r="B103" s="452" t="s">
        <v>7221</v>
      </c>
      <c r="C103" s="452"/>
      <c r="D103" s="452">
        <v>329.4</v>
      </c>
      <c r="E103" s="357" t="s">
        <v>42</v>
      </c>
      <c r="F103" s="357"/>
      <c r="G103" s="357"/>
      <c r="H103" s="357"/>
      <c r="I103" s="357"/>
      <c r="J103" s="357"/>
      <c r="K103" s="357"/>
      <c r="L103" s="357"/>
      <c r="M103" s="357"/>
      <c r="N103" s="357"/>
      <c r="O103" s="357"/>
      <c r="P103" s="357"/>
      <c r="Q103" s="357"/>
      <c r="R103" s="357"/>
      <c r="S103" s="357"/>
      <c r="T103" s="357"/>
      <c r="U103" s="357"/>
      <c r="V103" s="357"/>
      <c r="W103" s="357"/>
      <c r="X103" s="357"/>
      <c r="Y103" s="357"/>
      <c r="Z103" s="357"/>
    </row>
    <row r="104" ht="15.75" customHeight="1">
      <c r="A104" s="359">
        <v>7.0</v>
      </c>
      <c r="B104" s="452" t="s">
        <v>7256</v>
      </c>
      <c r="C104" s="452"/>
      <c r="D104" s="453">
        <v>369.66</v>
      </c>
      <c r="E104" s="357" t="s">
        <v>1652</v>
      </c>
      <c r="F104" s="357"/>
      <c r="G104" s="357"/>
      <c r="H104" s="357"/>
      <c r="I104" s="357"/>
      <c r="J104" s="357"/>
      <c r="K104" s="357"/>
      <c r="L104" s="357"/>
      <c r="M104" s="357"/>
      <c r="N104" s="357"/>
      <c r="O104" s="357"/>
      <c r="P104" s="357"/>
      <c r="Q104" s="357"/>
      <c r="R104" s="357"/>
      <c r="S104" s="357"/>
      <c r="T104" s="357"/>
      <c r="U104" s="357"/>
      <c r="V104" s="357"/>
      <c r="W104" s="357"/>
      <c r="X104" s="357"/>
      <c r="Y104" s="357"/>
      <c r="Z104" s="357"/>
    </row>
    <row r="105" ht="15.75" customHeight="1">
      <c r="A105" s="359">
        <v>7.0</v>
      </c>
      <c r="B105" s="452" t="s">
        <v>7300</v>
      </c>
      <c r="C105" s="452"/>
      <c r="D105" s="453">
        <v>47.0</v>
      </c>
      <c r="E105" s="357" t="s">
        <v>1660</v>
      </c>
      <c r="F105" s="357"/>
      <c r="G105" s="357"/>
      <c r="H105" s="357"/>
      <c r="I105" s="357"/>
      <c r="J105" s="357"/>
      <c r="K105" s="357"/>
      <c r="L105" s="357"/>
      <c r="M105" s="357"/>
      <c r="N105" s="357"/>
      <c r="O105" s="357"/>
      <c r="P105" s="357"/>
      <c r="Q105" s="357"/>
      <c r="R105" s="357"/>
      <c r="S105" s="357"/>
      <c r="T105" s="357"/>
      <c r="U105" s="357"/>
      <c r="V105" s="357"/>
      <c r="W105" s="357"/>
      <c r="X105" s="357"/>
      <c r="Y105" s="357"/>
      <c r="Z105" s="357"/>
    </row>
    <row r="106" ht="15.75" customHeight="1">
      <c r="A106" s="359">
        <v>7.0</v>
      </c>
      <c r="B106" s="452" t="s">
        <v>7301</v>
      </c>
      <c r="C106" s="452"/>
      <c r="D106" s="453">
        <v>566.0</v>
      </c>
      <c r="E106" s="357" t="s">
        <v>42</v>
      </c>
      <c r="F106" s="357"/>
      <c r="G106" s="357"/>
      <c r="H106" s="357"/>
      <c r="I106" s="357"/>
      <c r="J106" s="357"/>
      <c r="K106" s="357"/>
      <c r="L106" s="357"/>
      <c r="M106" s="357"/>
      <c r="N106" s="357"/>
      <c r="O106" s="357"/>
      <c r="P106" s="357"/>
      <c r="Q106" s="357"/>
      <c r="R106" s="357"/>
      <c r="S106" s="357"/>
      <c r="T106" s="357"/>
      <c r="U106" s="357"/>
      <c r="V106" s="357"/>
      <c r="W106" s="357"/>
      <c r="X106" s="357"/>
      <c r="Y106" s="357"/>
      <c r="Z106" s="357"/>
    </row>
    <row r="107" ht="15.75" customHeight="1">
      <c r="A107" s="359">
        <v>7.0</v>
      </c>
      <c r="B107" s="452" t="s">
        <v>7302</v>
      </c>
      <c r="C107" s="452"/>
      <c r="D107" s="453">
        <v>100.0</v>
      </c>
      <c r="E107" s="357" t="s">
        <v>1653</v>
      </c>
      <c r="F107" s="357"/>
      <c r="G107" s="357"/>
      <c r="H107" s="357"/>
      <c r="I107" s="357"/>
      <c r="J107" s="357"/>
      <c r="K107" s="357"/>
      <c r="L107" s="357"/>
      <c r="M107" s="357"/>
      <c r="N107" s="357"/>
      <c r="O107" s="357"/>
      <c r="P107" s="357"/>
      <c r="Q107" s="357"/>
      <c r="R107" s="357"/>
      <c r="S107" s="357"/>
      <c r="T107" s="357"/>
      <c r="U107" s="357"/>
      <c r="V107" s="357"/>
      <c r="W107" s="357"/>
      <c r="X107" s="357"/>
      <c r="Y107" s="357"/>
      <c r="Z107" s="357"/>
    </row>
    <row r="108" ht="15.75" customHeight="1">
      <c r="A108" s="359">
        <v>7.0</v>
      </c>
      <c r="B108" s="452" t="s">
        <v>7303</v>
      </c>
      <c r="C108" s="452"/>
      <c r="D108" s="452">
        <v>90.0</v>
      </c>
      <c r="E108" s="357" t="s">
        <v>1653</v>
      </c>
      <c r="F108" s="357"/>
      <c r="G108" s="357"/>
      <c r="H108" s="357"/>
      <c r="I108" s="357"/>
      <c r="J108" s="357"/>
      <c r="K108" s="357"/>
      <c r="L108" s="357"/>
      <c r="M108" s="357"/>
      <c r="N108" s="357"/>
      <c r="O108" s="357"/>
      <c r="P108" s="357"/>
      <c r="Q108" s="357"/>
      <c r="R108" s="357"/>
      <c r="S108" s="357"/>
      <c r="T108" s="357"/>
      <c r="U108" s="357"/>
      <c r="V108" s="357"/>
      <c r="W108" s="357"/>
      <c r="X108" s="357"/>
      <c r="Y108" s="357"/>
      <c r="Z108" s="357"/>
    </row>
    <row r="109" ht="15.75" customHeight="1">
      <c r="A109" s="359">
        <v>7.0</v>
      </c>
      <c r="B109" s="452" t="s">
        <v>7304</v>
      </c>
      <c r="C109" s="452"/>
      <c r="D109" s="452">
        <v>366.0</v>
      </c>
      <c r="E109" s="357" t="s">
        <v>42</v>
      </c>
      <c r="F109" s="357"/>
      <c r="G109" s="357"/>
      <c r="H109" s="357"/>
      <c r="I109" s="357"/>
      <c r="J109" s="357"/>
      <c r="K109" s="357"/>
      <c r="L109" s="357"/>
      <c r="M109" s="357"/>
      <c r="N109" s="357"/>
      <c r="O109" s="357"/>
      <c r="P109" s="357"/>
      <c r="Q109" s="357"/>
      <c r="R109" s="357"/>
      <c r="S109" s="357"/>
      <c r="T109" s="357"/>
      <c r="U109" s="357"/>
      <c r="V109" s="357"/>
      <c r="W109" s="357"/>
      <c r="X109" s="357"/>
      <c r="Y109" s="357"/>
      <c r="Z109" s="357"/>
    </row>
    <row r="110" ht="15.75" customHeight="1">
      <c r="A110" s="359">
        <v>7.0</v>
      </c>
      <c r="B110" s="452" t="s">
        <v>7305</v>
      </c>
      <c r="C110" s="452"/>
      <c r="D110" s="453">
        <v>80.0</v>
      </c>
      <c r="E110" s="357" t="s">
        <v>1659</v>
      </c>
      <c r="F110" s="357"/>
      <c r="G110" s="357"/>
      <c r="H110" s="357"/>
      <c r="I110" s="357"/>
      <c r="J110" s="357"/>
      <c r="K110" s="357"/>
      <c r="L110" s="357"/>
      <c r="M110" s="357"/>
      <c r="N110" s="357"/>
      <c r="O110" s="357"/>
      <c r="P110" s="357"/>
      <c r="Q110" s="357"/>
      <c r="R110" s="357"/>
      <c r="S110" s="357"/>
      <c r="T110" s="357"/>
      <c r="U110" s="357"/>
      <c r="V110" s="357"/>
      <c r="W110" s="357"/>
      <c r="X110" s="357"/>
      <c r="Y110" s="357"/>
      <c r="Z110" s="357"/>
    </row>
    <row r="111" ht="15.75" customHeight="1">
      <c r="A111" s="359">
        <v>7.0</v>
      </c>
      <c r="B111" s="452" t="s">
        <v>7306</v>
      </c>
      <c r="C111" s="452"/>
      <c r="D111" s="452">
        <v>160.0</v>
      </c>
      <c r="E111" s="357" t="s">
        <v>42</v>
      </c>
      <c r="F111" s="357"/>
      <c r="G111" s="357"/>
      <c r="H111" s="357"/>
      <c r="I111" s="357"/>
      <c r="J111" s="357"/>
      <c r="K111" s="357"/>
      <c r="L111" s="357"/>
      <c r="M111" s="357"/>
      <c r="N111" s="357"/>
      <c r="O111" s="357"/>
      <c r="P111" s="357"/>
      <c r="Q111" s="357"/>
      <c r="R111" s="357"/>
      <c r="S111" s="357"/>
      <c r="T111" s="357"/>
      <c r="U111" s="357"/>
      <c r="V111" s="357"/>
      <c r="W111" s="357"/>
      <c r="X111" s="357"/>
      <c r="Y111" s="357"/>
      <c r="Z111" s="357"/>
    </row>
    <row r="112" ht="15.75" customHeight="1">
      <c r="A112" s="359">
        <v>7.0</v>
      </c>
      <c r="B112" s="452" t="s">
        <v>7263</v>
      </c>
      <c r="C112" s="452"/>
      <c r="D112" s="453">
        <v>109.8</v>
      </c>
      <c r="E112" s="357" t="s">
        <v>42</v>
      </c>
      <c r="F112" s="357"/>
      <c r="G112" s="357"/>
      <c r="H112" s="357"/>
      <c r="I112" s="357"/>
      <c r="J112" s="357"/>
      <c r="K112" s="357"/>
      <c r="L112" s="357"/>
      <c r="M112" s="357"/>
      <c r="N112" s="357"/>
      <c r="O112" s="357"/>
      <c r="P112" s="357"/>
      <c r="Q112" s="357"/>
      <c r="R112" s="357"/>
      <c r="S112" s="357"/>
      <c r="T112" s="357"/>
      <c r="U112" s="357"/>
      <c r="V112" s="357"/>
      <c r="W112" s="357"/>
      <c r="X112" s="357"/>
      <c r="Y112" s="357"/>
      <c r="Z112" s="357"/>
    </row>
    <row r="113" ht="15.75" customHeight="1">
      <c r="A113" s="359">
        <v>7.0</v>
      </c>
      <c r="B113" s="452" t="s">
        <v>7307</v>
      </c>
      <c r="C113" s="452"/>
      <c r="D113" s="452">
        <v>122.0</v>
      </c>
      <c r="E113" s="357" t="s">
        <v>42</v>
      </c>
      <c r="F113" s="357"/>
      <c r="G113" s="357"/>
      <c r="H113" s="357"/>
      <c r="I113" s="357"/>
      <c r="J113" s="357"/>
      <c r="K113" s="357"/>
      <c r="L113" s="357"/>
      <c r="M113" s="357"/>
      <c r="N113" s="357"/>
      <c r="O113" s="357"/>
      <c r="P113" s="357"/>
      <c r="Q113" s="357"/>
      <c r="R113" s="357"/>
      <c r="S113" s="357"/>
      <c r="T113" s="357"/>
      <c r="U113" s="357"/>
      <c r="V113" s="357"/>
      <c r="W113" s="357"/>
      <c r="X113" s="357"/>
      <c r="Y113" s="357"/>
      <c r="Z113" s="357"/>
    </row>
    <row r="114" ht="15.75" customHeight="1">
      <c r="A114" s="359">
        <v>7.0</v>
      </c>
      <c r="B114" s="452" t="s">
        <v>7308</v>
      </c>
      <c r="C114" s="452"/>
      <c r="D114" s="453">
        <v>1515.5</v>
      </c>
      <c r="E114" s="357" t="s">
        <v>1649</v>
      </c>
      <c r="F114" s="357"/>
      <c r="G114" s="357"/>
      <c r="H114" s="357"/>
      <c r="I114" s="357"/>
      <c r="J114" s="357"/>
      <c r="K114" s="357"/>
      <c r="L114" s="357"/>
      <c r="M114" s="357"/>
      <c r="N114" s="357"/>
      <c r="O114" s="357"/>
      <c r="P114" s="357"/>
      <c r="Q114" s="357"/>
      <c r="R114" s="357"/>
      <c r="S114" s="357"/>
      <c r="T114" s="357"/>
      <c r="U114" s="357"/>
      <c r="V114" s="357"/>
      <c r="W114" s="357"/>
      <c r="X114" s="357"/>
      <c r="Y114" s="357"/>
      <c r="Z114" s="357"/>
    </row>
    <row r="115" ht="15.75" customHeight="1">
      <c r="A115" s="359">
        <v>7.0</v>
      </c>
      <c r="B115" s="452" t="s">
        <v>7309</v>
      </c>
      <c r="C115" s="452"/>
      <c r="D115" s="453">
        <v>500.0</v>
      </c>
      <c r="E115" s="357" t="s">
        <v>1649</v>
      </c>
      <c r="F115" s="357"/>
      <c r="G115" s="357"/>
      <c r="H115" s="357"/>
      <c r="I115" s="357"/>
      <c r="J115" s="357"/>
      <c r="K115" s="357"/>
      <c r="L115" s="357"/>
      <c r="M115" s="357"/>
      <c r="N115" s="357"/>
      <c r="O115" s="357"/>
      <c r="P115" s="357"/>
      <c r="Q115" s="357"/>
      <c r="R115" s="357"/>
      <c r="S115" s="357"/>
      <c r="T115" s="357"/>
      <c r="U115" s="357"/>
      <c r="V115" s="357"/>
      <c r="W115" s="357"/>
      <c r="X115" s="357"/>
      <c r="Y115" s="357"/>
      <c r="Z115" s="357"/>
    </row>
    <row r="116" ht="15.75" customHeight="1">
      <c r="A116" s="359">
        <v>7.0</v>
      </c>
      <c r="B116" s="452" t="s">
        <v>7310</v>
      </c>
      <c r="C116" s="452"/>
      <c r="D116" s="453">
        <v>500.0</v>
      </c>
      <c r="E116" s="357" t="s">
        <v>1649</v>
      </c>
      <c r="F116" s="357"/>
      <c r="G116" s="357"/>
      <c r="H116" s="357"/>
      <c r="I116" s="357"/>
      <c r="J116" s="357"/>
      <c r="K116" s="357"/>
      <c r="L116" s="357"/>
      <c r="M116" s="357"/>
      <c r="N116" s="357"/>
      <c r="O116" s="357"/>
      <c r="P116" s="357"/>
      <c r="Q116" s="357"/>
      <c r="R116" s="357"/>
      <c r="S116" s="357"/>
      <c r="T116" s="357"/>
      <c r="U116" s="357"/>
      <c r="V116" s="357"/>
      <c r="W116" s="357"/>
      <c r="X116" s="357"/>
      <c r="Y116" s="357"/>
      <c r="Z116" s="357"/>
    </row>
    <row r="117" ht="15.75" customHeight="1">
      <c r="A117" s="359">
        <v>7.0</v>
      </c>
      <c r="B117" s="452" t="s">
        <v>7311</v>
      </c>
      <c r="C117" s="452"/>
      <c r="D117" s="456">
        <v>302.87</v>
      </c>
      <c r="E117" s="357" t="s">
        <v>1653</v>
      </c>
      <c r="F117" s="357"/>
      <c r="G117" s="357"/>
      <c r="H117" s="357"/>
      <c r="I117" s="357"/>
      <c r="J117" s="357"/>
      <c r="K117" s="357"/>
      <c r="L117" s="357"/>
      <c r="M117" s="357"/>
      <c r="N117" s="357"/>
      <c r="O117" s="357"/>
      <c r="P117" s="357"/>
      <c r="Q117" s="357"/>
      <c r="R117" s="357"/>
      <c r="S117" s="357"/>
      <c r="T117" s="357"/>
      <c r="U117" s="357"/>
      <c r="V117" s="357"/>
      <c r="W117" s="357"/>
      <c r="X117" s="357"/>
      <c r="Y117" s="357"/>
      <c r="Z117" s="357"/>
    </row>
    <row r="118" ht="15.75" customHeight="1">
      <c r="A118" s="359">
        <v>7.0</v>
      </c>
      <c r="B118" s="452" t="s">
        <v>7312</v>
      </c>
      <c r="C118" s="452"/>
      <c r="D118" s="452">
        <v>6.99</v>
      </c>
      <c r="E118" s="357" t="s">
        <v>1653</v>
      </c>
      <c r="F118" s="357"/>
      <c r="G118" s="357"/>
      <c r="H118" s="357"/>
      <c r="I118" s="357"/>
      <c r="J118" s="357"/>
      <c r="K118" s="357"/>
      <c r="L118" s="357"/>
      <c r="M118" s="357"/>
      <c r="N118" s="357"/>
      <c r="O118" s="357"/>
      <c r="P118" s="357"/>
      <c r="Q118" s="357"/>
      <c r="R118" s="357"/>
      <c r="S118" s="357"/>
      <c r="T118" s="357"/>
      <c r="U118" s="357"/>
      <c r="V118" s="357"/>
      <c r="W118" s="357"/>
      <c r="X118" s="357"/>
      <c r="Y118" s="357"/>
      <c r="Z118" s="357"/>
    </row>
    <row r="119" ht="15.75" customHeight="1">
      <c r="A119" s="359">
        <v>7.0</v>
      </c>
      <c r="B119" s="452" t="s">
        <v>7199</v>
      </c>
      <c r="C119" s="452"/>
      <c r="D119" s="452">
        <v>6.95</v>
      </c>
      <c r="E119" s="357" t="s">
        <v>1653</v>
      </c>
      <c r="F119" s="357"/>
      <c r="G119" s="357"/>
      <c r="H119" s="357"/>
      <c r="I119" s="357"/>
      <c r="J119" s="357"/>
      <c r="K119" s="357"/>
      <c r="L119" s="357"/>
      <c r="M119" s="357"/>
      <c r="N119" s="357"/>
      <c r="O119" s="357"/>
      <c r="P119" s="357"/>
      <c r="Q119" s="357"/>
      <c r="R119" s="357"/>
      <c r="S119" s="357"/>
      <c r="T119" s="357"/>
      <c r="U119" s="357"/>
      <c r="V119" s="357"/>
      <c r="W119" s="357"/>
      <c r="X119" s="357"/>
      <c r="Y119" s="357"/>
      <c r="Z119" s="357"/>
    </row>
    <row r="120" ht="15.75" customHeight="1">
      <c r="A120" s="359">
        <v>7.0</v>
      </c>
      <c r="B120" s="452" t="s">
        <v>7313</v>
      </c>
      <c r="C120" s="452"/>
      <c r="D120" s="452">
        <v>1459.85</v>
      </c>
      <c r="E120" s="357" t="s">
        <v>42</v>
      </c>
      <c r="F120" s="357"/>
      <c r="G120" s="357"/>
      <c r="H120" s="357"/>
      <c r="I120" s="357"/>
      <c r="J120" s="357"/>
      <c r="K120" s="357"/>
      <c r="L120" s="357"/>
      <c r="M120" s="357"/>
      <c r="N120" s="357"/>
      <c r="O120" s="357"/>
      <c r="P120" s="357"/>
      <c r="Q120" s="357"/>
      <c r="R120" s="357"/>
      <c r="S120" s="357"/>
      <c r="T120" s="357"/>
      <c r="U120" s="357"/>
      <c r="V120" s="357"/>
      <c r="W120" s="357"/>
      <c r="X120" s="357"/>
      <c r="Y120" s="357"/>
      <c r="Z120" s="357"/>
    </row>
    <row r="121" ht="15.75" customHeight="1">
      <c r="A121" s="359">
        <v>7.0</v>
      </c>
      <c r="B121" s="452" t="s">
        <v>7300</v>
      </c>
      <c r="C121" s="452"/>
      <c r="D121" s="452">
        <v>47.0</v>
      </c>
      <c r="E121" s="357" t="s">
        <v>1660</v>
      </c>
      <c r="F121" s="357"/>
      <c r="G121" s="357"/>
      <c r="H121" s="357"/>
      <c r="I121" s="357"/>
      <c r="J121" s="357"/>
      <c r="K121" s="357"/>
      <c r="L121" s="357"/>
      <c r="M121" s="357"/>
      <c r="N121" s="357"/>
      <c r="O121" s="357"/>
      <c r="P121" s="357"/>
      <c r="Q121" s="357"/>
      <c r="R121" s="357"/>
      <c r="S121" s="357"/>
      <c r="T121" s="357"/>
      <c r="U121" s="357"/>
      <c r="V121" s="357"/>
      <c r="W121" s="357"/>
      <c r="X121" s="357"/>
      <c r="Y121" s="357"/>
      <c r="Z121" s="357"/>
    </row>
    <row r="122" ht="15.75" customHeight="1">
      <c r="A122" s="359">
        <v>7.0</v>
      </c>
      <c r="B122" s="452" t="s">
        <v>7314</v>
      </c>
      <c r="C122" s="452"/>
      <c r="D122" s="453">
        <v>28.0</v>
      </c>
      <c r="E122" s="357" t="s">
        <v>1653</v>
      </c>
      <c r="F122" s="357" t="s">
        <v>7315</v>
      </c>
      <c r="G122" s="357"/>
      <c r="H122" s="357"/>
      <c r="I122" s="357"/>
      <c r="J122" s="357"/>
      <c r="K122" s="357"/>
      <c r="L122" s="357"/>
      <c r="M122" s="357"/>
      <c r="N122" s="357"/>
      <c r="O122" s="357"/>
      <c r="P122" s="357"/>
      <c r="Q122" s="357"/>
      <c r="R122" s="357"/>
      <c r="S122" s="357"/>
      <c r="T122" s="357"/>
      <c r="U122" s="357"/>
      <c r="V122" s="357"/>
      <c r="W122" s="357"/>
      <c r="X122" s="357"/>
      <c r="Y122" s="357"/>
      <c r="Z122" s="357"/>
    </row>
    <row r="123" ht="15.75" customHeight="1">
      <c r="A123" s="359">
        <v>7.0</v>
      </c>
      <c r="B123" s="452" t="s">
        <v>7227</v>
      </c>
      <c r="C123" s="452"/>
      <c r="D123" s="453">
        <v>29.14</v>
      </c>
      <c r="E123" s="357" t="s">
        <v>1653</v>
      </c>
      <c r="F123" s="357" t="s">
        <v>7315</v>
      </c>
      <c r="G123" s="357"/>
      <c r="H123" s="357"/>
      <c r="I123" s="357"/>
      <c r="J123" s="357"/>
      <c r="K123" s="357"/>
      <c r="L123" s="357"/>
      <c r="M123" s="357"/>
      <c r="N123" s="357"/>
      <c r="O123" s="357"/>
      <c r="P123" s="357"/>
      <c r="Q123" s="357"/>
      <c r="R123" s="357"/>
      <c r="S123" s="357"/>
      <c r="T123" s="357"/>
      <c r="U123" s="357"/>
      <c r="V123" s="357"/>
      <c r="W123" s="357"/>
      <c r="X123" s="357"/>
      <c r="Y123" s="357"/>
      <c r="Z123" s="357"/>
    </row>
    <row r="124" ht="15.75" customHeight="1">
      <c r="A124" s="359">
        <v>8.0</v>
      </c>
      <c r="B124" s="452" t="s">
        <v>7316</v>
      </c>
      <c r="C124" s="452"/>
      <c r="D124" s="458">
        <v>3281.51</v>
      </c>
      <c r="E124" s="357" t="s">
        <v>1650</v>
      </c>
      <c r="F124" s="357"/>
      <c r="G124" s="357"/>
      <c r="H124" s="357"/>
      <c r="I124" s="357"/>
      <c r="J124" s="357"/>
      <c r="K124" s="357"/>
      <c r="L124" s="357"/>
      <c r="M124" s="357"/>
      <c r="N124" s="357"/>
      <c r="O124" s="357"/>
      <c r="P124" s="357"/>
      <c r="Q124" s="357"/>
      <c r="R124" s="357"/>
      <c r="S124" s="357"/>
      <c r="T124" s="357"/>
      <c r="U124" s="357"/>
      <c r="V124" s="357"/>
      <c r="W124" s="357"/>
      <c r="X124" s="357"/>
      <c r="Y124" s="357"/>
      <c r="Z124" s="357"/>
    </row>
    <row r="125" ht="15.75" customHeight="1">
      <c r="A125" s="359">
        <v>8.0</v>
      </c>
      <c r="B125" s="452" t="s">
        <v>7317</v>
      </c>
      <c r="C125" s="452"/>
      <c r="D125" s="457">
        <v>1128.87</v>
      </c>
      <c r="E125" s="357" t="s">
        <v>1650</v>
      </c>
      <c r="F125" s="357"/>
      <c r="G125" s="357"/>
      <c r="H125" s="357"/>
      <c r="I125" s="357"/>
      <c r="J125" s="357"/>
      <c r="K125" s="357"/>
      <c r="L125" s="357"/>
      <c r="M125" s="357"/>
      <c r="N125" s="357"/>
      <c r="O125" s="357"/>
      <c r="P125" s="357"/>
      <c r="Q125" s="357"/>
      <c r="R125" s="357"/>
      <c r="S125" s="357"/>
      <c r="T125" s="357"/>
      <c r="U125" s="357"/>
      <c r="V125" s="357"/>
      <c r="W125" s="357"/>
      <c r="X125" s="357"/>
      <c r="Y125" s="357"/>
      <c r="Z125" s="357"/>
    </row>
    <row r="126" ht="15.75" customHeight="1">
      <c r="A126" s="359">
        <v>8.0</v>
      </c>
      <c r="B126" s="452" t="s">
        <v>7318</v>
      </c>
      <c r="C126" s="452"/>
      <c r="D126" s="452">
        <v>77.0</v>
      </c>
      <c r="E126" s="357" t="s">
        <v>1653</v>
      </c>
      <c r="F126" s="357"/>
      <c r="G126" s="357"/>
      <c r="H126" s="357"/>
      <c r="I126" s="357"/>
      <c r="J126" s="357"/>
      <c r="K126" s="357"/>
      <c r="L126" s="357"/>
      <c r="M126" s="357"/>
      <c r="N126" s="357"/>
      <c r="O126" s="357"/>
      <c r="P126" s="357"/>
      <c r="Q126" s="357"/>
      <c r="R126" s="357"/>
      <c r="S126" s="357"/>
      <c r="T126" s="357"/>
      <c r="U126" s="357"/>
      <c r="V126" s="357"/>
      <c r="W126" s="357"/>
      <c r="X126" s="357"/>
      <c r="Y126" s="357"/>
      <c r="Z126" s="357"/>
    </row>
    <row r="127" ht="15.75" customHeight="1">
      <c r="A127" s="359">
        <v>8.0</v>
      </c>
      <c r="B127" s="452" t="s">
        <v>7319</v>
      </c>
      <c r="C127" s="452"/>
      <c r="D127" s="452">
        <v>31.98</v>
      </c>
      <c r="E127" s="357" t="s">
        <v>1653</v>
      </c>
      <c r="F127" s="357"/>
      <c r="G127" s="357"/>
      <c r="H127" s="357"/>
      <c r="I127" s="357"/>
      <c r="J127" s="357"/>
      <c r="K127" s="357"/>
      <c r="L127" s="357"/>
      <c r="M127" s="357"/>
      <c r="N127" s="357"/>
      <c r="O127" s="357"/>
      <c r="P127" s="357"/>
      <c r="Q127" s="357"/>
      <c r="R127" s="357"/>
      <c r="S127" s="357"/>
      <c r="T127" s="357"/>
      <c r="U127" s="357"/>
      <c r="V127" s="357"/>
      <c r="W127" s="357"/>
      <c r="X127" s="357"/>
      <c r="Y127" s="357"/>
      <c r="Z127" s="357"/>
    </row>
    <row r="128" ht="15.75" customHeight="1">
      <c r="A128" s="359">
        <v>8.0</v>
      </c>
      <c r="B128" s="452" t="s">
        <v>7320</v>
      </c>
      <c r="C128" s="452"/>
      <c r="D128" s="453">
        <v>369.66</v>
      </c>
      <c r="E128" s="357" t="s">
        <v>1652</v>
      </c>
      <c r="F128" s="357"/>
      <c r="G128" s="357"/>
      <c r="H128" s="357"/>
      <c r="I128" s="357"/>
      <c r="J128" s="357"/>
      <c r="K128" s="357"/>
      <c r="L128" s="357"/>
      <c r="M128" s="357"/>
      <c r="N128" s="357"/>
      <c r="O128" s="357"/>
      <c r="P128" s="357"/>
      <c r="Q128" s="357"/>
      <c r="R128" s="357"/>
      <c r="S128" s="357"/>
      <c r="T128" s="357"/>
      <c r="U128" s="357"/>
      <c r="V128" s="357"/>
      <c r="W128" s="357"/>
      <c r="X128" s="357"/>
      <c r="Y128" s="357"/>
      <c r="Z128" s="357"/>
    </row>
    <row r="129" ht="15.75" customHeight="1">
      <c r="A129" s="359">
        <v>8.0</v>
      </c>
      <c r="B129" s="452" t="s">
        <v>7312</v>
      </c>
      <c r="C129" s="452"/>
      <c r="D129" s="452">
        <v>6.99</v>
      </c>
      <c r="E129" s="357" t="s">
        <v>1653</v>
      </c>
      <c r="F129" s="357"/>
      <c r="G129" s="357"/>
      <c r="H129" s="357"/>
      <c r="I129" s="357"/>
      <c r="J129" s="357"/>
      <c r="K129" s="357"/>
      <c r="L129" s="357"/>
      <c r="M129" s="357"/>
      <c r="N129" s="357"/>
      <c r="O129" s="357"/>
      <c r="P129" s="357"/>
      <c r="Q129" s="357"/>
      <c r="R129" s="357"/>
      <c r="S129" s="357"/>
      <c r="T129" s="357"/>
      <c r="U129" s="357"/>
      <c r="V129" s="357"/>
      <c r="W129" s="357"/>
      <c r="X129" s="357"/>
      <c r="Y129" s="357"/>
      <c r="Z129" s="357"/>
    </row>
    <row r="130" ht="15.75" customHeight="1">
      <c r="A130" s="359">
        <v>8.0</v>
      </c>
      <c r="B130" s="452" t="s">
        <v>7227</v>
      </c>
      <c r="C130" s="452"/>
      <c r="D130" s="453">
        <v>29.14</v>
      </c>
      <c r="E130" s="357" t="s">
        <v>1653</v>
      </c>
      <c r="F130" s="357"/>
      <c r="G130" s="357"/>
      <c r="H130" s="357"/>
      <c r="I130" s="357"/>
      <c r="J130" s="357"/>
      <c r="K130" s="357"/>
      <c r="L130" s="357"/>
      <c r="M130" s="357"/>
      <c r="N130" s="357"/>
      <c r="O130" s="357"/>
      <c r="P130" s="357"/>
      <c r="Q130" s="357"/>
      <c r="R130" s="357"/>
      <c r="S130" s="357"/>
      <c r="T130" s="357"/>
      <c r="U130" s="357"/>
      <c r="V130" s="357"/>
      <c r="W130" s="357"/>
      <c r="X130" s="357"/>
      <c r="Y130" s="357"/>
      <c r="Z130" s="357"/>
    </row>
    <row r="131" ht="15.75" customHeight="1">
      <c r="A131" s="359">
        <v>8.0</v>
      </c>
      <c r="B131" s="452" t="s">
        <v>7276</v>
      </c>
      <c r="C131" s="452"/>
      <c r="D131" s="453">
        <v>150.0</v>
      </c>
      <c r="E131" s="357" t="s">
        <v>1660</v>
      </c>
      <c r="F131" s="357"/>
      <c r="G131" s="357"/>
      <c r="H131" s="357"/>
      <c r="I131" s="357"/>
      <c r="J131" s="357"/>
      <c r="K131" s="357"/>
      <c r="L131" s="357"/>
      <c r="M131" s="357"/>
      <c r="N131" s="357"/>
      <c r="O131" s="357"/>
      <c r="P131" s="357"/>
      <c r="Q131" s="357"/>
      <c r="R131" s="357"/>
      <c r="S131" s="357"/>
      <c r="T131" s="357"/>
      <c r="U131" s="357"/>
      <c r="V131" s="357"/>
      <c r="W131" s="357"/>
      <c r="X131" s="357"/>
      <c r="Y131" s="357"/>
      <c r="Z131" s="357"/>
    </row>
    <row r="132" ht="15.75" customHeight="1">
      <c r="A132" s="359">
        <v>8.0</v>
      </c>
      <c r="B132" s="452" t="s">
        <v>7314</v>
      </c>
      <c r="C132" s="452"/>
      <c r="D132" s="453">
        <v>28.0</v>
      </c>
      <c r="E132" s="357" t="s">
        <v>1653</v>
      </c>
      <c r="F132" s="357"/>
      <c r="G132" s="357"/>
      <c r="H132" s="357"/>
      <c r="I132" s="357"/>
      <c r="J132" s="357"/>
      <c r="K132" s="357"/>
      <c r="L132" s="357"/>
      <c r="M132" s="357"/>
      <c r="N132" s="357"/>
      <c r="O132" s="357"/>
      <c r="P132" s="357"/>
      <c r="Q132" s="357"/>
      <c r="R132" s="357"/>
      <c r="S132" s="357"/>
      <c r="T132" s="357"/>
      <c r="U132" s="357"/>
      <c r="V132" s="357"/>
      <c r="W132" s="357"/>
      <c r="X132" s="357"/>
      <c r="Y132" s="357"/>
      <c r="Z132" s="357"/>
    </row>
    <row r="133" ht="15.75" customHeight="1">
      <c r="A133" s="359">
        <v>9.0</v>
      </c>
      <c r="B133" s="452" t="s">
        <v>7321</v>
      </c>
      <c r="C133" s="452"/>
      <c r="D133" s="452">
        <v>114.35</v>
      </c>
      <c r="E133" s="357" t="s">
        <v>42</v>
      </c>
      <c r="F133" s="357"/>
      <c r="G133" s="357"/>
      <c r="H133" s="357"/>
      <c r="I133" s="357"/>
      <c r="J133" s="357"/>
      <c r="K133" s="357"/>
      <c r="L133" s="357"/>
      <c r="M133" s="357"/>
      <c r="N133" s="357"/>
      <c r="O133" s="357"/>
      <c r="P133" s="357"/>
      <c r="Q133" s="357"/>
      <c r="R133" s="357"/>
      <c r="S133" s="357"/>
      <c r="T133" s="357"/>
      <c r="U133" s="357"/>
      <c r="V133" s="357"/>
      <c r="W133" s="357"/>
      <c r="X133" s="357"/>
      <c r="Y133" s="357"/>
      <c r="Z133" s="357"/>
    </row>
    <row r="134" ht="15.75" customHeight="1">
      <c r="A134" s="359">
        <v>9.0</v>
      </c>
      <c r="B134" s="452" t="s">
        <v>7214</v>
      </c>
      <c r="C134" s="452"/>
      <c r="D134" s="453">
        <v>160.45</v>
      </c>
      <c r="E134" s="357" t="s">
        <v>42</v>
      </c>
      <c r="F134" s="357"/>
      <c r="G134" s="357"/>
      <c r="H134" s="357"/>
      <c r="I134" s="357"/>
      <c r="J134" s="357"/>
      <c r="K134" s="357"/>
      <c r="L134" s="357"/>
      <c r="M134" s="357"/>
      <c r="N134" s="357"/>
      <c r="O134" s="357"/>
      <c r="P134" s="357"/>
      <c r="Q134" s="357"/>
      <c r="R134" s="357"/>
      <c r="S134" s="357"/>
      <c r="T134" s="357"/>
      <c r="U134" s="357"/>
      <c r="V134" s="357"/>
      <c r="W134" s="357"/>
      <c r="X134" s="357"/>
      <c r="Y134" s="357"/>
      <c r="Z134" s="357"/>
    </row>
    <row r="135" ht="15.75" customHeight="1">
      <c r="A135" s="359">
        <v>9.0</v>
      </c>
      <c r="B135" s="452" t="s">
        <v>7322</v>
      </c>
      <c r="C135" s="452"/>
      <c r="D135" s="452">
        <v>58.98</v>
      </c>
      <c r="E135" s="357" t="s">
        <v>42</v>
      </c>
      <c r="F135" s="357"/>
      <c r="G135" s="357"/>
      <c r="H135" s="357"/>
      <c r="I135" s="357"/>
      <c r="J135" s="357"/>
      <c r="K135" s="357"/>
      <c r="L135" s="357"/>
      <c r="M135" s="357"/>
      <c r="N135" s="357"/>
      <c r="O135" s="357"/>
      <c r="P135" s="357"/>
      <c r="Q135" s="357"/>
      <c r="R135" s="357"/>
      <c r="S135" s="357"/>
      <c r="T135" s="357"/>
      <c r="U135" s="357"/>
      <c r="V135" s="357"/>
      <c r="W135" s="357"/>
      <c r="X135" s="357"/>
      <c r="Y135" s="357"/>
      <c r="Z135" s="357"/>
    </row>
    <row r="136" ht="15.75" customHeight="1">
      <c r="A136" s="359">
        <v>9.0</v>
      </c>
      <c r="B136" s="452" t="s">
        <v>1843</v>
      </c>
      <c r="C136" s="452"/>
      <c r="D136" s="453">
        <v>195.5</v>
      </c>
      <c r="E136" s="357" t="s">
        <v>42</v>
      </c>
      <c r="F136" s="357"/>
      <c r="G136" s="357"/>
      <c r="H136" s="357"/>
      <c r="I136" s="357"/>
      <c r="J136" s="357"/>
      <c r="K136" s="357"/>
      <c r="L136" s="357"/>
      <c r="M136" s="357"/>
      <c r="N136" s="357"/>
      <c r="O136" s="357"/>
      <c r="P136" s="357"/>
      <c r="Q136" s="357"/>
      <c r="R136" s="357"/>
      <c r="S136" s="357"/>
      <c r="T136" s="357"/>
      <c r="U136" s="357"/>
      <c r="V136" s="357"/>
      <c r="W136" s="357"/>
      <c r="X136" s="357"/>
      <c r="Y136" s="357"/>
      <c r="Z136" s="357"/>
    </row>
    <row r="137" ht="15.75" customHeight="1">
      <c r="A137" s="359">
        <v>9.0</v>
      </c>
      <c r="B137" s="452" t="s">
        <v>7323</v>
      </c>
      <c r="C137" s="452"/>
      <c r="D137" s="452">
        <v>114.35</v>
      </c>
      <c r="E137" s="357" t="s">
        <v>42</v>
      </c>
      <c r="F137" s="357"/>
      <c r="G137" s="357"/>
      <c r="H137" s="357"/>
      <c r="I137" s="357"/>
      <c r="J137" s="357"/>
      <c r="K137" s="357"/>
      <c r="L137" s="357"/>
      <c r="M137" s="357"/>
      <c r="N137" s="357"/>
      <c r="O137" s="357"/>
      <c r="P137" s="357"/>
      <c r="Q137" s="357"/>
      <c r="R137" s="357"/>
      <c r="S137" s="357"/>
      <c r="T137" s="357"/>
      <c r="U137" s="357"/>
      <c r="V137" s="357"/>
      <c r="W137" s="357"/>
      <c r="X137" s="357"/>
      <c r="Y137" s="357"/>
      <c r="Z137" s="357"/>
    </row>
    <row r="138" ht="15.75" customHeight="1">
      <c r="A138" s="359">
        <v>9.0</v>
      </c>
      <c r="B138" s="452" t="s">
        <v>7324</v>
      </c>
      <c r="C138" s="452"/>
      <c r="D138" s="452">
        <v>220.0</v>
      </c>
      <c r="E138" s="357" t="s">
        <v>42</v>
      </c>
      <c r="F138" s="357"/>
      <c r="G138" s="357"/>
      <c r="H138" s="357"/>
      <c r="I138" s="357"/>
      <c r="J138" s="357"/>
      <c r="K138" s="357"/>
      <c r="L138" s="357"/>
      <c r="M138" s="357"/>
      <c r="N138" s="357"/>
      <c r="O138" s="357"/>
      <c r="P138" s="357"/>
      <c r="Q138" s="357"/>
      <c r="R138" s="357"/>
      <c r="S138" s="357"/>
      <c r="T138" s="357"/>
      <c r="U138" s="357"/>
      <c r="V138" s="357"/>
      <c r="W138" s="357"/>
      <c r="X138" s="357"/>
      <c r="Y138" s="357"/>
      <c r="Z138" s="357"/>
    </row>
    <row r="139" ht="15.75" customHeight="1">
      <c r="A139" s="359">
        <v>9.0</v>
      </c>
      <c r="B139" s="452" t="s">
        <v>7325</v>
      </c>
      <c r="C139" s="452"/>
      <c r="D139" s="453">
        <v>1356.21</v>
      </c>
      <c r="E139" s="357" t="s">
        <v>42</v>
      </c>
      <c r="F139" s="357"/>
      <c r="G139" s="357"/>
      <c r="H139" s="357"/>
      <c r="I139" s="357"/>
      <c r="J139" s="357"/>
      <c r="K139" s="357"/>
      <c r="L139" s="357"/>
      <c r="M139" s="357"/>
      <c r="N139" s="357"/>
      <c r="O139" s="357"/>
      <c r="P139" s="357"/>
      <c r="Q139" s="357"/>
      <c r="R139" s="357"/>
      <c r="S139" s="357"/>
      <c r="T139" s="357"/>
      <c r="U139" s="357"/>
      <c r="V139" s="357"/>
      <c r="W139" s="357"/>
      <c r="X139" s="357"/>
      <c r="Y139" s="357"/>
      <c r="Z139" s="357"/>
    </row>
    <row r="140" ht="15.75" customHeight="1">
      <c r="A140" s="359">
        <v>9.0</v>
      </c>
      <c r="B140" s="452" t="s">
        <v>7199</v>
      </c>
      <c r="C140" s="452"/>
      <c r="D140" s="452">
        <v>6.95</v>
      </c>
      <c r="E140" s="357" t="s">
        <v>1653</v>
      </c>
      <c r="F140" s="357"/>
      <c r="G140" s="357"/>
      <c r="H140" s="357"/>
      <c r="I140" s="357"/>
      <c r="J140" s="357"/>
      <c r="K140" s="357"/>
      <c r="L140" s="357"/>
      <c r="M140" s="357"/>
      <c r="N140" s="357"/>
      <c r="O140" s="357"/>
      <c r="P140" s="357"/>
      <c r="Q140" s="357"/>
      <c r="R140" s="357"/>
      <c r="S140" s="357"/>
      <c r="T140" s="357"/>
      <c r="U140" s="357"/>
      <c r="V140" s="357"/>
      <c r="W140" s="357"/>
      <c r="X140" s="357"/>
      <c r="Y140" s="357"/>
      <c r="Z140" s="357"/>
    </row>
    <row r="141" ht="15.75" customHeight="1">
      <c r="A141" s="359">
        <v>9.0</v>
      </c>
      <c r="B141" s="452" t="s">
        <v>7326</v>
      </c>
      <c r="C141" s="452"/>
      <c r="D141" s="452">
        <v>20.0</v>
      </c>
      <c r="E141" s="357" t="s">
        <v>1653</v>
      </c>
      <c r="F141" s="357"/>
      <c r="G141" s="357"/>
      <c r="H141" s="357"/>
      <c r="I141" s="357"/>
      <c r="J141" s="357"/>
      <c r="K141" s="357"/>
      <c r="L141" s="357"/>
      <c r="M141" s="357"/>
      <c r="N141" s="357"/>
      <c r="O141" s="357"/>
      <c r="P141" s="357"/>
      <c r="Q141" s="357"/>
      <c r="R141" s="357"/>
      <c r="S141" s="357"/>
      <c r="T141" s="357"/>
      <c r="U141" s="357"/>
      <c r="V141" s="357"/>
      <c r="W141" s="357"/>
      <c r="X141" s="357"/>
      <c r="Y141" s="357"/>
      <c r="Z141" s="357"/>
    </row>
    <row r="142" ht="15.75" customHeight="1">
      <c r="A142" s="359">
        <v>9.0</v>
      </c>
      <c r="B142" s="452" t="s">
        <v>7327</v>
      </c>
      <c r="C142" s="452"/>
      <c r="D142" s="453">
        <v>122.0</v>
      </c>
      <c r="E142" s="357" t="s">
        <v>42</v>
      </c>
      <c r="F142" s="357"/>
      <c r="G142" s="357"/>
      <c r="H142" s="357"/>
      <c r="I142" s="357"/>
      <c r="J142" s="357"/>
      <c r="K142" s="357"/>
      <c r="L142" s="357"/>
      <c r="M142" s="357"/>
      <c r="N142" s="357"/>
      <c r="O142" s="357"/>
      <c r="P142" s="357"/>
      <c r="Q142" s="357"/>
      <c r="R142" s="357"/>
      <c r="S142" s="357"/>
      <c r="T142" s="357"/>
      <c r="U142" s="357"/>
      <c r="V142" s="357"/>
      <c r="W142" s="357"/>
      <c r="X142" s="357"/>
      <c r="Y142" s="357"/>
      <c r="Z142" s="357"/>
    </row>
    <row r="143" ht="15.75" customHeight="1">
      <c r="A143" s="359">
        <v>9.0</v>
      </c>
      <c r="B143" s="452" t="s">
        <v>7328</v>
      </c>
      <c r="C143" s="452"/>
      <c r="D143" s="452">
        <v>16.0</v>
      </c>
      <c r="E143" s="357" t="s">
        <v>1653</v>
      </c>
      <c r="F143" s="357"/>
      <c r="G143" s="357"/>
      <c r="H143" s="357"/>
      <c r="I143" s="357"/>
      <c r="J143" s="357"/>
      <c r="K143" s="357"/>
      <c r="L143" s="357"/>
      <c r="M143" s="357"/>
      <c r="N143" s="357"/>
      <c r="O143" s="357"/>
      <c r="P143" s="357"/>
      <c r="Q143" s="357"/>
      <c r="R143" s="357"/>
      <c r="S143" s="357"/>
      <c r="T143" s="357"/>
      <c r="U143" s="357"/>
      <c r="V143" s="357"/>
      <c r="W143" s="357"/>
      <c r="X143" s="357"/>
      <c r="Y143" s="357"/>
      <c r="Z143" s="357"/>
    </row>
    <row r="144" ht="15.75" customHeight="1">
      <c r="A144" s="359">
        <v>9.0</v>
      </c>
      <c r="B144" s="452" t="s">
        <v>1841</v>
      </c>
      <c r="C144" s="452"/>
      <c r="D144" s="453">
        <v>463.6</v>
      </c>
      <c r="E144" s="357" t="s">
        <v>42</v>
      </c>
      <c r="F144" s="357"/>
      <c r="G144" s="357"/>
      <c r="H144" s="357"/>
      <c r="I144" s="357"/>
      <c r="J144" s="357"/>
      <c r="K144" s="357"/>
      <c r="L144" s="357"/>
      <c r="M144" s="357"/>
      <c r="N144" s="357"/>
      <c r="O144" s="357"/>
      <c r="P144" s="357"/>
      <c r="Q144" s="357"/>
      <c r="R144" s="357"/>
      <c r="S144" s="357"/>
      <c r="T144" s="357"/>
      <c r="U144" s="357"/>
      <c r="V144" s="357"/>
      <c r="W144" s="357"/>
      <c r="X144" s="357"/>
      <c r="Y144" s="357"/>
      <c r="Z144" s="357"/>
    </row>
    <row r="145" ht="15.75" customHeight="1">
      <c r="A145" s="359">
        <v>9.0</v>
      </c>
      <c r="B145" s="460" t="s">
        <v>7329</v>
      </c>
      <c r="C145" s="460"/>
      <c r="D145" s="461">
        <v>141.0</v>
      </c>
      <c r="E145" s="357" t="s">
        <v>1653</v>
      </c>
      <c r="F145" s="357"/>
      <c r="G145" s="357"/>
      <c r="H145" s="357"/>
      <c r="I145" s="357"/>
      <c r="J145" s="357"/>
      <c r="K145" s="357"/>
      <c r="L145" s="357"/>
      <c r="M145" s="357"/>
      <c r="N145" s="357"/>
      <c r="O145" s="357"/>
      <c r="P145" s="357"/>
      <c r="Q145" s="357"/>
      <c r="R145" s="357"/>
      <c r="S145" s="357"/>
      <c r="T145" s="357"/>
      <c r="U145" s="357"/>
      <c r="V145" s="357"/>
      <c r="W145" s="357"/>
      <c r="X145" s="357"/>
      <c r="Y145" s="357"/>
      <c r="Z145" s="357"/>
    </row>
    <row r="146" ht="15.75" customHeight="1">
      <c r="A146" s="359">
        <v>9.0</v>
      </c>
      <c r="B146" s="452" t="s">
        <v>1843</v>
      </c>
      <c r="C146" s="452"/>
      <c r="D146" s="452">
        <v>10.2</v>
      </c>
      <c r="E146" s="357" t="s">
        <v>42</v>
      </c>
      <c r="F146" s="357"/>
      <c r="G146" s="357"/>
      <c r="H146" s="357"/>
      <c r="I146" s="357"/>
      <c r="J146" s="357"/>
      <c r="K146" s="357"/>
      <c r="L146" s="357"/>
      <c r="M146" s="357"/>
      <c r="N146" s="357"/>
      <c r="O146" s="357"/>
      <c r="P146" s="357"/>
      <c r="Q146" s="357"/>
      <c r="R146" s="357"/>
      <c r="S146" s="357"/>
      <c r="T146" s="357"/>
      <c r="U146" s="357"/>
      <c r="V146" s="357"/>
      <c r="W146" s="357"/>
      <c r="X146" s="357"/>
      <c r="Y146" s="357"/>
      <c r="Z146" s="357"/>
    </row>
    <row r="147" ht="15.75" customHeight="1">
      <c r="A147" s="359">
        <v>9.0</v>
      </c>
      <c r="B147" s="452" t="s">
        <v>7325</v>
      </c>
      <c r="C147" s="452"/>
      <c r="D147" s="453">
        <v>292.35</v>
      </c>
      <c r="E147" s="357" t="s">
        <v>42</v>
      </c>
      <c r="F147" s="357"/>
      <c r="G147" s="357"/>
      <c r="H147" s="357"/>
      <c r="I147" s="357"/>
      <c r="J147" s="357"/>
      <c r="K147" s="357"/>
      <c r="L147" s="357"/>
      <c r="M147" s="357"/>
      <c r="N147" s="357"/>
      <c r="O147" s="357"/>
      <c r="P147" s="357"/>
      <c r="Q147" s="357"/>
      <c r="R147" s="357"/>
      <c r="S147" s="357"/>
      <c r="T147" s="357"/>
      <c r="U147" s="357"/>
      <c r="V147" s="357"/>
      <c r="W147" s="357"/>
      <c r="X147" s="357"/>
      <c r="Y147" s="357"/>
      <c r="Z147" s="357"/>
    </row>
    <row r="148" ht="15.75" customHeight="1">
      <c r="A148" s="359">
        <v>9.0</v>
      </c>
      <c r="B148" s="452" t="s">
        <v>1843</v>
      </c>
      <c r="C148" s="452"/>
      <c r="D148" s="453">
        <v>92.5</v>
      </c>
      <c r="E148" s="357" t="s">
        <v>42</v>
      </c>
      <c r="F148" s="357"/>
      <c r="G148" s="357"/>
      <c r="H148" s="357"/>
      <c r="I148" s="357"/>
      <c r="J148" s="357"/>
      <c r="K148" s="357"/>
      <c r="L148" s="357"/>
      <c r="M148" s="357"/>
      <c r="N148" s="357"/>
      <c r="O148" s="357"/>
      <c r="P148" s="357"/>
      <c r="Q148" s="357"/>
      <c r="R148" s="357"/>
      <c r="S148" s="357"/>
      <c r="T148" s="357"/>
      <c r="U148" s="357"/>
      <c r="V148" s="357"/>
      <c r="W148" s="357"/>
      <c r="X148" s="357"/>
      <c r="Y148" s="357"/>
      <c r="Z148" s="357"/>
    </row>
    <row r="149" ht="15.75" customHeight="1">
      <c r="A149" s="359">
        <v>9.0</v>
      </c>
      <c r="B149" s="452" t="s">
        <v>7313</v>
      </c>
      <c r="C149" s="452"/>
      <c r="D149" s="452">
        <v>2448.0</v>
      </c>
      <c r="E149" s="357" t="s">
        <v>42</v>
      </c>
      <c r="F149" s="357"/>
      <c r="G149" s="357"/>
      <c r="H149" s="357"/>
      <c r="I149" s="357"/>
      <c r="J149" s="357"/>
      <c r="K149" s="357"/>
      <c r="L149" s="357"/>
      <c r="M149" s="357"/>
      <c r="N149" s="357"/>
      <c r="O149" s="357"/>
      <c r="P149" s="357"/>
      <c r="Q149" s="357"/>
      <c r="R149" s="357"/>
      <c r="S149" s="357"/>
      <c r="T149" s="357"/>
      <c r="U149" s="357"/>
      <c r="V149" s="357"/>
      <c r="W149" s="357"/>
      <c r="X149" s="357"/>
      <c r="Y149" s="357"/>
      <c r="Z149" s="357"/>
    </row>
    <row r="150" ht="15.75" customHeight="1">
      <c r="A150" s="359">
        <v>9.0</v>
      </c>
      <c r="B150" s="452" t="s">
        <v>7330</v>
      </c>
      <c r="C150" s="452"/>
      <c r="D150" s="453">
        <v>1311.0</v>
      </c>
      <c r="E150" s="357" t="s">
        <v>42</v>
      </c>
      <c r="F150" s="357" t="s">
        <v>7331</v>
      </c>
      <c r="G150" s="357"/>
      <c r="H150" s="357"/>
      <c r="I150" s="357"/>
      <c r="J150" s="357"/>
      <c r="K150" s="357"/>
      <c r="L150" s="357"/>
      <c r="M150" s="357"/>
      <c r="N150" s="357"/>
      <c r="O150" s="357"/>
      <c r="P150" s="357"/>
      <c r="Q150" s="357"/>
      <c r="R150" s="357"/>
      <c r="S150" s="357"/>
      <c r="T150" s="357"/>
      <c r="U150" s="357"/>
      <c r="V150" s="357"/>
      <c r="W150" s="357"/>
      <c r="X150" s="357"/>
      <c r="Y150" s="357"/>
      <c r="Z150" s="357"/>
    </row>
    <row r="151" ht="15.75" customHeight="1">
      <c r="A151" s="359">
        <v>9.0</v>
      </c>
      <c r="B151" s="452" t="s">
        <v>7332</v>
      </c>
      <c r="C151" s="452"/>
      <c r="D151" s="452">
        <v>104.92</v>
      </c>
      <c r="E151" s="357" t="s">
        <v>42</v>
      </c>
      <c r="F151" s="357"/>
      <c r="G151" s="357"/>
      <c r="H151" s="357"/>
      <c r="I151" s="357"/>
      <c r="J151" s="357"/>
      <c r="K151" s="357"/>
      <c r="L151" s="357"/>
      <c r="M151" s="357"/>
      <c r="N151" s="357"/>
      <c r="O151" s="357"/>
      <c r="P151" s="357"/>
      <c r="Q151" s="357"/>
      <c r="R151" s="357"/>
      <c r="S151" s="357"/>
      <c r="T151" s="357"/>
      <c r="U151" s="357"/>
      <c r="V151" s="357"/>
      <c r="W151" s="357"/>
      <c r="X151" s="357"/>
      <c r="Y151" s="357"/>
      <c r="Z151" s="357"/>
    </row>
    <row r="152" ht="15.75" customHeight="1">
      <c r="A152" s="359">
        <v>9.0</v>
      </c>
      <c r="B152" s="452" t="s">
        <v>7276</v>
      </c>
      <c r="C152" s="452"/>
      <c r="D152" s="453">
        <v>150.0</v>
      </c>
      <c r="E152" s="357" t="s">
        <v>1660</v>
      </c>
      <c r="F152" s="357"/>
      <c r="G152" s="357"/>
      <c r="H152" s="357"/>
      <c r="I152" s="357"/>
      <c r="J152" s="357"/>
      <c r="K152" s="357"/>
      <c r="L152" s="357"/>
      <c r="M152" s="357"/>
      <c r="N152" s="357"/>
      <c r="O152" s="357"/>
      <c r="P152" s="357"/>
      <c r="Q152" s="357"/>
      <c r="R152" s="357"/>
      <c r="S152" s="357"/>
      <c r="T152" s="357"/>
      <c r="U152" s="357"/>
      <c r="V152" s="357"/>
      <c r="W152" s="357"/>
      <c r="X152" s="357"/>
      <c r="Y152" s="357"/>
      <c r="Z152" s="357"/>
    </row>
    <row r="153" ht="15.75" customHeight="1">
      <c r="A153" s="359">
        <v>9.0</v>
      </c>
      <c r="B153" s="452" t="s">
        <v>7325</v>
      </c>
      <c r="C153" s="452"/>
      <c r="D153" s="453">
        <v>949.0</v>
      </c>
      <c r="E153" s="357" t="s">
        <v>42</v>
      </c>
      <c r="F153" s="357"/>
      <c r="G153" s="357"/>
      <c r="H153" s="357"/>
      <c r="I153" s="357"/>
      <c r="J153" s="357"/>
      <c r="K153" s="357"/>
      <c r="L153" s="357"/>
      <c r="M153" s="357"/>
      <c r="N153" s="357"/>
      <c r="O153" s="357"/>
      <c r="P153" s="357"/>
      <c r="Q153" s="357"/>
      <c r="R153" s="357"/>
      <c r="S153" s="357"/>
      <c r="T153" s="357"/>
      <c r="U153" s="357"/>
      <c r="V153" s="357"/>
      <c r="W153" s="357"/>
      <c r="X153" s="357"/>
      <c r="Y153" s="357"/>
      <c r="Z153" s="357"/>
    </row>
    <row r="154" ht="15.75" customHeight="1">
      <c r="A154" s="359">
        <v>9.0</v>
      </c>
      <c r="B154" s="452" t="s">
        <v>7314</v>
      </c>
      <c r="C154" s="452"/>
      <c r="D154" s="453">
        <v>28.0</v>
      </c>
      <c r="E154" s="357" t="s">
        <v>1653</v>
      </c>
      <c r="F154" s="357"/>
      <c r="G154" s="357"/>
      <c r="H154" s="357"/>
      <c r="I154" s="357"/>
      <c r="J154" s="357"/>
      <c r="K154" s="357"/>
      <c r="L154" s="357"/>
      <c r="M154" s="357"/>
      <c r="N154" s="357"/>
      <c r="O154" s="357"/>
      <c r="P154" s="357"/>
      <c r="Q154" s="357"/>
      <c r="R154" s="357"/>
      <c r="S154" s="357"/>
      <c r="T154" s="357"/>
      <c r="U154" s="357"/>
      <c r="V154" s="357"/>
      <c r="W154" s="357"/>
      <c r="X154" s="357"/>
      <c r="Y154" s="357"/>
      <c r="Z154" s="357"/>
    </row>
    <row r="155" ht="15.75" customHeight="1">
      <c r="A155" s="359">
        <v>9.0</v>
      </c>
      <c r="B155" s="452" t="s">
        <v>7333</v>
      </c>
      <c r="C155" s="452"/>
      <c r="D155" s="456">
        <v>80.0</v>
      </c>
      <c r="E155" s="357" t="s">
        <v>1653</v>
      </c>
      <c r="F155" s="357"/>
      <c r="G155" s="357"/>
      <c r="H155" s="357"/>
      <c r="I155" s="357"/>
      <c r="J155" s="357"/>
      <c r="K155" s="357"/>
      <c r="L155" s="357"/>
      <c r="M155" s="357"/>
      <c r="N155" s="357"/>
      <c r="O155" s="357"/>
      <c r="P155" s="357"/>
      <c r="Q155" s="357"/>
      <c r="R155" s="357"/>
      <c r="S155" s="357"/>
      <c r="T155" s="357"/>
      <c r="U155" s="357"/>
      <c r="V155" s="357"/>
      <c r="W155" s="357"/>
      <c r="X155" s="357"/>
      <c r="Y155" s="357"/>
      <c r="Z155" s="357"/>
    </row>
    <row r="156" ht="15.75" customHeight="1">
      <c r="A156" s="359">
        <v>9.0</v>
      </c>
      <c r="B156" s="452" t="s">
        <v>7334</v>
      </c>
      <c r="C156" s="452"/>
      <c r="D156" s="452">
        <v>23.0</v>
      </c>
      <c r="E156" s="357" t="s">
        <v>42</v>
      </c>
      <c r="F156" s="357"/>
      <c r="G156" s="357"/>
      <c r="H156" s="357"/>
      <c r="I156" s="357"/>
      <c r="J156" s="357"/>
      <c r="K156" s="357"/>
      <c r="L156" s="357"/>
      <c r="M156" s="357"/>
      <c r="N156" s="357"/>
      <c r="O156" s="357"/>
      <c r="P156" s="357"/>
      <c r="Q156" s="357"/>
      <c r="R156" s="357"/>
      <c r="S156" s="357"/>
      <c r="T156" s="357"/>
      <c r="U156" s="357"/>
      <c r="V156" s="357"/>
      <c r="W156" s="357"/>
      <c r="X156" s="357"/>
      <c r="Y156" s="357"/>
      <c r="Z156" s="357"/>
    </row>
    <row r="157" ht="15.75" customHeight="1">
      <c r="A157" s="359">
        <v>9.0</v>
      </c>
      <c r="B157" s="452" t="s">
        <v>7335</v>
      </c>
      <c r="C157" s="452"/>
      <c r="D157" s="452">
        <v>104.0</v>
      </c>
      <c r="E157" s="357" t="s">
        <v>42</v>
      </c>
      <c r="F157" s="357"/>
      <c r="G157" s="357"/>
      <c r="H157" s="357"/>
      <c r="I157" s="357"/>
      <c r="J157" s="357"/>
      <c r="K157" s="357"/>
      <c r="L157" s="357"/>
      <c r="M157" s="357"/>
      <c r="N157" s="357"/>
      <c r="O157" s="357"/>
      <c r="P157" s="357"/>
      <c r="Q157" s="357"/>
      <c r="R157" s="357"/>
      <c r="S157" s="357"/>
      <c r="T157" s="357"/>
      <c r="U157" s="357"/>
      <c r="V157" s="357"/>
      <c r="W157" s="357"/>
      <c r="X157" s="357"/>
      <c r="Y157" s="357"/>
      <c r="Z157" s="357"/>
    </row>
    <row r="158" ht="15.75" customHeight="1">
      <c r="A158" s="359">
        <v>9.0</v>
      </c>
      <c r="B158" s="452" t="s">
        <v>7310</v>
      </c>
      <c r="C158" s="452"/>
      <c r="D158" s="453">
        <v>382.0</v>
      </c>
      <c r="E158" s="357" t="s">
        <v>1649</v>
      </c>
      <c r="F158" s="357"/>
      <c r="G158" s="357"/>
      <c r="H158" s="357"/>
      <c r="I158" s="357"/>
      <c r="J158" s="357"/>
      <c r="K158" s="357"/>
      <c r="L158" s="357"/>
      <c r="M158" s="357"/>
      <c r="N158" s="357"/>
      <c r="O158" s="357"/>
      <c r="P158" s="357"/>
      <c r="Q158" s="357"/>
      <c r="R158" s="357"/>
      <c r="S158" s="357"/>
      <c r="T158" s="357"/>
      <c r="U158" s="357"/>
      <c r="V158" s="357"/>
      <c r="W158" s="357"/>
      <c r="X158" s="357"/>
      <c r="Y158" s="357"/>
      <c r="Z158" s="357"/>
    </row>
    <row r="159" ht="15.75" customHeight="1">
      <c r="A159" s="359">
        <v>9.0</v>
      </c>
      <c r="B159" s="452" t="s">
        <v>7309</v>
      </c>
      <c r="C159" s="452"/>
      <c r="D159" s="453">
        <v>382.0</v>
      </c>
      <c r="E159" s="357" t="s">
        <v>1649</v>
      </c>
      <c r="F159" s="357"/>
      <c r="G159" s="357"/>
      <c r="H159" s="357"/>
      <c r="I159" s="357"/>
      <c r="J159" s="357"/>
      <c r="K159" s="357"/>
      <c r="L159" s="357"/>
      <c r="M159" s="357"/>
      <c r="N159" s="357"/>
      <c r="O159" s="357"/>
      <c r="P159" s="357"/>
      <c r="Q159" s="357"/>
      <c r="R159" s="357"/>
      <c r="S159" s="357"/>
      <c r="T159" s="357"/>
      <c r="U159" s="357"/>
      <c r="V159" s="357"/>
      <c r="W159" s="357"/>
      <c r="X159" s="357"/>
      <c r="Y159" s="357"/>
      <c r="Z159" s="357"/>
    </row>
    <row r="160" ht="15.75" customHeight="1">
      <c r="A160" s="359">
        <v>9.0</v>
      </c>
      <c r="B160" s="452" t="s">
        <v>7336</v>
      </c>
      <c r="C160" s="452"/>
      <c r="D160" s="452">
        <v>234.6</v>
      </c>
      <c r="E160" s="357" t="s">
        <v>42</v>
      </c>
      <c r="F160" s="357"/>
      <c r="G160" s="357"/>
      <c r="H160" s="357"/>
      <c r="I160" s="357"/>
      <c r="J160" s="357"/>
      <c r="K160" s="357"/>
      <c r="L160" s="357"/>
      <c r="M160" s="357"/>
      <c r="N160" s="357"/>
      <c r="O160" s="357"/>
      <c r="P160" s="357"/>
      <c r="Q160" s="357"/>
      <c r="R160" s="357"/>
      <c r="S160" s="357"/>
      <c r="T160" s="357"/>
      <c r="U160" s="357"/>
      <c r="V160" s="357"/>
      <c r="W160" s="357"/>
      <c r="X160" s="357"/>
      <c r="Y160" s="357"/>
      <c r="Z160" s="357"/>
    </row>
    <row r="161" ht="15.75" customHeight="1">
      <c r="A161" s="359">
        <v>9.0</v>
      </c>
      <c r="B161" s="452" t="s">
        <v>7239</v>
      </c>
      <c r="C161" s="452"/>
      <c r="D161" s="452">
        <v>122.0</v>
      </c>
      <c r="E161" s="357" t="s">
        <v>42</v>
      </c>
      <c r="F161" s="357"/>
      <c r="G161" s="357"/>
      <c r="H161" s="357"/>
      <c r="I161" s="357"/>
      <c r="J161" s="357"/>
      <c r="K161" s="357"/>
      <c r="L161" s="357"/>
      <c r="M161" s="357"/>
      <c r="N161" s="357"/>
      <c r="O161" s="357"/>
      <c r="P161" s="357"/>
      <c r="Q161" s="357"/>
      <c r="R161" s="357"/>
      <c r="S161" s="357"/>
      <c r="T161" s="357"/>
      <c r="U161" s="357"/>
      <c r="V161" s="357"/>
      <c r="W161" s="357"/>
      <c r="X161" s="357"/>
      <c r="Y161" s="357"/>
      <c r="Z161" s="357"/>
    </row>
    <row r="162" ht="15.75" customHeight="1">
      <c r="A162" s="359">
        <v>10.0</v>
      </c>
      <c r="B162" s="452" t="s">
        <v>7337</v>
      </c>
      <c r="C162" s="452"/>
      <c r="D162" s="452">
        <v>244.0</v>
      </c>
      <c r="E162" s="357" t="s">
        <v>42</v>
      </c>
      <c r="F162" s="357"/>
      <c r="G162" s="357"/>
      <c r="H162" s="357"/>
      <c r="I162" s="357"/>
      <c r="J162" s="357"/>
      <c r="K162" s="357"/>
      <c r="L162" s="357"/>
      <c r="M162" s="357"/>
      <c r="N162" s="357"/>
      <c r="O162" s="357"/>
      <c r="P162" s="357"/>
      <c r="Q162" s="357"/>
      <c r="R162" s="357"/>
      <c r="S162" s="357"/>
      <c r="T162" s="357"/>
      <c r="U162" s="357"/>
      <c r="V162" s="357"/>
      <c r="W162" s="357"/>
      <c r="X162" s="357"/>
      <c r="Y162" s="357"/>
      <c r="Z162" s="357"/>
    </row>
    <row r="163" ht="15.75" customHeight="1">
      <c r="A163" s="359">
        <v>10.0</v>
      </c>
      <c r="B163" s="452" t="s">
        <v>7338</v>
      </c>
      <c r="C163" s="452"/>
      <c r="D163" s="452">
        <v>292.9</v>
      </c>
      <c r="E163" s="357" t="s">
        <v>42</v>
      </c>
      <c r="F163" s="357"/>
      <c r="G163" s="357"/>
      <c r="H163" s="357"/>
      <c r="I163" s="357"/>
      <c r="J163" s="357"/>
      <c r="K163" s="357"/>
      <c r="L163" s="357"/>
      <c r="M163" s="357"/>
      <c r="N163" s="357"/>
      <c r="O163" s="357"/>
      <c r="P163" s="357"/>
      <c r="Q163" s="357"/>
      <c r="R163" s="357"/>
      <c r="S163" s="357"/>
      <c r="T163" s="357"/>
      <c r="U163" s="357"/>
      <c r="V163" s="357"/>
      <c r="W163" s="357"/>
      <c r="X163" s="357"/>
      <c r="Y163" s="357"/>
      <c r="Z163" s="357"/>
    </row>
    <row r="164" ht="15.75" customHeight="1">
      <c r="A164" s="359">
        <v>10.0</v>
      </c>
      <c r="B164" s="452" t="s">
        <v>7339</v>
      </c>
      <c r="C164" s="452"/>
      <c r="D164" s="452">
        <v>1073.0</v>
      </c>
      <c r="E164" s="357" t="s">
        <v>42</v>
      </c>
      <c r="F164" s="357"/>
      <c r="G164" s="357"/>
      <c r="H164" s="357"/>
      <c r="I164" s="357"/>
      <c r="J164" s="357"/>
      <c r="K164" s="357"/>
      <c r="L164" s="357"/>
      <c r="M164" s="357"/>
      <c r="N164" s="357"/>
      <c r="O164" s="357"/>
      <c r="P164" s="357"/>
      <c r="Q164" s="357"/>
      <c r="R164" s="357"/>
      <c r="S164" s="357"/>
      <c r="T164" s="357"/>
      <c r="U164" s="357"/>
      <c r="V164" s="357"/>
      <c r="W164" s="357"/>
      <c r="X164" s="357"/>
      <c r="Y164" s="357"/>
      <c r="Z164" s="357"/>
    </row>
    <row r="165" ht="15.75" customHeight="1">
      <c r="A165" s="359">
        <v>10.0</v>
      </c>
      <c r="B165" s="452" t="s">
        <v>7340</v>
      </c>
      <c r="C165" s="452"/>
      <c r="D165" s="453">
        <v>800.0</v>
      </c>
      <c r="E165" s="357" t="s">
        <v>1649</v>
      </c>
      <c r="F165" s="357"/>
      <c r="G165" s="357"/>
      <c r="H165" s="357"/>
      <c r="I165" s="357"/>
      <c r="J165" s="357"/>
      <c r="K165" s="357"/>
      <c r="L165" s="357"/>
      <c r="M165" s="357"/>
      <c r="N165" s="357"/>
      <c r="O165" s="357"/>
      <c r="P165" s="357"/>
      <c r="Q165" s="357"/>
      <c r="R165" s="357"/>
      <c r="S165" s="357"/>
      <c r="T165" s="357"/>
      <c r="U165" s="357"/>
      <c r="V165" s="357"/>
      <c r="W165" s="357"/>
      <c r="X165" s="357"/>
      <c r="Y165" s="357"/>
      <c r="Z165" s="357"/>
    </row>
    <row r="166" ht="15.75" customHeight="1">
      <c r="A166" s="359">
        <v>10.0</v>
      </c>
      <c r="B166" s="452" t="s">
        <v>7333</v>
      </c>
      <c r="C166" s="452"/>
      <c r="D166" s="456">
        <v>342.0</v>
      </c>
      <c r="E166" s="357" t="s">
        <v>1653</v>
      </c>
      <c r="F166" s="357"/>
      <c r="G166" s="357"/>
      <c r="H166" s="357"/>
      <c r="I166" s="357"/>
      <c r="J166" s="357"/>
      <c r="K166" s="357"/>
      <c r="L166" s="357"/>
      <c r="M166" s="357"/>
      <c r="N166" s="357"/>
      <c r="O166" s="357"/>
      <c r="P166" s="357"/>
      <c r="Q166" s="357"/>
      <c r="R166" s="357"/>
      <c r="S166" s="357"/>
      <c r="T166" s="357"/>
      <c r="U166" s="357"/>
      <c r="V166" s="357"/>
      <c r="W166" s="357"/>
      <c r="X166" s="357"/>
      <c r="Y166" s="357"/>
      <c r="Z166" s="357"/>
    </row>
    <row r="167" ht="15.75" customHeight="1">
      <c r="A167" s="359">
        <v>10.0</v>
      </c>
      <c r="B167" s="452" t="s">
        <v>7341</v>
      </c>
      <c r="C167" s="452"/>
      <c r="D167" s="452">
        <v>234.6</v>
      </c>
      <c r="E167" s="357" t="s">
        <v>42</v>
      </c>
      <c r="F167" s="357"/>
      <c r="G167" s="357"/>
      <c r="H167" s="357"/>
      <c r="I167" s="357"/>
      <c r="J167" s="357"/>
      <c r="K167" s="357"/>
      <c r="L167" s="357"/>
      <c r="M167" s="357"/>
      <c r="N167" s="357"/>
      <c r="O167" s="357"/>
      <c r="P167" s="357"/>
      <c r="Q167" s="357"/>
      <c r="R167" s="357"/>
      <c r="S167" s="357"/>
      <c r="T167" s="357"/>
      <c r="U167" s="357"/>
      <c r="V167" s="357"/>
      <c r="W167" s="357"/>
      <c r="X167" s="357"/>
      <c r="Y167" s="357"/>
      <c r="Z167" s="357"/>
    </row>
    <row r="168" ht="15.75" customHeight="1">
      <c r="A168" s="359">
        <v>10.0</v>
      </c>
      <c r="B168" s="452" t="s">
        <v>7314</v>
      </c>
      <c r="C168" s="452"/>
      <c r="D168" s="453">
        <v>28.0</v>
      </c>
      <c r="E168" s="357" t="s">
        <v>1653</v>
      </c>
      <c r="F168" s="357"/>
      <c r="G168" s="357"/>
      <c r="H168" s="357"/>
      <c r="I168" s="357"/>
      <c r="J168" s="357"/>
      <c r="K168" s="357"/>
      <c r="L168" s="357"/>
      <c r="M168" s="357"/>
      <c r="N168" s="357"/>
      <c r="O168" s="357"/>
      <c r="P168" s="357"/>
      <c r="Q168" s="357"/>
      <c r="R168" s="357"/>
      <c r="S168" s="357"/>
      <c r="T168" s="357"/>
      <c r="U168" s="357"/>
      <c r="V168" s="357"/>
      <c r="W168" s="357"/>
      <c r="X168" s="357"/>
      <c r="Y168" s="357"/>
      <c r="Z168" s="357"/>
    </row>
    <row r="169" ht="15.75" customHeight="1">
      <c r="A169" s="359">
        <v>10.0</v>
      </c>
      <c r="B169" s="452" t="s">
        <v>7342</v>
      </c>
      <c r="C169" s="452"/>
      <c r="D169" s="452">
        <v>43.3</v>
      </c>
      <c r="E169" s="357" t="s">
        <v>1660</v>
      </c>
      <c r="F169" s="357"/>
      <c r="G169" s="357"/>
      <c r="H169" s="357"/>
      <c r="I169" s="357"/>
      <c r="J169" s="357"/>
      <c r="K169" s="357"/>
      <c r="L169" s="357"/>
      <c r="M169" s="357"/>
      <c r="N169" s="357"/>
      <c r="O169" s="357"/>
      <c r="P169" s="357"/>
      <c r="Q169" s="357"/>
      <c r="R169" s="357"/>
      <c r="S169" s="357"/>
      <c r="T169" s="357"/>
      <c r="U169" s="357"/>
      <c r="V169" s="357"/>
      <c r="W169" s="357"/>
      <c r="X169" s="357"/>
      <c r="Y169" s="357"/>
      <c r="Z169" s="357"/>
    </row>
    <row r="170" ht="15.75" customHeight="1">
      <c r="A170" s="359">
        <v>10.0</v>
      </c>
      <c r="B170" s="452" t="s">
        <v>7340</v>
      </c>
      <c r="C170" s="452"/>
      <c r="D170" s="453">
        <v>800.0</v>
      </c>
      <c r="E170" s="357" t="s">
        <v>1649</v>
      </c>
      <c r="F170" s="357"/>
      <c r="G170" s="357"/>
      <c r="H170" s="357"/>
      <c r="I170" s="357"/>
      <c r="J170" s="357"/>
      <c r="K170" s="357"/>
      <c r="L170" s="357"/>
      <c r="M170" s="357"/>
      <c r="N170" s="357"/>
      <c r="O170" s="357"/>
      <c r="P170" s="357"/>
      <c r="Q170" s="357"/>
      <c r="R170" s="357"/>
      <c r="S170" s="357"/>
      <c r="T170" s="357"/>
      <c r="U170" s="357"/>
      <c r="V170" s="357"/>
      <c r="W170" s="357"/>
      <c r="X170" s="357"/>
      <c r="Y170" s="357"/>
      <c r="Z170" s="357"/>
    </row>
    <row r="171" ht="15.75" customHeight="1">
      <c r="A171" s="359">
        <v>10.0</v>
      </c>
      <c r="B171" s="452" t="s">
        <v>7343</v>
      </c>
      <c r="C171" s="452"/>
      <c r="D171" s="452">
        <v>2196.0</v>
      </c>
      <c r="E171" s="357" t="s">
        <v>42</v>
      </c>
      <c r="F171" s="357"/>
      <c r="G171" s="357"/>
      <c r="H171" s="357"/>
      <c r="I171" s="357"/>
      <c r="J171" s="357"/>
      <c r="K171" s="357"/>
      <c r="L171" s="357"/>
      <c r="M171" s="357"/>
      <c r="N171" s="357"/>
      <c r="O171" s="357"/>
      <c r="P171" s="357"/>
      <c r="Q171" s="357"/>
      <c r="R171" s="357"/>
      <c r="S171" s="357"/>
      <c r="T171" s="357"/>
      <c r="U171" s="357"/>
      <c r="V171" s="357"/>
      <c r="W171" s="357"/>
      <c r="X171" s="357"/>
      <c r="Y171" s="357"/>
      <c r="Z171" s="357"/>
    </row>
    <row r="172" ht="15.75" customHeight="1">
      <c r="A172" s="359">
        <v>10.0</v>
      </c>
      <c r="B172" s="452" t="s">
        <v>7344</v>
      </c>
      <c r="C172" s="452"/>
      <c r="D172" s="453">
        <v>258.48</v>
      </c>
      <c r="E172" s="357" t="s">
        <v>1653</v>
      </c>
      <c r="F172" s="357"/>
      <c r="G172" s="357"/>
      <c r="H172" s="357"/>
      <c r="I172" s="357"/>
      <c r="J172" s="357"/>
      <c r="K172" s="357"/>
      <c r="L172" s="357"/>
      <c r="M172" s="357"/>
      <c r="N172" s="357"/>
      <c r="O172" s="357"/>
      <c r="P172" s="357"/>
      <c r="Q172" s="357"/>
      <c r="R172" s="357"/>
      <c r="S172" s="357"/>
      <c r="T172" s="357"/>
      <c r="U172" s="357"/>
      <c r="V172" s="357"/>
      <c r="W172" s="357"/>
      <c r="X172" s="357"/>
      <c r="Y172" s="357"/>
      <c r="Z172" s="357"/>
    </row>
    <row r="173" ht="15.75" customHeight="1">
      <c r="A173" s="359">
        <v>10.0</v>
      </c>
      <c r="B173" s="452" t="s">
        <v>7345</v>
      </c>
      <c r="C173" s="452"/>
      <c r="D173" s="452">
        <v>63.24</v>
      </c>
      <c r="E173" s="357" t="s">
        <v>42</v>
      </c>
      <c r="F173" s="357"/>
      <c r="G173" s="357"/>
      <c r="H173" s="357"/>
      <c r="I173" s="357"/>
      <c r="J173" s="357"/>
      <c r="K173" s="357"/>
      <c r="L173" s="357"/>
      <c r="M173" s="357"/>
      <c r="N173" s="357"/>
      <c r="O173" s="357"/>
      <c r="P173" s="357"/>
      <c r="Q173" s="357"/>
      <c r="R173" s="357"/>
      <c r="S173" s="357"/>
      <c r="T173" s="357"/>
      <c r="U173" s="357"/>
      <c r="V173" s="357"/>
      <c r="W173" s="357"/>
      <c r="X173" s="357"/>
      <c r="Y173" s="357"/>
      <c r="Z173" s="357"/>
    </row>
    <row r="174" ht="15.75" customHeight="1">
      <c r="A174" s="359">
        <v>10.0</v>
      </c>
      <c r="B174" s="452" t="s">
        <v>7227</v>
      </c>
      <c r="C174" s="452"/>
      <c r="D174" s="453">
        <v>30.11</v>
      </c>
      <c r="E174" s="357" t="s">
        <v>1653</v>
      </c>
      <c r="F174" s="357"/>
      <c r="G174" s="357"/>
      <c r="H174" s="357"/>
      <c r="I174" s="357"/>
      <c r="J174" s="357"/>
      <c r="K174" s="357"/>
      <c r="L174" s="357"/>
      <c r="M174" s="357"/>
      <c r="N174" s="357"/>
      <c r="O174" s="357"/>
      <c r="P174" s="357"/>
      <c r="Q174" s="357"/>
      <c r="R174" s="357"/>
      <c r="S174" s="357"/>
      <c r="T174" s="357"/>
      <c r="U174" s="357"/>
      <c r="V174" s="357"/>
      <c r="W174" s="357"/>
      <c r="X174" s="357"/>
      <c r="Y174" s="357"/>
      <c r="Z174" s="357"/>
    </row>
    <row r="175" ht="15.75" customHeight="1">
      <c r="A175" s="359">
        <v>10.0</v>
      </c>
      <c r="B175" s="452" t="s">
        <v>7346</v>
      </c>
      <c r="C175" s="452"/>
      <c r="D175" s="453">
        <v>244.99</v>
      </c>
      <c r="E175" s="357" t="s">
        <v>1660</v>
      </c>
      <c r="F175" s="357"/>
      <c r="G175" s="357"/>
      <c r="H175" s="357"/>
      <c r="I175" s="357"/>
      <c r="J175" s="357"/>
      <c r="K175" s="357"/>
      <c r="L175" s="357"/>
      <c r="M175" s="357"/>
      <c r="N175" s="357"/>
      <c r="O175" s="357"/>
      <c r="P175" s="357"/>
      <c r="Q175" s="357"/>
      <c r="R175" s="357"/>
      <c r="S175" s="357"/>
      <c r="T175" s="357"/>
      <c r="U175" s="357"/>
      <c r="V175" s="357"/>
      <c r="W175" s="357"/>
      <c r="X175" s="357"/>
      <c r="Y175" s="357"/>
      <c r="Z175" s="357"/>
    </row>
    <row r="176" ht="15.75" customHeight="1">
      <c r="A176" s="359">
        <v>11.0</v>
      </c>
      <c r="B176" s="452" t="s">
        <v>7347</v>
      </c>
      <c r="C176" s="452"/>
      <c r="D176" s="452">
        <v>1484.74</v>
      </c>
      <c r="E176" s="357" t="s">
        <v>42</v>
      </c>
      <c r="F176" s="357"/>
      <c r="G176" s="357"/>
      <c r="H176" s="357"/>
      <c r="I176" s="357"/>
      <c r="J176" s="357"/>
      <c r="K176" s="357"/>
      <c r="L176" s="357"/>
      <c r="M176" s="357"/>
      <c r="N176" s="357"/>
      <c r="O176" s="357"/>
      <c r="P176" s="357"/>
      <c r="Q176" s="357"/>
      <c r="R176" s="357"/>
      <c r="S176" s="357"/>
      <c r="T176" s="357"/>
      <c r="U176" s="357"/>
      <c r="V176" s="357"/>
      <c r="W176" s="357"/>
      <c r="X176" s="357"/>
      <c r="Y176" s="357"/>
      <c r="Z176" s="357"/>
    </row>
    <row r="177" ht="15.75" customHeight="1">
      <c r="A177" s="359">
        <v>11.0</v>
      </c>
      <c r="B177" s="452" t="s">
        <v>7348</v>
      </c>
      <c r="C177" s="452"/>
      <c r="D177" s="452">
        <v>114.0</v>
      </c>
      <c r="E177" s="357" t="s">
        <v>1659</v>
      </c>
      <c r="F177" s="357"/>
      <c r="G177" s="357"/>
      <c r="H177" s="357"/>
      <c r="I177" s="357"/>
      <c r="J177" s="357"/>
      <c r="K177" s="357"/>
      <c r="L177" s="357"/>
      <c r="M177" s="357"/>
      <c r="N177" s="357"/>
      <c r="O177" s="357"/>
      <c r="P177" s="357"/>
      <c r="Q177" s="357"/>
      <c r="R177" s="357"/>
      <c r="S177" s="357"/>
      <c r="T177" s="357"/>
      <c r="U177" s="357"/>
      <c r="V177" s="357"/>
      <c r="W177" s="357"/>
      <c r="X177" s="357"/>
      <c r="Y177" s="357"/>
      <c r="Z177" s="357"/>
    </row>
    <row r="178" ht="15.75" customHeight="1">
      <c r="A178" s="359">
        <v>11.0</v>
      </c>
      <c r="B178" s="452" t="s">
        <v>7333</v>
      </c>
      <c r="C178" s="452"/>
      <c r="D178" s="456">
        <v>68.7</v>
      </c>
      <c r="E178" s="357" t="s">
        <v>1653</v>
      </c>
      <c r="F178" s="357"/>
      <c r="G178" s="357"/>
      <c r="H178" s="357"/>
      <c r="I178" s="357"/>
      <c r="J178" s="357"/>
      <c r="K178" s="357"/>
      <c r="L178" s="357"/>
      <c r="M178" s="357"/>
      <c r="N178" s="357"/>
      <c r="O178" s="357"/>
      <c r="P178" s="357"/>
      <c r="Q178" s="357"/>
      <c r="R178" s="357"/>
      <c r="S178" s="357"/>
      <c r="T178" s="357"/>
      <c r="U178" s="357"/>
      <c r="V178" s="357"/>
      <c r="W178" s="357"/>
      <c r="X178" s="357"/>
      <c r="Y178" s="357"/>
      <c r="Z178" s="357"/>
    </row>
    <row r="179" ht="15.75" customHeight="1">
      <c r="A179" s="359">
        <v>11.0</v>
      </c>
      <c r="B179" s="452" t="s">
        <v>7199</v>
      </c>
      <c r="C179" s="452"/>
      <c r="D179" s="452">
        <v>6.95</v>
      </c>
      <c r="E179" s="357" t="s">
        <v>1653</v>
      </c>
      <c r="F179" s="357"/>
      <c r="G179" s="357"/>
      <c r="H179" s="357"/>
      <c r="I179" s="357"/>
      <c r="J179" s="357"/>
      <c r="K179" s="357"/>
      <c r="L179" s="357"/>
      <c r="M179" s="357"/>
      <c r="N179" s="357"/>
      <c r="O179" s="357"/>
      <c r="P179" s="357"/>
      <c r="Q179" s="357"/>
      <c r="R179" s="357"/>
      <c r="S179" s="357"/>
      <c r="T179" s="357"/>
      <c r="U179" s="357"/>
      <c r="V179" s="357"/>
      <c r="W179" s="357"/>
      <c r="X179" s="357"/>
      <c r="Y179" s="357"/>
      <c r="Z179" s="357"/>
    </row>
    <row r="180" ht="15.75" customHeight="1">
      <c r="A180" s="359">
        <v>11.0</v>
      </c>
      <c r="B180" s="452" t="s">
        <v>7349</v>
      </c>
      <c r="C180" s="452"/>
      <c r="D180" s="452">
        <v>581.0</v>
      </c>
      <c r="E180" s="357" t="s">
        <v>42</v>
      </c>
      <c r="F180" s="357"/>
      <c r="G180" s="357"/>
      <c r="H180" s="357"/>
      <c r="I180" s="357"/>
      <c r="J180" s="357"/>
      <c r="K180" s="357"/>
      <c r="L180" s="357"/>
      <c r="M180" s="357"/>
      <c r="N180" s="357"/>
      <c r="O180" s="357"/>
      <c r="P180" s="357"/>
      <c r="Q180" s="357"/>
      <c r="R180" s="357"/>
      <c r="S180" s="357"/>
      <c r="T180" s="357"/>
      <c r="U180" s="357"/>
      <c r="V180" s="357"/>
      <c r="W180" s="357"/>
      <c r="X180" s="357"/>
      <c r="Y180" s="357"/>
      <c r="Z180" s="357"/>
    </row>
    <row r="181" ht="15.75" customHeight="1">
      <c r="A181" s="359">
        <v>11.0</v>
      </c>
      <c r="B181" s="452" t="s">
        <v>7234</v>
      </c>
      <c r="C181" s="452"/>
      <c r="D181" s="452">
        <v>461.77</v>
      </c>
      <c r="E181" s="357" t="s">
        <v>42</v>
      </c>
      <c r="F181" s="357"/>
      <c r="G181" s="357"/>
      <c r="H181" s="357"/>
      <c r="I181" s="357"/>
      <c r="J181" s="357"/>
      <c r="K181" s="357"/>
      <c r="L181" s="357"/>
      <c r="M181" s="357"/>
      <c r="N181" s="357"/>
      <c r="O181" s="357"/>
      <c r="P181" s="357"/>
      <c r="Q181" s="357"/>
      <c r="R181" s="357"/>
      <c r="S181" s="357"/>
      <c r="T181" s="357"/>
      <c r="U181" s="357"/>
      <c r="V181" s="357"/>
      <c r="W181" s="357"/>
      <c r="X181" s="357"/>
      <c r="Y181" s="357"/>
      <c r="Z181" s="357"/>
    </row>
    <row r="182" ht="15.75" customHeight="1">
      <c r="A182" s="359">
        <v>11.0</v>
      </c>
      <c r="B182" s="452" t="s">
        <v>7350</v>
      </c>
      <c r="C182" s="452"/>
      <c r="D182" s="453">
        <v>150.0</v>
      </c>
      <c r="E182" s="357" t="s">
        <v>1659</v>
      </c>
      <c r="F182" s="357"/>
      <c r="G182" s="357"/>
      <c r="H182" s="357"/>
      <c r="I182" s="357"/>
      <c r="J182" s="357"/>
      <c r="K182" s="357"/>
      <c r="L182" s="357"/>
      <c r="M182" s="357"/>
      <c r="N182" s="357"/>
      <c r="O182" s="357"/>
      <c r="P182" s="357"/>
      <c r="Q182" s="357"/>
      <c r="R182" s="357"/>
      <c r="S182" s="357"/>
      <c r="T182" s="357"/>
      <c r="U182" s="357"/>
      <c r="V182" s="357"/>
      <c r="W182" s="357"/>
      <c r="X182" s="357"/>
      <c r="Y182" s="357"/>
      <c r="Z182" s="357"/>
    </row>
    <row r="183" ht="15.75" customHeight="1">
      <c r="A183" s="359">
        <v>11.0</v>
      </c>
      <c r="B183" s="452" t="s">
        <v>7351</v>
      </c>
      <c r="C183" s="452"/>
      <c r="D183" s="452">
        <v>41.0</v>
      </c>
      <c r="E183" s="357" t="s">
        <v>42</v>
      </c>
      <c r="F183" s="357"/>
      <c r="G183" s="357"/>
      <c r="H183" s="357"/>
      <c r="I183" s="357"/>
      <c r="J183" s="357"/>
      <c r="K183" s="357"/>
      <c r="L183" s="357"/>
      <c r="M183" s="357"/>
      <c r="N183" s="357"/>
      <c r="O183" s="357"/>
      <c r="P183" s="357"/>
      <c r="Q183" s="357"/>
      <c r="R183" s="357"/>
      <c r="S183" s="357"/>
      <c r="T183" s="357"/>
      <c r="U183" s="357"/>
      <c r="V183" s="357"/>
      <c r="W183" s="357"/>
      <c r="X183" s="357"/>
      <c r="Y183" s="357"/>
      <c r="Z183" s="357"/>
    </row>
    <row r="184" ht="15.75" customHeight="1">
      <c r="A184" s="359">
        <v>11.0</v>
      </c>
      <c r="B184" s="452" t="s">
        <v>7352</v>
      </c>
      <c r="C184" s="452"/>
      <c r="D184" s="453">
        <v>99.0</v>
      </c>
      <c r="E184" s="357" t="s">
        <v>1659</v>
      </c>
      <c r="F184" s="357"/>
      <c r="G184" s="357"/>
      <c r="H184" s="357"/>
      <c r="I184" s="357"/>
      <c r="J184" s="357"/>
      <c r="K184" s="357"/>
      <c r="L184" s="357"/>
      <c r="M184" s="357"/>
      <c r="N184" s="357"/>
      <c r="O184" s="357"/>
      <c r="P184" s="357"/>
      <c r="Q184" s="357"/>
      <c r="R184" s="357"/>
      <c r="S184" s="357"/>
      <c r="T184" s="357"/>
      <c r="U184" s="357"/>
      <c r="V184" s="357"/>
      <c r="W184" s="357"/>
      <c r="X184" s="357"/>
      <c r="Y184" s="357"/>
      <c r="Z184" s="357"/>
    </row>
    <row r="185" ht="15.75" customHeight="1">
      <c r="A185" s="359">
        <v>11.0</v>
      </c>
      <c r="B185" s="452" t="s">
        <v>7353</v>
      </c>
      <c r="C185" s="452"/>
      <c r="D185" s="453">
        <v>184.0</v>
      </c>
      <c r="E185" s="357" t="s">
        <v>1659</v>
      </c>
      <c r="F185" s="357"/>
      <c r="G185" s="357"/>
      <c r="H185" s="357"/>
      <c r="I185" s="357"/>
      <c r="J185" s="357"/>
      <c r="K185" s="357"/>
      <c r="L185" s="357"/>
      <c r="M185" s="357"/>
      <c r="N185" s="357"/>
      <c r="O185" s="357"/>
      <c r="P185" s="357"/>
      <c r="Q185" s="357"/>
      <c r="R185" s="357"/>
      <c r="S185" s="357"/>
      <c r="T185" s="357"/>
      <c r="U185" s="357"/>
      <c r="V185" s="357"/>
      <c r="W185" s="357"/>
      <c r="X185" s="357"/>
      <c r="Y185" s="357"/>
      <c r="Z185" s="357"/>
    </row>
    <row r="186" ht="15.75" customHeight="1">
      <c r="A186" s="359">
        <v>11.0</v>
      </c>
      <c r="B186" s="452" t="s">
        <v>7354</v>
      </c>
      <c r="C186" s="452"/>
      <c r="D186" s="456">
        <v>1708.89</v>
      </c>
      <c r="E186" s="357" t="s">
        <v>1650</v>
      </c>
      <c r="F186" s="357"/>
      <c r="G186" s="357"/>
      <c r="H186" s="357"/>
      <c r="I186" s="357"/>
      <c r="J186" s="357"/>
      <c r="K186" s="357"/>
      <c r="L186" s="357"/>
      <c r="M186" s="357"/>
      <c r="N186" s="357"/>
      <c r="O186" s="357"/>
      <c r="P186" s="357"/>
      <c r="Q186" s="357"/>
      <c r="R186" s="357"/>
      <c r="S186" s="357"/>
      <c r="T186" s="357"/>
      <c r="U186" s="357"/>
      <c r="V186" s="357"/>
      <c r="W186" s="357"/>
      <c r="X186" s="357"/>
      <c r="Y186" s="357"/>
      <c r="Z186" s="357"/>
    </row>
    <row r="187" ht="15.75" customHeight="1">
      <c r="A187" s="359">
        <v>11.0</v>
      </c>
      <c r="B187" s="452" t="s">
        <v>7355</v>
      </c>
      <c r="C187" s="452"/>
      <c r="D187" s="457">
        <v>1128.7</v>
      </c>
      <c r="E187" s="357" t="s">
        <v>1650</v>
      </c>
      <c r="F187" s="357"/>
      <c r="G187" s="357"/>
      <c r="H187" s="357"/>
      <c r="I187" s="357"/>
      <c r="J187" s="357"/>
      <c r="K187" s="357"/>
      <c r="L187" s="357"/>
      <c r="M187" s="357"/>
      <c r="N187" s="357"/>
      <c r="O187" s="357"/>
      <c r="P187" s="357"/>
      <c r="Q187" s="357"/>
      <c r="R187" s="357"/>
      <c r="S187" s="357"/>
      <c r="T187" s="357"/>
      <c r="U187" s="357"/>
      <c r="V187" s="357"/>
      <c r="W187" s="357"/>
      <c r="X187" s="357"/>
      <c r="Y187" s="357"/>
      <c r="Z187" s="357"/>
    </row>
    <row r="188" ht="15.75" customHeight="1">
      <c r="A188" s="359">
        <v>11.0</v>
      </c>
      <c r="B188" s="452" t="s">
        <v>7356</v>
      </c>
      <c r="C188" s="452"/>
      <c r="D188" s="453">
        <v>112.0</v>
      </c>
      <c r="E188" s="357" t="s">
        <v>1649</v>
      </c>
      <c r="F188" s="357"/>
      <c r="G188" s="357"/>
      <c r="H188" s="357"/>
      <c r="I188" s="357"/>
      <c r="J188" s="357"/>
      <c r="K188" s="357"/>
      <c r="L188" s="357"/>
      <c r="M188" s="357"/>
      <c r="N188" s="357"/>
      <c r="O188" s="357"/>
      <c r="P188" s="357"/>
      <c r="Q188" s="357"/>
      <c r="R188" s="357"/>
      <c r="S188" s="357"/>
      <c r="T188" s="357"/>
      <c r="U188" s="357"/>
      <c r="V188" s="357"/>
      <c r="W188" s="357"/>
      <c r="X188" s="357"/>
      <c r="Y188" s="357"/>
      <c r="Z188" s="357"/>
    </row>
    <row r="189" ht="15.75" customHeight="1">
      <c r="A189" s="359">
        <v>11.0</v>
      </c>
      <c r="B189" s="452" t="s">
        <v>7357</v>
      </c>
      <c r="C189" s="452"/>
      <c r="D189" s="453">
        <v>424.0</v>
      </c>
      <c r="E189" s="357" t="s">
        <v>1649</v>
      </c>
      <c r="F189" s="357"/>
      <c r="G189" s="357"/>
      <c r="H189" s="357"/>
      <c r="I189" s="357"/>
      <c r="J189" s="357"/>
      <c r="K189" s="357"/>
      <c r="L189" s="357"/>
      <c r="M189" s="357"/>
      <c r="N189" s="357"/>
      <c r="O189" s="357"/>
      <c r="P189" s="357"/>
      <c r="Q189" s="357"/>
      <c r="R189" s="357"/>
      <c r="S189" s="357"/>
      <c r="T189" s="357"/>
      <c r="U189" s="357"/>
      <c r="V189" s="357"/>
      <c r="W189" s="357"/>
      <c r="X189" s="357"/>
      <c r="Y189" s="357"/>
      <c r="Z189" s="357"/>
    </row>
    <row r="190" ht="15.75" customHeight="1">
      <c r="A190" s="359">
        <v>11.0</v>
      </c>
      <c r="B190" s="452" t="s">
        <v>7358</v>
      </c>
      <c r="C190" s="452"/>
      <c r="D190" s="453">
        <v>424.0</v>
      </c>
      <c r="E190" s="357" t="s">
        <v>1649</v>
      </c>
      <c r="F190" s="357"/>
      <c r="G190" s="357"/>
      <c r="H190" s="357"/>
      <c r="I190" s="357"/>
      <c r="J190" s="357"/>
      <c r="K190" s="357"/>
      <c r="L190" s="357"/>
      <c r="M190" s="357"/>
      <c r="N190" s="357"/>
      <c r="O190" s="357"/>
      <c r="P190" s="357"/>
      <c r="Q190" s="357"/>
      <c r="R190" s="357"/>
      <c r="S190" s="357"/>
      <c r="T190" s="357"/>
      <c r="U190" s="357"/>
      <c r="V190" s="357"/>
      <c r="W190" s="357"/>
      <c r="X190" s="357"/>
      <c r="Y190" s="357"/>
      <c r="Z190" s="357"/>
    </row>
    <row r="191" ht="15.75" customHeight="1">
      <c r="A191" s="359">
        <v>11.0</v>
      </c>
      <c r="B191" s="452" t="s">
        <v>7299</v>
      </c>
      <c r="C191" s="452"/>
      <c r="D191" s="452">
        <v>141.0</v>
      </c>
      <c r="E191" s="357" t="s">
        <v>1653</v>
      </c>
      <c r="F191" s="357"/>
      <c r="G191" s="357"/>
      <c r="H191" s="357"/>
      <c r="I191" s="357"/>
      <c r="J191" s="357"/>
      <c r="K191" s="357"/>
      <c r="L191" s="357"/>
      <c r="M191" s="357"/>
      <c r="N191" s="357"/>
      <c r="O191" s="357"/>
      <c r="P191" s="357"/>
      <c r="Q191" s="357"/>
      <c r="R191" s="357"/>
      <c r="S191" s="357"/>
      <c r="T191" s="357"/>
      <c r="U191" s="357"/>
      <c r="V191" s="357"/>
      <c r="W191" s="357"/>
      <c r="X191" s="357"/>
      <c r="Y191" s="357"/>
      <c r="Z191" s="357"/>
    </row>
    <row r="192" ht="15.75" customHeight="1">
      <c r="A192" s="359">
        <v>11.0</v>
      </c>
      <c r="B192" s="452" t="s">
        <v>7359</v>
      </c>
      <c r="C192" s="452"/>
      <c r="D192" s="453">
        <v>976.0</v>
      </c>
      <c r="E192" s="357" t="s">
        <v>1660</v>
      </c>
      <c r="F192" s="357"/>
      <c r="G192" s="357"/>
      <c r="H192" s="357"/>
      <c r="I192" s="357"/>
      <c r="J192" s="357"/>
      <c r="K192" s="357"/>
      <c r="L192" s="357"/>
      <c r="M192" s="357"/>
      <c r="N192" s="357"/>
      <c r="O192" s="357"/>
      <c r="P192" s="357"/>
      <c r="Q192" s="357"/>
      <c r="R192" s="357"/>
      <c r="S192" s="357"/>
      <c r="T192" s="357"/>
      <c r="U192" s="357"/>
      <c r="V192" s="357"/>
      <c r="W192" s="357"/>
      <c r="X192" s="357"/>
      <c r="Y192" s="357"/>
      <c r="Z192" s="357"/>
    </row>
    <row r="193" ht="15.75" customHeight="1">
      <c r="A193" s="359">
        <v>11.0</v>
      </c>
      <c r="B193" s="459" t="s">
        <v>7360</v>
      </c>
      <c r="C193" s="459"/>
      <c r="D193" s="459">
        <v>250.0</v>
      </c>
      <c r="E193" s="357" t="s">
        <v>42</v>
      </c>
      <c r="F193" s="357"/>
      <c r="G193" s="357"/>
      <c r="H193" s="357"/>
      <c r="I193" s="357"/>
      <c r="J193" s="357"/>
      <c r="K193" s="357"/>
      <c r="L193" s="357"/>
      <c r="M193" s="357"/>
      <c r="N193" s="357"/>
      <c r="O193" s="357"/>
      <c r="P193" s="357"/>
      <c r="Q193" s="357"/>
      <c r="R193" s="357"/>
      <c r="S193" s="357"/>
      <c r="T193" s="357"/>
      <c r="U193" s="357"/>
      <c r="V193" s="357"/>
      <c r="W193" s="357"/>
      <c r="X193" s="357"/>
      <c r="Y193" s="357"/>
      <c r="Z193" s="357"/>
    </row>
    <row r="194" ht="15.75" customHeight="1">
      <c r="A194" s="359">
        <v>11.0</v>
      </c>
      <c r="B194" s="452" t="s">
        <v>7361</v>
      </c>
      <c r="C194" s="452"/>
      <c r="D194" s="456">
        <v>210.0</v>
      </c>
      <c r="E194" s="357" t="s">
        <v>1653</v>
      </c>
      <c r="F194" s="357"/>
      <c r="G194" s="357"/>
      <c r="H194" s="357"/>
      <c r="I194" s="357"/>
      <c r="J194" s="357"/>
      <c r="K194" s="357"/>
      <c r="L194" s="357"/>
      <c r="M194" s="357"/>
      <c r="N194" s="357"/>
      <c r="O194" s="357"/>
      <c r="P194" s="357"/>
      <c r="Q194" s="357"/>
      <c r="R194" s="357"/>
      <c r="S194" s="357"/>
      <c r="T194" s="357"/>
      <c r="U194" s="357"/>
      <c r="V194" s="357"/>
      <c r="W194" s="357"/>
      <c r="X194" s="357"/>
      <c r="Y194" s="357"/>
      <c r="Z194" s="357"/>
    </row>
    <row r="195" ht="15.75" customHeight="1">
      <c r="A195" s="359">
        <v>11.0</v>
      </c>
      <c r="B195" s="452" t="s">
        <v>7362</v>
      </c>
      <c r="C195" s="452"/>
      <c r="D195" s="452">
        <v>592.92</v>
      </c>
      <c r="E195" s="357" t="s">
        <v>42</v>
      </c>
      <c r="F195" s="357"/>
      <c r="G195" s="357"/>
      <c r="H195" s="357"/>
      <c r="I195" s="357"/>
      <c r="J195" s="357"/>
      <c r="K195" s="357"/>
      <c r="L195" s="357"/>
      <c r="M195" s="357"/>
      <c r="N195" s="357"/>
      <c r="O195" s="357"/>
      <c r="P195" s="357"/>
      <c r="Q195" s="357"/>
      <c r="R195" s="357"/>
      <c r="S195" s="357"/>
      <c r="T195" s="357"/>
      <c r="U195" s="357"/>
      <c r="V195" s="357"/>
      <c r="W195" s="357"/>
      <c r="X195" s="357"/>
      <c r="Y195" s="357"/>
      <c r="Z195" s="357"/>
    </row>
    <row r="196" ht="15.75" customHeight="1">
      <c r="A196" s="359">
        <v>11.0</v>
      </c>
      <c r="B196" s="452" t="s">
        <v>7363</v>
      </c>
      <c r="C196" s="452"/>
      <c r="D196" s="452">
        <v>260.0</v>
      </c>
      <c r="E196" s="357" t="s">
        <v>42</v>
      </c>
      <c r="F196" s="357"/>
      <c r="G196" s="357"/>
      <c r="H196" s="357"/>
      <c r="I196" s="357"/>
      <c r="J196" s="357"/>
      <c r="K196" s="357"/>
      <c r="L196" s="357"/>
      <c r="M196" s="357"/>
      <c r="N196" s="357"/>
      <c r="O196" s="357"/>
      <c r="P196" s="357"/>
      <c r="Q196" s="357"/>
      <c r="R196" s="357"/>
      <c r="S196" s="357"/>
      <c r="T196" s="357"/>
      <c r="U196" s="357"/>
      <c r="V196" s="357"/>
      <c r="W196" s="357"/>
      <c r="X196" s="357"/>
      <c r="Y196" s="357"/>
      <c r="Z196" s="357"/>
    </row>
    <row r="197" ht="15.75" customHeight="1">
      <c r="A197" s="359">
        <v>11.0</v>
      </c>
      <c r="B197" s="452" t="s">
        <v>7364</v>
      </c>
      <c r="C197" s="452"/>
      <c r="D197" s="452">
        <v>372.0</v>
      </c>
      <c r="E197" s="357" t="s">
        <v>42</v>
      </c>
      <c r="F197" s="357"/>
      <c r="G197" s="357"/>
      <c r="H197" s="357"/>
      <c r="I197" s="357"/>
      <c r="J197" s="357"/>
      <c r="K197" s="357"/>
      <c r="L197" s="357"/>
      <c r="M197" s="357"/>
      <c r="N197" s="357"/>
      <c r="O197" s="357"/>
      <c r="P197" s="357"/>
      <c r="Q197" s="357"/>
      <c r="R197" s="357"/>
      <c r="S197" s="357"/>
      <c r="T197" s="357"/>
      <c r="U197" s="357"/>
      <c r="V197" s="357"/>
      <c r="W197" s="357"/>
      <c r="X197" s="357"/>
      <c r="Y197" s="357"/>
      <c r="Z197" s="357"/>
    </row>
    <row r="198" ht="15.75" customHeight="1">
      <c r="A198" s="359">
        <v>11.0</v>
      </c>
      <c r="B198" s="452" t="s">
        <v>7345</v>
      </c>
      <c r="C198" s="452"/>
      <c r="D198" s="452">
        <v>124.0</v>
      </c>
      <c r="E198" s="357" t="s">
        <v>42</v>
      </c>
      <c r="F198" s="357"/>
      <c r="G198" s="357"/>
      <c r="H198" s="357"/>
      <c r="I198" s="357"/>
      <c r="J198" s="357"/>
      <c r="K198" s="357"/>
      <c r="L198" s="357"/>
      <c r="M198" s="357"/>
      <c r="N198" s="357"/>
      <c r="O198" s="357"/>
      <c r="P198" s="357"/>
      <c r="Q198" s="357"/>
      <c r="R198" s="357"/>
      <c r="S198" s="357"/>
      <c r="T198" s="357"/>
      <c r="U198" s="357"/>
      <c r="V198" s="357"/>
      <c r="W198" s="357"/>
      <c r="X198" s="357"/>
      <c r="Y198" s="357"/>
      <c r="Z198" s="357"/>
    </row>
    <row r="199" ht="15.75" customHeight="1">
      <c r="A199" s="359">
        <v>11.0</v>
      </c>
      <c r="B199" s="452" t="s">
        <v>7365</v>
      </c>
      <c r="C199" s="452"/>
      <c r="D199" s="452">
        <v>1114.0</v>
      </c>
      <c r="E199" s="357" t="s">
        <v>42</v>
      </c>
      <c r="F199" s="357"/>
      <c r="G199" s="357"/>
      <c r="H199" s="357"/>
      <c r="I199" s="357"/>
      <c r="J199" s="357"/>
      <c r="K199" s="357"/>
      <c r="L199" s="357"/>
      <c r="M199" s="357"/>
      <c r="N199" s="357"/>
      <c r="O199" s="357"/>
      <c r="P199" s="357"/>
      <c r="Q199" s="357"/>
      <c r="R199" s="357"/>
      <c r="S199" s="357"/>
      <c r="T199" s="357"/>
      <c r="U199" s="357"/>
      <c r="V199" s="357"/>
      <c r="W199" s="357"/>
      <c r="X199" s="357"/>
      <c r="Y199" s="357"/>
      <c r="Z199" s="357"/>
    </row>
    <row r="200" ht="15.75" customHeight="1">
      <c r="A200" s="359">
        <v>11.0</v>
      </c>
      <c r="B200" s="452" t="s">
        <v>7366</v>
      </c>
      <c r="C200" s="452"/>
      <c r="D200" s="453">
        <v>1311.0</v>
      </c>
      <c r="E200" s="357" t="s">
        <v>42</v>
      </c>
      <c r="F200" s="357"/>
      <c r="G200" s="357"/>
      <c r="H200" s="357"/>
      <c r="I200" s="357"/>
      <c r="J200" s="357"/>
      <c r="K200" s="357"/>
      <c r="L200" s="357"/>
      <c r="M200" s="357"/>
      <c r="N200" s="357"/>
      <c r="O200" s="357"/>
      <c r="P200" s="357"/>
      <c r="Q200" s="357"/>
      <c r="R200" s="357"/>
      <c r="S200" s="357"/>
      <c r="T200" s="357"/>
      <c r="U200" s="357"/>
      <c r="V200" s="357"/>
      <c r="W200" s="357"/>
      <c r="X200" s="357"/>
      <c r="Y200" s="357"/>
      <c r="Z200" s="357"/>
    </row>
    <row r="201" ht="15.75" customHeight="1">
      <c r="A201" s="359">
        <v>11.0</v>
      </c>
      <c r="B201" s="452" t="s">
        <v>7227</v>
      </c>
      <c r="C201" s="452"/>
      <c r="D201" s="453">
        <v>38.0</v>
      </c>
      <c r="E201" s="357" t="s">
        <v>1653</v>
      </c>
      <c r="F201" s="357"/>
      <c r="G201" s="357"/>
      <c r="H201" s="357"/>
      <c r="I201" s="357"/>
      <c r="J201" s="357"/>
      <c r="K201" s="357"/>
      <c r="L201" s="357"/>
      <c r="M201" s="357"/>
      <c r="N201" s="357"/>
      <c r="O201" s="357"/>
      <c r="P201" s="357"/>
      <c r="Q201" s="357"/>
      <c r="R201" s="357"/>
      <c r="S201" s="357"/>
      <c r="T201" s="357"/>
      <c r="U201" s="357"/>
      <c r="V201" s="357"/>
      <c r="W201" s="357"/>
      <c r="X201" s="357"/>
      <c r="Y201" s="357"/>
      <c r="Z201" s="357"/>
    </row>
    <row r="202" ht="15.75" customHeight="1">
      <c r="A202" s="359">
        <v>11.0</v>
      </c>
      <c r="B202" s="452" t="s">
        <v>7367</v>
      </c>
      <c r="C202" s="452"/>
      <c r="D202" s="453">
        <v>120.0</v>
      </c>
      <c r="E202" s="357" t="s">
        <v>1660</v>
      </c>
      <c r="F202" s="357"/>
      <c r="G202" s="357"/>
      <c r="H202" s="357"/>
      <c r="I202" s="357"/>
      <c r="J202" s="357"/>
      <c r="K202" s="357"/>
      <c r="L202" s="357"/>
      <c r="M202" s="357"/>
      <c r="N202" s="357"/>
      <c r="O202" s="357"/>
      <c r="P202" s="357"/>
      <c r="Q202" s="357"/>
      <c r="R202" s="357"/>
      <c r="S202" s="357"/>
      <c r="T202" s="357"/>
      <c r="U202" s="357"/>
      <c r="V202" s="357"/>
      <c r="W202" s="357"/>
      <c r="X202" s="357"/>
      <c r="Y202" s="357"/>
      <c r="Z202" s="357"/>
    </row>
    <row r="203" ht="15.75" customHeight="1">
      <c r="A203" s="359">
        <v>11.0</v>
      </c>
      <c r="B203" s="452" t="s">
        <v>7368</v>
      </c>
      <c r="C203" s="452"/>
      <c r="D203" s="452">
        <v>594.0</v>
      </c>
      <c r="E203" s="357" t="s">
        <v>1659</v>
      </c>
      <c r="F203" s="357"/>
      <c r="G203" s="357"/>
      <c r="H203" s="357"/>
      <c r="I203" s="357"/>
      <c r="J203" s="357"/>
      <c r="K203" s="357"/>
      <c r="L203" s="357"/>
      <c r="M203" s="357"/>
      <c r="N203" s="357"/>
      <c r="O203" s="357"/>
      <c r="P203" s="357"/>
      <c r="Q203" s="357"/>
      <c r="R203" s="357"/>
      <c r="S203" s="357"/>
      <c r="T203" s="357"/>
      <c r="U203" s="357"/>
      <c r="V203" s="357"/>
      <c r="W203" s="357"/>
      <c r="X203" s="357"/>
      <c r="Y203" s="357"/>
      <c r="Z203" s="357"/>
    </row>
    <row r="204" ht="15.75" customHeight="1">
      <c r="A204" s="359">
        <v>11.0</v>
      </c>
      <c r="B204" s="452" t="s">
        <v>7369</v>
      </c>
      <c r="C204" s="452"/>
      <c r="D204" s="453">
        <v>445.0</v>
      </c>
      <c r="E204" s="357" t="s">
        <v>1652</v>
      </c>
      <c r="F204" s="357" t="s">
        <v>7370</v>
      </c>
      <c r="G204" s="357"/>
      <c r="H204" s="357"/>
      <c r="I204" s="357"/>
      <c r="J204" s="357"/>
      <c r="K204" s="357"/>
      <c r="L204" s="357"/>
      <c r="M204" s="357"/>
      <c r="N204" s="357"/>
      <c r="O204" s="357"/>
      <c r="P204" s="357"/>
      <c r="Q204" s="357"/>
      <c r="R204" s="357"/>
      <c r="S204" s="357"/>
      <c r="T204" s="357"/>
      <c r="U204" s="357"/>
      <c r="V204" s="357"/>
      <c r="W204" s="357"/>
      <c r="X204" s="357"/>
      <c r="Y204" s="357"/>
      <c r="Z204" s="357"/>
    </row>
    <row r="205" ht="15.75" customHeight="1">
      <c r="A205" s="359">
        <v>11.0</v>
      </c>
      <c r="B205" s="452" t="s">
        <v>7346</v>
      </c>
      <c r="C205" s="452"/>
      <c r="D205" s="453">
        <v>300.0</v>
      </c>
      <c r="E205" s="357" t="s">
        <v>1660</v>
      </c>
      <c r="F205" s="357"/>
      <c r="G205" s="357"/>
      <c r="H205" s="357"/>
      <c r="I205" s="357"/>
      <c r="J205" s="357"/>
      <c r="K205" s="357"/>
      <c r="L205" s="357"/>
      <c r="M205" s="357"/>
      <c r="N205" s="357"/>
      <c r="O205" s="357"/>
      <c r="P205" s="357"/>
      <c r="Q205" s="357"/>
      <c r="R205" s="357"/>
      <c r="S205" s="357"/>
      <c r="T205" s="357"/>
      <c r="U205" s="357"/>
      <c r="V205" s="357"/>
      <c r="W205" s="357"/>
      <c r="X205" s="357"/>
      <c r="Y205" s="357"/>
      <c r="Z205" s="357"/>
    </row>
    <row r="206" ht="15.75" customHeight="1">
      <c r="A206" s="359">
        <v>12.0</v>
      </c>
      <c r="B206" s="452" t="s">
        <v>7371</v>
      </c>
      <c r="C206" s="452"/>
      <c r="D206" s="453">
        <v>350.0</v>
      </c>
      <c r="E206" s="357" t="s">
        <v>1659</v>
      </c>
      <c r="F206" s="357"/>
      <c r="G206" s="357"/>
      <c r="H206" s="357"/>
      <c r="I206" s="357"/>
      <c r="J206" s="357"/>
      <c r="K206" s="357"/>
      <c r="L206" s="357"/>
      <c r="M206" s="357"/>
      <c r="N206" s="357"/>
      <c r="O206" s="357"/>
      <c r="P206" s="357"/>
      <c r="Q206" s="357"/>
      <c r="R206" s="357"/>
      <c r="S206" s="357"/>
      <c r="T206" s="357"/>
      <c r="U206" s="357"/>
      <c r="V206" s="357"/>
      <c r="W206" s="357"/>
      <c r="X206" s="357"/>
      <c r="Y206" s="357"/>
      <c r="Z206" s="357"/>
    </row>
    <row r="207" ht="15.75" customHeight="1">
      <c r="A207" s="359">
        <v>12.0</v>
      </c>
      <c r="B207" s="452" t="s">
        <v>7199</v>
      </c>
      <c r="C207" s="452"/>
      <c r="D207" s="452">
        <v>6.95</v>
      </c>
      <c r="E207" s="357" t="s">
        <v>1653</v>
      </c>
      <c r="F207" s="357"/>
      <c r="G207" s="357"/>
      <c r="H207" s="357"/>
      <c r="I207" s="357"/>
      <c r="J207" s="357"/>
      <c r="K207" s="357"/>
      <c r="L207" s="357"/>
      <c r="M207" s="357"/>
      <c r="N207" s="357"/>
      <c r="O207" s="357"/>
      <c r="P207" s="357"/>
      <c r="Q207" s="357"/>
      <c r="R207" s="357"/>
      <c r="S207" s="357"/>
      <c r="T207" s="357"/>
      <c r="U207" s="357"/>
      <c r="V207" s="357"/>
      <c r="W207" s="357"/>
      <c r="X207" s="357"/>
      <c r="Y207" s="357"/>
      <c r="Z207" s="357"/>
    </row>
    <row r="208" ht="15.75" customHeight="1">
      <c r="A208" s="359">
        <v>12.0</v>
      </c>
      <c r="B208" s="452" t="s">
        <v>7361</v>
      </c>
      <c r="C208" s="452"/>
      <c r="D208" s="456">
        <v>600.0</v>
      </c>
      <c r="E208" s="357" t="s">
        <v>1653</v>
      </c>
      <c r="F208" s="357"/>
      <c r="G208" s="357"/>
      <c r="H208" s="357"/>
      <c r="I208" s="357"/>
      <c r="J208" s="357"/>
      <c r="K208" s="357"/>
      <c r="L208" s="357"/>
      <c r="M208" s="357"/>
      <c r="N208" s="357"/>
      <c r="O208" s="357"/>
      <c r="P208" s="357"/>
      <c r="Q208" s="357"/>
      <c r="R208" s="357"/>
      <c r="S208" s="357"/>
      <c r="T208" s="357"/>
      <c r="U208" s="357"/>
      <c r="V208" s="357"/>
      <c r="W208" s="357"/>
      <c r="X208" s="357"/>
      <c r="Y208" s="357"/>
      <c r="Z208" s="357"/>
    </row>
    <row r="209" ht="15.75" customHeight="1">
      <c r="A209" s="359">
        <v>12.0</v>
      </c>
      <c r="B209" s="452" t="s">
        <v>7372</v>
      </c>
      <c r="C209" s="452"/>
      <c r="D209" s="453">
        <v>610.0</v>
      </c>
      <c r="E209" s="357" t="s">
        <v>1659</v>
      </c>
      <c r="F209" s="357"/>
      <c r="G209" s="357"/>
      <c r="H209" s="357"/>
      <c r="I209" s="357"/>
      <c r="J209" s="357"/>
      <c r="K209" s="357"/>
      <c r="L209" s="357"/>
      <c r="M209" s="357"/>
      <c r="N209" s="357"/>
      <c r="O209" s="357"/>
      <c r="P209" s="357"/>
      <c r="Q209" s="357"/>
      <c r="R209" s="357"/>
      <c r="S209" s="357"/>
      <c r="T209" s="357"/>
      <c r="U209" s="357"/>
      <c r="V209" s="357"/>
      <c r="W209" s="357"/>
      <c r="X209" s="357"/>
      <c r="Y209" s="357"/>
      <c r="Z209" s="357"/>
    </row>
    <row r="210" ht="15.75" customHeight="1">
      <c r="A210" s="359">
        <v>12.0</v>
      </c>
      <c r="B210" s="452" t="s">
        <v>7373</v>
      </c>
      <c r="C210" s="452"/>
      <c r="D210" s="453">
        <v>947.0</v>
      </c>
      <c r="E210" s="357" t="s">
        <v>1653</v>
      </c>
      <c r="F210" s="357"/>
      <c r="G210" s="357"/>
      <c r="H210" s="357"/>
      <c r="I210" s="357"/>
      <c r="J210" s="357"/>
      <c r="K210" s="357"/>
      <c r="L210" s="357"/>
      <c r="M210" s="357"/>
      <c r="N210" s="357"/>
      <c r="O210" s="357"/>
      <c r="P210" s="357"/>
      <c r="Q210" s="357"/>
      <c r="R210" s="357"/>
      <c r="S210" s="357"/>
      <c r="T210" s="357"/>
      <c r="U210" s="357"/>
      <c r="V210" s="357"/>
      <c r="W210" s="357"/>
      <c r="X210" s="357"/>
      <c r="Y210" s="357"/>
      <c r="Z210" s="357"/>
    </row>
    <row r="211" ht="15.75" customHeight="1">
      <c r="A211" s="359">
        <v>12.0</v>
      </c>
      <c r="B211" s="452" t="s">
        <v>7374</v>
      </c>
      <c r="C211" s="452"/>
      <c r="D211" s="453">
        <v>250.0</v>
      </c>
      <c r="E211" s="357" t="s">
        <v>1659</v>
      </c>
      <c r="F211" s="357"/>
      <c r="G211" s="357"/>
      <c r="H211" s="357"/>
      <c r="I211" s="357"/>
      <c r="J211" s="357"/>
      <c r="K211" s="357"/>
      <c r="L211" s="357"/>
      <c r="M211" s="357"/>
      <c r="N211" s="357"/>
      <c r="O211" s="357"/>
      <c r="P211" s="357"/>
      <c r="Q211" s="357"/>
      <c r="R211" s="357"/>
      <c r="S211" s="357"/>
      <c r="T211" s="357"/>
      <c r="U211" s="357"/>
      <c r="V211" s="357"/>
      <c r="W211" s="357"/>
      <c r="X211" s="357"/>
      <c r="Y211" s="357"/>
      <c r="Z211" s="357"/>
    </row>
    <row r="212" ht="15.75" customHeight="1">
      <c r="A212" s="359">
        <v>12.0</v>
      </c>
      <c r="B212" s="452" t="s">
        <v>7375</v>
      </c>
      <c r="C212" s="452"/>
      <c r="D212" s="452">
        <v>190.0</v>
      </c>
      <c r="E212" s="357" t="s">
        <v>42</v>
      </c>
      <c r="F212" s="357"/>
      <c r="G212" s="357"/>
      <c r="H212" s="357"/>
      <c r="I212" s="357"/>
      <c r="J212" s="357"/>
      <c r="K212" s="357"/>
      <c r="L212" s="357"/>
      <c r="M212" s="357"/>
      <c r="N212" s="357"/>
      <c r="O212" s="357"/>
      <c r="P212" s="357"/>
      <c r="Q212" s="357"/>
      <c r="R212" s="357"/>
      <c r="S212" s="357"/>
      <c r="T212" s="357"/>
      <c r="U212" s="357"/>
      <c r="V212" s="357"/>
      <c r="W212" s="357"/>
      <c r="X212" s="357"/>
      <c r="Y212" s="357"/>
      <c r="Z212" s="357"/>
    </row>
    <row r="213" ht="15.75" customHeight="1">
      <c r="A213" s="359">
        <v>12.0</v>
      </c>
      <c r="B213" s="452" t="s">
        <v>7376</v>
      </c>
      <c r="C213" s="452"/>
      <c r="D213" s="452">
        <v>674.0</v>
      </c>
      <c r="E213" s="357" t="s">
        <v>42</v>
      </c>
      <c r="F213" s="357"/>
      <c r="G213" s="357"/>
      <c r="H213" s="357"/>
      <c r="I213" s="357"/>
      <c r="J213" s="357"/>
      <c r="K213" s="357"/>
      <c r="L213" s="357"/>
      <c r="M213" s="357"/>
      <c r="N213" s="357"/>
      <c r="O213" s="357"/>
      <c r="P213" s="357"/>
      <c r="Q213" s="357"/>
      <c r="R213" s="357"/>
      <c r="S213" s="357"/>
      <c r="T213" s="357"/>
      <c r="U213" s="357"/>
      <c r="V213" s="357"/>
      <c r="W213" s="357"/>
      <c r="X213" s="357"/>
      <c r="Y213" s="357"/>
      <c r="Z213" s="357"/>
    </row>
    <row r="214" ht="15.75" customHeight="1">
      <c r="A214" s="359">
        <v>12.0</v>
      </c>
      <c r="B214" s="452" t="s">
        <v>7377</v>
      </c>
      <c r="C214" s="452"/>
      <c r="D214" s="452">
        <v>605.0</v>
      </c>
      <c r="E214" s="357" t="s">
        <v>42</v>
      </c>
      <c r="F214" s="357"/>
      <c r="G214" s="357"/>
      <c r="H214" s="357"/>
      <c r="I214" s="357"/>
      <c r="J214" s="357"/>
      <c r="K214" s="357"/>
      <c r="L214" s="357"/>
      <c r="M214" s="357"/>
      <c r="N214" s="357"/>
      <c r="O214" s="357"/>
      <c r="P214" s="357"/>
      <c r="Q214" s="357"/>
      <c r="R214" s="357"/>
      <c r="S214" s="357"/>
      <c r="T214" s="357"/>
      <c r="U214" s="357"/>
      <c r="V214" s="357"/>
      <c r="W214" s="357"/>
      <c r="X214" s="357"/>
      <c r="Y214" s="357"/>
      <c r="Z214" s="357"/>
    </row>
    <row r="215" ht="15.75" customHeight="1">
      <c r="A215" s="359">
        <v>12.0</v>
      </c>
      <c r="B215" s="452" t="s">
        <v>7378</v>
      </c>
      <c r="C215" s="452"/>
      <c r="D215" s="452">
        <v>1088.0</v>
      </c>
      <c r="E215" s="357" t="s">
        <v>42</v>
      </c>
      <c r="F215" s="357"/>
      <c r="G215" s="357"/>
      <c r="H215" s="357"/>
      <c r="I215" s="357"/>
      <c r="J215" s="357"/>
      <c r="K215" s="357"/>
      <c r="L215" s="357"/>
      <c r="M215" s="357"/>
      <c r="N215" s="357"/>
      <c r="O215" s="357"/>
      <c r="P215" s="357"/>
      <c r="Q215" s="357"/>
      <c r="R215" s="357"/>
      <c r="S215" s="357"/>
      <c r="T215" s="357"/>
      <c r="U215" s="357"/>
      <c r="V215" s="357"/>
      <c r="W215" s="357"/>
      <c r="X215" s="357"/>
      <c r="Y215" s="357"/>
      <c r="Z215" s="357"/>
    </row>
    <row r="216" ht="15.75" customHeight="1">
      <c r="A216" s="359">
        <v>12.0</v>
      </c>
      <c r="B216" s="452" t="s">
        <v>7379</v>
      </c>
      <c r="C216" s="452"/>
      <c r="D216" s="452">
        <v>140.0</v>
      </c>
      <c r="E216" s="357" t="s">
        <v>1653</v>
      </c>
      <c r="F216" s="357"/>
      <c r="G216" s="357"/>
      <c r="H216" s="357"/>
      <c r="I216" s="357"/>
      <c r="J216" s="357"/>
      <c r="K216" s="357"/>
      <c r="L216" s="357"/>
      <c r="M216" s="357"/>
      <c r="N216" s="357"/>
      <c r="O216" s="357"/>
      <c r="P216" s="357"/>
      <c r="Q216" s="357"/>
      <c r="R216" s="357"/>
      <c r="S216" s="357"/>
      <c r="T216" s="357"/>
      <c r="U216" s="357"/>
      <c r="V216" s="357"/>
      <c r="W216" s="357"/>
      <c r="X216" s="357"/>
      <c r="Y216" s="357"/>
      <c r="Z216" s="357"/>
    </row>
    <row r="217" ht="15.75" customHeight="1">
      <c r="A217" s="359">
        <v>12.0</v>
      </c>
      <c r="B217" s="452" t="s">
        <v>7380</v>
      </c>
      <c r="C217" s="452"/>
      <c r="D217" s="452">
        <v>532.77</v>
      </c>
      <c r="E217" s="357" t="s">
        <v>42</v>
      </c>
      <c r="F217" s="357"/>
      <c r="G217" s="357"/>
      <c r="H217" s="357"/>
      <c r="I217" s="357"/>
      <c r="J217" s="357"/>
      <c r="K217" s="357"/>
      <c r="L217" s="357"/>
      <c r="M217" s="357"/>
      <c r="N217" s="357"/>
      <c r="O217" s="357"/>
      <c r="P217" s="357"/>
      <c r="Q217" s="357"/>
      <c r="R217" s="357"/>
      <c r="S217" s="357"/>
      <c r="T217" s="357"/>
      <c r="U217" s="357"/>
      <c r="V217" s="357"/>
      <c r="W217" s="357"/>
      <c r="X217" s="357"/>
      <c r="Y217" s="357"/>
      <c r="Z217" s="357"/>
    </row>
    <row r="218" ht="15.75" customHeight="1">
      <c r="A218" s="359">
        <v>12.0</v>
      </c>
      <c r="B218" s="452" t="s">
        <v>7310</v>
      </c>
      <c r="C218" s="452"/>
      <c r="D218" s="453">
        <v>1000.0</v>
      </c>
      <c r="E218" s="357" t="s">
        <v>1649</v>
      </c>
      <c r="F218" s="357"/>
      <c r="G218" s="357"/>
      <c r="H218" s="357"/>
      <c r="I218" s="357"/>
      <c r="J218" s="357"/>
      <c r="K218" s="357"/>
      <c r="L218" s="357"/>
      <c r="M218" s="357"/>
      <c r="N218" s="357"/>
      <c r="O218" s="357"/>
      <c r="P218" s="357"/>
      <c r="Q218" s="357"/>
      <c r="R218" s="357"/>
      <c r="S218" s="357"/>
      <c r="T218" s="357"/>
      <c r="U218" s="357"/>
      <c r="V218" s="357"/>
      <c r="W218" s="357"/>
      <c r="X218" s="357"/>
      <c r="Y218" s="357"/>
      <c r="Z218" s="357"/>
    </row>
    <row r="219" ht="15.75" customHeight="1">
      <c r="A219" s="359">
        <v>12.0</v>
      </c>
      <c r="B219" s="452" t="s">
        <v>7309</v>
      </c>
      <c r="C219" s="452"/>
      <c r="D219" s="453">
        <v>1000.0</v>
      </c>
      <c r="E219" s="357" t="s">
        <v>1649</v>
      </c>
      <c r="F219" s="357"/>
      <c r="G219" s="357"/>
      <c r="H219" s="357"/>
      <c r="I219" s="357"/>
      <c r="J219" s="357"/>
      <c r="K219" s="357"/>
      <c r="L219" s="357"/>
      <c r="M219" s="357"/>
      <c r="N219" s="357"/>
      <c r="O219" s="357"/>
      <c r="P219" s="357"/>
      <c r="Q219" s="357"/>
      <c r="R219" s="357"/>
      <c r="S219" s="357"/>
      <c r="T219" s="357"/>
      <c r="U219" s="357"/>
      <c r="V219" s="357"/>
      <c r="W219" s="357"/>
      <c r="X219" s="357"/>
      <c r="Y219" s="357"/>
      <c r="Z219" s="357"/>
    </row>
    <row r="220" ht="15.75" customHeight="1">
      <c r="A220" s="359">
        <v>12.0</v>
      </c>
      <c r="B220" s="452" t="s">
        <v>7381</v>
      </c>
      <c r="C220" s="452"/>
      <c r="D220" s="452">
        <v>1142.5</v>
      </c>
      <c r="E220" s="357" t="s">
        <v>42</v>
      </c>
      <c r="F220" s="357"/>
      <c r="G220" s="357"/>
      <c r="H220" s="357"/>
      <c r="I220" s="357"/>
      <c r="J220" s="357"/>
      <c r="K220" s="357"/>
      <c r="L220" s="357"/>
      <c r="M220" s="357"/>
      <c r="N220" s="357"/>
      <c r="O220" s="357"/>
      <c r="P220" s="357"/>
      <c r="Q220" s="357"/>
      <c r="R220" s="357"/>
      <c r="S220" s="357"/>
      <c r="T220" s="357"/>
      <c r="U220" s="357"/>
      <c r="V220" s="357"/>
      <c r="W220" s="357"/>
      <c r="X220" s="357"/>
      <c r="Y220" s="357"/>
      <c r="Z220" s="357"/>
    </row>
    <row r="221" ht="15.75" customHeight="1">
      <c r="A221" s="359">
        <v>12.0</v>
      </c>
      <c r="B221" s="452" t="s">
        <v>7382</v>
      </c>
      <c r="C221" s="452"/>
      <c r="D221" s="456">
        <v>1291.24</v>
      </c>
      <c r="E221" s="357" t="s">
        <v>1650</v>
      </c>
      <c r="F221" s="357"/>
      <c r="G221" s="357"/>
      <c r="H221" s="357"/>
      <c r="I221" s="357"/>
      <c r="J221" s="357"/>
      <c r="K221" s="357"/>
      <c r="L221" s="357"/>
      <c r="M221" s="357"/>
      <c r="N221" s="357"/>
      <c r="O221" s="357"/>
      <c r="P221" s="357"/>
      <c r="Q221" s="357"/>
      <c r="R221" s="357"/>
      <c r="S221" s="357"/>
      <c r="T221" s="357"/>
      <c r="U221" s="357"/>
      <c r="V221" s="357"/>
      <c r="W221" s="357"/>
      <c r="X221" s="357"/>
      <c r="Y221" s="357"/>
      <c r="Z221" s="357"/>
    </row>
    <row r="222" ht="15.75" customHeight="1">
      <c r="A222" s="359">
        <v>12.0</v>
      </c>
      <c r="B222" s="452" t="s">
        <v>7227</v>
      </c>
      <c r="C222" s="452"/>
      <c r="D222" s="453">
        <v>38.42</v>
      </c>
      <c r="E222" s="357" t="s">
        <v>1653</v>
      </c>
      <c r="F222" s="357"/>
      <c r="G222" s="357"/>
      <c r="H222" s="357"/>
      <c r="I222" s="357"/>
      <c r="J222" s="357"/>
      <c r="K222" s="357"/>
      <c r="L222" s="357"/>
      <c r="M222" s="357"/>
      <c r="N222" s="357"/>
      <c r="O222" s="357"/>
      <c r="P222" s="357"/>
      <c r="Q222" s="357"/>
      <c r="R222" s="357"/>
      <c r="S222" s="357"/>
      <c r="T222" s="357"/>
      <c r="U222" s="357"/>
      <c r="V222" s="357"/>
      <c r="W222" s="357"/>
      <c r="X222" s="357"/>
      <c r="Y222" s="357"/>
      <c r="Z222" s="357"/>
    </row>
    <row r="223" ht="15.75" customHeight="1">
      <c r="A223" s="359">
        <v>12.0</v>
      </c>
      <c r="B223" s="452" t="s">
        <v>7383</v>
      </c>
      <c r="C223" s="452"/>
      <c r="D223" s="452">
        <v>1190.0</v>
      </c>
      <c r="E223" s="357" t="s">
        <v>42</v>
      </c>
      <c r="F223" s="357"/>
      <c r="G223" s="357"/>
      <c r="H223" s="357"/>
      <c r="I223" s="357"/>
      <c r="J223" s="357"/>
      <c r="K223" s="357"/>
      <c r="L223" s="357"/>
      <c r="M223" s="357"/>
      <c r="N223" s="357"/>
      <c r="O223" s="357"/>
      <c r="P223" s="357"/>
      <c r="Q223" s="357"/>
      <c r="R223" s="357"/>
      <c r="S223" s="357"/>
      <c r="T223" s="357"/>
      <c r="U223" s="357"/>
      <c r="V223" s="357"/>
      <c r="W223" s="357"/>
      <c r="X223" s="357"/>
      <c r="Y223" s="357"/>
      <c r="Z223" s="357"/>
    </row>
    <row r="224" ht="15.75" customHeight="1">
      <c r="A224" s="359">
        <v>12.0</v>
      </c>
      <c r="B224" s="452" t="s">
        <v>7346</v>
      </c>
      <c r="C224" s="452"/>
      <c r="D224" s="453">
        <v>300.0</v>
      </c>
      <c r="E224" s="357" t="s">
        <v>1660</v>
      </c>
      <c r="F224" s="357"/>
      <c r="G224" s="357"/>
      <c r="H224" s="357"/>
      <c r="I224" s="357"/>
      <c r="J224" s="357"/>
      <c r="K224" s="357"/>
      <c r="L224" s="357"/>
      <c r="M224" s="357"/>
      <c r="N224" s="357"/>
      <c r="O224" s="357"/>
      <c r="P224" s="357"/>
      <c r="Q224" s="357"/>
      <c r="R224" s="357"/>
      <c r="S224" s="357"/>
      <c r="T224" s="357"/>
      <c r="U224" s="357"/>
      <c r="V224" s="357"/>
      <c r="W224" s="357"/>
      <c r="X224" s="357"/>
      <c r="Y224" s="357"/>
      <c r="Z224" s="357"/>
    </row>
    <row r="225" ht="15.75" customHeight="1">
      <c r="A225" s="359">
        <v>12.0</v>
      </c>
      <c r="B225" s="452" t="s">
        <v>7384</v>
      </c>
      <c r="C225" s="452"/>
      <c r="D225" s="453">
        <v>360.0</v>
      </c>
      <c r="E225" s="357" t="s">
        <v>1652</v>
      </c>
      <c r="F225" s="357"/>
      <c r="G225" s="357"/>
      <c r="H225" s="357"/>
      <c r="I225" s="357"/>
      <c r="J225" s="357"/>
      <c r="K225" s="357"/>
      <c r="L225" s="357"/>
      <c r="M225" s="357"/>
      <c r="N225" s="357"/>
      <c r="O225" s="357"/>
      <c r="P225" s="357"/>
      <c r="Q225" s="357"/>
      <c r="R225" s="357"/>
      <c r="S225" s="357"/>
      <c r="T225" s="357"/>
      <c r="U225" s="357"/>
      <c r="V225" s="357"/>
      <c r="W225" s="357"/>
      <c r="X225" s="357"/>
      <c r="Y225" s="357"/>
      <c r="Z225" s="357"/>
    </row>
    <row r="226" ht="15.75" customHeight="1">
      <c r="A226" s="359">
        <v>12.0</v>
      </c>
      <c r="B226" s="452" t="s">
        <v>7384</v>
      </c>
      <c r="C226" s="452"/>
      <c r="D226" s="453">
        <v>851.0</v>
      </c>
      <c r="E226" s="357" t="s">
        <v>1652</v>
      </c>
      <c r="F226" s="357"/>
      <c r="G226" s="357"/>
      <c r="H226" s="357"/>
      <c r="I226" s="357"/>
      <c r="J226" s="357"/>
      <c r="K226" s="357"/>
      <c r="L226" s="357"/>
      <c r="M226" s="357"/>
      <c r="N226" s="357"/>
      <c r="O226" s="357"/>
      <c r="P226" s="357"/>
      <c r="Q226" s="357"/>
      <c r="R226" s="357"/>
      <c r="S226" s="357"/>
      <c r="T226" s="357"/>
      <c r="U226" s="357"/>
      <c r="V226" s="357"/>
      <c r="W226" s="357"/>
      <c r="X226" s="357"/>
      <c r="Y226" s="357"/>
      <c r="Z226" s="357"/>
    </row>
    <row r="227" ht="15.75" customHeight="1">
      <c r="A227" s="359"/>
      <c r="B227" s="359"/>
      <c r="C227" s="359"/>
      <c r="D227" s="359"/>
      <c r="E227" s="357"/>
      <c r="F227" s="357"/>
      <c r="G227" s="357"/>
      <c r="H227" s="357"/>
      <c r="I227" s="357"/>
      <c r="J227" s="357"/>
      <c r="K227" s="357"/>
      <c r="L227" s="357"/>
      <c r="M227" s="357"/>
      <c r="N227" s="357"/>
      <c r="O227" s="357"/>
      <c r="P227" s="357"/>
      <c r="Q227" s="357"/>
      <c r="R227" s="357"/>
      <c r="S227" s="357"/>
      <c r="T227" s="357"/>
      <c r="U227" s="357"/>
      <c r="V227" s="357"/>
      <c r="W227" s="357"/>
      <c r="X227" s="357"/>
      <c r="Y227" s="357"/>
      <c r="Z227" s="357"/>
    </row>
    <row r="228" ht="15.75" customHeight="1">
      <c r="A228" s="359"/>
      <c r="B228" s="359"/>
      <c r="C228" s="359"/>
      <c r="D228" s="359"/>
      <c r="E228" s="357"/>
      <c r="F228" s="357"/>
      <c r="G228" s="357"/>
      <c r="H228" s="357"/>
      <c r="I228" s="357"/>
      <c r="J228" s="357"/>
      <c r="K228" s="357"/>
      <c r="L228" s="357"/>
      <c r="M228" s="357"/>
      <c r="N228" s="357"/>
      <c r="O228" s="357"/>
      <c r="P228" s="357"/>
      <c r="Q228" s="357"/>
      <c r="R228" s="357"/>
      <c r="S228" s="357"/>
      <c r="T228" s="357"/>
      <c r="U228" s="357"/>
      <c r="V228" s="357"/>
      <c r="W228" s="357"/>
      <c r="X228" s="357"/>
      <c r="Y228" s="357"/>
      <c r="Z228" s="357"/>
    </row>
    <row r="229" ht="15.75" customHeight="1">
      <c r="A229" s="359"/>
      <c r="B229" s="359"/>
      <c r="C229" s="359"/>
      <c r="D229" s="359"/>
      <c r="E229" s="357"/>
      <c r="F229" s="357"/>
      <c r="G229" s="357"/>
      <c r="H229" s="357"/>
      <c r="I229" s="357"/>
      <c r="J229" s="357"/>
      <c r="K229" s="357"/>
      <c r="L229" s="357"/>
      <c r="M229" s="357"/>
      <c r="N229" s="357"/>
      <c r="O229" s="357"/>
      <c r="P229" s="357"/>
      <c r="Q229" s="357"/>
      <c r="R229" s="357"/>
      <c r="S229" s="357"/>
      <c r="T229" s="357"/>
      <c r="U229" s="357"/>
      <c r="V229" s="357"/>
      <c r="W229" s="357"/>
      <c r="X229" s="357"/>
      <c r="Y229" s="357"/>
      <c r="Z229" s="357"/>
    </row>
    <row r="230" ht="15.75" customHeight="1">
      <c r="A230" s="359"/>
      <c r="B230" s="359"/>
      <c r="C230" s="359"/>
      <c r="D230" s="359"/>
      <c r="E230" s="357"/>
      <c r="F230" s="357"/>
      <c r="G230" s="357"/>
      <c r="H230" s="357"/>
      <c r="I230" s="357"/>
      <c r="J230" s="357"/>
      <c r="K230" s="357"/>
      <c r="L230" s="357"/>
      <c r="M230" s="357"/>
      <c r="N230" s="357"/>
      <c r="O230" s="357"/>
      <c r="P230" s="357"/>
      <c r="Q230" s="357"/>
      <c r="R230" s="357"/>
      <c r="S230" s="357"/>
      <c r="T230" s="357"/>
      <c r="U230" s="357"/>
      <c r="V230" s="357"/>
      <c r="W230" s="357"/>
      <c r="X230" s="357"/>
      <c r="Y230" s="357"/>
      <c r="Z230" s="357"/>
    </row>
    <row r="231" ht="15.75" customHeight="1">
      <c r="A231" s="359"/>
      <c r="B231" s="359"/>
      <c r="C231" s="359"/>
      <c r="D231" s="359"/>
      <c r="E231" s="357"/>
      <c r="F231" s="357"/>
      <c r="G231" s="357"/>
      <c r="H231" s="357"/>
      <c r="I231" s="357"/>
      <c r="J231" s="357"/>
      <c r="K231" s="357"/>
      <c r="L231" s="357"/>
      <c r="M231" s="357"/>
      <c r="N231" s="357"/>
      <c r="O231" s="357"/>
      <c r="P231" s="357"/>
      <c r="Q231" s="357"/>
      <c r="R231" s="357"/>
      <c r="S231" s="357"/>
      <c r="T231" s="357"/>
      <c r="U231" s="357"/>
      <c r="V231" s="357"/>
      <c r="W231" s="357"/>
      <c r="X231" s="357"/>
      <c r="Y231" s="357"/>
      <c r="Z231" s="357"/>
    </row>
    <row r="232" ht="15.75" customHeight="1">
      <c r="A232" s="359"/>
      <c r="B232" s="359"/>
      <c r="C232" s="359"/>
      <c r="D232" s="359"/>
      <c r="E232" s="357"/>
      <c r="F232" s="357"/>
      <c r="G232" s="357"/>
      <c r="H232" s="357"/>
      <c r="I232" s="357"/>
      <c r="J232" s="357"/>
      <c r="K232" s="357"/>
      <c r="L232" s="357"/>
      <c r="M232" s="357"/>
      <c r="N232" s="357"/>
      <c r="O232" s="357"/>
      <c r="P232" s="357"/>
      <c r="Q232" s="357"/>
      <c r="R232" s="357"/>
      <c r="S232" s="357"/>
      <c r="T232" s="357"/>
      <c r="U232" s="357"/>
      <c r="V232" s="357"/>
      <c r="W232" s="357"/>
      <c r="X232" s="357"/>
      <c r="Y232" s="357"/>
      <c r="Z232" s="357"/>
    </row>
    <row r="233" ht="15.75" customHeight="1">
      <c r="A233" s="359"/>
      <c r="B233" s="359"/>
      <c r="C233" s="359"/>
      <c r="D233" s="359"/>
      <c r="E233" s="357"/>
      <c r="F233" s="357"/>
      <c r="G233" s="357"/>
      <c r="H233" s="357"/>
      <c r="I233" s="357"/>
      <c r="J233" s="357"/>
      <c r="K233" s="357"/>
      <c r="L233" s="357"/>
      <c r="M233" s="357"/>
      <c r="N233" s="357"/>
      <c r="O233" s="357"/>
      <c r="P233" s="357"/>
      <c r="Q233" s="357"/>
      <c r="R233" s="357"/>
      <c r="S233" s="357"/>
      <c r="T233" s="357"/>
      <c r="U233" s="357"/>
      <c r="V233" s="357"/>
      <c r="W233" s="357"/>
      <c r="X233" s="357"/>
      <c r="Y233" s="357"/>
      <c r="Z233" s="357"/>
    </row>
    <row r="234" ht="15.75" customHeight="1">
      <c r="A234" s="359"/>
      <c r="B234" s="359"/>
      <c r="C234" s="359"/>
      <c r="D234" s="359"/>
      <c r="E234" s="357"/>
      <c r="F234" s="357"/>
      <c r="G234" s="357"/>
      <c r="H234" s="357"/>
      <c r="I234" s="357"/>
      <c r="J234" s="357"/>
      <c r="K234" s="357"/>
      <c r="L234" s="357"/>
      <c r="M234" s="357"/>
      <c r="N234" s="357"/>
      <c r="O234" s="357"/>
      <c r="P234" s="357"/>
      <c r="Q234" s="357"/>
      <c r="R234" s="357"/>
      <c r="S234" s="357"/>
      <c r="T234" s="357"/>
      <c r="U234" s="357"/>
      <c r="V234" s="357"/>
      <c r="W234" s="357"/>
      <c r="X234" s="357"/>
      <c r="Y234" s="357"/>
      <c r="Z234" s="357"/>
    </row>
    <row r="235" ht="15.75" customHeight="1">
      <c r="A235" s="359"/>
      <c r="B235" s="359"/>
      <c r="C235" s="359"/>
      <c r="D235" s="359"/>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row>
    <row r="236" ht="15.75" customHeight="1">
      <c r="A236" s="359"/>
      <c r="B236" s="359"/>
      <c r="C236" s="359"/>
      <c r="D236" s="359"/>
      <c r="E236" s="357"/>
      <c r="F236" s="357"/>
      <c r="G236" s="357"/>
      <c r="H236" s="357"/>
      <c r="I236" s="357"/>
      <c r="J236" s="357"/>
      <c r="K236" s="357"/>
      <c r="L236" s="357"/>
      <c r="M236" s="357"/>
      <c r="N236" s="357"/>
      <c r="O236" s="357"/>
      <c r="P236" s="357"/>
      <c r="Q236" s="357"/>
      <c r="R236" s="357"/>
      <c r="S236" s="357"/>
      <c r="T236" s="357"/>
      <c r="U236" s="357"/>
      <c r="V236" s="357"/>
      <c r="W236" s="357"/>
      <c r="X236" s="357"/>
      <c r="Y236" s="357"/>
      <c r="Z236" s="357"/>
    </row>
    <row r="237" ht="15.75" customHeight="1">
      <c r="A237" s="359"/>
      <c r="B237" s="359"/>
      <c r="C237" s="359"/>
      <c r="D237" s="359"/>
      <c r="E237" s="357"/>
      <c r="F237" s="357"/>
      <c r="G237" s="357"/>
      <c r="H237" s="357"/>
      <c r="I237" s="357"/>
      <c r="J237" s="357"/>
      <c r="K237" s="357"/>
      <c r="L237" s="357"/>
      <c r="M237" s="357"/>
      <c r="N237" s="357"/>
      <c r="O237" s="357"/>
      <c r="P237" s="357"/>
      <c r="Q237" s="357"/>
      <c r="R237" s="357"/>
      <c r="S237" s="357"/>
      <c r="T237" s="357"/>
      <c r="U237" s="357"/>
      <c r="V237" s="357"/>
      <c r="W237" s="357"/>
      <c r="X237" s="357"/>
      <c r="Y237" s="357"/>
      <c r="Z237" s="357"/>
    </row>
    <row r="238" ht="15.75" customHeight="1">
      <c r="A238" s="359"/>
      <c r="B238" s="359"/>
      <c r="C238" s="359"/>
      <c r="D238" s="359"/>
      <c r="E238" s="357"/>
      <c r="F238" s="357"/>
      <c r="G238" s="357"/>
      <c r="H238" s="357"/>
      <c r="I238" s="357"/>
      <c r="J238" s="357"/>
      <c r="K238" s="357"/>
      <c r="L238" s="357"/>
      <c r="M238" s="357"/>
      <c r="N238" s="357"/>
      <c r="O238" s="357"/>
      <c r="P238" s="357"/>
      <c r="Q238" s="357"/>
      <c r="R238" s="357"/>
      <c r="S238" s="357"/>
      <c r="T238" s="357"/>
      <c r="U238" s="357"/>
      <c r="V238" s="357"/>
      <c r="W238" s="357"/>
      <c r="X238" s="357"/>
      <c r="Y238" s="357"/>
      <c r="Z238" s="357"/>
    </row>
    <row r="239" ht="15.75" customHeight="1">
      <c r="A239" s="359"/>
      <c r="B239" s="359"/>
      <c r="C239" s="359"/>
      <c r="D239" s="359"/>
      <c r="E239" s="357"/>
      <c r="F239" s="357"/>
      <c r="G239" s="357"/>
      <c r="H239" s="357"/>
      <c r="I239" s="357"/>
      <c r="J239" s="357"/>
      <c r="K239" s="357"/>
      <c r="L239" s="357"/>
      <c r="M239" s="357"/>
      <c r="N239" s="357"/>
      <c r="O239" s="357"/>
      <c r="P239" s="357"/>
      <c r="Q239" s="357"/>
      <c r="R239" s="357"/>
      <c r="S239" s="357"/>
      <c r="T239" s="357"/>
      <c r="U239" s="357"/>
      <c r="V239" s="357"/>
      <c r="W239" s="357"/>
      <c r="X239" s="357"/>
      <c r="Y239" s="357"/>
      <c r="Z239" s="357"/>
    </row>
    <row r="240" ht="15.75" customHeight="1">
      <c r="A240" s="359"/>
      <c r="B240" s="359"/>
      <c r="C240" s="359"/>
      <c r="D240" s="359"/>
      <c r="E240" s="357"/>
      <c r="F240" s="357"/>
      <c r="G240" s="357"/>
      <c r="H240" s="357"/>
      <c r="I240" s="357"/>
      <c r="J240" s="357"/>
      <c r="K240" s="357"/>
      <c r="L240" s="357"/>
      <c r="M240" s="357"/>
      <c r="N240" s="357"/>
      <c r="O240" s="357"/>
      <c r="P240" s="357"/>
      <c r="Q240" s="357"/>
      <c r="R240" s="357"/>
      <c r="S240" s="357"/>
      <c r="T240" s="357"/>
      <c r="U240" s="357"/>
      <c r="V240" s="357"/>
      <c r="W240" s="357"/>
      <c r="X240" s="357"/>
      <c r="Y240" s="357"/>
      <c r="Z240" s="357"/>
    </row>
    <row r="241" ht="15.75" customHeight="1">
      <c r="A241" s="359"/>
      <c r="B241" s="359"/>
      <c r="C241" s="359"/>
      <c r="D241" s="359"/>
      <c r="E241" s="357"/>
      <c r="F241" s="357"/>
      <c r="G241" s="357"/>
      <c r="H241" s="357"/>
      <c r="I241" s="357"/>
      <c r="J241" s="357"/>
      <c r="K241" s="357"/>
      <c r="L241" s="357"/>
      <c r="M241" s="357"/>
      <c r="N241" s="357"/>
      <c r="O241" s="357"/>
      <c r="P241" s="357"/>
      <c r="Q241" s="357"/>
      <c r="R241" s="357"/>
      <c r="S241" s="357"/>
      <c r="T241" s="357"/>
      <c r="U241" s="357"/>
      <c r="V241" s="357"/>
      <c r="W241" s="357"/>
      <c r="X241" s="357"/>
      <c r="Y241" s="357"/>
      <c r="Z241" s="357"/>
    </row>
    <row r="242" ht="15.75" customHeight="1">
      <c r="A242" s="359"/>
      <c r="B242" s="359"/>
      <c r="C242" s="359"/>
      <c r="D242" s="359"/>
      <c r="E242" s="357"/>
      <c r="F242" s="357"/>
      <c r="G242" s="357"/>
      <c r="H242" s="357"/>
      <c r="I242" s="357"/>
      <c r="J242" s="357"/>
      <c r="K242" s="357"/>
      <c r="L242" s="357"/>
      <c r="M242" s="357"/>
      <c r="N242" s="357"/>
      <c r="O242" s="357"/>
      <c r="P242" s="357"/>
      <c r="Q242" s="357"/>
      <c r="R242" s="357"/>
      <c r="S242" s="357"/>
      <c r="T242" s="357"/>
      <c r="U242" s="357"/>
      <c r="V242" s="357"/>
      <c r="W242" s="357"/>
      <c r="X242" s="357"/>
      <c r="Y242" s="357"/>
      <c r="Z242" s="357"/>
    </row>
    <row r="243" ht="15.75" customHeight="1">
      <c r="A243" s="359"/>
      <c r="B243" s="359"/>
      <c r="C243" s="359"/>
      <c r="D243" s="359"/>
      <c r="E243" s="357"/>
      <c r="F243" s="357"/>
      <c r="G243" s="357"/>
      <c r="H243" s="357"/>
      <c r="I243" s="357"/>
      <c r="J243" s="357"/>
      <c r="K243" s="357"/>
      <c r="L243" s="357"/>
      <c r="M243" s="357"/>
      <c r="N243" s="357"/>
      <c r="O243" s="357"/>
      <c r="P243" s="357"/>
      <c r="Q243" s="357"/>
      <c r="R243" s="357"/>
      <c r="S243" s="357"/>
      <c r="T243" s="357"/>
      <c r="U243" s="357"/>
      <c r="V243" s="357"/>
      <c r="W243" s="357"/>
      <c r="X243" s="357"/>
      <c r="Y243" s="357"/>
      <c r="Z243" s="357"/>
    </row>
    <row r="244" ht="15.75" customHeight="1">
      <c r="A244" s="359"/>
      <c r="B244" s="359"/>
      <c r="C244" s="359"/>
      <c r="D244" s="359"/>
      <c r="E244" s="357"/>
      <c r="F244" s="357"/>
      <c r="G244" s="357"/>
      <c r="H244" s="357"/>
      <c r="I244" s="357"/>
      <c r="J244" s="357"/>
      <c r="K244" s="357"/>
      <c r="L244" s="357"/>
      <c r="M244" s="357"/>
      <c r="N244" s="357"/>
      <c r="O244" s="357"/>
      <c r="P244" s="357"/>
      <c r="Q244" s="357"/>
      <c r="R244" s="357"/>
      <c r="S244" s="357"/>
      <c r="T244" s="357"/>
      <c r="U244" s="357"/>
      <c r="V244" s="357"/>
      <c r="W244" s="357"/>
      <c r="X244" s="357"/>
      <c r="Y244" s="357"/>
      <c r="Z244" s="357"/>
    </row>
    <row r="245" ht="15.75" customHeight="1">
      <c r="A245" s="359"/>
      <c r="B245" s="359"/>
      <c r="C245" s="359"/>
      <c r="D245" s="359"/>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row>
    <row r="246" ht="15.75" customHeight="1">
      <c r="A246" s="359"/>
      <c r="B246" s="359"/>
      <c r="C246" s="359"/>
      <c r="D246" s="359"/>
      <c r="E246" s="357"/>
      <c r="F246" s="357"/>
      <c r="G246" s="357"/>
      <c r="H246" s="357"/>
      <c r="I246" s="357"/>
      <c r="J246" s="357"/>
      <c r="K246" s="357"/>
      <c r="L246" s="357"/>
      <c r="M246" s="357"/>
      <c r="N246" s="357"/>
      <c r="O246" s="357"/>
      <c r="P246" s="357"/>
      <c r="Q246" s="357"/>
      <c r="R246" s="357"/>
      <c r="S246" s="357"/>
      <c r="T246" s="357"/>
      <c r="U246" s="357"/>
      <c r="V246" s="357"/>
      <c r="W246" s="357"/>
      <c r="X246" s="357"/>
      <c r="Y246" s="357"/>
      <c r="Z246" s="357"/>
    </row>
    <row r="247" ht="15.75" customHeight="1">
      <c r="A247" s="359"/>
      <c r="B247" s="359"/>
      <c r="C247" s="359"/>
      <c r="D247" s="359"/>
      <c r="E247" s="357"/>
      <c r="F247" s="357"/>
      <c r="G247" s="357"/>
      <c r="H247" s="357"/>
      <c r="I247" s="357"/>
      <c r="J247" s="357"/>
      <c r="K247" s="357"/>
      <c r="L247" s="357"/>
      <c r="M247" s="357"/>
      <c r="N247" s="357"/>
      <c r="O247" s="357"/>
      <c r="P247" s="357"/>
      <c r="Q247" s="357"/>
      <c r="R247" s="357"/>
      <c r="S247" s="357"/>
      <c r="T247" s="357"/>
      <c r="U247" s="357"/>
      <c r="V247" s="357"/>
      <c r="W247" s="357"/>
      <c r="X247" s="357"/>
      <c r="Y247" s="357"/>
      <c r="Z247" s="357"/>
    </row>
    <row r="248" ht="15.75" customHeight="1">
      <c r="A248" s="359"/>
      <c r="B248" s="359"/>
      <c r="C248" s="359"/>
      <c r="D248" s="359"/>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row>
    <row r="249" ht="15.75" customHeight="1">
      <c r="A249" s="359"/>
      <c r="B249" s="359"/>
      <c r="C249" s="359"/>
      <c r="D249" s="359"/>
      <c r="E249" s="357"/>
      <c r="F249" s="357"/>
      <c r="G249" s="357"/>
      <c r="H249" s="357"/>
      <c r="I249" s="357"/>
      <c r="J249" s="357"/>
      <c r="K249" s="357"/>
      <c r="L249" s="357"/>
      <c r="M249" s="357"/>
      <c r="N249" s="357"/>
      <c r="O249" s="357"/>
      <c r="P249" s="357"/>
      <c r="Q249" s="357"/>
      <c r="R249" s="357"/>
      <c r="S249" s="357"/>
      <c r="T249" s="357"/>
      <c r="U249" s="357"/>
      <c r="V249" s="357"/>
      <c r="W249" s="357"/>
      <c r="X249" s="357"/>
      <c r="Y249" s="357"/>
      <c r="Z249" s="357"/>
    </row>
    <row r="250" ht="15.75" customHeight="1">
      <c r="A250" s="359"/>
      <c r="B250" s="359"/>
      <c r="C250" s="359"/>
      <c r="D250" s="359"/>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row>
    <row r="251" ht="15.75" customHeight="1">
      <c r="A251" s="359"/>
      <c r="B251" s="359"/>
      <c r="C251" s="359"/>
      <c r="D251" s="359"/>
      <c r="E251" s="357"/>
      <c r="F251" s="357"/>
      <c r="G251" s="357"/>
      <c r="H251" s="357"/>
      <c r="I251" s="357"/>
      <c r="J251" s="357"/>
      <c r="K251" s="357"/>
      <c r="L251" s="357"/>
      <c r="M251" s="357"/>
      <c r="N251" s="357"/>
      <c r="O251" s="357"/>
      <c r="P251" s="357"/>
      <c r="Q251" s="357"/>
      <c r="R251" s="357"/>
      <c r="S251" s="357"/>
      <c r="T251" s="357"/>
      <c r="U251" s="357"/>
      <c r="V251" s="357"/>
      <c r="W251" s="357"/>
      <c r="X251" s="357"/>
      <c r="Y251" s="357"/>
      <c r="Z251" s="357"/>
    </row>
    <row r="252" ht="15.75" customHeight="1">
      <c r="A252" s="359"/>
      <c r="B252" s="359"/>
      <c r="C252" s="359"/>
      <c r="D252" s="359"/>
      <c r="E252" s="357"/>
      <c r="F252" s="357"/>
      <c r="G252" s="357"/>
      <c r="H252" s="357"/>
      <c r="I252" s="357"/>
      <c r="J252" s="357"/>
      <c r="K252" s="357"/>
      <c r="L252" s="357"/>
      <c r="M252" s="357"/>
      <c r="N252" s="357"/>
      <c r="O252" s="357"/>
      <c r="P252" s="357"/>
      <c r="Q252" s="357"/>
      <c r="R252" s="357"/>
      <c r="S252" s="357"/>
      <c r="T252" s="357"/>
      <c r="U252" s="357"/>
      <c r="V252" s="357"/>
      <c r="W252" s="357"/>
      <c r="X252" s="357"/>
      <c r="Y252" s="357"/>
      <c r="Z252" s="357"/>
    </row>
    <row r="253" ht="15.75" customHeight="1">
      <c r="A253" s="359"/>
      <c r="B253" s="359"/>
      <c r="C253" s="359"/>
      <c r="D253" s="359"/>
      <c r="E253" s="357"/>
      <c r="F253" s="357"/>
      <c r="G253" s="357"/>
      <c r="H253" s="357"/>
      <c r="I253" s="357"/>
      <c r="J253" s="357"/>
      <c r="K253" s="357"/>
      <c r="L253" s="357"/>
      <c r="M253" s="357"/>
      <c r="N253" s="357"/>
      <c r="O253" s="357"/>
      <c r="P253" s="357"/>
      <c r="Q253" s="357"/>
      <c r="R253" s="357"/>
      <c r="S253" s="357"/>
      <c r="T253" s="357"/>
      <c r="U253" s="357"/>
      <c r="V253" s="357"/>
      <c r="W253" s="357"/>
      <c r="X253" s="357"/>
      <c r="Y253" s="357"/>
      <c r="Z253" s="357"/>
    </row>
    <row r="254" ht="15.75" customHeight="1">
      <c r="A254" s="359"/>
      <c r="B254" s="359"/>
      <c r="C254" s="359"/>
      <c r="D254" s="359"/>
      <c r="E254" s="357"/>
      <c r="F254" s="357"/>
      <c r="G254" s="357"/>
      <c r="H254" s="357"/>
      <c r="I254" s="357"/>
      <c r="J254" s="357"/>
      <c r="K254" s="357"/>
      <c r="L254" s="357"/>
      <c r="M254" s="357"/>
      <c r="N254" s="357"/>
      <c r="O254" s="357"/>
      <c r="P254" s="357"/>
      <c r="Q254" s="357"/>
      <c r="R254" s="357"/>
      <c r="S254" s="357"/>
      <c r="T254" s="357"/>
      <c r="U254" s="357"/>
      <c r="V254" s="357"/>
      <c r="W254" s="357"/>
      <c r="X254" s="357"/>
      <c r="Y254" s="357"/>
      <c r="Z254" s="357"/>
    </row>
    <row r="255" ht="15.75" customHeight="1">
      <c r="A255" s="359"/>
      <c r="B255" s="359"/>
      <c r="C255" s="359"/>
      <c r="D255" s="359"/>
      <c r="E255" s="357"/>
      <c r="F255" s="357"/>
      <c r="G255" s="357"/>
      <c r="H255" s="357"/>
      <c r="I255" s="357"/>
      <c r="J255" s="357"/>
      <c r="K255" s="357"/>
      <c r="L255" s="357"/>
      <c r="M255" s="357"/>
      <c r="N255" s="357"/>
      <c r="O255" s="357"/>
      <c r="P255" s="357"/>
      <c r="Q255" s="357"/>
      <c r="R255" s="357"/>
      <c r="S255" s="357"/>
      <c r="T255" s="357"/>
      <c r="U255" s="357"/>
      <c r="V255" s="357"/>
      <c r="W255" s="357"/>
      <c r="X255" s="357"/>
      <c r="Y255" s="357"/>
      <c r="Z255" s="357"/>
    </row>
    <row r="256" ht="15.75" customHeight="1">
      <c r="A256" s="359"/>
      <c r="B256" s="359"/>
      <c r="C256" s="359"/>
      <c r="D256" s="359"/>
      <c r="E256" s="357"/>
      <c r="F256" s="357"/>
      <c r="G256" s="357"/>
      <c r="H256" s="357"/>
      <c r="I256" s="357"/>
      <c r="J256" s="357"/>
      <c r="K256" s="357"/>
      <c r="L256" s="357"/>
      <c r="M256" s="357"/>
      <c r="N256" s="357"/>
      <c r="O256" s="357"/>
      <c r="P256" s="357"/>
      <c r="Q256" s="357"/>
      <c r="R256" s="357"/>
      <c r="S256" s="357"/>
      <c r="T256" s="357"/>
      <c r="U256" s="357"/>
      <c r="V256" s="357"/>
      <c r="W256" s="357"/>
      <c r="X256" s="357"/>
      <c r="Y256" s="357"/>
      <c r="Z256" s="357"/>
    </row>
    <row r="257" ht="15.75" customHeight="1">
      <c r="A257" s="359"/>
      <c r="B257" s="359"/>
      <c r="C257" s="359"/>
      <c r="D257" s="359"/>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row>
    <row r="258" ht="15.75" customHeight="1">
      <c r="A258" s="359"/>
      <c r="B258" s="359"/>
      <c r="C258" s="359"/>
      <c r="D258" s="359"/>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row>
    <row r="259" ht="15.75" customHeight="1">
      <c r="A259" s="359"/>
      <c r="B259" s="359"/>
      <c r="C259" s="359"/>
      <c r="D259" s="359"/>
      <c r="E259" s="357"/>
      <c r="F259" s="357"/>
      <c r="G259" s="357"/>
      <c r="H259" s="357"/>
      <c r="I259" s="357"/>
      <c r="J259" s="357"/>
      <c r="K259" s="357"/>
      <c r="L259" s="357"/>
      <c r="M259" s="357"/>
      <c r="N259" s="357"/>
      <c r="O259" s="357"/>
      <c r="P259" s="357"/>
      <c r="Q259" s="357"/>
      <c r="R259" s="357"/>
      <c r="S259" s="357"/>
      <c r="T259" s="357"/>
      <c r="U259" s="357"/>
      <c r="V259" s="357"/>
      <c r="W259" s="357"/>
      <c r="X259" s="357"/>
      <c r="Y259" s="357"/>
      <c r="Z259" s="357"/>
    </row>
    <row r="260" ht="15.75" customHeight="1">
      <c r="A260" s="359"/>
      <c r="B260" s="359"/>
      <c r="C260" s="359"/>
      <c r="D260" s="359"/>
      <c r="E260" s="357"/>
      <c r="F260" s="357"/>
      <c r="G260" s="357"/>
      <c r="H260" s="357"/>
      <c r="I260" s="357"/>
      <c r="J260" s="357"/>
      <c r="K260" s="357"/>
      <c r="L260" s="357"/>
      <c r="M260" s="357"/>
      <c r="N260" s="357"/>
      <c r="O260" s="357"/>
      <c r="P260" s="357"/>
      <c r="Q260" s="357"/>
      <c r="R260" s="357"/>
      <c r="S260" s="357"/>
      <c r="T260" s="357"/>
      <c r="U260" s="357"/>
      <c r="V260" s="357"/>
      <c r="W260" s="357"/>
      <c r="X260" s="357"/>
      <c r="Y260" s="357"/>
      <c r="Z260" s="357"/>
    </row>
    <row r="261" ht="15.75" customHeight="1">
      <c r="A261" s="359"/>
      <c r="B261" s="359"/>
      <c r="C261" s="359"/>
      <c r="D261" s="359"/>
      <c r="E261" s="357"/>
      <c r="F261" s="357"/>
      <c r="G261" s="357"/>
      <c r="H261" s="357"/>
      <c r="I261" s="357"/>
      <c r="J261" s="357"/>
      <c r="K261" s="357"/>
      <c r="L261" s="357"/>
      <c r="M261" s="357"/>
      <c r="N261" s="357"/>
      <c r="O261" s="357"/>
      <c r="P261" s="357"/>
      <c r="Q261" s="357"/>
      <c r="R261" s="357"/>
      <c r="S261" s="357"/>
      <c r="T261" s="357"/>
      <c r="U261" s="357"/>
      <c r="V261" s="357"/>
      <c r="W261" s="357"/>
      <c r="X261" s="357"/>
      <c r="Y261" s="357"/>
      <c r="Z261" s="357"/>
    </row>
    <row r="262" ht="15.75" customHeight="1">
      <c r="A262" s="359"/>
      <c r="B262" s="359"/>
      <c r="C262" s="359"/>
      <c r="D262" s="359"/>
      <c r="E262" s="357"/>
      <c r="F262" s="357"/>
      <c r="G262" s="357"/>
      <c r="H262" s="357"/>
      <c r="I262" s="357"/>
      <c r="J262" s="357"/>
      <c r="K262" s="357"/>
      <c r="L262" s="357"/>
      <c r="M262" s="357"/>
      <c r="N262" s="357"/>
      <c r="O262" s="357"/>
      <c r="P262" s="357"/>
      <c r="Q262" s="357"/>
      <c r="R262" s="357"/>
      <c r="S262" s="357"/>
      <c r="T262" s="357"/>
      <c r="U262" s="357"/>
      <c r="V262" s="357"/>
      <c r="W262" s="357"/>
      <c r="X262" s="357"/>
      <c r="Y262" s="357"/>
      <c r="Z262" s="357"/>
    </row>
    <row r="263" ht="15.75" customHeight="1">
      <c r="A263" s="359"/>
      <c r="B263" s="359"/>
      <c r="C263" s="359"/>
      <c r="D263" s="359"/>
      <c r="E263" s="357"/>
      <c r="F263" s="357"/>
      <c r="G263" s="357"/>
      <c r="H263" s="357"/>
      <c r="I263" s="357"/>
      <c r="J263" s="357"/>
      <c r="K263" s="357"/>
      <c r="L263" s="357"/>
      <c r="M263" s="357"/>
      <c r="N263" s="357"/>
      <c r="O263" s="357"/>
      <c r="P263" s="357"/>
      <c r="Q263" s="357"/>
      <c r="R263" s="357"/>
      <c r="S263" s="357"/>
      <c r="T263" s="357"/>
      <c r="U263" s="357"/>
      <c r="V263" s="357"/>
      <c r="W263" s="357"/>
      <c r="X263" s="357"/>
      <c r="Y263" s="357"/>
      <c r="Z263" s="357"/>
    </row>
    <row r="264" ht="15.75" customHeight="1">
      <c r="A264" s="359"/>
      <c r="B264" s="359"/>
      <c r="C264" s="359"/>
      <c r="D264" s="359"/>
      <c r="E264" s="357"/>
      <c r="F264" s="357"/>
      <c r="G264" s="357"/>
      <c r="H264" s="357"/>
      <c r="I264" s="357"/>
      <c r="J264" s="357"/>
      <c r="K264" s="357"/>
      <c r="L264" s="357"/>
      <c r="M264" s="357"/>
      <c r="N264" s="357"/>
      <c r="O264" s="357"/>
      <c r="P264" s="357"/>
      <c r="Q264" s="357"/>
      <c r="R264" s="357"/>
      <c r="S264" s="357"/>
      <c r="T264" s="357"/>
      <c r="U264" s="357"/>
      <c r="V264" s="357"/>
      <c r="W264" s="357"/>
      <c r="X264" s="357"/>
      <c r="Y264" s="357"/>
      <c r="Z264" s="357"/>
    </row>
    <row r="265" ht="15.75" customHeight="1">
      <c r="A265" s="359"/>
      <c r="B265" s="359"/>
      <c r="C265" s="359"/>
      <c r="D265" s="359"/>
      <c r="E265" s="357"/>
      <c r="F265" s="357"/>
      <c r="G265" s="357"/>
      <c r="H265" s="357"/>
      <c r="I265" s="357"/>
      <c r="J265" s="357"/>
      <c r="K265" s="357"/>
      <c r="L265" s="357"/>
      <c r="M265" s="357"/>
      <c r="N265" s="357"/>
      <c r="O265" s="357"/>
      <c r="P265" s="357"/>
      <c r="Q265" s="357"/>
      <c r="R265" s="357"/>
      <c r="S265" s="357"/>
      <c r="T265" s="357"/>
      <c r="U265" s="357"/>
      <c r="V265" s="357"/>
      <c r="W265" s="357"/>
      <c r="X265" s="357"/>
      <c r="Y265" s="357"/>
      <c r="Z265" s="357"/>
    </row>
    <row r="266" ht="15.75" customHeight="1">
      <c r="A266" s="359"/>
      <c r="B266" s="359"/>
      <c r="C266" s="359"/>
      <c r="D266" s="359"/>
      <c r="E266" s="357"/>
      <c r="F266" s="357"/>
      <c r="G266" s="357"/>
      <c r="H266" s="357"/>
      <c r="I266" s="357"/>
      <c r="J266" s="357"/>
      <c r="K266" s="357"/>
      <c r="L266" s="357"/>
      <c r="M266" s="357"/>
      <c r="N266" s="357"/>
      <c r="O266" s="357"/>
      <c r="P266" s="357"/>
      <c r="Q266" s="357"/>
      <c r="R266" s="357"/>
      <c r="S266" s="357"/>
      <c r="T266" s="357"/>
      <c r="U266" s="357"/>
      <c r="V266" s="357"/>
      <c r="W266" s="357"/>
      <c r="X266" s="357"/>
      <c r="Y266" s="357"/>
      <c r="Z266" s="357"/>
    </row>
    <row r="267" ht="15.75" customHeight="1">
      <c r="A267" s="359"/>
      <c r="B267" s="359"/>
      <c r="C267" s="359"/>
      <c r="D267" s="359"/>
      <c r="E267" s="357"/>
      <c r="F267" s="357"/>
      <c r="G267" s="357"/>
      <c r="H267" s="357"/>
      <c r="I267" s="357"/>
      <c r="J267" s="357"/>
      <c r="K267" s="357"/>
      <c r="L267" s="357"/>
      <c r="M267" s="357"/>
      <c r="N267" s="357"/>
      <c r="O267" s="357"/>
      <c r="P267" s="357"/>
      <c r="Q267" s="357"/>
      <c r="R267" s="357"/>
      <c r="S267" s="357"/>
      <c r="T267" s="357"/>
      <c r="U267" s="357"/>
      <c r="V267" s="357"/>
      <c r="W267" s="357"/>
      <c r="X267" s="357"/>
      <c r="Y267" s="357"/>
      <c r="Z267" s="357"/>
    </row>
    <row r="268" ht="15.75" customHeight="1">
      <c r="A268" s="359"/>
      <c r="B268" s="359"/>
      <c r="C268" s="359"/>
      <c r="D268" s="359"/>
      <c r="E268" s="357"/>
      <c r="F268" s="357"/>
      <c r="G268" s="357"/>
      <c r="H268" s="357"/>
      <c r="I268" s="357"/>
      <c r="J268" s="357"/>
      <c r="K268" s="357"/>
      <c r="L268" s="357"/>
      <c r="M268" s="357"/>
      <c r="N268" s="357"/>
      <c r="O268" s="357"/>
      <c r="P268" s="357"/>
      <c r="Q268" s="357"/>
      <c r="R268" s="357"/>
      <c r="S268" s="357"/>
      <c r="T268" s="357"/>
      <c r="U268" s="357"/>
      <c r="V268" s="357"/>
      <c r="W268" s="357"/>
      <c r="X268" s="357"/>
      <c r="Y268" s="357"/>
      <c r="Z268" s="357"/>
    </row>
    <row r="269" ht="15.75" customHeight="1">
      <c r="A269" s="359"/>
      <c r="B269" s="359"/>
      <c r="C269" s="359"/>
      <c r="D269" s="359"/>
      <c r="E269" s="357"/>
      <c r="F269" s="357"/>
      <c r="G269" s="357"/>
      <c r="H269" s="357"/>
      <c r="I269" s="357"/>
      <c r="J269" s="357"/>
      <c r="K269" s="357"/>
      <c r="L269" s="357"/>
      <c r="M269" s="357"/>
      <c r="N269" s="357"/>
      <c r="O269" s="357"/>
      <c r="P269" s="357"/>
      <c r="Q269" s="357"/>
      <c r="R269" s="357"/>
      <c r="S269" s="357"/>
      <c r="T269" s="357"/>
      <c r="U269" s="357"/>
      <c r="V269" s="357"/>
      <c r="W269" s="357"/>
      <c r="X269" s="357"/>
      <c r="Y269" s="357"/>
      <c r="Z269" s="357"/>
    </row>
    <row r="270" ht="15.75" customHeight="1">
      <c r="A270" s="359"/>
      <c r="B270" s="359"/>
      <c r="C270" s="359"/>
      <c r="D270" s="359"/>
      <c r="E270" s="357"/>
      <c r="F270" s="357"/>
      <c r="G270" s="357"/>
      <c r="H270" s="357"/>
      <c r="I270" s="357"/>
      <c r="J270" s="357"/>
      <c r="K270" s="357"/>
      <c r="L270" s="357"/>
      <c r="M270" s="357"/>
      <c r="N270" s="357"/>
      <c r="O270" s="357"/>
      <c r="P270" s="357"/>
      <c r="Q270" s="357"/>
      <c r="R270" s="357"/>
      <c r="S270" s="357"/>
      <c r="T270" s="357"/>
      <c r="U270" s="357"/>
      <c r="V270" s="357"/>
      <c r="W270" s="357"/>
      <c r="X270" s="357"/>
      <c r="Y270" s="357"/>
      <c r="Z270" s="357"/>
    </row>
    <row r="271" ht="15.75" customHeight="1">
      <c r="A271" s="359"/>
      <c r="B271" s="359"/>
      <c r="C271" s="359"/>
      <c r="D271" s="359"/>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row>
    <row r="272" ht="15.75" customHeight="1">
      <c r="A272" s="359"/>
      <c r="B272" s="359"/>
      <c r="C272" s="359"/>
      <c r="D272" s="359"/>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row>
    <row r="273" ht="15.75" customHeight="1">
      <c r="A273" s="359"/>
      <c r="B273" s="359"/>
      <c r="C273" s="359"/>
      <c r="D273" s="359"/>
      <c r="E273" s="357"/>
      <c r="F273" s="357"/>
      <c r="G273" s="357"/>
      <c r="H273" s="357"/>
      <c r="I273" s="357"/>
      <c r="J273" s="357"/>
      <c r="K273" s="357"/>
      <c r="L273" s="357"/>
      <c r="M273" s="357"/>
      <c r="N273" s="357"/>
      <c r="O273" s="357"/>
      <c r="P273" s="357"/>
      <c r="Q273" s="357"/>
      <c r="R273" s="357"/>
      <c r="S273" s="357"/>
      <c r="T273" s="357"/>
      <c r="U273" s="357"/>
      <c r="V273" s="357"/>
      <c r="W273" s="357"/>
      <c r="X273" s="357"/>
      <c r="Y273" s="357"/>
      <c r="Z273" s="357"/>
    </row>
    <row r="274" ht="15.75" customHeight="1">
      <c r="A274" s="359"/>
      <c r="B274" s="359"/>
      <c r="C274" s="359"/>
      <c r="D274" s="359"/>
      <c r="E274" s="357"/>
      <c r="F274" s="357"/>
      <c r="G274" s="357"/>
      <c r="H274" s="357"/>
      <c r="I274" s="357"/>
      <c r="J274" s="357"/>
      <c r="K274" s="357"/>
      <c r="L274" s="357"/>
      <c r="M274" s="357"/>
      <c r="N274" s="357"/>
      <c r="O274" s="357"/>
      <c r="P274" s="357"/>
      <c r="Q274" s="357"/>
      <c r="R274" s="357"/>
      <c r="S274" s="357"/>
      <c r="T274" s="357"/>
      <c r="U274" s="357"/>
      <c r="V274" s="357"/>
      <c r="W274" s="357"/>
      <c r="X274" s="357"/>
      <c r="Y274" s="357"/>
      <c r="Z274" s="357"/>
    </row>
    <row r="275" ht="15.75" customHeight="1">
      <c r="A275" s="359"/>
      <c r="B275" s="359"/>
      <c r="C275" s="359"/>
      <c r="D275" s="359"/>
      <c r="E275" s="357"/>
      <c r="F275" s="357"/>
      <c r="G275" s="357"/>
      <c r="H275" s="357"/>
      <c r="I275" s="357"/>
      <c r="J275" s="357"/>
      <c r="K275" s="357"/>
      <c r="L275" s="357"/>
      <c r="M275" s="357"/>
      <c r="N275" s="357"/>
      <c r="O275" s="357"/>
      <c r="P275" s="357"/>
      <c r="Q275" s="357"/>
      <c r="R275" s="357"/>
      <c r="S275" s="357"/>
      <c r="T275" s="357"/>
      <c r="U275" s="357"/>
      <c r="V275" s="357"/>
      <c r="W275" s="357"/>
      <c r="X275" s="357"/>
      <c r="Y275" s="357"/>
      <c r="Z275" s="357"/>
    </row>
    <row r="276" ht="15.75" customHeight="1">
      <c r="A276" s="359"/>
      <c r="B276" s="359"/>
      <c r="C276" s="359"/>
      <c r="D276" s="359"/>
      <c r="E276" s="357"/>
      <c r="F276" s="357"/>
      <c r="G276" s="357"/>
      <c r="H276" s="357"/>
      <c r="I276" s="357"/>
      <c r="J276" s="357"/>
      <c r="K276" s="357"/>
      <c r="L276" s="357"/>
      <c r="M276" s="357"/>
      <c r="N276" s="357"/>
      <c r="O276" s="357"/>
      <c r="P276" s="357"/>
      <c r="Q276" s="357"/>
      <c r="R276" s="357"/>
      <c r="S276" s="357"/>
      <c r="T276" s="357"/>
      <c r="U276" s="357"/>
      <c r="V276" s="357"/>
      <c r="W276" s="357"/>
      <c r="X276" s="357"/>
      <c r="Y276" s="357"/>
      <c r="Z276" s="357"/>
    </row>
    <row r="277" ht="15.75" customHeight="1">
      <c r="A277" s="359"/>
      <c r="B277" s="359"/>
      <c r="C277" s="359"/>
      <c r="D277" s="359"/>
      <c r="E277" s="357"/>
      <c r="F277" s="357"/>
      <c r="G277" s="357"/>
      <c r="H277" s="357"/>
      <c r="I277" s="357"/>
      <c r="J277" s="357"/>
      <c r="K277" s="357"/>
      <c r="L277" s="357"/>
      <c r="M277" s="357"/>
      <c r="N277" s="357"/>
      <c r="O277" s="357"/>
      <c r="P277" s="357"/>
      <c r="Q277" s="357"/>
      <c r="R277" s="357"/>
      <c r="S277" s="357"/>
      <c r="T277" s="357"/>
      <c r="U277" s="357"/>
      <c r="V277" s="357"/>
      <c r="W277" s="357"/>
      <c r="X277" s="357"/>
      <c r="Y277" s="357"/>
      <c r="Z277" s="357"/>
    </row>
    <row r="278" ht="15.75" customHeight="1">
      <c r="A278" s="359"/>
      <c r="B278" s="359"/>
      <c r="C278" s="359"/>
      <c r="D278" s="359"/>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row>
    <row r="279" ht="15.75" customHeight="1">
      <c r="A279" s="359"/>
      <c r="B279" s="359"/>
      <c r="C279" s="359"/>
      <c r="D279" s="359"/>
      <c r="E279" s="357"/>
      <c r="F279" s="357"/>
      <c r="G279" s="357"/>
      <c r="H279" s="357"/>
      <c r="I279" s="357"/>
      <c r="J279" s="357"/>
      <c r="K279" s="357"/>
      <c r="L279" s="357"/>
      <c r="M279" s="357"/>
      <c r="N279" s="357"/>
      <c r="O279" s="357"/>
      <c r="P279" s="357"/>
      <c r="Q279" s="357"/>
      <c r="R279" s="357"/>
      <c r="S279" s="357"/>
      <c r="T279" s="357"/>
      <c r="U279" s="357"/>
      <c r="V279" s="357"/>
      <c r="W279" s="357"/>
      <c r="X279" s="357"/>
      <c r="Y279" s="357"/>
      <c r="Z279" s="357"/>
    </row>
    <row r="280" ht="15.75" customHeight="1">
      <c r="A280" s="359"/>
      <c r="B280" s="359"/>
      <c r="C280" s="359"/>
      <c r="D280" s="359"/>
      <c r="E280" s="357"/>
      <c r="F280" s="357"/>
      <c r="G280" s="357"/>
      <c r="H280" s="357"/>
      <c r="I280" s="357"/>
      <c r="J280" s="357"/>
      <c r="K280" s="357"/>
      <c r="L280" s="357"/>
      <c r="M280" s="357"/>
      <c r="N280" s="357"/>
      <c r="O280" s="357"/>
      <c r="P280" s="357"/>
      <c r="Q280" s="357"/>
      <c r="R280" s="357"/>
      <c r="S280" s="357"/>
      <c r="T280" s="357"/>
      <c r="U280" s="357"/>
      <c r="V280" s="357"/>
      <c r="W280" s="357"/>
      <c r="X280" s="357"/>
      <c r="Y280" s="357"/>
      <c r="Z280" s="357"/>
    </row>
    <row r="281" ht="15.75" customHeight="1">
      <c r="A281" s="359"/>
      <c r="B281" s="359"/>
      <c r="C281" s="359"/>
      <c r="D281" s="359"/>
      <c r="E281" s="357"/>
      <c r="F281" s="357"/>
      <c r="G281" s="357"/>
      <c r="H281" s="357"/>
      <c r="I281" s="357"/>
      <c r="J281" s="357"/>
      <c r="K281" s="357"/>
      <c r="L281" s="357"/>
      <c r="M281" s="357"/>
      <c r="N281" s="357"/>
      <c r="O281" s="357"/>
      <c r="P281" s="357"/>
      <c r="Q281" s="357"/>
      <c r="R281" s="357"/>
      <c r="S281" s="357"/>
      <c r="T281" s="357"/>
      <c r="U281" s="357"/>
      <c r="V281" s="357"/>
      <c r="W281" s="357"/>
      <c r="X281" s="357"/>
      <c r="Y281" s="357"/>
      <c r="Z281" s="357"/>
    </row>
    <row r="282" ht="15.75" customHeight="1">
      <c r="A282" s="359"/>
      <c r="B282" s="359"/>
      <c r="C282" s="359"/>
      <c r="D282" s="359"/>
      <c r="E282" s="357"/>
      <c r="F282" s="357"/>
      <c r="G282" s="357"/>
      <c r="H282" s="357"/>
      <c r="I282" s="357"/>
      <c r="J282" s="357"/>
      <c r="K282" s="357"/>
      <c r="L282" s="357"/>
      <c r="M282" s="357"/>
      <c r="N282" s="357"/>
      <c r="O282" s="357"/>
      <c r="P282" s="357"/>
      <c r="Q282" s="357"/>
      <c r="R282" s="357"/>
      <c r="S282" s="357"/>
      <c r="T282" s="357"/>
      <c r="U282" s="357"/>
      <c r="V282" s="357"/>
      <c r="W282" s="357"/>
      <c r="X282" s="357"/>
      <c r="Y282" s="357"/>
      <c r="Z282" s="357"/>
    </row>
    <row r="283" ht="15.75" customHeight="1">
      <c r="A283" s="359"/>
      <c r="B283" s="359"/>
      <c r="C283" s="359"/>
      <c r="D283" s="359"/>
      <c r="E283" s="357"/>
      <c r="F283" s="357"/>
      <c r="G283" s="357"/>
      <c r="H283" s="357"/>
      <c r="I283" s="357"/>
      <c r="J283" s="357"/>
      <c r="K283" s="357"/>
      <c r="L283" s="357"/>
      <c r="M283" s="357"/>
      <c r="N283" s="357"/>
      <c r="O283" s="357"/>
      <c r="P283" s="357"/>
      <c r="Q283" s="357"/>
      <c r="R283" s="357"/>
      <c r="S283" s="357"/>
      <c r="T283" s="357"/>
      <c r="U283" s="357"/>
      <c r="V283" s="357"/>
      <c r="W283" s="357"/>
      <c r="X283" s="357"/>
      <c r="Y283" s="357"/>
      <c r="Z283" s="357"/>
    </row>
    <row r="284" ht="15.75" customHeight="1">
      <c r="A284" s="359"/>
      <c r="B284" s="359"/>
      <c r="C284" s="359"/>
      <c r="D284" s="359"/>
      <c r="E284" s="357"/>
      <c r="F284" s="357"/>
      <c r="G284" s="357"/>
      <c r="H284" s="357"/>
      <c r="I284" s="357"/>
      <c r="J284" s="357"/>
      <c r="K284" s="357"/>
      <c r="L284" s="357"/>
      <c r="M284" s="357"/>
      <c r="N284" s="357"/>
      <c r="O284" s="357"/>
      <c r="P284" s="357"/>
      <c r="Q284" s="357"/>
      <c r="R284" s="357"/>
      <c r="S284" s="357"/>
      <c r="T284" s="357"/>
      <c r="U284" s="357"/>
      <c r="V284" s="357"/>
      <c r="W284" s="357"/>
      <c r="X284" s="357"/>
      <c r="Y284" s="357"/>
      <c r="Z284" s="357"/>
    </row>
    <row r="285" ht="15.75" customHeight="1">
      <c r="A285" s="359"/>
      <c r="B285" s="359"/>
      <c r="C285" s="359"/>
      <c r="D285" s="359"/>
      <c r="E285" s="357"/>
      <c r="F285" s="357"/>
      <c r="G285" s="357"/>
      <c r="H285" s="357"/>
      <c r="I285" s="357"/>
      <c r="J285" s="357"/>
      <c r="K285" s="357"/>
      <c r="L285" s="357"/>
      <c r="M285" s="357"/>
      <c r="N285" s="357"/>
      <c r="O285" s="357"/>
      <c r="P285" s="357"/>
      <c r="Q285" s="357"/>
      <c r="R285" s="357"/>
      <c r="S285" s="357"/>
      <c r="T285" s="357"/>
      <c r="U285" s="357"/>
      <c r="V285" s="357"/>
      <c r="W285" s="357"/>
      <c r="X285" s="357"/>
      <c r="Y285" s="357"/>
      <c r="Z285" s="357"/>
    </row>
    <row r="286" ht="15.75" customHeight="1">
      <c r="A286" s="359"/>
      <c r="B286" s="359"/>
      <c r="C286" s="359"/>
      <c r="D286" s="359"/>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row>
    <row r="287" ht="15.75" customHeight="1">
      <c r="A287" s="359"/>
      <c r="B287" s="359"/>
      <c r="C287" s="359"/>
      <c r="D287" s="359"/>
      <c r="E287" s="357"/>
      <c r="F287" s="357"/>
      <c r="G287" s="357"/>
      <c r="H287" s="357"/>
      <c r="I287" s="357"/>
      <c r="J287" s="357"/>
      <c r="K287" s="357"/>
      <c r="L287" s="357"/>
      <c r="M287" s="357"/>
      <c r="N287" s="357"/>
      <c r="O287" s="357"/>
      <c r="P287" s="357"/>
      <c r="Q287" s="357"/>
      <c r="R287" s="357"/>
      <c r="S287" s="357"/>
      <c r="T287" s="357"/>
      <c r="U287" s="357"/>
      <c r="V287" s="357"/>
      <c r="W287" s="357"/>
      <c r="X287" s="357"/>
      <c r="Y287" s="357"/>
      <c r="Z287" s="357"/>
    </row>
    <row r="288" ht="15.75" customHeight="1">
      <c r="A288" s="359"/>
      <c r="B288" s="359"/>
      <c r="C288" s="359"/>
      <c r="D288" s="359"/>
      <c r="E288" s="357"/>
      <c r="F288" s="357"/>
      <c r="G288" s="357"/>
      <c r="H288" s="357"/>
      <c r="I288" s="357"/>
      <c r="J288" s="357"/>
      <c r="K288" s="357"/>
      <c r="L288" s="357"/>
      <c r="M288" s="357"/>
      <c r="N288" s="357"/>
      <c r="O288" s="357"/>
      <c r="P288" s="357"/>
      <c r="Q288" s="357"/>
      <c r="R288" s="357"/>
      <c r="S288" s="357"/>
      <c r="T288" s="357"/>
      <c r="U288" s="357"/>
      <c r="V288" s="357"/>
      <c r="W288" s="357"/>
      <c r="X288" s="357"/>
      <c r="Y288" s="357"/>
      <c r="Z288" s="357"/>
    </row>
    <row r="289" ht="15.75" customHeight="1">
      <c r="A289" s="359"/>
      <c r="B289" s="359"/>
      <c r="C289" s="359"/>
      <c r="D289" s="359"/>
      <c r="E289" s="357"/>
      <c r="F289" s="357"/>
      <c r="G289" s="357"/>
      <c r="H289" s="357"/>
      <c r="I289" s="357"/>
      <c r="J289" s="357"/>
      <c r="K289" s="357"/>
      <c r="L289" s="357"/>
      <c r="M289" s="357"/>
      <c r="N289" s="357"/>
      <c r="O289" s="357"/>
      <c r="P289" s="357"/>
      <c r="Q289" s="357"/>
      <c r="R289" s="357"/>
      <c r="S289" s="357"/>
      <c r="T289" s="357"/>
      <c r="U289" s="357"/>
      <c r="V289" s="357"/>
      <c r="W289" s="357"/>
      <c r="X289" s="357"/>
      <c r="Y289" s="357"/>
      <c r="Z289" s="357"/>
    </row>
    <row r="290" ht="15.75" customHeight="1">
      <c r="A290" s="359"/>
      <c r="B290" s="359"/>
      <c r="C290" s="359"/>
      <c r="D290" s="359"/>
      <c r="E290" s="357"/>
      <c r="F290" s="357"/>
      <c r="G290" s="357"/>
      <c r="H290" s="357"/>
      <c r="I290" s="357"/>
      <c r="J290" s="357"/>
      <c r="K290" s="357"/>
      <c r="L290" s="357"/>
      <c r="M290" s="357"/>
      <c r="N290" s="357"/>
      <c r="O290" s="357"/>
      <c r="P290" s="357"/>
      <c r="Q290" s="357"/>
      <c r="R290" s="357"/>
      <c r="S290" s="357"/>
      <c r="T290" s="357"/>
      <c r="U290" s="357"/>
      <c r="V290" s="357"/>
      <c r="W290" s="357"/>
      <c r="X290" s="357"/>
      <c r="Y290" s="357"/>
      <c r="Z290" s="357"/>
    </row>
    <row r="291" ht="15.75" customHeight="1">
      <c r="A291" s="359"/>
      <c r="B291" s="359"/>
      <c r="C291" s="359"/>
      <c r="D291" s="359"/>
      <c r="E291" s="357"/>
      <c r="F291" s="357"/>
      <c r="G291" s="357"/>
      <c r="H291" s="357"/>
      <c r="I291" s="357"/>
      <c r="J291" s="357"/>
      <c r="K291" s="357"/>
      <c r="L291" s="357"/>
      <c r="M291" s="357"/>
      <c r="N291" s="357"/>
      <c r="O291" s="357"/>
      <c r="P291" s="357"/>
      <c r="Q291" s="357"/>
      <c r="R291" s="357"/>
      <c r="S291" s="357"/>
      <c r="T291" s="357"/>
      <c r="U291" s="357"/>
      <c r="V291" s="357"/>
      <c r="W291" s="357"/>
      <c r="X291" s="357"/>
      <c r="Y291" s="357"/>
      <c r="Z291" s="357"/>
    </row>
    <row r="292" ht="15.75" customHeight="1">
      <c r="A292" s="359"/>
      <c r="B292" s="359"/>
      <c r="C292" s="359"/>
      <c r="D292" s="359"/>
      <c r="E292" s="357"/>
      <c r="F292" s="357"/>
      <c r="G292" s="357"/>
      <c r="H292" s="357"/>
      <c r="I292" s="357"/>
      <c r="J292" s="357"/>
      <c r="K292" s="357"/>
      <c r="L292" s="357"/>
      <c r="M292" s="357"/>
      <c r="N292" s="357"/>
      <c r="O292" s="357"/>
      <c r="P292" s="357"/>
      <c r="Q292" s="357"/>
      <c r="R292" s="357"/>
      <c r="S292" s="357"/>
      <c r="T292" s="357"/>
      <c r="U292" s="357"/>
      <c r="V292" s="357"/>
      <c r="W292" s="357"/>
      <c r="X292" s="357"/>
      <c r="Y292" s="357"/>
      <c r="Z292" s="357"/>
    </row>
    <row r="293" ht="15.75" customHeight="1">
      <c r="A293" s="359"/>
      <c r="B293" s="359"/>
      <c r="C293" s="359"/>
      <c r="D293" s="359"/>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row>
    <row r="294" ht="15.75" customHeight="1">
      <c r="A294" s="359"/>
      <c r="B294" s="359"/>
      <c r="C294" s="359"/>
      <c r="D294" s="359"/>
      <c r="E294" s="357"/>
      <c r="F294" s="357"/>
      <c r="G294" s="357"/>
      <c r="H294" s="357"/>
      <c r="I294" s="357"/>
      <c r="J294" s="357"/>
      <c r="K294" s="357"/>
      <c r="L294" s="357"/>
      <c r="M294" s="357"/>
      <c r="N294" s="357"/>
      <c r="O294" s="357"/>
      <c r="P294" s="357"/>
      <c r="Q294" s="357"/>
      <c r="R294" s="357"/>
      <c r="S294" s="357"/>
      <c r="T294" s="357"/>
      <c r="U294" s="357"/>
      <c r="V294" s="357"/>
      <c r="W294" s="357"/>
      <c r="X294" s="357"/>
      <c r="Y294" s="357"/>
      <c r="Z294" s="357"/>
    </row>
    <row r="295" ht="15.75" customHeight="1">
      <c r="A295" s="359"/>
      <c r="B295" s="359"/>
      <c r="C295" s="359"/>
      <c r="D295" s="359"/>
      <c r="E295" s="357"/>
      <c r="F295" s="357"/>
      <c r="G295" s="357"/>
      <c r="H295" s="357"/>
      <c r="I295" s="357"/>
      <c r="J295" s="357"/>
      <c r="K295" s="357"/>
      <c r="L295" s="357"/>
      <c r="M295" s="357"/>
      <c r="N295" s="357"/>
      <c r="O295" s="357"/>
      <c r="P295" s="357"/>
      <c r="Q295" s="357"/>
      <c r="R295" s="357"/>
      <c r="S295" s="357"/>
      <c r="T295" s="357"/>
      <c r="U295" s="357"/>
      <c r="V295" s="357"/>
      <c r="W295" s="357"/>
      <c r="X295" s="357"/>
      <c r="Y295" s="357"/>
      <c r="Z295" s="357"/>
    </row>
    <row r="296" ht="15.75" customHeight="1">
      <c r="A296" s="359"/>
      <c r="B296" s="359"/>
      <c r="C296" s="359"/>
      <c r="D296" s="359"/>
      <c r="E296" s="357"/>
      <c r="F296" s="357"/>
      <c r="G296" s="357"/>
      <c r="H296" s="357"/>
      <c r="I296" s="357"/>
      <c r="J296" s="357"/>
      <c r="K296" s="357"/>
      <c r="L296" s="357"/>
      <c r="M296" s="357"/>
      <c r="N296" s="357"/>
      <c r="O296" s="357"/>
      <c r="P296" s="357"/>
      <c r="Q296" s="357"/>
      <c r="R296" s="357"/>
      <c r="S296" s="357"/>
      <c r="T296" s="357"/>
      <c r="U296" s="357"/>
      <c r="V296" s="357"/>
      <c r="W296" s="357"/>
      <c r="X296" s="357"/>
      <c r="Y296" s="357"/>
      <c r="Z296" s="357"/>
    </row>
    <row r="297" ht="15.75" customHeight="1">
      <c r="A297" s="359"/>
      <c r="B297" s="359"/>
      <c r="C297" s="359"/>
      <c r="D297" s="359"/>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row>
    <row r="298" ht="15.75" customHeight="1">
      <c r="A298" s="359"/>
      <c r="B298" s="359"/>
      <c r="C298" s="359"/>
      <c r="D298" s="359"/>
      <c r="E298" s="357"/>
      <c r="F298" s="357"/>
      <c r="G298" s="357"/>
      <c r="H298" s="357"/>
      <c r="I298" s="357"/>
      <c r="J298" s="357"/>
      <c r="K298" s="357"/>
      <c r="L298" s="357"/>
      <c r="M298" s="357"/>
      <c r="N298" s="357"/>
      <c r="O298" s="357"/>
      <c r="P298" s="357"/>
      <c r="Q298" s="357"/>
      <c r="R298" s="357"/>
      <c r="S298" s="357"/>
      <c r="T298" s="357"/>
      <c r="U298" s="357"/>
      <c r="V298" s="357"/>
      <c r="W298" s="357"/>
      <c r="X298" s="357"/>
      <c r="Y298" s="357"/>
      <c r="Z298" s="357"/>
    </row>
    <row r="299" ht="15.75" customHeight="1">
      <c r="A299" s="359"/>
      <c r="B299" s="359"/>
      <c r="C299" s="359"/>
      <c r="D299" s="359"/>
      <c r="E299" s="357"/>
      <c r="F299" s="357"/>
      <c r="G299" s="357"/>
      <c r="H299" s="357"/>
      <c r="I299" s="357"/>
      <c r="J299" s="357"/>
      <c r="K299" s="357"/>
      <c r="L299" s="357"/>
      <c r="M299" s="357"/>
      <c r="N299" s="357"/>
      <c r="O299" s="357"/>
      <c r="P299" s="357"/>
      <c r="Q299" s="357"/>
      <c r="R299" s="357"/>
      <c r="S299" s="357"/>
      <c r="T299" s="357"/>
      <c r="U299" s="357"/>
      <c r="V299" s="357"/>
      <c r="W299" s="357"/>
      <c r="X299" s="357"/>
      <c r="Y299" s="357"/>
      <c r="Z299" s="357"/>
    </row>
    <row r="300" ht="15.75" customHeight="1">
      <c r="A300" s="359"/>
      <c r="B300" s="359"/>
      <c r="C300" s="359"/>
      <c r="D300" s="359"/>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row>
    <row r="301" ht="15.75" customHeight="1">
      <c r="A301" s="359"/>
      <c r="B301" s="359"/>
      <c r="C301" s="359"/>
      <c r="D301" s="359"/>
      <c r="E301" s="357"/>
      <c r="F301" s="357"/>
      <c r="G301" s="357"/>
      <c r="H301" s="357"/>
      <c r="I301" s="357"/>
      <c r="J301" s="357"/>
      <c r="K301" s="357"/>
      <c r="L301" s="357"/>
      <c r="M301" s="357"/>
      <c r="N301" s="357"/>
      <c r="O301" s="357"/>
      <c r="P301" s="357"/>
      <c r="Q301" s="357"/>
      <c r="R301" s="357"/>
      <c r="S301" s="357"/>
      <c r="T301" s="357"/>
      <c r="U301" s="357"/>
      <c r="V301" s="357"/>
      <c r="W301" s="357"/>
      <c r="X301" s="357"/>
      <c r="Y301" s="357"/>
      <c r="Z301" s="357"/>
    </row>
    <row r="302" ht="15.75" customHeight="1">
      <c r="A302" s="359"/>
      <c r="B302" s="359"/>
      <c r="C302" s="359"/>
      <c r="D302" s="359"/>
      <c r="E302" s="357"/>
      <c r="F302" s="357"/>
      <c r="G302" s="357"/>
      <c r="H302" s="357"/>
      <c r="I302" s="357"/>
      <c r="J302" s="357"/>
      <c r="K302" s="357"/>
      <c r="L302" s="357"/>
      <c r="M302" s="357"/>
      <c r="N302" s="357"/>
      <c r="O302" s="357"/>
      <c r="P302" s="357"/>
      <c r="Q302" s="357"/>
      <c r="R302" s="357"/>
      <c r="S302" s="357"/>
      <c r="T302" s="357"/>
      <c r="U302" s="357"/>
      <c r="V302" s="357"/>
      <c r="W302" s="357"/>
      <c r="X302" s="357"/>
      <c r="Y302" s="357"/>
      <c r="Z302" s="357"/>
    </row>
    <row r="303" ht="15.75" customHeight="1">
      <c r="A303" s="359"/>
      <c r="B303" s="359"/>
      <c r="C303" s="359"/>
      <c r="D303" s="359"/>
      <c r="E303" s="357"/>
      <c r="F303" s="357"/>
      <c r="G303" s="357"/>
      <c r="H303" s="357"/>
      <c r="I303" s="357"/>
      <c r="J303" s="357"/>
      <c r="K303" s="357"/>
      <c r="L303" s="357"/>
      <c r="M303" s="357"/>
      <c r="N303" s="357"/>
      <c r="O303" s="357"/>
      <c r="P303" s="357"/>
      <c r="Q303" s="357"/>
      <c r="R303" s="357"/>
      <c r="S303" s="357"/>
      <c r="T303" s="357"/>
      <c r="U303" s="357"/>
      <c r="V303" s="357"/>
      <c r="W303" s="357"/>
      <c r="X303" s="357"/>
      <c r="Y303" s="357"/>
      <c r="Z303" s="357"/>
    </row>
    <row r="304" ht="15.75" customHeight="1">
      <c r="A304" s="359"/>
      <c r="B304" s="359"/>
      <c r="C304" s="359"/>
      <c r="D304" s="359"/>
      <c r="E304" s="357"/>
      <c r="F304" s="357"/>
      <c r="G304" s="357"/>
      <c r="H304" s="357"/>
      <c r="I304" s="357"/>
      <c r="J304" s="357"/>
      <c r="K304" s="357"/>
      <c r="L304" s="357"/>
      <c r="M304" s="357"/>
      <c r="N304" s="357"/>
      <c r="O304" s="357"/>
      <c r="P304" s="357"/>
      <c r="Q304" s="357"/>
      <c r="R304" s="357"/>
      <c r="S304" s="357"/>
      <c r="T304" s="357"/>
      <c r="U304" s="357"/>
      <c r="V304" s="357"/>
      <c r="W304" s="357"/>
      <c r="X304" s="357"/>
      <c r="Y304" s="357"/>
      <c r="Z304" s="357"/>
    </row>
    <row r="305" ht="15.75" customHeight="1">
      <c r="A305" s="359"/>
      <c r="B305" s="359"/>
      <c r="C305" s="359"/>
      <c r="D305" s="359"/>
      <c r="E305" s="357"/>
      <c r="F305" s="357"/>
      <c r="G305" s="357"/>
      <c r="H305" s="357"/>
      <c r="I305" s="357"/>
      <c r="J305" s="357"/>
      <c r="K305" s="357"/>
      <c r="L305" s="357"/>
      <c r="M305" s="357"/>
      <c r="N305" s="357"/>
      <c r="O305" s="357"/>
      <c r="P305" s="357"/>
      <c r="Q305" s="357"/>
      <c r="R305" s="357"/>
      <c r="S305" s="357"/>
      <c r="T305" s="357"/>
      <c r="U305" s="357"/>
      <c r="V305" s="357"/>
      <c r="W305" s="357"/>
      <c r="X305" s="357"/>
      <c r="Y305" s="357"/>
      <c r="Z305" s="357"/>
    </row>
    <row r="306" ht="15.75" customHeight="1">
      <c r="A306" s="359"/>
      <c r="B306" s="359"/>
      <c r="C306" s="359"/>
      <c r="D306" s="359"/>
      <c r="E306" s="357"/>
      <c r="F306" s="357"/>
      <c r="G306" s="357"/>
      <c r="H306" s="357"/>
      <c r="I306" s="357"/>
      <c r="J306" s="357"/>
      <c r="K306" s="357"/>
      <c r="L306" s="357"/>
      <c r="M306" s="357"/>
      <c r="N306" s="357"/>
      <c r="O306" s="357"/>
      <c r="P306" s="357"/>
      <c r="Q306" s="357"/>
      <c r="R306" s="357"/>
      <c r="S306" s="357"/>
      <c r="T306" s="357"/>
      <c r="U306" s="357"/>
      <c r="V306" s="357"/>
      <c r="W306" s="357"/>
      <c r="X306" s="357"/>
      <c r="Y306" s="357"/>
      <c r="Z306" s="357"/>
    </row>
    <row r="307" ht="15.75" customHeight="1">
      <c r="A307" s="359"/>
      <c r="B307" s="359"/>
      <c r="C307" s="359"/>
      <c r="D307" s="359"/>
      <c r="E307" s="357"/>
      <c r="F307" s="357"/>
      <c r="G307" s="357"/>
      <c r="H307" s="357"/>
      <c r="I307" s="357"/>
      <c r="J307" s="357"/>
      <c r="K307" s="357"/>
      <c r="L307" s="357"/>
      <c r="M307" s="357"/>
      <c r="N307" s="357"/>
      <c r="O307" s="357"/>
      <c r="P307" s="357"/>
      <c r="Q307" s="357"/>
      <c r="R307" s="357"/>
      <c r="S307" s="357"/>
      <c r="T307" s="357"/>
      <c r="U307" s="357"/>
      <c r="V307" s="357"/>
      <c r="W307" s="357"/>
      <c r="X307" s="357"/>
      <c r="Y307" s="357"/>
      <c r="Z307" s="357"/>
    </row>
    <row r="308" ht="15.75" customHeight="1">
      <c r="A308" s="359"/>
      <c r="B308" s="359"/>
      <c r="C308" s="359"/>
      <c r="D308" s="359"/>
      <c r="E308" s="357"/>
      <c r="F308" s="357"/>
      <c r="G308" s="357"/>
      <c r="H308" s="357"/>
      <c r="I308" s="357"/>
      <c r="J308" s="357"/>
      <c r="K308" s="357"/>
      <c r="L308" s="357"/>
      <c r="M308" s="357"/>
      <c r="N308" s="357"/>
      <c r="O308" s="357"/>
      <c r="P308" s="357"/>
      <c r="Q308" s="357"/>
      <c r="R308" s="357"/>
      <c r="S308" s="357"/>
      <c r="T308" s="357"/>
      <c r="U308" s="357"/>
      <c r="V308" s="357"/>
      <c r="W308" s="357"/>
      <c r="X308" s="357"/>
      <c r="Y308" s="357"/>
      <c r="Z308" s="357"/>
    </row>
    <row r="309" ht="15.75" customHeight="1">
      <c r="A309" s="359"/>
      <c r="B309" s="359"/>
      <c r="C309" s="359"/>
      <c r="D309" s="359"/>
      <c r="E309" s="357"/>
      <c r="F309" s="357"/>
      <c r="G309" s="357"/>
      <c r="H309" s="357"/>
      <c r="I309" s="357"/>
      <c r="J309" s="357"/>
      <c r="K309" s="357"/>
      <c r="L309" s="357"/>
      <c r="M309" s="357"/>
      <c r="N309" s="357"/>
      <c r="O309" s="357"/>
      <c r="P309" s="357"/>
      <c r="Q309" s="357"/>
      <c r="R309" s="357"/>
      <c r="S309" s="357"/>
      <c r="T309" s="357"/>
      <c r="U309" s="357"/>
      <c r="V309" s="357"/>
      <c r="W309" s="357"/>
      <c r="X309" s="357"/>
      <c r="Y309" s="357"/>
      <c r="Z309" s="357"/>
    </row>
    <row r="310" ht="15.75" customHeight="1">
      <c r="A310" s="359"/>
      <c r="B310" s="359"/>
      <c r="C310" s="359"/>
      <c r="D310" s="359"/>
      <c r="E310" s="357"/>
      <c r="F310" s="357"/>
      <c r="G310" s="357"/>
      <c r="H310" s="357"/>
      <c r="I310" s="357"/>
      <c r="J310" s="357"/>
      <c r="K310" s="357"/>
      <c r="L310" s="357"/>
      <c r="M310" s="357"/>
      <c r="N310" s="357"/>
      <c r="O310" s="357"/>
      <c r="P310" s="357"/>
      <c r="Q310" s="357"/>
      <c r="R310" s="357"/>
      <c r="S310" s="357"/>
      <c r="T310" s="357"/>
      <c r="U310" s="357"/>
      <c r="V310" s="357"/>
      <c r="W310" s="357"/>
      <c r="X310" s="357"/>
      <c r="Y310" s="357"/>
      <c r="Z310" s="357"/>
    </row>
    <row r="311" ht="15.75" customHeight="1">
      <c r="A311" s="359"/>
      <c r="B311" s="359"/>
      <c r="C311" s="359"/>
      <c r="D311" s="359"/>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row>
    <row r="312" ht="15.75" customHeight="1">
      <c r="A312" s="359"/>
      <c r="B312" s="359"/>
      <c r="C312" s="359"/>
      <c r="D312" s="359"/>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row>
    <row r="313" ht="15.75" customHeight="1">
      <c r="A313" s="359"/>
      <c r="B313" s="359"/>
      <c r="C313" s="359"/>
      <c r="D313" s="359"/>
      <c r="E313" s="357"/>
      <c r="F313" s="357"/>
      <c r="G313" s="357"/>
      <c r="H313" s="357"/>
      <c r="I313" s="357"/>
      <c r="J313" s="357"/>
      <c r="K313" s="357"/>
      <c r="L313" s="357"/>
      <c r="M313" s="357"/>
      <c r="N313" s="357"/>
      <c r="O313" s="357"/>
      <c r="P313" s="357"/>
      <c r="Q313" s="357"/>
      <c r="R313" s="357"/>
      <c r="S313" s="357"/>
      <c r="T313" s="357"/>
      <c r="U313" s="357"/>
      <c r="V313" s="357"/>
      <c r="W313" s="357"/>
      <c r="X313" s="357"/>
      <c r="Y313" s="357"/>
      <c r="Z313" s="357"/>
    </row>
    <row r="314" ht="15.75" customHeight="1">
      <c r="A314" s="359"/>
      <c r="B314" s="359"/>
      <c r="C314" s="359"/>
      <c r="D314" s="359"/>
      <c r="E314" s="357"/>
      <c r="F314" s="357"/>
      <c r="G314" s="357"/>
      <c r="H314" s="357"/>
      <c r="I314" s="357"/>
      <c r="J314" s="357"/>
      <c r="K314" s="357"/>
      <c r="L314" s="357"/>
      <c r="M314" s="357"/>
      <c r="N314" s="357"/>
      <c r="O314" s="357"/>
      <c r="P314" s="357"/>
      <c r="Q314" s="357"/>
      <c r="R314" s="357"/>
      <c r="S314" s="357"/>
      <c r="T314" s="357"/>
      <c r="U314" s="357"/>
      <c r="V314" s="357"/>
      <c r="W314" s="357"/>
      <c r="X314" s="357"/>
      <c r="Y314" s="357"/>
      <c r="Z314" s="357"/>
    </row>
    <row r="315" ht="15.75" customHeight="1">
      <c r="A315" s="359"/>
      <c r="B315" s="359"/>
      <c r="C315" s="359"/>
      <c r="D315" s="359"/>
      <c r="E315" s="357"/>
      <c r="F315" s="357"/>
      <c r="G315" s="357"/>
      <c r="H315" s="357"/>
      <c r="I315" s="357"/>
      <c r="J315" s="357"/>
      <c r="K315" s="357"/>
      <c r="L315" s="357"/>
      <c r="M315" s="357"/>
      <c r="N315" s="357"/>
      <c r="O315" s="357"/>
      <c r="P315" s="357"/>
      <c r="Q315" s="357"/>
      <c r="R315" s="357"/>
      <c r="S315" s="357"/>
      <c r="T315" s="357"/>
      <c r="U315" s="357"/>
      <c r="V315" s="357"/>
      <c r="W315" s="357"/>
      <c r="X315" s="357"/>
      <c r="Y315" s="357"/>
      <c r="Z315" s="357"/>
    </row>
    <row r="316" ht="15.75" customHeight="1">
      <c r="A316" s="359"/>
      <c r="B316" s="359"/>
      <c r="C316" s="359"/>
      <c r="D316" s="359"/>
      <c r="E316" s="357"/>
      <c r="F316" s="357"/>
      <c r="G316" s="357"/>
      <c r="H316" s="357"/>
      <c r="I316" s="357"/>
      <c r="J316" s="357"/>
      <c r="K316" s="357"/>
      <c r="L316" s="357"/>
      <c r="M316" s="357"/>
      <c r="N316" s="357"/>
      <c r="O316" s="357"/>
      <c r="P316" s="357"/>
      <c r="Q316" s="357"/>
      <c r="R316" s="357"/>
      <c r="S316" s="357"/>
      <c r="T316" s="357"/>
      <c r="U316" s="357"/>
      <c r="V316" s="357"/>
      <c r="W316" s="357"/>
      <c r="X316" s="357"/>
      <c r="Y316" s="357"/>
      <c r="Z316" s="357"/>
    </row>
    <row r="317" ht="15.75" customHeight="1">
      <c r="A317" s="359"/>
      <c r="B317" s="359"/>
      <c r="C317" s="359"/>
      <c r="D317" s="359"/>
      <c r="E317" s="357"/>
      <c r="F317" s="357"/>
      <c r="G317" s="357"/>
      <c r="H317" s="357"/>
      <c r="I317" s="357"/>
      <c r="J317" s="357"/>
      <c r="K317" s="357"/>
      <c r="L317" s="357"/>
      <c r="M317" s="357"/>
      <c r="N317" s="357"/>
      <c r="O317" s="357"/>
      <c r="P317" s="357"/>
      <c r="Q317" s="357"/>
      <c r="R317" s="357"/>
      <c r="S317" s="357"/>
      <c r="T317" s="357"/>
      <c r="U317" s="357"/>
      <c r="V317" s="357"/>
      <c r="W317" s="357"/>
      <c r="X317" s="357"/>
      <c r="Y317" s="357"/>
      <c r="Z317" s="357"/>
    </row>
    <row r="318" ht="15.75" customHeight="1">
      <c r="A318" s="359"/>
      <c r="B318" s="359"/>
      <c r="C318" s="359"/>
      <c r="D318" s="359"/>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row>
    <row r="319" ht="15.75" customHeight="1">
      <c r="A319" s="359"/>
      <c r="B319" s="359"/>
      <c r="C319" s="359"/>
      <c r="D319" s="359"/>
      <c r="E319" s="357"/>
      <c r="F319" s="357"/>
      <c r="G319" s="357"/>
      <c r="H319" s="357"/>
      <c r="I319" s="357"/>
      <c r="J319" s="357"/>
      <c r="K319" s="357"/>
      <c r="L319" s="357"/>
      <c r="M319" s="357"/>
      <c r="N319" s="357"/>
      <c r="O319" s="357"/>
      <c r="P319" s="357"/>
      <c r="Q319" s="357"/>
      <c r="R319" s="357"/>
      <c r="S319" s="357"/>
      <c r="T319" s="357"/>
      <c r="U319" s="357"/>
      <c r="V319" s="357"/>
      <c r="W319" s="357"/>
      <c r="X319" s="357"/>
      <c r="Y319" s="357"/>
      <c r="Z319" s="357"/>
    </row>
    <row r="320" ht="15.75" customHeight="1">
      <c r="A320" s="359"/>
      <c r="B320" s="359"/>
      <c r="C320" s="359"/>
      <c r="D320" s="359"/>
      <c r="E320" s="357"/>
      <c r="F320" s="357"/>
      <c r="G320" s="357"/>
      <c r="H320" s="357"/>
      <c r="I320" s="357"/>
      <c r="J320" s="357"/>
      <c r="K320" s="357"/>
      <c r="L320" s="357"/>
      <c r="M320" s="357"/>
      <c r="N320" s="357"/>
      <c r="O320" s="357"/>
      <c r="P320" s="357"/>
      <c r="Q320" s="357"/>
      <c r="R320" s="357"/>
      <c r="S320" s="357"/>
      <c r="T320" s="357"/>
      <c r="U320" s="357"/>
      <c r="V320" s="357"/>
      <c r="W320" s="357"/>
      <c r="X320" s="357"/>
      <c r="Y320" s="357"/>
      <c r="Z320" s="357"/>
    </row>
    <row r="321" ht="15.75" customHeight="1">
      <c r="A321" s="359"/>
      <c r="B321" s="359"/>
      <c r="C321" s="359"/>
      <c r="D321" s="359"/>
      <c r="E321" s="357"/>
      <c r="F321" s="357"/>
      <c r="G321" s="357"/>
      <c r="H321" s="357"/>
      <c r="I321" s="357"/>
      <c r="J321" s="357"/>
      <c r="K321" s="357"/>
      <c r="L321" s="357"/>
      <c r="M321" s="357"/>
      <c r="N321" s="357"/>
      <c r="O321" s="357"/>
      <c r="P321" s="357"/>
      <c r="Q321" s="357"/>
      <c r="R321" s="357"/>
      <c r="S321" s="357"/>
      <c r="T321" s="357"/>
      <c r="U321" s="357"/>
      <c r="V321" s="357"/>
      <c r="W321" s="357"/>
      <c r="X321" s="357"/>
      <c r="Y321" s="357"/>
      <c r="Z321" s="357"/>
    </row>
    <row r="322" ht="15.75" customHeight="1">
      <c r="A322" s="359"/>
      <c r="B322" s="359"/>
      <c r="C322" s="359"/>
      <c r="D322" s="359"/>
      <c r="E322" s="357"/>
      <c r="F322" s="357"/>
      <c r="G322" s="357"/>
      <c r="H322" s="357"/>
      <c r="I322" s="357"/>
      <c r="J322" s="357"/>
      <c r="K322" s="357"/>
      <c r="L322" s="357"/>
      <c r="M322" s="357"/>
      <c r="N322" s="357"/>
      <c r="O322" s="357"/>
      <c r="P322" s="357"/>
      <c r="Q322" s="357"/>
      <c r="R322" s="357"/>
      <c r="S322" s="357"/>
      <c r="T322" s="357"/>
      <c r="U322" s="357"/>
      <c r="V322" s="357"/>
      <c r="W322" s="357"/>
      <c r="X322" s="357"/>
      <c r="Y322" s="357"/>
      <c r="Z322" s="357"/>
    </row>
    <row r="323" ht="15.75" customHeight="1">
      <c r="A323" s="359"/>
      <c r="B323" s="359"/>
      <c r="C323" s="359"/>
      <c r="D323" s="359"/>
      <c r="E323" s="357"/>
      <c r="F323" s="357"/>
      <c r="G323" s="357"/>
      <c r="H323" s="357"/>
      <c r="I323" s="357"/>
      <c r="J323" s="357"/>
      <c r="K323" s="357"/>
      <c r="L323" s="357"/>
      <c r="M323" s="357"/>
      <c r="N323" s="357"/>
      <c r="O323" s="357"/>
      <c r="P323" s="357"/>
      <c r="Q323" s="357"/>
      <c r="R323" s="357"/>
      <c r="S323" s="357"/>
      <c r="T323" s="357"/>
      <c r="U323" s="357"/>
      <c r="V323" s="357"/>
      <c r="W323" s="357"/>
      <c r="X323" s="357"/>
      <c r="Y323" s="357"/>
      <c r="Z323" s="357"/>
    </row>
    <row r="324" ht="15.75" customHeight="1">
      <c r="A324" s="359"/>
      <c r="B324" s="359"/>
      <c r="C324" s="359"/>
      <c r="D324" s="359"/>
      <c r="E324" s="357"/>
      <c r="F324" s="357"/>
      <c r="G324" s="357"/>
      <c r="H324" s="357"/>
      <c r="I324" s="357"/>
      <c r="J324" s="357"/>
      <c r="K324" s="357"/>
      <c r="L324" s="357"/>
      <c r="M324" s="357"/>
      <c r="N324" s="357"/>
      <c r="O324" s="357"/>
      <c r="P324" s="357"/>
      <c r="Q324" s="357"/>
      <c r="R324" s="357"/>
      <c r="S324" s="357"/>
      <c r="T324" s="357"/>
      <c r="U324" s="357"/>
      <c r="V324" s="357"/>
      <c r="W324" s="357"/>
      <c r="X324" s="357"/>
      <c r="Y324" s="357"/>
      <c r="Z324" s="357"/>
    </row>
    <row r="325" ht="15.75" customHeight="1">
      <c r="A325" s="359"/>
      <c r="B325" s="359"/>
      <c r="C325" s="359"/>
      <c r="D325" s="359"/>
      <c r="E325" s="357"/>
      <c r="F325" s="357"/>
      <c r="G325" s="357"/>
      <c r="H325" s="357"/>
      <c r="I325" s="357"/>
      <c r="J325" s="357"/>
      <c r="K325" s="357"/>
      <c r="L325" s="357"/>
      <c r="M325" s="357"/>
      <c r="N325" s="357"/>
      <c r="O325" s="357"/>
      <c r="P325" s="357"/>
      <c r="Q325" s="357"/>
      <c r="R325" s="357"/>
      <c r="S325" s="357"/>
      <c r="T325" s="357"/>
      <c r="U325" s="357"/>
      <c r="V325" s="357"/>
      <c r="W325" s="357"/>
      <c r="X325" s="357"/>
      <c r="Y325" s="357"/>
      <c r="Z325" s="357"/>
    </row>
    <row r="326" ht="15.75" customHeight="1">
      <c r="A326" s="359"/>
      <c r="B326" s="359"/>
      <c r="C326" s="359"/>
      <c r="D326" s="359"/>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row>
    <row r="327" ht="15.75" customHeight="1">
      <c r="A327" s="359"/>
      <c r="B327" s="359"/>
      <c r="C327" s="359"/>
      <c r="D327" s="359"/>
      <c r="E327" s="357"/>
      <c r="F327" s="357"/>
      <c r="G327" s="357"/>
      <c r="H327" s="357"/>
      <c r="I327" s="357"/>
      <c r="J327" s="357"/>
      <c r="K327" s="357"/>
      <c r="L327" s="357"/>
      <c r="M327" s="357"/>
      <c r="N327" s="357"/>
      <c r="O327" s="357"/>
      <c r="P327" s="357"/>
      <c r="Q327" s="357"/>
      <c r="R327" s="357"/>
      <c r="S327" s="357"/>
      <c r="T327" s="357"/>
      <c r="U327" s="357"/>
      <c r="V327" s="357"/>
      <c r="W327" s="357"/>
      <c r="X327" s="357"/>
      <c r="Y327" s="357"/>
      <c r="Z327" s="357"/>
    </row>
    <row r="328" ht="15.75" customHeight="1">
      <c r="A328" s="359"/>
      <c r="B328" s="359"/>
      <c r="C328" s="359"/>
      <c r="D328" s="359"/>
      <c r="E328" s="357"/>
      <c r="F328" s="357"/>
      <c r="G328" s="357"/>
      <c r="H328" s="357"/>
      <c r="I328" s="357"/>
      <c r="J328" s="357"/>
      <c r="K328" s="357"/>
      <c r="L328" s="357"/>
      <c r="M328" s="357"/>
      <c r="N328" s="357"/>
      <c r="O328" s="357"/>
      <c r="P328" s="357"/>
      <c r="Q328" s="357"/>
      <c r="R328" s="357"/>
      <c r="S328" s="357"/>
      <c r="T328" s="357"/>
      <c r="U328" s="357"/>
      <c r="V328" s="357"/>
      <c r="W328" s="357"/>
      <c r="X328" s="357"/>
      <c r="Y328" s="357"/>
      <c r="Z328" s="357"/>
    </row>
    <row r="329" ht="15.75" customHeight="1">
      <c r="A329" s="359"/>
      <c r="B329" s="359"/>
      <c r="C329" s="359"/>
      <c r="D329" s="359"/>
      <c r="E329" s="357"/>
      <c r="F329" s="357"/>
      <c r="G329" s="357"/>
      <c r="H329" s="357"/>
      <c r="I329" s="357"/>
      <c r="J329" s="357"/>
      <c r="K329" s="357"/>
      <c r="L329" s="357"/>
      <c r="M329" s="357"/>
      <c r="N329" s="357"/>
      <c r="O329" s="357"/>
      <c r="P329" s="357"/>
      <c r="Q329" s="357"/>
      <c r="R329" s="357"/>
      <c r="S329" s="357"/>
      <c r="T329" s="357"/>
      <c r="U329" s="357"/>
      <c r="V329" s="357"/>
      <c r="W329" s="357"/>
      <c r="X329" s="357"/>
      <c r="Y329" s="357"/>
      <c r="Z329" s="357"/>
    </row>
    <row r="330" ht="15.75" customHeight="1">
      <c r="A330" s="359"/>
      <c r="B330" s="359"/>
      <c r="C330" s="359"/>
      <c r="D330" s="359"/>
      <c r="E330" s="357"/>
      <c r="F330" s="357"/>
      <c r="G330" s="357"/>
      <c r="H330" s="357"/>
      <c r="I330" s="357"/>
      <c r="J330" s="357"/>
      <c r="K330" s="357"/>
      <c r="L330" s="357"/>
      <c r="M330" s="357"/>
      <c r="N330" s="357"/>
      <c r="O330" s="357"/>
      <c r="P330" s="357"/>
      <c r="Q330" s="357"/>
      <c r="R330" s="357"/>
      <c r="S330" s="357"/>
      <c r="T330" s="357"/>
      <c r="U330" s="357"/>
      <c r="V330" s="357"/>
      <c r="W330" s="357"/>
      <c r="X330" s="357"/>
      <c r="Y330" s="357"/>
      <c r="Z330" s="357"/>
    </row>
    <row r="331" ht="15.75" customHeight="1">
      <c r="A331" s="359"/>
      <c r="B331" s="359"/>
      <c r="C331" s="359"/>
      <c r="D331" s="359"/>
      <c r="E331" s="357"/>
      <c r="F331" s="357"/>
      <c r="G331" s="357"/>
      <c r="H331" s="357"/>
      <c r="I331" s="357"/>
      <c r="J331" s="357"/>
      <c r="K331" s="357"/>
      <c r="L331" s="357"/>
      <c r="M331" s="357"/>
      <c r="N331" s="357"/>
      <c r="O331" s="357"/>
      <c r="P331" s="357"/>
      <c r="Q331" s="357"/>
      <c r="R331" s="357"/>
      <c r="S331" s="357"/>
      <c r="T331" s="357"/>
      <c r="U331" s="357"/>
      <c r="V331" s="357"/>
      <c r="W331" s="357"/>
      <c r="X331" s="357"/>
      <c r="Y331" s="357"/>
      <c r="Z331" s="357"/>
    </row>
    <row r="332" ht="15.75" customHeight="1">
      <c r="A332" s="359"/>
      <c r="B332" s="359"/>
      <c r="C332" s="359"/>
      <c r="D332" s="359"/>
      <c r="E332" s="357"/>
      <c r="F332" s="357"/>
      <c r="G332" s="357"/>
      <c r="H332" s="357"/>
      <c r="I332" s="357"/>
      <c r="J332" s="357"/>
      <c r="K332" s="357"/>
      <c r="L332" s="357"/>
      <c r="M332" s="357"/>
      <c r="N332" s="357"/>
      <c r="O332" s="357"/>
      <c r="P332" s="357"/>
      <c r="Q332" s="357"/>
      <c r="R332" s="357"/>
      <c r="S332" s="357"/>
      <c r="T332" s="357"/>
      <c r="U332" s="357"/>
      <c r="V332" s="357"/>
      <c r="W332" s="357"/>
      <c r="X332" s="357"/>
      <c r="Y332" s="357"/>
      <c r="Z332" s="357"/>
    </row>
    <row r="333" ht="15.75" customHeight="1">
      <c r="A333" s="359"/>
      <c r="B333" s="359"/>
      <c r="C333" s="359"/>
      <c r="D333" s="359"/>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row>
    <row r="334" ht="15.75" customHeight="1">
      <c r="A334" s="359"/>
      <c r="B334" s="359"/>
      <c r="C334" s="359"/>
      <c r="D334" s="359"/>
      <c r="E334" s="357"/>
      <c r="F334" s="357"/>
      <c r="G334" s="357"/>
      <c r="H334" s="357"/>
      <c r="I334" s="357"/>
      <c r="J334" s="357"/>
      <c r="K334" s="357"/>
      <c r="L334" s="357"/>
      <c r="M334" s="357"/>
      <c r="N334" s="357"/>
      <c r="O334" s="357"/>
      <c r="P334" s="357"/>
      <c r="Q334" s="357"/>
      <c r="R334" s="357"/>
      <c r="S334" s="357"/>
      <c r="T334" s="357"/>
      <c r="U334" s="357"/>
      <c r="V334" s="357"/>
      <c r="W334" s="357"/>
      <c r="X334" s="357"/>
      <c r="Y334" s="357"/>
      <c r="Z334" s="357"/>
    </row>
    <row r="335" ht="15.75" customHeight="1">
      <c r="A335" s="359"/>
      <c r="B335" s="359"/>
      <c r="C335" s="359"/>
      <c r="D335" s="359"/>
      <c r="E335" s="357"/>
      <c r="F335" s="357"/>
      <c r="G335" s="357"/>
      <c r="H335" s="357"/>
      <c r="I335" s="357"/>
      <c r="J335" s="357"/>
      <c r="K335" s="357"/>
      <c r="L335" s="357"/>
      <c r="M335" s="357"/>
      <c r="N335" s="357"/>
      <c r="O335" s="357"/>
      <c r="P335" s="357"/>
      <c r="Q335" s="357"/>
      <c r="R335" s="357"/>
      <c r="S335" s="357"/>
      <c r="T335" s="357"/>
      <c r="U335" s="357"/>
      <c r="V335" s="357"/>
      <c r="W335" s="357"/>
      <c r="X335" s="357"/>
      <c r="Y335" s="357"/>
      <c r="Z335" s="357"/>
    </row>
    <row r="336" ht="15.75" customHeight="1">
      <c r="A336" s="359"/>
      <c r="B336" s="359"/>
      <c r="C336" s="359"/>
      <c r="D336" s="359"/>
      <c r="E336" s="357"/>
      <c r="F336" s="357"/>
      <c r="G336" s="357"/>
      <c r="H336" s="357"/>
      <c r="I336" s="357"/>
      <c r="J336" s="357"/>
      <c r="K336" s="357"/>
      <c r="L336" s="357"/>
      <c r="M336" s="357"/>
      <c r="N336" s="357"/>
      <c r="O336" s="357"/>
      <c r="P336" s="357"/>
      <c r="Q336" s="357"/>
      <c r="R336" s="357"/>
      <c r="S336" s="357"/>
      <c r="T336" s="357"/>
      <c r="U336" s="357"/>
      <c r="V336" s="357"/>
      <c r="W336" s="357"/>
      <c r="X336" s="357"/>
      <c r="Y336" s="357"/>
      <c r="Z336" s="357"/>
    </row>
    <row r="337" ht="15.75" customHeight="1">
      <c r="A337" s="359"/>
      <c r="B337" s="359"/>
      <c r="C337" s="359"/>
      <c r="D337" s="359"/>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row>
    <row r="338" ht="15.75" customHeight="1">
      <c r="A338" s="359"/>
      <c r="B338" s="359"/>
      <c r="C338" s="359"/>
      <c r="D338" s="359"/>
      <c r="E338" s="357"/>
      <c r="F338" s="357"/>
      <c r="G338" s="357"/>
      <c r="H338" s="357"/>
      <c r="I338" s="357"/>
      <c r="J338" s="357"/>
      <c r="K338" s="357"/>
      <c r="L338" s="357"/>
      <c r="M338" s="357"/>
      <c r="N338" s="357"/>
      <c r="O338" s="357"/>
      <c r="P338" s="357"/>
      <c r="Q338" s="357"/>
      <c r="R338" s="357"/>
      <c r="S338" s="357"/>
      <c r="T338" s="357"/>
      <c r="U338" s="357"/>
      <c r="V338" s="357"/>
      <c r="W338" s="357"/>
      <c r="X338" s="357"/>
      <c r="Y338" s="357"/>
      <c r="Z338" s="357"/>
    </row>
    <row r="339" ht="15.75" customHeight="1">
      <c r="A339" s="359"/>
      <c r="B339" s="359"/>
      <c r="C339" s="359"/>
      <c r="D339" s="359"/>
      <c r="E339" s="357"/>
      <c r="F339" s="357"/>
      <c r="G339" s="357"/>
      <c r="H339" s="357"/>
      <c r="I339" s="357"/>
      <c r="J339" s="357"/>
      <c r="K339" s="357"/>
      <c r="L339" s="357"/>
      <c r="M339" s="357"/>
      <c r="N339" s="357"/>
      <c r="O339" s="357"/>
      <c r="P339" s="357"/>
      <c r="Q339" s="357"/>
      <c r="R339" s="357"/>
      <c r="S339" s="357"/>
      <c r="T339" s="357"/>
      <c r="U339" s="357"/>
      <c r="V339" s="357"/>
      <c r="W339" s="357"/>
      <c r="X339" s="357"/>
      <c r="Y339" s="357"/>
      <c r="Z339" s="357"/>
    </row>
    <row r="340" ht="15.75" customHeight="1">
      <c r="A340" s="359"/>
      <c r="B340" s="359"/>
      <c r="C340" s="359"/>
      <c r="D340" s="359"/>
      <c r="E340" s="357"/>
      <c r="F340" s="357"/>
      <c r="G340" s="357"/>
      <c r="H340" s="357"/>
      <c r="I340" s="357"/>
      <c r="J340" s="357"/>
      <c r="K340" s="357"/>
      <c r="L340" s="357"/>
      <c r="M340" s="357"/>
      <c r="N340" s="357"/>
      <c r="O340" s="357"/>
      <c r="P340" s="357"/>
      <c r="Q340" s="357"/>
      <c r="R340" s="357"/>
      <c r="S340" s="357"/>
      <c r="T340" s="357"/>
      <c r="U340" s="357"/>
      <c r="V340" s="357"/>
      <c r="W340" s="357"/>
      <c r="X340" s="357"/>
      <c r="Y340" s="357"/>
      <c r="Z340" s="357"/>
    </row>
    <row r="341" ht="15.75" customHeight="1">
      <c r="A341" s="359"/>
      <c r="B341" s="359"/>
      <c r="C341" s="359"/>
      <c r="D341" s="359"/>
      <c r="E341" s="357"/>
      <c r="F341" s="357"/>
      <c r="G341" s="357"/>
      <c r="H341" s="357"/>
      <c r="I341" s="357"/>
      <c r="J341" s="357"/>
      <c r="K341" s="357"/>
      <c r="L341" s="357"/>
      <c r="M341" s="357"/>
      <c r="N341" s="357"/>
      <c r="O341" s="357"/>
      <c r="P341" s="357"/>
      <c r="Q341" s="357"/>
      <c r="R341" s="357"/>
      <c r="S341" s="357"/>
      <c r="T341" s="357"/>
      <c r="U341" s="357"/>
      <c r="V341" s="357"/>
      <c r="W341" s="357"/>
      <c r="X341" s="357"/>
      <c r="Y341" s="357"/>
      <c r="Z341" s="357"/>
    </row>
    <row r="342" ht="15.75" customHeight="1">
      <c r="A342" s="359"/>
      <c r="B342" s="359"/>
      <c r="C342" s="359"/>
      <c r="D342" s="359"/>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row>
    <row r="343" ht="15.75" customHeight="1">
      <c r="A343" s="359"/>
      <c r="B343" s="359"/>
      <c r="C343" s="359"/>
      <c r="D343" s="359"/>
      <c r="E343" s="357"/>
      <c r="F343" s="357"/>
      <c r="G343" s="357"/>
      <c r="H343" s="357"/>
      <c r="I343" s="357"/>
      <c r="J343" s="357"/>
      <c r="K343" s="357"/>
      <c r="L343" s="357"/>
      <c r="M343" s="357"/>
      <c r="N343" s="357"/>
      <c r="O343" s="357"/>
      <c r="P343" s="357"/>
      <c r="Q343" s="357"/>
      <c r="R343" s="357"/>
      <c r="S343" s="357"/>
      <c r="T343" s="357"/>
      <c r="U343" s="357"/>
      <c r="V343" s="357"/>
      <c r="W343" s="357"/>
      <c r="X343" s="357"/>
      <c r="Y343" s="357"/>
      <c r="Z343" s="357"/>
    </row>
    <row r="344" ht="15.75" customHeight="1">
      <c r="A344" s="359"/>
      <c r="B344" s="359"/>
      <c r="C344" s="359"/>
      <c r="D344" s="359"/>
      <c r="E344" s="357"/>
      <c r="F344" s="357"/>
      <c r="G344" s="357"/>
      <c r="H344" s="357"/>
      <c r="I344" s="357"/>
      <c r="J344" s="357"/>
      <c r="K344" s="357"/>
      <c r="L344" s="357"/>
      <c r="M344" s="357"/>
      <c r="N344" s="357"/>
      <c r="O344" s="357"/>
      <c r="P344" s="357"/>
      <c r="Q344" s="357"/>
      <c r="R344" s="357"/>
      <c r="S344" s="357"/>
      <c r="T344" s="357"/>
      <c r="U344" s="357"/>
      <c r="V344" s="357"/>
      <c r="W344" s="357"/>
      <c r="X344" s="357"/>
      <c r="Y344" s="357"/>
      <c r="Z344" s="357"/>
    </row>
    <row r="345" ht="15.75" customHeight="1">
      <c r="A345" s="359"/>
      <c r="B345" s="359"/>
      <c r="C345" s="359"/>
      <c r="D345" s="359"/>
      <c r="E345" s="357"/>
      <c r="F345" s="357"/>
      <c r="G345" s="357"/>
      <c r="H345" s="357"/>
      <c r="I345" s="357"/>
      <c r="J345" s="357"/>
      <c r="K345" s="357"/>
      <c r="L345" s="357"/>
      <c r="M345" s="357"/>
      <c r="N345" s="357"/>
      <c r="O345" s="357"/>
      <c r="P345" s="357"/>
      <c r="Q345" s="357"/>
      <c r="R345" s="357"/>
      <c r="S345" s="357"/>
      <c r="T345" s="357"/>
      <c r="U345" s="357"/>
      <c r="V345" s="357"/>
      <c r="W345" s="357"/>
      <c r="X345" s="357"/>
      <c r="Y345" s="357"/>
      <c r="Z345" s="357"/>
    </row>
    <row r="346" ht="15.75" customHeight="1">
      <c r="A346" s="359"/>
      <c r="B346" s="359"/>
      <c r="C346" s="359"/>
      <c r="D346" s="359"/>
      <c r="E346" s="357"/>
      <c r="F346" s="357"/>
      <c r="G346" s="357"/>
      <c r="H346" s="357"/>
      <c r="I346" s="357"/>
      <c r="J346" s="357"/>
      <c r="K346" s="357"/>
      <c r="L346" s="357"/>
      <c r="M346" s="357"/>
      <c r="N346" s="357"/>
      <c r="O346" s="357"/>
      <c r="P346" s="357"/>
      <c r="Q346" s="357"/>
      <c r="R346" s="357"/>
      <c r="S346" s="357"/>
      <c r="T346" s="357"/>
      <c r="U346" s="357"/>
      <c r="V346" s="357"/>
      <c r="W346" s="357"/>
      <c r="X346" s="357"/>
      <c r="Y346" s="357"/>
      <c r="Z346" s="357"/>
    </row>
    <row r="347" ht="15.75" customHeight="1">
      <c r="A347" s="359"/>
      <c r="B347" s="359"/>
      <c r="C347" s="359"/>
      <c r="D347" s="359"/>
      <c r="E347" s="357"/>
      <c r="F347" s="357"/>
      <c r="G347" s="357"/>
      <c r="H347" s="357"/>
      <c r="I347" s="357"/>
      <c r="J347" s="357"/>
      <c r="K347" s="357"/>
      <c r="L347" s="357"/>
      <c r="M347" s="357"/>
      <c r="N347" s="357"/>
      <c r="O347" s="357"/>
      <c r="P347" s="357"/>
      <c r="Q347" s="357"/>
      <c r="R347" s="357"/>
      <c r="S347" s="357"/>
      <c r="T347" s="357"/>
      <c r="U347" s="357"/>
      <c r="V347" s="357"/>
      <c r="W347" s="357"/>
      <c r="X347" s="357"/>
      <c r="Y347" s="357"/>
      <c r="Z347" s="357"/>
    </row>
    <row r="348" ht="15.75" customHeight="1">
      <c r="A348" s="359"/>
      <c r="B348" s="359"/>
      <c r="C348" s="359"/>
      <c r="D348" s="359"/>
      <c r="E348" s="357"/>
      <c r="F348" s="357"/>
      <c r="G348" s="357"/>
      <c r="H348" s="357"/>
      <c r="I348" s="357"/>
      <c r="J348" s="357"/>
      <c r="K348" s="357"/>
      <c r="L348" s="357"/>
      <c r="M348" s="357"/>
      <c r="N348" s="357"/>
      <c r="O348" s="357"/>
      <c r="P348" s="357"/>
      <c r="Q348" s="357"/>
      <c r="R348" s="357"/>
      <c r="S348" s="357"/>
      <c r="T348" s="357"/>
      <c r="U348" s="357"/>
      <c r="V348" s="357"/>
      <c r="W348" s="357"/>
      <c r="X348" s="357"/>
      <c r="Y348" s="357"/>
      <c r="Z348" s="357"/>
    </row>
    <row r="349" ht="15.75" customHeight="1">
      <c r="A349" s="359"/>
      <c r="B349" s="359"/>
      <c r="C349" s="359"/>
      <c r="D349" s="359"/>
      <c r="E349" s="357"/>
      <c r="F349" s="357"/>
      <c r="G349" s="357"/>
      <c r="H349" s="357"/>
      <c r="I349" s="357"/>
      <c r="J349" s="357"/>
      <c r="K349" s="357"/>
      <c r="L349" s="357"/>
      <c r="M349" s="357"/>
      <c r="N349" s="357"/>
      <c r="O349" s="357"/>
      <c r="P349" s="357"/>
      <c r="Q349" s="357"/>
      <c r="R349" s="357"/>
      <c r="S349" s="357"/>
      <c r="T349" s="357"/>
      <c r="U349" s="357"/>
      <c r="V349" s="357"/>
      <c r="W349" s="357"/>
      <c r="X349" s="357"/>
      <c r="Y349" s="357"/>
      <c r="Z349" s="357"/>
    </row>
    <row r="350" ht="15.75" customHeight="1">
      <c r="A350" s="359"/>
      <c r="B350" s="359"/>
      <c r="C350" s="359"/>
      <c r="D350" s="359"/>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row>
    <row r="351" ht="15.75" customHeight="1">
      <c r="A351" s="359"/>
      <c r="B351" s="359"/>
      <c r="C351" s="359"/>
      <c r="D351" s="359"/>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row>
    <row r="352" ht="15.75" customHeight="1">
      <c r="A352" s="359"/>
      <c r="B352" s="359"/>
      <c r="C352" s="359"/>
      <c r="D352" s="359"/>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row>
    <row r="353" ht="15.75" customHeight="1">
      <c r="A353" s="359"/>
      <c r="B353" s="359"/>
      <c r="C353" s="359"/>
      <c r="D353" s="359"/>
      <c r="E353" s="357"/>
      <c r="F353" s="357"/>
      <c r="G353" s="357"/>
      <c r="H353" s="357"/>
      <c r="I353" s="357"/>
      <c r="J353" s="357"/>
      <c r="K353" s="357"/>
      <c r="L353" s="357"/>
      <c r="M353" s="357"/>
      <c r="N353" s="357"/>
      <c r="O353" s="357"/>
      <c r="P353" s="357"/>
      <c r="Q353" s="357"/>
      <c r="R353" s="357"/>
      <c r="S353" s="357"/>
      <c r="T353" s="357"/>
      <c r="U353" s="357"/>
      <c r="V353" s="357"/>
      <c r="W353" s="357"/>
      <c r="X353" s="357"/>
      <c r="Y353" s="357"/>
      <c r="Z353" s="357"/>
    </row>
    <row r="354" ht="15.75" customHeight="1">
      <c r="A354" s="359"/>
      <c r="B354" s="359"/>
      <c r="C354" s="359"/>
      <c r="D354" s="359"/>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row>
    <row r="355" ht="15.75" customHeight="1">
      <c r="A355" s="359"/>
      <c r="B355" s="359"/>
      <c r="C355" s="359"/>
      <c r="D355" s="359"/>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row>
    <row r="356" ht="15.75" customHeight="1">
      <c r="A356" s="359"/>
      <c r="B356" s="359"/>
      <c r="C356" s="359"/>
      <c r="D356" s="359"/>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row>
    <row r="357" ht="15.75" customHeight="1">
      <c r="A357" s="359"/>
      <c r="B357" s="359"/>
      <c r="C357" s="359"/>
      <c r="D357" s="359"/>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row>
    <row r="358" ht="15.75" customHeight="1">
      <c r="A358" s="359"/>
      <c r="B358" s="359"/>
      <c r="C358" s="359"/>
      <c r="D358" s="359"/>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row>
    <row r="359" ht="15.75" customHeight="1">
      <c r="A359" s="359"/>
      <c r="B359" s="359"/>
      <c r="C359" s="359"/>
      <c r="D359" s="359"/>
      <c r="E359" s="357"/>
      <c r="F359" s="357"/>
      <c r="G359" s="357"/>
      <c r="H359" s="357"/>
      <c r="I359" s="357"/>
      <c r="J359" s="357"/>
      <c r="K359" s="357"/>
      <c r="L359" s="357"/>
      <c r="M359" s="357"/>
      <c r="N359" s="357"/>
      <c r="O359" s="357"/>
      <c r="P359" s="357"/>
      <c r="Q359" s="357"/>
      <c r="R359" s="357"/>
      <c r="S359" s="357"/>
      <c r="T359" s="357"/>
      <c r="U359" s="357"/>
      <c r="V359" s="357"/>
      <c r="W359" s="357"/>
      <c r="X359" s="357"/>
      <c r="Y359" s="357"/>
      <c r="Z359" s="357"/>
    </row>
    <row r="360" ht="15.75" customHeight="1">
      <c r="A360" s="359"/>
      <c r="B360" s="359"/>
      <c r="C360" s="359"/>
      <c r="D360" s="359"/>
      <c r="E360" s="357"/>
      <c r="F360" s="357"/>
      <c r="G360" s="357"/>
      <c r="H360" s="357"/>
      <c r="I360" s="357"/>
      <c r="J360" s="357"/>
      <c r="K360" s="357"/>
      <c r="L360" s="357"/>
      <c r="M360" s="357"/>
      <c r="N360" s="357"/>
      <c r="O360" s="357"/>
      <c r="P360" s="357"/>
      <c r="Q360" s="357"/>
      <c r="R360" s="357"/>
      <c r="S360" s="357"/>
      <c r="T360" s="357"/>
      <c r="U360" s="357"/>
      <c r="V360" s="357"/>
      <c r="W360" s="357"/>
      <c r="X360" s="357"/>
      <c r="Y360" s="357"/>
      <c r="Z360" s="357"/>
    </row>
    <row r="361" ht="15.75" customHeight="1">
      <c r="A361" s="359"/>
      <c r="B361" s="359"/>
      <c r="C361" s="359"/>
      <c r="D361" s="359"/>
      <c r="E361" s="357"/>
      <c r="F361" s="357"/>
      <c r="G361" s="357"/>
      <c r="H361" s="357"/>
      <c r="I361" s="357"/>
      <c r="J361" s="357"/>
      <c r="K361" s="357"/>
      <c r="L361" s="357"/>
      <c r="M361" s="357"/>
      <c r="N361" s="357"/>
      <c r="O361" s="357"/>
      <c r="P361" s="357"/>
      <c r="Q361" s="357"/>
      <c r="R361" s="357"/>
      <c r="S361" s="357"/>
      <c r="T361" s="357"/>
      <c r="U361" s="357"/>
      <c r="V361" s="357"/>
      <c r="W361" s="357"/>
      <c r="X361" s="357"/>
      <c r="Y361" s="357"/>
      <c r="Z361" s="357"/>
    </row>
    <row r="362" ht="15.75" customHeight="1">
      <c r="A362" s="359"/>
      <c r="B362" s="359"/>
      <c r="C362" s="359"/>
      <c r="D362" s="359"/>
      <c r="E362" s="357"/>
      <c r="F362" s="357"/>
      <c r="G362" s="357"/>
      <c r="H362" s="357"/>
      <c r="I362" s="357"/>
      <c r="J362" s="357"/>
      <c r="K362" s="357"/>
      <c r="L362" s="357"/>
      <c r="M362" s="357"/>
      <c r="N362" s="357"/>
      <c r="O362" s="357"/>
      <c r="P362" s="357"/>
      <c r="Q362" s="357"/>
      <c r="R362" s="357"/>
      <c r="S362" s="357"/>
      <c r="T362" s="357"/>
      <c r="U362" s="357"/>
      <c r="V362" s="357"/>
      <c r="W362" s="357"/>
      <c r="X362" s="357"/>
      <c r="Y362" s="357"/>
      <c r="Z362" s="357"/>
    </row>
    <row r="363" ht="15.75" customHeight="1">
      <c r="A363" s="359"/>
      <c r="B363" s="359"/>
      <c r="C363" s="359"/>
      <c r="D363" s="359"/>
      <c r="E363" s="357"/>
      <c r="F363" s="357"/>
      <c r="G363" s="357"/>
      <c r="H363" s="357"/>
      <c r="I363" s="357"/>
      <c r="J363" s="357"/>
      <c r="K363" s="357"/>
      <c r="L363" s="357"/>
      <c r="M363" s="357"/>
      <c r="N363" s="357"/>
      <c r="O363" s="357"/>
      <c r="P363" s="357"/>
      <c r="Q363" s="357"/>
      <c r="R363" s="357"/>
      <c r="S363" s="357"/>
      <c r="T363" s="357"/>
      <c r="U363" s="357"/>
      <c r="V363" s="357"/>
      <c r="W363" s="357"/>
      <c r="X363" s="357"/>
      <c r="Y363" s="357"/>
      <c r="Z363" s="357"/>
    </row>
    <row r="364" ht="15.75" customHeight="1">
      <c r="A364" s="359"/>
      <c r="B364" s="359"/>
      <c r="C364" s="359"/>
      <c r="D364" s="359"/>
      <c r="E364" s="357"/>
      <c r="F364" s="357"/>
      <c r="G364" s="357"/>
      <c r="H364" s="357"/>
      <c r="I364" s="357"/>
      <c r="J364" s="357"/>
      <c r="K364" s="357"/>
      <c r="L364" s="357"/>
      <c r="M364" s="357"/>
      <c r="N364" s="357"/>
      <c r="O364" s="357"/>
      <c r="P364" s="357"/>
      <c r="Q364" s="357"/>
      <c r="R364" s="357"/>
      <c r="S364" s="357"/>
      <c r="T364" s="357"/>
      <c r="U364" s="357"/>
      <c r="V364" s="357"/>
      <c r="W364" s="357"/>
      <c r="X364" s="357"/>
      <c r="Y364" s="357"/>
      <c r="Z364" s="357"/>
    </row>
    <row r="365" ht="15.75" customHeight="1">
      <c r="A365" s="359"/>
      <c r="B365" s="359"/>
      <c r="C365" s="359"/>
      <c r="D365" s="359"/>
      <c r="E365" s="357"/>
      <c r="F365" s="357"/>
      <c r="G365" s="357"/>
      <c r="H365" s="357"/>
      <c r="I365" s="357"/>
      <c r="J365" s="357"/>
      <c r="K365" s="357"/>
      <c r="L365" s="357"/>
      <c r="M365" s="357"/>
      <c r="N365" s="357"/>
      <c r="O365" s="357"/>
      <c r="P365" s="357"/>
      <c r="Q365" s="357"/>
      <c r="R365" s="357"/>
      <c r="S365" s="357"/>
      <c r="T365" s="357"/>
      <c r="U365" s="357"/>
      <c r="V365" s="357"/>
      <c r="W365" s="357"/>
      <c r="X365" s="357"/>
      <c r="Y365" s="357"/>
      <c r="Z365" s="357"/>
    </row>
    <row r="366" ht="15.75" customHeight="1">
      <c r="A366" s="359"/>
      <c r="B366" s="359"/>
      <c r="C366" s="359"/>
      <c r="D366" s="359"/>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row>
    <row r="367" ht="15.75" customHeight="1">
      <c r="A367" s="359"/>
      <c r="B367" s="359"/>
      <c r="C367" s="359"/>
      <c r="D367" s="359"/>
      <c r="E367" s="357"/>
      <c r="F367" s="357"/>
      <c r="G367" s="357"/>
      <c r="H367" s="357"/>
      <c r="I367" s="357"/>
      <c r="J367" s="357"/>
      <c r="K367" s="357"/>
      <c r="L367" s="357"/>
      <c r="M367" s="357"/>
      <c r="N367" s="357"/>
      <c r="O367" s="357"/>
      <c r="P367" s="357"/>
      <c r="Q367" s="357"/>
      <c r="R367" s="357"/>
      <c r="S367" s="357"/>
      <c r="T367" s="357"/>
      <c r="U367" s="357"/>
      <c r="V367" s="357"/>
      <c r="W367" s="357"/>
      <c r="X367" s="357"/>
      <c r="Y367" s="357"/>
      <c r="Z367" s="357"/>
    </row>
    <row r="368" ht="15.75" customHeight="1">
      <c r="A368" s="359"/>
      <c r="B368" s="359"/>
      <c r="C368" s="359"/>
      <c r="D368" s="359"/>
      <c r="E368" s="357"/>
      <c r="F368" s="357"/>
      <c r="G368" s="357"/>
      <c r="H368" s="357"/>
      <c r="I368" s="357"/>
      <c r="J368" s="357"/>
      <c r="K368" s="357"/>
      <c r="L368" s="357"/>
      <c r="M368" s="357"/>
      <c r="N368" s="357"/>
      <c r="O368" s="357"/>
      <c r="P368" s="357"/>
      <c r="Q368" s="357"/>
      <c r="R368" s="357"/>
      <c r="S368" s="357"/>
      <c r="T368" s="357"/>
      <c r="U368" s="357"/>
      <c r="V368" s="357"/>
      <c r="W368" s="357"/>
      <c r="X368" s="357"/>
      <c r="Y368" s="357"/>
      <c r="Z368" s="357"/>
    </row>
    <row r="369" ht="15.75" customHeight="1">
      <c r="A369" s="359"/>
      <c r="B369" s="359"/>
      <c r="C369" s="359"/>
      <c r="D369" s="359"/>
      <c r="E369" s="357"/>
      <c r="F369" s="357"/>
      <c r="G369" s="357"/>
      <c r="H369" s="357"/>
      <c r="I369" s="357"/>
      <c r="J369" s="357"/>
      <c r="K369" s="357"/>
      <c r="L369" s="357"/>
      <c r="M369" s="357"/>
      <c r="N369" s="357"/>
      <c r="O369" s="357"/>
      <c r="P369" s="357"/>
      <c r="Q369" s="357"/>
      <c r="R369" s="357"/>
      <c r="S369" s="357"/>
      <c r="T369" s="357"/>
      <c r="U369" s="357"/>
      <c r="V369" s="357"/>
      <c r="W369" s="357"/>
      <c r="X369" s="357"/>
      <c r="Y369" s="357"/>
      <c r="Z369" s="357"/>
    </row>
    <row r="370" ht="15.75" customHeight="1">
      <c r="A370" s="359"/>
      <c r="B370" s="359"/>
      <c r="C370" s="359"/>
      <c r="D370" s="359"/>
      <c r="E370" s="357"/>
      <c r="F370" s="357"/>
      <c r="G370" s="357"/>
      <c r="H370" s="357"/>
      <c r="I370" s="357"/>
      <c r="J370" s="357"/>
      <c r="K370" s="357"/>
      <c r="L370" s="357"/>
      <c r="M370" s="357"/>
      <c r="N370" s="357"/>
      <c r="O370" s="357"/>
      <c r="P370" s="357"/>
      <c r="Q370" s="357"/>
      <c r="R370" s="357"/>
      <c r="S370" s="357"/>
      <c r="T370" s="357"/>
      <c r="U370" s="357"/>
      <c r="V370" s="357"/>
      <c r="W370" s="357"/>
      <c r="X370" s="357"/>
      <c r="Y370" s="357"/>
      <c r="Z370" s="357"/>
    </row>
    <row r="371" ht="15.75" customHeight="1">
      <c r="A371" s="359"/>
      <c r="B371" s="359"/>
      <c r="C371" s="359"/>
      <c r="D371" s="359"/>
      <c r="E371" s="357"/>
      <c r="F371" s="357"/>
      <c r="G371" s="357"/>
      <c r="H371" s="357"/>
      <c r="I371" s="357"/>
      <c r="J371" s="357"/>
      <c r="K371" s="357"/>
      <c r="L371" s="357"/>
      <c r="M371" s="357"/>
      <c r="N371" s="357"/>
      <c r="O371" s="357"/>
      <c r="P371" s="357"/>
      <c r="Q371" s="357"/>
      <c r="R371" s="357"/>
      <c r="S371" s="357"/>
      <c r="T371" s="357"/>
      <c r="U371" s="357"/>
      <c r="V371" s="357"/>
      <c r="W371" s="357"/>
      <c r="X371" s="357"/>
      <c r="Y371" s="357"/>
      <c r="Z371" s="357"/>
    </row>
    <row r="372" ht="15.75" customHeight="1">
      <c r="A372" s="359"/>
      <c r="B372" s="359"/>
      <c r="C372" s="359"/>
      <c r="D372" s="359"/>
      <c r="E372" s="357"/>
      <c r="F372" s="357"/>
      <c r="G372" s="357"/>
      <c r="H372" s="357"/>
      <c r="I372" s="357"/>
      <c r="J372" s="357"/>
      <c r="K372" s="357"/>
      <c r="L372" s="357"/>
      <c r="M372" s="357"/>
      <c r="N372" s="357"/>
      <c r="O372" s="357"/>
      <c r="P372" s="357"/>
      <c r="Q372" s="357"/>
      <c r="R372" s="357"/>
      <c r="S372" s="357"/>
      <c r="T372" s="357"/>
      <c r="U372" s="357"/>
      <c r="V372" s="357"/>
      <c r="W372" s="357"/>
      <c r="X372" s="357"/>
      <c r="Y372" s="357"/>
      <c r="Z372" s="357"/>
    </row>
    <row r="373" ht="15.75" customHeight="1">
      <c r="A373" s="359"/>
      <c r="B373" s="359"/>
      <c r="C373" s="359"/>
      <c r="D373" s="359"/>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row>
    <row r="374" ht="15.75" customHeight="1">
      <c r="A374" s="359"/>
      <c r="B374" s="359"/>
      <c r="C374" s="359"/>
      <c r="D374" s="359"/>
      <c r="E374" s="357"/>
      <c r="F374" s="357"/>
      <c r="G374" s="357"/>
      <c r="H374" s="357"/>
      <c r="I374" s="357"/>
      <c r="J374" s="357"/>
      <c r="K374" s="357"/>
      <c r="L374" s="357"/>
      <c r="M374" s="357"/>
      <c r="N374" s="357"/>
      <c r="O374" s="357"/>
      <c r="P374" s="357"/>
      <c r="Q374" s="357"/>
      <c r="R374" s="357"/>
      <c r="S374" s="357"/>
      <c r="T374" s="357"/>
      <c r="U374" s="357"/>
      <c r="V374" s="357"/>
      <c r="W374" s="357"/>
      <c r="X374" s="357"/>
      <c r="Y374" s="357"/>
      <c r="Z374" s="357"/>
    </row>
    <row r="375" ht="15.75" customHeight="1">
      <c r="A375" s="359"/>
      <c r="B375" s="359"/>
      <c r="C375" s="359"/>
      <c r="D375" s="359"/>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row>
    <row r="376" ht="15.75" customHeight="1">
      <c r="A376" s="359"/>
      <c r="B376" s="359"/>
      <c r="C376" s="359"/>
      <c r="D376" s="359"/>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row>
    <row r="377" ht="15.75" customHeight="1">
      <c r="A377" s="359"/>
      <c r="B377" s="359"/>
      <c r="C377" s="359"/>
      <c r="D377" s="359"/>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row>
    <row r="378" ht="15.75" customHeight="1">
      <c r="A378" s="359"/>
      <c r="B378" s="359"/>
      <c r="C378" s="359"/>
      <c r="D378" s="359"/>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row>
    <row r="379" ht="15.75" customHeight="1">
      <c r="A379" s="359"/>
      <c r="B379" s="359"/>
      <c r="C379" s="359"/>
      <c r="D379" s="359"/>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row>
    <row r="380" ht="15.75" customHeight="1">
      <c r="A380" s="359"/>
      <c r="B380" s="359"/>
      <c r="C380" s="359"/>
      <c r="D380" s="359"/>
      <c r="E380" s="357"/>
      <c r="F380" s="357"/>
      <c r="G380" s="357"/>
      <c r="H380" s="357"/>
      <c r="I380" s="357"/>
      <c r="J380" s="357"/>
      <c r="K380" s="357"/>
      <c r="L380" s="357"/>
      <c r="M380" s="357"/>
      <c r="N380" s="357"/>
      <c r="O380" s="357"/>
      <c r="P380" s="357"/>
      <c r="Q380" s="357"/>
      <c r="R380" s="357"/>
      <c r="S380" s="357"/>
      <c r="T380" s="357"/>
      <c r="U380" s="357"/>
      <c r="V380" s="357"/>
      <c r="W380" s="357"/>
      <c r="X380" s="357"/>
      <c r="Y380" s="357"/>
      <c r="Z380" s="357"/>
    </row>
    <row r="381" ht="15.75" customHeight="1">
      <c r="A381" s="359"/>
      <c r="B381" s="359"/>
      <c r="C381" s="359"/>
      <c r="D381" s="359"/>
      <c r="E381" s="357"/>
      <c r="F381" s="357"/>
      <c r="G381" s="357"/>
      <c r="H381" s="357"/>
      <c r="I381" s="357"/>
      <c r="J381" s="357"/>
      <c r="K381" s="357"/>
      <c r="L381" s="357"/>
      <c r="M381" s="357"/>
      <c r="N381" s="357"/>
      <c r="O381" s="357"/>
      <c r="P381" s="357"/>
      <c r="Q381" s="357"/>
      <c r="R381" s="357"/>
      <c r="S381" s="357"/>
      <c r="T381" s="357"/>
      <c r="U381" s="357"/>
      <c r="V381" s="357"/>
      <c r="W381" s="357"/>
      <c r="X381" s="357"/>
      <c r="Y381" s="357"/>
      <c r="Z381" s="357"/>
    </row>
    <row r="382" ht="15.75" customHeight="1">
      <c r="A382" s="359"/>
      <c r="B382" s="359"/>
      <c r="C382" s="359"/>
      <c r="D382" s="359"/>
      <c r="E382" s="357"/>
      <c r="F382" s="357"/>
      <c r="G382" s="357"/>
      <c r="H382" s="357"/>
      <c r="I382" s="357"/>
      <c r="J382" s="357"/>
      <c r="K382" s="357"/>
      <c r="L382" s="357"/>
      <c r="M382" s="357"/>
      <c r="N382" s="357"/>
      <c r="O382" s="357"/>
      <c r="P382" s="357"/>
      <c r="Q382" s="357"/>
      <c r="R382" s="357"/>
      <c r="S382" s="357"/>
      <c r="T382" s="357"/>
      <c r="U382" s="357"/>
      <c r="V382" s="357"/>
      <c r="W382" s="357"/>
      <c r="X382" s="357"/>
      <c r="Y382" s="357"/>
      <c r="Z382" s="357"/>
    </row>
    <row r="383" ht="15.75" customHeight="1">
      <c r="A383" s="359"/>
      <c r="B383" s="359"/>
      <c r="C383" s="359"/>
      <c r="D383" s="359"/>
      <c r="E383" s="357"/>
      <c r="F383" s="357"/>
      <c r="G383" s="357"/>
      <c r="H383" s="357"/>
      <c r="I383" s="357"/>
      <c r="J383" s="357"/>
      <c r="K383" s="357"/>
      <c r="L383" s="357"/>
      <c r="M383" s="357"/>
      <c r="N383" s="357"/>
      <c r="O383" s="357"/>
      <c r="P383" s="357"/>
      <c r="Q383" s="357"/>
      <c r="R383" s="357"/>
      <c r="S383" s="357"/>
      <c r="T383" s="357"/>
      <c r="U383" s="357"/>
      <c r="V383" s="357"/>
      <c r="W383" s="357"/>
      <c r="X383" s="357"/>
      <c r="Y383" s="357"/>
      <c r="Z383" s="357"/>
    </row>
    <row r="384" ht="15.75" customHeight="1">
      <c r="A384" s="359"/>
      <c r="B384" s="359"/>
      <c r="C384" s="359"/>
      <c r="D384" s="359"/>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row>
    <row r="385" ht="15.75" customHeight="1">
      <c r="A385" s="359"/>
      <c r="B385" s="359"/>
      <c r="C385" s="359"/>
      <c r="D385" s="359"/>
      <c r="E385" s="357"/>
      <c r="F385" s="357"/>
      <c r="G385" s="357"/>
      <c r="H385" s="357"/>
      <c r="I385" s="357"/>
      <c r="J385" s="357"/>
      <c r="K385" s="357"/>
      <c r="L385" s="357"/>
      <c r="M385" s="357"/>
      <c r="N385" s="357"/>
      <c r="O385" s="357"/>
      <c r="P385" s="357"/>
      <c r="Q385" s="357"/>
      <c r="R385" s="357"/>
      <c r="S385" s="357"/>
      <c r="T385" s="357"/>
      <c r="U385" s="357"/>
      <c r="V385" s="357"/>
      <c r="W385" s="357"/>
      <c r="X385" s="357"/>
      <c r="Y385" s="357"/>
      <c r="Z385" s="357"/>
    </row>
    <row r="386" ht="15.75" customHeight="1">
      <c r="A386" s="359"/>
      <c r="B386" s="359"/>
      <c r="C386" s="359"/>
      <c r="D386" s="359"/>
      <c r="E386" s="357"/>
      <c r="F386" s="357"/>
      <c r="G386" s="357"/>
      <c r="H386" s="357"/>
      <c r="I386" s="357"/>
      <c r="J386" s="357"/>
      <c r="K386" s="357"/>
      <c r="L386" s="357"/>
      <c r="M386" s="357"/>
      <c r="N386" s="357"/>
      <c r="O386" s="357"/>
      <c r="P386" s="357"/>
      <c r="Q386" s="357"/>
      <c r="R386" s="357"/>
      <c r="S386" s="357"/>
      <c r="T386" s="357"/>
      <c r="U386" s="357"/>
      <c r="V386" s="357"/>
      <c r="W386" s="357"/>
      <c r="X386" s="357"/>
      <c r="Y386" s="357"/>
      <c r="Z386" s="357"/>
    </row>
    <row r="387" ht="15.75" customHeight="1">
      <c r="A387" s="359"/>
      <c r="B387" s="359"/>
      <c r="C387" s="359"/>
      <c r="D387" s="359"/>
      <c r="E387" s="357"/>
      <c r="F387" s="357"/>
      <c r="G387" s="357"/>
      <c r="H387" s="357"/>
      <c r="I387" s="357"/>
      <c r="J387" s="357"/>
      <c r="K387" s="357"/>
      <c r="L387" s="357"/>
      <c r="M387" s="357"/>
      <c r="N387" s="357"/>
      <c r="O387" s="357"/>
      <c r="P387" s="357"/>
      <c r="Q387" s="357"/>
      <c r="R387" s="357"/>
      <c r="S387" s="357"/>
      <c r="T387" s="357"/>
      <c r="U387" s="357"/>
      <c r="V387" s="357"/>
      <c r="W387" s="357"/>
      <c r="X387" s="357"/>
      <c r="Y387" s="357"/>
      <c r="Z387" s="357"/>
    </row>
    <row r="388" ht="15.75" customHeight="1">
      <c r="A388" s="359"/>
      <c r="B388" s="359"/>
      <c r="C388" s="359"/>
      <c r="D388" s="359"/>
      <c r="E388" s="357"/>
      <c r="F388" s="357"/>
      <c r="G388" s="357"/>
      <c r="H388" s="357"/>
      <c r="I388" s="357"/>
      <c r="J388" s="357"/>
      <c r="K388" s="357"/>
      <c r="L388" s="357"/>
      <c r="M388" s="357"/>
      <c r="N388" s="357"/>
      <c r="O388" s="357"/>
      <c r="P388" s="357"/>
      <c r="Q388" s="357"/>
      <c r="R388" s="357"/>
      <c r="S388" s="357"/>
      <c r="T388" s="357"/>
      <c r="U388" s="357"/>
      <c r="V388" s="357"/>
      <c r="W388" s="357"/>
      <c r="X388" s="357"/>
      <c r="Y388" s="357"/>
      <c r="Z388" s="357"/>
    </row>
    <row r="389" ht="15.75" customHeight="1">
      <c r="A389" s="359"/>
      <c r="B389" s="359"/>
      <c r="C389" s="359"/>
      <c r="D389" s="359"/>
      <c r="E389" s="357"/>
      <c r="F389" s="357"/>
      <c r="G389" s="357"/>
      <c r="H389" s="357"/>
      <c r="I389" s="357"/>
      <c r="J389" s="357"/>
      <c r="K389" s="357"/>
      <c r="L389" s="357"/>
      <c r="M389" s="357"/>
      <c r="N389" s="357"/>
      <c r="O389" s="357"/>
      <c r="P389" s="357"/>
      <c r="Q389" s="357"/>
      <c r="R389" s="357"/>
      <c r="S389" s="357"/>
      <c r="T389" s="357"/>
      <c r="U389" s="357"/>
      <c r="V389" s="357"/>
      <c r="W389" s="357"/>
      <c r="X389" s="357"/>
      <c r="Y389" s="357"/>
      <c r="Z389" s="357"/>
    </row>
    <row r="390" ht="15.75" customHeight="1">
      <c r="A390" s="359"/>
      <c r="B390" s="359"/>
      <c r="C390" s="359"/>
      <c r="D390" s="359"/>
      <c r="E390" s="357"/>
      <c r="F390" s="357"/>
      <c r="G390" s="357"/>
      <c r="H390" s="357"/>
      <c r="I390" s="357"/>
      <c r="J390" s="357"/>
      <c r="K390" s="357"/>
      <c r="L390" s="357"/>
      <c r="M390" s="357"/>
      <c r="N390" s="357"/>
      <c r="O390" s="357"/>
      <c r="P390" s="357"/>
      <c r="Q390" s="357"/>
      <c r="R390" s="357"/>
      <c r="S390" s="357"/>
      <c r="T390" s="357"/>
      <c r="U390" s="357"/>
      <c r="V390" s="357"/>
      <c r="W390" s="357"/>
      <c r="X390" s="357"/>
      <c r="Y390" s="357"/>
      <c r="Z390" s="357"/>
    </row>
    <row r="391" ht="15.75" customHeight="1">
      <c r="A391" s="359"/>
      <c r="B391" s="359"/>
      <c r="C391" s="359"/>
      <c r="D391" s="359"/>
      <c r="E391" s="357"/>
      <c r="F391" s="357"/>
      <c r="G391" s="357"/>
      <c r="H391" s="357"/>
      <c r="I391" s="357"/>
      <c r="J391" s="357"/>
      <c r="K391" s="357"/>
      <c r="L391" s="357"/>
      <c r="M391" s="357"/>
      <c r="N391" s="357"/>
      <c r="O391" s="357"/>
      <c r="P391" s="357"/>
      <c r="Q391" s="357"/>
      <c r="R391" s="357"/>
      <c r="S391" s="357"/>
      <c r="T391" s="357"/>
      <c r="U391" s="357"/>
      <c r="V391" s="357"/>
      <c r="W391" s="357"/>
      <c r="X391" s="357"/>
      <c r="Y391" s="357"/>
      <c r="Z391" s="357"/>
    </row>
    <row r="392" ht="15.75" customHeight="1">
      <c r="A392" s="359"/>
      <c r="B392" s="359"/>
      <c r="C392" s="359"/>
      <c r="D392" s="359"/>
      <c r="E392" s="357"/>
      <c r="F392" s="357"/>
      <c r="G392" s="357"/>
      <c r="H392" s="357"/>
      <c r="I392" s="357"/>
      <c r="J392" s="357"/>
      <c r="K392" s="357"/>
      <c r="L392" s="357"/>
      <c r="M392" s="357"/>
      <c r="N392" s="357"/>
      <c r="O392" s="357"/>
      <c r="P392" s="357"/>
      <c r="Q392" s="357"/>
      <c r="R392" s="357"/>
      <c r="S392" s="357"/>
      <c r="T392" s="357"/>
      <c r="U392" s="357"/>
      <c r="V392" s="357"/>
      <c r="W392" s="357"/>
      <c r="X392" s="357"/>
      <c r="Y392" s="357"/>
      <c r="Z392" s="357"/>
    </row>
    <row r="393" ht="15.75" customHeight="1">
      <c r="A393" s="359"/>
      <c r="B393" s="359"/>
      <c r="C393" s="359"/>
      <c r="D393" s="359"/>
      <c r="E393" s="357"/>
      <c r="F393" s="357"/>
      <c r="G393" s="357"/>
      <c r="H393" s="357"/>
      <c r="I393" s="357"/>
      <c r="J393" s="357"/>
      <c r="K393" s="357"/>
      <c r="L393" s="357"/>
      <c r="M393" s="357"/>
      <c r="N393" s="357"/>
      <c r="O393" s="357"/>
      <c r="P393" s="357"/>
      <c r="Q393" s="357"/>
      <c r="R393" s="357"/>
      <c r="S393" s="357"/>
      <c r="T393" s="357"/>
      <c r="U393" s="357"/>
      <c r="V393" s="357"/>
      <c r="W393" s="357"/>
      <c r="X393" s="357"/>
      <c r="Y393" s="357"/>
      <c r="Z393" s="357"/>
    </row>
    <row r="394" ht="15.75" customHeight="1">
      <c r="A394" s="359"/>
      <c r="B394" s="359"/>
      <c r="C394" s="359"/>
      <c r="D394" s="359"/>
      <c r="E394" s="357"/>
      <c r="F394" s="357"/>
      <c r="G394" s="357"/>
      <c r="H394" s="357"/>
      <c r="I394" s="357"/>
      <c r="J394" s="357"/>
      <c r="K394" s="357"/>
      <c r="L394" s="357"/>
      <c r="M394" s="357"/>
      <c r="N394" s="357"/>
      <c r="O394" s="357"/>
      <c r="P394" s="357"/>
      <c r="Q394" s="357"/>
      <c r="R394" s="357"/>
      <c r="S394" s="357"/>
      <c r="T394" s="357"/>
      <c r="U394" s="357"/>
      <c r="V394" s="357"/>
      <c r="W394" s="357"/>
      <c r="X394" s="357"/>
      <c r="Y394" s="357"/>
      <c r="Z394" s="357"/>
    </row>
    <row r="395" ht="15.75" customHeight="1">
      <c r="A395" s="359"/>
      <c r="B395" s="359"/>
      <c r="C395" s="359"/>
      <c r="D395" s="359"/>
      <c r="E395" s="357"/>
      <c r="F395" s="357"/>
      <c r="G395" s="357"/>
      <c r="H395" s="357"/>
      <c r="I395" s="357"/>
      <c r="J395" s="357"/>
      <c r="K395" s="357"/>
      <c r="L395" s="357"/>
      <c r="M395" s="357"/>
      <c r="N395" s="357"/>
      <c r="O395" s="357"/>
      <c r="P395" s="357"/>
      <c r="Q395" s="357"/>
      <c r="R395" s="357"/>
      <c r="S395" s="357"/>
      <c r="T395" s="357"/>
      <c r="U395" s="357"/>
      <c r="V395" s="357"/>
      <c r="W395" s="357"/>
      <c r="X395" s="357"/>
      <c r="Y395" s="357"/>
      <c r="Z395" s="357"/>
    </row>
    <row r="396" ht="15.75" customHeight="1">
      <c r="A396" s="359"/>
      <c r="B396" s="359"/>
      <c r="C396" s="359"/>
      <c r="D396" s="359"/>
      <c r="E396" s="357"/>
      <c r="F396" s="357"/>
      <c r="G396" s="357"/>
      <c r="H396" s="357"/>
      <c r="I396" s="357"/>
      <c r="J396" s="357"/>
      <c r="K396" s="357"/>
      <c r="L396" s="357"/>
      <c r="M396" s="357"/>
      <c r="N396" s="357"/>
      <c r="O396" s="357"/>
      <c r="P396" s="357"/>
      <c r="Q396" s="357"/>
      <c r="R396" s="357"/>
      <c r="S396" s="357"/>
      <c r="T396" s="357"/>
      <c r="U396" s="357"/>
      <c r="V396" s="357"/>
      <c r="W396" s="357"/>
      <c r="X396" s="357"/>
      <c r="Y396" s="357"/>
      <c r="Z396" s="357"/>
    </row>
    <row r="397" ht="15.75" customHeight="1">
      <c r="A397" s="359"/>
      <c r="B397" s="359"/>
      <c r="C397" s="359"/>
      <c r="D397" s="359"/>
      <c r="E397" s="357"/>
      <c r="F397" s="357"/>
      <c r="G397" s="357"/>
      <c r="H397" s="357"/>
      <c r="I397" s="357"/>
      <c r="J397" s="357"/>
      <c r="K397" s="357"/>
      <c r="L397" s="357"/>
      <c r="M397" s="357"/>
      <c r="N397" s="357"/>
      <c r="O397" s="357"/>
      <c r="P397" s="357"/>
      <c r="Q397" s="357"/>
      <c r="R397" s="357"/>
      <c r="S397" s="357"/>
      <c r="T397" s="357"/>
      <c r="U397" s="357"/>
      <c r="V397" s="357"/>
      <c r="W397" s="357"/>
      <c r="X397" s="357"/>
      <c r="Y397" s="357"/>
      <c r="Z397" s="357"/>
    </row>
    <row r="398" ht="15.75" customHeight="1">
      <c r="A398" s="359"/>
      <c r="B398" s="359"/>
      <c r="C398" s="359"/>
      <c r="D398" s="359"/>
      <c r="E398" s="357"/>
      <c r="F398" s="357"/>
      <c r="G398" s="357"/>
      <c r="H398" s="357"/>
      <c r="I398" s="357"/>
      <c r="J398" s="357"/>
      <c r="K398" s="357"/>
      <c r="L398" s="357"/>
      <c r="M398" s="357"/>
      <c r="N398" s="357"/>
      <c r="O398" s="357"/>
      <c r="P398" s="357"/>
      <c r="Q398" s="357"/>
      <c r="R398" s="357"/>
      <c r="S398" s="357"/>
      <c r="T398" s="357"/>
      <c r="U398" s="357"/>
      <c r="V398" s="357"/>
      <c r="W398" s="357"/>
      <c r="X398" s="357"/>
      <c r="Y398" s="357"/>
      <c r="Z398" s="357"/>
    </row>
    <row r="399" ht="15.75" customHeight="1">
      <c r="A399" s="359"/>
      <c r="B399" s="359"/>
      <c r="C399" s="359"/>
      <c r="D399" s="359"/>
      <c r="E399" s="357"/>
      <c r="F399" s="357"/>
      <c r="G399" s="357"/>
      <c r="H399" s="357"/>
      <c r="I399" s="357"/>
      <c r="J399" s="357"/>
      <c r="K399" s="357"/>
      <c r="L399" s="357"/>
      <c r="M399" s="357"/>
      <c r="N399" s="357"/>
      <c r="O399" s="357"/>
      <c r="P399" s="357"/>
      <c r="Q399" s="357"/>
      <c r="R399" s="357"/>
      <c r="S399" s="357"/>
      <c r="T399" s="357"/>
      <c r="U399" s="357"/>
      <c r="V399" s="357"/>
      <c r="W399" s="357"/>
      <c r="X399" s="357"/>
      <c r="Y399" s="357"/>
      <c r="Z399" s="357"/>
    </row>
    <row r="400" ht="15.75" customHeight="1">
      <c r="A400" s="359"/>
      <c r="B400" s="359"/>
      <c r="C400" s="359"/>
      <c r="D400" s="359"/>
      <c r="E400" s="357"/>
      <c r="F400" s="357"/>
      <c r="G400" s="357"/>
      <c r="H400" s="357"/>
      <c r="I400" s="357"/>
      <c r="J400" s="357"/>
      <c r="K400" s="357"/>
      <c r="L400" s="357"/>
      <c r="M400" s="357"/>
      <c r="N400" s="357"/>
      <c r="O400" s="357"/>
      <c r="P400" s="357"/>
      <c r="Q400" s="357"/>
      <c r="R400" s="357"/>
      <c r="S400" s="357"/>
      <c r="T400" s="357"/>
      <c r="U400" s="357"/>
      <c r="V400" s="357"/>
      <c r="W400" s="357"/>
      <c r="X400" s="357"/>
      <c r="Y400" s="357"/>
      <c r="Z400" s="357"/>
    </row>
    <row r="401" ht="15.75" customHeight="1">
      <c r="A401" s="359"/>
      <c r="B401" s="359"/>
      <c r="C401" s="359"/>
      <c r="D401" s="359"/>
      <c r="E401" s="357"/>
      <c r="F401" s="357"/>
      <c r="G401" s="357"/>
      <c r="H401" s="357"/>
      <c r="I401" s="357"/>
      <c r="J401" s="357"/>
      <c r="K401" s="357"/>
      <c r="L401" s="357"/>
      <c r="M401" s="357"/>
      <c r="N401" s="357"/>
      <c r="O401" s="357"/>
      <c r="P401" s="357"/>
      <c r="Q401" s="357"/>
      <c r="R401" s="357"/>
      <c r="S401" s="357"/>
      <c r="T401" s="357"/>
      <c r="U401" s="357"/>
      <c r="V401" s="357"/>
      <c r="W401" s="357"/>
      <c r="X401" s="357"/>
      <c r="Y401" s="357"/>
      <c r="Z401" s="357"/>
    </row>
    <row r="402" ht="15.75" customHeight="1">
      <c r="A402" s="359"/>
      <c r="B402" s="359"/>
      <c r="C402" s="359"/>
      <c r="D402" s="359"/>
      <c r="E402" s="357"/>
      <c r="F402" s="357"/>
      <c r="G402" s="357"/>
      <c r="H402" s="357"/>
      <c r="I402" s="357"/>
      <c r="J402" s="357"/>
      <c r="K402" s="357"/>
      <c r="L402" s="357"/>
      <c r="M402" s="357"/>
      <c r="N402" s="357"/>
      <c r="O402" s="357"/>
      <c r="P402" s="357"/>
      <c r="Q402" s="357"/>
      <c r="R402" s="357"/>
      <c r="S402" s="357"/>
      <c r="T402" s="357"/>
      <c r="U402" s="357"/>
      <c r="V402" s="357"/>
      <c r="W402" s="357"/>
      <c r="X402" s="357"/>
      <c r="Y402" s="357"/>
      <c r="Z402" s="357"/>
    </row>
    <row r="403" ht="15.75" customHeight="1">
      <c r="A403" s="359"/>
      <c r="B403" s="359"/>
      <c r="C403" s="359"/>
      <c r="D403" s="359"/>
      <c r="E403" s="357"/>
      <c r="F403" s="357"/>
      <c r="G403" s="357"/>
      <c r="H403" s="357"/>
      <c r="I403" s="357"/>
      <c r="J403" s="357"/>
      <c r="K403" s="357"/>
      <c r="L403" s="357"/>
      <c r="M403" s="357"/>
      <c r="N403" s="357"/>
      <c r="O403" s="357"/>
      <c r="P403" s="357"/>
      <c r="Q403" s="357"/>
      <c r="R403" s="357"/>
      <c r="S403" s="357"/>
      <c r="T403" s="357"/>
      <c r="U403" s="357"/>
      <c r="V403" s="357"/>
      <c r="W403" s="357"/>
      <c r="X403" s="357"/>
      <c r="Y403" s="357"/>
      <c r="Z403" s="357"/>
    </row>
    <row r="404" ht="15.75" customHeight="1">
      <c r="A404" s="359"/>
      <c r="B404" s="359"/>
      <c r="C404" s="359"/>
      <c r="D404" s="359"/>
      <c r="E404" s="357"/>
      <c r="F404" s="357"/>
      <c r="G404" s="357"/>
      <c r="H404" s="357"/>
      <c r="I404" s="357"/>
      <c r="J404" s="357"/>
      <c r="K404" s="357"/>
      <c r="L404" s="357"/>
      <c r="M404" s="357"/>
      <c r="N404" s="357"/>
      <c r="O404" s="357"/>
      <c r="P404" s="357"/>
      <c r="Q404" s="357"/>
      <c r="R404" s="357"/>
      <c r="S404" s="357"/>
      <c r="T404" s="357"/>
      <c r="U404" s="357"/>
      <c r="V404" s="357"/>
      <c r="W404" s="357"/>
      <c r="X404" s="357"/>
      <c r="Y404" s="357"/>
      <c r="Z404" s="357"/>
    </row>
    <row r="405" ht="15.75" customHeight="1">
      <c r="A405" s="359"/>
      <c r="B405" s="359"/>
      <c r="C405" s="359"/>
      <c r="D405" s="359"/>
      <c r="E405" s="357"/>
      <c r="F405" s="357"/>
      <c r="G405" s="357"/>
      <c r="H405" s="357"/>
      <c r="I405" s="357"/>
      <c r="J405" s="357"/>
      <c r="K405" s="357"/>
      <c r="L405" s="357"/>
      <c r="M405" s="357"/>
      <c r="N405" s="357"/>
      <c r="O405" s="357"/>
      <c r="P405" s="357"/>
      <c r="Q405" s="357"/>
      <c r="R405" s="357"/>
      <c r="S405" s="357"/>
      <c r="T405" s="357"/>
      <c r="U405" s="357"/>
      <c r="V405" s="357"/>
      <c r="W405" s="357"/>
      <c r="X405" s="357"/>
      <c r="Y405" s="357"/>
      <c r="Z405" s="357"/>
    </row>
    <row r="406" ht="15.75" customHeight="1">
      <c r="A406" s="359"/>
      <c r="B406" s="359"/>
      <c r="C406" s="359"/>
      <c r="D406" s="359"/>
      <c r="E406" s="357"/>
      <c r="F406" s="357"/>
      <c r="G406" s="357"/>
      <c r="H406" s="357"/>
      <c r="I406" s="357"/>
      <c r="J406" s="357"/>
      <c r="K406" s="357"/>
      <c r="L406" s="357"/>
      <c r="M406" s="357"/>
      <c r="N406" s="357"/>
      <c r="O406" s="357"/>
      <c r="P406" s="357"/>
      <c r="Q406" s="357"/>
      <c r="R406" s="357"/>
      <c r="S406" s="357"/>
      <c r="T406" s="357"/>
      <c r="U406" s="357"/>
      <c r="V406" s="357"/>
      <c r="W406" s="357"/>
      <c r="X406" s="357"/>
      <c r="Y406" s="357"/>
      <c r="Z406" s="357"/>
    </row>
    <row r="407" ht="15.75" customHeight="1">
      <c r="A407" s="359"/>
      <c r="B407" s="359"/>
      <c r="C407" s="359"/>
      <c r="D407" s="359"/>
      <c r="E407" s="357"/>
      <c r="F407" s="357"/>
      <c r="G407" s="357"/>
      <c r="H407" s="357"/>
      <c r="I407" s="357"/>
      <c r="J407" s="357"/>
      <c r="K407" s="357"/>
      <c r="L407" s="357"/>
      <c r="M407" s="357"/>
      <c r="N407" s="357"/>
      <c r="O407" s="357"/>
      <c r="P407" s="357"/>
      <c r="Q407" s="357"/>
      <c r="R407" s="357"/>
      <c r="S407" s="357"/>
      <c r="T407" s="357"/>
      <c r="U407" s="357"/>
      <c r="V407" s="357"/>
      <c r="W407" s="357"/>
      <c r="X407" s="357"/>
      <c r="Y407" s="357"/>
      <c r="Z407" s="357"/>
    </row>
    <row r="408" ht="15.75" customHeight="1">
      <c r="A408" s="359"/>
      <c r="B408" s="359"/>
      <c r="C408" s="359"/>
      <c r="D408" s="359"/>
      <c r="E408" s="357"/>
      <c r="F408" s="357"/>
      <c r="G408" s="357"/>
      <c r="H408" s="357"/>
      <c r="I408" s="357"/>
      <c r="J408" s="357"/>
      <c r="K408" s="357"/>
      <c r="L408" s="357"/>
      <c r="M408" s="357"/>
      <c r="N408" s="357"/>
      <c r="O408" s="357"/>
      <c r="P408" s="357"/>
      <c r="Q408" s="357"/>
      <c r="R408" s="357"/>
      <c r="S408" s="357"/>
      <c r="T408" s="357"/>
      <c r="U408" s="357"/>
      <c r="V408" s="357"/>
      <c r="W408" s="357"/>
      <c r="X408" s="357"/>
      <c r="Y408" s="357"/>
      <c r="Z408" s="357"/>
    </row>
    <row r="409" ht="15.75" customHeight="1">
      <c r="A409" s="359"/>
      <c r="B409" s="359"/>
      <c r="C409" s="359"/>
      <c r="D409" s="359"/>
      <c r="E409" s="357"/>
      <c r="F409" s="357"/>
      <c r="G409" s="357"/>
      <c r="H409" s="357"/>
      <c r="I409" s="357"/>
      <c r="J409" s="357"/>
      <c r="K409" s="357"/>
      <c r="L409" s="357"/>
      <c r="M409" s="357"/>
      <c r="N409" s="357"/>
      <c r="O409" s="357"/>
      <c r="P409" s="357"/>
      <c r="Q409" s="357"/>
      <c r="R409" s="357"/>
      <c r="S409" s="357"/>
      <c r="T409" s="357"/>
      <c r="U409" s="357"/>
      <c r="V409" s="357"/>
      <c r="W409" s="357"/>
      <c r="X409" s="357"/>
      <c r="Y409" s="357"/>
      <c r="Z409" s="357"/>
    </row>
    <row r="410" ht="15.75" customHeight="1">
      <c r="A410" s="359"/>
      <c r="B410" s="359"/>
      <c r="C410" s="359"/>
      <c r="D410" s="359"/>
      <c r="E410" s="357"/>
      <c r="F410" s="357"/>
      <c r="G410" s="357"/>
      <c r="H410" s="357"/>
      <c r="I410" s="357"/>
      <c r="J410" s="357"/>
      <c r="K410" s="357"/>
      <c r="L410" s="357"/>
      <c r="M410" s="357"/>
      <c r="N410" s="357"/>
      <c r="O410" s="357"/>
      <c r="P410" s="357"/>
      <c r="Q410" s="357"/>
      <c r="R410" s="357"/>
      <c r="S410" s="357"/>
      <c r="T410" s="357"/>
      <c r="U410" s="357"/>
      <c r="V410" s="357"/>
      <c r="W410" s="357"/>
      <c r="X410" s="357"/>
      <c r="Y410" s="357"/>
      <c r="Z410" s="357"/>
    </row>
    <row r="411" ht="15.75" customHeight="1">
      <c r="A411" s="359"/>
      <c r="B411" s="359"/>
      <c r="C411" s="359"/>
      <c r="D411" s="359"/>
      <c r="E411" s="357"/>
      <c r="F411" s="357"/>
      <c r="G411" s="357"/>
      <c r="H411" s="357"/>
      <c r="I411" s="357"/>
      <c r="J411" s="357"/>
      <c r="K411" s="357"/>
      <c r="L411" s="357"/>
      <c r="M411" s="357"/>
      <c r="N411" s="357"/>
      <c r="O411" s="357"/>
      <c r="P411" s="357"/>
      <c r="Q411" s="357"/>
      <c r="R411" s="357"/>
      <c r="S411" s="357"/>
      <c r="T411" s="357"/>
      <c r="U411" s="357"/>
      <c r="V411" s="357"/>
      <c r="W411" s="357"/>
      <c r="X411" s="357"/>
      <c r="Y411" s="357"/>
      <c r="Z411" s="357"/>
    </row>
    <row r="412" ht="15.75" customHeight="1">
      <c r="A412" s="359"/>
      <c r="B412" s="359"/>
      <c r="C412" s="359"/>
      <c r="D412" s="359"/>
      <c r="E412" s="357"/>
      <c r="F412" s="357"/>
      <c r="G412" s="357"/>
      <c r="H412" s="357"/>
      <c r="I412" s="357"/>
      <c r="J412" s="357"/>
      <c r="K412" s="357"/>
      <c r="L412" s="357"/>
      <c r="M412" s="357"/>
      <c r="N412" s="357"/>
      <c r="O412" s="357"/>
      <c r="P412" s="357"/>
      <c r="Q412" s="357"/>
      <c r="R412" s="357"/>
      <c r="S412" s="357"/>
      <c r="T412" s="357"/>
      <c r="U412" s="357"/>
      <c r="V412" s="357"/>
      <c r="W412" s="357"/>
      <c r="X412" s="357"/>
      <c r="Y412" s="357"/>
      <c r="Z412" s="357"/>
    </row>
    <row r="413" ht="15.75" customHeight="1">
      <c r="A413" s="359"/>
      <c r="B413" s="359"/>
      <c r="C413" s="359"/>
      <c r="D413" s="359"/>
      <c r="E413" s="357"/>
      <c r="F413" s="357"/>
      <c r="G413" s="357"/>
      <c r="H413" s="357"/>
      <c r="I413" s="357"/>
      <c r="J413" s="357"/>
      <c r="K413" s="357"/>
      <c r="L413" s="357"/>
      <c r="M413" s="357"/>
      <c r="N413" s="357"/>
      <c r="O413" s="357"/>
      <c r="P413" s="357"/>
      <c r="Q413" s="357"/>
      <c r="R413" s="357"/>
      <c r="S413" s="357"/>
      <c r="T413" s="357"/>
      <c r="U413" s="357"/>
      <c r="V413" s="357"/>
      <c r="W413" s="357"/>
      <c r="X413" s="357"/>
      <c r="Y413" s="357"/>
      <c r="Z413" s="357"/>
    </row>
    <row r="414" ht="15.75" customHeight="1">
      <c r="A414" s="359"/>
      <c r="B414" s="359"/>
      <c r="C414" s="359"/>
      <c r="D414" s="359"/>
      <c r="E414" s="357"/>
      <c r="F414" s="357"/>
      <c r="G414" s="357"/>
      <c r="H414" s="357"/>
      <c r="I414" s="357"/>
      <c r="J414" s="357"/>
      <c r="K414" s="357"/>
      <c r="L414" s="357"/>
      <c r="M414" s="357"/>
      <c r="N414" s="357"/>
      <c r="O414" s="357"/>
      <c r="P414" s="357"/>
      <c r="Q414" s="357"/>
      <c r="R414" s="357"/>
      <c r="S414" s="357"/>
      <c r="T414" s="357"/>
      <c r="U414" s="357"/>
      <c r="V414" s="357"/>
      <c r="W414" s="357"/>
      <c r="X414" s="357"/>
      <c r="Y414" s="357"/>
      <c r="Z414" s="357"/>
    </row>
    <row r="415" ht="15.75" customHeight="1">
      <c r="A415" s="359"/>
      <c r="B415" s="359"/>
      <c r="C415" s="359"/>
      <c r="D415" s="359"/>
      <c r="E415" s="357"/>
      <c r="F415" s="357"/>
      <c r="G415" s="357"/>
      <c r="H415" s="357"/>
      <c r="I415" s="357"/>
      <c r="J415" s="357"/>
      <c r="K415" s="357"/>
      <c r="L415" s="357"/>
      <c r="M415" s="357"/>
      <c r="N415" s="357"/>
      <c r="O415" s="357"/>
      <c r="P415" s="357"/>
      <c r="Q415" s="357"/>
      <c r="R415" s="357"/>
      <c r="S415" s="357"/>
      <c r="T415" s="357"/>
      <c r="U415" s="357"/>
      <c r="V415" s="357"/>
      <c r="W415" s="357"/>
      <c r="X415" s="357"/>
      <c r="Y415" s="357"/>
      <c r="Z415" s="357"/>
    </row>
    <row r="416" ht="15.75" customHeight="1">
      <c r="A416" s="359"/>
      <c r="B416" s="359"/>
      <c r="C416" s="359"/>
      <c r="D416" s="359"/>
      <c r="E416" s="357"/>
      <c r="F416" s="357"/>
      <c r="G416" s="357"/>
      <c r="H416" s="357"/>
      <c r="I416" s="357"/>
      <c r="J416" s="357"/>
      <c r="K416" s="357"/>
      <c r="L416" s="357"/>
      <c r="M416" s="357"/>
      <c r="N416" s="357"/>
      <c r="O416" s="357"/>
      <c r="P416" s="357"/>
      <c r="Q416" s="357"/>
      <c r="R416" s="357"/>
      <c r="S416" s="357"/>
      <c r="T416" s="357"/>
      <c r="U416" s="357"/>
      <c r="V416" s="357"/>
      <c r="W416" s="357"/>
      <c r="X416" s="357"/>
      <c r="Y416" s="357"/>
      <c r="Z416" s="357"/>
    </row>
    <row r="417" ht="15.75" customHeight="1">
      <c r="A417" s="359"/>
      <c r="B417" s="359"/>
      <c r="C417" s="359"/>
      <c r="D417" s="359"/>
      <c r="E417" s="357"/>
      <c r="F417" s="357"/>
      <c r="G417" s="357"/>
      <c r="H417" s="357"/>
      <c r="I417" s="357"/>
      <c r="J417" s="357"/>
      <c r="K417" s="357"/>
      <c r="L417" s="357"/>
      <c r="M417" s="357"/>
      <c r="N417" s="357"/>
      <c r="O417" s="357"/>
      <c r="P417" s="357"/>
      <c r="Q417" s="357"/>
      <c r="R417" s="357"/>
      <c r="S417" s="357"/>
      <c r="T417" s="357"/>
      <c r="U417" s="357"/>
      <c r="V417" s="357"/>
      <c r="W417" s="357"/>
      <c r="X417" s="357"/>
      <c r="Y417" s="357"/>
      <c r="Z417" s="357"/>
    </row>
    <row r="418" ht="15.75" customHeight="1">
      <c r="A418" s="359"/>
      <c r="B418" s="359"/>
      <c r="C418" s="359"/>
      <c r="D418" s="359"/>
      <c r="E418" s="357"/>
      <c r="F418" s="357"/>
      <c r="G418" s="357"/>
      <c r="H418" s="357"/>
      <c r="I418" s="357"/>
      <c r="J418" s="357"/>
      <c r="K418" s="357"/>
      <c r="L418" s="357"/>
      <c r="M418" s="357"/>
      <c r="N418" s="357"/>
      <c r="O418" s="357"/>
      <c r="P418" s="357"/>
      <c r="Q418" s="357"/>
      <c r="R418" s="357"/>
      <c r="S418" s="357"/>
      <c r="T418" s="357"/>
      <c r="U418" s="357"/>
      <c r="V418" s="357"/>
      <c r="W418" s="357"/>
      <c r="X418" s="357"/>
      <c r="Y418" s="357"/>
      <c r="Z418" s="357"/>
    </row>
    <row r="419" ht="15.75" customHeight="1">
      <c r="A419" s="359"/>
      <c r="B419" s="359"/>
      <c r="C419" s="359"/>
      <c r="D419" s="359"/>
      <c r="E419" s="357"/>
      <c r="F419" s="357"/>
      <c r="G419" s="357"/>
      <c r="H419" s="357"/>
      <c r="I419" s="357"/>
      <c r="J419" s="357"/>
      <c r="K419" s="357"/>
      <c r="L419" s="357"/>
      <c r="M419" s="357"/>
      <c r="N419" s="357"/>
      <c r="O419" s="357"/>
      <c r="P419" s="357"/>
      <c r="Q419" s="357"/>
      <c r="R419" s="357"/>
      <c r="S419" s="357"/>
      <c r="T419" s="357"/>
      <c r="U419" s="357"/>
      <c r="V419" s="357"/>
      <c r="W419" s="357"/>
      <c r="X419" s="357"/>
      <c r="Y419" s="357"/>
      <c r="Z419" s="357"/>
    </row>
    <row r="420" ht="15.75" customHeight="1">
      <c r="A420" s="359"/>
      <c r="B420" s="359"/>
      <c r="C420" s="359"/>
      <c r="D420" s="359"/>
      <c r="E420" s="357"/>
      <c r="F420" s="357"/>
      <c r="G420" s="357"/>
      <c r="H420" s="357"/>
      <c r="I420" s="357"/>
      <c r="J420" s="357"/>
      <c r="K420" s="357"/>
      <c r="L420" s="357"/>
      <c r="M420" s="357"/>
      <c r="N420" s="357"/>
      <c r="O420" s="357"/>
      <c r="P420" s="357"/>
      <c r="Q420" s="357"/>
      <c r="R420" s="357"/>
      <c r="S420" s="357"/>
      <c r="T420" s="357"/>
      <c r="U420" s="357"/>
      <c r="V420" s="357"/>
      <c r="W420" s="357"/>
      <c r="X420" s="357"/>
      <c r="Y420" s="357"/>
      <c r="Z420" s="357"/>
    </row>
    <row r="421" ht="15.75" customHeight="1">
      <c r="A421" s="359"/>
      <c r="B421" s="359"/>
      <c r="C421" s="359"/>
      <c r="D421" s="359"/>
      <c r="E421" s="357"/>
      <c r="F421" s="357"/>
      <c r="G421" s="357"/>
      <c r="H421" s="357"/>
      <c r="I421" s="357"/>
      <c r="J421" s="357"/>
      <c r="K421" s="357"/>
      <c r="L421" s="357"/>
      <c r="M421" s="357"/>
      <c r="N421" s="357"/>
      <c r="O421" s="357"/>
      <c r="P421" s="357"/>
      <c r="Q421" s="357"/>
      <c r="R421" s="357"/>
      <c r="S421" s="357"/>
      <c r="T421" s="357"/>
      <c r="U421" s="357"/>
      <c r="V421" s="357"/>
      <c r="W421" s="357"/>
      <c r="X421" s="357"/>
      <c r="Y421" s="357"/>
      <c r="Z421" s="357"/>
    </row>
    <row r="422" ht="15.75" customHeight="1">
      <c r="A422" s="359"/>
      <c r="B422" s="359"/>
      <c r="C422" s="359"/>
      <c r="D422" s="359"/>
      <c r="E422" s="357"/>
      <c r="F422" s="357"/>
      <c r="G422" s="357"/>
      <c r="H422" s="357"/>
      <c r="I422" s="357"/>
      <c r="J422" s="357"/>
      <c r="K422" s="357"/>
      <c r="L422" s="357"/>
      <c r="M422" s="357"/>
      <c r="N422" s="357"/>
      <c r="O422" s="357"/>
      <c r="P422" s="357"/>
      <c r="Q422" s="357"/>
      <c r="R422" s="357"/>
      <c r="S422" s="357"/>
      <c r="T422" s="357"/>
      <c r="U422" s="357"/>
      <c r="V422" s="357"/>
      <c r="W422" s="357"/>
      <c r="X422" s="357"/>
      <c r="Y422" s="357"/>
      <c r="Z422" s="357"/>
    </row>
    <row r="423" ht="15.75" customHeight="1">
      <c r="A423" s="359"/>
      <c r="B423" s="359"/>
      <c r="C423" s="359"/>
      <c r="D423" s="359"/>
      <c r="E423" s="357"/>
      <c r="F423" s="357"/>
      <c r="G423" s="357"/>
      <c r="H423" s="357"/>
      <c r="I423" s="357"/>
      <c r="J423" s="357"/>
      <c r="K423" s="357"/>
      <c r="L423" s="357"/>
      <c r="M423" s="357"/>
      <c r="N423" s="357"/>
      <c r="O423" s="357"/>
      <c r="P423" s="357"/>
      <c r="Q423" s="357"/>
      <c r="R423" s="357"/>
      <c r="S423" s="357"/>
      <c r="T423" s="357"/>
      <c r="U423" s="357"/>
      <c r="V423" s="357"/>
      <c r="W423" s="357"/>
      <c r="X423" s="357"/>
      <c r="Y423" s="357"/>
      <c r="Z423" s="357"/>
    </row>
    <row r="424" ht="15.75" customHeight="1">
      <c r="A424" s="359"/>
      <c r="B424" s="359"/>
      <c r="C424" s="359"/>
      <c r="D424" s="359"/>
      <c r="E424" s="357"/>
      <c r="F424" s="357"/>
      <c r="G424" s="357"/>
      <c r="H424" s="357"/>
      <c r="I424" s="357"/>
      <c r="J424" s="357"/>
      <c r="K424" s="357"/>
      <c r="L424" s="357"/>
      <c r="M424" s="357"/>
      <c r="N424" s="357"/>
      <c r="O424" s="357"/>
      <c r="P424" s="357"/>
      <c r="Q424" s="357"/>
      <c r="R424" s="357"/>
      <c r="S424" s="357"/>
      <c r="T424" s="357"/>
      <c r="U424" s="357"/>
      <c r="V424" s="357"/>
      <c r="W424" s="357"/>
      <c r="X424" s="357"/>
      <c r="Y424" s="357"/>
      <c r="Z424" s="357"/>
    </row>
    <row r="425" ht="15.75" customHeight="1">
      <c r="A425" s="359"/>
      <c r="B425" s="359"/>
      <c r="C425" s="359"/>
      <c r="D425" s="359"/>
      <c r="E425" s="357"/>
      <c r="F425" s="357"/>
      <c r="G425" s="357"/>
      <c r="H425" s="357"/>
      <c r="I425" s="357"/>
      <c r="J425" s="357"/>
      <c r="K425" s="357"/>
      <c r="L425" s="357"/>
      <c r="M425" s="357"/>
      <c r="N425" s="357"/>
      <c r="O425" s="357"/>
      <c r="P425" s="357"/>
      <c r="Q425" s="357"/>
      <c r="R425" s="357"/>
      <c r="S425" s="357"/>
      <c r="T425" s="357"/>
      <c r="U425" s="357"/>
      <c r="V425" s="357"/>
      <c r="W425" s="357"/>
      <c r="X425" s="357"/>
      <c r="Y425" s="357"/>
      <c r="Z425" s="357"/>
    </row>
    <row r="426" ht="15.75" customHeight="1">
      <c r="A426" s="359"/>
      <c r="B426" s="359"/>
      <c r="C426" s="359"/>
      <c r="D426" s="359"/>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row>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26"/>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9" width="12.75"/>
    <col customWidth="1" min="10" max="10" width="15.75"/>
    <col customWidth="1" min="11" max="11" width="12.75"/>
    <col customWidth="1" min="12" max="15" width="17.5"/>
    <col customWidth="1" min="16" max="26" width="8.63"/>
  </cols>
  <sheetData>
    <row r="1">
      <c r="A1" s="357"/>
      <c r="B1" s="357"/>
      <c r="C1" s="357"/>
      <c r="D1" s="357"/>
      <c r="E1" s="357"/>
      <c r="F1" s="357"/>
      <c r="G1" s="357"/>
      <c r="H1" s="357"/>
      <c r="I1" s="357"/>
      <c r="J1" s="357"/>
      <c r="K1" s="357"/>
      <c r="L1" s="357"/>
      <c r="M1" s="357"/>
      <c r="N1" s="357"/>
      <c r="O1" s="357"/>
      <c r="P1" s="357"/>
      <c r="Q1" s="357"/>
      <c r="R1" s="357"/>
      <c r="S1" s="357"/>
      <c r="T1" s="357"/>
      <c r="U1" s="357"/>
      <c r="V1" s="357"/>
      <c r="W1" s="357"/>
      <c r="X1" s="357"/>
      <c r="Y1" s="357"/>
      <c r="Z1" s="357"/>
    </row>
    <row r="2" ht="24.75" customHeight="1">
      <c r="A2" s="462" t="s">
        <v>7171</v>
      </c>
      <c r="B2" s="462" t="s">
        <v>1595</v>
      </c>
      <c r="C2" s="462" t="s">
        <v>1596</v>
      </c>
      <c r="D2" s="463" t="s">
        <v>2502</v>
      </c>
      <c r="E2" s="463" t="s">
        <v>11</v>
      </c>
      <c r="F2" s="463" t="s">
        <v>2503</v>
      </c>
      <c r="G2" s="463" t="s">
        <v>34</v>
      </c>
      <c r="H2" s="463" t="s">
        <v>7385</v>
      </c>
      <c r="I2" s="463" t="s">
        <v>33</v>
      </c>
      <c r="J2" s="463" t="s">
        <v>7386</v>
      </c>
      <c r="K2" s="463" t="s">
        <v>2506</v>
      </c>
      <c r="L2" s="462" t="s">
        <v>7387</v>
      </c>
      <c r="M2" s="462" t="s">
        <v>7388</v>
      </c>
      <c r="N2" s="462" t="s">
        <v>7389</v>
      </c>
      <c r="O2" s="464" t="s">
        <v>7390</v>
      </c>
      <c r="P2" s="465"/>
      <c r="Q2" s="465"/>
      <c r="R2" s="465"/>
      <c r="S2" s="465"/>
      <c r="T2" s="465"/>
      <c r="U2" s="465"/>
      <c r="V2" s="465"/>
      <c r="W2" s="465"/>
      <c r="X2" s="465"/>
      <c r="Y2" s="465"/>
      <c r="Z2" s="465"/>
    </row>
    <row r="3">
      <c r="A3" s="466" t="s">
        <v>7391</v>
      </c>
      <c r="B3" s="466">
        <v>2024.0</v>
      </c>
      <c r="C3" s="466">
        <f t="shared" ref="C3:C67" si="1">MONTH(D3)</f>
        <v>1</v>
      </c>
      <c r="D3" s="467">
        <v>45294.0</v>
      </c>
      <c r="E3" s="468" t="s">
        <v>2685</v>
      </c>
      <c r="F3" s="468" t="s">
        <v>7392</v>
      </c>
      <c r="G3" s="466" t="s">
        <v>6613</v>
      </c>
      <c r="H3" s="469"/>
      <c r="I3" s="469">
        <v>1.0</v>
      </c>
      <c r="J3" s="470"/>
      <c r="K3" s="468" t="s">
        <v>7393</v>
      </c>
      <c r="L3" s="471">
        <v>75.0</v>
      </c>
      <c r="M3" s="469"/>
      <c r="N3" s="469"/>
      <c r="O3" s="472"/>
      <c r="P3" s="357"/>
      <c r="Q3" s="357"/>
      <c r="R3" s="357"/>
      <c r="S3" s="357"/>
      <c r="T3" s="357"/>
      <c r="U3" s="357"/>
      <c r="V3" s="357"/>
      <c r="W3" s="357"/>
      <c r="X3" s="357"/>
      <c r="Y3" s="357"/>
      <c r="Z3" s="357"/>
    </row>
    <row r="4">
      <c r="A4" s="466" t="s">
        <v>7391</v>
      </c>
      <c r="B4" s="466">
        <v>2024.0</v>
      </c>
      <c r="C4" s="466">
        <f t="shared" si="1"/>
        <v>1</v>
      </c>
      <c r="D4" s="467">
        <v>45301.0</v>
      </c>
      <c r="E4" s="468" t="s">
        <v>2561</v>
      </c>
      <c r="F4" s="468" t="s">
        <v>7394</v>
      </c>
      <c r="G4" s="466" t="s">
        <v>7395</v>
      </c>
      <c r="H4" s="469"/>
      <c r="I4" s="469">
        <v>1.0</v>
      </c>
      <c r="J4" s="470"/>
      <c r="K4" s="468" t="s">
        <v>7393</v>
      </c>
      <c r="L4" s="471">
        <v>55.0</v>
      </c>
      <c r="M4" s="469"/>
      <c r="N4" s="469"/>
      <c r="O4" s="466"/>
      <c r="P4" s="357"/>
      <c r="Q4" s="357"/>
      <c r="R4" s="357"/>
      <c r="S4" s="357"/>
      <c r="T4" s="357"/>
      <c r="U4" s="357"/>
      <c r="V4" s="357"/>
      <c r="W4" s="357"/>
      <c r="X4" s="357"/>
      <c r="Y4" s="357"/>
      <c r="Z4" s="357"/>
    </row>
    <row r="5">
      <c r="A5" s="466" t="s">
        <v>7391</v>
      </c>
      <c r="B5" s="466">
        <v>2024.0</v>
      </c>
      <c r="C5" s="466">
        <f t="shared" si="1"/>
        <v>1</v>
      </c>
      <c r="D5" s="467">
        <v>45305.0</v>
      </c>
      <c r="E5" s="468" t="s">
        <v>7396</v>
      </c>
      <c r="F5" s="468" t="s">
        <v>7397</v>
      </c>
      <c r="G5" s="466" t="s">
        <v>7106</v>
      </c>
      <c r="H5" s="469"/>
      <c r="I5" s="469">
        <v>1.0</v>
      </c>
      <c r="J5" s="470"/>
      <c r="K5" s="468" t="s">
        <v>7393</v>
      </c>
      <c r="L5" s="471">
        <v>75.0</v>
      </c>
      <c r="M5" s="469"/>
      <c r="N5" s="469"/>
      <c r="O5" s="466"/>
      <c r="P5" s="357"/>
      <c r="Q5" s="357"/>
      <c r="R5" s="357"/>
      <c r="S5" s="357"/>
      <c r="T5" s="357"/>
      <c r="U5" s="357"/>
      <c r="V5" s="357"/>
      <c r="W5" s="357"/>
      <c r="X5" s="357"/>
      <c r="Y5" s="357"/>
      <c r="Z5" s="357"/>
    </row>
    <row r="6">
      <c r="A6" s="466" t="s">
        <v>7391</v>
      </c>
      <c r="B6" s="466">
        <v>2024.0</v>
      </c>
      <c r="C6" s="466">
        <f t="shared" si="1"/>
        <v>1</v>
      </c>
      <c r="D6" s="467">
        <v>45306.0</v>
      </c>
      <c r="E6" s="468" t="s">
        <v>7398</v>
      </c>
      <c r="F6" s="468" t="s">
        <v>7399</v>
      </c>
      <c r="G6" s="466" t="s">
        <v>7106</v>
      </c>
      <c r="H6" s="469"/>
      <c r="I6" s="469">
        <v>1.0</v>
      </c>
      <c r="J6" s="470"/>
      <c r="K6" s="468" t="s">
        <v>7393</v>
      </c>
      <c r="L6" s="471">
        <v>73.0</v>
      </c>
      <c r="M6" s="469"/>
      <c r="N6" s="469"/>
      <c r="O6" s="466"/>
      <c r="P6" s="357"/>
      <c r="Q6" s="357"/>
      <c r="R6" s="357"/>
      <c r="S6" s="357"/>
      <c r="T6" s="357"/>
      <c r="U6" s="357"/>
      <c r="V6" s="357"/>
      <c r="W6" s="357"/>
      <c r="X6" s="357"/>
      <c r="Y6" s="357"/>
      <c r="Z6" s="357"/>
    </row>
    <row r="7">
      <c r="A7" s="466" t="s">
        <v>7391</v>
      </c>
      <c r="B7" s="466">
        <v>2024.0</v>
      </c>
      <c r="C7" s="466">
        <f t="shared" si="1"/>
        <v>1</v>
      </c>
      <c r="D7" s="467">
        <v>45308.0</v>
      </c>
      <c r="E7" s="468" t="s">
        <v>7400</v>
      </c>
      <c r="F7" s="468" t="s">
        <v>7401</v>
      </c>
      <c r="G7" s="466" t="s">
        <v>6613</v>
      </c>
      <c r="H7" s="469"/>
      <c r="I7" s="469">
        <v>1.0</v>
      </c>
      <c r="J7" s="470"/>
      <c r="K7" s="468" t="s">
        <v>7393</v>
      </c>
      <c r="L7" s="471">
        <v>75.0</v>
      </c>
      <c r="M7" s="469"/>
      <c r="N7" s="469"/>
      <c r="O7" s="466"/>
      <c r="P7" s="357"/>
      <c r="Q7" s="357"/>
      <c r="R7" s="357"/>
      <c r="S7" s="357"/>
      <c r="T7" s="357"/>
      <c r="U7" s="357"/>
      <c r="V7" s="357"/>
      <c r="W7" s="357"/>
      <c r="X7" s="357"/>
      <c r="Y7" s="357"/>
      <c r="Z7" s="357"/>
    </row>
    <row r="8">
      <c r="A8" s="466" t="s">
        <v>7391</v>
      </c>
      <c r="B8" s="466">
        <v>2024.0</v>
      </c>
      <c r="C8" s="466">
        <f t="shared" si="1"/>
        <v>1</v>
      </c>
      <c r="D8" s="467">
        <v>45308.0</v>
      </c>
      <c r="E8" s="468" t="s">
        <v>7402</v>
      </c>
      <c r="F8" s="468" t="s">
        <v>7403</v>
      </c>
      <c r="G8" s="466" t="s">
        <v>7106</v>
      </c>
      <c r="H8" s="469"/>
      <c r="I8" s="469">
        <v>1.0</v>
      </c>
      <c r="J8" s="470"/>
      <c r="K8" s="468" t="s">
        <v>7393</v>
      </c>
      <c r="L8" s="471">
        <v>85.0</v>
      </c>
      <c r="M8" s="469"/>
      <c r="N8" s="469"/>
      <c r="O8" s="466"/>
      <c r="P8" s="357"/>
      <c r="Q8" s="357"/>
      <c r="R8" s="357"/>
      <c r="S8" s="357"/>
      <c r="T8" s="357"/>
      <c r="U8" s="357"/>
      <c r="V8" s="357"/>
      <c r="W8" s="357"/>
      <c r="X8" s="357"/>
      <c r="Y8" s="357"/>
      <c r="Z8" s="357"/>
    </row>
    <row r="9">
      <c r="A9" s="466" t="s">
        <v>7391</v>
      </c>
      <c r="B9" s="466">
        <v>2024.0</v>
      </c>
      <c r="C9" s="466">
        <f t="shared" si="1"/>
        <v>1</v>
      </c>
      <c r="D9" s="467">
        <v>45320.0</v>
      </c>
      <c r="E9" s="468" t="s">
        <v>7396</v>
      </c>
      <c r="F9" s="468" t="s">
        <v>7404</v>
      </c>
      <c r="G9" s="466" t="s">
        <v>6613</v>
      </c>
      <c r="H9" s="469"/>
      <c r="I9" s="469">
        <v>1.0</v>
      </c>
      <c r="J9" s="470"/>
      <c r="K9" s="468" t="s">
        <v>7393</v>
      </c>
      <c r="L9" s="471">
        <v>70.0</v>
      </c>
      <c r="M9" s="469"/>
      <c r="N9" s="469"/>
      <c r="O9" s="466"/>
      <c r="P9" s="357"/>
      <c r="Q9" s="357"/>
      <c r="R9" s="357"/>
      <c r="S9" s="357"/>
      <c r="T9" s="357"/>
      <c r="U9" s="357"/>
      <c r="V9" s="357"/>
      <c r="W9" s="357"/>
      <c r="X9" s="357"/>
      <c r="Y9" s="357"/>
      <c r="Z9" s="357"/>
    </row>
    <row r="10">
      <c r="A10" s="466" t="s">
        <v>7391</v>
      </c>
      <c r="B10" s="466">
        <v>2024.0</v>
      </c>
      <c r="C10" s="466">
        <f t="shared" si="1"/>
        <v>2</v>
      </c>
      <c r="D10" s="467">
        <v>45336.0</v>
      </c>
      <c r="E10" s="468" t="s">
        <v>2772</v>
      </c>
      <c r="F10" s="468" t="s">
        <v>7405</v>
      </c>
      <c r="G10" s="466" t="s">
        <v>7106</v>
      </c>
      <c r="H10" s="469"/>
      <c r="I10" s="469">
        <v>1.0</v>
      </c>
      <c r="J10" s="470"/>
      <c r="K10" s="468" t="s">
        <v>7393</v>
      </c>
      <c r="L10" s="471">
        <v>73.0</v>
      </c>
      <c r="M10" s="469"/>
      <c r="N10" s="469"/>
      <c r="O10" s="466"/>
      <c r="P10" s="357"/>
      <c r="Q10" s="357"/>
      <c r="R10" s="357"/>
      <c r="S10" s="357"/>
      <c r="T10" s="357"/>
      <c r="U10" s="357"/>
      <c r="V10" s="357"/>
      <c r="W10" s="357"/>
      <c r="X10" s="357"/>
      <c r="Y10" s="357"/>
      <c r="Z10" s="357"/>
    </row>
    <row r="11">
      <c r="A11" s="466" t="s">
        <v>7391</v>
      </c>
      <c r="B11" s="466">
        <v>2024.0</v>
      </c>
      <c r="C11" s="466">
        <f t="shared" si="1"/>
        <v>2</v>
      </c>
      <c r="D11" s="467">
        <v>45336.0</v>
      </c>
      <c r="E11" s="468" t="s">
        <v>7406</v>
      </c>
      <c r="F11" s="468" t="s">
        <v>7407</v>
      </c>
      <c r="G11" s="466" t="s">
        <v>7395</v>
      </c>
      <c r="H11" s="469"/>
      <c r="I11" s="469">
        <v>1.0</v>
      </c>
      <c r="J11" s="470"/>
      <c r="K11" s="468" t="s">
        <v>7393</v>
      </c>
      <c r="L11" s="471">
        <v>47.5</v>
      </c>
      <c r="M11" s="469"/>
      <c r="N11" s="469"/>
      <c r="O11" s="466"/>
      <c r="P11" s="357"/>
      <c r="Q11" s="357"/>
      <c r="R11" s="357"/>
      <c r="S11" s="357"/>
      <c r="T11" s="357"/>
      <c r="U11" s="357"/>
      <c r="V11" s="357"/>
      <c r="W11" s="357"/>
      <c r="X11" s="357"/>
      <c r="Y11" s="357"/>
      <c r="Z11" s="357"/>
    </row>
    <row r="12">
      <c r="A12" s="466" t="s">
        <v>7391</v>
      </c>
      <c r="B12" s="466">
        <v>2024.0</v>
      </c>
      <c r="C12" s="466">
        <f t="shared" si="1"/>
        <v>2</v>
      </c>
      <c r="D12" s="467">
        <v>45337.0</v>
      </c>
      <c r="E12" s="468" t="s">
        <v>7408</v>
      </c>
      <c r="F12" s="473" t="s">
        <v>7409</v>
      </c>
      <c r="G12" s="466" t="s">
        <v>7106</v>
      </c>
      <c r="H12" s="469"/>
      <c r="I12" s="469">
        <v>1.0</v>
      </c>
      <c r="J12" s="470"/>
      <c r="K12" s="468" t="s">
        <v>7393</v>
      </c>
      <c r="L12" s="471">
        <v>73.0</v>
      </c>
      <c r="M12" s="469"/>
      <c r="N12" s="469"/>
      <c r="O12" s="466"/>
      <c r="P12" s="357"/>
      <c r="Q12" s="357"/>
      <c r="R12" s="357"/>
      <c r="S12" s="357"/>
      <c r="T12" s="357"/>
      <c r="U12" s="357"/>
      <c r="V12" s="357"/>
      <c r="W12" s="357"/>
      <c r="X12" s="357"/>
      <c r="Y12" s="357"/>
      <c r="Z12" s="357"/>
    </row>
    <row r="13">
      <c r="A13" s="466" t="s">
        <v>7391</v>
      </c>
      <c r="B13" s="466">
        <v>2024.0</v>
      </c>
      <c r="C13" s="466">
        <f t="shared" si="1"/>
        <v>2</v>
      </c>
      <c r="D13" s="467">
        <v>45338.0</v>
      </c>
      <c r="E13" s="468" t="s">
        <v>2561</v>
      </c>
      <c r="F13" s="468" t="s">
        <v>7410</v>
      </c>
      <c r="G13" s="466" t="s">
        <v>7106</v>
      </c>
      <c r="H13" s="469"/>
      <c r="I13" s="469">
        <v>1.0</v>
      </c>
      <c r="J13" s="470"/>
      <c r="K13" s="468" t="s">
        <v>7393</v>
      </c>
      <c r="L13" s="471">
        <v>85.0</v>
      </c>
      <c r="M13" s="469"/>
      <c r="N13" s="469"/>
      <c r="O13" s="466"/>
      <c r="P13" s="357"/>
      <c r="Q13" s="357"/>
      <c r="R13" s="357"/>
      <c r="S13" s="357"/>
      <c r="T13" s="357"/>
      <c r="U13" s="357"/>
      <c r="V13" s="357"/>
      <c r="W13" s="357"/>
      <c r="X13" s="357"/>
      <c r="Y13" s="357"/>
      <c r="Z13" s="357"/>
    </row>
    <row r="14">
      <c r="A14" s="466" t="s">
        <v>7391</v>
      </c>
      <c r="B14" s="466">
        <v>2024.0</v>
      </c>
      <c r="C14" s="466">
        <f t="shared" si="1"/>
        <v>2</v>
      </c>
      <c r="D14" s="467">
        <v>45338.0</v>
      </c>
      <c r="E14" s="468" t="s">
        <v>7411</v>
      </c>
      <c r="F14" s="468" t="s">
        <v>7412</v>
      </c>
      <c r="G14" s="466" t="s">
        <v>7106</v>
      </c>
      <c r="H14" s="469"/>
      <c r="I14" s="469">
        <v>1.0</v>
      </c>
      <c r="J14" s="470"/>
      <c r="K14" s="468" t="s">
        <v>7393</v>
      </c>
      <c r="L14" s="471">
        <v>95.0</v>
      </c>
      <c r="M14" s="469"/>
      <c r="N14" s="469"/>
      <c r="O14" s="466"/>
      <c r="P14" s="357"/>
      <c r="Q14" s="357"/>
      <c r="R14" s="357"/>
      <c r="S14" s="357"/>
      <c r="T14" s="357"/>
      <c r="U14" s="357"/>
      <c r="V14" s="357"/>
      <c r="W14" s="357"/>
      <c r="X14" s="357"/>
      <c r="Y14" s="357"/>
      <c r="Z14" s="357"/>
    </row>
    <row r="15">
      <c r="A15" s="466" t="s">
        <v>7391</v>
      </c>
      <c r="B15" s="466">
        <v>2024.0</v>
      </c>
      <c r="C15" s="466">
        <f t="shared" si="1"/>
        <v>2</v>
      </c>
      <c r="D15" s="467">
        <v>45338.0</v>
      </c>
      <c r="E15" s="468" t="s">
        <v>2772</v>
      </c>
      <c r="F15" s="468" t="s">
        <v>7413</v>
      </c>
      <c r="G15" s="466" t="s">
        <v>6613</v>
      </c>
      <c r="H15" s="469"/>
      <c r="I15" s="469">
        <v>1.0</v>
      </c>
      <c r="J15" s="470"/>
      <c r="K15" s="468" t="s">
        <v>7393</v>
      </c>
      <c r="L15" s="471">
        <v>75.0</v>
      </c>
      <c r="M15" s="469"/>
      <c r="N15" s="469"/>
      <c r="O15" s="466"/>
      <c r="P15" s="357"/>
      <c r="Q15" s="357"/>
      <c r="R15" s="357"/>
      <c r="S15" s="357"/>
      <c r="T15" s="357"/>
      <c r="U15" s="357"/>
      <c r="V15" s="357"/>
      <c r="W15" s="357"/>
      <c r="X15" s="357"/>
      <c r="Y15" s="357"/>
      <c r="Z15" s="357"/>
    </row>
    <row r="16">
      <c r="A16" s="466" t="s">
        <v>7391</v>
      </c>
      <c r="B16" s="466">
        <v>2024.0</v>
      </c>
      <c r="C16" s="466">
        <f t="shared" si="1"/>
        <v>2</v>
      </c>
      <c r="D16" s="467">
        <v>45338.0</v>
      </c>
      <c r="E16" s="468" t="s">
        <v>7414</v>
      </c>
      <c r="F16" s="468" t="s">
        <v>7415</v>
      </c>
      <c r="G16" s="466" t="s">
        <v>6613</v>
      </c>
      <c r="H16" s="469"/>
      <c r="I16" s="469">
        <v>1.0</v>
      </c>
      <c r="J16" s="470"/>
      <c r="K16" s="468" t="s">
        <v>7393</v>
      </c>
      <c r="L16" s="471">
        <v>75.0</v>
      </c>
      <c r="M16" s="469"/>
      <c r="N16" s="469"/>
      <c r="O16" s="466"/>
      <c r="P16" s="357"/>
      <c r="Q16" s="357"/>
      <c r="R16" s="357"/>
      <c r="S16" s="357"/>
      <c r="T16" s="357"/>
      <c r="U16" s="357"/>
      <c r="V16" s="357"/>
      <c r="W16" s="357"/>
      <c r="X16" s="357"/>
      <c r="Y16" s="357"/>
      <c r="Z16" s="357"/>
    </row>
    <row r="17">
      <c r="A17" s="466" t="s">
        <v>7391</v>
      </c>
      <c r="B17" s="466">
        <v>2024.0</v>
      </c>
      <c r="C17" s="466">
        <f t="shared" si="1"/>
        <v>2</v>
      </c>
      <c r="D17" s="467">
        <v>45338.0</v>
      </c>
      <c r="E17" s="468" t="s">
        <v>2582</v>
      </c>
      <c r="F17" s="468" t="s">
        <v>7416</v>
      </c>
      <c r="G17" s="466" t="s">
        <v>6613</v>
      </c>
      <c r="H17" s="474"/>
      <c r="I17" s="469">
        <v>1.0</v>
      </c>
      <c r="J17" s="470"/>
      <c r="K17" s="468" t="s">
        <v>7393</v>
      </c>
      <c r="L17" s="471">
        <v>70.0</v>
      </c>
      <c r="M17" s="469"/>
      <c r="N17" s="469"/>
      <c r="O17" s="466"/>
      <c r="P17" s="357"/>
      <c r="Q17" s="357"/>
      <c r="R17" s="357"/>
      <c r="S17" s="357"/>
      <c r="T17" s="357"/>
      <c r="U17" s="357"/>
      <c r="V17" s="357"/>
      <c r="W17" s="357"/>
      <c r="X17" s="357"/>
      <c r="Y17" s="357"/>
      <c r="Z17" s="357"/>
    </row>
    <row r="18">
      <c r="A18" s="466" t="s">
        <v>7391</v>
      </c>
      <c r="B18" s="466">
        <v>2024.0</v>
      </c>
      <c r="C18" s="466">
        <f t="shared" si="1"/>
        <v>2</v>
      </c>
      <c r="D18" s="467">
        <v>45338.0</v>
      </c>
      <c r="E18" s="468" t="s">
        <v>7417</v>
      </c>
      <c r="F18" s="468" t="s">
        <v>7418</v>
      </c>
      <c r="G18" s="466" t="s">
        <v>7395</v>
      </c>
      <c r="H18" s="469"/>
      <c r="I18" s="469">
        <v>2.0</v>
      </c>
      <c r="J18" s="470"/>
      <c r="K18" s="468" t="s">
        <v>7393</v>
      </c>
      <c r="L18" s="471">
        <v>105.0</v>
      </c>
      <c r="M18" s="469"/>
      <c r="N18" s="469"/>
      <c r="O18" s="466"/>
      <c r="P18" s="357"/>
      <c r="Q18" s="357"/>
      <c r="R18" s="357"/>
      <c r="S18" s="357"/>
      <c r="T18" s="357"/>
      <c r="U18" s="357"/>
      <c r="V18" s="357"/>
      <c r="W18" s="357"/>
      <c r="X18" s="357"/>
      <c r="Y18" s="357"/>
      <c r="Z18" s="357"/>
    </row>
    <row r="19">
      <c r="A19" s="466" t="s">
        <v>7391</v>
      </c>
      <c r="B19" s="466">
        <v>2024.0</v>
      </c>
      <c r="C19" s="466">
        <f t="shared" si="1"/>
        <v>2</v>
      </c>
      <c r="D19" s="467">
        <v>45338.0</v>
      </c>
      <c r="E19" s="468" t="s">
        <v>7419</v>
      </c>
      <c r="F19" s="468" t="s">
        <v>7420</v>
      </c>
      <c r="G19" s="466" t="s">
        <v>6613</v>
      </c>
      <c r="H19" s="469"/>
      <c r="I19" s="469">
        <v>1.0</v>
      </c>
      <c r="J19" s="470"/>
      <c r="K19" s="468" t="s">
        <v>7393</v>
      </c>
      <c r="L19" s="471">
        <v>75.0</v>
      </c>
      <c r="M19" s="469"/>
      <c r="N19" s="469"/>
      <c r="O19" s="466"/>
      <c r="P19" s="357"/>
      <c r="Q19" s="357"/>
      <c r="R19" s="357"/>
      <c r="S19" s="357"/>
      <c r="T19" s="357"/>
      <c r="U19" s="357"/>
      <c r="V19" s="357"/>
      <c r="W19" s="357"/>
      <c r="X19" s="357"/>
      <c r="Y19" s="357"/>
      <c r="Z19" s="357"/>
    </row>
    <row r="20">
      <c r="A20" s="466" t="s">
        <v>7391</v>
      </c>
      <c r="B20" s="466">
        <v>2024.0</v>
      </c>
      <c r="C20" s="466">
        <f t="shared" si="1"/>
        <v>2</v>
      </c>
      <c r="D20" s="467">
        <v>45338.0</v>
      </c>
      <c r="E20" s="468" t="s">
        <v>2441</v>
      </c>
      <c r="F20" s="468" t="s">
        <v>7421</v>
      </c>
      <c r="G20" s="466" t="s">
        <v>6613</v>
      </c>
      <c r="H20" s="469"/>
      <c r="I20" s="469">
        <v>1.0</v>
      </c>
      <c r="J20" s="470"/>
      <c r="K20" s="468" t="s">
        <v>7393</v>
      </c>
      <c r="L20" s="471">
        <v>75.0</v>
      </c>
      <c r="M20" s="469"/>
      <c r="N20" s="469"/>
      <c r="O20" s="466"/>
      <c r="P20" s="357"/>
      <c r="Q20" s="357"/>
      <c r="R20" s="357"/>
      <c r="S20" s="357"/>
      <c r="T20" s="357"/>
      <c r="U20" s="357"/>
      <c r="V20" s="357"/>
      <c r="W20" s="357"/>
      <c r="X20" s="357"/>
      <c r="Y20" s="357"/>
      <c r="Z20" s="357"/>
    </row>
    <row r="21" ht="15.75" customHeight="1">
      <c r="A21" s="466" t="s">
        <v>7391</v>
      </c>
      <c r="B21" s="466">
        <v>2024.0</v>
      </c>
      <c r="C21" s="466">
        <f t="shared" si="1"/>
        <v>2</v>
      </c>
      <c r="D21" s="467">
        <v>45338.0</v>
      </c>
      <c r="E21" s="468" t="s">
        <v>7396</v>
      </c>
      <c r="F21" s="468" t="s">
        <v>7422</v>
      </c>
      <c r="G21" s="466" t="s">
        <v>7395</v>
      </c>
      <c r="H21" s="469"/>
      <c r="I21" s="469">
        <v>1.0</v>
      </c>
      <c r="J21" s="470"/>
      <c r="K21" s="468" t="s">
        <v>7393</v>
      </c>
      <c r="L21" s="471">
        <v>55.0</v>
      </c>
      <c r="M21" s="469"/>
      <c r="N21" s="469"/>
      <c r="O21" s="466"/>
      <c r="P21" s="357"/>
      <c r="Q21" s="357"/>
      <c r="R21" s="357"/>
      <c r="S21" s="357"/>
      <c r="T21" s="357"/>
      <c r="U21" s="357"/>
      <c r="V21" s="357"/>
      <c r="W21" s="357"/>
      <c r="X21" s="357"/>
      <c r="Y21" s="357"/>
      <c r="Z21" s="357"/>
    </row>
    <row r="22" ht="15.75" customHeight="1">
      <c r="A22" s="466" t="s">
        <v>7391</v>
      </c>
      <c r="B22" s="466">
        <v>2024.0</v>
      </c>
      <c r="C22" s="466">
        <f t="shared" si="1"/>
        <v>2</v>
      </c>
      <c r="D22" s="467">
        <v>45338.0</v>
      </c>
      <c r="E22" s="468" t="s">
        <v>7423</v>
      </c>
      <c r="F22" s="468" t="s">
        <v>7424</v>
      </c>
      <c r="G22" s="466" t="s">
        <v>7395</v>
      </c>
      <c r="H22" s="469"/>
      <c r="I22" s="469">
        <v>2.0</v>
      </c>
      <c r="J22" s="470"/>
      <c r="K22" s="468" t="s">
        <v>7393</v>
      </c>
      <c r="L22" s="471">
        <v>105.0</v>
      </c>
      <c r="M22" s="469"/>
      <c r="N22" s="469"/>
      <c r="O22" s="466"/>
      <c r="P22" s="357"/>
      <c r="Q22" s="357"/>
      <c r="R22" s="357"/>
      <c r="S22" s="357"/>
      <c r="T22" s="357"/>
      <c r="U22" s="357"/>
      <c r="V22" s="357"/>
      <c r="W22" s="357"/>
      <c r="X22" s="357"/>
      <c r="Y22" s="357"/>
      <c r="Z22" s="357"/>
    </row>
    <row r="23" ht="15.75" customHeight="1">
      <c r="A23" s="466" t="s">
        <v>7391</v>
      </c>
      <c r="B23" s="466">
        <v>2024.0</v>
      </c>
      <c r="C23" s="466">
        <f t="shared" si="1"/>
        <v>2</v>
      </c>
      <c r="D23" s="467">
        <v>45339.0</v>
      </c>
      <c r="E23" s="468" t="s">
        <v>2561</v>
      </c>
      <c r="F23" s="468" t="s">
        <v>7425</v>
      </c>
      <c r="G23" s="466" t="s">
        <v>6613</v>
      </c>
      <c r="H23" s="469"/>
      <c r="I23" s="469">
        <v>1.0</v>
      </c>
      <c r="J23" s="470"/>
      <c r="K23" s="468" t="s">
        <v>7393</v>
      </c>
      <c r="L23" s="471">
        <v>75.0</v>
      </c>
      <c r="M23" s="469"/>
      <c r="N23" s="469"/>
      <c r="O23" s="466"/>
      <c r="P23" s="357"/>
      <c r="Q23" s="357"/>
      <c r="R23" s="357"/>
      <c r="S23" s="357"/>
      <c r="T23" s="357"/>
      <c r="U23" s="357"/>
      <c r="V23" s="357"/>
      <c r="W23" s="357"/>
      <c r="X23" s="357"/>
      <c r="Y23" s="357"/>
      <c r="Z23" s="357"/>
    </row>
    <row r="24" ht="15.75" customHeight="1">
      <c r="A24" s="466" t="s">
        <v>7391</v>
      </c>
      <c r="B24" s="466">
        <v>2024.0</v>
      </c>
      <c r="C24" s="466">
        <f t="shared" si="1"/>
        <v>2</v>
      </c>
      <c r="D24" s="467">
        <v>45342.0</v>
      </c>
      <c r="E24" s="468" t="s">
        <v>2547</v>
      </c>
      <c r="F24" s="468" t="s">
        <v>7426</v>
      </c>
      <c r="G24" s="466" t="s">
        <v>6613</v>
      </c>
      <c r="H24" s="469"/>
      <c r="I24" s="469">
        <v>1.0</v>
      </c>
      <c r="J24" s="470"/>
      <c r="K24" s="468" t="s">
        <v>7393</v>
      </c>
      <c r="L24" s="471">
        <v>75.0</v>
      </c>
      <c r="M24" s="469"/>
      <c r="N24" s="469"/>
      <c r="O24" s="466"/>
      <c r="P24" s="357"/>
      <c r="Q24" s="357"/>
      <c r="R24" s="357"/>
      <c r="S24" s="357"/>
      <c r="T24" s="357"/>
      <c r="U24" s="357"/>
      <c r="V24" s="357"/>
      <c r="W24" s="357"/>
      <c r="X24" s="357"/>
      <c r="Y24" s="357"/>
      <c r="Z24" s="357"/>
    </row>
    <row r="25" ht="15.75" customHeight="1">
      <c r="A25" s="466" t="s">
        <v>7391</v>
      </c>
      <c r="B25" s="466">
        <v>2024.0</v>
      </c>
      <c r="C25" s="466">
        <f t="shared" si="1"/>
        <v>2</v>
      </c>
      <c r="D25" s="467">
        <v>45342.0</v>
      </c>
      <c r="E25" s="468" t="s">
        <v>2615</v>
      </c>
      <c r="F25" s="468" t="s">
        <v>7427</v>
      </c>
      <c r="G25" s="466" t="s">
        <v>7395</v>
      </c>
      <c r="H25" s="468"/>
      <c r="I25" s="475">
        <v>1.0</v>
      </c>
      <c r="J25" s="476"/>
      <c r="K25" s="468" t="s">
        <v>7393</v>
      </c>
      <c r="L25" s="477">
        <v>55.0</v>
      </c>
      <c r="M25" s="468"/>
      <c r="N25" s="468"/>
      <c r="O25" s="466"/>
      <c r="P25" s="357"/>
      <c r="Q25" s="357"/>
      <c r="R25" s="357"/>
      <c r="S25" s="357"/>
      <c r="T25" s="357"/>
      <c r="U25" s="357"/>
      <c r="V25" s="357"/>
      <c r="W25" s="357"/>
      <c r="X25" s="357"/>
      <c r="Y25" s="357"/>
      <c r="Z25" s="357"/>
    </row>
    <row r="26" ht="15.75" customHeight="1">
      <c r="A26" s="466" t="s">
        <v>7391</v>
      </c>
      <c r="B26" s="466">
        <v>2024.0</v>
      </c>
      <c r="C26" s="466">
        <f t="shared" si="1"/>
        <v>2</v>
      </c>
      <c r="D26" s="467">
        <v>45343.0</v>
      </c>
      <c r="E26" s="468" t="s">
        <v>2623</v>
      </c>
      <c r="F26" s="468" t="s">
        <v>7428</v>
      </c>
      <c r="G26" s="466" t="s">
        <v>7106</v>
      </c>
      <c r="H26" s="468"/>
      <c r="I26" s="475">
        <v>1.0</v>
      </c>
      <c r="J26" s="476"/>
      <c r="K26" s="468" t="s">
        <v>7393</v>
      </c>
      <c r="L26" s="477">
        <v>95.0</v>
      </c>
      <c r="M26" s="468"/>
      <c r="N26" s="468"/>
      <c r="O26" s="466"/>
      <c r="P26" s="357"/>
      <c r="Q26" s="357"/>
      <c r="R26" s="357"/>
      <c r="S26" s="357"/>
      <c r="T26" s="357"/>
      <c r="U26" s="357"/>
      <c r="V26" s="357"/>
      <c r="W26" s="357"/>
      <c r="X26" s="357"/>
      <c r="Y26" s="357"/>
      <c r="Z26" s="357"/>
    </row>
    <row r="27" ht="15.75" customHeight="1">
      <c r="A27" s="466" t="s">
        <v>7391</v>
      </c>
      <c r="B27" s="466">
        <v>2024.0</v>
      </c>
      <c r="C27" s="466">
        <f t="shared" si="1"/>
        <v>2</v>
      </c>
      <c r="D27" s="467">
        <v>45344.0</v>
      </c>
      <c r="E27" s="468" t="s">
        <v>7429</v>
      </c>
      <c r="F27" s="468" t="s">
        <v>7430</v>
      </c>
      <c r="G27" s="466" t="s">
        <v>7106</v>
      </c>
      <c r="H27" s="468"/>
      <c r="I27" s="475">
        <v>1.0</v>
      </c>
      <c r="J27" s="476"/>
      <c r="K27" s="468" t="s">
        <v>7393</v>
      </c>
      <c r="L27" s="477">
        <v>80.0</v>
      </c>
      <c r="M27" s="468"/>
      <c r="N27" s="468"/>
      <c r="O27" s="466"/>
      <c r="P27" s="357"/>
      <c r="Q27" s="357"/>
      <c r="R27" s="357"/>
      <c r="S27" s="357"/>
      <c r="T27" s="357"/>
      <c r="U27" s="357"/>
      <c r="V27" s="357"/>
      <c r="W27" s="357"/>
      <c r="X27" s="357"/>
      <c r="Y27" s="357"/>
      <c r="Z27" s="357"/>
    </row>
    <row r="28" ht="15.75" customHeight="1">
      <c r="A28" s="466" t="s">
        <v>7391</v>
      </c>
      <c r="B28" s="466">
        <v>2024.0</v>
      </c>
      <c r="C28" s="466">
        <f t="shared" si="1"/>
        <v>2</v>
      </c>
      <c r="D28" s="467">
        <v>45346.0</v>
      </c>
      <c r="E28" s="468" t="s">
        <v>2582</v>
      </c>
      <c r="F28" s="468" t="s">
        <v>7431</v>
      </c>
      <c r="G28" s="466" t="s">
        <v>6613</v>
      </c>
      <c r="H28" s="474"/>
      <c r="I28" s="475">
        <v>1.0</v>
      </c>
      <c r="J28" s="476"/>
      <c r="K28" s="468" t="s">
        <v>7393</v>
      </c>
      <c r="L28" s="477">
        <v>70.0</v>
      </c>
      <c r="M28" s="468"/>
      <c r="N28" s="468"/>
      <c r="O28" s="466"/>
      <c r="P28" s="357"/>
      <c r="Q28" s="357"/>
      <c r="R28" s="357"/>
      <c r="S28" s="357"/>
      <c r="T28" s="357"/>
      <c r="U28" s="357"/>
      <c r="V28" s="357"/>
      <c r="W28" s="357"/>
      <c r="X28" s="357"/>
      <c r="Y28" s="357"/>
      <c r="Z28" s="357"/>
    </row>
    <row r="29" ht="15.75" customHeight="1">
      <c r="A29" s="466" t="s">
        <v>7391</v>
      </c>
      <c r="B29" s="466">
        <v>2024.0</v>
      </c>
      <c r="C29" s="466">
        <f t="shared" si="1"/>
        <v>2</v>
      </c>
      <c r="D29" s="467">
        <v>45346.0</v>
      </c>
      <c r="E29" s="468" t="s">
        <v>7432</v>
      </c>
      <c r="F29" s="473" t="s">
        <v>7433</v>
      </c>
      <c r="G29" s="466" t="s">
        <v>7106</v>
      </c>
      <c r="H29" s="469"/>
      <c r="I29" s="469">
        <v>1.0</v>
      </c>
      <c r="J29" s="470"/>
      <c r="K29" s="468" t="s">
        <v>7393</v>
      </c>
      <c r="L29" s="477">
        <v>95.0</v>
      </c>
      <c r="M29" s="468"/>
      <c r="N29" s="468"/>
      <c r="O29" s="466"/>
      <c r="P29" s="357"/>
      <c r="Q29" s="357"/>
      <c r="R29" s="357"/>
      <c r="S29" s="357"/>
      <c r="T29" s="357"/>
      <c r="U29" s="357"/>
      <c r="V29" s="357"/>
      <c r="W29" s="357"/>
      <c r="X29" s="357"/>
      <c r="Y29" s="357"/>
      <c r="Z29" s="357"/>
    </row>
    <row r="30" ht="15.75" customHeight="1">
      <c r="A30" s="466" t="s">
        <v>7391</v>
      </c>
      <c r="B30" s="466">
        <v>2024.0</v>
      </c>
      <c r="C30" s="466">
        <f t="shared" si="1"/>
        <v>2</v>
      </c>
      <c r="D30" s="467">
        <v>45348.0</v>
      </c>
      <c r="E30" s="468" t="s">
        <v>7434</v>
      </c>
      <c r="F30" s="468" t="s">
        <v>7435</v>
      </c>
      <c r="G30" s="466" t="s">
        <v>6613</v>
      </c>
      <c r="H30" s="469"/>
      <c r="I30" s="469">
        <v>1.0</v>
      </c>
      <c r="J30" s="470"/>
      <c r="K30" s="468" t="s">
        <v>7393</v>
      </c>
      <c r="L30" s="477">
        <v>75.0</v>
      </c>
      <c r="M30" s="468"/>
      <c r="N30" s="468"/>
      <c r="O30" s="466"/>
      <c r="P30" s="357"/>
      <c r="Q30" s="357"/>
      <c r="R30" s="357"/>
      <c r="S30" s="357"/>
      <c r="T30" s="357"/>
      <c r="U30" s="357"/>
      <c r="V30" s="357"/>
      <c r="W30" s="357"/>
      <c r="X30" s="357"/>
      <c r="Y30" s="357"/>
      <c r="Z30" s="357"/>
    </row>
    <row r="31" ht="15.75" customHeight="1">
      <c r="A31" s="466" t="s">
        <v>7391</v>
      </c>
      <c r="B31" s="466">
        <v>2024.0</v>
      </c>
      <c r="C31" s="466">
        <f t="shared" si="1"/>
        <v>2</v>
      </c>
      <c r="D31" s="467">
        <v>45349.0</v>
      </c>
      <c r="E31" s="468" t="s">
        <v>7436</v>
      </c>
      <c r="F31" s="473" t="s">
        <v>7437</v>
      </c>
      <c r="G31" s="466" t="s">
        <v>7395</v>
      </c>
      <c r="H31" s="469"/>
      <c r="I31" s="469">
        <v>1.0</v>
      </c>
      <c r="J31" s="470"/>
      <c r="K31" s="468" t="s">
        <v>7393</v>
      </c>
      <c r="L31" s="477">
        <v>55.0</v>
      </c>
      <c r="M31" s="468"/>
      <c r="N31" s="468"/>
      <c r="O31" s="466"/>
      <c r="P31" s="357"/>
      <c r="Q31" s="357"/>
      <c r="R31" s="357"/>
      <c r="S31" s="357"/>
      <c r="T31" s="357"/>
      <c r="U31" s="357"/>
      <c r="V31" s="357"/>
      <c r="W31" s="357"/>
      <c r="X31" s="357"/>
      <c r="Y31" s="357"/>
      <c r="Z31" s="357"/>
    </row>
    <row r="32" ht="15.75" customHeight="1">
      <c r="A32" s="466" t="s">
        <v>7391</v>
      </c>
      <c r="B32" s="466">
        <v>2024.0</v>
      </c>
      <c r="C32" s="466">
        <f t="shared" si="1"/>
        <v>2</v>
      </c>
      <c r="D32" s="467">
        <v>45350.0</v>
      </c>
      <c r="E32" s="468" t="s">
        <v>7396</v>
      </c>
      <c r="F32" s="468" t="s">
        <v>7438</v>
      </c>
      <c r="G32" s="466" t="s">
        <v>6613</v>
      </c>
      <c r="H32" s="469"/>
      <c r="I32" s="469">
        <v>1.0</v>
      </c>
      <c r="J32" s="470"/>
      <c r="K32" s="468" t="s">
        <v>7393</v>
      </c>
      <c r="L32" s="477">
        <v>70.0</v>
      </c>
      <c r="M32" s="468"/>
      <c r="N32" s="468"/>
      <c r="O32" s="466"/>
      <c r="P32" s="357"/>
      <c r="Q32" s="357"/>
      <c r="R32" s="357"/>
      <c r="S32" s="357"/>
      <c r="T32" s="357"/>
      <c r="U32" s="357"/>
      <c r="V32" s="357"/>
      <c r="W32" s="357"/>
      <c r="X32" s="357"/>
      <c r="Y32" s="357"/>
      <c r="Z32" s="357"/>
    </row>
    <row r="33" ht="15.75" customHeight="1">
      <c r="A33" s="466" t="s">
        <v>7391</v>
      </c>
      <c r="B33" s="466">
        <v>2024.0</v>
      </c>
      <c r="C33" s="466">
        <f t="shared" si="1"/>
        <v>3</v>
      </c>
      <c r="D33" s="467">
        <v>45353.0</v>
      </c>
      <c r="E33" s="468" t="s">
        <v>2772</v>
      </c>
      <c r="F33" s="468" t="s">
        <v>7439</v>
      </c>
      <c r="G33" s="466" t="s">
        <v>7106</v>
      </c>
      <c r="H33" s="469"/>
      <c r="I33" s="469">
        <v>1.0</v>
      </c>
      <c r="J33" s="470"/>
      <c r="K33" s="468" t="s">
        <v>7393</v>
      </c>
      <c r="L33" s="471">
        <v>90.0</v>
      </c>
      <c r="M33" s="469"/>
      <c r="N33" s="469"/>
      <c r="O33" s="466"/>
      <c r="P33" s="357"/>
      <c r="Q33" s="357"/>
      <c r="R33" s="357"/>
      <c r="S33" s="357"/>
      <c r="T33" s="357"/>
      <c r="U33" s="357"/>
      <c r="V33" s="357"/>
      <c r="W33" s="357"/>
      <c r="X33" s="357"/>
      <c r="Y33" s="357"/>
      <c r="Z33" s="357"/>
    </row>
    <row r="34" ht="15.75" customHeight="1">
      <c r="A34" s="466" t="s">
        <v>7391</v>
      </c>
      <c r="B34" s="466">
        <v>2024.0</v>
      </c>
      <c r="C34" s="466">
        <f t="shared" si="1"/>
        <v>3</v>
      </c>
      <c r="D34" s="467">
        <v>45355.0</v>
      </c>
      <c r="E34" s="468" t="s">
        <v>7440</v>
      </c>
      <c r="F34" s="468" t="s">
        <v>7441</v>
      </c>
      <c r="G34" s="466" t="s">
        <v>7395</v>
      </c>
      <c r="H34" s="469"/>
      <c r="I34" s="469">
        <v>1.0</v>
      </c>
      <c r="J34" s="470"/>
      <c r="K34" s="468" t="s">
        <v>7393</v>
      </c>
      <c r="L34" s="471">
        <v>55.0</v>
      </c>
      <c r="M34" s="469"/>
      <c r="N34" s="469"/>
      <c r="O34" s="466"/>
      <c r="P34" s="357"/>
      <c r="Q34" s="357"/>
      <c r="R34" s="357"/>
      <c r="S34" s="357"/>
      <c r="T34" s="357"/>
      <c r="U34" s="357"/>
      <c r="V34" s="357"/>
      <c r="W34" s="357"/>
      <c r="X34" s="357"/>
      <c r="Y34" s="357"/>
      <c r="Z34" s="357"/>
    </row>
    <row r="35" ht="15.75" customHeight="1">
      <c r="A35" s="466" t="s">
        <v>7391</v>
      </c>
      <c r="B35" s="466">
        <v>2024.0</v>
      </c>
      <c r="C35" s="466">
        <f t="shared" si="1"/>
        <v>3</v>
      </c>
      <c r="D35" s="467">
        <v>45356.0</v>
      </c>
      <c r="E35" s="468" t="s">
        <v>7442</v>
      </c>
      <c r="F35" s="468" t="s">
        <v>7443</v>
      </c>
      <c r="G35" s="466" t="s">
        <v>7106</v>
      </c>
      <c r="H35" s="469"/>
      <c r="I35" s="469">
        <v>1.0</v>
      </c>
      <c r="J35" s="470"/>
      <c r="K35" s="468" t="s">
        <v>7393</v>
      </c>
      <c r="L35" s="471">
        <v>90.0</v>
      </c>
      <c r="M35" s="469"/>
      <c r="N35" s="469"/>
      <c r="O35" s="466"/>
      <c r="P35" s="357"/>
      <c r="Q35" s="357"/>
      <c r="R35" s="357"/>
      <c r="S35" s="357"/>
      <c r="T35" s="357"/>
      <c r="U35" s="357"/>
      <c r="V35" s="357"/>
      <c r="W35" s="357"/>
      <c r="X35" s="357"/>
      <c r="Y35" s="357"/>
      <c r="Z35" s="357"/>
    </row>
    <row r="36" ht="15.75" customHeight="1">
      <c r="A36" s="466" t="s">
        <v>7391</v>
      </c>
      <c r="B36" s="466">
        <v>2024.0</v>
      </c>
      <c r="C36" s="466">
        <f t="shared" si="1"/>
        <v>3</v>
      </c>
      <c r="D36" s="467">
        <v>45357.0</v>
      </c>
      <c r="E36" s="468" t="s">
        <v>2597</v>
      </c>
      <c r="F36" s="468" t="s">
        <v>7444</v>
      </c>
      <c r="G36" s="466" t="s">
        <v>6613</v>
      </c>
      <c r="H36" s="469"/>
      <c r="I36" s="469">
        <v>1.0</v>
      </c>
      <c r="J36" s="470"/>
      <c r="K36" s="468" t="s">
        <v>7393</v>
      </c>
      <c r="L36" s="471">
        <v>75.0</v>
      </c>
      <c r="M36" s="469"/>
      <c r="N36" s="469"/>
      <c r="O36" s="466"/>
      <c r="P36" s="357"/>
      <c r="Q36" s="357"/>
      <c r="R36" s="357"/>
      <c r="S36" s="357"/>
      <c r="T36" s="357"/>
      <c r="U36" s="357"/>
      <c r="V36" s="357"/>
      <c r="W36" s="357"/>
      <c r="X36" s="357"/>
      <c r="Y36" s="357"/>
      <c r="Z36" s="357"/>
    </row>
    <row r="37" ht="15.75" customHeight="1">
      <c r="A37" s="466" t="s">
        <v>7391</v>
      </c>
      <c r="B37" s="466">
        <v>2024.0</v>
      </c>
      <c r="C37" s="466">
        <f t="shared" si="1"/>
        <v>3</v>
      </c>
      <c r="D37" s="467">
        <v>45359.0</v>
      </c>
      <c r="E37" s="468" t="s">
        <v>2623</v>
      </c>
      <c r="F37" s="468" t="s">
        <v>7445</v>
      </c>
      <c r="G37" s="466" t="s">
        <v>7395</v>
      </c>
      <c r="H37" s="469"/>
      <c r="I37" s="469">
        <v>1.0</v>
      </c>
      <c r="J37" s="470"/>
      <c r="K37" s="468" t="s">
        <v>7393</v>
      </c>
      <c r="L37" s="471">
        <v>55.0</v>
      </c>
      <c r="M37" s="469"/>
      <c r="N37" s="469"/>
      <c r="O37" s="466"/>
      <c r="P37" s="357"/>
      <c r="Q37" s="357"/>
      <c r="R37" s="357"/>
      <c r="S37" s="357"/>
      <c r="T37" s="357"/>
      <c r="U37" s="357"/>
      <c r="V37" s="357"/>
      <c r="W37" s="357"/>
      <c r="X37" s="357"/>
      <c r="Y37" s="357"/>
      <c r="Z37" s="357"/>
    </row>
    <row r="38" ht="15.75" customHeight="1">
      <c r="A38" s="466" t="s">
        <v>7391</v>
      </c>
      <c r="B38" s="466">
        <v>2024.0</v>
      </c>
      <c r="C38" s="466">
        <f t="shared" si="1"/>
        <v>3</v>
      </c>
      <c r="D38" s="467">
        <v>45359.0</v>
      </c>
      <c r="E38" s="468" t="s">
        <v>7446</v>
      </c>
      <c r="F38" s="468" t="s">
        <v>7447</v>
      </c>
      <c r="G38" s="466" t="s">
        <v>7106</v>
      </c>
      <c r="H38" s="469"/>
      <c r="I38" s="469">
        <v>1.0</v>
      </c>
      <c r="J38" s="470"/>
      <c r="K38" s="468" t="s">
        <v>7393</v>
      </c>
      <c r="L38" s="471" t="s">
        <v>7448</v>
      </c>
      <c r="M38" s="469"/>
      <c r="N38" s="469"/>
      <c r="O38" s="466"/>
      <c r="P38" s="357"/>
      <c r="Q38" s="357"/>
      <c r="R38" s="357"/>
      <c r="S38" s="357"/>
      <c r="T38" s="357"/>
      <c r="U38" s="357"/>
      <c r="V38" s="357"/>
      <c r="W38" s="357"/>
      <c r="X38" s="357"/>
      <c r="Y38" s="357"/>
      <c r="Z38" s="357"/>
    </row>
    <row r="39" ht="15.75" customHeight="1">
      <c r="A39" s="466" t="s">
        <v>7391</v>
      </c>
      <c r="B39" s="466">
        <v>2024.0</v>
      </c>
      <c r="C39" s="466">
        <f t="shared" si="1"/>
        <v>3</v>
      </c>
      <c r="D39" s="467">
        <v>45366.0</v>
      </c>
      <c r="E39" s="468" t="s">
        <v>7449</v>
      </c>
      <c r="F39" s="468" t="s">
        <v>7450</v>
      </c>
      <c r="G39" s="466" t="s">
        <v>7075</v>
      </c>
      <c r="H39" s="469"/>
      <c r="I39" s="469">
        <v>1.0</v>
      </c>
      <c r="J39" s="470"/>
      <c r="K39" s="468" t="s">
        <v>7393</v>
      </c>
      <c r="L39" s="471">
        <v>110.0</v>
      </c>
      <c r="M39" s="469"/>
      <c r="N39" s="469"/>
      <c r="O39" s="466"/>
      <c r="P39" s="357"/>
      <c r="Q39" s="357"/>
      <c r="R39" s="357"/>
      <c r="S39" s="357"/>
      <c r="T39" s="357"/>
      <c r="U39" s="357"/>
      <c r="V39" s="357"/>
      <c r="W39" s="357"/>
      <c r="X39" s="357"/>
      <c r="Y39" s="357"/>
      <c r="Z39" s="357"/>
    </row>
    <row r="40" ht="15.75" customHeight="1">
      <c r="A40" s="466" t="s">
        <v>7391</v>
      </c>
      <c r="B40" s="466">
        <v>2024.0</v>
      </c>
      <c r="C40" s="466">
        <f t="shared" si="1"/>
        <v>3</v>
      </c>
      <c r="D40" s="467">
        <v>45366.0</v>
      </c>
      <c r="E40" s="468" t="s">
        <v>7451</v>
      </c>
      <c r="F40" s="468" t="s">
        <v>7452</v>
      </c>
      <c r="G40" s="466" t="s">
        <v>7075</v>
      </c>
      <c r="H40" s="469"/>
      <c r="I40" s="469">
        <v>1.0</v>
      </c>
      <c r="J40" s="470"/>
      <c r="K40" s="468" t="s">
        <v>7393</v>
      </c>
      <c r="L40" s="471">
        <v>110.0</v>
      </c>
      <c r="M40" s="469"/>
      <c r="N40" s="469"/>
      <c r="O40" s="466"/>
      <c r="P40" s="357"/>
      <c r="Q40" s="357"/>
      <c r="R40" s="357"/>
      <c r="S40" s="357"/>
      <c r="T40" s="357"/>
      <c r="U40" s="357"/>
      <c r="V40" s="357"/>
      <c r="W40" s="357"/>
      <c r="X40" s="357"/>
      <c r="Y40" s="357"/>
      <c r="Z40" s="357"/>
    </row>
    <row r="41" ht="15.75" customHeight="1">
      <c r="A41" s="466" t="s">
        <v>7391</v>
      </c>
      <c r="B41" s="466">
        <v>2024.0</v>
      </c>
      <c r="C41" s="466">
        <f t="shared" si="1"/>
        <v>3</v>
      </c>
      <c r="D41" s="467">
        <v>45366.0</v>
      </c>
      <c r="E41" s="468" t="s">
        <v>7453</v>
      </c>
      <c r="F41" s="468" t="s">
        <v>7454</v>
      </c>
      <c r="G41" s="466" t="s">
        <v>7075</v>
      </c>
      <c r="H41" s="469"/>
      <c r="I41" s="469">
        <v>1.0</v>
      </c>
      <c r="J41" s="470"/>
      <c r="K41" s="468" t="s">
        <v>7393</v>
      </c>
      <c r="L41" s="471">
        <v>103.0</v>
      </c>
      <c r="M41" s="469"/>
      <c r="N41" s="469"/>
      <c r="O41" s="466"/>
      <c r="P41" s="357"/>
      <c r="Q41" s="357"/>
      <c r="R41" s="357"/>
      <c r="S41" s="357"/>
      <c r="T41" s="357"/>
      <c r="U41" s="357"/>
      <c r="V41" s="357"/>
      <c r="W41" s="357"/>
      <c r="X41" s="357"/>
      <c r="Y41" s="357"/>
      <c r="Z41" s="357"/>
    </row>
    <row r="42" ht="15.75" customHeight="1">
      <c r="A42" s="466" t="s">
        <v>7391</v>
      </c>
      <c r="B42" s="466">
        <v>2024.0</v>
      </c>
      <c r="C42" s="466">
        <f t="shared" si="1"/>
        <v>3</v>
      </c>
      <c r="D42" s="467">
        <v>45366.0</v>
      </c>
      <c r="E42" s="468" t="s">
        <v>7455</v>
      </c>
      <c r="F42" s="468" t="s">
        <v>7456</v>
      </c>
      <c r="G42" s="466" t="s">
        <v>7075</v>
      </c>
      <c r="H42" s="469"/>
      <c r="I42" s="469">
        <v>1.0</v>
      </c>
      <c r="J42" s="470"/>
      <c r="K42" s="468" t="s">
        <v>7393</v>
      </c>
      <c r="L42" s="471">
        <v>98.0</v>
      </c>
      <c r="M42" s="469"/>
      <c r="N42" s="469"/>
      <c r="O42" s="466"/>
      <c r="P42" s="357"/>
      <c r="Q42" s="357"/>
      <c r="R42" s="357"/>
      <c r="S42" s="357"/>
      <c r="T42" s="357"/>
      <c r="U42" s="357"/>
      <c r="V42" s="357"/>
      <c r="W42" s="357"/>
      <c r="X42" s="357"/>
      <c r="Y42" s="357"/>
      <c r="Z42" s="357"/>
    </row>
    <row r="43" ht="15.75" customHeight="1">
      <c r="A43" s="466" t="s">
        <v>7391</v>
      </c>
      <c r="B43" s="466">
        <v>2024.0</v>
      </c>
      <c r="C43" s="466">
        <f t="shared" si="1"/>
        <v>3</v>
      </c>
      <c r="D43" s="467">
        <v>45366.0</v>
      </c>
      <c r="E43" s="468" t="s">
        <v>7457</v>
      </c>
      <c r="F43" s="468" t="s">
        <v>7458</v>
      </c>
      <c r="G43" s="466" t="s">
        <v>7075</v>
      </c>
      <c r="H43" s="469"/>
      <c r="I43" s="469">
        <v>1.0</v>
      </c>
      <c r="J43" s="470"/>
      <c r="K43" s="468" t="s">
        <v>7393</v>
      </c>
      <c r="L43" s="471">
        <v>109.0</v>
      </c>
      <c r="M43" s="469"/>
      <c r="N43" s="469"/>
      <c r="O43" s="466"/>
      <c r="P43" s="357"/>
      <c r="Q43" s="357"/>
      <c r="R43" s="357"/>
      <c r="S43" s="357"/>
      <c r="T43" s="357"/>
      <c r="U43" s="357"/>
      <c r="V43" s="357"/>
      <c r="W43" s="357"/>
      <c r="X43" s="357"/>
      <c r="Y43" s="357"/>
      <c r="Z43" s="357"/>
    </row>
    <row r="44" ht="15.75" customHeight="1">
      <c r="A44" s="466" t="s">
        <v>7391</v>
      </c>
      <c r="B44" s="466">
        <v>2024.0</v>
      </c>
      <c r="C44" s="466">
        <f t="shared" si="1"/>
        <v>3</v>
      </c>
      <c r="D44" s="467">
        <v>45366.0</v>
      </c>
      <c r="E44" s="468" t="s">
        <v>7459</v>
      </c>
      <c r="F44" s="468" t="s">
        <v>7460</v>
      </c>
      <c r="G44" s="466" t="s">
        <v>7075</v>
      </c>
      <c r="H44" s="469"/>
      <c r="I44" s="469">
        <v>1.0</v>
      </c>
      <c r="J44" s="470"/>
      <c r="K44" s="468" t="s">
        <v>7393</v>
      </c>
      <c r="L44" s="471">
        <v>114.0</v>
      </c>
      <c r="M44" s="469"/>
      <c r="N44" s="469"/>
      <c r="O44" s="466"/>
      <c r="P44" s="357"/>
      <c r="Q44" s="357"/>
      <c r="R44" s="357"/>
      <c r="S44" s="357"/>
      <c r="T44" s="357"/>
      <c r="U44" s="357"/>
      <c r="V44" s="357"/>
      <c r="W44" s="357"/>
      <c r="X44" s="357"/>
      <c r="Y44" s="357"/>
      <c r="Z44" s="357"/>
    </row>
    <row r="45" ht="15.75" customHeight="1">
      <c r="A45" s="466" t="s">
        <v>7391</v>
      </c>
      <c r="B45" s="466">
        <v>2024.0</v>
      </c>
      <c r="C45" s="466">
        <f t="shared" si="1"/>
        <v>3</v>
      </c>
      <c r="D45" s="467">
        <v>45366.0</v>
      </c>
      <c r="E45" s="468" t="s">
        <v>7461</v>
      </c>
      <c r="F45" s="468" t="s">
        <v>7462</v>
      </c>
      <c r="G45" s="466" t="s">
        <v>7075</v>
      </c>
      <c r="H45" s="469"/>
      <c r="I45" s="469">
        <v>1.0</v>
      </c>
      <c r="J45" s="470"/>
      <c r="K45" s="468" t="s">
        <v>7393</v>
      </c>
      <c r="L45" s="471">
        <v>103.0</v>
      </c>
      <c r="M45" s="469"/>
      <c r="N45" s="469"/>
      <c r="O45" s="466"/>
      <c r="P45" s="357"/>
      <c r="Q45" s="357"/>
      <c r="R45" s="357"/>
      <c r="S45" s="357"/>
      <c r="T45" s="357"/>
      <c r="U45" s="357"/>
      <c r="V45" s="357"/>
      <c r="W45" s="357"/>
      <c r="X45" s="357"/>
      <c r="Y45" s="357"/>
      <c r="Z45" s="357"/>
    </row>
    <row r="46" ht="15.75" customHeight="1">
      <c r="A46" s="466" t="s">
        <v>7391</v>
      </c>
      <c r="B46" s="466">
        <v>2024.0</v>
      </c>
      <c r="C46" s="466">
        <f t="shared" si="1"/>
        <v>3</v>
      </c>
      <c r="D46" s="467">
        <v>45366.0</v>
      </c>
      <c r="E46" s="468" t="s">
        <v>7463</v>
      </c>
      <c r="F46" s="468" t="s">
        <v>7464</v>
      </c>
      <c r="G46" s="466" t="s">
        <v>7075</v>
      </c>
      <c r="H46" s="469"/>
      <c r="I46" s="469">
        <v>1.0</v>
      </c>
      <c r="J46" s="470"/>
      <c r="K46" s="468" t="s">
        <v>7393</v>
      </c>
      <c r="L46" s="471">
        <v>98.0</v>
      </c>
      <c r="M46" s="469"/>
      <c r="N46" s="469"/>
      <c r="O46" s="466"/>
      <c r="P46" s="357"/>
      <c r="Q46" s="357"/>
      <c r="R46" s="357"/>
      <c r="S46" s="357"/>
      <c r="T46" s="357"/>
      <c r="U46" s="357"/>
      <c r="V46" s="357"/>
      <c r="W46" s="357"/>
      <c r="X46" s="357"/>
      <c r="Y46" s="357"/>
      <c r="Z46" s="357"/>
    </row>
    <row r="47" ht="15.75" customHeight="1">
      <c r="A47" s="466" t="s">
        <v>7391</v>
      </c>
      <c r="B47" s="466">
        <v>2024.0</v>
      </c>
      <c r="C47" s="466">
        <f t="shared" si="1"/>
        <v>3</v>
      </c>
      <c r="D47" s="467">
        <v>45366.0</v>
      </c>
      <c r="E47" s="468" t="s">
        <v>7465</v>
      </c>
      <c r="F47" s="468" t="s">
        <v>7466</v>
      </c>
      <c r="G47" s="466" t="s">
        <v>7075</v>
      </c>
      <c r="H47" s="474"/>
      <c r="I47" s="469">
        <v>1.0</v>
      </c>
      <c r="J47" s="470"/>
      <c r="K47" s="468" t="s">
        <v>7393</v>
      </c>
      <c r="L47" s="471">
        <v>110.0</v>
      </c>
      <c r="M47" s="469"/>
      <c r="N47" s="469"/>
      <c r="O47" s="466"/>
      <c r="P47" s="357"/>
      <c r="Q47" s="357"/>
      <c r="R47" s="357"/>
      <c r="S47" s="357"/>
      <c r="T47" s="357"/>
      <c r="U47" s="357"/>
      <c r="V47" s="357"/>
      <c r="W47" s="357"/>
      <c r="X47" s="357"/>
      <c r="Y47" s="357"/>
      <c r="Z47" s="357"/>
    </row>
    <row r="48" ht="15.75" customHeight="1">
      <c r="A48" s="466" t="s">
        <v>7391</v>
      </c>
      <c r="B48" s="466">
        <v>2024.0</v>
      </c>
      <c r="C48" s="466">
        <f t="shared" si="1"/>
        <v>3</v>
      </c>
      <c r="D48" s="467">
        <v>45368.0</v>
      </c>
      <c r="E48" s="468" t="s">
        <v>7467</v>
      </c>
      <c r="F48" s="468" t="s">
        <v>7468</v>
      </c>
      <c r="G48" s="466" t="s">
        <v>6613</v>
      </c>
      <c r="H48" s="469"/>
      <c r="I48" s="469">
        <v>1.0</v>
      </c>
      <c r="J48" s="470"/>
      <c r="K48" s="468" t="s">
        <v>7393</v>
      </c>
      <c r="L48" s="471">
        <v>75.0</v>
      </c>
      <c r="M48" s="469"/>
      <c r="N48" s="469"/>
      <c r="O48" s="466"/>
      <c r="P48" s="357"/>
      <c r="Q48" s="357"/>
      <c r="R48" s="357"/>
      <c r="S48" s="357"/>
      <c r="T48" s="357"/>
      <c r="U48" s="357"/>
      <c r="V48" s="357"/>
      <c r="W48" s="357"/>
      <c r="X48" s="357"/>
      <c r="Y48" s="357"/>
      <c r="Z48" s="357"/>
    </row>
    <row r="49" ht="15.75" customHeight="1">
      <c r="A49" s="466" t="s">
        <v>7391</v>
      </c>
      <c r="B49" s="466">
        <v>2024.0</v>
      </c>
      <c r="C49" s="466">
        <f t="shared" si="1"/>
        <v>3</v>
      </c>
      <c r="D49" s="467">
        <v>45368.0</v>
      </c>
      <c r="E49" s="468" t="s">
        <v>7469</v>
      </c>
      <c r="F49" s="468" t="s">
        <v>7470</v>
      </c>
      <c r="G49" s="466" t="s">
        <v>7075</v>
      </c>
      <c r="H49" s="469"/>
      <c r="I49" s="469">
        <v>1.0</v>
      </c>
      <c r="J49" s="470"/>
      <c r="K49" s="468" t="s">
        <v>7393</v>
      </c>
      <c r="L49" s="471">
        <v>103.0</v>
      </c>
      <c r="M49" s="469"/>
      <c r="N49" s="469"/>
      <c r="O49" s="466"/>
      <c r="P49" s="357"/>
      <c r="Q49" s="357"/>
      <c r="R49" s="357"/>
      <c r="S49" s="357"/>
      <c r="T49" s="357"/>
      <c r="U49" s="357"/>
      <c r="V49" s="357"/>
      <c r="W49" s="357"/>
      <c r="X49" s="357"/>
      <c r="Y49" s="357"/>
      <c r="Z49" s="357"/>
    </row>
    <row r="50" ht="15.75" customHeight="1">
      <c r="A50" s="466" t="s">
        <v>7391</v>
      </c>
      <c r="B50" s="466">
        <v>2024.0</v>
      </c>
      <c r="C50" s="466">
        <f t="shared" si="1"/>
        <v>3</v>
      </c>
      <c r="D50" s="467">
        <v>45369.0</v>
      </c>
      <c r="E50" s="468" t="s">
        <v>7471</v>
      </c>
      <c r="F50" s="468" t="s">
        <v>7472</v>
      </c>
      <c r="G50" s="466" t="s">
        <v>7075</v>
      </c>
      <c r="H50" s="469"/>
      <c r="I50" s="469">
        <v>1.0</v>
      </c>
      <c r="J50" s="470"/>
      <c r="K50" s="468" t="s">
        <v>7393</v>
      </c>
      <c r="L50" s="471">
        <v>95.0</v>
      </c>
      <c r="M50" s="469"/>
      <c r="N50" s="469"/>
      <c r="O50" s="466"/>
      <c r="P50" s="357"/>
      <c r="Q50" s="357"/>
      <c r="R50" s="357"/>
      <c r="S50" s="357"/>
      <c r="T50" s="357"/>
      <c r="U50" s="357"/>
      <c r="V50" s="357"/>
      <c r="W50" s="357"/>
      <c r="X50" s="357"/>
      <c r="Y50" s="357"/>
      <c r="Z50" s="357"/>
    </row>
    <row r="51" ht="15.75" customHeight="1">
      <c r="A51" s="466" t="s">
        <v>7391</v>
      </c>
      <c r="B51" s="466">
        <v>2024.0</v>
      </c>
      <c r="C51" s="466">
        <f t="shared" si="1"/>
        <v>3</v>
      </c>
      <c r="D51" s="467">
        <v>45369.0</v>
      </c>
      <c r="E51" s="468" t="s">
        <v>7473</v>
      </c>
      <c r="F51" s="468" t="s">
        <v>7474</v>
      </c>
      <c r="G51" s="466" t="s">
        <v>7075</v>
      </c>
      <c r="H51" s="469"/>
      <c r="I51" s="469">
        <v>1.0</v>
      </c>
      <c r="J51" s="470"/>
      <c r="K51" s="468" t="s">
        <v>7393</v>
      </c>
      <c r="L51" s="471">
        <v>103.0</v>
      </c>
      <c r="M51" s="469"/>
      <c r="N51" s="469"/>
      <c r="O51" s="466"/>
      <c r="P51" s="357"/>
      <c r="Q51" s="357"/>
      <c r="R51" s="357"/>
      <c r="S51" s="357"/>
      <c r="T51" s="357"/>
      <c r="U51" s="357"/>
      <c r="V51" s="357"/>
      <c r="W51" s="357"/>
      <c r="X51" s="357"/>
      <c r="Y51" s="357"/>
      <c r="Z51" s="357"/>
    </row>
    <row r="52" ht="15.75" customHeight="1">
      <c r="A52" s="466" t="s">
        <v>7391</v>
      </c>
      <c r="B52" s="466">
        <v>2024.0</v>
      </c>
      <c r="C52" s="466">
        <f t="shared" si="1"/>
        <v>3</v>
      </c>
      <c r="D52" s="467">
        <v>45370.0</v>
      </c>
      <c r="E52" s="468" t="s">
        <v>7475</v>
      </c>
      <c r="F52" s="468" t="s">
        <v>7476</v>
      </c>
      <c r="G52" s="466" t="s">
        <v>7075</v>
      </c>
      <c r="H52" s="469"/>
      <c r="I52" s="469">
        <v>1.0</v>
      </c>
      <c r="J52" s="470"/>
      <c r="K52" s="468" t="s">
        <v>7393</v>
      </c>
      <c r="L52" s="471">
        <v>114.0</v>
      </c>
      <c r="M52" s="469"/>
      <c r="N52" s="469"/>
      <c r="O52" s="466"/>
      <c r="P52" s="357"/>
      <c r="Q52" s="357"/>
      <c r="R52" s="357"/>
      <c r="S52" s="357"/>
      <c r="T52" s="357"/>
      <c r="U52" s="357"/>
      <c r="V52" s="357"/>
      <c r="W52" s="357"/>
      <c r="X52" s="357"/>
      <c r="Y52" s="357"/>
      <c r="Z52" s="357"/>
    </row>
    <row r="53" ht="15.75" customHeight="1">
      <c r="A53" s="466" t="s">
        <v>7391</v>
      </c>
      <c r="B53" s="466">
        <v>2024.0</v>
      </c>
      <c r="C53" s="466">
        <f t="shared" si="1"/>
        <v>3</v>
      </c>
      <c r="D53" s="467">
        <v>45370.0</v>
      </c>
      <c r="E53" s="468" t="s">
        <v>7477</v>
      </c>
      <c r="F53" s="468" t="s">
        <v>7478</v>
      </c>
      <c r="G53" s="466" t="s">
        <v>7075</v>
      </c>
      <c r="H53" s="469"/>
      <c r="I53" s="469">
        <v>1.0</v>
      </c>
      <c r="J53" s="470"/>
      <c r="K53" s="468" t="s">
        <v>7393</v>
      </c>
      <c r="L53" s="471">
        <v>114.0</v>
      </c>
      <c r="M53" s="469"/>
      <c r="N53" s="469"/>
      <c r="O53" s="466"/>
      <c r="P53" s="357"/>
      <c r="Q53" s="357"/>
      <c r="R53" s="357"/>
      <c r="S53" s="357"/>
      <c r="T53" s="357"/>
      <c r="U53" s="357"/>
      <c r="V53" s="357"/>
      <c r="W53" s="357"/>
      <c r="X53" s="357"/>
      <c r="Y53" s="357"/>
      <c r="Z53" s="357"/>
    </row>
    <row r="54" ht="15.75" customHeight="1">
      <c r="A54" s="466" t="s">
        <v>7391</v>
      </c>
      <c r="B54" s="466">
        <v>2024.0</v>
      </c>
      <c r="C54" s="466">
        <f t="shared" si="1"/>
        <v>3</v>
      </c>
      <c r="D54" s="467">
        <v>45371.0</v>
      </c>
      <c r="E54" s="468" t="s">
        <v>7479</v>
      </c>
      <c r="F54" s="468"/>
      <c r="G54" s="466" t="s">
        <v>7075</v>
      </c>
      <c r="H54" s="469"/>
      <c r="I54" s="469">
        <v>1.0</v>
      </c>
      <c r="J54" s="470"/>
      <c r="K54" s="468" t="s">
        <v>7393</v>
      </c>
      <c r="L54" s="471">
        <v>109.0</v>
      </c>
      <c r="M54" s="469"/>
      <c r="N54" s="469"/>
      <c r="O54" s="466"/>
      <c r="P54" s="357"/>
      <c r="Q54" s="357"/>
      <c r="R54" s="357"/>
      <c r="S54" s="357"/>
      <c r="T54" s="357"/>
      <c r="U54" s="357"/>
      <c r="V54" s="357"/>
      <c r="W54" s="357"/>
      <c r="X54" s="357"/>
      <c r="Y54" s="357"/>
      <c r="Z54" s="357"/>
    </row>
    <row r="55" ht="15.75" customHeight="1">
      <c r="A55" s="466" t="s">
        <v>7391</v>
      </c>
      <c r="B55" s="466">
        <v>2024.0</v>
      </c>
      <c r="C55" s="466">
        <f t="shared" si="1"/>
        <v>3</v>
      </c>
      <c r="D55" s="467">
        <v>45371.0</v>
      </c>
      <c r="E55" s="468" t="s">
        <v>7479</v>
      </c>
      <c r="F55" s="468"/>
      <c r="G55" s="466" t="s">
        <v>7075</v>
      </c>
      <c r="H55" s="469" t="s">
        <v>7480</v>
      </c>
      <c r="I55" s="469">
        <v>1.0</v>
      </c>
      <c r="J55" s="470"/>
      <c r="K55" s="468" t="s">
        <v>7393</v>
      </c>
      <c r="L55" s="471">
        <v>105.0</v>
      </c>
      <c r="M55" s="469"/>
      <c r="N55" s="469"/>
      <c r="O55" s="466"/>
      <c r="P55" s="357"/>
      <c r="Q55" s="357"/>
      <c r="R55" s="357"/>
      <c r="S55" s="357"/>
      <c r="T55" s="357"/>
      <c r="U55" s="357"/>
      <c r="V55" s="357"/>
      <c r="W55" s="357"/>
      <c r="X55" s="357"/>
      <c r="Y55" s="357"/>
      <c r="Z55" s="357"/>
    </row>
    <row r="56" ht="15.75" customHeight="1">
      <c r="A56" s="466" t="s">
        <v>7391</v>
      </c>
      <c r="B56" s="466">
        <v>2024.0</v>
      </c>
      <c r="C56" s="466">
        <f t="shared" si="1"/>
        <v>3</v>
      </c>
      <c r="D56" s="467">
        <v>45374.0</v>
      </c>
      <c r="E56" s="468" t="s">
        <v>7481</v>
      </c>
      <c r="F56" s="468" t="s">
        <v>7482</v>
      </c>
      <c r="G56" s="466" t="s">
        <v>7075</v>
      </c>
      <c r="H56" s="469" t="s">
        <v>7483</v>
      </c>
      <c r="I56" s="469">
        <v>1.0</v>
      </c>
      <c r="J56" s="470"/>
      <c r="K56" s="468" t="s">
        <v>7393</v>
      </c>
      <c r="L56" s="471">
        <v>114.0</v>
      </c>
      <c r="M56" s="469"/>
      <c r="N56" s="469"/>
      <c r="O56" s="466"/>
      <c r="P56" s="357"/>
      <c r="Q56" s="357"/>
      <c r="R56" s="357"/>
      <c r="S56" s="357"/>
      <c r="T56" s="357"/>
      <c r="U56" s="357"/>
      <c r="V56" s="357"/>
      <c r="W56" s="357"/>
      <c r="X56" s="357"/>
      <c r="Y56" s="357"/>
      <c r="Z56" s="357"/>
    </row>
    <row r="57" ht="15.75" customHeight="1">
      <c r="A57" s="466" t="s">
        <v>7391</v>
      </c>
      <c r="B57" s="466">
        <v>2024.0</v>
      </c>
      <c r="C57" s="466">
        <f t="shared" si="1"/>
        <v>3</v>
      </c>
      <c r="D57" s="467">
        <v>45375.0</v>
      </c>
      <c r="E57" s="468" t="s">
        <v>7484</v>
      </c>
      <c r="F57" s="468" t="s">
        <v>7485</v>
      </c>
      <c r="G57" s="466" t="s">
        <v>7106</v>
      </c>
      <c r="H57" s="478" t="s">
        <v>7486</v>
      </c>
      <c r="I57" s="469">
        <v>1.0</v>
      </c>
      <c r="J57" s="470"/>
      <c r="K57" s="468" t="s">
        <v>7393</v>
      </c>
      <c r="L57" s="471">
        <v>85.0</v>
      </c>
      <c r="M57" s="469"/>
      <c r="N57" s="469"/>
      <c r="O57" s="466"/>
      <c r="P57" s="357"/>
      <c r="Q57" s="357"/>
      <c r="R57" s="357"/>
      <c r="S57" s="357"/>
      <c r="T57" s="357"/>
      <c r="U57" s="357"/>
      <c r="V57" s="357"/>
      <c r="W57" s="357"/>
      <c r="X57" s="357"/>
      <c r="Y57" s="357"/>
      <c r="Z57" s="357"/>
    </row>
    <row r="58" ht="15.75" customHeight="1">
      <c r="A58" s="466" t="s">
        <v>7391</v>
      </c>
      <c r="B58" s="466">
        <v>2024.0</v>
      </c>
      <c r="C58" s="466">
        <f t="shared" si="1"/>
        <v>3</v>
      </c>
      <c r="D58" s="467">
        <v>45376.0</v>
      </c>
      <c r="E58" s="468" t="s">
        <v>7442</v>
      </c>
      <c r="F58" s="468" t="s">
        <v>7487</v>
      </c>
      <c r="G58" s="466" t="s">
        <v>7075</v>
      </c>
      <c r="H58" s="469" t="s">
        <v>7488</v>
      </c>
      <c r="I58" s="469">
        <v>1.0</v>
      </c>
      <c r="J58" s="470"/>
      <c r="K58" s="468" t="s">
        <v>7393</v>
      </c>
      <c r="L58" s="471">
        <v>114.0</v>
      </c>
      <c r="M58" s="469"/>
      <c r="N58" s="469"/>
      <c r="O58" s="466"/>
      <c r="P58" s="357"/>
      <c r="Q58" s="357"/>
      <c r="R58" s="357"/>
      <c r="S58" s="357"/>
      <c r="T58" s="357"/>
      <c r="U58" s="357"/>
      <c r="V58" s="357"/>
      <c r="W58" s="357"/>
      <c r="X58" s="357"/>
      <c r="Y58" s="357"/>
      <c r="Z58" s="357"/>
    </row>
    <row r="59" ht="15.75" customHeight="1">
      <c r="A59" s="466" t="s">
        <v>7391</v>
      </c>
      <c r="B59" s="466">
        <v>2024.0</v>
      </c>
      <c r="C59" s="466">
        <f t="shared" si="1"/>
        <v>3</v>
      </c>
      <c r="D59" s="467">
        <v>45376.0</v>
      </c>
      <c r="E59" s="468" t="s">
        <v>7489</v>
      </c>
      <c r="F59" s="468" t="s">
        <v>7490</v>
      </c>
      <c r="G59" s="466" t="s">
        <v>7075</v>
      </c>
      <c r="H59" s="469" t="s">
        <v>7488</v>
      </c>
      <c r="I59" s="469">
        <v>1.0</v>
      </c>
      <c r="J59" s="470"/>
      <c r="K59" s="468" t="s">
        <v>7393</v>
      </c>
      <c r="L59" s="471">
        <v>114.0</v>
      </c>
      <c r="M59" s="469"/>
      <c r="N59" s="469"/>
      <c r="O59" s="466"/>
      <c r="P59" s="357"/>
      <c r="Q59" s="357"/>
      <c r="R59" s="357"/>
      <c r="S59" s="357"/>
      <c r="T59" s="357"/>
      <c r="U59" s="357"/>
      <c r="V59" s="357"/>
      <c r="W59" s="357"/>
      <c r="X59" s="357"/>
      <c r="Y59" s="357"/>
      <c r="Z59" s="357"/>
    </row>
    <row r="60" ht="15.75" customHeight="1">
      <c r="A60" s="466" t="s">
        <v>7391</v>
      </c>
      <c r="B60" s="466">
        <v>2024.0</v>
      </c>
      <c r="C60" s="466">
        <f t="shared" si="1"/>
        <v>3</v>
      </c>
      <c r="D60" s="467">
        <v>45376.0</v>
      </c>
      <c r="E60" s="468"/>
      <c r="F60" s="468"/>
      <c r="G60" s="466" t="s">
        <v>7075</v>
      </c>
      <c r="H60" s="469"/>
      <c r="I60" s="469">
        <v>1.0</v>
      </c>
      <c r="J60" s="470"/>
      <c r="K60" s="468" t="s">
        <v>7393</v>
      </c>
      <c r="L60" s="471">
        <v>114.0</v>
      </c>
      <c r="M60" s="469"/>
      <c r="N60" s="469"/>
      <c r="O60" s="466"/>
      <c r="P60" s="357"/>
      <c r="Q60" s="357"/>
      <c r="R60" s="357"/>
      <c r="S60" s="357"/>
      <c r="T60" s="357"/>
      <c r="U60" s="357"/>
      <c r="V60" s="357"/>
      <c r="W60" s="357"/>
      <c r="X60" s="357"/>
      <c r="Y60" s="357"/>
      <c r="Z60" s="357"/>
    </row>
    <row r="61" ht="15.75" customHeight="1">
      <c r="A61" s="466" t="s">
        <v>7391</v>
      </c>
      <c r="B61" s="466">
        <v>2024.0</v>
      </c>
      <c r="C61" s="466">
        <f t="shared" si="1"/>
        <v>3</v>
      </c>
      <c r="D61" s="467">
        <v>45378.0</v>
      </c>
      <c r="E61" s="468"/>
      <c r="F61" s="468"/>
      <c r="G61" s="466" t="s">
        <v>7075</v>
      </c>
      <c r="H61" s="469"/>
      <c r="I61" s="469">
        <v>1.0</v>
      </c>
      <c r="J61" s="470"/>
      <c r="K61" s="468" t="s">
        <v>7393</v>
      </c>
      <c r="L61" s="471">
        <v>114.0</v>
      </c>
      <c r="M61" s="469"/>
      <c r="N61" s="469"/>
      <c r="O61" s="466"/>
      <c r="P61" s="357"/>
      <c r="Q61" s="357"/>
      <c r="R61" s="357"/>
      <c r="S61" s="357"/>
      <c r="T61" s="357"/>
      <c r="U61" s="357"/>
      <c r="V61" s="357"/>
      <c r="W61" s="357"/>
      <c r="X61" s="357"/>
      <c r="Y61" s="357"/>
      <c r="Z61" s="357"/>
    </row>
    <row r="62" ht="15.75" customHeight="1">
      <c r="A62" s="466" t="s">
        <v>7391</v>
      </c>
      <c r="B62" s="466">
        <v>2024.0</v>
      </c>
      <c r="C62" s="466">
        <f t="shared" si="1"/>
        <v>3</v>
      </c>
      <c r="D62" s="467">
        <v>45378.0</v>
      </c>
      <c r="E62" s="468"/>
      <c r="F62" s="468"/>
      <c r="G62" s="466" t="s">
        <v>7395</v>
      </c>
      <c r="H62" s="469"/>
      <c r="I62" s="469">
        <v>1.0</v>
      </c>
      <c r="J62" s="470"/>
      <c r="K62" s="468" t="s">
        <v>7393</v>
      </c>
      <c r="L62" s="471">
        <v>55.0</v>
      </c>
      <c r="M62" s="469"/>
      <c r="N62" s="469"/>
      <c r="O62" s="466"/>
      <c r="P62" s="357"/>
      <c r="Q62" s="357"/>
      <c r="R62" s="357"/>
      <c r="S62" s="357"/>
      <c r="T62" s="357"/>
      <c r="U62" s="357"/>
      <c r="V62" s="357"/>
      <c r="W62" s="357"/>
      <c r="X62" s="357"/>
      <c r="Y62" s="357"/>
      <c r="Z62" s="357"/>
    </row>
    <row r="63" ht="15.75" customHeight="1">
      <c r="A63" s="466" t="s">
        <v>7391</v>
      </c>
      <c r="B63" s="466">
        <v>2024.0</v>
      </c>
      <c r="C63" s="466">
        <f t="shared" si="1"/>
        <v>3</v>
      </c>
      <c r="D63" s="467">
        <v>45378.0</v>
      </c>
      <c r="E63" s="468"/>
      <c r="F63" s="468"/>
      <c r="G63" s="466" t="s">
        <v>7075</v>
      </c>
      <c r="H63" s="469"/>
      <c r="I63" s="469">
        <v>1.0</v>
      </c>
      <c r="J63" s="470"/>
      <c r="K63" s="468" t="s">
        <v>7393</v>
      </c>
      <c r="L63" s="471">
        <v>114.0</v>
      </c>
      <c r="M63" s="469"/>
      <c r="N63" s="469"/>
      <c r="O63" s="466"/>
      <c r="P63" s="357"/>
      <c r="Q63" s="357"/>
      <c r="R63" s="357"/>
      <c r="S63" s="357"/>
      <c r="T63" s="357"/>
      <c r="U63" s="357"/>
      <c r="V63" s="357"/>
      <c r="W63" s="357"/>
      <c r="X63" s="357"/>
      <c r="Y63" s="357"/>
      <c r="Z63" s="357"/>
    </row>
    <row r="64" ht="15.75" customHeight="1">
      <c r="A64" s="466" t="s">
        <v>7391</v>
      </c>
      <c r="B64" s="466">
        <v>2024.0</v>
      </c>
      <c r="C64" s="466">
        <f t="shared" si="1"/>
        <v>3</v>
      </c>
      <c r="D64" s="467">
        <v>45378.0</v>
      </c>
      <c r="E64" s="468" t="s">
        <v>7396</v>
      </c>
      <c r="F64" s="468" t="s">
        <v>7491</v>
      </c>
      <c r="G64" s="466" t="s">
        <v>7075</v>
      </c>
      <c r="H64" s="469"/>
      <c r="I64" s="469">
        <v>1.0</v>
      </c>
      <c r="J64" s="470"/>
      <c r="K64" s="468" t="s">
        <v>7393</v>
      </c>
      <c r="L64" s="471">
        <v>114.0</v>
      </c>
      <c r="M64" s="469"/>
      <c r="N64" s="469"/>
      <c r="O64" s="466"/>
      <c r="P64" s="357"/>
      <c r="Q64" s="357"/>
      <c r="R64" s="357"/>
      <c r="S64" s="357"/>
      <c r="T64" s="357"/>
      <c r="U64" s="357"/>
      <c r="V64" s="357"/>
      <c r="W64" s="357"/>
      <c r="X64" s="357"/>
      <c r="Y64" s="357"/>
      <c r="Z64" s="357"/>
    </row>
    <row r="65" ht="15.75" customHeight="1">
      <c r="A65" s="466" t="s">
        <v>7391</v>
      </c>
      <c r="B65" s="466">
        <v>2024.0</v>
      </c>
      <c r="C65" s="466">
        <f t="shared" si="1"/>
        <v>3</v>
      </c>
      <c r="D65" s="467">
        <v>45378.0</v>
      </c>
      <c r="E65" s="468" t="s">
        <v>7396</v>
      </c>
      <c r="F65" s="468" t="s">
        <v>7491</v>
      </c>
      <c r="G65" s="466" t="s">
        <v>6613</v>
      </c>
      <c r="H65" s="469"/>
      <c r="I65" s="469">
        <v>1.0</v>
      </c>
      <c r="J65" s="470"/>
      <c r="K65" s="468" t="s">
        <v>7393</v>
      </c>
      <c r="L65" s="471">
        <v>70.0</v>
      </c>
      <c r="M65" s="469"/>
      <c r="N65" s="469"/>
      <c r="O65" s="466"/>
      <c r="P65" s="357"/>
      <c r="Q65" s="357"/>
      <c r="R65" s="357"/>
      <c r="S65" s="357"/>
      <c r="T65" s="357"/>
      <c r="U65" s="357"/>
      <c r="V65" s="357"/>
      <c r="W65" s="357"/>
      <c r="X65" s="357"/>
      <c r="Y65" s="357"/>
      <c r="Z65" s="357"/>
    </row>
    <row r="66" ht="15.75" customHeight="1">
      <c r="A66" s="466" t="s">
        <v>7391</v>
      </c>
      <c r="B66" s="466">
        <v>2024.0</v>
      </c>
      <c r="C66" s="466">
        <f t="shared" si="1"/>
        <v>3</v>
      </c>
      <c r="D66" s="467">
        <v>45380.0</v>
      </c>
      <c r="E66" s="468" t="s">
        <v>7492</v>
      </c>
      <c r="F66" s="468" t="s">
        <v>7493</v>
      </c>
      <c r="G66" s="466" t="s">
        <v>7075</v>
      </c>
      <c r="H66" s="469"/>
      <c r="I66" s="469">
        <v>1.0</v>
      </c>
      <c r="J66" s="470"/>
      <c r="K66" s="468" t="s">
        <v>7393</v>
      </c>
      <c r="L66" s="471">
        <v>114.0</v>
      </c>
      <c r="M66" s="469"/>
      <c r="N66" s="469"/>
      <c r="O66" s="466"/>
      <c r="P66" s="357"/>
      <c r="Q66" s="357"/>
      <c r="R66" s="357"/>
      <c r="S66" s="357"/>
      <c r="T66" s="357"/>
      <c r="U66" s="357"/>
      <c r="V66" s="357"/>
      <c r="W66" s="357"/>
      <c r="X66" s="357"/>
      <c r="Y66" s="357"/>
      <c r="Z66" s="357"/>
    </row>
    <row r="67" ht="15.75" customHeight="1">
      <c r="A67" s="466" t="s">
        <v>7391</v>
      </c>
      <c r="B67" s="466">
        <v>2024.0</v>
      </c>
      <c r="C67" s="466">
        <f t="shared" si="1"/>
        <v>3</v>
      </c>
      <c r="D67" s="467">
        <v>45380.0</v>
      </c>
      <c r="E67" s="468" t="s">
        <v>2582</v>
      </c>
      <c r="F67" s="468" t="s">
        <v>7494</v>
      </c>
      <c r="G67" s="466" t="s">
        <v>7075</v>
      </c>
      <c r="H67" s="469"/>
      <c r="I67" s="469">
        <v>1.0</v>
      </c>
      <c r="J67" s="470"/>
      <c r="K67" s="468" t="s">
        <v>7393</v>
      </c>
      <c r="L67" s="471">
        <v>114.0</v>
      </c>
      <c r="M67" s="469"/>
      <c r="N67" s="469"/>
      <c r="O67" s="466"/>
      <c r="P67" s="357"/>
      <c r="Q67" s="357"/>
      <c r="R67" s="357"/>
      <c r="S67" s="357"/>
      <c r="T67" s="357"/>
      <c r="U67" s="357"/>
      <c r="V67" s="357"/>
      <c r="W67" s="357"/>
      <c r="X67" s="357"/>
      <c r="Y67" s="357"/>
      <c r="Z67" s="357"/>
    </row>
    <row r="68" ht="15.75" customHeight="1">
      <c r="A68" s="466" t="s">
        <v>7391</v>
      </c>
      <c r="B68" s="466">
        <v>2024.0</v>
      </c>
      <c r="C68" s="466">
        <v>4.0</v>
      </c>
      <c r="D68" s="467"/>
      <c r="E68" s="468" t="s">
        <v>7495</v>
      </c>
      <c r="F68" s="468" t="s">
        <v>7496</v>
      </c>
      <c r="G68" s="466" t="s">
        <v>7075</v>
      </c>
      <c r="H68" s="469"/>
      <c r="I68" s="469">
        <v>1.0</v>
      </c>
      <c r="J68" s="470"/>
      <c r="K68" s="468" t="s">
        <v>7393</v>
      </c>
      <c r="L68" s="471">
        <v>114.0</v>
      </c>
      <c r="M68" s="469"/>
      <c r="N68" s="469"/>
      <c r="O68" s="466"/>
      <c r="P68" s="357"/>
      <c r="Q68" s="357"/>
      <c r="R68" s="357"/>
      <c r="S68" s="357"/>
      <c r="T68" s="357"/>
      <c r="U68" s="357"/>
      <c r="V68" s="357"/>
      <c r="W68" s="357"/>
      <c r="X68" s="357"/>
      <c r="Y68" s="357"/>
      <c r="Z68" s="357"/>
    </row>
    <row r="69" ht="15.75" customHeight="1">
      <c r="A69" s="466" t="s">
        <v>7391</v>
      </c>
      <c r="B69" s="466">
        <v>2024.0</v>
      </c>
      <c r="C69" s="466">
        <v>4.0</v>
      </c>
      <c r="D69" s="467"/>
      <c r="E69" s="468"/>
      <c r="F69" s="468"/>
      <c r="G69" s="466" t="s">
        <v>6613</v>
      </c>
      <c r="H69" s="469"/>
      <c r="I69" s="474">
        <v>7.0</v>
      </c>
      <c r="J69" s="479"/>
      <c r="K69" s="468"/>
      <c r="L69" s="471">
        <v>321.3</v>
      </c>
      <c r="M69" s="469"/>
      <c r="N69" s="469"/>
      <c r="O69" s="466"/>
      <c r="P69" s="357"/>
      <c r="Q69" s="357"/>
      <c r="R69" s="357"/>
      <c r="S69" s="357"/>
      <c r="T69" s="357"/>
      <c r="U69" s="357"/>
      <c r="V69" s="357"/>
      <c r="W69" s="357"/>
      <c r="X69" s="357"/>
      <c r="Y69" s="357"/>
      <c r="Z69" s="357"/>
    </row>
    <row r="70" ht="15.75" customHeight="1">
      <c r="A70" s="466" t="s">
        <v>7391</v>
      </c>
      <c r="B70" s="466">
        <v>2024.0</v>
      </c>
      <c r="C70" s="466">
        <v>4.0</v>
      </c>
      <c r="D70" s="467"/>
      <c r="E70" s="468"/>
      <c r="F70" s="468"/>
      <c r="G70" s="466" t="s">
        <v>7106</v>
      </c>
      <c r="H70" s="469"/>
      <c r="I70" s="474">
        <v>4.0</v>
      </c>
      <c r="J70" s="479"/>
      <c r="K70" s="468"/>
      <c r="L70" s="471">
        <v>213.0</v>
      </c>
      <c r="M70" s="469"/>
      <c r="N70" s="469"/>
      <c r="O70" s="480" t="s">
        <v>7497</v>
      </c>
      <c r="P70" s="357"/>
      <c r="Q70" s="357"/>
      <c r="R70" s="357"/>
      <c r="S70" s="357"/>
      <c r="T70" s="357"/>
      <c r="U70" s="357"/>
      <c r="V70" s="357"/>
      <c r="W70" s="357"/>
      <c r="X70" s="357"/>
      <c r="Y70" s="357"/>
      <c r="Z70" s="357"/>
    </row>
    <row r="71" ht="15.75" customHeight="1">
      <c r="A71" s="466" t="s">
        <v>7391</v>
      </c>
      <c r="B71" s="466">
        <v>2024.0</v>
      </c>
      <c r="C71" s="466">
        <v>4.0</v>
      </c>
      <c r="D71" s="467"/>
      <c r="E71" s="468"/>
      <c r="F71" s="468"/>
      <c r="G71" s="466" t="s">
        <v>7395</v>
      </c>
      <c r="H71" s="469"/>
      <c r="I71" s="474">
        <v>6.0</v>
      </c>
      <c r="J71" s="479"/>
      <c r="K71" s="468"/>
      <c r="L71" s="471">
        <v>196.7</v>
      </c>
      <c r="M71" s="469"/>
      <c r="N71" s="469"/>
      <c r="O71" s="480" t="s">
        <v>7497</v>
      </c>
      <c r="P71" s="357"/>
      <c r="Q71" s="357"/>
      <c r="R71" s="357"/>
      <c r="S71" s="357"/>
      <c r="T71" s="357"/>
      <c r="U71" s="357"/>
      <c r="V71" s="357"/>
      <c r="W71" s="357"/>
      <c r="X71" s="357"/>
      <c r="Y71" s="357"/>
      <c r="Z71" s="357"/>
    </row>
    <row r="72" ht="15.75" customHeight="1">
      <c r="A72" s="466" t="s">
        <v>7391</v>
      </c>
      <c r="B72" s="466">
        <v>2024.0</v>
      </c>
      <c r="C72" s="466">
        <v>4.0</v>
      </c>
      <c r="D72" s="467">
        <v>45386.0</v>
      </c>
      <c r="E72" s="468" t="s">
        <v>7498</v>
      </c>
      <c r="F72" s="468" t="s">
        <v>7499</v>
      </c>
      <c r="G72" s="466" t="s">
        <v>7100</v>
      </c>
      <c r="H72" s="481" t="s">
        <v>248</v>
      </c>
      <c r="I72" s="469">
        <v>1.0</v>
      </c>
      <c r="J72" s="470"/>
      <c r="K72" s="468" t="s">
        <v>7393</v>
      </c>
      <c r="L72" s="471">
        <v>175.0</v>
      </c>
      <c r="M72" s="469"/>
      <c r="N72" s="469"/>
      <c r="O72" s="466"/>
      <c r="P72" s="357"/>
      <c r="Q72" s="357"/>
      <c r="R72" s="357"/>
      <c r="S72" s="357"/>
      <c r="T72" s="357"/>
      <c r="U72" s="357"/>
      <c r="V72" s="357"/>
      <c r="W72" s="357"/>
      <c r="X72" s="357"/>
      <c r="Y72" s="357"/>
      <c r="Z72" s="357"/>
    </row>
    <row r="73" ht="15.75" customHeight="1">
      <c r="A73" s="466" t="s">
        <v>7391</v>
      </c>
      <c r="B73" s="466">
        <v>2024.0</v>
      </c>
      <c r="C73" s="466">
        <v>4.0</v>
      </c>
      <c r="D73" s="467">
        <v>45386.0</v>
      </c>
      <c r="E73" s="482" t="s">
        <v>7500</v>
      </c>
      <c r="F73" s="482" t="s">
        <v>7501</v>
      </c>
      <c r="G73" s="466" t="s">
        <v>7100</v>
      </c>
      <c r="H73" s="481" t="s">
        <v>248</v>
      </c>
      <c r="I73" s="469">
        <v>1.0</v>
      </c>
      <c r="J73" s="470"/>
      <c r="K73" s="468" t="s">
        <v>7393</v>
      </c>
      <c r="L73" s="471">
        <v>175.0</v>
      </c>
      <c r="M73" s="469"/>
      <c r="N73" s="469"/>
      <c r="O73" s="466"/>
      <c r="P73" s="357"/>
      <c r="Q73" s="357"/>
      <c r="R73" s="357"/>
      <c r="S73" s="357"/>
      <c r="T73" s="357"/>
      <c r="U73" s="357"/>
      <c r="V73" s="357"/>
      <c r="W73" s="357"/>
      <c r="X73" s="357"/>
      <c r="Y73" s="357"/>
      <c r="Z73" s="357"/>
    </row>
    <row r="74" ht="15.75" customHeight="1">
      <c r="A74" s="466" t="s">
        <v>7391</v>
      </c>
      <c r="B74" s="466">
        <v>2024.0</v>
      </c>
      <c r="C74" s="466">
        <v>4.0</v>
      </c>
      <c r="D74" s="467">
        <v>45386.0</v>
      </c>
      <c r="E74" s="468" t="s">
        <v>2623</v>
      </c>
      <c r="F74" s="468" t="s">
        <v>7502</v>
      </c>
      <c r="G74" s="466" t="s">
        <v>7100</v>
      </c>
      <c r="H74" s="481" t="s">
        <v>248</v>
      </c>
      <c r="I74" s="469">
        <v>1.0</v>
      </c>
      <c r="J74" s="470"/>
      <c r="K74" s="468" t="s">
        <v>7393</v>
      </c>
      <c r="L74" s="471">
        <v>175.0</v>
      </c>
      <c r="M74" s="469"/>
      <c r="N74" s="469"/>
      <c r="O74" s="466"/>
      <c r="P74" s="357"/>
      <c r="Q74" s="357"/>
      <c r="R74" s="357"/>
      <c r="S74" s="357"/>
      <c r="T74" s="357"/>
      <c r="U74" s="357"/>
      <c r="V74" s="357"/>
      <c r="W74" s="357"/>
      <c r="X74" s="357"/>
      <c r="Y74" s="357"/>
      <c r="Z74" s="357"/>
    </row>
    <row r="75" ht="15.75" customHeight="1">
      <c r="A75" s="466" t="s">
        <v>7391</v>
      </c>
      <c r="B75" s="466">
        <v>2024.0</v>
      </c>
      <c r="C75" s="466">
        <f t="shared" ref="C75:C101" si="2">MONTH(D75)</f>
        <v>4</v>
      </c>
      <c r="D75" s="467">
        <v>45386.0</v>
      </c>
      <c r="E75" s="468" t="s">
        <v>7429</v>
      </c>
      <c r="F75" s="468" t="s">
        <v>7503</v>
      </c>
      <c r="G75" s="466" t="s">
        <v>7100</v>
      </c>
      <c r="H75" s="481" t="s">
        <v>248</v>
      </c>
      <c r="I75" s="469">
        <v>1.0</v>
      </c>
      <c r="J75" s="470"/>
      <c r="K75" s="468" t="s">
        <v>7393</v>
      </c>
      <c r="L75" s="471">
        <v>175.0</v>
      </c>
      <c r="M75" s="469"/>
      <c r="N75" s="469"/>
      <c r="O75" s="466"/>
      <c r="P75" s="357"/>
      <c r="Q75" s="357"/>
      <c r="R75" s="357"/>
      <c r="S75" s="357"/>
      <c r="T75" s="357"/>
      <c r="U75" s="357"/>
      <c r="V75" s="357"/>
      <c r="W75" s="357"/>
      <c r="X75" s="357"/>
      <c r="Y75" s="357"/>
      <c r="Z75" s="357"/>
    </row>
    <row r="76" ht="15.75" customHeight="1">
      <c r="A76" s="466" t="s">
        <v>7391</v>
      </c>
      <c r="B76" s="466">
        <v>2024.0</v>
      </c>
      <c r="C76" s="466">
        <f t="shared" si="2"/>
        <v>4</v>
      </c>
      <c r="D76" s="467">
        <v>45386.0</v>
      </c>
      <c r="E76" s="468" t="s">
        <v>7504</v>
      </c>
      <c r="F76" s="468" t="s">
        <v>7505</v>
      </c>
      <c r="G76" s="466" t="s">
        <v>7100</v>
      </c>
      <c r="H76" s="481" t="s">
        <v>248</v>
      </c>
      <c r="I76" s="469">
        <v>1.0</v>
      </c>
      <c r="J76" s="470"/>
      <c r="K76" s="468" t="s">
        <v>7393</v>
      </c>
      <c r="L76" s="471">
        <v>175.0</v>
      </c>
      <c r="M76" s="469"/>
      <c r="N76" s="469"/>
      <c r="O76" s="466"/>
      <c r="P76" s="357"/>
      <c r="Q76" s="357"/>
      <c r="R76" s="357"/>
      <c r="S76" s="357"/>
      <c r="T76" s="357"/>
      <c r="U76" s="357"/>
      <c r="V76" s="357"/>
      <c r="W76" s="357"/>
      <c r="X76" s="357"/>
      <c r="Y76" s="357"/>
      <c r="Z76" s="357"/>
    </row>
    <row r="77" ht="15.75" customHeight="1">
      <c r="A77" s="466" t="s">
        <v>7391</v>
      </c>
      <c r="B77" s="466">
        <v>2024.0</v>
      </c>
      <c r="C77" s="466">
        <f t="shared" si="2"/>
        <v>4</v>
      </c>
      <c r="D77" s="467">
        <v>45386.0</v>
      </c>
      <c r="E77" s="468" t="s">
        <v>7396</v>
      </c>
      <c r="F77" s="468" t="s">
        <v>7506</v>
      </c>
      <c r="G77" s="466" t="s">
        <v>7100</v>
      </c>
      <c r="H77" s="481" t="s">
        <v>248</v>
      </c>
      <c r="I77" s="469">
        <v>1.0</v>
      </c>
      <c r="J77" s="470"/>
      <c r="K77" s="468" t="s">
        <v>7393</v>
      </c>
      <c r="L77" s="471">
        <v>175.0</v>
      </c>
      <c r="M77" s="469"/>
      <c r="N77" s="469"/>
      <c r="O77" s="466"/>
      <c r="P77" s="357"/>
      <c r="Q77" s="357"/>
      <c r="R77" s="357"/>
      <c r="S77" s="357"/>
      <c r="T77" s="357"/>
      <c r="U77" s="357"/>
      <c r="V77" s="357"/>
      <c r="W77" s="357"/>
      <c r="X77" s="357"/>
      <c r="Y77" s="357"/>
      <c r="Z77" s="357"/>
    </row>
    <row r="78" ht="15.75" customHeight="1">
      <c r="A78" s="466" t="s">
        <v>7391</v>
      </c>
      <c r="B78" s="466">
        <v>2024.0</v>
      </c>
      <c r="C78" s="466">
        <f t="shared" si="2"/>
        <v>4</v>
      </c>
      <c r="D78" s="467">
        <v>45386.0</v>
      </c>
      <c r="E78" s="468" t="s">
        <v>7507</v>
      </c>
      <c r="F78" s="468" t="s">
        <v>7508</v>
      </c>
      <c r="G78" s="466" t="s">
        <v>7100</v>
      </c>
      <c r="H78" s="481" t="s">
        <v>248</v>
      </c>
      <c r="I78" s="469">
        <v>1.0</v>
      </c>
      <c r="J78" s="470"/>
      <c r="K78" s="468" t="s">
        <v>7393</v>
      </c>
      <c r="L78" s="471">
        <v>175.0</v>
      </c>
      <c r="M78" s="469"/>
      <c r="N78" s="469"/>
      <c r="O78" s="466"/>
      <c r="P78" s="357"/>
      <c r="Q78" s="357"/>
      <c r="R78" s="357"/>
      <c r="S78" s="357"/>
      <c r="T78" s="357"/>
      <c r="U78" s="357"/>
      <c r="V78" s="357"/>
      <c r="W78" s="357"/>
      <c r="X78" s="357"/>
      <c r="Y78" s="357"/>
      <c r="Z78" s="357"/>
    </row>
    <row r="79" ht="15.75" customHeight="1">
      <c r="A79" s="466" t="s">
        <v>7391</v>
      </c>
      <c r="B79" s="466">
        <v>2024.0</v>
      </c>
      <c r="C79" s="466">
        <f t="shared" si="2"/>
        <v>4</v>
      </c>
      <c r="D79" s="467">
        <v>45386.0</v>
      </c>
      <c r="E79" s="468" t="s">
        <v>7509</v>
      </c>
      <c r="F79" s="468" t="s">
        <v>7510</v>
      </c>
      <c r="G79" s="466" t="s">
        <v>7100</v>
      </c>
      <c r="H79" s="481" t="s">
        <v>248</v>
      </c>
      <c r="I79" s="469">
        <v>1.0</v>
      </c>
      <c r="J79" s="470"/>
      <c r="K79" s="468" t="s">
        <v>7393</v>
      </c>
      <c r="L79" s="471">
        <v>175.0</v>
      </c>
      <c r="M79" s="469"/>
      <c r="N79" s="469"/>
      <c r="O79" s="466"/>
      <c r="P79" s="357"/>
      <c r="Q79" s="357"/>
      <c r="R79" s="357"/>
      <c r="S79" s="357"/>
      <c r="T79" s="357"/>
      <c r="U79" s="357"/>
      <c r="V79" s="357"/>
      <c r="W79" s="357"/>
      <c r="X79" s="357"/>
      <c r="Y79" s="357"/>
      <c r="Z79" s="357"/>
    </row>
    <row r="80" ht="15.75" customHeight="1">
      <c r="A80" s="466" t="s">
        <v>7391</v>
      </c>
      <c r="B80" s="466">
        <v>2024.0</v>
      </c>
      <c r="C80" s="466">
        <f t="shared" si="2"/>
        <v>4</v>
      </c>
      <c r="D80" s="467">
        <v>45386.0</v>
      </c>
      <c r="E80" s="468" t="s">
        <v>2665</v>
      </c>
      <c r="F80" s="468" t="s">
        <v>7511</v>
      </c>
      <c r="G80" s="466" t="s">
        <v>7100</v>
      </c>
      <c r="H80" s="481" t="s">
        <v>248</v>
      </c>
      <c r="I80" s="469">
        <v>1.0</v>
      </c>
      <c r="J80" s="470"/>
      <c r="K80" s="468" t="s">
        <v>7393</v>
      </c>
      <c r="L80" s="471">
        <v>175.0</v>
      </c>
      <c r="M80" s="469"/>
      <c r="N80" s="469"/>
      <c r="O80" s="466"/>
      <c r="P80" s="357"/>
      <c r="Q80" s="357"/>
      <c r="R80" s="357"/>
      <c r="S80" s="357"/>
      <c r="T80" s="357"/>
      <c r="U80" s="357"/>
      <c r="V80" s="357"/>
      <c r="W80" s="357"/>
      <c r="X80" s="357"/>
      <c r="Y80" s="357"/>
      <c r="Z80" s="357"/>
    </row>
    <row r="81" ht="15.75" customHeight="1">
      <c r="A81" s="466" t="s">
        <v>7391</v>
      </c>
      <c r="B81" s="466">
        <v>2024.0</v>
      </c>
      <c r="C81" s="466">
        <f t="shared" si="2"/>
        <v>4</v>
      </c>
      <c r="D81" s="467">
        <v>45386.0</v>
      </c>
      <c r="E81" s="468" t="s">
        <v>2638</v>
      </c>
      <c r="F81" s="468" t="s">
        <v>7512</v>
      </c>
      <c r="G81" s="466" t="s">
        <v>7100</v>
      </c>
      <c r="H81" s="481" t="s">
        <v>248</v>
      </c>
      <c r="I81" s="469">
        <v>1.0</v>
      </c>
      <c r="J81" s="470"/>
      <c r="K81" s="468" t="s">
        <v>7393</v>
      </c>
      <c r="L81" s="471">
        <v>175.0</v>
      </c>
      <c r="M81" s="469"/>
      <c r="N81" s="469"/>
      <c r="O81" s="466"/>
      <c r="P81" s="357"/>
      <c r="Q81" s="357"/>
      <c r="R81" s="357"/>
      <c r="S81" s="357"/>
      <c r="T81" s="357"/>
      <c r="U81" s="357"/>
      <c r="V81" s="357"/>
      <c r="W81" s="357"/>
      <c r="X81" s="357"/>
      <c r="Y81" s="357"/>
      <c r="Z81" s="357"/>
    </row>
    <row r="82" ht="15.75" customHeight="1">
      <c r="A82" s="466" t="s">
        <v>7391</v>
      </c>
      <c r="B82" s="466">
        <v>2024.0</v>
      </c>
      <c r="C82" s="466">
        <f t="shared" si="2"/>
        <v>4</v>
      </c>
      <c r="D82" s="467">
        <v>45386.0</v>
      </c>
      <c r="E82" s="468" t="s">
        <v>2627</v>
      </c>
      <c r="F82" s="468" t="s">
        <v>7513</v>
      </c>
      <c r="G82" s="466" t="s">
        <v>7100</v>
      </c>
      <c r="H82" s="481" t="s">
        <v>248</v>
      </c>
      <c r="I82" s="469">
        <v>1.0</v>
      </c>
      <c r="J82" s="470"/>
      <c r="K82" s="468" t="s">
        <v>7393</v>
      </c>
      <c r="L82" s="471">
        <v>175.0</v>
      </c>
      <c r="M82" s="469"/>
      <c r="N82" s="469"/>
      <c r="O82" s="466"/>
      <c r="P82" s="357"/>
      <c r="Q82" s="357"/>
      <c r="R82" s="357"/>
      <c r="S82" s="357"/>
      <c r="T82" s="357"/>
      <c r="U82" s="357"/>
      <c r="V82" s="357"/>
      <c r="W82" s="357"/>
      <c r="X82" s="357"/>
      <c r="Y82" s="357"/>
      <c r="Z82" s="357"/>
    </row>
    <row r="83" ht="15.75" customHeight="1">
      <c r="A83" s="466" t="s">
        <v>7391</v>
      </c>
      <c r="B83" s="466">
        <v>2024.0</v>
      </c>
      <c r="C83" s="466">
        <f t="shared" si="2"/>
        <v>4</v>
      </c>
      <c r="D83" s="467">
        <v>45387.0</v>
      </c>
      <c r="E83" s="482" t="s">
        <v>2623</v>
      </c>
      <c r="F83" s="482" t="s">
        <v>7514</v>
      </c>
      <c r="G83" s="466" t="s">
        <v>7100</v>
      </c>
      <c r="H83" s="481" t="s">
        <v>248</v>
      </c>
      <c r="I83" s="469">
        <v>1.0</v>
      </c>
      <c r="J83" s="470"/>
      <c r="K83" s="468" t="s">
        <v>7393</v>
      </c>
      <c r="L83" s="471">
        <v>175.0</v>
      </c>
      <c r="M83" s="469"/>
      <c r="N83" s="469"/>
      <c r="O83" s="466"/>
      <c r="P83" s="357"/>
      <c r="Q83" s="357"/>
      <c r="R83" s="357"/>
      <c r="S83" s="357"/>
      <c r="T83" s="357"/>
      <c r="U83" s="357"/>
      <c r="V83" s="357"/>
      <c r="W83" s="357"/>
      <c r="X83" s="357"/>
      <c r="Y83" s="357"/>
      <c r="Z83" s="357"/>
    </row>
    <row r="84" ht="15.75" customHeight="1">
      <c r="A84" s="466" t="s">
        <v>7391</v>
      </c>
      <c r="B84" s="466">
        <v>2024.0</v>
      </c>
      <c r="C84" s="466">
        <f t="shared" si="2"/>
        <v>4</v>
      </c>
      <c r="D84" s="467">
        <v>45387.0</v>
      </c>
      <c r="E84" s="482" t="s">
        <v>7515</v>
      </c>
      <c r="F84" s="482" t="s">
        <v>7516</v>
      </c>
      <c r="G84" s="466" t="s">
        <v>7100</v>
      </c>
      <c r="H84" s="481" t="s">
        <v>248</v>
      </c>
      <c r="I84" s="469">
        <v>1.0</v>
      </c>
      <c r="J84" s="470"/>
      <c r="K84" s="468" t="s">
        <v>7393</v>
      </c>
      <c r="L84" s="471">
        <v>175.0</v>
      </c>
      <c r="M84" s="469"/>
      <c r="N84" s="469"/>
      <c r="O84" s="466"/>
      <c r="P84" s="357"/>
      <c r="Q84" s="357"/>
      <c r="R84" s="357"/>
      <c r="S84" s="357"/>
      <c r="T84" s="357"/>
      <c r="U84" s="357"/>
      <c r="V84" s="357"/>
      <c r="W84" s="357"/>
      <c r="X84" s="357"/>
      <c r="Y84" s="357"/>
      <c r="Z84" s="357"/>
    </row>
    <row r="85" ht="15.75" customHeight="1">
      <c r="A85" s="466" t="s">
        <v>7391</v>
      </c>
      <c r="B85" s="466">
        <v>2024.0</v>
      </c>
      <c r="C85" s="466">
        <f t="shared" si="2"/>
        <v>4</v>
      </c>
      <c r="D85" s="467">
        <v>45387.0</v>
      </c>
      <c r="E85" s="482" t="s">
        <v>7517</v>
      </c>
      <c r="F85" s="482" t="s">
        <v>7518</v>
      </c>
      <c r="G85" s="466" t="s">
        <v>7100</v>
      </c>
      <c r="H85" s="481" t="s">
        <v>248</v>
      </c>
      <c r="I85" s="468">
        <v>1.0</v>
      </c>
      <c r="J85" s="483"/>
      <c r="K85" s="468" t="s">
        <v>7393</v>
      </c>
      <c r="L85" s="477">
        <v>175.0</v>
      </c>
      <c r="M85" s="468"/>
      <c r="N85" s="468"/>
      <c r="O85" s="466"/>
      <c r="P85" s="357"/>
      <c r="Q85" s="357"/>
      <c r="R85" s="357"/>
      <c r="S85" s="357"/>
      <c r="T85" s="357"/>
      <c r="U85" s="357"/>
      <c r="V85" s="357"/>
      <c r="W85" s="357"/>
      <c r="X85" s="357"/>
      <c r="Y85" s="357"/>
      <c r="Z85" s="357"/>
    </row>
    <row r="86" ht="15.75" customHeight="1">
      <c r="A86" s="466" t="s">
        <v>7391</v>
      </c>
      <c r="B86" s="466">
        <v>2024.0</v>
      </c>
      <c r="C86" s="466">
        <f t="shared" si="2"/>
        <v>4</v>
      </c>
      <c r="D86" s="467">
        <v>45387.0</v>
      </c>
      <c r="E86" s="482" t="s">
        <v>7519</v>
      </c>
      <c r="F86" s="482" t="s">
        <v>7520</v>
      </c>
      <c r="G86" s="466" t="s">
        <v>7100</v>
      </c>
      <c r="H86" s="481" t="s">
        <v>248</v>
      </c>
      <c r="I86" s="468">
        <v>1.0</v>
      </c>
      <c r="J86" s="483"/>
      <c r="K86" s="468" t="s">
        <v>7393</v>
      </c>
      <c r="L86" s="477">
        <v>175.0</v>
      </c>
      <c r="M86" s="468"/>
      <c r="N86" s="468"/>
      <c r="O86" s="466"/>
      <c r="P86" s="357"/>
      <c r="Q86" s="357"/>
      <c r="R86" s="357"/>
      <c r="S86" s="357"/>
      <c r="T86" s="357"/>
      <c r="U86" s="357"/>
      <c r="V86" s="357"/>
      <c r="W86" s="357"/>
      <c r="X86" s="357"/>
      <c r="Y86" s="357"/>
      <c r="Z86" s="357"/>
    </row>
    <row r="87" ht="15.75" customHeight="1">
      <c r="A87" s="466" t="s">
        <v>7391</v>
      </c>
      <c r="B87" s="466">
        <v>2024.0</v>
      </c>
      <c r="C87" s="466">
        <f t="shared" si="2"/>
        <v>4</v>
      </c>
      <c r="D87" s="467">
        <v>45387.0</v>
      </c>
      <c r="E87" s="482" t="s">
        <v>7521</v>
      </c>
      <c r="F87" s="482" t="s">
        <v>7522</v>
      </c>
      <c r="G87" s="466" t="s">
        <v>7100</v>
      </c>
      <c r="H87" s="481" t="s">
        <v>248</v>
      </c>
      <c r="I87" s="468">
        <v>1.0</v>
      </c>
      <c r="J87" s="483"/>
      <c r="K87" s="468" t="s">
        <v>7393</v>
      </c>
      <c r="L87" s="477">
        <v>175.0</v>
      </c>
      <c r="M87" s="468"/>
      <c r="N87" s="468"/>
      <c r="O87" s="466"/>
      <c r="P87" s="357"/>
      <c r="Q87" s="357"/>
      <c r="R87" s="357"/>
      <c r="S87" s="357"/>
      <c r="T87" s="357"/>
      <c r="U87" s="357"/>
      <c r="V87" s="357"/>
      <c r="W87" s="357"/>
      <c r="X87" s="357"/>
      <c r="Y87" s="357"/>
      <c r="Z87" s="357"/>
    </row>
    <row r="88" ht="15.75" customHeight="1">
      <c r="A88" s="466" t="s">
        <v>7391</v>
      </c>
      <c r="B88" s="466">
        <v>2024.0</v>
      </c>
      <c r="C88" s="466">
        <f t="shared" si="2"/>
        <v>4</v>
      </c>
      <c r="D88" s="467">
        <v>45387.0</v>
      </c>
      <c r="E88" s="482" t="s">
        <v>7523</v>
      </c>
      <c r="F88" s="482" t="s">
        <v>7524</v>
      </c>
      <c r="G88" s="466" t="s">
        <v>7100</v>
      </c>
      <c r="H88" s="481" t="s">
        <v>248</v>
      </c>
      <c r="I88" s="468">
        <v>1.0</v>
      </c>
      <c r="J88" s="483"/>
      <c r="K88" s="468" t="s">
        <v>7393</v>
      </c>
      <c r="L88" s="477">
        <v>55.0</v>
      </c>
      <c r="M88" s="468"/>
      <c r="N88" s="468"/>
      <c r="O88" s="466"/>
      <c r="P88" s="357"/>
      <c r="Q88" s="357"/>
      <c r="R88" s="357"/>
      <c r="S88" s="357"/>
      <c r="T88" s="357"/>
      <c r="U88" s="357"/>
      <c r="V88" s="357"/>
      <c r="W88" s="357"/>
      <c r="X88" s="357"/>
      <c r="Y88" s="357"/>
      <c r="Z88" s="357"/>
    </row>
    <row r="89" ht="15.75" customHeight="1">
      <c r="A89" s="466" t="s">
        <v>7391</v>
      </c>
      <c r="B89" s="466">
        <v>2024.0</v>
      </c>
      <c r="C89" s="466">
        <f t="shared" si="2"/>
        <v>4</v>
      </c>
      <c r="D89" s="467">
        <v>45387.0</v>
      </c>
      <c r="E89" s="482" t="s">
        <v>2635</v>
      </c>
      <c r="F89" s="482" t="s">
        <v>7525</v>
      </c>
      <c r="G89" s="466" t="s">
        <v>7100</v>
      </c>
      <c r="H89" s="481" t="s">
        <v>248</v>
      </c>
      <c r="I89" s="468">
        <v>1.0</v>
      </c>
      <c r="J89" s="483"/>
      <c r="K89" s="468" t="s">
        <v>7393</v>
      </c>
      <c r="L89" s="477">
        <v>175.0</v>
      </c>
      <c r="M89" s="468"/>
      <c r="N89" s="468"/>
      <c r="O89" s="466"/>
      <c r="P89" s="357"/>
      <c r="Q89" s="357"/>
      <c r="R89" s="357"/>
      <c r="S89" s="357"/>
      <c r="T89" s="357"/>
      <c r="U89" s="357"/>
      <c r="V89" s="357"/>
      <c r="W89" s="357"/>
      <c r="X89" s="357"/>
      <c r="Y89" s="357"/>
      <c r="Z89" s="357"/>
    </row>
    <row r="90" ht="15.75" customHeight="1">
      <c r="A90" s="466" t="s">
        <v>7391</v>
      </c>
      <c r="B90" s="466">
        <v>2024.0</v>
      </c>
      <c r="C90" s="466">
        <f t="shared" si="2"/>
        <v>4</v>
      </c>
      <c r="D90" s="467">
        <v>45387.0</v>
      </c>
      <c r="E90" s="482" t="s">
        <v>7434</v>
      </c>
      <c r="F90" s="482" t="s">
        <v>7526</v>
      </c>
      <c r="G90" s="466" t="s">
        <v>7100</v>
      </c>
      <c r="H90" s="481" t="s">
        <v>248</v>
      </c>
      <c r="I90" s="468">
        <v>1.0</v>
      </c>
      <c r="J90" s="483"/>
      <c r="K90" s="468" t="s">
        <v>7393</v>
      </c>
      <c r="L90" s="477">
        <v>175.0</v>
      </c>
      <c r="M90" s="468"/>
      <c r="N90" s="468"/>
      <c r="O90" s="466"/>
      <c r="P90" s="357"/>
      <c r="Q90" s="357"/>
      <c r="R90" s="357"/>
      <c r="S90" s="357"/>
      <c r="T90" s="357"/>
      <c r="U90" s="357"/>
      <c r="V90" s="357"/>
      <c r="W90" s="357"/>
      <c r="X90" s="357"/>
      <c r="Y90" s="357"/>
      <c r="Z90" s="357"/>
    </row>
    <row r="91" ht="15.75" customHeight="1">
      <c r="A91" s="466" t="s">
        <v>7391</v>
      </c>
      <c r="B91" s="466">
        <v>2024.0</v>
      </c>
      <c r="C91" s="466">
        <f t="shared" si="2"/>
        <v>4</v>
      </c>
      <c r="D91" s="467">
        <v>45387.0</v>
      </c>
      <c r="E91" s="482" t="s">
        <v>2623</v>
      </c>
      <c r="F91" s="482" t="s">
        <v>7527</v>
      </c>
      <c r="G91" s="466" t="s">
        <v>7100</v>
      </c>
      <c r="H91" s="481" t="s">
        <v>248</v>
      </c>
      <c r="I91" s="468">
        <v>1.0</v>
      </c>
      <c r="J91" s="483"/>
      <c r="K91" s="468" t="s">
        <v>7393</v>
      </c>
      <c r="L91" s="477">
        <v>175.0</v>
      </c>
      <c r="M91" s="468"/>
      <c r="N91" s="468"/>
      <c r="O91" s="466"/>
      <c r="P91" s="357"/>
      <c r="Q91" s="357"/>
      <c r="R91" s="357"/>
      <c r="S91" s="357"/>
      <c r="T91" s="357"/>
      <c r="U91" s="357"/>
      <c r="V91" s="357"/>
      <c r="W91" s="357"/>
      <c r="X91" s="357"/>
      <c r="Y91" s="357"/>
      <c r="Z91" s="357"/>
    </row>
    <row r="92" ht="15.75" customHeight="1">
      <c r="A92" s="466" t="s">
        <v>7391</v>
      </c>
      <c r="B92" s="466">
        <v>2024.0</v>
      </c>
      <c r="C92" s="466">
        <f t="shared" si="2"/>
        <v>4</v>
      </c>
      <c r="D92" s="467">
        <v>45388.0</v>
      </c>
      <c r="E92" s="482" t="s">
        <v>7528</v>
      </c>
      <c r="F92" s="482" t="s">
        <v>7529</v>
      </c>
      <c r="G92" s="466" t="s">
        <v>7100</v>
      </c>
      <c r="H92" s="481" t="s">
        <v>248</v>
      </c>
      <c r="I92" s="468">
        <v>1.0</v>
      </c>
      <c r="J92" s="483"/>
      <c r="K92" s="468" t="s">
        <v>7393</v>
      </c>
      <c r="L92" s="477">
        <v>175.0</v>
      </c>
      <c r="M92" s="468"/>
      <c r="N92" s="468"/>
      <c r="O92" s="466"/>
      <c r="P92" s="357"/>
      <c r="Q92" s="357"/>
      <c r="R92" s="357"/>
      <c r="S92" s="357"/>
      <c r="T92" s="357"/>
      <c r="U92" s="357"/>
      <c r="V92" s="357"/>
      <c r="W92" s="357"/>
      <c r="X92" s="357"/>
      <c r="Y92" s="357"/>
      <c r="Z92" s="357"/>
    </row>
    <row r="93" ht="15.75" customHeight="1">
      <c r="A93" s="466" t="s">
        <v>7391</v>
      </c>
      <c r="B93" s="466">
        <v>2024.0</v>
      </c>
      <c r="C93" s="466">
        <f t="shared" si="2"/>
        <v>4</v>
      </c>
      <c r="D93" s="467">
        <v>45388.0</v>
      </c>
      <c r="E93" s="482" t="s">
        <v>7530</v>
      </c>
      <c r="F93" s="482" t="s">
        <v>7531</v>
      </c>
      <c r="G93" s="466" t="s">
        <v>7100</v>
      </c>
      <c r="H93" s="481" t="s">
        <v>248</v>
      </c>
      <c r="I93" s="468">
        <v>1.0</v>
      </c>
      <c r="J93" s="483"/>
      <c r="K93" s="468" t="s">
        <v>7393</v>
      </c>
      <c r="L93" s="477">
        <v>175.0</v>
      </c>
      <c r="M93" s="468"/>
      <c r="N93" s="468"/>
      <c r="O93" s="466"/>
      <c r="P93" s="357"/>
      <c r="Q93" s="357"/>
      <c r="R93" s="357"/>
      <c r="S93" s="357"/>
      <c r="T93" s="357"/>
      <c r="U93" s="357"/>
      <c r="V93" s="357"/>
      <c r="W93" s="357"/>
      <c r="X93" s="357"/>
      <c r="Y93" s="357"/>
      <c r="Z93" s="357"/>
    </row>
    <row r="94" ht="15.75" customHeight="1">
      <c r="A94" s="466" t="s">
        <v>7391</v>
      </c>
      <c r="B94" s="466">
        <v>2024.0</v>
      </c>
      <c r="C94" s="466">
        <f t="shared" si="2"/>
        <v>4</v>
      </c>
      <c r="D94" s="467">
        <v>45388.0</v>
      </c>
      <c r="E94" s="482" t="s">
        <v>7532</v>
      </c>
      <c r="F94" s="482" t="s">
        <v>7533</v>
      </c>
      <c r="G94" s="466" t="s">
        <v>7100</v>
      </c>
      <c r="H94" s="481" t="s">
        <v>248</v>
      </c>
      <c r="I94" s="468">
        <v>1.0</v>
      </c>
      <c r="J94" s="483"/>
      <c r="K94" s="468" t="s">
        <v>7393</v>
      </c>
      <c r="L94" s="477">
        <v>175.0</v>
      </c>
      <c r="M94" s="468"/>
      <c r="N94" s="468"/>
      <c r="O94" s="466"/>
      <c r="P94" s="357"/>
      <c r="Q94" s="357"/>
      <c r="R94" s="357"/>
      <c r="S94" s="357"/>
      <c r="T94" s="357"/>
      <c r="U94" s="357"/>
      <c r="V94" s="357"/>
      <c r="W94" s="357"/>
      <c r="X94" s="357"/>
      <c r="Y94" s="357"/>
      <c r="Z94" s="357"/>
    </row>
    <row r="95" ht="15.75" customHeight="1">
      <c r="A95" s="466" t="s">
        <v>7391</v>
      </c>
      <c r="B95" s="466">
        <v>2024.0</v>
      </c>
      <c r="C95" s="466">
        <f t="shared" si="2"/>
        <v>4</v>
      </c>
      <c r="D95" s="467">
        <v>45388.0</v>
      </c>
      <c r="E95" s="482" t="s">
        <v>7534</v>
      </c>
      <c r="F95" s="484" t="s">
        <v>7535</v>
      </c>
      <c r="G95" s="466" t="s">
        <v>7100</v>
      </c>
      <c r="H95" s="481" t="s">
        <v>248</v>
      </c>
      <c r="I95" s="468">
        <v>1.0</v>
      </c>
      <c r="J95" s="483"/>
      <c r="K95" s="468" t="s">
        <v>7393</v>
      </c>
      <c r="L95" s="477">
        <v>175.0</v>
      </c>
      <c r="M95" s="468"/>
      <c r="N95" s="468"/>
      <c r="O95" s="466"/>
      <c r="P95" s="357"/>
      <c r="Q95" s="357"/>
      <c r="R95" s="357"/>
      <c r="S95" s="357"/>
      <c r="T95" s="357"/>
      <c r="U95" s="357"/>
      <c r="V95" s="357"/>
      <c r="W95" s="357"/>
      <c r="X95" s="357"/>
      <c r="Y95" s="357"/>
      <c r="Z95" s="357"/>
    </row>
    <row r="96" ht="15.75" customHeight="1">
      <c r="A96" s="466" t="s">
        <v>7391</v>
      </c>
      <c r="B96" s="466">
        <v>2024.0</v>
      </c>
      <c r="C96" s="466">
        <f t="shared" si="2"/>
        <v>4</v>
      </c>
      <c r="D96" s="467">
        <v>45390.0</v>
      </c>
      <c r="E96" s="482" t="s">
        <v>2441</v>
      </c>
      <c r="F96" s="482" t="s">
        <v>7536</v>
      </c>
      <c r="G96" s="466" t="s">
        <v>7075</v>
      </c>
      <c r="H96" s="468" t="s">
        <v>7537</v>
      </c>
      <c r="I96" s="468">
        <v>1.0</v>
      </c>
      <c r="J96" s="483"/>
      <c r="K96" s="468" t="s">
        <v>7393</v>
      </c>
      <c r="L96" s="477">
        <v>114.0</v>
      </c>
      <c r="M96" s="468"/>
      <c r="N96" s="468"/>
      <c r="O96" s="466"/>
      <c r="P96" s="357"/>
      <c r="Q96" s="357"/>
      <c r="R96" s="357"/>
      <c r="S96" s="357"/>
      <c r="T96" s="357"/>
      <c r="U96" s="357"/>
      <c r="V96" s="357"/>
      <c r="W96" s="357"/>
      <c r="X96" s="357"/>
      <c r="Y96" s="357"/>
      <c r="Z96" s="357"/>
    </row>
    <row r="97" ht="15.75" customHeight="1">
      <c r="A97" s="466" t="s">
        <v>7391</v>
      </c>
      <c r="B97" s="466">
        <v>2024.0</v>
      </c>
      <c r="C97" s="466">
        <f t="shared" si="2"/>
        <v>4</v>
      </c>
      <c r="D97" s="467">
        <v>45390.0</v>
      </c>
      <c r="E97" s="482" t="s">
        <v>7538</v>
      </c>
      <c r="F97" s="482" t="s">
        <v>7539</v>
      </c>
      <c r="G97" s="466" t="s">
        <v>7075</v>
      </c>
      <c r="H97" s="468" t="s">
        <v>7540</v>
      </c>
      <c r="I97" s="468">
        <v>1.0</v>
      </c>
      <c r="J97" s="483"/>
      <c r="K97" s="468" t="s">
        <v>7393</v>
      </c>
      <c r="L97" s="477">
        <v>100.0</v>
      </c>
      <c r="M97" s="468"/>
      <c r="N97" s="468"/>
      <c r="O97" s="466"/>
      <c r="P97" s="357"/>
      <c r="Q97" s="357"/>
      <c r="R97" s="357"/>
      <c r="S97" s="357"/>
      <c r="T97" s="357"/>
      <c r="U97" s="357"/>
      <c r="V97" s="357"/>
      <c r="W97" s="357"/>
      <c r="X97" s="357"/>
      <c r="Y97" s="357"/>
      <c r="Z97" s="357"/>
    </row>
    <row r="98" ht="15.75" customHeight="1">
      <c r="A98" s="466" t="s">
        <v>7391</v>
      </c>
      <c r="B98" s="466">
        <v>2024.0</v>
      </c>
      <c r="C98" s="466">
        <f t="shared" si="2"/>
        <v>4</v>
      </c>
      <c r="D98" s="467">
        <v>45390.0</v>
      </c>
      <c r="E98" s="482" t="s">
        <v>2561</v>
      </c>
      <c r="F98" s="482" t="s">
        <v>7541</v>
      </c>
      <c r="G98" s="466" t="s">
        <v>7106</v>
      </c>
      <c r="H98" s="468" t="s">
        <v>7542</v>
      </c>
      <c r="I98" s="468">
        <v>1.0</v>
      </c>
      <c r="J98" s="483"/>
      <c r="K98" s="468" t="s">
        <v>7393</v>
      </c>
      <c r="L98" s="477">
        <v>80.0</v>
      </c>
      <c r="M98" s="468"/>
      <c r="N98" s="468"/>
      <c r="O98" s="466"/>
      <c r="P98" s="357"/>
      <c r="Q98" s="357"/>
      <c r="R98" s="357"/>
      <c r="S98" s="357"/>
      <c r="T98" s="357"/>
      <c r="U98" s="357"/>
      <c r="V98" s="357"/>
      <c r="W98" s="357"/>
      <c r="X98" s="357"/>
      <c r="Y98" s="357"/>
      <c r="Z98" s="357"/>
    </row>
    <row r="99" ht="15.75" customHeight="1">
      <c r="A99" s="466" t="s">
        <v>7391</v>
      </c>
      <c r="B99" s="466">
        <v>2024.0</v>
      </c>
      <c r="C99" s="466">
        <f t="shared" si="2"/>
        <v>4</v>
      </c>
      <c r="D99" s="467">
        <v>45390.0</v>
      </c>
      <c r="E99" s="482" t="s">
        <v>2638</v>
      </c>
      <c r="F99" s="482" t="s">
        <v>7543</v>
      </c>
      <c r="G99" s="466" t="s">
        <v>7075</v>
      </c>
      <c r="H99" s="468" t="s">
        <v>7544</v>
      </c>
      <c r="I99" s="468">
        <v>1.0</v>
      </c>
      <c r="J99" s="483"/>
      <c r="K99" s="468" t="s">
        <v>7393</v>
      </c>
      <c r="L99" s="477">
        <v>110.0</v>
      </c>
      <c r="M99" s="468"/>
      <c r="N99" s="468"/>
      <c r="O99" s="466"/>
      <c r="P99" s="357"/>
      <c r="Q99" s="357"/>
      <c r="R99" s="357"/>
      <c r="S99" s="357"/>
      <c r="T99" s="357"/>
      <c r="U99" s="357"/>
      <c r="V99" s="357"/>
      <c r="W99" s="357"/>
      <c r="X99" s="357"/>
      <c r="Y99" s="357"/>
      <c r="Z99" s="357"/>
    </row>
    <row r="100" ht="15.75" customHeight="1">
      <c r="A100" s="466" t="s">
        <v>7391</v>
      </c>
      <c r="B100" s="466">
        <v>2024.0</v>
      </c>
      <c r="C100" s="466">
        <f t="shared" si="2"/>
        <v>4</v>
      </c>
      <c r="D100" s="467">
        <v>45395.0</v>
      </c>
      <c r="E100" s="482" t="s">
        <v>7545</v>
      </c>
      <c r="F100" s="482" t="s">
        <v>7546</v>
      </c>
      <c r="G100" s="466" t="s">
        <v>7075</v>
      </c>
      <c r="H100" s="468" t="s">
        <v>7544</v>
      </c>
      <c r="I100" s="468">
        <v>1.0</v>
      </c>
      <c r="J100" s="483"/>
      <c r="K100" s="468" t="s">
        <v>7393</v>
      </c>
      <c r="L100" s="477">
        <v>52.5</v>
      </c>
      <c r="M100" s="468"/>
      <c r="N100" s="468"/>
      <c r="O100" s="466"/>
      <c r="P100" s="357"/>
      <c r="Q100" s="357"/>
      <c r="R100" s="357"/>
      <c r="S100" s="357"/>
      <c r="T100" s="357"/>
      <c r="U100" s="357"/>
      <c r="V100" s="357"/>
      <c r="W100" s="357"/>
      <c r="X100" s="357"/>
      <c r="Y100" s="357"/>
      <c r="Z100" s="357"/>
    </row>
    <row r="101" ht="15.75" customHeight="1">
      <c r="A101" s="466" t="s">
        <v>7391</v>
      </c>
      <c r="B101" s="466">
        <v>2024.0</v>
      </c>
      <c r="C101" s="466">
        <f t="shared" si="2"/>
        <v>12</v>
      </c>
      <c r="D101" s="467"/>
      <c r="E101" s="482" t="s">
        <v>7547</v>
      </c>
      <c r="F101" s="482"/>
      <c r="G101" s="466" t="s">
        <v>7100</v>
      </c>
      <c r="H101" s="468"/>
      <c r="I101" s="468">
        <v>1.0</v>
      </c>
      <c r="J101" s="483"/>
      <c r="K101" s="468" t="s">
        <v>7393</v>
      </c>
      <c r="L101" s="477">
        <v>175.0</v>
      </c>
      <c r="M101" s="468"/>
      <c r="N101" s="468"/>
      <c r="O101" s="466"/>
      <c r="P101" s="357"/>
      <c r="Q101" s="357"/>
      <c r="R101" s="357"/>
      <c r="S101" s="357"/>
      <c r="T101" s="357"/>
      <c r="U101" s="357"/>
      <c r="V101" s="357"/>
      <c r="W101" s="357"/>
      <c r="X101" s="357"/>
      <c r="Y101" s="357"/>
      <c r="Z101" s="357"/>
    </row>
    <row r="102" ht="15.75" customHeight="1">
      <c r="A102" s="466" t="s">
        <v>7391</v>
      </c>
      <c r="B102" s="466">
        <v>2024.0</v>
      </c>
      <c r="C102" s="466">
        <v>4.0</v>
      </c>
      <c r="D102" s="467"/>
      <c r="E102" s="482" t="s">
        <v>7548</v>
      </c>
      <c r="F102" s="482"/>
      <c r="G102" s="466" t="s">
        <v>7100</v>
      </c>
      <c r="H102" s="468"/>
      <c r="I102" s="468">
        <v>1.0</v>
      </c>
      <c r="J102" s="483"/>
      <c r="K102" s="468" t="s">
        <v>7393</v>
      </c>
      <c r="L102" s="477">
        <v>175.0</v>
      </c>
      <c r="M102" s="468"/>
      <c r="N102" s="468"/>
      <c r="O102" s="466"/>
      <c r="P102" s="357"/>
      <c r="Q102" s="357"/>
      <c r="R102" s="357"/>
      <c r="S102" s="357"/>
      <c r="T102" s="357"/>
      <c r="U102" s="357"/>
      <c r="V102" s="357"/>
      <c r="W102" s="357"/>
      <c r="X102" s="357"/>
      <c r="Y102" s="357"/>
      <c r="Z102" s="357"/>
    </row>
    <row r="103" ht="15.75" customHeight="1">
      <c r="A103" s="466" t="s">
        <v>7391</v>
      </c>
      <c r="B103" s="466">
        <v>2024.0</v>
      </c>
      <c r="C103" s="466">
        <v>4.0</v>
      </c>
      <c r="D103" s="467"/>
      <c r="E103" s="482" t="s">
        <v>2547</v>
      </c>
      <c r="F103" s="482"/>
      <c r="G103" s="466" t="s">
        <v>7100</v>
      </c>
      <c r="H103" s="468"/>
      <c r="I103" s="468">
        <v>1.0</v>
      </c>
      <c r="J103" s="483"/>
      <c r="K103" s="468" t="s">
        <v>7393</v>
      </c>
      <c r="L103" s="477">
        <v>175.0</v>
      </c>
      <c r="M103" s="468"/>
      <c r="N103" s="468"/>
      <c r="O103" s="466"/>
      <c r="P103" s="357"/>
      <c r="Q103" s="357"/>
      <c r="R103" s="357"/>
      <c r="S103" s="357"/>
      <c r="T103" s="357"/>
      <c r="U103" s="357"/>
      <c r="V103" s="357"/>
      <c r="W103" s="357"/>
      <c r="X103" s="357"/>
      <c r="Y103" s="357"/>
      <c r="Z103" s="357"/>
    </row>
    <row r="104" ht="15.75" customHeight="1">
      <c r="A104" s="466" t="s">
        <v>7391</v>
      </c>
      <c r="B104" s="466">
        <v>2024.0</v>
      </c>
      <c r="C104" s="466">
        <v>4.0</v>
      </c>
      <c r="D104" s="467"/>
      <c r="E104" s="482" t="s">
        <v>7549</v>
      </c>
      <c r="F104" s="482" t="s">
        <v>7550</v>
      </c>
      <c r="G104" s="466" t="s">
        <v>7395</v>
      </c>
      <c r="H104" s="468"/>
      <c r="I104" s="468">
        <v>1.0</v>
      </c>
      <c r="J104" s="483"/>
      <c r="K104" s="468" t="s">
        <v>7393</v>
      </c>
      <c r="L104" s="477">
        <v>55.0</v>
      </c>
      <c r="M104" s="468"/>
      <c r="N104" s="468"/>
      <c r="O104" s="466"/>
      <c r="P104" s="357"/>
      <c r="Q104" s="357"/>
      <c r="R104" s="357"/>
      <c r="S104" s="357"/>
      <c r="T104" s="357"/>
      <c r="U104" s="357"/>
      <c r="V104" s="357"/>
      <c r="W104" s="357"/>
      <c r="X104" s="357"/>
      <c r="Y104" s="357"/>
      <c r="Z104" s="357"/>
    </row>
    <row r="105" ht="15.75" customHeight="1">
      <c r="A105" s="466" t="s">
        <v>7391</v>
      </c>
      <c r="B105" s="466">
        <v>2024.0</v>
      </c>
      <c r="C105" s="466">
        <v>4.0</v>
      </c>
      <c r="D105" s="467"/>
      <c r="E105" s="482" t="s">
        <v>2647</v>
      </c>
      <c r="F105" s="482" t="s">
        <v>7551</v>
      </c>
      <c r="G105" s="466" t="s">
        <v>7100</v>
      </c>
      <c r="H105" s="468"/>
      <c r="I105" s="468">
        <v>1.0</v>
      </c>
      <c r="J105" s="483"/>
      <c r="K105" s="468" t="s">
        <v>7393</v>
      </c>
      <c r="L105" s="477">
        <v>175.0</v>
      </c>
      <c r="M105" s="468"/>
      <c r="N105" s="468"/>
      <c r="O105" s="466"/>
      <c r="P105" s="357"/>
      <c r="Q105" s="357"/>
      <c r="R105" s="357"/>
      <c r="S105" s="357"/>
      <c r="T105" s="357"/>
      <c r="U105" s="357"/>
      <c r="V105" s="357"/>
      <c r="W105" s="357"/>
      <c r="X105" s="357"/>
      <c r="Y105" s="357"/>
      <c r="Z105" s="357"/>
    </row>
    <row r="106" ht="15.75" customHeight="1">
      <c r="A106" s="466" t="s">
        <v>7391</v>
      </c>
      <c r="B106" s="466">
        <v>2024.0</v>
      </c>
      <c r="C106" s="466">
        <v>4.0</v>
      </c>
      <c r="D106" s="467">
        <v>45397.0</v>
      </c>
      <c r="E106" s="482" t="s">
        <v>7552</v>
      </c>
      <c r="F106" s="482"/>
      <c r="G106" s="466" t="s">
        <v>7100</v>
      </c>
      <c r="H106" s="468"/>
      <c r="I106" s="468">
        <v>1.0</v>
      </c>
      <c r="J106" s="483"/>
      <c r="K106" s="468" t="s">
        <v>7393</v>
      </c>
      <c r="L106" s="477">
        <v>175.0</v>
      </c>
      <c r="M106" s="468"/>
      <c r="N106" s="468"/>
      <c r="O106" s="466"/>
      <c r="P106" s="357"/>
      <c r="Q106" s="357"/>
      <c r="R106" s="357"/>
      <c r="S106" s="357"/>
      <c r="T106" s="357"/>
      <c r="U106" s="357"/>
      <c r="V106" s="357"/>
      <c r="W106" s="357"/>
      <c r="X106" s="357"/>
      <c r="Y106" s="357"/>
      <c r="Z106" s="357"/>
    </row>
    <row r="107" ht="15.75" customHeight="1">
      <c r="A107" s="466" t="s">
        <v>7391</v>
      </c>
      <c r="B107" s="466">
        <v>2024.0</v>
      </c>
      <c r="C107" s="466">
        <v>4.0</v>
      </c>
      <c r="D107" s="467">
        <v>45397.0</v>
      </c>
      <c r="E107" s="482" t="s">
        <v>7434</v>
      </c>
      <c r="F107" s="482" t="s">
        <v>7553</v>
      </c>
      <c r="G107" s="466" t="s">
        <v>7100</v>
      </c>
      <c r="H107" s="468"/>
      <c r="I107" s="468">
        <v>1.0</v>
      </c>
      <c r="J107" s="483"/>
      <c r="K107" s="468" t="s">
        <v>7393</v>
      </c>
      <c r="L107" s="477">
        <v>175.0</v>
      </c>
      <c r="M107" s="468"/>
      <c r="N107" s="468"/>
      <c r="O107" s="466"/>
      <c r="P107" s="357"/>
      <c r="Q107" s="357"/>
      <c r="R107" s="357"/>
      <c r="S107" s="357"/>
      <c r="T107" s="357"/>
      <c r="U107" s="357"/>
      <c r="V107" s="357"/>
      <c r="W107" s="357"/>
      <c r="X107" s="357"/>
      <c r="Y107" s="357"/>
      <c r="Z107" s="357"/>
    </row>
    <row r="108" ht="15.75" customHeight="1">
      <c r="A108" s="466" t="s">
        <v>7391</v>
      </c>
      <c r="B108" s="466">
        <v>2024.0</v>
      </c>
      <c r="C108" s="466">
        <v>4.0</v>
      </c>
      <c r="D108" s="467">
        <v>45397.0</v>
      </c>
      <c r="E108" s="482" t="s">
        <v>7554</v>
      </c>
      <c r="F108" s="482"/>
      <c r="G108" s="466" t="s">
        <v>7100</v>
      </c>
      <c r="H108" s="485"/>
      <c r="I108" s="468">
        <v>1.0</v>
      </c>
      <c r="J108" s="483"/>
      <c r="K108" s="468" t="s">
        <v>7393</v>
      </c>
      <c r="L108" s="477">
        <v>175.0</v>
      </c>
      <c r="M108" s="468"/>
      <c r="N108" s="468"/>
      <c r="O108" s="466"/>
      <c r="P108" s="357"/>
      <c r="Q108" s="357"/>
      <c r="R108" s="357"/>
      <c r="S108" s="357"/>
      <c r="T108" s="357"/>
      <c r="U108" s="357"/>
      <c r="V108" s="357"/>
      <c r="W108" s="357"/>
      <c r="X108" s="357"/>
      <c r="Y108" s="357"/>
      <c r="Z108" s="357"/>
    </row>
    <row r="109" ht="15.75" customHeight="1">
      <c r="A109" s="466" t="s">
        <v>7391</v>
      </c>
      <c r="B109" s="466">
        <v>2024.0</v>
      </c>
      <c r="C109" s="466">
        <v>4.0</v>
      </c>
      <c r="D109" s="467">
        <v>45397.0</v>
      </c>
      <c r="E109" s="482" t="s">
        <v>7555</v>
      </c>
      <c r="F109" s="482" t="s">
        <v>7556</v>
      </c>
      <c r="G109" s="466" t="s">
        <v>7100</v>
      </c>
      <c r="H109" s="482"/>
      <c r="I109" s="482">
        <v>1.0</v>
      </c>
      <c r="J109" s="486"/>
      <c r="K109" s="482" t="s">
        <v>7393</v>
      </c>
      <c r="L109" s="487">
        <v>175.0</v>
      </c>
      <c r="M109" s="482"/>
      <c r="N109" s="482"/>
      <c r="O109" s="466"/>
      <c r="P109" s="357"/>
      <c r="Q109" s="357"/>
      <c r="R109" s="357"/>
      <c r="S109" s="357"/>
      <c r="T109" s="357"/>
      <c r="U109" s="357"/>
      <c r="V109" s="357"/>
      <c r="W109" s="357"/>
      <c r="X109" s="357"/>
      <c r="Y109" s="357"/>
      <c r="Z109" s="357"/>
    </row>
    <row r="110" ht="15.75" customHeight="1">
      <c r="A110" s="466" t="s">
        <v>7391</v>
      </c>
      <c r="B110" s="466">
        <v>2024.0</v>
      </c>
      <c r="C110" s="466">
        <v>4.0</v>
      </c>
      <c r="D110" s="467">
        <v>45397.0</v>
      </c>
      <c r="E110" s="482" t="s">
        <v>7557</v>
      </c>
      <c r="F110" s="482" t="s">
        <v>7558</v>
      </c>
      <c r="G110" s="466" t="s">
        <v>7100</v>
      </c>
      <c r="H110" s="482" t="s">
        <v>204</v>
      </c>
      <c r="I110" s="475">
        <v>1.0</v>
      </c>
      <c r="J110" s="476"/>
      <c r="K110" s="482" t="s">
        <v>7393</v>
      </c>
      <c r="L110" s="488">
        <v>175.0</v>
      </c>
      <c r="M110" s="475"/>
      <c r="N110" s="475"/>
      <c r="O110" s="466"/>
      <c r="P110" s="357"/>
      <c r="Q110" s="357"/>
      <c r="R110" s="357"/>
      <c r="S110" s="357"/>
      <c r="T110" s="357"/>
      <c r="U110" s="357"/>
      <c r="V110" s="357"/>
      <c r="W110" s="357"/>
      <c r="X110" s="357"/>
      <c r="Y110" s="357"/>
      <c r="Z110" s="357"/>
    </row>
    <row r="111" ht="15.75" customHeight="1">
      <c r="A111" s="466" t="s">
        <v>7391</v>
      </c>
      <c r="B111" s="466">
        <v>2024.0</v>
      </c>
      <c r="C111" s="466">
        <v>4.0</v>
      </c>
      <c r="D111" s="467">
        <v>45397.0</v>
      </c>
      <c r="E111" s="482" t="s">
        <v>7559</v>
      </c>
      <c r="F111" s="482" t="s">
        <v>7560</v>
      </c>
      <c r="G111" s="466" t="s">
        <v>7100</v>
      </c>
      <c r="H111" s="482" t="s">
        <v>204</v>
      </c>
      <c r="I111" s="482">
        <v>1.0</v>
      </c>
      <c r="J111" s="486"/>
      <c r="K111" s="482" t="s">
        <v>7393</v>
      </c>
      <c r="L111" s="487">
        <v>175.0</v>
      </c>
      <c r="M111" s="482"/>
      <c r="N111" s="482"/>
      <c r="O111" s="466"/>
      <c r="P111" s="357"/>
      <c r="Q111" s="357"/>
      <c r="R111" s="357"/>
      <c r="S111" s="357"/>
      <c r="T111" s="357"/>
      <c r="U111" s="357"/>
      <c r="V111" s="357"/>
      <c r="W111" s="357"/>
      <c r="X111" s="357"/>
      <c r="Y111" s="357"/>
      <c r="Z111" s="357"/>
    </row>
    <row r="112" ht="15.75" customHeight="1">
      <c r="A112" s="466" t="s">
        <v>7391</v>
      </c>
      <c r="B112" s="466">
        <v>2024.0</v>
      </c>
      <c r="C112" s="466">
        <v>4.0</v>
      </c>
      <c r="D112" s="467">
        <v>45397.0</v>
      </c>
      <c r="E112" s="482" t="s">
        <v>7434</v>
      </c>
      <c r="F112" s="482" t="s">
        <v>7553</v>
      </c>
      <c r="G112" s="466" t="s">
        <v>7100</v>
      </c>
      <c r="H112" s="482" t="s">
        <v>204</v>
      </c>
      <c r="I112" s="482">
        <v>1.0</v>
      </c>
      <c r="J112" s="486"/>
      <c r="K112" s="482" t="s">
        <v>7393</v>
      </c>
      <c r="L112" s="487">
        <v>170.0</v>
      </c>
      <c r="M112" s="482"/>
      <c r="N112" s="482"/>
      <c r="O112" s="466"/>
      <c r="P112" s="357"/>
      <c r="Q112" s="357"/>
      <c r="R112" s="357"/>
      <c r="S112" s="357"/>
      <c r="T112" s="357"/>
      <c r="U112" s="357"/>
      <c r="V112" s="357"/>
      <c r="W112" s="357"/>
      <c r="X112" s="357"/>
      <c r="Y112" s="357"/>
      <c r="Z112" s="357"/>
    </row>
    <row r="113" ht="15.75" customHeight="1">
      <c r="A113" s="466" t="s">
        <v>7391</v>
      </c>
      <c r="B113" s="466">
        <v>2024.0</v>
      </c>
      <c r="C113" s="466">
        <v>4.0</v>
      </c>
      <c r="D113" s="467">
        <v>45397.0</v>
      </c>
      <c r="E113" s="482" t="s">
        <v>2665</v>
      </c>
      <c r="F113" s="482" t="s">
        <v>7561</v>
      </c>
      <c r="G113" s="466" t="s">
        <v>7100</v>
      </c>
      <c r="H113" s="482" t="s">
        <v>204</v>
      </c>
      <c r="I113" s="482">
        <v>1.0</v>
      </c>
      <c r="J113" s="486"/>
      <c r="K113" s="482" t="s">
        <v>7393</v>
      </c>
      <c r="L113" s="487">
        <v>175.0</v>
      </c>
      <c r="M113" s="482"/>
      <c r="N113" s="482"/>
      <c r="O113" s="466"/>
      <c r="P113" s="357"/>
      <c r="Q113" s="357"/>
      <c r="R113" s="357"/>
      <c r="S113" s="357"/>
      <c r="T113" s="357"/>
      <c r="U113" s="357"/>
      <c r="V113" s="357"/>
      <c r="W113" s="357"/>
      <c r="X113" s="357"/>
      <c r="Y113" s="357"/>
      <c r="Z113" s="357"/>
    </row>
    <row r="114" ht="15.75" customHeight="1">
      <c r="A114" s="466" t="s">
        <v>7391</v>
      </c>
      <c r="B114" s="466">
        <v>2024.0</v>
      </c>
      <c r="C114" s="466">
        <v>4.0</v>
      </c>
      <c r="D114" s="467">
        <v>45397.0</v>
      </c>
      <c r="E114" s="482" t="s">
        <v>7562</v>
      </c>
      <c r="F114" s="482" t="s">
        <v>7563</v>
      </c>
      <c r="G114" s="466" t="s">
        <v>7100</v>
      </c>
      <c r="H114" s="482" t="s">
        <v>204</v>
      </c>
      <c r="I114" s="482">
        <v>1.0</v>
      </c>
      <c r="J114" s="486"/>
      <c r="K114" s="482" t="s">
        <v>7393</v>
      </c>
      <c r="L114" s="487">
        <v>175.0</v>
      </c>
      <c r="M114" s="482"/>
      <c r="N114" s="482"/>
      <c r="O114" s="466"/>
      <c r="P114" s="357"/>
      <c r="Q114" s="357"/>
      <c r="R114" s="357"/>
      <c r="S114" s="357"/>
      <c r="T114" s="357"/>
      <c r="U114" s="357"/>
      <c r="V114" s="357"/>
      <c r="W114" s="357"/>
      <c r="X114" s="357"/>
      <c r="Y114" s="357"/>
      <c r="Z114" s="357"/>
    </row>
    <row r="115" ht="15.75" customHeight="1">
      <c r="A115" s="466" t="s">
        <v>7391</v>
      </c>
      <c r="B115" s="466">
        <v>2024.0</v>
      </c>
      <c r="C115" s="466">
        <v>4.0</v>
      </c>
      <c r="D115" s="467">
        <v>45398.0</v>
      </c>
      <c r="E115" s="482" t="s">
        <v>7554</v>
      </c>
      <c r="F115" s="482"/>
      <c r="G115" s="466" t="s">
        <v>7100</v>
      </c>
      <c r="H115" s="482" t="s">
        <v>204</v>
      </c>
      <c r="I115" s="482">
        <v>1.0</v>
      </c>
      <c r="J115" s="486"/>
      <c r="K115" s="482" t="s">
        <v>7393</v>
      </c>
      <c r="L115" s="487">
        <v>175.0</v>
      </c>
      <c r="M115" s="482"/>
      <c r="N115" s="482"/>
      <c r="O115" s="466"/>
      <c r="P115" s="357"/>
      <c r="Q115" s="357"/>
      <c r="R115" s="357"/>
      <c r="S115" s="357"/>
      <c r="T115" s="357"/>
      <c r="U115" s="357"/>
      <c r="V115" s="357"/>
      <c r="W115" s="357"/>
      <c r="X115" s="357"/>
      <c r="Y115" s="357"/>
      <c r="Z115" s="357"/>
    </row>
    <row r="116" ht="15.75" customHeight="1">
      <c r="A116" s="466" t="s">
        <v>7391</v>
      </c>
      <c r="B116" s="466">
        <v>2024.0</v>
      </c>
      <c r="C116" s="466">
        <v>4.0</v>
      </c>
      <c r="D116" s="467">
        <v>45398.0</v>
      </c>
      <c r="E116" s="482" t="s">
        <v>7423</v>
      </c>
      <c r="F116" s="482"/>
      <c r="G116" s="466" t="s">
        <v>7100</v>
      </c>
      <c r="H116" s="482" t="s">
        <v>7564</v>
      </c>
      <c r="I116" s="482">
        <v>1.0</v>
      </c>
      <c r="J116" s="486"/>
      <c r="K116" s="482" t="s">
        <v>7393</v>
      </c>
      <c r="L116" s="487">
        <v>175.0</v>
      </c>
      <c r="M116" s="482"/>
      <c r="N116" s="482"/>
      <c r="O116" s="466"/>
      <c r="P116" s="357"/>
      <c r="Q116" s="357"/>
      <c r="R116" s="357"/>
      <c r="S116" s="357"/>
      <c r="T116" s="357"/>
      <c r="U116" s="357"/>
      <c r="V116" s="357"/>
      <c r="W116" s="357"/>
      <c r="X116" s="357"/>
      <c r="Y116" s="357"/>
      <c r="Z116" s="357"/>
    </row>
    <row r="117" ht="15.75" customHeight="1">
      <c r="A117" s="466" t="s">
        <v>7391</v>
      </c>
      <c r="B117" s="466">
        <v>2024.0</v>
      </c>
      <c r="C117" s="466">
        <v>4.0</v>
      </c>
      <c r="D117" s="467">
        <v>45398.0</v>
      </c>
      <c r="E117" s="482" t="s">
        <v>7565</v>
      </c>
      <c r="F117" s="482"/>
      <c r="G117" s="466" t="s">
        <v>7395</v>
      </c>
      <c r="H117" s="482"/>
      <c r="I117" s="482">
        <v>1.0</v>
      </c>
      <c r="J117" s="486"/>
      <c r="K117" s="482" t="s">
        <v>7393</v>
      </c>
      <c r="L117" s="487">
        <v>55.0</v>
      </c>
      <c r="M117" s="482"/>
      <c r="N117" s="482"/>
      <c r="O117" s="466"/>
      <c r="P117" s="357"/>
      <c r="Q117" s="357"/>
      <c r="R117" s="357"/>
      <c r="S117" s="357"/>
      <c r="T117" s="357"/>
      <c r="U117" s="357"/>
      <c r="V117" s="357"/>
      <c r="W117" s="357"/>
      <c r="X117" s="357"/>
      <c r="Y117" s="357"/>
      <c r="Z117" s="357"/>
    </row>
    <row r="118" ht="15.75" customHeight="1">
      <c r="A118" s="466" t="s">
        <v>7391</v>
      </c>
      <c r="B118" s="466">
        <v>2024.0</v>
      </c>
      <c r="C118" s="466">
        <v>4.0</v>
      </c>
      <c r="D118" s="467">
        <v>45398.0</v>
      </c>
      <c r="E118" s="482" t="s">
        <v>2561</v>
      </c>
      <c r="F118" s="482"/>
      <c r="G118" s="466" t="s">
        <v>7100</v>
      </c>
      <c r="H118" s="482" t="s">
        <v>6906</v>
      </c>
      <c r="I118" s="482">
        <v>1.0</v>
      </c>
      <c r="J118" s="486"/>
      <c r="K118" s="482" t="s">
        <v>7393</v>
      </c>
      <c r="L118" s="487">
        <v>175.0</v>
      </c>
      <c r="M118" s="482"/>
      <c r="N118" s="482"/>
      <c r="O118" s="466"/>
      <c r="P118" s="357"/>
      <c r="Q118" s="357"/>
      <c r="R118" s="357"/>
      <c r="S118" s="357"/>
      <c r="T118" s="357"/>
      <c r="U118" s="357"/>
      <c r="V118" s="357"/>
      <c r="W118" s="357"/>
      <c r="X118" s="357"/>
      <c r="Y118" s="357"/>
      <c r="Z118" s="357"/>
    </row>
    <row r="119" ht="15.75" customHeight="1">
      <c r="A119" s="466" t="s">
        <v>7391</v>
      </c>
      <c r="B119" s="466">
        <v>2024.0</v>
      </c>
      <c r="C119" s="466">
        <v>4.0</v>
      </c>
      <c r="D119" s="467">
        <v>45399.0</v>
      </c>
      <c r="E119" s="482" t="s">
        <v>2665</v>
      </c>
      <c r="F119" s="482" t="s">
        <v>7566</v>
      </c>
      <c r="G119" s="466" t="s">
        <v>7100</v>
      </c>
      <c r="H119" s="482" t="s">
        <v>6906</v>
      </c>
      <c r="I119" s="482">
        <v>1.0</v>
      </c>
      <c r="J119" s="486"/>
      <c r="K119" s="482" t="s">
        <v>7393</v>
      </c>
      <c r="L119" s="487">
        <v>175.0</v>
      </c>
      <c r="M119" s="482"/>
      <c r="N119" s="482"/>
      <c r="O119" s="466"/>
      <c r="P119" s="357"/>
      <c r="Q119" s="357"/>
      <c r="R119" s="357"/>
      <c r="S119" s="357"/>
      <c r="T119" s="357"/>
      <c r="U119" s="357"/>
      <c r="V119" s="357"/>
      <c r="W119" s="357"/>
      <c r="X119" s="357"/>
      <c r="Y119" s="357"/>
      <c r="Z119" s="357"/>
    </row>
    <row r="120" ht="15.75" customHeight="1">
      <c r="A120" s="466" t="s">
        <v>7391</v>
      </c>
      <c r="B120" s="466">
        <v>2024.0</v>
      </c>
      <c r="C120" s="466">
        <v>4.0</v>
      </c>
      <c r="D120" s="467">
        <v>45399.0</v>
      </c>
      <c r="E120" s="482" t="s">
        <v>2638</v>
      </c>
      <c r="F120" s="482" t="s">
        <v>7567</v>
      </c>
      <c r="G120" s="466" t="s">
        <v>6613</v>
      </c>
      <c r="H120" s="482" t="s">
        <v>7568</v>
      </c>
      <c r="I120" s="482">
        <v>1.0</v>
      </c>
      <c r="J120" s="486"/>
      <c r="K120" s="482" t="s">
        <v>7393</v>
      </c>
      <c r="L120" s="487">
        <v>75.0</v>
      </c>
      <c r="M120" s="482"/>
      <c r="N120" s="482"/>
      <c r="O120" s="466"/>
      <c r="P120" s="357"/>
      <c r="Q120" s="357"/>
      <c r="R120" s="357"/>
      <c r="S120" s="357"/>
      <c r="T120" s="357"/>
      <c r="U120" s="357"/>
      <c r="V120" s="357"/>
      <c r="W120" s="357"/>
      <c r="X120" s="357"/>
      <c r="Y120" s="357"/>
      <c r="Z120" s="357"/>
    </row>
    <row r="121" ht="15.75" customHeight="1">
      <c r="A121" s="466" t="s">
        <v>7391</v>
      </c>
      <c r="B121" s="466">
        <v>2024.0</v>
      </c>
      <c r="C121" s="466">
        <v>4.0</v>
      </c>
      <c r="D121" s="469"/>
      <c r="E121" s="482"/>
      <c r="F121" s="482"/>
      <c r="G121" s="466" t="s">
        <v>7100</v>
      </c>
      <c r="H121" s="485"/>
      <c r="I121" s="482">
        <v>1.0</v>
      </c>
      <c r="J121" s="486"/>
      <c r="K121" s="482" t="s">
        <v>7393</v>
      </c>
      <c r="L121" s="487">
        <v>175.0</v>
      </c>
      <c r="M121" s="482"/>
      <c r="N121" s="482"/>
      <c r="O121" s="466"/>
      <c r="P121" s="357"/>
      <c r="Q121" s="357"/>
      <c r="R121" s="357"/>
      <c r="S121" s="357"/>
      <c r="T121" s="357"/>
      <c r="U121" s="357"/>
      <c r="V121" s="357"/>
      <c r="W121" s="357"/>
      <c r="X121" s="357"/>
      <c r="Y121" s="357"/>
      <c r="Z121" s="357"/>
    </row>
    <row r="122" ht="15.75" customHeight="1">
      <c r="A122" s="466" t="s">
        <v>7391</v>
      </c>
      <c r="B122" s="466">
        <v>2024.0</v>
      </c>
      <c r="C122" s="466">
        <v>4.0</v>
      </c>
      <c r="D122" s="489"/>
      <c r="E122" s="482"/>
      <c r="F122" s="482"/>
      <c r="G122" s="466" t="s">
        <v>7100</v>
      </c>
      <c r="H122" s="482"/>
      <c r="I122" s="482">
        <v>1.0</v>
      </c>
      <c r="J122" s="486"/>
      <c r="K122" s="482" t="s">
        <v>7393</v>
      </c>
      <c r="L122" s="487">
        <v>175.0</v>
      </c>
      <c r="M122" s="482"/>
      <c r="N122" s="482"/>
      <c r="O122" s="466"/>
      <c r="P122" s="357"/>
      <c r="Q122" s="357"/>
      <c r="R122" s="357"/>
      <c r="S122" s="357"/>
      <c r="T122" s="357"/>
      <c r="U122" s="357"/>
      <c r="V122" s="357"/>
      <c r="W122" s="357"/>
      <c r="X122" s="357"/>
      <c r="Y122" s="357"/>
      <c r="Z122" s="357"/>
    </row>
    <row r="123" ht="15.75" customHeight="1">
      <c r="A123" s="466" t="s">
        <v>7391</v>
      </c>
      <c r="B123" s="466">
        <v>2024.0</v>
      </c>
      <c r="C123" s="466">
        <v>4.0</v>
      </c>
      <c r="D123" s="489"/>
      <c r="E123" s="482"/>
      <c r="F123" s="482"/>
      <c r="G123" s="466" t="s">
        <v>7100</v>
      </c>
      <c r="H123" s="482"/>
      <c r="I123" s="482">
        <v>1.0</v>
      </c>
      <c r="J123" s="486"/>
      <c r="K123" s="482" t="s">
        <v>7393</v>
      </c>
      <c r="L123" s="487">
        <v>175.0</v>
      </c>
      <c r="M123" s="482"/>
      <c r="N123" s="482"/>
      <c r="O123" s="466"/>
      <c r="P123" s="357"/>
      <c r="Q123" s="357"/>
      <c r="R123" s="357"/>
      <c r="S123" s="357"/>
      <c r="T123" s="357"/>
      <c r="U123" s="357"/>
      <c r="V123" s="357"/>
      <c r="W123" s="357"/>
      <c r="X123" s="357"/>
      <c r="Y123" s="357"/>
      <c r="Z123" s="357"/>
    </row>
    <row r="124" ht="15.75" customHeight="1">
      <c r="A124" s="466" t="s">
        <v>7391</v>
      </c>
      <c r="B124" s="466">
        <v>2024.0</v>
      </c>
      <c r="C124" s="466">
        <v>4.0</v>
      </c>
      <c r="D124" s="469"/>
      <c r="E124" s="490"/>
      <c r="F124" s="490"/>
      <c r="G124" s="466" t="s">
        <v>7100</v>
      </c>
      <c r="H124" s="490"/>
      <c r="I124" s="490">
        <v>1.0</v>
      </c>
      <c r="J124" s="491"/>
      <c r="K124" s="482" t="s">
        <v>7393</v>
      </c>
      <c r="L124" s="492">
        <v>175.0</v>
      </c>
      <c r="M124" s="490"/>
      <c r="N124" s="490"/>
      <c r="O124" s="466"/>
      <c r="P124" s="357"/>
      <c r="Q124" s="357"/>
      <c r="R124" s="357"/>
      <c r="S124" s="357"/>
      <c r="T124" s="357"/>
      <c r="U124" s="357"/>
      <c r="V124" s="357"/>
      <c r="W124" s="357"/>
      <c r="X124" s="357"/>
      <c r="Y124" s="357"/>
      <c r="Z124" s="357"/>
    </row>
    <row r="125" ht="15.75" customHeight="1">
      <c r="A125" s="466" t="s">
        <v>7391</v>
      </c>
      <c r="B125" s="466">
        <v>2024.0</v>
      </c>
      <c r="C125" s="466">
        <v>4.0</v>
      </c>
      <c r="D125" s="489"/>
      <c r="E125" s="482"/>
      <c r="F125" s="482"/>
      <c r="G125" s="466" t="s">
        <v>7100</v>
      </c>
      <c r="H125" s="482"/>
      <c r="I125" s="482">
        <v>1.0</v>
      </c>
      <c r="J125" s="486"/>
      <c r="K125" s="482" t="s">
        <v>7393</v>
      </c>
      <c r="L125" s="487">
        <v>175.0</v>
      </c>
      <c r="M125" s="482"/>
      <c r="N125" s="482"/>
      <c r="O125" s="466"/>
      <c r="P125" s="357"/>
      <c r="Q125" s="357"/>
      <c r="R125" s="357"/>
      <c r="S125" s="357"/>
      <c r="T125" s="357"/>
      <c r="U125" s="357"/>
      <c r="V125" s="357"/>
      <c r="W125" s="357"/>
      <c r="X125" s="357"/>
      <c r="Y125" s="357"/>
      <c r="Z125" s="357"/>
    </row>
    <row r="126" ht="15.75" customHeight="1">
      <c r="A126" s="466" t="s">
        <v>7391</v>
      </c>
      <c r="B126" s="466">
        <v>2024.0</v>
      </c>
      <c r="C126" s="466">
        <v>4.0</v>
      </c>
      <c r="D126" s="489"/>
      <c r="E126" s="482"/>
      <c r="F126" s="482"/>
      <c r="G126" s="466" t="s">
        <v>7100</v>
      </c>
      <c r="H126" s="482"/>
      <c r="I126" s="482">
        <v>1.0</v>
      </c>
      <c r="J126" s="486"/>
      <c r="K126" s="482" t="s">
        <v>7393</v>
      </c>
      <c r="L126" s="487">
        <v>175.0</v>
      </c>
      <c r="M126" s="482"/>
      <c r="N126" s="482"/>
      <c r="O126" s="466"/>
      <c r="P126" s="357"/>
      <c r="Q126" s="357"/>
      <c r="R126" s="357"/>
      <c r="S126" s="357"/>
      <c r="T126" s="357"/>
      <c r="U126" s="357"/>
      <c r="V126" s="357"/>
      <c r="W126" s="357"/>
      <c r="X126" s="357"/>
      <c r="Y126" s="357"/>
      <c r="Z126" s="357"/>
    </row>
    <row r="127" ht="15.75" customHeight="1">
      <c r="A127" s="466" t="s">
        <v>7391</v>
      </c>
      <c r="B127" s="466">
        <v>2024.0</v>
      </c>
      <c r="C127" s="466">
        <v>4.0</v>
      </c>
      <c r="D127" s="489"/>
      <c r="E127" s="482"/>
      <c r="F127" s="482"/>
      <c r="G127" s="466" t="s">
        <v>7100</v>
      </c>
      <c r="H127" s="482"/>
      <c r="I127" s="482">
        <v>1.0</v>
      </c>
      <c r="J127" s="486"/>
      <c r="K127" s="482" t="s">
        <v>7393</v>
      </c>
      <c r="L127" s="487">
        <v>175.0</v>
      </c>
      <c r="M127" s="482"/>
      <c r="N127" s="482"/>
      <c r="O127" s="466"/>
      <c r="P127" s="357"/>
      <c r="Q127" s="357"/>
      <c r="R127" s="357"/>
      <c r="S127" s="357"/>
      <c r="T127" s="357"/>
      <c r="U127" s="357"/>
      <c r="V127" s="357"/>
      <c r="W127" s="357"/>
      <c r="X127" s="357"/>
      <c r="Y127" s="357"/>
      <c r="Z127" s="357"/>
    </row>
    <row r="128" ht="15.75" customHeight="1">
      <c r="A128" s="466" t="s">
        <v>7391</v>
      </c>
      <c r="B128" s="466">
        <v>2024.0</v>
      </c>
      <c r="C128" s="466">
        <v>4.0</v>
      </c>
      <c r="D128" s="489"/>
      <c r="E128" s="482"/>
      <c r="F128" s="482"/>
      <c r="G128" s="466" t="s">
        <v>7100</v>
      </c>
      <c r="H128" s="482"/>
      <c r="I128" s="482">
        <v>1.0</v>
      </c>
      <c r="J128" s="486"/>
      <c r="K128" s="482" t="s">
        <v>7393</v>
      </c>
      <c r="L128" s="487">
        <v>175.0</v>
      </c>
      <c r="M128" s="482"/>
      <c r="N128" s="482"/>
      <c r="O128" s="466"/>
      <c r="P128" s="357"/>
      <c r="Q128" s="357"/>
      <c r="R128" s="357"/>
      <c r="S128" s="357"/>
      <c r="T128" s="357"/>
      <c r="U128" s="357"/>
      <c r="V128" s="357"/>
      <c r="W128" s="357"/>
      <c r="X128" s="357"/>
      <c r="Y128" s="357"/>
      <c r="Z128" s="357"/>
    </row>
    <row r="129" ht="15.75" customHeight="1">
      <c r="A129" s="466" t="s">
        <v>7391</v>
      </c>
      <c r="B129" s="466">
        <v>2024.0</v>
      </c>
      <c r="C129" s="466">
        <v>4.0</v>
      </c>
      <c r="D129" s="489"/>
      <c r="E129" s="482"/>
      <c r="F129" s="482"/>
      <c r="G129" s="466" t="s">
        <v>7100</v>
      </c>
      <c r="H129" s="482"/>
      <c r="I129" s="482">
        <v>1.0</v>
      </c>
      <c r="J129" s="486"/>
      <c r="K129" s="482" t="s">
        <v>7393</v>
      </c>
      <c r="L129" s="487">
        <v>175.0</v>
      </c>
      <c r="M129" s="482"/>
      <c r="N129" s="482"/>
      <c r="O129" s="466"/>
      <c r="P129" s="357"/>
      <c r="Q129" s="357"/>
      <c r="R129" s="357"/>
      <c r="S129" s="357"/>
      <c r="T129" s="357"/>
      <c r="U129" s="357"/>
      <c r="V129" s="357"/>
      <c r="W129" s="357"/>
      <c r="X129" s="357"/>
      <c r="Y129" s="357"/>
      <c r="Z129" s="357"/>
    </row>
    <row r="130" ht="15.75" customHeight="1">
      <c r="A130" s="466" t="s">
        <v>7391</v>
      </c>
      <c r="B130" s="466">
        <v>2024.0</v>
      </c>
      <c r="C130" s="466">
        <f t="shared" ref="C130:C242" si="3">MONTH(D130)</f>
        <v>5</v>
      </c>
      <c r="D130" s="467">
        <v>45414.0</v>
      </c>
      <c r="E130" s="482" t="s">
        <v>7569</v>
      </c>
      <c r="F130" s="482" t="s">
        <v>7570</v>
      </c>
      <c r="G130" s="466" t="s">
        <v>7100</v>
      </c>
      <c r="H130" s="482"/>
      <c r="I130" s="482">
        <v>1.0</v>
      </c>
      <c r="J130" s="486"/>
      <c r="K130" s="482" t="s">
        <v>7393</v>
      </c>
      <c r="L130" s="487">
        <v>175.0</v>
      </c>
      <c r="M130" s="482"/>
      <c r="N130" s="482"/>
      <c r="O130" s="466"/>
      <c r="P130" s="357"/>
      <c r="Q130" s="357"/>
      <c r="R130" s="357"/>
      <c r="S130" s="357"/>
      <c r="T130" s="357"/>
      <c r="U130" s="357"/>
      <c r="V130" s="357"/>
      <c r="W130" s="357"/>
      <c r="X130" s="357"/>
      <c r="Y130" s="357"/>
      <c r="Z130" s="357"/>
    </row>
    <row r="131" ht="15.75" customHeight="1">
      <c r="A131" s="466" t="s">
        <v>7391</v>
      </c>
      <c r="B131" s="466">
        <v>2024.0</v>
      </c>
      <c r="C131" s="466">
        <f t="shared" si="3"/>
        <v>5</v>
      </c>
      <c r="D131" s="467">
        <v>45416.0</v>
      </c>
      <c r="E131" s="482" t="s">
        <v>7509</v>
      </c>
      <c r="F131" s="482" t="s">
        <v>7510</v>
      </c>
      <c r="G131" s="466" t="s">
        <v>7100</v>
      </c>
      <c r="H131" s="482"/>
      <c r="I131" s="482">
        <v>1.0</v>
      </c>
      <c r="J131" s="486"/>
      <c r="K131" s="482" t="s">
        <v>7393</v>
      </c>
      <c r="L131" s="487">
        <v>175.0</v>
      </c>
      <c r="M131" s="482"/>
      <c r="N131" s="482"/>
      <c r="O131" s="466"/>
      <c r="P131" s="357"/>
      <c r="Q131" s="357"/>
      <c r="R131" s="357"/>
      <c r="S131" s="357"/>
      <c r="T131" s="357"/>
      <c r="U131" s="357"/>
      <c r="V131" s="357"/>
      <c r="W131" s="357"/>
      <c r="X131" s="357"/>
      <c r="Y131" s="357"/>
      <c r="Z131" s="357"/>
    </row>
    <row r="132" ht="15.75" customHeight="1">
      <c r="A132" s="466" t="s">
        <v>7391</v>
      </c>
      <c r="B132" s="466">
        <v>2024.0</v>
      </c>
      <c r="C132" s="466">
        <f t="shared" si="3"/>
        <v>5</v>
      </c>
      <c r="D132" s="467">
        <v>45416.0</v>
      </c>
      <c r="E132" s="482" t="s">
        <v>7571</v>
      </c>
      <c r="F132" s="482" t="s">
        <v>7572</v>
      </c>
      <c r="G132" s="466" t="s">
        <v>7395</v>
      </c>
      <c r="H132" s="482"/>
      <c r="I132" s="482">
        <v>1.0</v>
      </c>
      <c r="J132" s="486"/>
      <c r="K132" s="482" t="s">
        <v>7393</v>
      </c>
      <c r="L132" s="487">
        <v>55.0</v>
      </c>
      <c r="M132" s="482"/>
      <c r="N132" s="482"/>
      <c r="O132" s="466"/>
      <c r="P132" s="357"/>
      <c r="Q132" s="357"/>
      <c r="R132" s="357"/>
      <c r="S132" s="357"/>
      <c r="T132" s="357"/>
      <c r="U132" s="357"/>
      <c r="V132" s="357"/>
      <c r="W132" s="357"/>
      <c r="X132" s="357"/>
      <c r="Y132" s="357"/>
      <c r="Z132" s="357"/>
    </row>
    <row r="133" ht="15.75" customHeight="1">
      <c r="A133" s="466" t="s">
        <v>7391</v>
      </c>
      <c r="B133" s="466">
        <v>2024.0</v>
      </c>
      <c r="C133" s="466">
        <f t="shared" si="3"/>
        <v>5</v>
      </c>
      <c r="D133" s="467">
        <v>45416.0</v>
      </c>
      <c r="E133" s="490" t="s">
        <v>2772</v>
      </c>
      <c r="F133" s="490" t="s">
        <v>7439</v>
      </c>
      <c r="G133" s="466" t="s">
        <v>7106</v>
      </c>
      <c r="H133" s="490"/>
      <c r="I133" s="490">
        <v>1.0</v>
      </c>
      <c r="J133" s="491"/>
      <c r="K133" s="482" t="s">
        <v>7393</v>
      </c>
      <c r="L133" s="492">
        <v>90.0</v>
      </c>
      <c r="M133" s="490"/>
      <c r="N133" s="490"/>
      <c r="O133" s="466"/>
      <c r="P133" s="357"/>
      <c r="Q133" s="357"/>
      <c r="R133" s="357"/>
      <c r="S133" s="357"/>
      <c r="T133" s="357"/>
      <c r="U133" s="357"/>
      <c r="V133" s="357"/>
      <c r="W133" s="357"/>
      <c r="X133" s="357"/>
      <c r="Y133" s="357"/>
      <c r="Z133" s="357"/>
    </row>
    <row r="134" ht="15.75" customHeight="1">
      <c r="A134" s="466" t="s">
        <v>7391</v>
      </c>
      <c r="B134" s="466">
        <v>2024.0</v>
      </c>
      <c r="C134" s="466">
        <f t="shared" si="3"/>
        <v>5</v>
      </c>
      <c r="D134" s="467">
        <v>45420.0</v>
      </c>
      <c r="E134" s="482" t="s">
        <v>7417</v>
      </c>
      <c r="F134" s="482" t="s">
        <v>7441</v>
      </c>
      <c r="G134" s="466" t="s">
        <v>7100</v>
      </c>
      <c r="H134" s="482"/>
      <c r="I134" s="482">
        <v>1.0</v>
      </c>
      <c r="J134" s="486"/>
      <c r="K134" s="482" t="s">
        <v>7393</v>
      </c>
      <c r="L134" s="487">
        <v>175.0</v>
      </c>
      <c r="M134" s="482"/>
      <c r="N134" s="482"/>
      <c r="O134" s="466"/>
      <c r="P134" s="357"/>
      <c r="Q134" s="357"/>
      <c r="R134" s="357"/>
      <c r="S134" s="357"/>
      <c r="T134" s="357"/>
      <c r="U134" s="357"/>
      <c r="V134" s="357"/>
      <c r="W134" s="357"/>
      <c r="X134" s="357"/>
      <c r="Y134" s="357"/>
      <c r="Z134" s="357"/>
    </row>
    <row r="135" ht="15.75" customHeight="1">
      <c r="A135" s="466" t="s">
        <v>7391</v>
      </c>
      <c r="B135" s="466">
        <v>2024.0</v>
      </c>
      <c r="C135" s="466">
        <f t="shared" si="3"/>
        <v>5</v>
      </c>
      <c r="D135" s="467">
        <v>45422.0</v>
      </c>
      <c r="E135" s="482" t="s">
        <v>2665</v>
      </c>
      <c r="F135" s="482" t="s">
        <v>7573</v>
      </c>
      <c r="G135" s="466" t="s">
        <v>7075</v>
      </c>
      <c r="H135" s="482"/>
      <c r="I135" s="482">
        <v>1.0</v>
      </c>
      <c r="J135" s="486"/>
      <c r="K135" s="482" t="s">
        <v>7393</v>
      </c>
      <c r="L135" s="487">
        <v>114.0</v>
      </c>
      <c r="M135" s="482"/>
      <c r="N135" s="482"/>
      <c r="O135" s="466"/>
      <c r="P135" s="357"/>
      <c r="Q135" s="357"/>
      <c r="R135" s="357"/>
      <c r="S135" s="357"/>
      <c r="T135" s="357"/>
      <c r="U135" s="357"/>
      <c r="V135" s="357"/>
      <c r="W135" s="357"/>
      <c r="X135" s="357"/>
      <c r="Y135" s="357"/>
      <c r="Z135" s="357"/>
    </row>
    <row r="136" ht="15.75" customHeight="1">
      <c r="A136" s="466" t="s">
        <v>7391</v>
      </c>
      <c r="B136" s="466">
        <v>2024.0</v>
      </c>
      <c r="C136" s="466">
        <f t="shared" si="3"/>
        <v>5</v>
      </c>
      <c r="D136" s="467">
        <v>45422.0</v>
      </c>
      <c r="E136" s="482" t="s">
        <v>7574</v>
      </c>
      <c r="F136" s="482" t="s">
        <v>7575</v>
      </c>
      <c r="G136" s="466" t="s">
        <v>7075</v>
      </c>
      <c r="H136" s="482"/>
      <c r="I136" s="482">
        <v>1.0</v>
      </c>
      <c r="J136" s="486"/>
      <c r="K136" s="482" t="s">
        <v>7393</v>
      </c>
      <c r="L136" s="487">
        <v>114.0</v>
      </c>
      <c r="M136" s="482"/>
      <c r="N136" s="482"/>
      <c r="O136" s="466"/>
      <c r="P136" s="357"/>
      <c r="Q136" s="357"/>
      <c r="R136" s="357"/>
      <c r="S136" s="357"/>
      <c r="T136" s="357"/>
      <c r="U136" s="357"/>
      <c r="V136" s="357"/>
      <c r="W136" s="357"/>
      <c r="X136" s="357"/>
      <c r="Y136" s="357"/>
      <c r="Z136" s="357"/>
    </row>
    <row r="137" ht="15.75" customHeight="1">
      <c r="A137" s="466" t="s">
        <v>7391</v>
      </c>
      <c r="B137" s="466">
        <v>2024.0</v>
      </c>
      <c r="C137" s="466">
        <f t="shared" si="3"/>
        <v>5</v>
      </c>
      <c r="D137" s="467">
        <v>45422.0</v>
      </c>
      <c r="E137" s="482" t="s">
        <v>2627</v>
      </c>
      <c r="F137" s="482" t="s">
        <v>7513</v>
      </c>
      <c r="G137" s="466" t="s">
        <v>7075</v>
      </c>
      <c r="H137" s="482"/>
      <c r="I137" s="482">
        <v>1.0</v>
      </c>
      <c r="J137" s="486"/>
      <c r="K137" s="482" t="s">
        <v>7393</v>
      </c>
      <c r="L137" s="487">
        <v>114.0</v>
      </c>
      <c r="M137" s="482"/>
      <c r="N137" s="482"/>
      <c r="O137" s="466"/>
      <c r="P137" s="357"/>
      <c r="Q137" s="357"/>
      <c r="R137" s="357"/>
      <c r="S137" s="357"/>
      <c r="T137" s="357"/>
      <c r="U137" s="357"/>
      <c r="V137" s="357"/>
      <c r="W137" s="357"/>
      <c r="X137" s="357"/>
      <c r="Y137" s="357"/>
      <c r="Z137" s="357"/>
    </row>
    <row r="138" ht="15.75" customHeight="1">
      <c r="A138" s="466" t="s">
        <v>7391</v>
      </c>
      <c r="B138" s="466">
        <v>2024.0</v>
      </c>
      <c r="C138" s="466">
        <f t="shared" si="3"/>
        <v>5</v>
      </c>
      <c r="D138" s="467">
        <v>45422.0</v>
      </c>
      <c r="E138" s="482" t="s">
        <v>7576</v>
      </c>
      <c r="F138" s="482" t="s">
        <v>7577</v>
      </c>
      <c r="G138" s="466" t="s">
        <v>7075</v>
      </c>
      <c r="H138" s="482"/>
      <c r="I138" s="482">
        <v>1.0</v>
      </c>
      <c r="J138" s="486"/>
      <c r="K138" s="482" t="s">
        <v>7393</v>
      </c>
      <c r="L138" s="487">
        <v>114.0</v>
      </c>
      <c r="M138" s="482"/>
      <c r="N138" s="482"/>
      <c r="O138" s="466"/>
      <c r="P138" s="357"/>
      <c r="Q138" s="357"/>
      <c r="R138" s="357"/>
      <c r="S138" s="357"/>
      <c r="T138" s="357"/>
      <c r="U138" s="357"/>
      <c r="V138" s="357"/>
      <c r="W138" s="357"/>
      <c r="X138" s="357"/>
      <c r="Y138" s="357"/>
      <c r="Z138" s="357"/>
    </row>
    <row r="139" ht="15.75" customHeight="1">
      <c r="A139" s="466" t="s">
        <v>7391</v>
      </c>
      <c r="B139" s="466">
        <v>2024.0</v>
      </c>
      <c r="C139" s="466">
        <f t="shared" si="3"/>
        <v>5</v>
      </c>
      <c r="D139" s="467">
        <v>45423.0</v>
      </c>
      <c r="E139" s="482" t="s">
        <v>7408</v>
      </c>
      <c r="F139" s="482" t="s">
        <v>7578</v>
      </c>
      <c r="G139" s="466" t="s">
        <v>7395</v>
      </c>
      <c r="H139" s="482"/>
      <c r="I139" s="482">
        <v>1.0</v>
      </c>
      <c r="J139" s="486"/>
      <c r="K139" s="482" t="s">
        <v>7393</v>
      </c>
      <c r="L139" s="487">
        <v>45.0</v>
      </c>
      <c r="M139" s="482"/>
      <c r="N139" s="482"/>
      <c r="O139" s="466"/>
      <c r="P139" s="357"/>
      <c r="Q139" s="357"/>
      <c r="R139" s="357"/>
      <c r="S139" s="357"/>
      <c r="T139" s="357"/>
      <c r="U139" s="357"/>
      <c r="V139" s="357"/>
      <c r="W139" s="357"/>
      <c r="X139" s="357"/>
      <c r="Y139" s="357"/>
      <c r="Z139" s="357"/>
    </row>
    <row r="140" ht="15.75" customHeight="1">
      <c r="A140" s="466" t="s">
        <v>7391</v>
      </c>
      <c r="B140" s="466">
        <v>2024.0</v>
      </c>
      <c r="C140" s="466">
        <f t="shared" si="3"/>
        <v>5</v>
      </c>
      <c r="D140" s="467">
        <v>45423.0</v>
      </c>
      <c r="E140" s="482" t="s">
        <v>7579</v>
      </c>
      <c r="F140" s="482" t="s">
        <v>7580</v>
      </c>
      <c r="G140" s="466" t="s">
        <v>7100</v>
      </c>
      <c r="H140" s="482" t="s">
        <v>7564</v>
      </c>
      <c r="I140" s="482">
        <v>1.0</v>
      </c>
      <c r="J140" s="486"/>
      <c r="K140" s="482" t="s">
        <v>7393</v>
      </c>
      <c r="L140" s="487">
        <v>141.0</v>
      </c>
      <c r="M140" s="482"/>
      <c r="N140" s="482"/>
      <c r="O140" s="466"/>
      <c r="P140" s="357"/>
      <c r="Q140" s="357"/>
      <c r="R140" s="357"/>
      <c r="S140" s="357"/>
      <c r="T140" s="357"/>
      <c r="U140" s="357"/>
      <c r="V140" s="357"/>
      <c r="W140" s="357"/>
      <c r="X140" s="357"/>
      <c r="Y140" s="357"/>
      <c r="Z140" s="357"/>
    </row>
    <row r="141" ht="15.75" customHeight="1">
      <c r="A141" s="466" t="s">
        <v>7391</v>
      </c>
      <c r="B141" s="466">
        <v>2024.0</v>
      </c>
      <c r="C141" s="466">
        <f t="shared" si="3"/>
        <v>5</v>
      </c>
      <c r="D141" s="467">
        <v>45423.0</v>
      </c>
      <c r="E141" s="482" t="s">
        <v>7581</v>
      </c>
      <c r="F141" s="482" t="s">
        <v>7582</v>
      </c>
      <c r="G141" s="466" t="s">
        <v>7100</v>
      </c>
      <c r="H141" s="482" t="s">
        <v>7564</v>
      </c>
      <c r="I141" s="482">
        <v>1.0</v>
      </c>
      <c r="J141" s="486"/>
      <c r="K141" s="482" t="s">
        <v>7393</v>
      </c>
      <c r="L141" s="487">
        <v>141.0</v>
      </c>
      <c r="M141" s="482"/>
      <c r="N141" s="482"/>
      <c r="O141" s="466"/>
      <c r="P141" s="357"/>
      <c r="Q141" s="357"/>
      <c r="R141" s="357"/>
      <c r="S141" s="357"/>
      <c r="T141" s="357"/>
      <c r="U141" s="357"/>
      <c r="V141" s="357"/>
      <c r="W141" s="357"/>
      <c r="X141" s="357"/>
      <c r="Y141" s="357"/>
      <c r="Z141" s="357"/>
    </row>
    <row r="142" ht="15.75" customHeight="1">
      <c r="A142" s="466" t="s">
        <v>7391</v>
      </c>
      <c r="B142" s="466">
        <v>2024.0</v>
      </c>
      <c r="C142" s="466">
        <f t="shared" si="3"/>
        <v>5</v>
      </c>
      <c r="D142" s="467">
        <v>45423.0</v>
      </c>
      <c r="E142" s="482" t="s">
        <v>7583</v>
      </c>
      <c r="F142" s="482" t="s">
        <v>7584</v>
      </c>
      <c r="G142" s="466" t="s">
        <v>7100</v>
      </c>
      <c r="H142" s="482" t="s">
        <v>6906</v>
      </c>
      <c r="I142" s="482">
        <v>1.0</v>
      </c>
      <c r="J142" s="486"/>
      <c r="K142" s="482" t="s">
        <v>7393</v>
      </c>
      <c r="L142" s="487">
        <v>141.0</v>
      </c>
      <c r="M142" s="482"/>
      <c r="N142" s="482"/>
      <c r="O142" s="466"/>
      <c r="P142" s="357"/>
      <c r="Q142" s="357"/>
      <c r="R142" s="357"/>
      <c r="S142" s="357"/>
      <c r="T142" s="357"/>
      <c r="U142" s="357"/>
      <c r="V142" s="357"/>
      <c r="W142" s="357"/>
      <c r="X142" s="357"/>
      <c r="Y142" s="357"/>
      <c r="Z142" s="357"/>
    </row>
    <row r="143" ht="15.75" customHeight="1">
      <c r="A143" s="466" t="s">
        <v>7391</v>
      </c>
      <c r="B143" s="466">
        <v>2024.0</v>
      </c>
      <c r="C143" s="466">
        <f t="shared" si="3"/>
        <v>5</v>
      </c>
      <c r="D143" s="467">
        <v>45426.0</v>
      </c>
      <c r="E143" s="482"/>
      <c r="F143" s="482"/>
      <c r="G143" s="466" t="s">
        <v>7100</v>
      </c>
      <c r="H143" s="482" t="s">
        <v>204</v>
      </c>
      <c r="I143" s="482">
        <v>1.0</v>
      </c>
      <c r="J143" s="486"/>
      <c r="K143" s="482" t="s">
        <v>7393</v>
      </c>
      <c r="L143" s="487">
        <v>175.0</v>
      </c>
      <c r="M143" s="482"/>
      <c r="N143" s="482"/>
      <c r="O143" s="466"/>
      <c r="P143" s="357"/>
      <c r="Q143" s="357"/>
      <c r="R143" s="357"/>
      <c r="S143" s="357"/>
      <c r="T143" s="357"/>
      <c r="U143" s="357"/>
      <c r="V143" s="357"/>
      <c r="W143" s="357"/>
      <c r="X143" s="357"/>
      <c r="Y143" s="357"/>
      <c r="Z143" s="357"/>
    </row>
    <row r="144" ht="15.75" customHeight="1">
      <c r="A144" s="466" t="s">
        <v>7391</v>
      </c>
      <c r="B144" s="466">
        <v>2024.0</v>
      </c>
      <c r="C144" s="466">
        <f t="shared" si="3"/>
        <v>5</v>
      </c>
      <c r="D144" s="467">
        <v>45426.0</v>
      </c>
      <c r="E144" s="482"/>
      <c r="F144" s="482"/>
      <c r="G144" s="466" t="s">
        <v>7100</v>
      </c>
      <c r="H144" s="482" t="s">
        <v>204</v>
      </c>
      <c r="I144" s="482">
        <v>1.0</v>
      </c>
      <c r="J144" s="486"/>
      <c r="K144" s="482" t="s">
        <v>7393</v>
      </c>
      <c r="L144" s="487">
        <v>175.0</v>
      </c>
      <c r="M144" s="482"/>
      <c r="N144" s="482"/>
      <c r="O144" s="466"/>
      <c r="P144" s="357"/>
      <c r="Q144" s="357"/>
      <c r="R144" s="357"/>
      <c r="S144" s="357"/>
      <c r="T144" s="357"/>
      <c r="U144" s="357"/>
      <c r="V144" s="357"/>
      <c r="W144" s="357"/>
      <c r="X144" s="357"/>
      <c r="Y144" s="357"/>
      <c r="Z144" s="357"/>
    </row>
    <row r="145" ht="15.75" customHeight="1">
      <c r="A145" s="466" t="s">
        <v>7391</v>
      </c>
      <c r="B145" s="466">
        <v>2024.0</v>
      </c>
      <c r="C145" s="466">
        <f t="shared" si="3"/>
        <v>5</v>
      </c>
      <c r="D145" s="467">
        <v>45426.0</v>
      </c>
      <c r="E145" s="482"/>
      <c r="F145" s="482"/>
      <c r="G145" s="466" t="s">
        <v>7100</v>
      </c>
      <c r="H145" s="482" t="s">
        <v>204</v>
      </c>
      <c r="I145" s="482">
        <v>1.0</v>
      </c>
      <c r="J145" s="486"/>
      <c r="K145" s="482" t="s">
        <v>7393</v>
      </c>
      <c r="L145" s="487">
        <v>175.0</v>
      </c>
      <c r="M145" s="482"/>
      <c r="N145" s="482"/>
      <c r="O145" s="466"/>
      <c r="P145" s="357"/>
      <c r="Q145" s="357"/>
      <c r="R145" s="357"/>
      <c r="S145" s="357"/>
      <c r="T145" s="357"/>
      <c r="U145" s="357"/>
      <c r="V145" s="357"/>
      <c r="W145" s="357"/>
      <c r="X145" s="357"/>
      <c r="Y145" s="357"/>
      <c r="Z145" s="357"/>
    </row>
    <row r="146" ht="15.75" customHeight="1">
      <c r="A146" s="466" t="s">
        <v>7391</v>
      </c>
      <c r="B146" s="466">
        <v>2024.0</v>
      </c>
      <c r="C146" s="466">
        <f t="shared" si="3"/>
        <v>5</v>
      </c>
      <c r="D146" s="467">
        <v>45426.0</v>
      </c>
      <c r="E146" s="482"/>
      <c r="F146" s="482"/>
      <c r="G146" s="466" t="s">
        <v>7100</v>
      </c>
      <c r="H146" s="482" t="s">
        <v>204</v>
      </c>
      <c r="I146" s="482">
        <v>1.0</v>
      </c>
      <c r="J146" s="486"/>
      <c r="K146" s="482" t="s">
        <v>7393</v>
      </c>
      <c r="L146" s="487">
        <v>175.0</v>
      </c>
      <c r="M146" s="482"/>
      <c r="N146" s="482"/>
      <c r="O146" s="466"/>
      <c r="P146" s="357"/>
      <c r="Q146" s="357"/>
      <c r="R146" s="357"/>
      <c r="S146" s="357"/>
      <c r="T146" s="357"/>
      <c r="U146" s="357"/>
      <c r="V146" s="357"/>
      <c r="W146" s="357"/>
      <c r="X146" s="357"/>
      <c r="Y146" s="357"/>
      <c r="Z146" s="357"/>
    </row>
    <row r="147" ht="15.75" customHeight="1">
      <c r="A147" s="466" t="s">
        <v>7391</v>
      </c>
      <c r="B147" s="466">
        <v>2024.0</v>
      </c>
      <c r="C147" s="466">
        <f t="shared" si="3"/>
        <v>5</v>
      </c>
      <c r="D147" s="467">
        <v>45426.0</v>
      </c>
      <c r="E147" s="482"/>
      <c r="F147" s="482"/>
      <c r="G147" s="466" t="s">
        <v>7100</v>
      </c>
      <c r="H147" s="482" t="s">
        <v>204</v>
      </c>
      <c r="I147" s="482">
        <v>1.0</v>
      </c>
      <c r="J147" s="486"/>
      <c r="K147" s="482" t="s">
        <v>7393</v>
      </c>
      <c r="L147" s="487">
        <v>175.0</v>
      </c>
      <c r="M147" s="482"/>
      <c r="N147" s="482"/>
      <c r="O147" s="466"/>
      <c r="P147" s="357"/>
      <c r="Q147" s="357"/>
      <c r="R147" s="357"/>
      <c r="S147" s="357"/>
      <c r="T147" s="357"/>
      <c r="U147" s="357"/>
      <c r="V147" s="357"/>
      <c r="W147" s="357"/>
      <c r="X147" s="357"/>
      <c r="Y147" s="357"/>
      <c r="Z147" s="357"/>
    </row>
    <row r="148" ht="15.75" customHeight="1">
      <c r="A148" s="466" t="s">
        <v>7391</v>
      </c>
      <c r="B148" s="466">
        <v>2024.0</v>
      </c>
      <c r="C148" s="466">
        <f t="shared" si="3"/>
        <v>5</v>
      </c>
      <c r="D148" s="467">
        <v>45426.0</v>
      </c>
      <c r="E148" s="482"/>
      <c r="F148" s="482"/>
      <c r="G148" s="466" t="s">
        <v>7100</v>
      </c>
      <c r="H148" s="482" t="s">
        <v>204</v>
      </c>
      <c r="I148" s="482">
        <v>1.0</v>
      </c>
      <c r="J148" s="486"/>
      <c r="K148" s="482" t="s">
        <v>7393</v>
      </c>
      <c r="L148" s="487">
        <v>175.0</v>
      </c>
      <c r="M148" s="482"/>
      <c r="N148" s="482"/>
      <c r="O148" s="466"/>
      <c r="P148" s="357"/>
      <c r="Q148" s="357"/>
      <c r="R148" s="357"/>
      <c r="S148" s="357"/>
      <c r="T148" s="357"/>
      <c r="U148" s="357"/>
      <c r="V148" s="357"/>
      <c r="W148" s="357"/>
      <c r="X148" s="357"/>
      <c r="Y148" s="357"/>
      <c r="Z148" s="357"/>
    </row>
    <row r="149" ht="15.75" customHeight="1">
      <c r="A149" s="466" t="s">
        <v>7391</v>
      </c>
      <c r="B149" s="466">
        <v>2024.0</v>
      </c>
      <c r="C149" s="466">
        <f t="shared" si="3"/>
        <v>5</v>
      </c>
      <c r="D149" s="467">
        <v>45426.0</v>
      </c>
      <c r="E149" s="482"/>
      <c r="F149" s="482"/>
      <c r="G149" s="466" t="s">
        <v>7100</v>
      </c>
      <c r="H149" s="482" t="s">
        <v>204</v>
      </c>
      <c r="I149" s="482">
        <v>1.0</v>
      </c>
      <c r="J149" s="486"/>
      <c r="K149" s="482" t="s">
        <v>7393</v>
      </c>
      <c r="L149" s="487">
        <v>175.0</v>
      </c>
      <c r="M149" s="482"/>
      <c r="N149" s="482"/>
      <c r="O149" s="466"/>
      <c r="P149" s="357"/>
      <c r="Q149" s="357"/>
      <c r="R149" s="357"/>
      <c r="S149" s="357"/>
      <c r="T149" s="357"/>
      <c r="U149" s="357"/>
      <c r="V149" s="357"/>
      <c r="W149" s="357"/>
      <c r="X149" s="357"/>
      <c r="Y149" s="357"/>
      <c r="Z149" s="357"/>
    </row>
    <row r="150" ht="15.75" customHeight="1">
      <c r="A150" s="466" t="s">
        <v>7391</v>
      </c>
      <c r="B150" s="466">
        <v>2024.0</v>
      </c>
      <c r="C150" s="466">
        <f t="shared" si="3"/>
        <v>5</v>
      </c>
      <c r="D150" s="467">
        <v>45426.0</v>
      </c>
      <c r="E150" s="482"/>
      <c r="F150" s="482"/>
      <c r="G150" s="466" t="s">
        <v>7100</v>
      </c>
      <c r="H150" s="482" t="s">
        <v>204</v>
      </c>
      <c r="I150" s="482">
        <v>1.0</v>
      </c>
      <c r="J150" s="486"/>
      <c r="K150" s="482" t="s">
        <v>7393</v>
      </c>
      <c r="L150" s="487">
        <v>175.0</v>
      </c>
      <c r="M150" s="482"/>
      <c r="N150" s="482"/>
      <c r="O150" s="466"/>
      <c r="P150" s="357"/>
      <c r="Q150" s="357"/>
      <c r="R150" s="357"/>
      <c r="S150" s="357"/>
      <c r="T150" s="357"/>
      <c r="U150" s="357"/>
      <c r="V150" s="357"/>
      <c r="W150" s="357"/>
      <c r="X150" s="357"/>
      <c r="Y150" s="357"/>
      <c r="Z150" s="357"/>
    </row>
    <row r="151" ht="15.75" customHeight="1">
      <c r="A151" s="466" t="s">
        <v>7391</v>
      </c>
      <c r="B151" s="466">
        <v>2024.0</v>
      </c>
      <c r="C151" s="466">
        <f t="shared" si="3"/>
        <v>5</v>
      </c>
      <c r="D151" s="467">
        <v>45427.0</v>
      </c>
      <c r="E151" s="490"/>
      <c r="F151" s="490"/>
      <c r="G151" s="466" t="s">
        <v>7100</v>
      </c>
      <c r="H151" s="482" t="s">
        <v>204</v>
      </c>
      <c r="I151" s="490">
        <v>1.0</v>
      </c>
      <c r="J151" s="491"/>
      <c r="K151" s="490" t="s">
        <v>7393</v>
      </c>
      <c r="L151" s="492">
        <v>175.0</v>
      </c>
      <c r="M151" s="490"/>
      <c r="N151" s="490"/>
      <c r="O151" s="466"/>
      <c r="P151" s="357"/>
      <c r="Q151" s="357"/>
      <c r="R151" s="357"/>
      <c r="S151" s="357"/>
      <c r="T151" s="357"/>
      <c r="U151" s="357"/>
      <c r="V151" s="357"/>
      <c r="W151" s="357"/>
      <c r="X151" s="357"/>
      <c r="Y151" s="357"/>
      <c r="Z151" s="357"/>
    </row>
    <row r="152" ht="15.75" customHeight="1">
      <c r="A152" s="466" t="s">
        <v>7391</v>
      </c>
      <c r="B152" s="466">
        <v>2024.0</v>
      </c>
      <c r="C152" s="466">
        <f t="shared" si="3"/>
        <v>5</v>
      </c>
      <c r="D152" s="467">
        <v>45427.0</v>
      </c>
      <c r="E152" s="482"/>
      <c r="F152" s="482"/>
      <c r="G152" s="466" t="s">
        <v>7100</v>
      </c>
      <c r="H152" s="482" t="s">
        <v>204</v>
      </c>
      <c r="I152" s="482">
        <v>1.0</v>
      </c>
      <c r="J152" s="486"/>
      <c r="K152" s="482" t="s">
        <v>7393</v>
      </c>
      <c r="L152" s="487">
        <v>175.0</v>
      </c>
      <c r="M152" s="482"/>
      <c r="N152" s="482"/>
      <c r="O152" s="466"/>
      <c r="P152" s="357"/>
      <c r="Q152" s="357"/>
      <c r="R152" s="357"/>
      <c r="S152" s="357"/>
      <c r="T152" s="357"/>
      <c r="U152" s="357"/>
      <c r="V152" s="357"/>
      <c r="W152" s="357"/>
      <c r="X152" s="357"/>
      <c r="Y152" s="357"/>
      <c r="Z152" s="357"/>
    </row>
    <row r="153" ht="15.75" customHeight="1">
      <c r="A153" s="466" t="s">
        <v>7391</v>
      </c>
      <c r="B153" s="466">
        <v>2024.0</v>
      </c>
      <c r="C153" s="466">
        <f t="shared" si="3"/>
        <v>5</v>
      </c>
      <c r="D153" s="467">
        <v>45427.0</v>
      </c>
      <c r="E153" s="482"/>
      <c r="F153" s="482"/>
      <c r="G153" s="466" t="s">
        <v>7100</v>
      </c>
      <c r="H153" s="482" t="s">
        <v>204</v>
      </c>
      <c r="I153" s="482">
        <v>1.0</v>
      </c>
      <c r="J153" s="486"/>
      <c r="K153" s="482" t="s">
        <v>7393</v>
      </c>
      <c r="L153" s="487">
        <v>175.0</v>
      </c>
      <c r="M153" s="482"/>
      <c r="N153" s="482"/>
      <c r="O153" s="466"/>
      <c r="P153" s="357"/>
      <c r="Q153" s="357"/>
      <c r="R153" s="357"/>
      <c r="S153" s="357"/>
      <c r="T153" s="357"/>
      <c r="U153" s="357"/>
      <c r="V153" s="357"/>
      <c r="W153" s="357"/>
      <c r="X153" s="357"/>
      <c r="Y153" s="357"/>
      <c r="Z153" s="357"/>
    </row>
    <row r="154" ht="15.75" customHeight="1">
      <c r="A154" s="466" t="s">
        <v>7391</v>
      </c>
      <c r="B154" s="466">
        <v>2024.0</v>
      </c>
      <c r="C154" s="466">
        <f t="shared" si="3"/>
        <v>5</v>
      </c>
      <c r="D154" s="467">
        <v>45428.0</v>
      </c>
      <c r="E154" s="482"/>
      <c r="F154" s="482"/>
      <c r="G154" s="466" t="s">
        <v>7100</v>
      </c>
      <c r="H154" s="482" t="s">
        <v>204</v>
      </c>
      <c r="I154" s="482">
        <v>1.0</v>
      </c>
      <c r="J154" s="486"/>
      <c r="K154" s="482" t="s">
        <v>7393</v>
      </c>
      <c r="L154" s="487">
        <v>175.0</v>
      </c>
      <c r="M154" s="482"/>
      <c r="N154" s="482"/>
      <c r="O154" s="466"/>
      <c r="P154" s="357"/>
      <c r="Q154" s="357"/>
      <c r="R154" s="357"/>
      <c r="S154" s="357"/>
      <c r="T154" s="357"/>
      <c r="U154" s="357"/>
      <c r="V154" s="357"/>
      <c r="W154" s="357"/>
      <c r="X154" s="357"/>
      <c r="Y154" s="357"/>
      <c r="Z154" s="357"/>
    </row>
    <row r="155" ht="15.75" customHeight="1">
      <c r="A155" s="466" t="s">
        <v>7391</v>
      </c>
      <c r="B155" s="466">
        <v>2024.0</v>
      </c>
      <c r="C155" s="466">
        <f t="shared" si="3"/>
        <v>5</v>
      </c>
      <c r="D155" s="467">
        <v>45428.0</v>
      </c>
      <c r="E155" s="482"/>
      <c r="F155" s="482"/>
      <c r="G155" s="466" t="s">
        <v>7100</v>
      </c>
      <c r="H155" s="482" t="s">
        <v>204</v>
      </c>
      <c r="I155" s="482">
        <v>1.0</v>
      </c>
      <c r="J155" s="486"/>
      <c r="K155" s="482" t="s">
        <v>7393</v>
      </c>
      <c r="L155" s="487">
        <v>175.0</v>
      </c>
      <c r="M155" s="482"/>
      <c r="N155" s="482"/>
      <c r="O155" s="466"/>
      <c r="P155" s="357"/>
      <c r="Q155" s="357"/>
      <c r="R155" s="357"/>
      <c r="S155" s="357"/>
      <c r="T155" s="357"/>
      <c r="U155" s="357"/>
      <c r="V155" s="357"/>
      <c r="W155" s="357"/>
      <c r="X155" s="357"/>
      <c r="Y155" s="357"/>
      <c r="Z155" s="357"/>
    </row>
    <row r="156" ht="15.75" customHeight="1">
      <c r="A156" s="466" t="s">
        <v>7391</v>
      </c>
      <c r="B156" s="466">
        <v>2024.0</v>
      </c>
      <c r="C156" s="466">
        <f t="shared" si="3"/>
        <v>5</v>
      </c>
      <c r="D156" s="467">
        <v>45430.0</v>
      </c>
      <c r="E156" s="482" t="s">
        <v>7554</v>
      </c>
      <c r="F156" s="482" t="s">
        <v>7585</v>
      </c>
      <c r="G156" s="466" t="s">
        <v>7100</v>
      </c>
      <c r="H156" s="482" t="s">
        <v>6906</v>
      </c>
      <c r="I156" s="482">
        <v>1.0</v>
      </c>
      <c r="J156" s="486"/>
      <c r="K156" s="482" t="s">
        <v>7393</v>
      </c>
      <c r="L156" s="487">
        <v>175.0</v>
      </c>
      <c r="M156" s="482"/>
      <c r="N156" s="482"/>
      <c r="O156" s="466"/>
      <c r="P156" s="357"/>
      <c r="Q156" s="357"/>
      <c r="R156" s="357"/>
      <c r="S156" s="357"/>
      <c r="T156" s="357"/>
      <c r="U156" s="357"/>
      <c r="V156" s="357"/>
      <c r="W156" s="357"/>
      <c r="X156" s="357"/>
      <c r="Y156" s="357"/>
      <c r="Z156" s="357"/>
    </row>
    <row r="157" ht="15.75" customHeight="1">
      <c r="A157" s="466" t="s">
        <v>7391</v>
      </c>
      <c r="B157" s="466">
        <v>2024.0</v>
      </c>
      <c r="C157" s="466">
        <f t="shared" si="3"/>
        <v>5</v>
      </c>
      <c r="D157" s="467">
        <v>45431.0</v>
      </c>
      <c r="E157" s="482" t="s">
        <v>7586</v>
      </c>
      <c r="F157" s="482" t="s">
        <v>7587</v>
      </c>
      <c r="G157" s="466" t="s">
        <v>7100</v>
      </c>
      <c r="H157" s="482" t="s">
        <v>204</v>
      </c>
      <c r="I157" s="482">
        <v>1.0</v>
      </c>
      <c r="J157" s="486"/>
      <c r="K157" s="482" t="s">
        <v>7393</v>
      </c>
      <c r="L157" s="487">
        <v>175.0</v>
      </c>
      <c r="M157" s="482"/>
      <c r="N157" s="482"/>
      <c r="O157" s="466"/>
      <c r="P157" s="357"/>
      <c r="Q157" s="357"/>
      <c r="R157" s="357"/>
      <c r="S157" s="357"/>
      <c r="T157" s="357"/>
      <c r="U157" s="357"/>
      <c r="V157" s="357"/>
      <c r="W157" s="357"/>
      <c r="X157" s="357"/>
      <c r="Y157" s="357"/>
      <c r="Z157" s="357"/>
    </row>
    <row r="158" ht="15.75" customHeight="1">
      <c r="A158" s="466" t="s">
        <v>7391</v>
      </c>
      <c r="B158" s="466">
        <v>2024.0</v>
      </c>
      <c r="C158" s="466">
        <f t="shared" si="3"/>
        <v>5</v>
      </c>
      <c r="D158" s="467">
        <v>45432.0</v>
      </c>
      <c r="E158" s="482" t="s">
        <v>2772</v>
      </c>
      <c r="F158" s="482" t="s">
        <v>7588</v>
      </c>
      <c r="G158" s="466" t="s">
        <v>7100</v>
      </c>
      <c r="H158" s="482" t="s">
        <v>204</v>
      </c>
      <c r="I158" s="482">
        <v>1.0</v>
      </c>
      <c r="J158" s="486"/>
      <c r="K158" s="482" t="s">
        <v>7393</v>
      </c>
      <c r="L158" s="487">
        <v>175.0</v>
      </c>
      <c r="M158" s="482"/>
      <c r="N158" s="482"/>
      <c r="O158" s="466"/>
      <c r="P158" s="357"/>
      <c r="Q158" s="357"/>
      <c r="R158" s="357"/>
      <c r="S158" s="357"/>
      <c r="T158" s="357"/>
      <c r="U158" s="357"/>
      <c r="V158" s="357"/>
      <c r="W158" s="357"/>
      <c r="X158" s="357"/>
      <c r="Y158" s="357"/>
      <c r="Z158" s="357"/>
    </row>
    <row r="159" ht="15.75" customHeight="1">
      <c r="A159" s="466" t="s">
        <v>7391</v>
      </c>
      <c r="B159" s="466">
        <v>2024.0</v>
      </c>
      <c r="C159" s="466">
        <f t="shared" si="3"/>
        <v>5</v>
      </c>
      <c r="D159" s="467">
        <v>45433.0</v>
      </c>
      <c r="E159" s="482" t="s">
        <v>2623</v>
      </c>
      <c r="F159" s="482" t="s">
        <v>7589</v>
      </c>
      <c r="G159" s="466" t="s">
        <v>7100</v>
      </c>
      <c r="H159" s="482" t="s">
        <v>204</v>
      </c>
      <c r="I159" s="482">
        <v>1.0</v>
      </c>
      <c r="J159" s="486"/>
      <c r="K159" s="482" t="s">
        <v>7393</v>
      </c>
      <c r="L159" s="487">
        <v>175.0</v>
      </c>
      <c r="M159" s="482"/>
      <c r="N159" s="482"/>
      <c r="O159" s="466"/>
      <c r="P159" s="357"/>
      <c r="Q159" s="357"/>
      <c r="R159" s="357"/>
      <c r="S159" s="357"/>
      <c r="T159" s="357"/>
      <c r="U159" s="357"/>
      <c r="V159" s="357"/>
      <c r="W159" s="357"/>
      <c r="X159" s="357"/>
      <c r="Y159" s="357"/>
      <c r="Z159" s="357"/>
    </row>
    <row r="160" ht="15.75" customHeight="1">
      <c r="A160" s="466" t="s">
        <v>7391</v>
      </c>
      <c r="B160" s="466">
        <v>2024.0</v>
      </c>
      <c r="C160" s="466">
        <f t="shared" si="3"/>
        <v>5</v>
      </c>
      <c r="D160" s="467">
        <v>45433.0</v>
      </c>
      <c r="E160" s="482" t="s">
        <v>2561</v>
      </c>
      <c r="F160" s="482" t="s">
        <v>7590</v>
      </c>
      <c r="G160" s="466" t="s">
        <v>7100</v>
      </c>
      <c r="H160" s="482" t="s">
        <v>204</v>
      </c>
      <c r="I160" s="482">
        <v>1.0</v>
      </c>
      <c r="J160" s="486"/>
      <c r="K160" s="482" t="s">
        <v>7393</v>
      </c>
      <c r="L160" s="487">
        <v>175.0</v>
      </c>
      <c r="M160" s="482"/>
      <c r="N160" s="482"/>
      <c r="O160" s="466"/>
      <c r="P160" s="357"/>
      <c r="Q160" s="357"/>
      <c r="R160" s="357"/>
      <c r="S160" s="357"/>
      <c r="T160" s="357"/>
      <c r="U160" s="357"/>
      <c r="V160" s="357"/>
      <c r="W160" s="357"/>
      <c r="X160" s="357"/>
      <c r="Y160" s="357"/>
      <c r="Z160" s="357"/>
    </row>
    <row r="161" ht="15.75" customHeight="1">
      <c r="A161" s="466" t="s">
        <v>7391</v>
      </c>
      <c r="B161" s="466">
        <v>2024.0</v>
      </c>
      <c r="C161" s="466">
        <f t="shared" si="3"/>
        <v>5</v>
      </c>
      <c r="D161" s="467">
        <v>45433.0</v>
      </c>
      <c r="E161" s="482" t="s">
        <v>7591</v>
      </c>
      <c r="F161" s="482" t="s">
        <v>7592</v>
      </c>
      <c r="G161" s="466" t="s">
        <v>7075</v>
      </c>
      <c r="H161" s="482" t="s">
        <v>7593</v>
      </c>
      <c r="I161" s="482">
        <v>1.0</v>
      </c>
      <c r="J161" s="486"/>
      <c r="K161" s="482" t="s">
        <v>7393</v>
      </c>
      <c r="L161" s="487">
        <v>114.0</v>
      </c>
      <c r="M161" s="482"/>
      <c r="N161" s="482"/>
      <c r="O161" s="466"/>
      <c r="P161" s="357"/>
      <c r="Q161" s="357"/>
      <c r="R161" s="357"/>
      <c r="S161" s="357"/>
      <c r="T161" s="357"/>
      <c r="U161" s="357"/>
      <c r="V161" s="357"/>
      <c r="W161" s="357"/>
      <c r="X161" s="357"/>
      <c r="Y161" s="357"/>
      <c r="Z161" s="357"/>
    </row>
    <row r="162" ht="15.75" customHeight="1">
      <c r="A162" s="466" t="s">
        <v>7391</v>
      </c>
      <c r="B162" s="466">
        <v>2024.0</v>
      </c>
      <c r="C162" s="466">
        <f t="shared" si="3"/>
        <v>5</v>
      </c>
      <c r="D162" s="467">
        <v>45433.0</v>
      </c>
      <c r="E162" s="482" t="s">
        <v>7594</v>
      </c>
      <c r="F162" s="482" t="s">
        <v>7595</v>
      </c>
      <c r="G162" s="466" t="s">
        <v>7075</v>
      </c>
      <c r="H162" s="482" t="s">
        <v>7596</v>
      </c>
      <c r="I162" s="482">
        <v>1.0</v>
      </c>
      <c r="J162" s="486"/>
      <c r="K162" s="482" t="s">
        <v>7393</v>
      </c>
      <c r="L162" s="487">
        <v>114.0</v>
      </c>
      <c r="M162" s="482"/>
      <c r="N162" s="482"/>
      <c r="O162" s="466"/>
      <c r="P162" s="357"/>
      <c r="Q162" s="357"/>
      <c r="R162" s="357"/>
      <c r="S162" s="357"/>
      <c r="T162" s="357"/>
      <c r="U162" s="357"/>
      <c r="V162" s="357"/>
      <c r="W162" s="357"/>
      <c r="X162" s="357"/>
      <c r="Y162" s="357"/>
      <c r="Z162" s="357"/>
    </row>
    <row r="163" ht="15.75" customHeight="1">
      <c r="A163" s="466" t="s">
        <v>7391</v>
      </c>
      <c r="B163" s="466">
        <v>2024.0</v>
      </c>
      <c r="C163" s="466">
        <f t="shared" si="3"/>
        <v>5</v>
      </c>
      <c r="D163" s="467">
        <v>45433.0</v>
      </c>
      <c r="E163" s="482" t="s">
        <v>7571</v>
      </c>
      <c r="F163" s="482" t="s">
        <v>7597</v>
      </c>
      <c r="G163" s="466" t="s">
        <v>7075</v>
      </c>
      <c r="H163" s="482" t="s">
        <v>7596</v>
      </c>
      <c r="I163" s="482">
        <v>1.0</v>
      </c>
      <c r="J163" s="486"/>
      <c r="K163" s="482" t="s">
        <v>7393</v>
      </c>
      <c r="L163" s="487">
        <v>114.0</v>
      </c>
      <c r="M163" s="482"/>
      <c r="N163" s="482"/>
      <c r="O163" s="466"/>
      <c r="P163" s="357"/>
      <c r="Q163" s="357"/>
      <c r="R163" s="357"/>
      <c r="S163" s="357"/>
      <c r="T163" s="357"/>
      <c r="U163" s="357"/>
      <c r="V163" s="357"/>
      <c r="W163" s="357"/>
      <c r="X163" s="357"/>
      <c r="Y163" s="357"/>
      <c r="Z163" s="357"/>
    </row>
    <row r="164" ht="15.75" customHeight="1">
      <c r="A164" s="466" t="s">
        <v>7391</v>
      </c>
      <c r="B164" s="466">
        <v>2024.0</v>
      </c>
      <c r="C164" s="466">
        <f t="shared" si="3"/>
        <v>5</v>
      </c>
      <c r="D164" s="467">
        <v>45433.0</v>
      </c>
      <c r="E164" s="484" t="s">
        <v>7598</v>
      </c>
      <c r="F164" s="493" t="s">
        <v>7599</v>
      </c>
      <c r="G164" s="466" t="s">
        <v>7075</v>
      </c>
      <c r="H164" s="482" t="s">
        <v>7593</v>
      </c>
      <c r="I164" s="482">
        <v>1.0</v>
      </c>
      <c r="J164" s="486"/>
      <c r="K164" s="482" t="s">
        <v>7393</v>
      </c>
      <c r="L164" s="487">
        <v>114.0</v>
      </c>
      <c r="M164" s="482"/>
      <c r="N164" s="482"/>
      <c r="O164" s="466"/>
      <c r="P164" s="357"/>
      <c r="Q164" s="357"/>
      <c r="R164" s="357"/>
      <c r="S164" s="357"/>
      <c r="T164" s="357"/>
      <c r="U164" s="357"/>
      <c r="V164" s="357"/>
      <c r="W164" s="357"/>
      <c r="X164" s="357"/>
      <c r="Y164" s="357"/>
      <c r="Z164" s="357"/>
    </row>
    <row r="165" ht="15.75" customHeight="1">
      <c r="A165" s="466" t="s">
        <v>7391</v>
      </c>
      <c r="B165" s="466">
        <v>2024.0</v>
      </c>
      <c r="C165" s="466">
        <f t="shared" si="3"/>
        <v>5</v>
      </c>
      <c r="D165" s="467">
        <v>45434.0</v>
      </c>
      <c r="E165" s="482" t="s">
        <v>7600</v>
      </c>
      <c r="F165" s="482"/>
      <c r="G165" s="466" t="s">
        <v>7100</v>
      </c>
      <c r="H165" s="482" t="s">
        <v>7564</v>
      </c>
      <c r="I165" s="482">
        <v>1.0</v>
      </c>
      <c r="J165" s="486"/>
      <c r="K165" s="482" t="s">
        <v>7393</v>
      </c>
      <c r="L165" s="487">
        <v>175.0</v>
      </c>
      <c r="M165" s="482"/>
      <c r="N165" s="482"/>
      <c r="O165" s="466"/>
      <c r="P165" s="357"/>
      <c r="Q165" s="357"/>
      <c r="R165" s="357"/>
      <c r="S165" s="357"/>
      <c r="T165" s="357"/>
      <c r="U165" s="357"/>
      <c r="V165" s="357"/>
      <c r="W165" s="357"/>
      <c r="X165" s="357"/>
      <c r="Y165" s="357"/>
      <c r="Z165" s="357"/>
    </row>
    <row r="166" ht="15.75" customHeight="1">
      <c r="A166" s="466" t="s">
        <v>7391</v>
      </c>
      <c r="B166" s="466">
        <v>2024.0</v>
      </c>
      <c r="C166" s="466">
        <f t="shared" si="3"/>
        <v>5</v>
      </c>
      <c r="D166" s="467">
        <v>45434.0</v>
      </c>
      <c r="E166" s="482" t="s">
        <v>7601</v>
      </c>
      <c r="F166" s="482"/>
      <c r="G166" s="466" t="s">
        <v>7100</v>
      </c>
      <c r="H166" s="482" t="s">
        <v>7602</v>
      </c>
      <c r="I166" s="482">
        <v>1.0</v>
      </c>
      <c r="J166" s="486"/>
      <c r="K166" s="482" t="s">
        <v>7393</v>
      </c>
      <c r="L166" s="487">
        <v>175.0</v>
      </c>
      <c r="M166" s="482"/>
      <c r="N166" s="482"/>
      <c r="O166" s="466"/>
      <c r="P166" s="357"/>
      <c r="Q166" s="357"/>
      <c r="R166" s="357"/>
      <c r="S166" s="357"/>
      <c r="T166" s="357"/>
      <c r="U166" s="357"/>
      <c r="V166" s="357"/>
      <c r="W166" s="357"/>
      <c r="X166" s="357"/>
      <c r="Y166" s="357"/>
      <c r="Z166" s="357"/>
    </row>
    <row r="167" ht="15.75" customHeight="1">
      <c r="A167" s="466" t="s">
        <v>7391</v>
      </c>
      <c r="B167" s="466">
        <v>2024.0</v>
      </c>
      <c r="C167" s="466">
        <f t="shared" si="3"/>
        <v>5</v>
      </c>
      <c r="D167" s="467">
        <v>45434.0</v>
      </c>
      <c r="E167" s="482" t="s">
        <v>2635</v>
      </c>
      <c r="F167" s="482" t="s">
        <v>7603</v>
      </c>
      <c r="G167" s="466" t="s">
        <v>7075</v>
      </c>
      <c r="H167" s="482" t="s">
        <v>7596</v>
      </c>
      <c r="I167" s="482">
        <v>1.0</v>
      </c>
      <c r="J167" s="486"/>
      <c r="K167" s="482" t="s">
        <v>7393</v>
      </c>
      <c r="L167" s="487">
        <v>114.0</v>
      </c>
      <c r="M167" s="482"/>
      <c r="N167" s="482"/>
      <c r="O167" s="466"/>
      <c r="P167" s="357"/>
      <c r="Q167" s="357"/>
      <c r="R167" s="357"/>
      <c r="S167" s="357"/>
      <c r="T167" s="357"/>
      <c r="U167" s="357"/>
      <c r="V167" s="357"/>
      <c r="W167" s="357"/>
      <c r="X167" s="357"/>
      <c r="Y167" s="357"/>
      <c r="Z167" s="357"/>
    </row>
    <row r="168" ht="15.75" customHeight="1">
      <c r="A168" s="466" t="s">
        <v>7391</v>
      </c>
      <c r="B168" s="466">
        <v>2024.0</v>
      </c>
      <c r="C168" s="466">
        <f t="shared" si="3"/>
        <v>5</v>
      </c>
      <c r="D168" s="467">
        <v>45436.0</v>
      </c>
      <c r="E168" s="482" t="s">
        <v>2550</v>
      </c>
      <c r="F168" s="482" t="s">
        <v>7604</v>
      </c>
      <c r="G168" s="466" t="s">
        <v>7100</v>
      </c>
      <c r="H168" s="482" t="s">
        <v>7602</v>
      </c>
      <c r="I168" s="482">
        <v>1.0</v>
      </c>
      <c r="J168" s="486"/>
      <c r="K168" s="482" t="s">
        <v>7393</v>
      </c>
      <c r="L168" s="487">
        <v>175.0</v>
      </c>
      <c r="M168" s="482"/>
      <c r="N168" s="482"/>
      <c r="O168" s="466"/>
      <c r="P168" s="357"/>
      <c r="Q168" s="357"/>
      <c r="R168" s="357"/>
      <c r="S168" s="357"/>
      <c r="T168" s="357"/>
      <c r="U168" s="357"/>
      <c r="V168" s="357"/>
      <c r="W168" s="357"/>
      <c r="X168" s="357"/>
      <c r="Y168" s="357"/>
      <c r="Z168" s="357"/>
    </row>
    <row r="169" ht="15.75" customHeight="1">
      <c r="A169" s="466" t="s">
        <v>7391</v>
      </c>
      <c r="B169" s="466">
        <v>2024.0</v>
      </c>
      <c r="C169" s="466">
        <f t="shared" si="3"/>
        <v>5</v>
      </c>
      <c r="D169" s="467">
        <v>45436.0</v>
      </c>
      <c r="E169" s="482" t="s">
        <v>2768</v>
      </c>
      <c r="F169" s="482" t="s">
        <v>7605</v>
      </c>
      <c r="G169" s="466" t="s">
        <v>7100</v>
      </c>
      <c r="H169" s="482" t="s">
        <v>7602</v>
      </c>
      <c r="I169" s="482">
        <v>1.0</v>
      </c>
      <c r="J169" s="486"/>
      <c r="K169" s="482" t="s">
        <v>7393</v>
      </c>
      <c r="L169" s="487">
        <v>175.0</v>
      </c>
      <c r="M169" s="482"/>
      <c r="N169" s="482"/>
      <c r="O169" s="466"/>
      <c r="P169" s="357"/>
      <c r="Q169" s="357"/>
      <c r="R169" s="357"/>
      <c r="S169" s="357"/>
      <c r="T169" s="357"/>
      <c r="U169" s="357"/>
      <c r="V169" s="357"/>
      <c r="W169" s="357"/>
      <c r="X169" s="357"/>
      <c r="Y169" s="357"/>
      <c r="Z169" s="357"/>
    </row>
    <row r="170" ht="15.75" customHeight="1">
      <c r="A170" s="466" t="s">
        <v>7391</v>
      </c>
      <c r="B170" s="466">
        <v>2024.0</v>
      </c>
      <c r="C170" s="466">
        <f t="shared" si="3"/>
        <v>5</v>
      </c>
      <c r="D170" s="467">
        <v>45438.0</v>
      </c>
      <c r="E170" s="482" t="s">
        <v>7554</v>
      </c>
      <c r="F170" s="482" t="s">
        <v>7606</v>
      </c>
      <c r="G170" s="466" t="s">
        <v>7075</v>
      </c>
      <c r="H170" s="482"/>
      <c r="I170" s="482">
        <v>1.0</v>
      </c>
      <c r="J170" s="486"/>
      <c r="K170" s="482" t="s">
        <v>7393</v>
      </c>
      <c r="L170" s="487">
        <v>114.0</v>
      </c>
      <c r="M170" s="482"/>
      <c r="N170" s="482"/>
      <c r="O170" s="466"/>
      <c r="P170" s="357"/>
      <c r="Q170" s="357"/>
      <c r="R170" s="357"/>
      <c r="S170" s="357"/>
      <c r="T170" s="357"/>
      <c r="U170" s="357"/>
      <c r="V170" s="357"/>
      <c r="W170" s="357"/>
      <c r="X170" s="357"/>
      <c r="Y170" s="357"/>
      <c r="Z170" s="357"/>
    </row>
    <row r="171" ht="15.75" customHeight="1">
      <c r="A171" s="466" t="s">
        <v>7391</v>
      </c>
      <c r="B171" s="466">
        <v>2024.0</v>
      </c>
      <c r="C171" s="466">
        <f t="shared" si="3"/>
        <v>5</v>
      </c>
      <c r="D171" s="467">
        <v>45438.0</v>
      </c>
      <c r="E171" s="482" t="s">
        <v>7429</v>
      </c>
      <c r="F171" s="482" t="s">
        <v>7607</v>
      </c>
      <c r="G171" s="466" t="s">
        <v>7075</v>
      </c>
      <c r="H171" s="482"/>
      <c r="I171" s="482">
        <v>1.0</v>
      </c>
      <c r="J171" s="486"/>
      <c r="K171" s="482" t="s">
        <v>7393</v>
      </c>
      <c r="L171" s="487">
        <v>115.0</v>
      </c>
      <c r="M171" s="482"/>
      <c r="N171" s="482"/>
      <c r="O171" s="466"/>
      <c r="P171" s="357"/>
      <c r="Q171" s="357"/>
      <c r="R171" s="357"/>
      <c r="S171" s="357"/>
      <c r="T171" s="357"/>
      <c r="U171" s="357"/>
      <c r="V171" s="357"/>
      <c r="W171" s="357"/>
      <c r="X171" s="357"/>
      <c r="Y171" s="357"/>
      <c r="Z171" s="357"/>
    </row>
    <row r="172" ht="15.75" customHeight="1">
      <c r="A172" s="466" t="s">
        <v>7391</v>
      </c>
      <c r="B172" s="466">
        <v>2024.0</v>
      </c>
      <c r="C172" s="466">
        <f t="shared" si="3"/>
        <v>5</v>
      </c>
      <c r="D172" s="467">
        <v>45438.0</v>
      </c>
      <c r="E172" s="482" t="s">
        <v>7608</v>
      </c>
      <c r="F172" s="482" t="s">
        <v>7609</v>
      </c>
      <c r="G172" s="466" t="s">
        <v>7100</v>
      </c>
      <c r="H172" s="482" t="s">
        <v>7602</v>
      </c>
      <c r="I172" s="482">
        <v>1.0</v>
      </c>
      <c r="J172" s="486"/>
      <c r="K172" s="482" t="s">
        <v>7393</v>
      </c>
      <c r="L172" s="487">
        <v>175.0</v>
      </c>
      <c r="M172" s="482"/>
      <c r="N172" s="482"/>
      <c r="O172" s="466"/>
      <c r="P172" s="357"/>
      <c r="Q172" s="357"/>
      <c r="R172" s="357"/>
      <c r="S172" s="357"/>
      <c r="T172" s="357"/>
      <c r="U172" s="357"/>
      <c r="V172" s="357"/>
      <c r="W172" s="357"/>
      <c r="X172" s="357"/>
      <c r="Y172" s="357"/>
      <c r="Z172" s="357"/>
    </row>
    <row r="173" ht="15.75" customHeight="1">
      <c r="A173" s="466" t="s">
        <v>7391</v>
      </c>
      <c r="B173" s="466">
        <v>2024.0</v>
      </c>
      <c r="C173" s="466">
        <f t="shared" si="3"/>
        <v>5</v>
      </c>
      <c r="D173" s="467">
        <v>45438.0</v>
      </c>
      <c r="E173" s="490" t="s">
        <v>2561</v>
      </c>
      <c r="F173" s="482" t="s">
        <v>7610</v>
      </c>
      <c r="G173" s="466" t="s">
        <v>7611</v>
      </c>
      <c r="H173" s="482"/>
      <c r="I173" s="482">
        <v>1.0</v>
      </c>
      <c r="J173" s="486"/>
      <c r="K173" s="482" t="s">
        <v>7393</v>
      </c>
      <c r="L173" s="487">
        <v>85.0</v>
      </c>
      <c r="M173" s="482"/>
      <c r="N173" s="482"/>
      <c r="O173" s="466"/>
      <c r="P173" s="357"/>
      <c r="Q173" s="357"/>
      <c r="R173" s="357"/>
      <c r="S173" s="357"/>
      <c r="T173" s="357"/>
      <c r="U173" s="357"/>
      <c r="V173" s="357"/>
      <c r="W173" s="357"/>
      <c r="X173" s="357"/>
      <c r="Y173" s="357"/>
      <c r="Z173" s="357"/>
    </row>
    <row r="174" ht="15.75" customHeight="1">
      <c r="A174" s="466" t="s">
        <v>7391</v>
      </c>
      <c r="B174" s="466">
        <v>2024.0</v>
      </c>
      <c r="C174" s="466">
        <f t="shared" si="3"/>
        <v>5</v>
      </c>
      <c r="D174" s="467">
        <v>45438.0</v>
      </c>
      <c r="E174" s="482" t="s">
        <v>7612</v>
      </c>
      <c r="F174" s="482" t="s">
        <v>7613</v>
      </c>
      <c r="G174" s="466" t="s">
        <v>7075</v>
      </c>
      <c r="H174" s="482"/>
      <c r="I174" s="482">
        <v>1.0</v>
      </c>
      <c r="J174" s="486"/>
      <c r="K174" s="482" t="s">
        <v>7393</v>
      </c>
      <c r="L174" s="487">
        <v>115.0</v>
      </c>
      <c r="M174" s="482"/>
      <c r="N174" s="482"/>
      <c r="O174" s="466"/>
      <c r="P174" s="357"/>
      <c r="Q174" s="357"/>
      <c r="R174" s="357"/>
      <c r="S174" s="357"/>
      <c r="T174" s="357"/>
      <c r="U174" s="357"/>
      <c r="V174" s="357"/>
      <c r="W174" s="357"/>
      <c r="X174" s="357"/>
      <c r="Y174" s="357"/>
      <c r="Z174" s="357"/>
    </row>
    <row r="175" ht="15.75" customHeight="1">
      <c r="A175" s="466" t="s">
        <v>7391</v>
      </c>
      <c r="B175" s="466">
        <v>2024.0</v>
      </c>
      <c r="C175" s="466">
        <f t="shared" si="3"/>
        <v>5</v>
      </c>
      <c r="D175" s="467">
        <v>45438.0</v>
      </c>
      <c r="E175" s="482" t="s">
        <v>2566</v>
      </c>
      <c r="F175" s="482" t="s">
        <v>7614</v>
      </c>
      <c r="G175" s="466" t="s">
        <v>7075</v>
      </c>
      <c r="H175" s="482"/>
      <c r="I175" s="482">
        <v>1.0</v>
      </c>
      <c r="J175" s="486"/>
      <c r="K175" s="482" t="s">
        <v>7393</v>
      </c>
      <c r="L175" s="487">
        <v>114.0</v>
      </c>
      <c r="M175" s="482"/>
      <c r="N175" s="482"/>
      <c r="O175" s="466"/>
      <c r="P175" s="357"/>
      <c r="Q175" s="357"/>
      <c r="R175" s="357"/>
      <c r="S175" s="357"/>
      <c r="T175" s="357"/>
      <c r="U175" s="357"/>
      <c r="V175" s="357"/>
      <c r="W175" s="357"/>
      <c r="X175" s="357"/>
      <c r="Y175" s="357"/>
      <c r="Z175" s="357"/>
    </row>
    <row r="176" ht="15.75" customHeight="1">
      <c r="A176" s="466" t="s">
        <v>7391</v>
      </c>
      <c r="B176" s="466">
        <v>2024.0</v>
      </c>
      <c r="C176" s="466">
        <f t="shared" si="3"/>
        <v>5</v>
      </c>
      <c r="D176" s="467">
        <v>45438.0</v>
      </c>
      <c r="E176" s="482" t="s">
        <v>7417</v>
      </c>
      <c r="F176" s="482" t="s">
        <v>7615</v>
      </c>
      <c r="G176" s="466" t="s">
        <v>7075</v>
      </c>
      <c r="H176" s="482"/>
      <c r="I176" s="482">
        <v>1.0</v>
      </c>
      <c r="J176" s="486"/>
      <c r="K176" s="482" t="s">
        <v>7393</v>
      </c>
      <c r="L176" s="487">
        <v>115.0</v>
      </c>
      <c r="M176" s="482"/>
      <c r="N176" s="482"/>
      <c r="O176" s="466"/>
      <c r="P176" s="357"/>
      <c r="Q176" s="357"/>
      <c r="R176" s="357"/>
      <c r="S176" s="357"/>
      <c r="T176" s="357"/>
      <c r="U176" s="357"/>
      <c r="V176" s="357"/>
      <c r="W176" s="357"/>
      <c r="X176" s="357"/>
      <c r="Y176" s="357"/>
      <c r="Z176" s="357"/>
    </row>
    <row r="177" ht="15.75" customHeight="1">
      <c r="A177" s="466" t="s">
        <v>7391</v>
      </c>
      <c r="B177" s="466">
        <v>2024.0</v>
      </c>
      <c r="C177" s="466">
        <f t="shared" si="3"/>
        <v>5</v>
      </c>
      <c r="D177" s="467">
        <v>45439.0</v>
      </c>
      <c r="E177" s="482" t="s">
        <v>7616</v>
      </c>
      <c r="F177" s="482" t="s">
        <v>7617</v>
      </c>
      <c r="G177" s="466" t="s">
        <v>7100</v>
      </c>
      <c r="H177" s="482" t="s">
        <v>248</v>
      </c>
      <c r="I177" s="482">
        <v>1.0</v>
      </c>
      <c r="J177" s="486"/>
      <c r="K177" s="482" t="s">
        <v>7393</v>
      </c>
      <c r="L177" s="487">
        <v>175.0</v>
      </c>
      <c r="M177" s="482"/>
      <c r="N177" s="482"/>
      <c r="O177" s="466"/>
      <c r="P177" s="357"/>
      <c r="Q177" s="357"/>
      <c r="R177" s="357"/>
      <c r="S177" s="357"/>
      <c r="T177" s="357"/>
      <c r="U177" s="357"/>
      <c r="V177" s="357"/>
      <c r="W177" s="357"/>
      <c r="X177" s="357"/>
      <c r="Y177" s="357"/>
      <c r="Z177" s="357"/>
    </row>
    <row r="178" ht="15.75" customHeight="1">
      <c r="A178" s="466" t="s">
        <v>7391</v>
      </c>
      <c r="B178" s="466">
        <v>2024.0</v>
      </c>
      <c r="C178" s="466">
        <f t="shared" si="3"/>
        <v>5</v>
      </c>
      <c r="D178" s="467">
        <v>45439.0</v>
      </c>
      <c r="E178" s="482" t="s">
        <v>2845</v>
      </c>
      <c r="F178" s="482" t="s">
        <v>7618</v>
      </c>
      <c r="G178" s="466" t="s">
        <v>7075</v>
      </c>
      <c r="H178" s="482"/>
      <c r="I178" s="475">
        <v>1.0</v>
      </c>
      <c r="J178" s="476"/>
      <c r="K178" s="482" t="s">
        <v>7393</v>
      </c>
      <c r="L178" s="488">
        <v>109.0</v>
      </c>
      <c r="M178" s="475"/>
      <c r="N178" s="475"/>
      <c r="O178" s="466"/>
      <c r="P178" s="357"/>
      <c r="Q178" s="357"/>
      <c r="R178" s="357"/>
      <c r="S178" s="357"/>
      <c r="T178" s="357"/>
      <c r="U178" s="357"/>
      <c r="V178" s="357"/>
      <c r="W178" s="357"/>
      <c r="X178" s="357"/>
      <c r="Y178" s="357"/>
      <c r="Z178" s="357"/>
    </row>
    <row r="179" ht="15.75" customHeight="1">
      <c r="A179" s="466" t="s">
        <v>7391</v>
      </c>
      <c r="B179" s="466">
        <v>2024.0</v>
      </c>
      <c r="C179" s="466">
        <f t="shared" si="3"/>
        <v>5</v>
      </c>
      <c r="D179" s="467">
        <v>45439.0</v>
      </c>
      <c r="E179" s="482" t="s">
        <v>7619</v>
      </c>
      <c r="F179" s="482" t="s">
        <v>7620</v>
      </c>
      <c r="G179" s="466" t="s">
        <v>7100</v>
      </c>
      <c r="H179" s="482" t="s">
        <v>248</v>
      </c>
      <c r="I179" s="475">
        <v>1.0</v>
      </c>
      <c r="J179" s="476"/>
      <c r="K179" s="482" t="s">
        <v>7393</v>
      </c>
      <c r="L179" s="488">
        <v>175.0</v>
      </c>
      <c r="M179" s="475"/>
      <c r="N179" s="475"/>
      <c r="O179" s="466"/>
      <c r="P179" s="357"/>
      <c r="Q179" s="357"/>
      <c r="R179" s="357"/>
      <c r="S179" s="357"/>
      <c r="T179" s="357"/>
      <c r="U179" s="357"/>
      <c r="V179" s="357"/>
      <c r="W179" s="357"/>
      <c r="X179" s="357"/>
      <c r="Y179" s="357"/>
      <c r="Z179" s="357"/>
    </row>
    <row r="180" ht="15.75" customHeight="1">
      <c r="A180" s="466" t="s">
        <v>7391</v>
      </c>
      <c r="B180" s="466">
        <v>2024.0</v>
      </c>
      <c r="C180" s="466">
        <f t="shared" si="3"/>
        <v>5</v>
      </c>
      <c r="D180" s="467">
        <v>45439.0</v>
      </c>
      <c r="E180" s="482" t="s">
        <v>7621</v>
      </c>
      <c r="F180" s="482" t="s">
        <v>7622</v>
      </c>
      <c r="G180" s="466" t="s">
        <v>7100</v>
      </c>
      <c r="H180" s="482" t="s">
        <v>248</v>
      </c>
      <c r="I180" s="475">
        <v>1.0</v>
      </c>
      <c r="J180" s="476"/>
      <c r="K180" s="482" t="s">
        <v>7393</v>
      </c>
      <c r="L180" s="488">
        <v>175.0</v>
      </c>
      <c r="M180" s="475"/>
      <c r="N180" s="475"/>
      <c r="O180" s="466"/>
      <c r="P180" s="357"/>
      <c r="Q180" s="357"/>
      <c r="R180" s="357"/>
      <c r="S180" s="357"/>
      <c r="T180" s="357"/>
      <c r="U180" s="357"/>
      <c r="V180" s="357"/>
      <c r="W180" s="357"/>
      <c r="X180" s="357"/>
      <c r="Y180" s="357"/>
      <c r="Z180" s="357"/>
    </row>
    <row r="181" ht="15.75" customHeight="1">
      <c r="A181" s="466" t="s">
        <v>7391</v>
      </c>
      <c r="B181" s="466">
        <v>2024.0</v>
      </c>
      <c r="C181" s="466">
        <f t="shared" si="3"/>
        <v>5</v>
      </c>
      <c r="D181" s="467">
        <v>45439.0</v>
      </c>
      <c r="E181" s="482" t="s">
        <v>2566</v>
      </c>
      <c r="F181" s="482" t="s">
        <v>7623</v>
      </c>
      <c r="G181" s="466" t="s">
        <v>7100</v>
      </c>
      <c r="H181" s="482" t="s">
        <v>248</v>
      </c>
      <c r="I181" s="475">
        <v>1.0</v>
      </c>
      <c r="J181" s="476"/>
      <c r="K181" s="482" t="s">
        <v>7393</v>
      </c>
      <c r="L181" s="488">
        <v>175.0</v>
      </c>
      <c r="M181" s="475"/>
      <c r="N181" s="475"/>
      <c r="O181" s="466"/>
      <c r="P181" s="357"/>
      <c r="Q181" s="357"/>
      <c r="R181" s="357"/>
      <c r="S181" s="357"/>
      <c r="T181" s="357"/>
      <c r="U181" s="357"/>
      <c r="V181" s="357"/>
      <c r="W181" s="357"/>
      <c r="X181" s="357"/>
      <c r="Y181" s="357"/>
      <c r="Z181" s="357"/>
    </row>
    <row r="182" ht="15.75" customHeight="1">
      <c r="A182" s="466" t="s">
        <v>7391</v>
      </c>
      <c r="B182" s="466">
        <v>2024.0</v>
      </c>
      <c r="C182" s="466">
        <f t="shared" si="3"/>
        <v>5</v>
      </c>
      <c r="D182" s="467">
        <v>45439.0</v>
      </c>
      <c r="E182" s="482" t="s">
        <v>2193</v>
      </c>
      <c r="F182" s="482" t="s">
        <v>7624</v>
      </c>
      <c r="G182" s="466" t="s">
        <v>7100</v>
      </c>
      <c r="H182" s="482" t="s">
        <v>248</v>
      </c>
      <c r="I182" s="475">
        <v>1.0</v>
      </c>
      <c r="J182" s="476"/>
      <c r="K182" s="482" t="s">
        <v>7393</v>
      </c>
      <c r="L182" s="488">
        <v>175.0</v>
      </c>
      <c r="M182" s="475"/>
      <c r="N182" s="475"/>
      <c r="O182" s="466"/>
      <c r="P182" s="357"/>
      <c r="Q182" s="357"/>
      <c r="R182" s="357"/>
      <c r="S182" s="357"/>
      <c r="T182" s="357"/>
      <c r="U182" s="357"/>
      <c r="V182" s="357"/>
      <c r="W182" s="357"/>
      <c r="X182" s="357"/>
      <c r="Y182" s="357"/>
      <c r="Z182" s="357"/>
    </row>
    <row r="183" ht="15.75" customHeight="1">
      <c r="A183" s="466" t="s">
        <v>7391</v>
      </c>
      <c r="B183" s="466">
        <v>2024.0</v>
      </c>
      <c r="C183" s="466">
        <f t="shared" si="3"/>
        <v>5</v>
      </c>
      <c r="D183" s="467">
        <v>45440.0</v>
      </c>
      <c r="E183" s="482" t="s">
        <v>7625</v>
      </c>
      <c r="F183" s="482" t="s">
        <v>7626</v>
      </c>
      <c r="G183" s="466" t="s">
        <v>7100</v>
      </c>
      <c r="H183" s="482" t="s">
        <v>248</v>
      </c>
      <c r="I183" s="475">
        <v>1.0</v>
      </c>
      <c r="J183" s="476"/>
      <c r="K183" s="482" t="s">
        <v>7393</v>
      </c>
      <c r="L183" s="488">
        <v>175.0</v>
      </c>
      <c r="M183" s="475"/>
      <c r="N183" s="475"/>
      <c r="O183" s="466"/>
      <c r="P183" s="357"/>
      <c r="Q183" s="357"/>
      <c r="R183" s="357"/>
      <c r="S183" s="357"/>
      <c r="T183" s="357"/>
      <c r="U183" s="357"/>
      <c r="V183" s="357"/>
      <c r="W183" s="357"/>
      <c r="X183" s="357"/>
      <c r="Y183" s="357"/>
      <c r="Z183" s="357"/>
    </row>
    <row r="184" ht="15.75" customHeight="1">
      <c r="A184" s="466" t="s">
        <v>7391</v>
      </c>
      <c r="B184" s="466">
        <v>2024.0</v>
      </c>
      <c r="C184" s="466">
        <f t="shared" si="3"/>
        <v>5</v>
      </c>
      <c r="D184" s="467">
        <v>45440.0</v>
      </c>
      <c r="E184" s="482" t="s">
        <v>7429</v>
      </c>
      <c r="F184" s="482" t="s">
        <v>7627</v>
      </c>
      <c r="G184" s="466" t="s">
        <v>7075</v>
      </c>
      <c r="H184" s="482" t="s">
        <v>7628</v>
      </c>
      <c r="I184" s="475">
        <v>1.0</v>
      </c>
      <c r="J184" s="476"/>
      <c r="K184" s="482" t="s">
        <v>7393</v>
      </c>
      <c r="L184" s="488">
        <v>81.3</v>
      </c>
      <c r="M184" s="475"/>
      <c r="N184" s="475"/>
      <c r="O184" s="466"/>
      <c r="P184" s="357"/>
      <c r="Q184" s="357"/>
      <c r="R184" s="357"/>
      <c r="S184" s="357"/>
      <c r="T184" s="357"/>
      <c r="U184" s="357"/>
      <c r="V184" s="357"/>
      <c r="W184" s="357"/>
      <c r="X184" s="357"/>
      <c r="Y184" s="357"/>
      <c r="Z184" s="357"/>
    </row>
    <row r="185" ht="15.75" customHeight="1">
      <c r="A185" s="466" t="s">
        <v>7391</v>
      </c>
      <c r="B185" s="466">
        <v>2024.0</v>
      </c>
      <c r="C185" s="466">
        <f t="shared" si="3"/>
        <v>5</v>
      </c>
      <c r="D185" s="467">
        <v>45440.0</v>
      </c>
      <c r="E185" s="482" t="s">
        <v>7515</v>
      </c>
      <c r="F185" s="482" t="s">
        <v>7629</v>
      </c>
      <c r="G185" s="466" t="s">
        <v>7075</v>
      </c>
      <c r="H185" s="482" t="s">
        <v>7630</v>
      </c>
      <c r="I185" s="475">
        <v>1.0</v>
      </c>
      <c r="J185" s="476"/>
      <c r="K185" s="482" t="s">
        <v>7393</v>
      </c>
      <c r="L185" s="488">
        <v>115.0</v>
      </c>
      <c r="M185" s="475"/>
      <c r="N185" s="475"/>
      <c r="O185" s="466"/>
      <c r="P185" s="357"/>
      <c r="Q185" s="357"/>
      <c r="R185" s="357"/>
      <c r="S185" s="357"/>
      <c r="T185" s="357"/>
      <c r="U185" s="357"/>
      <c r="V185" s="357"/>
      <c r="W185" s="357"/>
      <c r="X185" s="357"/>
      <c r="Y185" s="357"/>
      <c r="Z185" s="357"/>
    </row>
    <row r="186" ht="15.75" customHeight="1">
      <c r="A186" s="466" t="s">
        <v>7391</v>
      </c>
      <c r="B186" s="466">
        <v>2024.0</v>
      </c>
      <c r="C186" s="466">
        <f t="shared" si="3"/>
        <v>5</v>
      </c>
      <c r="D186" s="467">
        <v>45441.0</v>
      </c>
      <c r="E186" s="482" t="s">
        <v>7621</v>
      </c>
      <c r="F186" s="482" t="s">
        <v>7631</v>
      </c>
      <c r="G186" s="466" t="s">
        <v>7395</v>
      </c>
      <c r="H186" s="482"/>
      <c r="I186" s="475">
        <v>1.0</v>
      </c>
      <c r="J186" s="476"/>
      <c r="K186" s="482" t="s">
        <v>7393</v>
      </c>
      <c r="L186" s="488">
        <v>55.0</v>
      </c>
      <c r="M186" s="475"/>
      <c r="N186" s="475"/>
      <c r="O186" s="466"/>
      <c r="P186" s="357"/>
      <c r="Q186" s="357"/>
      <c r="R186" s="357"/>
      <c r="S186" s="357"/>
      <c r="T186" s="357"/>
      <c r="U186" s="357"/>
      <c r="V186" s="357"/>
      <c r="W186" s="357"/>
      <c r="X186" s="357"/>
      <c r="Y186" s="357"/>
      <c r="Z186" s="357"/>
    </row>
    <row r="187" ht="15.75" customHeight="1">
      <c r="A187" s="466" t="s">
        <v>7391</v>
      </c>
      <c r="B187" s="466">
        <v>2024.0</v>
      </c>
      <c r="C187" s="466">
        <f t="shared" si="3"/>
        <v>5</v>
      </c>
      <c r="D187" s="494">
        <v>45441.0</v>
      </c>
      <c r="E187" s="495" t="s">
        <v>2823</v>
      </c>
      <c r="F187" s="495" t="s">
        <v>7632</v>
      </c>
      <c r="G187" s="466" t="s">
        <v>7395</v>
      </c>
      <c r="H187" s="495"/>
      <c r="I187" s="496">
        <v>1.0</v>
      </c>
      <c r="J187" s="497"/>
      <c r="K187" s="498" t="s">
        <v>7393</v>
      </c>
      <c r="L187" s="499">
        <v>55.0</v>
      </c>
      <c r="M187" s="496"/>
      <c r="N187" s="496"/>
      <c r="O187" s="480" t="s">
        <v>7633</v>
      </c>
      <c r="P187" s="357"/>
      <c r="Q187" s="357"/>
      <c r="R187" s="357"/>
      <c r="S187" s="357"/>
      <c r="T187" s="357"/>
      <c r="U187" s="357"/>
      <c r="V187" s="357"/>
      <c r="W187" s="357"/>
      <c r="X187" s="357"/>
      <c r="Y187" s="357"/>
      <c r="Z187" s="357"/>
    </row>
    <row r="188" ht="15.75" customHeight="1">
      <c r="A188" s="466" t="s">
        <v>7391</v>
      </c>
      <c r="B188" s="466">
        <v>2024.0</v>
      </c>
      <c r="C188" s="466">
        <f t="shared" si="3"/>
        <v>5</v>
      </c>
      <c r="D188" s="494">
        <v>45441.0</v>
      </c>
      <c r="E188" s="495" t="s">
        <v>2823</v>
      </c>
      <c r="F188" s="495" t="s">
        <v>7632</v>
      </c>
      <c r="G188" s="466" t="s">
        <v>7100</v>
      </c>
      <c r="H188" s="495" t="s">
        <v>204</v>
      </c>
      <c r="I188" s="496">
        <v>1.0</v>
      </c>
      <c r="J188" s="497"/>
      <c r="K188" s="495" t="s">
        <v>7393</v>
      </c>
      <c r="L188" s="499">
        <v>175.0</v>
      </c>
      <c r="M188" s="496"/>
      <c r="N188" s="496"/>
      <c r="O188" s="480" t="s">
        <v>7633</v>
      </c>
      <c r="P188" s="357"/>
      <c r="Q188" s="357"/>
      <c r="R188" s="357"/>
      <c r="S188" s="357"/>
      <c r="T188" s="357"/>
      <c r="U188" s="357"/>
      <c r="V188" s="357"/>
      <c r="W188" s="357"/>
      <c r="X188" s="357"/>
      <c r="Y188" s="357"/>
      <c r="Z188" s="357"/>
    </row>
    <row r="189" ht="15.75" customHeight="1">
      <c r="A189" s="466" t="s">
        <v>7391</v>
      </c>
      <c r="B189" s="466">
        <v>2024.0</v>
      </c>
      <c r="C189" s="466">
        <f t="shared" si="3"/>
        <v>5</v>
      </c>
      <c r="D189" s="467">
        <v>45442.0</v>
      </c>
      <c r="E189" s="482" t="s">
        <v>7396</v>
      </c>
      <c r="F189" s="482" t="s">
        <v>7634</v>
      </c>
      <c r="G189" s="466" t="s">
        <v>7075</v>
      </c>
      <c r="H189" s="482" t="s">
        <v>7596</v>
      </c>
      <c r="I189" s="475">
        <v>1.0</v>
      </c>
      <c r="J189" s="476"/>
      <c r="K189" s="482" t="s">
        <v>7393</v>
      </c>
      <c r="L189" s="488">
        <v>114.0</v>
      </c>
      <c r="M189" s="475"/>
      <c r="N189" s="475"/>
      <c r="O189" s="466"/>
      <c r="P189" s="357"/>
      <c r="Q189" s="357"/>
      <c r="R189" s="357"/>
      <c r="S189" s="357"/>
      <c r="T189" s="357"/>
      <c r="U189" s="357"/>
      <c r="V189" s="357"/>
      <c r="W189" s="357"/>
      <c r="X189" s="357"/>
      <c r="Y189" s="357"/>
      <c r="Z189" s="357"/>
    </row>
    <row r="190" ht="15.75" customHeight="1">
      <c r="A190" s="466" t="s">
        <v>7391</v>
      </c>
      <c r="B190" s="466">
        <v>2024.0</v>
      </c>
      <c r="C190" s="466">
        <f t="shared" si="3"/>
        <v>5</v>
      </c>
      <c r="D190" s="467">
        <v>45443.0</v>
      </c>
      <c r="E190" s="482" t="s">
        <v>7635</v>
      </c>
      <c r="F190" s="482" t="s">
        <v>7636</v>
      </c>
      <c r="G190" s="466" t="s">
        <v>7075</v>
      </c>
      <c r="H190" s="482" t="s">
        <v>7596</v>
      </c>
      <c r="I190" s="475">
        <v>1.0</v>
      </c>
      <c r="J190" s="476"/>
      <c r="K190" s="482" t="s">
        <v>7393</v>
      </c>
      <c r="L190" s="488">
        <v>114.0</v>
      </c>
      <c r="M190" s="475"/>
      <c r="N190" s="475"/>
      <c r="O190" s="466"/>
      <c r="P190" s="357"/>
      <c r="Q190" s="357"/>
      <c r="R190" s="357"/>
      <c r="S190" s="357"/>
      <c r="T190" s="357"/>
      <c r="U190" s="357"/>
      <c r="V190" s="357"/>
      <c r="W190" s="357"/>
      <c r="X190" s="357"/>
      <c r="Y190" s="357"/>
      <c r="Z190" s="357"/>
    </row>
    <row r="191" ht="15.75" customHeight="1">
      <c r="A191" s="466" t="s">
        <v>7391</v>
      </c>
      <c r="B191" s="466">
        <v>2024.0</v>
      </c>
      <c r="C191" s="466">
        <f t="shared" si="3"/>
        <v>5</v>
      </c>
      <c r="D191" s="467">
        <v>45443.0</v>
      </c>
      <c r="E191" s="482" t="s">
        <v>7637</v>
      </c>
      <c r="F191" s="482" t="s">
        <v>7638</v>
      </c>
      <c r="G191" s="466" t="s">
        <v>7075</v>
      </c>
      <c r="H191" s="482" t="s">
        <v>7596</v>
      </c>
      <c r="I191" s="475">
        <v>1.0</v>
      </c>
      <c r="J191" s="476"/>
      <c r="K191" s="482" t="s">
        <v>7393</v>
      </c>
      <c r="L191" s="488">
        <v>109.0</v>
      </c>
      <c r="M191" s="475"/>
      <c r="N191" s="475"/>
      <c r="O191" s="466"/>
      <c r="P191" s="357"/>
      <c r="Q191" s="357"/>
      <c r="R191" s="357"/>
      <c r="S191" s="357"/>
      <c r="T191" s="357"/>
      <c r="U191" s="357"/>
      <c r="V191" s="357"/>
      <c r="W191" s="357"/>
      <c r="X191" s="357"/>
      <c r="Y191" s="357"/>
      <c r="Z191" s="357"/>
    </row>
    <row r="192" ht="15.75" customHeight="1">
      <c r="A192" s="466" t="s">
        <v>7391</v>
      </c>
      <c r="B192" s="466">
        <v>2024.0</v>
      </c>
      <c r="C192" s="466">
        <f t="shared" si="3"/>
        <v>6</v>
      </c>
      <c r="D192" s="467">
        <v>45444.0</v>
      </c>
      <c r="E192" s="482" t="s">
        <v>2561</v>
      </c>
      <c r="F192" s="482" t="s">
        <v>7639</v>
      </c>
      <c r="G192" s="466" t="s">
        <v>7075</v>
      </c>
      <c r="H192" s="482" t="s">
        <v>7640</v>
      </c>
      <c r="I192" s="482">
        <v>1.0</v>
      </c>
      <c r="J192" s="486"/>
      <c r="K192" s="482" t="s">
        <v>7393</v>
      </c>
      <c r="L192" s="487">
        <v>114.0</v>
      </c>
      <c r="M192" s="482"/>
      <c r="N192" s="482"/>
      <c r="O192" s="466"/>
      <c r="P192" s="357"/>
      <c r="Q192" s="357"/>
      <c r="R192" s="357"/>
      <c r="S192" s="357"/>
      <c r="T192" s="357"/>
      <c r="U192" s="357"/>
      <c r="V192" s="357"/>
      <c r="W192" s="357"/>
      <c r="X192" s="357"/>
      <c r="Y192" s="357"/>
      <c r="Z192" s="357"/>
    </row>
    <row r="193" ht="15.75" customHeight="1">
      <c r="A193" s="466" t="s">
        <v>7391</v>
      </c>
      <c r="B193" s="466">
        <v>2024.0</v>
      </c>
      <c r="C193" s="466">
        <f t="shared" si="3"/>
        <v>6</v>
      </c>
      <c r="D193" s="467">
        <v>45444.0</v>
      </c>
      <c r="E193" s="482" t="s">
        <v>2623</v>
      </c>
      <c r="F193" s="482" t="s">
        <v>7641</v>
      </c>
      <c r="G193" s="466" t="s">
        <v>7100</v>
      </c>
      <c r="H193" s="482" t="s">
        <v>204</v>
      </c>
      <c r="I193" s="482">
        <v>1.0</v>
      </c>
      <c r="J193" s="486"/>
      <c r="K193" s="482" t="s">
        <v>7393</v>
      </c>
      <c r="L193" s="487">
        <v>170.0</v>
      </c>
      <c r="M193" s="482"/>
      <c r="N193" s="482"/>
      <c r="O193" s="466"/>
      <c r="P193" s="357"/>
      <c r="Q193" s="357"/>
      <c r="R193" s="357"/>
      <c r="S193" s="357"/>
      <c r="T193" s="357"/>
      <c r="U193" s="357"/>
      <c r="V193" s="357"/>
      <c r="W193" s="357"/>
      <c r="X193" s="357"/>
      <c r="Y193" s="357"/>
      <c r="Z193" s="357"/>
    </row>
    <row r="194" ht="15.75" customHeight="1">
      <c r="A194" s="466" t="s">
        <v>7391</v>
      </c>
      <c r="B194" s="466">
        <v>2024.0</v>
      </c>
      <c r="C194" s="466">
        <f t="shared" si="3"/>
        <v>6</v>
      </c>
      <c r="D194" s="467">
        <v>45445.0</v>
      </c>
      <c r="E194" s="482" t="s">
        <v>2607</v>
      </c>
      <c r="F194" s="482" t="s">
        <v>7642</v>
      </c>
      <c r="G194" s="466" t="s">
        <v>7106</v>
      </c>
      <c r="H194" s="482" t="s">
        <v>7643</v>
      </c>
      <c r="I194" s="482">
        <v>1.0</v>
      </c>
      <c r="J194" s="486"/>
      <c r="K194" s="482" t="s">
        <v>7393</v>
      </c>
      <c r="L194" s="487">
        <v>90.0</v>
      </c>
      <c r="M194" s="482"/>
      <c r="N194" s="482"/>
      <c r="O194" s="466"/>
      <c r="P194" s="357"/>
      <c r="Q194" s="357"/>
      <c r="R194" s="357"/>
      <c r="S194" s="357"/>
      <c r="T194" s="357"/>
      <c r="U194" s="357"/>
      <c r="V194" s="357"/>
      <c r="W194" s="357"/>
      <c r="X194" s="357"/>
      <c r="Y194" s="357"/>
      <c r="Z194" s="357"/>
    </row>
    <row r="195" ht="15.75" customHeight="1">
      <c r="A195" s="466" t="s">
        <v>7391</v>
      </c>
      <c r="B195" s="466">
        <v>2024.0</v>
      </c>
      <c r="C195" s="466">
        <f t="shared" si="3"/>
        <v>6</v>
      </c>
      <c r="D195" s="467">
        <v>45445.0</v>
      </c>
      <c r="E195" s="482" t="s">
        <v>2594</v>
      </c>
      <c r="F195" s="482" t="s">
        <v>7644</v>
      </c>
      <c r="G195" s="466" t="s">
        <v>7100</v>
      </c>
      <c r="H195" s="482" t="s">
        <v>204</v>
      </c>
      <c r="I195" s="482">
        <v>1.0</v>
      </c>
      <c r="J195" s="486"/>
      <c r="K195" s="482" t="s">
        <v>7393</v>
      </c>
      <c r="L195" s="487">
        <v>170.0</v>
      </c>
      <c r="M195" s="482"/>
      <c r="N195" s="482"/>
      <c r="O195" s="466"/>
      <c r="P195" s="357"/>
      <c r="Q195" s="357"/>
      <c r="R195" s="357"/>
      <c r="S195" s="357"/>
      <c r="T195" s="357"/>
      <c r="U195" s="357"/>
      <c r="V195" s="357"/>
      <c r="W195" s="357"/>
      <c r="X195" s="357"/>
      <c r="Y195" s="357"/>
      <c r="Z195" s="357"/>
    </row>
    <row r="196" ht="15.75" customHeight="1">
      <c r="A196" s="466" t="s">
        <v>7391</v>
      </c>
      <c r="B196" s="466">
        <v>2024.0</v>
      </c>
      <c r="C196" s="466">
        <f t="shared" si="3"/>
        <v>6</v>
      </c>
      <c r="D196" s="467">
        <v>45447.0</v>
      </c>
      <c r="E196" s="482" t="s">
        <v>7645</v>
      </c>
      <c r="F196" s="482" t="s">
        <v>7646</v>
      </c>
      <c r="G196" s="466" t="s">
        <v>7075</v>
      </c>
      <c r="H196" s="482" t="s">
        <v>7647</v>
      </c>
      <c r="I196" s="482">
        <v>1.0</v>
      </c>
      <c r="J196" s="486"/>
      <c r="K196" s="482" t="s">
        <v>7393</v>
      </c>
      <c r="L196" s="487">
        <v>115.0</v>
      </c>
      <c r="M196" s="482"/>
      <c r="N196" s="482"/>
      <c r="O196" s="466"/>
      <c r="P196" s="357"/>
      <c r="Q196" s="357"/>
      <c r="R196" s="357"/>
      <c r="S196" s="357"/>
      <c r="T196" s="357"/>
      <c r="U196" s="357"/>
      <c r="V196" s="357"/>
      <c r="W196" s="357"/>
      <c r="X196" s="357"/>
      <c r="Y196" s="357"/>
      <c r="Z196" s="357"/>
    </row>
    <row r="197" ht="15.75" customHeight="1">
      <c r="A197" s="466" t="s">
        <v>7391</v>
      </c>
      <c r="B197" s="466">
        <v>2024.0</v>
      </c>
      <c r="C197" s="466">
        <f t="shared" si="3"/>
        <v>6</v>
      </c>
      <c r="D197" s="467">
        <v>45447.0</v>
      </c>
      <c r="E197" s="482" t="s">
        <v>2665</v>
      </c>
      <c r="F197" s="482" t="s">
        <v>7648</v>
      </c>
      <c r="G197" s="466" t="s">
        <v>7075</v>
      </c>
      <c r="H197" s="482" t="s">
        <v>7649</v>
      </c>
      <c r="I197" s="482">
        <v>1.0</v>
      </c>
      <c r="J197" s="486"/>
      <c r="K197" s="482" t="s">
        <v>7393</v>
      </c>
      <c r="L197" s="487">
        <v>115.0</v>
      </c>
      <c r="M197" s="482"/>
      <c r="N197" s="482"/>
      <c r="O197" s="466"/>
      <c r="P197" s="357"/>
      <c r="Q197" s="357"/>
      <c r="R197" s="357"/>
      <c r="S197" s="357"/>
      <c r="T197" s="357"/>
      <c r="U197" s="357"/>
      <c r="V197" s="357"/>
      <c r="W197" s="357"/>
      <c r="X197" s="357"/>
      <c r="Y197" s="357"/>
      <c r="Z197" s="357"/>
    </row>
    <row r="198" ht="15.75" customHeight="1">
      <c r="A198" s="466" t="s">
        <v>7391</v>
      </c>
      <c r="B198" s="466">
        <v>2024.0</v>
      </c>
      <c r="C198" s="466">
        <f t="shared" si="3"/>
        <v>6</v>
      </c>
      <c r="D198" s="467">
        <v>45447.0</v>
      </c>
      <c r="E198" s="482" t="s">
        <v>7650</v>
      </c>
      <c r="F198" s="482" t="s">
        <v>7651</v>
      </c>
      <c r="G198" s="466" t="s">
        <v>7075</v>
      </c>
      <c r="H198" s="482" t="s">
        <v>7649</v>
      </c>
      <c r="I198" s="482">
        <v>1.0</v>
      </c>
      <c r="J198" s="486"/>
      <c r="K198" s="482" t="s">
        <v>7393</v>
      </c>
      <c r="L198" s="487">
        <v>115.0</v>
      </c>
      <c r="M198" s="482"/>
      <c r="N198" s="482"/>
      <c r="O198" s="466"/>
      <c r="P198" s="357"/>
      <c r="Q198" s="357"/>
      <c r="R198" s="357"/>
      <c r="S198" s="357"/>
      <c r="T198" s="357"/>
      <c r="U198" s="357"/>
      <c r="V198" s="357"/>
      <c r="W198" s="357"/>
      <c r="X198" s="357"/>
      <c r="Y198" s="357"/>
      <c r="Z198" s="357"/>
    </row>
    <row r="199" ht="15.75" customHeight="1">
      <c r="A199" s="466" t="s">
        <v>7391</v>
      </c>
      <c r="B199" s="466">
        <v>2024.0</v>
      </c>
      <c r="C199" s="466">
        <f t="shared" si="3"/>
        <v>6</v>
      </c>
      <c r="D199" s="467">
        <v>45447.0</v>
      </c>
      <c r="E199" s="482" t="s">
        <v>7559</v>
      </c>
      <c r="F199" s="482" t="s">
        <v>7652</v>
      </c>
      <c r="G199" s="466" t="s">
        <v>7075</v>
      </c>
      <c r="H199" s="482" t="s">
        <v>7640</v>
      </c>
      <c r="I199" s="482">
        <v>1.0</v>
      </c>
      <c r="J199" s="486"/>
      <c r="K199" s="482" t="s">
        <v>7393</v>
      </c>
      <c r="L199" s="487">
        <v>114.0</v>
      </c>
      <c r="M199" s="482"/>
      <c r="N199" s="482"/>
      <c r="O199" s="466"/>
      <c r="P199" s="357"/>
      <c r="Q199" s="357"/>
      <c r="R199" s="357"/>
      <c r="S199" s="357"/>
      <c r="T199" s="357"/>
      <c r="U199" s="357"/>
      <c r="V199" s="357"/>
      <c r="W199" s="357"/>
      <c r="X199" s="357"/>
      <c r="Y199" s="357"/>
      <c r="Z199" s="357"/>
    </row>
    <row r="200" ht="15.75" customHeight="1">
      <c r="A200" s="466" t="s">
        <v>7391</v>
      </c>
      <c r="B200" s="466">
        <v>2024.0</v>
      </c>
      <c r="C200" s="466">
        <f t="shared" si="3"/>
        <v>6</v>
      </c>
      <c r="D200" s="467">
        <v>45448.0</v>
      </c>
      <c r="E200" s="482" t="s">
        <v>2561</v>
      </c>
      <c r="F200" s="482" t="s">
        <v>7410</v>
      </c>
      <c r="G200" s="466" t="s">
        <v>7075</v>
      </c>
      <c r="H200" s="482" t="s">
        <v>7649</v>
      </c>
      <c r="I200" s="482">
        <v>1.0</v>
      </c>
      <c r="J200" s="486"/>
      <c r="K200" s="482" t="s">
        <v>7393</v>
      </c>
      <c r="L200" s="487">
        <v>115.0</v>
      </c>
      <c r="M200" s="482"/>
      <c r="N200" s="482"/>
      <c r="O200" s="466"/>
      <c r="P200" s="357"/>
      <c r="Q200" s="357"/>
      <c r="R200" s="357"/>
      <c r="S200" s="357"/>
      <c r="T200" s="357"/>
      <c r="U200" s="357"/>
      <c r="V200" s="357"/>
      <c r="W200" s="357"/>
      <c r="X200" s="357"/>
      <c r="Y200" s="357"/>
      <c r="Z200" s="357"/>
    </row>
    <row r="201" ht="15.75" customHeight="1">
      <c r="A201" s="466" t="s">
        <v>7391</v>
      </c>
      <c r="B201" s="466">
        <v>2024.0</v>
      </c>
      <c r="C201" s="466">
        <f t="shared" si="3"/>
        <v>6</v>
      </c>
      <c r="D201" s="467">
        <v>45448.0</v>
      </c>
      <c r="E201" s="482" t="s">
        <v>7653</v>
      </c>
      <c r="F201" s="482" t="s">
        <v>7654</v>
      </c>
      <c r="G201" s="466" t="s">
        <v>7100</v>
      </c>
      <c r="H201" s="482" t="s">
        <v>204</v>
      </c>
      <c r="I201" s="482">
        <v>1.0</v>
      </c>
      <c r="J201" s="486"/>
      <c r="K201" s="482" t="s">
        <v>7393</v>
      </c>
      <c r="L201" s="487">
        <v>175.0</v>
      </c>
      <c r="M201" s="482"/>
      <c r="N201" s="482"/>
      <c r="O201" s="466"/>
      <c r="P201" s="357"/>
      <c r="Q201" s="357"/>
      <c r="R201" s="357"/>
      <c r="S201" s="357"/>
      <c r="T201" s="357"/>
      <c r="U201" s="357"/>
      <c r="V201" s="357"/>
      <c r="W201" s="357"/>
      <c r="X201" s="357"/>
      <c r="Y201" s="357"/>
      <c r="Z201" s="357"/>
    </row>
    <row r="202" ht="15.75" customHeight="1">
      <c r="A202" s="466" t="s">
        <v>7391</v>
      </c>
      <c r="B202" s="466">
        <v>2024.0</v>
      </c>
      <c r="C202" s="466">
        <f t="shared" si="3"/>
        <v>6</v>
      </c>
      <c r="D202" s="467">
        <v>45448.0</v>
      </c>
      <c r="E202" s="482" t="s">
        <v>7655</v>
      </c>
      <c r="F202" s="482" t="s">
        <v>7656</v>
      </c>
      <c r="G202" s="466" t="s">
        <v>7075</v>
      </c>
      <c r="H202" s="482" t="s">
        <v>7647</v>
      </c>
      <c r="I202" s="482">
        <v>1.0</v>
      </c>
      <c r="J202" s="486"/>
      <c r="K202" s="482" t="s">
        <v>7393</v>
      </c>
      <c r="L202" s="487">
        <v>115.0</v>
      </c>
      <c r="M202" s="482"/>
      <c r="N202" s="482"/>
      <c r="O202" s="466"/>
      <c r="P202" s="357"/>
      <c r="Q202" s="357"/>
      <c r="R202" s="357"/>
      <c r="S202" s="357"/>
      <c r="T202" s="357"/>
      <c r="U202" s="357"/>
      <c r="V202" s="357"/>
      <c r="W202" s="357"/>
      <c r="X202" s="357"/>
      <c r="Y202" s="357"/>
      <c r="Z202" s="357"/>
    </row>
    <row r="203" ht="15.75" customHeight="1">
      <c r="A203" s="466" t="s">
        <v>7391</v>
      </c>
      <c r="B203" s="466">
        <v>2024.0</v>
      </c>
      <c r="C203" s="466">
        <f t="shared" si="3"/>
        <v>6</v>
      </c>
      <c r="D203" s="467">
        <v>45449.0</v>
      </c>
      <c r="E203" s="482" t="s">
        <v>7657</v>
      </c>
      <c r="F203" s="482" t="s">
        <v>7658</v>
      </c>
      <c r="G203" s="466" t="s">
        <v>7075</v>
      </c>
      <c r="H203" s="482" t="s">
        <v>7647</v>
      </c>
      <c r="I203" s="482">
        <v>1.0</v>
      </c>
      <c r="J203" s="486"/>
      <c r="K203" s="482" t="s">
        <v>7393</v>
      </c>
      <c r="L203" s="487">
        <v>115.0</v>
      </c>
      <c r="M203" s="482"/>
      <c r="N203" s="482"/>
      <c r="O203" s="466"/>
      <c r="P203" s="357"/>
      <c r="Q203" s="357"/>
      <c r="R203" s="357"/>
      <c r="S203" s="357"/>
      <c r="T203" s="357"/>
      <c r="U203" s="357"/>
      <c r="V203" s="357"/>
      <c r="W203" s="357"/>
      <c r="X203" s="357"/>
      <c r="Y203" s="357"/>
      <c r="Z203" s="357"/>
    </row>
    <row r="204" ht="15.75" customHeight="1">
      <c r="A204" s="466" t="s">
        <v>7391</v>
      </c>
      <c r="B204" s="466">
        <v>2024.0</v>
      </c>
      <c r="C204" s="466">
        <f t="shared" si="3"/>
        <v>6</v>
      </c>
      <c r="D204" s="494">
        <v>45449.0</v>
      </c>
      <c r="E204" s="495" t="s">
        <v>7659</v>
      </c>
      <c r="F204" s="495" t="s">
        <v>7660</v>
      </c>
      <c r="G204" s="466" t="s">
        <v>7106</v>
      </c>
      <c r="H204" s="495"/>
      <c r="I204" s="496">
        <v>1.0</v>
      </c>
      <c r="J204" s="497"/>
      <c r="K204" s="498" t="s">
        <v>7393</v>
      </c>
      <c r="L204" s="499">
        <v>85.0</v>
      </c>
      <c r="M204" s="496"/>
      <c r="N204" s="496"/>
      <c r="O204" s="480" t="s">
        <v>7633</v>
      </c>
      <c r="P204" s="357"/>
      <c r="Q204" s="357"/>
      <c r="R204" s="357"/>
      <c r="S204" s="357"/>
      <c r="T204" s="357"/>
      <c r="U204" s="357"/>
      <c r="V204" s="357"/>
      <c r="W204" s="357"/>
      <c r="X204" s="357"/>
      <c r="Y204" s="357"/>
      <c r="Z204" s="357"/>
    </row>
    <row r="205" ht="15.75" customHeight="1">
      <c r="A205" s="466" t="s">
        <v>7391</v>
      </c>
      <c r="B205" s="466">
        <v>2024.0</v>
      </c>
      <c r="C205" s="466">
        <f t="shared" si="3"/>
        <v>6</v>
      </c>
      <c r="D205" s="494">
        <v>45449.0</v>
      </c>
      <c r="E205" s="495" t="s">
        <v>7659</v>
      </c>
      <c r="F205" s="495" t="s">
        <v>7660</v>
      </c>
      <c r="G205" s="466" t="s">
        <v>7075</v>
      </c>
      <c r="H205" s="495"/>
      <c r="I205" s="496">
        <v>1.0</v>
      </c>
      <c r="J205" s="497"/>
      <c r="K205" s="498" t="s">
        <v>7393</v>
      </c>
      <c r="L205" s="499">
        <v>115.0</v>
      </c>
      <c r="M205" s="496"/>
      <c r="N205" s="496"/>
      <c r="O205" s="480" t="s">
        <v>7633</v>
      </c>
      <c r="P205" s="357"/>
      <c r="Q205" s="357"/>
      <c r="R205" s="357"/>
      <c r="S205" s="357"/>
      <c r="T205" s="357"/>
      <c r="U205" s="357"/>
      <c r="V205" s="357"/>
      <c r="W205" s="357"/>
      <c r="X205" s="357"/>
      <c r="Y205" s="357"/>
      <c r="Z205" s="357"/>
    </row>
    <row r="206" ht="15.75" customHeight="1">
      <c r="A206" s="466" t="s">
        <v>7391</v>
      </c>
      <c r="B206" s="466">
        <v>2024.0</v>
      </c>
      <c r="C206" s="466">
        <f t="shared" si="3"/>
        <v>6</v>
      </c>
      <c r="D206" s="494">
        <v>45449.0</v>
      </c>
      <c r="E206" s="495" t="s">
        <v>7661</v>
      </c>
      <c r="F206" s="495" t="s">
        <v>7662</v>
      </c>
      <c r="G206" s="466" t="s">
        <v>7106</v>
      </c>
      <c r="H206" s="495"/>
      <c r="I206" s="496">
        <v>1.0</v>
      </c>
      <c r="J206" s="497"/>
      <c r="K206" s="498" t="s">
        <v>7393</v>
      </c>
      <c r="L206" s="499">
        <v>85.0</v>
      </c>
      <c r="M206" s="496"/>
      <c r="N206" s="496"/>
      <c r="O206" s="480" t="s">
        <v>7633</v>
      </c>
      <c r="P206" s="357"/>
      <c r="Q206" s="357"/>
      <c r="R206" s="357"/>
      <c r="S206" s="357"/>
      <c r="T206" s="357"/>
      <c r="U206" s="357"/>
      <c r="V206" s="357"/>
      <c r="W206" s="357"/>
      <c r="X206" s="357"/>
      <c r="Y206" s="357"/>
      <c r="Z206" s="357"/>
    </row>
    <row r="207" ht="15.75" customHeight="1">
      <c r="A207" s="466" t="s">
        <v>7391</v>
      </c>
      <c r="B207" s="466">
        <v>2024.0</v>
      </c>
      <c r="C207" s="466">
        <f t="shared" si="3"/>
        <v>6</v>
      </c>
      <c r="D207" s="494">
        <v>45449.0</v>
      </c>
      <c r="E207" s="495" t="s">
        <v>7661</v>
      </c>
      <c r="F207" s="495" t="s">
        <v>7662</v>
      </c>
      <c r="G207" s="466" t="s">
        <v>7075</v>
      </c>
      <c r="H207" s="495"/>
      <c r="I207" s="496">
        <v>1.0</v>
      </c>
      <c r="J207" s="497"/>
      <c r="K207" s="498" t="s">
        <v>7393</v>
      </c>
      <c r="L207" s="499">
        <v>115.0</v>
      </c>
      <c r="M207" s="496"/>
      <c r="N207" s="496"/>
      <c r="O207" s="480" t="s">
        <v>7633</v>
      </c>
      <c r="P207" s="357"/>
      <c r="Q207" s="357"/>
      <c r="R207" s="357"/>
      <c r="S207" s="357"/>
      <c r="T207" s="357"/>
      <c r="U207" s="357"/>
      <c r="V207" s="357"/>
      <c r="W207" s="357"/>
      <c r="X207" s="357"/>
      <c r="Y207" s="357"/>
      <c r="Z207" s="357"/>
    </row>
    <row r="208" ht="15.75" customHeight="1">
      <c r="A208" s="466" t="s">
        <v>7391</v>
      </c>
      <c r="B208" s="466">
        <v>2024.0</v>
      </c>
      <c r="C208" s="466">
        <f t="shared" si="3"/>
        <v>6</v>
      </c>
      <c r="D208" s="467">
        <v>45450.0</v>
      </c>
      <c r="E208" s="482" t="s">
        <v>7663</v>
      </c>
      <c r="F208" s="482" t="s">
        <v>7664</v>
      </c>
      <c r="G208" s="466" t="s">
        <v>7100</v>
      </c>
      <c r="H208" s="482" t="s">
        <v>204</v>
      </c>
      <c r="I208" s="482">
        <v>1.0</v>
      </c>
      <c r="J208" s="486"/>
      <c r="K208" s="482" t="s">
        <v>7393</v>
      </c>
      <c r="L208" s="487">
        <v>175.0</v>
      </c>
      <c r="M208" s="482"/>
      <c r="N208" s="482"/>
      <c r="O208" s="466"/>
      <c r="P208" s="357"/>
      <c r="Q208" s="357"/>
      <c r="R208" s="357"/>
      <c r="S208" s="357"/>
      <c r="T208" s="357"/>
      <c r="U208" s="357"/>
      <c r="V208" s="357"/>
      <c r="W208" s="357"/>
      <c r="X208" s="357"/>
      <c r="Y208" s="357"/>
      <c r="Z208" s="357"/>
    </row>
    <row r="209" ht="15.75" customHeight="1">
      <c r="A209" s="466" t="s">
        <v>7391</v>
      </c>
      <c r="B209" s="466">
        <v>2024.0</v>
      </c>
      <c r="C209" s="466">
        <f t="shared" si="3"/>
        <v>6</v>
      </c>
      <c r="D209" s="467">
        <v>45450.0</v>
      </c>
      <c r="E209" s="482" t="s">
        <v>7446</v>
      </c>
      <c r="F209" s="482" t="s">
        <v>7665</v>
      </c>
      <c r="G209" s="466" t="s">
        <v>7075</v>
      </c>
      <c r="H209" s="482" t="s">
        <v>7666</v>
      </c>
      <c r="I209" s="482">
        <v>1.0</v>
      </c>
      <c r="J209" s="486"/>
      <c r="K209" s="482" t="s">
        <v>7393</v>
      </c>
      <c r="L209" s="487">
        <v>114.0</v>
      </c>
      <c r="M209" s="482"/>
      <c r="N209" s="482"/>
      <c r="O209" s="466"/>
      <c r="P209" s="357"/>
      <c r="Q209" s="357"/>
      <c r="R209" s="357"/>
      <c r="S209" s="357"/>
      <c r="T209" s="357"/>
      <c r="U209" s="357"/>
      <c r="V209" s="357"/>
      <c r="W209" s="357"/>
      <c r="X209" s="357"/>
      <c r="Y209" s="357"/>
      <c r="Z209" s="357"/>
    </row>
    <row r="210" ht="15.75" customHeight="1">
      <c r="A210" s="466" t="s">
        <v>7391</v>
      </c>
      <c r="B210" s="466">
        <v>2024.0</v>
      </c>
      <c r="C210" s="466">
        <f t="shared" si="3"/>
        <v>6</v>
      </c>
      <c r="D210" s="467">
        <v>45450.0</v>
      </c>
      <c r="E210" s="482" t="s">
        <v>2441</v>
      </c>
      <c r="F210" s="482" t="s">
        <v>7667</v>
      </c>
      <c r="G210" s="466" t="s">
        <v>7075</v>
      </c>
      <c r="H210" s="482" t="s">
        <v>7668</v>
      </c>
      <c r="I210" s="482">
        <v>1.0</v>
      </c>
      <c r="J210" s="486"/>
      <c r="K210" s="482" t="s">
        <v>7393</v>
      </c>
      <c r="L210" s="487">
        <v>115.0</v>
      </c>
      <c r="M210" s="482"/>
      <c r="N210" s="482"/>
      <c r="O210" s="466"/>
      <c r="P210" s="357"/>
      <c r="Q210" s="357"/>
      <c r="R210" s="357"/>
      <c r="S210" s="357"/>
      <c r="T210" s="357"/>
      <c r="U210" s="357"/>
      <c r="V210" s="357"/>
      <c r="W210" s="357"/>
      <c r="X210" s="357"/>
      <c r="Y210" s="357"/>
      <c r="Z210" s="357"/>
    </row>
    <row r="211" ht="15.75" customHeight="1">
      <c r="A211" s="466" t="s">
        <v>7391</v>
      </c>
      <c r="B211" s="466">
        <v>2024.0</v>
      </c>
      <c r="C211" s="466">
        <f t="shared" si="3"/>
        <v>6</v>
      </c>
      <c r="D211" s="467">
        <v>45450.0</v>
      </c>
      <c r="E211" s="482" t="s">
        <v>2685</v>
      </c>
      <c r="F211" s="482" t="s">
        <v>7669</v>
      </c>
      <c r="G211" s="466" t="s">
        <v>7100</v>
      </c>
      <c r="H211" s="482" t="s">
        <v>6906</v>
      </c>
      <c r="I211" s="482">
        <v>1.0</v>
      </c>
      <c r="J211" s="486"/>
      <c r="K211" s="482" t="s">
        <v>7393</v>
      </c>
      <c r="L211" s="487">
        <v>175.0</v>
      </c>
      <c r="M211" s="482"/>
      <c r="N211" s="482"/>
      <c r="O211" s="466"/>
      <c r="P211" s="357"/>
      <c r="Q211" s="357"/>
      <c r="R211" s="357"/>
      <c r="S211" s="357"/>
      <c r="T211" s="357"/>
      <c r="U211" s="357"/>
      <c r="V211" s="357"/>
      <c r="W211" s="357"/>
      <c r="X211" s="357"/>
      <c r="Y211" s="357"/>
      <c r="Z211" s="357"/>
    </row>
    <row r="212" ht="15.75" customHeight="1">
      <c r="A212" s="466" t="s">
        <v>7391</v>
      </c>
      <c r="B212" s="466">
        <v>2024.0</v>
      </c>
      <c r="C212" s="466">
        <f t="shared" si="3"/>
        <v>6</v>
      </c>
      <c r="D212" s="467">
        <v>45451.0</v>
      </c>
      <c r="E212" s="482" t="s">
        <v>7396</v>
      </c>
      <c r="F212" s="482" t="s">
        <v>7670</v>
      </c>
      <c r="G212" s="466" t="s">
        <v>7100</v>
      </c>
      <c r="H212" s="482" t="s">
        <v>204</v>
      </c>
      <c r="I212" s="482">
        <v>1.0</v>
      </c>
      <c r="J212" s="486"/>
      <c r="K212" s="482" t="s">
        <v>7393</v>
      </c>
      <c r="L212" s="487">
        <v>175.0</v>
      </c>
      <c r="M212" s="482"/>
      <c r="N212" s="482"/>
      <c r="O212" s="466"/>
      <c r="P212" s="357"/>
      <c r="Q212" s="357"/>
      <c r="R212" s="357"/>
      <c r="S212" s="357"/>
      <c r="T212" s="357"/>
      <c r="U212" s="357"/>
      <c r="V212" s="357"/>
      <c r="W212" s="357"/>
      <c r="X212" s="357"/>
      <c r="Y212" s="357"/>
      <c r="Z212" s="357"/>
    </row>
    <row r="213" ht="15.75" customHeight="1">
      <c r="A213" s="466" t="s">
        <v>7391</v>
      </c>
      <c r="B213" s="466">
        <v>2024.0</v>
      </c>
      <c r="C213" s="466">
        <f t="shared" si="3"/>
        <v>6</v>
      </c>
      <c r="D213" s="467">
        <v>45452.0</v>
      </c>
      <c r="E213" s="482" t="s">
        <v>7671</v>
      </c>
      <c r="F213" s="482"/>
      <c r="G213" s="466" t="s">
        <v>7075</v>
      </c>
      <c r="H213" s="482" t="s">
        <v>7647</v>
      </c>
      <c r="I213" s="482">
        <v>1.0</v>
      </c>
      <c r="J213" s="486"/>
      <c r="K213" s="482" t="s">
        <v>7393</v>
      </c>
      <c r="L213" s="487">
        <v>115.0</v>
      </c>
      <c r="M213" s="482"/>
      <c r="N213" s="482"/>
      <c r="O213" s="466"/>
      <c r="P213" s="357"/>
      <c r="Q213" s="357"/>
      <c r="R213" s="357"/>
      <c r="S213" s="357"/>
      <c r="T213" s="357"/>
      <c r="U213" s="357"/>
      <c r="V213" s="357"/>
      <c r="W213" s="357"/>
      <c r="X213" s="357"/>
      <c r="Y213" s="357"/>
      <c r="Z213" s="357"/>
    </row>
    <row r="214" ht="15.75" customHeight="1">
      <c r="A214" s="466" t="s">
        <v>7391</v>
      </c>
      <c r="B214" s="466">
        <v>2024.0</v>
      </c>
      <c r="C214" s="466">
        <f t="shared" si="3"/>
        <v>6</v>
      </c>
      <c r="D214" s="467">
        <v>45453.0</v>
      </c>
      <c r="E214" s="482" t="s">
        <v>7657</v>
      </c>
      <c r="F214" s="482" t="s">
        <v>7658</v>
      </c>
      <c r="G214" s="466" t="s">
        <v>7075</v>
      </c>
      <c r="H214" s="482" t="s">
        <v>7668</v>
      </c>
      <c r="I214" s="482">
        <v>1.0</v>
      </c>
      <c r="J214" s="486"/>
      <c r="K214" s="482" t="s">
        <v>7393</v>
      </c>
      <c r="L214" s="487">
        <v>115.0</v>
      </c>
      <c r="M214" s="482"/>
      <c r="N214" s="482"/>
      <c r="O214" s="466"/>
      <c r="P214" s="357"/>
      <c r="Q214" s="357"/>
      <c r="R214" s="357"/>
      <c r="S214" s="357"/>
      <c r="T214" s="357"/>
      <c r="U214" s="357"/>
      <c r="V214" s="357"/>
      <c r="W214" s="357"/>
      <c r="X214" s="357"/>
      <c r="Y214" s="357"/>
      <c r="Z214" s="357"/>
    </row>
    <row r="215" ht="15.75" customHeight="1">
      <c r="A215" s="466" t="s">
        <v>7391</v>
      </c>
      <c r="B215" s="466">
        <v>2024.0</v>
      </c>
      <c r="C215" s="466">
        <f t="shared" si="3"/>
        <v>6</v>
      </c>
      <c r="D215" s="467">
        <v>45454.0</v>
      </c>
      <c r="E215" s="482" t="s">
        <v>7672</v>
      </c>
      <c r="F215" s="482" t="s">
        <v>7673</v>
      </c>
      <c r="G215" s="466" t="s">
        <v>7075</v>
      </c>
      <c r="H215" s="482" t="s">
        <v>7647</v>
      </c>
      <c r="I215" s="482">
        <v>1.0</v>
      </c>
      <c r="J215" s="486"/>
      <c r="K215" s="482" t="s">
        <v>7393</v>
      </c>
      <c r="L215" s="487">
        <v>110.0</v>
      </c>
      <c r="M215" s="482"/>
      <c r="N215" s="482"/>
      <c r="O215" s="466"/>
      <c r="P215" s="357"/>
      <c r="Q215" s="357"/>
      <c r="R215" s="357"/>
      <c r="S215" s="357"/>
      <c r="T215" s="357"/>
      <c r="U215" s="357"/>
      <c r="V215" s="357"/>
      <c r="W215" s="357"/>
      <c r="X215" s="357"/>
      <c r="Y215" s="357"/>
      <c r="Z215" s="357"/>
    </row>
    <row r="216" ht="15.75" customHeight="1">
      <c r="A216" s="466" t="s">
        <v>7391</v>
      </c>
      <c r="B216" s="466">
        <v>2024.0</v>
      </c>
      <c r="C216" s="466">
        <f t="shared" si="3"/>
        <v>6</v>
      </c>
      <c r="D216" s="467">
        <v>45455.0</v>
      </c>
      <c r="E216" s="482" t="s">
        <v>2547</v>
      </c>
      <c r="F216" s="482" t="s">
        <v>7674</v>
      </c>
      <c r="G216" s="466" t="s">
        <v>7075</v>
      </c>
      <c r="H216" s="482" t="s">
        <v>7675</v>
      </c>
      <c r="I216" s="482">
        <v>1.0</v>
      </c>
      <c r="J216" s="486"/>
      <c r="K216" s="482" t="s">
        <v>7393</v>
      </c>
      <c r="L216" s="487">
        <v>100.0</v>
      </c>
      <c r="M216" s="482"/>
      <c r="N216" s="482"/>
      <c r="O216" s="466"/>
      <c r="P216" s="357"/>
      <c r="Q216" s="357"/>
      <c r="R216" s="357"/>
      <c r="S216" s="357"/>
      <c r="T216" s="357"/>
      <c r="U216" s="357"/>
      <c r="V216" s="357"/>
      <c r="W216" s="357"/>
      <c r="X216" s="357"/>
      <c r="Y216" s="357"/>
      <c r="Z216" s="357"/>
    </row>
    <row r="217" ht="15.75" customHeight="1">
      <c r="A217" s="466" t="s">
        <v>7391</v>
      </c>
      <c r="B217" s="466">
        <v>2024.0</v>
      </c>
      <c r="C217" s="466">
        <f t="shared" si="3"/>
        <v>6</v>
      </c>
      <c r="D217" s="467">
        <v>45455.0</v>
      </c>
      <c r="E217" s="482" t="s">
        <v>7676</v>
      </c>
      <c r="F217" s="482" t="s">
        <v>7677</v>
      </c>
      <c r="G217" s="466" t="s">
        <v>7100</v>
      </c>
      <c r="H217" s="482" t="s">
        <v>204</v>
      </c>
      <c r="I217" s="482">
        <v>1.0</v>
      </c>
      <c r="J217" s="486"/>
      <c r="K217" s="482" t="s">
        <v>7393</v>
      </c>
      <c r="L217" s="487">
        <v>175.0</v>
      </c>
      <c r="M217" s="482"/>
      <c r="N217" s="482"/>
      <c r="O217" s="466"/>
      <c r="P217" s="357"/>
      <c r="Q217" s="357"/>
      <c r="R217" s="357"/>
      <c r="S217" s="357"/>
      <c r="T217" s="357"/>
      <c r="U217" s="357"/>
      <c r="V217" s="357"/>
      <c r="W217" s="357"/>
      <c r="X217" s="357"/>
      <c r="Y217" s="357"/>
      <c r="Z217" s="357"/>
    </row>
    <row r="218" ht="15.75" customHeight="1">
      <c r="A218" s="466" t="s">
        <v>7391</v>
      </c>
      <c r="B218" s="466">
        <v>2024.0</v>
      </c>
      <c r="C218" s="466">
        <f t="shared" si="3"/>
        <v>6</v>
      </c>
      <c r="D218" s="467">
        <v>45455.0</v>
      </c>
      <c r="E218" s="482" t="s">
        <v>7678</v>
      </c>
      <c r="F218" s="482" t="s">
        <v>7679</v>
      </c>
      <c r="G218" s="466" t="s">
        <v>6613</v>
      </c>
      <c r="H218" s="482" t="s">
        <v>7680</v>
      </c>
      <c r="I218" s="482">
        <v>1.0</v>
      </c>
      <c r="J218" s="486"/>
      <c r="K218" s="482" t="s">
        <v>7393</v>
      </c>
      <c r="L218" s="487">
        <v>75.0</v>
      </c>
      <c r="M218" s="482"/>
      <c r="N218" s="482"/>
      <c r="O218" s="466"/>
      <c r="P218" s="357"/>
      <c r="Q218" s="357"/>
      <c r="R218" s="357"/>
      <c r="S218" s="357"/>
      <c r="T218" s="357"/>
      <c r="U218" s="357"/>
      <c r="V218" s="357"/>
      <c r="W218" s="357"/>
      <c r="X218" s="357"/>
      <c r="Y218" s="357"/>
      <c r="Z218" s="357"/>
    </row>
    <row r="219" ht="15.75" customHeight="1">
      <c r="A219" s="466" t="s">
        <v>7391</v>
      </c>
      <c r="B219" s="466">
        <v>2024.0</v>
      </c>
      <c r="C219" s="466">
        <f t="shared" si="3"/>
        <v>6</v>
      </c>
      <c r="D219" s="467">
        <v>45455.0</v>
      </c>
      <c r="E219" s="482" t="s">
        <v>7681</v>
      </c>
      <c r="F219" s="482" t="s">
        <v>7682</v>
      </c>
      <c r="G219" s="466" t="s">
        <v>7100</v>
      </c>
      <c r="H219" s="482" t="s">
        <v>204</v>
      </c>
      <c r="I219" s="482">
        <v>1.0</v>
      </c>
      <c r="J219" s="486"/>
      <c r="K219" s="482" t="s">
        <v>7393</v>
      </c>
      <c r="L219" s="487">
        <v>175.0</v>
      </c>
      <c r="M219" s="482"/>
      <c r="N219" s="482"/>
      <c r="O219" s="466"/>
      <c r="P219" s="357"/>
      <c r="Q219" s="357"/>
      <c r="R219" s="357"/>
      <c r="S219" s="357"/>
      <c r="T219" s="357"/>
      <c r="U219" s="357"/>
      <c r="V219" s="357"/>
      <c r="W219" s="357"/>
      <c r="X219" s="357"/>
      <c r="Y219" s="357"/>
      <c r="Z219" s="357"/>
    </row>
    <row r="220" ht="15.75" customHeight="1">
      <c r="A220" s="466" t="s">
        <v>7391</v>
      </c>
      <c r="B220" s="466">
        <v>2024.0</v>
      </c>
      <c r="C220" s="466">
        <f t="shared" si="3"/>
        <v>6</v>
      </c>
      <c r="D220" s="467">
        <v>45455.0</v>
      </c>
      <c r="E220" s="482" t="s">
        <v>7683</v>
      </c>
      <c r="F220" s="482" t="s">
        <v>7684</v>
      </c>
      <c r="G220" s="466" t="s">
        <v>7075</v>
      </c>
      <c r="H220" s="482" t="s">
        <v>7685</v>
      </c>
      <c r="I220" s="482">
        <v>1.0</v>
      </c>
      <c r="J220" s="486"/>
      <c r="K220" s="482" t="s">
        <v>7393</v>
      </c>
      <c r="L220" s="487">
        <v>115.0</v>
      </c>
      <c r="M220" s="482"/>
      <c r="N220" s="482"/>
      <c r="O220" s="466"/>
      <c r="P220" s="357"/>
      <c r="Q220" s="357"/>
      <c r="R220" s="357"/>
      <c r="S220" s="357"/>
      <c r="T220" s="357"/>
      <c r="U220" s="357"/>
      <c r="V220" s="357"/>
      <c r="W220" s="357"/>
      <c r="X220" s="357"/>
      <c r="Y220" s="357"/>
      <c r="Z220" s="357"/>
    </row>
    <row r="221" ht="15.75" customHeight="1">
      <c r="A221" s="466" t="s">
        <v>7391</v>
      </c>
      <c r="B221" s="466">
        <v>2024.0</v>
      </c>
      <c r="C221" s="466">
        <f t="shared" si="3"/>
        <v>6</v>
      </c>
      <c r="D221" s="467">
        <v>45455.0</v>
      </c>
      <c r="E221" s="482" t="s">
        <v>2572</v>
      </c>
      <c r="F221" s="482" t="s">
        <v>7686</v>
      </c>
      <c r="G221" s="466" t="s">
        <v>7100</v>
      </c>
      <c r="H221" s="482" t="s">
        <v>204</v>
      </c>
      <c r="I221" s="482">
        <v>1.0</v>
      </c>
      <c r="J221" s="486"/>
      <c r="K221" s="482" t="s">
        <v>7393</v>
      </c>
      <c r="L221" s="487">
        <v>175.0</v>
      </c>
      <c r="M221" s="482"/>
      <c r="N221" s="482"/>
      <c r="O221" s="466"/>
      <c r="P221" s="357"/>
      <c r="Q221" s="357"/>
      <c r="R221" s="357"/>
      <c r="S221" s="357"/>
      <c r="T221" s="357"/>
      <c r="U221" s="357"/>
      <c r="V221" s="357"/>
      <c r="W221" s="357"/>
      <c r="X221" s="357"/>
      <c r="Y221" s="357"/>
      <c r="Z221" s="357"/>
    </row>
    <row r="222" ht="15.75" customHeight="1">
      <c r="A222" s="466" t="s">
        <v>7391</v>
      </c>
      <c r="B222" s="466">
        <v>2024.0</v>
      </c>
      <c r="C222" s="466">
        <f t="shared" si="3"/>
        <v>6</v>
      </c>
      <c r="D222" s="467">
        <v>45456.0</v>
      </c>
      <c r="E222" s="482" t="s">
        <v>7687</v>
      </c>
      <c r="F222" s="482" t="s">
        <v>7688</v>
      </c>
      <c r="G222" s="466" t="s">
        <v>7100</v>
      </c>
      <c r="H222" s="482" t="s">
        <v>204</v>
      </c>
      <c r="I222" s="482">
        <v>1.0</v>
      </c>
      <c r="J222" s="486"/>
      <c r="K222" s="482" t="s">
        <v>7393</v>
      </c>
      <c r="L222" s="487">
        <v>175.0</v>
      </c>
      <c r="M222" s="482"/>
      <c r="N222" s="482"/>
      <c r="O222" s="466"/>
      <c r="P222" s="357"/>
      <c r="Q222" s="357"/>
      <c r="R222" s="357"/>
      <c r="S222" s="357"/>
      <c r="T222" s="357"/>
      <c r="U222" s="357"/>
      <c r="V222" s="357"/>
      <c r="W222" s="357"/>
      <c r="X222" s="357"/>
      <c r="Y222" s="357"/>
      <c r="Z222" s="357"/>
    </row>
    <row r="223" ht="15.75" customHeight="1">
      <c r="A223" s="466" t="s">
        <v>7391</v>
      </c>
      <c r="B223" s="466">
        <v>2024.0</v>
      </c>
      <c r="C223" s="466">
        <f t="shared" si="3"/>
        <v>6</v>
      </c>
      <c r="D223" s="467">
        <v>45456.0</v>
      </c>
      <c r="E223" s="482" t="s">
        <v>7689</v>
      </c>
      <c r="F223" s="482" t="s">
        <v>7690</v>
      </c>
      <c r="G223" s="466" t="s">
        <v>7075</v>
      </c>
      <c r="H223" s="482" t="s">
        <v>7685</v>
      </c>
      <c r="I223" s="482">
        <v>1.0</v>
      </c>
      <c r="J223" s="486"/>
      <c r="K223" s="482" t="s">
        <v>7393</v>
      </c>
      <c r="L223" s="487">
        <v>115.0</v>
      </c>
      <c r="M223" s="482"/>
      <c r="N223" s="482"/>
      <c r="O223" s="466"/>
      <c r="P223" s="357"/>
      <c r="Q223" s="357"/>
      <c r="R223" s="357"/>
      <c r="S223" s="357"/>
      <c r="T223" s="357"/>
      <c r="U223" s="357"/>
      <c r="V223" s="357"/>
      <c r="W223" s="357"/>
      <c r="X223" s="357"/>
      <c r="Y223" s="357"/>
      <c r="Z223" s="357"/>
    </row>
    <row r="224" ht="15.75" customHeight="1">
      <c r="A224" s="466" t="s">
        <v>7391</v>
      </c>
      <c r="B224" s="466">
        <v>2024.0</v>
      </c>
      <c r="C224" s="466">
        <f t="shared" si="3"/>
        <v>6</v>
      </c>
      <c r="D224" s="467">
        <v>45457.0</v>
      </c>
      <c r="E224" s="482" t="s">
        <v>7691</v>
      </c>
      <c r="F224" s="482" t="s">
        <v>7692</v>
      </c>
      <c r="G224" s="466" t="s">
        <v>7075</v>
      </c>
      <c r="H224" s="482" t="s">
        <v>7685</v>
      </c>
      <c r="I224" s="482">
        <v>1.0</v>
      </c>
      <c r="J224" s="486"/>
      <c r="K224" s="482" t="s">
        <v>7393</v>
      </c>
      <c r="L224" s="487">
        <v>105.0</v>
      </c>
      <c r="M224" s="482"/>
      <c r="N224" s="482"/>
      <c r="O224" s="466"/>
      <c r="P224" s="357"/>
      <c r="Q224" s="357"/>
      <c r="R224" s="357"/>
      <c r="S224" s="357"/>
      <c r="T224" s="357"/>
      <c r="U224" s="357"/>
      <c r="V224" s="357"/>
      <c r="W224" s="357"/>
      <c r="X224" s="357"/>
      <c r="Y224" s="357"/>
      <c r="Z224" s="357"/>
    </row>
    <row r="225" ht="15.75" customHeight="1">
      <c r="A225" s="466" t="s">
        <v>7391</v>
      </c>
      <c r="B225" s="466">
        <v>2024.0</v>
      </c>
      <c r="C225" s="466">
        <f t="shared" si="3"/>
        <v>6</v>
      </c>
      <c r="D225" s="467">
        <v>45458.0</v>
      </c>
      <c r="E225" s="482" t="s">
        <v>2665</v>
      </c>
      <c r="F225" s="482" t="s">
        <v>7693</v>
      </c>
      <c r="G225" s="466" t="s">
        <v>7106</v>
      </c>
      <c r="H225" s="482" t="s">
        <v>7694</v>
      </c>
      <c r="I225" s="482">
        <v>1.0</v>
      </c>
      <c r="J225" s="486"/>
      <c r="K225" s="482" t="s">
        <v>7393</v>
      </c>
      <c r="L225" s="487">
        <v>85.0</v>
      </c>
      <c r="M225" s="482"/>
      <c r="N225" s="482"/>
      <c r="O225" s="466"/>
      <c r="P225" s="357"/>
      <c r="Q225" s="357"/>
      <c r="R225" s="357"/>
      <c r="S225" s="357"/>
      <c r="T225" s="357"/>
      <c r="U225" s="357"/>
      <c r="V225" s="357"/>
      <c r="W225" s="357"/>
      <c r="X225" s="357"/>
      <c r="Y225" s="357"/>
      <c r="Z225" s="357"/>
    </row>
    <row r="226" ht="15.75" customHeight="1">
      <c r="A226" s="466" t="s">
        <v>7391</v>
      </c>
      <c r="B226" s="466">
        <v>2024.0</v>
      </c>
      <c r="C226" s="466">
        <f t="shared" si="3"/>
        <v>6</v>
      </c>
      <c r="D226" s="467">
        <v>45461.0</v>
      </c>
      <c r="E226" s="482" t="s">
        <v>2604</v>
      </c>
      <c r="F226" s="482" t="s">
        <v>7695</v>
      </c>
      <c r="G226" s="466" t="s">
        <v>7100</v>
      </c>
      <c r="H226" s="482" t="s">
        <v>6906</v>
      </c>
      <c r="I226" s="482">
        <v>1.0</v>
      </c>
      <c r="J226" s="486"/>
      <c r="K226" s="482" t="s">
        <v>7393</v>
      </c>
      <c r="L226" s="487">
        <v>175.0</v>
      </c>
      <c r="M226" s="482"/>
      <c r="N226" s="482"/>
      <c r="O226" s="466"/>
      <c r="P226" s="357"/>
      <c r="Q226" s="357"/>
      <c r="R226" s="357"/>
      <c r="S226" s="357"/>
      <c r="T226" s="357"/>
      <c r="U226" s="357"/>
      <c r="V226" s="357"/>
      <c r="W226" s="357"/>
      <c r="X226" s="357"/>
      <c r="Y226" s="357"/>
      <c r="Z226" s="357"/>
    </row>
    <row r="227" ht="15.75" customHeight="1">
      <c r="A227" s="466" t="s">
        <v>7391</v>
      </c>
      <c r="B227" s="466">
        <v>2024.0</v>
      </c>
      <c r="C227" s="466">
        <f t="shared" si="3"/>
        <v>6</v>
      </c>
      <c r="D227" s="467">
        <v>45461.0</v>
      </c>
      <c r="E227" s="482" t="s">
        <v>2772</v>
      </c>
      <c r="F227" s="482" t="s">
        <v>7696</v>
      </c>
      <c r="G227" s="466" t="s">
        <v>7106</v>
      </c>
      <c r="H227" s="482" t="s">
        <v>2619</v>
      </c>
      <c r="I227" s="482">
        <v>1.0</v>
      </c>
      <c r="J227" s="486"/>
      <c r="K227" s="482" t="s">
        <v>7393</v>
      </c>
      <c r="L227" s="487">
        <v>90.0</v>
      </c>
      <c r="M227" s="482"/>
      <c r="N227" s="482"/>
      <c r="O227" s="466"/>
      <c r="P227" s="357"/>
      <c r="Q227" s="357"/>
      <c r="R227" s="357"/>
      <c r="S227" s="357"/>
      <c r="T227" s="357"/>
      <c r="U227" s="357"/>
      <c r="V227" s="357"/>
      <c r="W227" s="357"/>
      <c r="X227" s="357"/>
      <c r="Y227" s="357"/>
      <c r="Z227" s="357"/>
    </row>
    <row r="228" ht="15.75" customHeight="1">
      <c r="A228" s="466" t="s">
        <v>7391</v>
      </c>
      <c r="B228" s="466">
        <v>2024.0</v>
      </c>
      <c r="C228" s="466">
        <f t="shared" si="3"/>
        <v>6</v>
      </c>
      <c r="D228" s="467">
        <v>45461.0</v>
      </c>
      <c r="E228" s="482" t="s">
        <v>2823</v>
      </c>
      <c r="F228" s="482" t="s">
        <v>7697</v>
      </c>
      <c r="G228" s="466" t="s">
        <v>7100</v>
      </c>
      <c r="H228" s="482" t="s">
        <v>204</v>
      </c>
      <c r="I228" s="482">
        <v>1.0</v>
      </c>
      <c r="J228" s="486"/>
      <c r="K228" s="482" t="s">
        <v>7393</v>
      </c>
      <c r="L228" s="487">
        <v>175.0</v>
      </c>
      <c r="M228" s="482"/>
      <c r="N228" s="482"/>
      <c r="O228" s="466"/>
      <c r="P228" s="357"/>
      <c r="Q228" s="357"/>
      <c r="R228" s="357"/>
      <c r="S228" s="357"/>
      <c r="T228" s="357"/>
      <c r="U228" s="357"/>
      <c r="V228" s="357"/>
      <c r="W228" s="357"/>
      <c r="X228" s="357"/>
      <c r="Y228" s="357"/>
      <c r="Z228" s="357"/>
    </row>
    <row r="229" ht="15.75" customHeight="1">
      <c r="A229" s="466" t="s">
        <v>7391</v>
      </c>
      <c r="B229" s="466">
        <v>2024.0</v>
      </c>
      <c r="C229" s="466">
        <f t="shared" si="3"/>
        <v>6</v>
      </c>
      <c r="D229" s="467">
        <v>45462.0</v>
      </c>
      <c r="E229" s="482" t="s">
        <v>7698</v>
      </c>
      <c r="F229" s="482" t="s">
        <v>7699</v>
      </c>
      <c r="G229" s="466" t="s">
        <v>7100</v>
      </c>
      <c r="H229" s="482" t="s">
        <v>204</v>
      </c>
      <c r="I229" s="482">
        <v>1.0</v>
      </c>
      <c r="J229" s="486"/>
      <c r="K229" s="482" t="s">
        <v>7393</v>
      </c>
      <c r="L229" s="487">
        <v>175.0</v>
      </c>
      <c r="M229" s="482"/>
      <c r="N229" s="482"/>
      <c r="O229" s="466"/>
      <c r="P229" s="357"/>
      <c r="Q229" s="357"/>
      <c r="R229" s="357"/>
      <c r="S229" s="357"/>
      <c r="T229" s="357"/>
      <c r="U229" s="357"/>
      <c r="V229" s="357"/>
      <c r="W229" s="357"/>
      <c r="X229" s="357"/>
      <c r="Y229" s="357"/>
      <c r="Z229" s="357"/>
    </row>
    <row r="230" ht="15.75" customHeight="1">
      <c r="A230" s="466" t="s">
        <v>7391</v>
      </c>
      <c r="B230" s="466">
        <v>2024.0</v>
      </c>
      <c r="C230" s="466">
        <f t="shared" si="3"/>
        <v>6</v>
      </c>
      <c r="D230" s="467">
        <v>45462.0</v>
      </c>
      <c r="E230" s="482" t="s">
        <v>7637</v>
      </c>
      <c r="F230" s="482" t="s">
        <v>7700</v>
      </c>
      <c r="G230" s="466" t="s">
        <v>7106</v>
      </c>
      <c r="H230" s="482"/>
      <c r="I230" s="482">
        <v>2.0</v>
      </c>
      <c r="J230" s="486"/>
      <c r="K230" s="482" t="s">
        <v>7393</v>
      </c>
      <c r="L230" s="487">
        <v>175.0</v>
      </c>
      <c r="M230" s="482"/>
      <c r="N230" s="482"/>
      <c r="O230" s="466"/>
      <c r="P230" s="357"/>
      <c r="Q230" s="357"/>
      <c r="R230" s="357"/>
      <c r="S230" s="357"/>
      <c r="T230" s="357"/>
      <c r="U230" s="357"/>
      <c r="V230" s="357"/>
      <c r="W230" s="357"/>
      <c r="X230" s="357"/>
      <c r="Y230" s="357"/>
      <c r="Z230" s="357"/>
    </row>
    <row r="231" ht="15.75" customHeight="1">
      <c r="A231" s="466" t="s">
        <v>7391</v>
      </c>
      <c r="B231" s="466">
        <v>2024.0</v>
      </c>
      <c r="C231" s="466">
        <f t="shared" si="3"/>
        <v>6</v>
      </c>
      <c r="D231" s="467">
        <v>45463.0</v>
      </c>
      <c r="E231" s="482" t="s">
        <v>7701</v>
      </c>
      <c r="F231" s="482" t="s">
        <v>7702</v>
      </c>
      <c r="G231" s="466" t="s">
        <v>7100</v>
      </c>
      <c r="H231" s="482" t="s">
        <v>204</v>
      </c>
      <c r="I231" s="482">
        <v>1.0</v>
      </c>
      <c r="J231" s="486"/>
      <c r="K231" s="482" t="s">
        <v>7393</v>
      </c>
      <c r="L231" s="487">
        <v>175.0</v>
      </c>
      <c r="M231" s="482"/>
      <c r="N231" s="482"/>
      <c r="O231" s="466"/>
      <c r="P231" s="357"/>
      <c r="Q231" s="357"/>
      <c r="R231" s="357"/>
      <c r="S231" s="357"/>
      <c r="T231" s="357"/>
      <c r="U231" s="357"/>
      <c r="V231" s="357"/>
      <c r="W231" s="357"/>
      <c r="X231" s="357"/>
      <c r="Y231" s="357"/>
      <c r="Z231" s="357"/>
    </row>
    <row r="232" ht="15.75" customHeight="1">
      <c r="A232" s="466" t="s">
        <v>7391</v>
      </c>
      <c r="B232" s="466">
        <v>2024.0</v>
      </c>
      <c r="C232" s="466">
        <f t="shared" si="3"/>
        <v>6</v>
      </c>
      <c r="D232" s="467">
        <v>45464.0</v>
      </c>
      <c r="E232" s="482" t="s">
        <v>7703</v>
      </c>
      <c r="F232" s="482" t="s">
        <v>7704</v>
      </c>
      <c r="G232" s="466" t="s">
        <v>7100</v>
      </c>
      <c r="H232" s="482" t="s">
        <v>204</v>
      </c>
      <c r="I232" s="482">
        <v>1.0</v>
      </c>
      <c r="J232" s="486"/>
      <c r="K232" s="482" t="s">
        <v>7393</v>
      </c>
      <c r="L232" s="487">
        <v>175.0</v>
      </c>
      <c r="M232" s="482"/>
      <c r="N232" s="482"/>
      <c r="O232" s="466"/>
      <c r="P232" s="357"/>
      <c r="Q232" s="357"/>
      <c r="R232" s="357"/>
      <c r="S232" s="357"/>
      <c r="T232" s="357"/>
      <c r="U232" s="357"/>
      <c r="V232" s="357"/>
      <c r="W232" s="357"/>
      <c r="X232" s="357"/>
      <c r="Y232" s="357"/>
      <c r="Z232" s="357"/>
    </row>
    <row r="233" ht="15.75" customHeight="1">
      <c r="A233" s="466" t="s">
        <v>7391</v>
      </c>
      <c r="B233" s="466">
        <v>2024.0</v>
      </c>
      <c r="C233" s="466">
        <f t="shared" si="3"/>
        <v>6</v>
      </c>
      <c r="D233" s="467">
        <v>45465.0</v>
      </c>
      <c r="E233" s="482" t="s">
        <v>2787</v>
      </c>
      <c r="F233" s="482" t="s">
        <v>7705</v>
      </c>
      <c r="G233" s="466" t="s">
        <v>7059</v>
      </c>
      <c r="H233" s="482"/>
      <c r="I233" s="482">
        <v>1.0</v>
      </c>
      <c r="J233" s="486"/>
      <c r="K233" s="482" t="s">
        <v>7393</v>
      </c>
      <c r="L233" s="487">
        <v>95.0</v>
      </c>
      <c r="M233" s="482"/>
      <c r="N233" s="482"/>
      <c r="O233" s="466"/>
      <c r="P233" s="357"/>
      <c r="Q233" s="357"/>
      <c r="R233" s="357"/>
      <c r="S233" s="357"/>
      <c r="T233" s="357"/>
      <c r="U233" s="357"/>
      <c r="V233" s="357"/>
      <c r="W233" s="357"/>
      <c r="X233" s="357"/>
      <c r="Y233" s="357"/>
      <c r="Z233" s="357"/>
    </row>
    <row r="234" ht="15.75" customHeight="1">
      <c r="A234" s="466" t="s">
        <v>7391</v>
      </c>
      <c r="B234" s="466">
        <v>2024.0</v>
      </c>
      <c r="C234" s="466">
        <f t="shared" si="3"/>
        <v>6</v>
      </c>
      <c r="D234" s="467">
        <v>45465.0</v>
      </c>
      <c r="E234" s="482" t="s">
        <v>2615</v>
      </c>
      <c r="F234" s="482" t="s">
        <v>7706</v>
      </c>
      <c r="G234" s="466" t="s">
        <v>7075</v>
      </c>
      <c r="H234" s="482" t="s">
        <v>7707</v>
      </c>
      <c r="I234" s="482">
        <v>1.0</v>
      </c>
      <c r="J234" s="486"/>
      <c r="K234" s="482" t="s">
        <v>7393</v>
      </c>
      <c r="L234" s="487">
        <v>105.0</v>
      </c>
      <c r="M234" s="482"/>
      <c r="N234" s="482"/>
      <c r="O234" s="466"/>
      <c r="P234" s="357"/>
      <c r="Q234" s="357"/>
      <c r="R234" s="357"/>
      <c r="S234" s="357"/>
      <c r="T234" s="357"/>
      <c r="U234" s="357"/>
      <c r="V234" s="357"/>
      <c r="W234" s="357"/>
      <c r="X234" s="357"/>
      <c r="Y234" s="357"/>
      <c r="Z234" s="357"/>
    </row>
    <row r="235" ht="15.75" customHeight="1">
      <c r="A235" s="466" t="s">
        <v>7391</v>
      </c>
      <c r="B235" s="466">
        <v>2024.0</v>
      </c>
      <c r="C235" s="466">
        <f t="shared" si="3"/>
        <v>6</v>
      </c>
      <c r="D235" s="467">
        <v>45465.0</v>
      </c>
      <c r="E235" s="482" t="s">
        <v>7507</v>
      </c>
      <c r="F235" s="482" t="s">
        <v>7708</v>
      </c>
      <c r="G235" s="466" t="s">
        <v>7075</v>
      </c>
      <c r="H235" s="482" t="s">
        <v>7647</v>
      </c>
      <c r="I235" s="482">
        <v>1.0</v>
      </c>
      <c r="J235" s="486"/>
      <c r="K235" s="482" t="s">
        <v>7393</v>
      </c>
      <c r="L235" s="487">
        <v>115.0</v>
      </c>
      <c r="M235" s="482"/>
      <c r="N235" s="482"/>
      <c r="O235" s="466"/>
      <c r="P235" s="357"/>
      <c r="Q235" s="357"/>
      <c r="R235" s="357"/>
      <c r="S235" s="357"/>
      <c r="T235" s="357"/>
      <c r="U235" s="357"/>
      <c r="V235" s="357"/>
      <c r="W235" s="357"/>
      <c r="X235" s="357"/>
      <c r="Y235" s="357"/>
      <c r="Z235" s="357"/>
    </row>
    <row r="236" ht="15.75" customHeight="1">
      <c r="A236" s="466" t="s">
        <v>7391</v>
      </c>
      <c r="B236" s="466">
        <v>2024.0</v>
      </c>
      <c r="C236" s="466">
        <f t="shared" si="3"/>
        <v>6</v>
      </c>
      <c r="D236" s="467">
        <v>45466.0</v>
      </c>
      <c r="E236" s="482" t="s">
        <v>7709</v>
      </c>
      <c r="F236" s="482" t="s">
        <v>7710</v>
      </c>
      <c r="G236" s="466" t="s">
        <v>7395</v>
      </c>
      <c r="H236" s="482" t="s">
        <v>7711</v>
      </c>
      <c r="I236" s="482">
        <v>1.0</v>
      </c>
      <c r="J236" s="486"/>
      <c r="K236" s="482" t="s">
        <v>7393</v>
      </c>
      <c r="L236" s="487">
        <v>55.0</v>
      </c>
      <c r="M236" s="482"/>
      <c r="N236" s="482"/>
      <c r="O236" s="466"/>
      <c r="P236" s="357"/>
      <c r="Q236" s="357"/>
      <c r="R236" s="357"/>
      <c r="S236" s="357"/>
      <c r="T236" s="357"/>
      <c r="U236" s="357"/>
      <c r="V236" s="357"/>
      <c r="W236" s="357"/>
      <c r="X236" s="357"/>
      <c r="Y236" s="357"/>
      <c r="Z236" s="357"/>
    </row>
    <row r="237" ht="15.75" customHeight="1">
      <c r="A237" s="466" t="s">
        <v>7391</v>
      </c>
      <c r="B237" s="466">
        <v>2024.0</v>
      </c>
      <c r="C237" s="466">
        <f t="shared" si="3"/>
        <v>6</v>
      </c>
      <c r="D237" s="467">
        <v>45467.0</v>
      </c>
      <c r="E237" s="482" t="s">
        <v>7504</v>
      </c>
      <c r="F237" s="482" t="s">
        <v>7712</v>
      </c>
      <c r="G237" s="466" t="s">
        <v>7075</v>
      </c>
      <c r="H237" s="482" t="s">
        <v>7675</v>
      </c>
      <c r="I237" s="482">
        <v>1.0</v>
      </c>
      <c r="J237" s="486"/>
      <c r="K237" s="482" t="s">
        <v>7393</v>
      </c>
      <c r="L237" s="487">
        <v>105.0</v>
      </c>
      <c r="M237" s="482"/>
      <c r="N237" s="482"/>
      <c r="O237" s="466"/>
      <c r="P237" s="357"/>
      <c r="Q237" s="357"/>
      <c r="R237" s="357"/>
      <c r="S237" s="357"/>
      <c r="T237" s="357"/>
      <c r="U237" s="357"/>
      <c r="V237" s="357"/>
      <c r="W237" s="357"/>
      <c r="X237" s="357"/>
      <c r="Y237" s="357"/>
      <c r="Z237" s="357"/>
    </row>
    <row r="238" ht="15.75" customHeight="1">
      <c r="A238" s="466" t="s">
        <v>7391</v>
      </c>
      <c r="B238" s="466">
        <v>2024.0</v>
      </c>
      <c r="C238" s="466">
        <f t="shared" si="3"/>
        <v>6</v>
      </c>
      <c r="D238" s="467">
        <v>45467.0</v>
      </c>
      <c r="E238" s="482" t="s">
        <v>7396</v>
      </c>
      <c r="F238" s="482" t="s">
        <v>7604</v>
      </c>
      <c r="G238" s="466" t="s">
        <v>7106</v>
      </c>
      <c r="H238" s="482" t="s">
        <v>7643</v>
      </c>
      <c r="I238" s="482">
        <v>1.0</v>
      </c>
      <c r="J238" s="486"/>
      <c r="K238" s="482" t="s">
        <v>7393</v>
      </c>
      <c r="L238" s="488">
        <v>85.0</v>
      </c>
      <c r="M238" s="475"/>
      <c r="N238" s="475"/>
      <c r="O238" s="466"/>
      <c r="P238" s="357"/>
      <c r="Q238" s="357"/>
      <c r="R238" s="357"/>
      <c r="S238" s="357"/>
      <c r="T238" s="357"/>
      <c r="U238" s="357"/>
      <c r="V238" s="357"/>
      <c r="W238" s="357"/>
      <c r="X238" s="357"/>
      <c r="Y238" s="357"/>
      <c r="Z238" s="357"/>
    </row>
    <row r="239" ht="15.75" customHeight="1">
      <c r="A239" s="466" t="s">
        <v>7391</v>
      </c>
      <c r="B239" s="466">
        <v>2024.0</v>
      </c>
      <c r="C239" s="466">
        <f t="shared" si="3"/>
        <v>6</v>
      </c>
      <c r="D239" s="467">
        <v>45468.0</v>
      </c>
      <c r="E239" s="482" t="s">
        <v>7559</v>
      </c>
      <c r="F239" s="482" t="s">
        <v>7713</v>
      </c>
      <c r="G239" s="466" t="s">
        <v>7075</v>
      </c>
      <c r="H239" s="482" t="s">
        <v>7685</v>
      </c>
      <c r="I239" s="482">
        <v>1.0</v>
      </c>
      <c r="J239" s="486"/>
      <c r="K239" s="482" t="s">
        <v>7393</v>
      </c>
      <c r="L239" s="487">
        <v>115.0</v>
      </c>
      <c r="M239" s="482"/>
      <c r="N239" s="482"/>
      <c r="O239" s="466"/>
      <c r="P239" s="357"/>
      <c r="Q239" s="357"/>
      <c r="R239" s="357"/>
      <c r="S239" s="357"/>
      <c r="T239" s="357"/>
      <c r="U239" s="357"/>
      <c r="V239" s="357"/>
      <c r="W239" s="357"/>
      <c r="X239" s="357"/>
      <c r="Y239" s="357"/>
      <c r="Z239" s="357"/>
    </row>
    <row r="240" ht="15.75" customHeight="1">
      <c r="A240" s="466" t="s">
        <v>7391</v>
      </c>
      <c r="B240" s="466">
        <v>2024.0</v>
      </c>
      <c r="C240" s="466">
        <f t="shared" si="3"/>
        <v>6</v>
      </c>
      <c r="D240" s="467">
        <v>45468.0</v>
      </c>
      <c r="E240" s="482" t="s">
        <v>7714</v>
      </c>
      <c r="F240" s="482" t="s">
        <v>7715</v>
      </c>
      <c r="G240" s="466" t="s">
        <v>7075</v>
      </c>
      <c r="H240" s="482" t="s">
        <v>7707</v>
      </c>
      <c r="I240" s="482">
        <v>1.0</v>
      </c>
      <c r="J240" s="486"/>
      <c r="K240" s="482" t="s">
        <v>7393</v>
      </c>
      <c r="L240" s="487">
        <v>105.0</v>
      </c>
      <c r="M240" s="482"/>
      <c r="N240" s="482"/>
      <c r="O240" s="466"/>
      <c r="P240" s="357"/>
      <c r="Q240" s="357"/>
      <c r="R240" s="357"/>
      <c r="S240" s="357"/>
      <c r="T240" s="357"/>
      <c r="U240" s="357"/>
      <c r="V240" s="357"/>
      <c r="W240" s="357"/>
      <c r="X240" s="357"/>
      <c r="Y240" s="357"/>
      <c r="Z240" s="357"/>
    </row>
    <row r="241" ht="15.75" customHeight="1">
      <c r="A241" s="466" t="s">
        <v>7391</v>
      </c>
      <c r="B241" s="466">
        <v>2024.0</v>
      </c>
      <c r="C241" s="466">
        <f t="shared" si="3"/>
        <v>6</v>
      </c>
      <c r="D241" s="467">
        <v>45470.0</v>
      </c>
      <c r="E241" s="482" t="s">
        <v>7716</v>
      </c>
      <c r="F241" s="482" t="s">
        <v>7717</v>
      </c>
      <c r="G241" s="466" t="s">
        <v>7100</v>
      </c>
      <c r="H241" s="482" t="s">
        <v>204</v>
      </c>
      <c r="I241" s="482">
        <v>1.0</v>
      </c>
      <c r="J241" s="486"/>
      <c r="K241" s="482" t="s">
        <v>7393</v>
      </c>
      <c r="L241" s="487">
        <v>175.0</v>
      </c>
      <c r="M241" s="482"/>
      <c r="N241" s="482"/>
      <c r="O241" s="466"/>
      <c r="P241" s="357"/>
      <c r="Q241" s="357"/>
      <c r="R241" s="357"/>
      <c r="S241" s="357"/>
      <c r="T241" s="357"/>
      <c r="U241" s="357"/>
      <c r="V241" s="357"/>
      <c r="W241" s="357"/>
      <c r="X241" s="357"/>
      <c r="Y241" s="357"/>
      <c r="Z241" s="357"/>
    </row>
    <row r="242" ht="15.75" customHeight="1">
      <c r="A242" s="466" t="s">
        <v>7391</v>
      </c>
      <c r="B242" s="466">
        <v>2024.0</v>
      </c>
      <c r="C242" s="466">
        <f t="shared" si="3"/>
        <v>6</v>
      </c>
      <c r="D242" s="467">
        <v>45471.0</v>
      </c>
      <c r="E242" s="482" t="s">
        <v>7619</v>
      </c>
      <c r="F242" s="482" t="s">
        <v>7718</v>
      </c>
      <c r="G242" s="466" t="s">
        <v>7075</v>
      </c>
      <c r="H242" s="482" t="s">
        <v>7685</v>
      </c>
      <c r="I242" s="482">
        <v>1.0</v>
      </c>
      <c r="J242" s="486"/>
      <c r="K242" s="482" t="s">
        <v>7393</v>
      </c>
      <c r="L242" s="487">
        <v>115.0</v>
      </c>
      <c r="M242" s="482"/>
      <c r="N242" s="482"/>
      <c r="O242" s="466"/>
      <c r="P242" s="357"/>
      <c r="Q242" s="357"/>
      <c r="R242" s="357"/>
      <c r="S242" s="357"/>
      <c r="T242" s="357"/>
      <c r="U242" s="357"/>
      <c r="V242" s="357"/>
      <c r="W242" s="357"/>
      <c r="X242" s="357"/>
      <c r="Y242" s="357"/>
      <c r="Z242" s="357"/>
    </row>
    <row r="243" ht="15.75" customHeight="1">
      <c r="A243" s="466" t="s">
        <v>7391</v>
      </c>
      <c r="B243" s="466">
        <v>2024.0</v>
      </c>
      <c r="C243" s="466">
        <v>6.0</v>
      </c>
      <c r="D243" s="482"/>
      <c r="E243" s="482"/>
      <c r="F243" s="482"/>
      <c r="G243" s="466" t="s">
        <v>7100</v>
      </c>
      <c r="H243" s="482" t="s">
        <v>6828</v>
      </c>
      <c r="I243" s="482">
        <v>1.0</v>
      </c>
      <c r="J243" s="486"/>
      <c r="K243" s="482" t="s">
        <v>3009</v>
      </c>
      <c r="L243" s="487">
        <v>175.0</v>
      </c>
      <c r="M243" s="482"/>
      <c r="N243" s="482"/>
      <c r="O243" s="466"/>
      <c r="P243" s="357"/>
      <c r="Q243" s="357"/>
      <c r="R243" s="357"/>
      <c r="S243" s="357"/>
      <c r="T243" s="357"/>
      <c r="U243" s="357"/>
      <c r="V243" s="357"/>
      <c r="W243" s="357"/>
      <c r="X243" s="357"/>
      <c r="Y243" s="357"/>
      <c r="Z243" s="357"/>
    </row>
    <row r="244" ht="15.75" customHeight="1">
      <c r="A244" s="466" t="s">
        <v>7391</v>
      </c>
      <c r="B244" s="466">
        <v>2024.0</v>
      </c>
      <c r="C244" s="466">
        <f t="shared" ref="C244:C332" si="4">MONTH(D244)</f>
        <v>6</v>
      </c>
      <c r="D244" s="467">
        <v>45471.0</v>
      </c>
      <c r="E244" s="482" t="s">
        <v>2547</v>
      </c>
      <c r="F244" s="482" t="s">
        <v>7719</v>
      </c>
      <c r="G244" s="466" t="s">
        <v>7106</v>
      </c>
      <c r="H244" s="482" t="s">
        <v>6968</v>
      </c>
      <c r="I244" s="482">
        <v>1.0</v>
      </c>
      <c r="J244" s="486"/>
      <c r="K244" s="482" t="s">
        <v>7393</v>
      </c>
      <c r="L244" s="487">
        <v>90.0</v>
      </c>
      <c r="M244" s="482"/>
      <c r="N244" s="482"/>
      <c r="O244" s="466"/>
      <c r="P244" s="357"/>
      <c r="Q244" s="357"/>
      <c r="R244" s="357"/>
      <c r="S244" s="357"/>
      <c r="T244" s="357"/>
      <c r="U244" s="357"/>
      <c r="V244" s="357"/>
      <c r="W244" s="357"/>
      <c r="X244" s="357"/>
      <c r="Y244" s="357"/>
      <c r="Z244" s="357"/>
    </row>
    <row r="245" ht="15.75" customHeight="1">
      <c r="A245" s="466" t="s">
        <v>7391</v>
      </c>
      <c r="B245" s="466">
        <v>2024.0</v>
      </c>
      <c r="C245" s="466">
        <f t="shared" si="4"/>
        <v>6</v>
      </c>
      <c r="D245" s="467">
        <v>45471.0</v>
      </c>
      <c r="E245" s="482" t="s">
        <v>2561</v>
      </c>
      <c r="F245" s="482" t="s">
        <v>7720</v>
      </c>
      <c r="G245" s="466" t="s">
        <v>7100</v>
      </c>
      <c r="H245" s="482" t="s">
        <v>6906</v>
      </c>
      <c r="I245" s="482">
        <v>1.0</v>
      </c>
      <c r="J245" s="486"/>
      <c r="K245" s="482" t="s">
        <v>7393</v>
      </c>
      <c r="L245" s="487">
        <v>175.0</v>
      </c>
      <c r="M245" s="482"/>
      <c r="N245" s="482"/>
      <c r="O245" s="466"/>
      <c r="P245" s="357"/>
      <c r="Q245" s="357"/>
      <c r="R245" s="357"/>
      <c r="S245" s="357"/>
      <c r="T245" s="357"/>
      <c r="U245" s="357"/>
      <c r="V245" s="357"/>
      <c r="W245" s="357"/>
      <c r="X245" s="357"/>
      <c r="Y245" s="357"/>
      <c r="Z245" s="357"/>
    </row>
    <row r="246" ht="15.75" customHeight="1">
      <c r="A246" s="466" t="s">
        <v>7391</v>
      </c>
      <c r="B246" s="466">
        <v>2024.0</v>
      </c>
      <c r="C246" s="466">
        <f t="shared" si="4"/>
        <v>6</v>
      </c>
      <c r="D246" s="467">
        <v>45471.0</v>
      </c>
      <c r="E246" s="482" t="s">
        <v>7721</v>
      </c>
      <c r="F246" s="482" t="s">
        <v>7722</v>
      </c>
      <c r="G246" s="466" t="s">
        <v>7075</v>
      </c>
      <c r="H246" s="482" t="s">
        <v>7685</v>
      </c>
      <c r="I246" s="482">
        <v>1.0</v>
      </c>
      <c r="J246" s="486"/>
      <c r="K246" s="482" t="s">
        <v>7393</v>
      </c>
      <c r="L246" s="487">
        <v>115.0</v>
      </c>
      <c r="M246" s="482"/>
      <c r="N246" s="482"/>
      <c r="O246" s="466"/>
      <c r="P246" s="357"/>
      <c r="Q246" s="357"/>
      <c r="R246" s="357"/>
      <c r="S246" s="357"/>
      <c r="T246" s="357"/>
      <c r="U246" s="357"/>
      <c r="V246" s="357"/>
      <c r="W246" s="357"/>
      <c r="X246" s="357"/>
      <c r="Y246" s="357"/>
      <c r="Z246" s="357"/>
    </row>
    <row r="247" ht="15.75" customHeight="1">
      <c r="A247" s="466" t="s">
        <v>7391</v>
      </c>
      <c r="B247" s="466">
        <v>2024.0</v>
      </c>
      <c r="C247" s="466">
        <f t="shared" si="4"/>
        <v>6</v>
      </c>
      <c r="D247" s="467">
        <v>45472.0</v>
      </c>
      <c r="E247" s="482" t="s">
        <v>7417</v>
      </c>
      <c r="F247" s="482" t="s">
        <v>7723</v>
      </c>
      <c r="G247" s="466" t="s">
        <v>7075</v>
      </c>
      <c r="H247" s="482" t="s">
        <v>7685</v>
      </c>
      <c r="I247" s="482">
        <v>1.0</v>
      </c>
      <c r="J247" s="486"/>
      <c r="K247" s="482" t="s">
        <v>7393</v>
      </c>
      <c r="L247" s="487">
        <v>115.0</v>
      </c>
      <c r="M247" s="482"/>
      <c r="N247" s="482"/>
      <c r="O247" s="466"/>
      <c r="P247" s="357"/>
      <c r="Q247" s="357"/>
      <c r="R247" s="357"/>
      <c r="S247" s="357"/>
      <c r="T247" s="357"/>
      <c r="U247" s="357"/>
      <c r="V247" s="357"/>
      <c r="W247" s="357"/>
      <c r="X247" s="357"/>
      <c r="Y247" s="357"/>
      <c r="Z247" s="357"/>
    </row>
    <row r="248" ht="15.75" customHeight="1">
      <c r="A248" s="466" t="s">
        <v>7391</v>
      </c>
      <c r="B248" s="466">
        <v>2024.0</v>
      </c>
      <c r="C248" s="466">
        <f t="shared" si="4"/>
        <v>6</v>
      </c>
      <c r="D248" s="467">
        <v>45472.0</v>
      </c>
      <c r="E248" s="482" t="s">
        <v>2586</v>
      </c>
      <c r="F248" s="482" t="s">
        <v>7724</v>
      </c>
      <c r="G248" s="466" t="s">
        <v>7100</v>
      </c>
      <c r="H248" s="482" t="s">
        <v>204</v>
      </c>
      <c r="I248" s="482">
        <v>1.0</v>
      </c>
      <c r="J248" s="486"/>
      <c r="K248" s="482" t="s">
        <v>7393</v>
      </c>
      <c r="L248" s="487">
        <v>175.0</v>
      </c>
      <c r="M248" s="482"/>
      <c r="N248" s="482"/>
      <c r="O248" s="466"/>
      <c r="P248" s="357"/>
      <c r="Q248" s="357"/>
      <c r="R248" s="357"/>
      <c r="S248" s="357"/>
      <c r="T248" s="357"/>
      <c r="U248" s="357"/>
      <c r="V248" s="357"/>
      <c r="W248" s="357"/>
      <c r="X248" s="357"/>
      <c r="Y248" s="357"/>
      <c r="Z248" s="357"/>
    </row>
    <row r="249" ht="15.75" customHeight="1">
      <c r="A249" s="466" t="s">
        <v>7391</v>
      </c>
      <c r="B249" s="466">
        <v>2024.0</v>
      </c>
      <c r="C249" s="466">
        <f t="shared" si="4"/>
        <v>6</v>
      </c>
      <c r="D249" s="467">
        <v>45472.0</v>
      </c>
      <c r="E249" s="482" t="s">
        <v>7681</v>
      </c>
      <c r="F249" s="482" t="s">
        <v>7725</v>
      </c>
      <c r="G249" s="466" t="s">
        <v>7075</v>
      </c>
      <c r="H249" s="482" t="s">
        <v>7685</v>
      </c>
      <c r="I249" s="482">
        <v>1.0</v>
      </c>
      <c r="J249" s="486"/>
      <c r="K249" s="482" t="s">
        <v>7393</v>
      </c>
      <c r="L249" s="487">
        <v>104.0</v>
      </c>
      <c r="M249" s="482"/>
      <c r="N249" s="482"/>
      <c r="O249" s="466"/>
      <c r="P249" s="357"/>
      <c r="Q249" s="357"/>
      <c r="R249" s="357"/>
      <c r="S249" s="357"/>
      <c r="T249" s="357"/>
      <c r="U249" s="357"/>
      <c r="V249" s="357"/>
      <c r="W249" s="357"/>
      <c r="X249" s="357"/>
      <c r="Y249" s="357"/>
      <c r="Z249" s="357"/>
    </row>
    <row r="250" ht="15.75" customHeight="1">
      <c r="A250" s="466" t="s">
        <v>7391</v>
      </c>
      <c r="B250" s="466">
        <v>2024.0</v>
      </c>
      <c r="C250" s="466">
        <f t="shared" si="4"/>
        <v>6</v>
      </c>
      <c r="D250" s="467">
        <v>45473.0</v>
      </c>
      <c r="E250" s="482" t="s">
        <v>7406</v>
      </c>
      <c r="F250" s="482" t="s">
        <v>7726</v>
      </c>
      <c r="G250" s="466" t="s">
        <v>7106</v>
      </c>
      <c r="H250" s="482"/>
      <c r="I250" s="482">
        <v>1.0</v>
      </c>
      <c r="J250" s="486"/>
      <c r="K250" s="482" t="s">
        <v>7393</v>
      </c>
      <c r="L250" s="487">
        <v>81.5</v>
      </c>
      <c r="M250" s="482"/>
      <c r="N250" s="482"/>
      <c r="O250" s="466"/>
      <c r="P250" s="357"/>
      <c r="Q250" s="357"/>
      <c r="R250" s="357"/>
      <c r="S250" s="357"/>
      <c r="T250" s="357"/>
      <c r="U250" s="357"/>
      <c r="V250" s="357"/>
      <c r="W250" s="357"/>
      <c r="X250" s="357"/>
      <c r="Y250" s="357"/>
      <c r="Z250" s="357"/>
    </row>
    <row r="251" ht="15.75" customHeight="1">
      <c r="A251" s="466" t="s">
        <v>7391</v>
      </c>
      <c r="B251" s="466">
        <v>2024.0</v>
      </c>
      <c r="C251" s="466">
        <f t="shared" si="4"/>
        <v>6</v>
      </c>
      <c r="D251" s="467">
        <v>45473.0</v>
      </c>
      <c r="E251" s="482" t="s">
        <v>7429</v>
      </c>
      <c r="F251" s="482" t="s">
        <v>7727</v>
      </c>
      <c r="G251" s="466" t="s">
        <v>7075</v>
      </c>
      <c r="H251" s="482" t="s">
        <v>7685</v>
      </c>
      <c r="I251" s="482">
        <v>1.0</v>
      </c>
      <c r="J251" s="486"/>
      <c r="K251" s="482" t="s">
        <v>7393</v>
      </c>
      <c r="L251" s="487">
        <v>104.0</v>
      </c>
      <c r="M251" s="482"/>
      <c r="N251" s="482"/>
      <c r="O251" s="466"/>
      <c r="P251" s="357"/>
      <c r="Q251" s="357"/>
      <c r="R251" s="357"/>
      <c r="S251" s="357"/>
      <c r="T251" s="357"/>
      <c r="U251" s="357"/>
      <c r="V251" s="357"/>
      <c r="W251" s="357"/>
      <c r="X251" s="357"/>
      <c r="Y251" s="357"/>
      <c r="Z251" s="357"/>
    </row>
    <row r="252" ht="15.75" customHeight="1">
      <c r="A252" s="466" t="s">
        <v>7391</v>
      </c>
      <c r="B252" s="466">
        <v>2024.0</v>
      </c>
      <c r="C252" s="466">
        <f t="shared" si="4"/>
        <v>6</v>
      </c>
      <c r="D252" s="467">
        <v>45473.0</v>
      </c>
      <c r="E252" s="482" t="s">
        <v>7637</v>
      </c>
      <c r="F252" s="482" t="s">
        <v>7728</v>
      </c>
      <c r="G252" s="466" t="s">
        <v>7100</v>
      </c>
      <c r="H252" s="482" t="s">
        <v>204</v>
      </c>
      <c r="I252" s="482">
        <v>1.0</v>
      </c>
      <c r="J252" s="486"/>
      <c r="K252" s="482" t="s">
        <v>7393</v>
      </c>
      <c r="L252" s="487">
        <v>158.0</v>
      </c>
      <c r="M252" s="482"/>
      <c r="N252" s="482"/>
      <c r="O252" s="466"/>
      <c r="P252" s="357"/>
      <c r="Q252" s="357"/>
      <c r="R252" s="357"/>
      <c r="S252" s="357"/>
      <c r="T252" s="357"/>
      <c r="U252" s="357"/>
      <c r="V252" s="357"/>
      <c r="W252" s="357"/>
      <c r="X252" s="357"/>
      <c r="Y252" s="357"/>
      <c r="Z252" s="357"/>
    </row>
    <row r="253" ht="15.75" customHeight="1">
      <c r="A253" s="466" t="s">
        <v>7391</v>
      </c>
      <c r="B253" s="466">
        <v>2024.0</v>
      </c>
      <c r="C253" s="466">
        <f t="shared" si="4"/>
        <v>7</v>
      </c>
      <c r="D253" s="467">
        <v>45474.0</v>
      </c>
      <c r="E253" s="482" t="s">
        <v>7729</v>
      </c>
      <c r="F253" s="482" t="s">
        <v>7730</v>
      </c>
      <c r="G253" s="466" t="s">
        <v>7100</v>
      </c>
      <c r="H253" s="482" t="s">
        <v>204</v>
      </c>
      <c r="I253" s="482">
        <v>1.0</v>
      </c>
      <c r="J253" s="486"/>
      <c r="K253" s="482" t="s">
        <v>7393</v>
      </c>
      <c r="L253" s="487">
        <v>175.0</v>
      </c>
      <c r="M253" s="482"/>
      <c r="N253" s="482"/>
      <c r="O253" s="466"/>
      <c r="P253" s="357"/>
      <c r="Q253" s="357"/>
      <c r="R253" s="357"/>
      <c r="S253" s="357"/>
      <c r="T253" s="357"/>
      <c r="U253" s="357"/>
      <c r="V253" s="357"/>
      <c r="W253" s="357"/>
      <c r="X253" s="357"/>
      <c r="Y253" s="357"/>
      <c r="Z253" s="357"/>
    </row>
    <row r="254" ht="15.75" customHeight="1">
      <c r="A254" s="466" t="s">
        <v>7391</v>
      </c>
      <c r="B254" s="466">
        <v>2024.0</v>
      </c>
      <c r="C254" s="466">
        <f t="shared" si="4"/>
        <v>7</v>
      </c>
      <c r="D254" s="467">
        <v>45475.0</v>
      </c>
      <c r="E254" s="482" t="s">
        <v>7731</v>
      </c>
      <c r="F254" s="482" t="s">
        <v>7732</v>
      </c>
      <c r="G254" s="466" t="s">
        <v>7075</v>
      </c>
      <c r="H254" s="482" t="s">
        <v>7733</v>
      </c>
      <c r="I254" s="482">
        <v>1.0</v>
      </c>
      <c r="J254" s="486"/>
      <c r="K254" s="482" t="s">
        <v>7393</v>
      </c>
      <c r="L254" s="487">
        <v>105.0</v>
      </c>
      <c r="M254" s="482"/>
      <c r="N254" s="482"/>
      <c r="O254" s="466"/>
      <c r="P254" s="357"/>
      <c r="Q254" s="357"/>
      <c r="R254" s="357"/>
      <c r="S254" s="357"/>
      <c r="T254" s="357"/>
      <c r="U254" s="357"/>
      <c r="V254" s="357"/>
      <c r="W254" s="357"/>
      <c r="X254" s="357"/>
      <c r="Y254" s="357"/>
      <c r="Z254" s="357"/>
    </row>
    <row r="255" ht="15.75" customHeight="1">
      <c r="A255" s="466" t="s">
        <v>7391</v>
      </c>
      <c r="B255" s="466">
        <v>2024.0</v>
      </c>
      <c r="C255" s="466">
        <f t="shared" si="4"/>
        <v>7</v>
      </c>
      <c r="D255" s="467">
        <v>45475.0</v>
      </c>
      <c r="E255" s="482" t="s">
        <v>2553</v>
      </c>
      <c r="F255" s="482" t="s">
        <v>7734</v>
      </c>
      <c r="G255" s="466" t="s">
        <v>7106</v>
      </c>
      <c r="H255" s="482"/>
      <c r="I255" s="482">
        <v>1.0</v>
      </c>
      <c r="J255" s="486"/>
      <c r="K255" s="482" t="s">
        <v>7393</v>
      </c>
      <c r="L255" s="487">
        <v>90.0</v>
      </c>
      <c r="M255" s="482"/>
      <c r="N255" s="482"/>
      <c r="O255" s="466"/>
      <c r="P255" s="357"/>
      <c r="Q255" s="357"/>
      <c r="R255" s="357"/>
      <c r="S255" s="357"/>
      <c r="T255" s="357"/>
      <c r="U255" s="357"/>
      <c r="V255" s="357"/>
      <c r="W255" s="357"/>
      <c r="X255" s="357"/>
      <c r="Y255" s="357"/>
      <c r="Z255" s="357"/>
    </row>
    <row r="256" ht="15.75" customHeight="1">
      <c r="A256" s="466" t="s">
        <v>7391</v>
      </c>
      <c r="B256" s="466">
        <v>2024.0</v>
      </c>
      <c r="C256" s="466">
        <f t="shared" si="4"/>
        <v>7</v>
      </c>
      <c r="D256" s="467">
        <v>45476.0</v>
      </c>
      <c r="E256" s="482" t="s">
        <v>7735</v>
      </c>
      <c r="F256" s="482" t="s">
        <v>7736</v>
      </c>
      <c r="G256" s="466" t="s">
        <v>7100</v>
      </c>
      <c r="H256" s="482" t="s">
        <v>204</v>
      </c>
      <c r="I256" s="482">
        <v>1.0</v>
      </c>
      <c r="J256" s="486"/>
      <c r="K256" s="482" t="s">
        <v>7393</v>
      </c>
      <c r="L256" s="487">
        <v>175.0</v>
      </c>
      <c r="M256" s="482"/>
      <c r="N256" s="482"/>
      <c r="O256" s="466"/>
      <c r="P256" s="357"/>
      <c r="Q256" s="357"/>
      <c r="R256" s="357"/>
      <c r="S256" s="357"/>
      <c r="T256" s="357"/>
      <c r="U256" s="357"/>
      <c r="V256" s="357"/>
      <c r="W256" s="357"/>
      <c r="X256" s="357"/>
      <c r="Y256" s="357"/>
      <c r="Z256" s="357"/>
    </row>
    <row r="257" ht="15.75" customHeight="1">
      <c r="A257" s="466" t="s">
        <v>7391</v>
      </c>
      <c r="B257" s="466">
        <v>2024.0</v>
      </c>
      <c r="C257" s="466">
        <f t="shared" si="4"/>
        <v>7</v>
      </c>
      <c r="D257" s="467">
        <v>45476.0</v>
      </c>
      <c r="E257" s="482" t="s">
        <v>7737</v>
      </c>
      <c r="F257" s="482" t="s">
        <v>7424</v>
      </c>
      <c r="G257" s="466" t="s">
        <v>7100</v>
      </c>
      <c r="H257" s="482" t="s">
        <v>204</v>
      </c>
      <c r="I257" s="482">
        <v>1.0</v>
      </c>
      <c r="J257" s="486"/>
      <c r="K257" s="482" t="s">
        <v>7393</v>
      </c>
      <c r="L257" s="487">
        <v>175.0</v>
      </c>
      <c r="M257" s="482"/>
      <c r="N257" s="482"/>
      <c r="O257" s="466"/>
      <c r="P257" s="357"/>
      <c r="Q257" s="357"/>
      <c r="R257" s="357"/>
      <c r="S257" s="357"/>
      <c r="T257" s="357"/>
      <c r="U257" s="357"/>
      <c r="V257" s="357"/>
      <c r="W257" s="357"/>
      <c r="X257" s="357"/>
      <c r="Y257" s="357"/>
      <c r="Z257" s="357"/>
    </row>
    <row r="258" ht="15.75" customHeight="1">
      <c r="A258" s="466" t="s">
        <v>7391</v>
      </c>
      <c r="B258" s="466">
        <v>2024.0</v>
      </c>
      <c r="C258" s="466">
        <f t="shared" si="4"/>
        <v>7</v>
      </c>
      <c r="D258" s="500">
        <v>45476.0</v>
      </c>
      <c r="E258" s="482" t="s">
        <v>7616</v>
      </c>
      <c r="F258" s="482" t="s">
        <v>7738</v>
      </c>
      <c r="G258" s="466" t="s">
        <v>7100</v>
      </c>
      <c r="H258" s="482" t="s">
        <v>204</v>
      </c>
      <c r="I258" s="482">
        <v>1.0</v>
      </c>
      <c r="J258" s="486"/>
      <c r="K258" s="482" t="s">
        <v>7393</v>
      </c>
      <c r="L258" s="487">
        <v>175.0</v>
      </c>
      <c r="M258" s="482"/>
      <c r="N258" s="482"/>
      <c r="O258" s="466"/>
      <c r="P258" s="357"/>
      <c r="Q258" s="357"/>
      <c r="R258" s="357"/>
      <c r="S258" s="357"/>
      <c r="T258" s="357"/>
      <c r="U258" s="357"/>
      <c r="V258" s="357"/>
      <c r="W258" s="357"/>
      <c r="X258" s="357"/>
      <c r="Y258" s="357"/>
      <c r="Z258" s="357"/>
    </row>
    <row r="259" ht="15.75" customHeight="1">
      <c r="A259" s="466" t="s">
        <v>7391</v>
      </c>
      <c r="B259" s="466">
        <v>2024.0</v>
      </c>
      <c r="C259" s="466">
        <f t="shared" si="4"/>
        <v>7</v>
      </c>
      <c r="D259" s="500">
        <v>45476.0</v>
      </c>
      <c r="E259" s="482" t="s">
        <v>7637</v>
      </c>
      <c r="F259" s="482" t="s">
        <v>7739</v>
      </c>
      <c r="G259" s="466" t="s">
        <v>7106</v>
      </c>
      <c r="H259" s="482"/>
      <c r="I259" s="482">
        <v>1.0</v>
      </c>
      <c r="J259" s="486"/>
      <c r="K259" s="482" t="s">
        <v>7393</v>
      </c>
      <c r="L259" s="487">
        <v>90.0</v>
      </c>
      <c r="M259" s="482"/>
      <c r="N259" s="482"/>
      <c r="O259" s="466"/>
      <c r="P259" s="357"/>
      <c r="Q259" s="357"/>
      <c r="R259" s="357"/>
      <c r="S259" s="357"/>
      <c r="T259" s="357"/>
      <c r="U259" s="357"/>
      <c r="V259" s="357"/>
      <c r="W259" s="357"/>
      <c r="X259" s="357"/>
      <c r="Y259" s="357"/>
      <c r="Z259" s="357"/>
    </row>
    <row r="260" ht="15.75" customHeight="1">
      <c r="A260" s="466" t="s">
        <v>7391</v>
      </c>
      <c r="B260" s="466">
        <v>2024.0</v>
      </c>
      <c r="C260" s="466">
        <f t="shared" si="4"/>
        <v>7</v>
      </c>
      <c r="D260" s="500">
        <v>45476.0</v>
      </c>
      <c r="E260" s="482" t="s">
        <v>7740</v>
      </c>
      <c r="F260" s="482" t="s">
        <v>7741</v>
      </c>
      <c r="G260" s="466" t="s">
        <v>7100</v>
      </c>
      <c r="H260" s="482" t="s">
        <v>204</v>
      </c>
      <c r="I260" s="482">
        <v>1.0</v>
      </c>
      <c r="J260" s="486"/>
      <c r="K260" s="482" t="s">
        <v>7393</v>
      </c>
      <c r="L260" s="487">
        <v>175.0</v>
      </c>
      <c r="M260" s="482"/>
      <c r="N260" s="482"/>
      <c r="O260" s="466"/>
      <c r="P260" s="357"/>
      <c r="Q260" s="357"/>
      <c r="R260" s="357"/>
      <c r="S260" s="357"/>
      <c r="T260" s="357"/>
      <c r="U260" s="357"/>
      <c r="V260" s="357"/>
      <c r="W260" s="357"/>
      <c r="X260" s="357"/>
      <c r="Y260" s="357"/>
      <c r="Z260" s="357"/>
    </row>
    <row r="261" ht="15.75" customHeight="1">
      <c r="A261" s="466" t="s">
        <v>7391</v>
      </c>
      <c r="B261" s="466">
        <v>2024.0</v>
      </c>
      <c r="C261" s="466">
        <f t="shared" si="4"/>
        <v>7</v>
      </c>
      <c r="D261" s="500">
        <v>45477.0</v>
      </c>
      <c r="E261" s="482" t="s">
        <v>2561</v>
      </c>
      <c r="F261" s="482" t="s">
        <v>7742</v>
      </c>
      <c r="G261" s="466" t="s">
        <v>7075</v>
      </c>
      <c r="H261" s="482" t="s">
        <v>7685</v>
      </c>
      <c r="I261" s="482">
        <v>1.0</v>
      </c>
      <c r="J261" s="486"/>
      <c r="K261" s="482" t="s">
        <v>7393</v>
      </c>
      <c r="L261" s="487">
        <v>115.0</v>
      </c>
      <c r="M261" s="482"/>
      <c r="N261" s="482"/>
      <c r="O261" s="466"/>
      <c r="P261" s="357"/>
      <c r="Q261" s="357"/>
      <c r="R261" s="357"/>
      <c r="S261" s="357"/>
      <c r="T261" s="357"/>
      <c r="U261" s="357"/>
      <c r="V261" s="357"/>
      <c r="W261" s="357"/>
      <c r="X261" s="357"/>
      <c r="Y261" s="357"/>
      <c r="Z261" s="357"/>
    </row>
    <row r="262" ht="15.75" customHeight="1">
      <c r="A262" s="466" t="s">
        <v>7391</v>
      </c>
      <c r="B262" s="466">
        <v>2024.0</v>
      </c>
      <c r="C262" s="466">
        <f t="shared" si="4"/>
        <v>7</v>
      </c>
      <c r="D262" s="500">
        <v>45477.0</v>
      </c>
      <c r="E262" s="482" t="s">
        <v>7743</v>
      </c>
      <c r="F262" s="482" t="s">
        <v>7744</v>
      </c>
      <c r="G262" s="466" t="s">
        <v>7100</v>
      </c>
      <c r="H262" s="482" t="s">
        <v>204</v>
      </c>
      <c r="I262" s="482">
        <v>1.0</v>
      </c>
      <c r="J262" s="486"/>
      <c r="K262" s="482" t="s">
        <v>7393</v>
      </c>
      <c r="L262" s="487">
        <v>175.0</v>
      </c>
      <c r="M262" s="482"/>
      <c r="N262" s="482"/>
      <c r="O262" s="466"/>
      <c r="P262" s="357"/>
      <c r="Q262" s="357"/>
      <c r="R262" s="357"/>
      <c r="S262" s="357"/>
      <c r="T262" s="357"/>
      <c r="U262" s="357"/>
      <c r="V262" s="357"/>
      <c r="W262" s="357"/>
      <c r="X262" s="357"/>
      <c r="Y262" s="357"/>
      <c r="Z262" s="357"/>
    </row>
    <row r="263" ht="15.75" customHeight="1">
      <c r="A263" s="466" t="s">
        <v>7391</v>
      </c>
      <c r="B263" s="466">
        <v>2024.0</v>
      </c>
      <c r="C263" s="466">
        <f t="shared" si="4"/>
        <v>7</v>
      </c>
      <c r="D263" s="500">
        <v>45477.0</v>
      </c>
      <c r="E263" s="482" t="s">
        <v>7554</v>
      </c>
      <c r="F263" s="482" t="s">
        <v>7745</v>
      </c>
      <c r="G263" s="466" t="s">
        <v>7100</v>
      </c>
      <c r="H263" s="482" t="s">
        <v>204</v>
      </c>
      <c r="I263" s="482">
        <v>1.0</v>
      </c>
      <c r="J263" s="486"/>
      <c r="K263" s="482" t="s">
        <v>7393</v>
      </c>
      <c r="L263" s="487">
        <v>175.0</v>
      </c>
      <c r="M263" s="482"/>
      <c r="N263" s="482"/>
      <c r="O263" s="466"/>
      <c r="P263" s="357"/>
      <c r="Q263" s="357"/>
      <c r="R263" s="357"/>
      <c r="S263" s="357"/>
      <c r="T263" s="357"/>
      <c r="U263" s="357"/>
      <c r="V263" s="357"/>
      <c r="W263" s="357"/>
      <c r="X263" s="357"/>
      <c r="Y263" s="357"/>
      <c r="Z263" s="357"/>
    </row>
    <row r="264" ht="15.75" customHeight="1">
      <c r="A264" s="466" t="s">
        <v>7391</v>
      </c>
      <c r="B264" s="466">
        <v>2024.0</v>
      </c>
      <c r="C264" s="466">
        <f t="shared" si="4"/>
        <v>7</v>
      </c>
      <c r="D264" s="500">
        <v>45478.0</v>
      </c>
      <c r="E264" s="482" t="s">
        <v>2561</v>
      </c>
      <c r="F264" s="482" t="s">
        <v>7746</v>
      </c>
      <c r="G264" s="466" t="s">
        <v>7075</v>
      </c>
      <c r="H264" s="482" t="s">
        <v>7733</v>
      </c>
      <c r="I264" s="482">
        <v>1.0</v>
      </c>
      <c r="J264" s="486"/>
      <c r="K264" s="482" t="s">
        <v>7393</v>
      </c>
      <c r="L264" s="487">
        <v>105.0</v>
      </c>
      <c r="M264" s="482"/>
      <c r="N264" s="482"/>
      <c r="O264" s="466"/>
      <c r="P264" s="357"/>
      <c r="Q264" s="357"/>
      <c r="R264" s="357"/>
      <c r="S264" s="357"/>
      <c r="T264" s="357"/>
      <c r="U264" s="357"/>
      <c r="V264" s="357"/>
      <c r="W264" s="357"/>
      <c r="X264" s="357"/>
      <c r="Y264" s="357"/>
      <c r="Z264" s="357"/>
    </row>
    <row r="265" ht="15.75" customHeight="1">
      <c r="A265" s="466" t="s">
        <v>7391</v>
      </c>
      <c r="B265" s="466">
        <v>2024.0</v>
      </c>
      <c r="C265" s="466">
        <f t="shared" si="4"/>
        <v>7</v>
      </c>
      <c r="D265" s="500">
        <v>45480.0</v>
      </c>
      <c r="E265" s="482" t="s">
        <v>7747</v>
      </c>
      <c r="F265" s="482" t="s">
        <v>7748</v>
      </c>
      <c r="G265" s="466" t="s">
        <v>6613</v>
      </c>
      <c r="H265" s="482" t="s">
        <v>7749</v>
      </c>
      <c r="I265" s="482">
        <v>1.0</v>
      </c>
      <c r="J265" s="486"/>
      <c r="K265" s="482" t="s">
        <v>7393</v>
      </c>
      <c r="L265" s="487">
        <v>63.0</v>
      </c>
      <c r="M265" s="482"/>
      <c r="N265" s="482"/>
      <c r="O265" s="466"/>
      <c r="P265" s="357"/>
      <c r="Q265" s="357"/>
      <c r="R265" s="357"/>
      <c r="S265" s="357"/>
      <c r="T265" s="357"/>
      <c r="U265" s="357"/>
      <c r="V265" s="357"/>
      <c r="W265" s="357"/>
      <c r="X265" s="357"/>
      <c r="Y265" s="357"/>
      <c r="Z265" s="357"/>
    </row>
    <row r="266" ht="15.75" customHeight="1">
      <c r="A266" s="466" t="s">
        <v>7391</v>
      </c>
      <c r="B266" s="466">
        <v>2024.0</v>
      </c>
      <c r="C266" s="466">
        <f t="shared" si="4"/>
        <v>7</v>
      </c>
      <c r="D266" s="500">
        <v>45480.0</v>
      </c>
      <c r="E266" s="482" t="s">
        <v>2193</v>
      </c>
      <c r="F266" s="482" t="s">
        <v>7750</v>
      </c>
      <c r="G266" s="466" t="s">
        <v>7106</v>
      </c>
      <c r="H266" s="482" t="s">
        <v>7751</v>
      </c>
      <c r="I266" s="482">
        <v>1.0</v>
      </c>
      <c r="J266" s="486"/>
      <c r="K266" s="482" t="s">
        <v>7393</v>
      </c>
      <c r="L266" s="487">
        <v>72.5</v>
      </c>
      <c r="M266" s="482"/>
      <c r="N266" s="482"/>
      <c r="O266" s="466"/>
      <c r="P266" s="357"/>
      <c r="Q266" s="357"/>
      <c r="R266" s="357"/>
      <c r="S266" s="357"/>
      <c r="T266" s="357"/>
      <c r="U266" s="357"/>
      <c r="V266" s="357"/>
      <c r="W266" s="357"/>
      <c r="X266" s="357"/>
      <c r="Y266" s="357"/>
      <c r="Z266" s="357"/>
    </row>
    <row r="267" ht="15.75" customHeight="1">
      <c r="A267" s="466" t="s">
        <v>7391</v>
      </c>
      <c r="B267" s="466">
        <v>2024.0</v>
      </c>
      <c r="C267" s="466">
        <f t="shared" si="4"/>
        <v>7</v>
      </c>
      <c r="D267" s="500">
        <v>45480.0</v>
      </c>
      <c r="E267" s="482" t="s">
        <v>2586</v>
      </c>
      <c r="F267" s="482" t="s">
        <v>7752</v>
      </c>
      <c r="G267" s="466" t="s">
        <v>7395</v>
      </c>
      <c r="H267" s="482" t="s">
        <v>7753</v>
      </c>
      <c r="I267" s="482">
        <v>1.0</v>
      </c>
      <c r="J267" s="486"/>
      <c r="K267" s="482" t="s">
        <v>7393</v>
      </c>
      <c r="L267" s="487">
        <v>50.0</v>
      </c>
      <c r="M267" s="482"/>
      <c r="N267" s="482"/>
      <c r="O267" s="466"/>
      <c r="P267" s="357"/>
      <c r="Q267" s="357"/>
      <c r="R267" s="357"/>
      <c r="S267" s="357"/>
      <c r="T267" s="357"/>
      <c r="U267" s="357"/>
      <c r="V267" s="357"/>
      <c r="W267" s="357"/>
      <c r="X267" s="357"/>
      <c r="Y267" s="357"/>
      <c r="Z267" s="357"/>
    </row>
    <row r="268" ht="15.75" customHeight="1">
      <c r="A268" s="466" t="s">
        <v>7391</v>
      </c>
      <c r="B268" s="466">
        <v>2024.0</v>
      </c>
      <c r="C268" s="466">
        <f t="shared" si="4"/>
        <v>7</v>
      </c>
      <c r="D268" s="500">
        <v>45480.0</v>
      </c>
      <c r="E268" s="482" t="s">
        <v>7554</v>
      </c>
      <c r="F268" s="482" t="s">
        <v>7754</v>
      </c>
      <c r="G268" s="466" t="s">
        <v>7100</v>
      </c>
      <c r="H268" s="482" t="s">
        <v>204</v>
      </c>
      <c r="I268" s="482">
        <v>1.0</v>
      </c>
      <c r="J268" s="486"/>
      <c r="K268" s="482" t="s">
        <v>7393</v>
      </c>
      <c r="L268" s="487">
        <v>158.0</v>
      </c>
      <c r="M268" s="482"/>
      <c r="N268" s="482"/>
      <c r="O268" s="466"/>
      <c r="P268" s="357"/>
      <c r="Q268" s="357"/>
      <c r="R268" s="357"/>
      <c r="S268" s="357"/>
      <c r="T268" s="357"/>
      <c r="U268" s="357"/>
      <c r="V268" s="357"/>
      <c r="W268" s="357"/>
      <c r="X268" s="357"/>
      <c r="Y268" s="357"/>
      <c r="Z268" s="357"/>
    </row>
    <row r="269" ht="15.75" customHeight="1">
      <c r="A269" s="466" t="s">
        <v>7391</v>
      </c>
      <c r="B269" s="466">
        <v>2024.0</v>
      </c>
      <c r="C269" s="466">
        <f t="shared" si="4"/>
        <v>7</v>
      </c>
      <c r="D269" s="500">
        <v>45481.0</v>
      </c>
      <c r="E269" s="482" t="s">
        <v>7755</v>
      </c>
      <c r="F269" s="482" t="s">
        <v>7756</v>
      </c>
      <c r="G269" s="466" t="s">
        <v>7100</v>
      </c>
      <c r="H269" s="482" t="s">
        <v>6906</v>
      </c>
      <c r="I269" s="482">
        <v>1.0</v>
      </c>
      <c r="J269" s="486"/>
      <c r="K269" s="482" t="s">
        <v>7393</v>
      </c>
      <c r="L269" s="487">
        <v>175.0</v>
      </c>
      <c r="M269" s="482"/>
      <c r="N269" s="482"/>
      <c r="O269" s="466"/>
      <c r="P269" s="357"/>
      <c r="Q269" s="357"/>
      <c r="R269" s="357"/>
      <c r="S269" s="357"/>
      <c r="T269" s="357"/>
      <c r="U269" s="357"/>
      <c r="V269" s="357"/>
      <c r="W269" s="357"/>
      <c r="X269" s="357"/>
      <c r="Y269" s="357"/>
      <c r="Z269" s="357"/>
    </row>
    <row r="270" ht="15.75" customHeight="1">
      <c r="A270" s="466" t="s">
        <v>7391</v>
      </c>
      <c r="B270" s="466">
        <v>2024.0</v>
      </c>
      <c r="C270" s="466">
        <f t="shared" si="4"/>
        <v>7</v>
      </c>
      <c r="D270" s="500">
        <v>45481.0</v>
      </c>
      <c r="E270" s="482" t="s">
        <v>7434</v>
      </c>
      <c r="F270" s="482" t="s">
        <v>7757</v>
      </c>
      <c r="G270" s="466" t="s">
        <v>7395</v>
      </c>
      <c r="H270" s="482" t="s">
        <v>7753</v>
      </c>
      <c r="I270" s="482">
        <v>1.0</v>
      </c>
      <c r="J270" s="486"/>
      <c r="K270" s="482" t="s">
        <v>7393</v>
      </c>
      <c r="L270" s="487">
        <v>55.0</v>
      </c>
      <c r="M270" s="482"/>
      <c r="N270" s="482"/>
      <c r="O270" s="466"/>
      <c r="P270" s="357"/>
      <c r="Q270" s="357"/>
      <c r="R270" s="357"/>
      <c r="S270" s="357"/>
      <c r="T270" s="357"/>
      <c r="U270" s="357"/>
      <c r="V270" s="357"/>
      <c r="W270" s="357"/>
      <c r="X270" s="357"/>
      <c r="Y270" s="357"/>
      <c r="Z270" s="357"/>
    </row>
    <row r="271" ht="15.75" customHeight="1">
      <c r="A271" s="466" t="s">
        <v>7391</v>
      </c>
      <c r="B271" s="466">
        <v>2024.0</v>
      </c>
      <c r="C271" s="466">
        <f t="shared" si="4"/>
        <v>7</v>
      </c>
      <c r="D271" s="500">
        <v>45482.0</v>
      </c>
      <c r="E271" s="482" t="s">
        <v>7758</v>
      </c>
      <c r="F271" s="482" t="s">
        <v>7759</v>
      </c>
      <c r="G271" s="466" t="s">
        <v>7100</v>
      </c>
      <c r="H271" s="482" t="s">
        <v>6906</v>
      </c>
      <c r="I271" s="482">
        <v>1.0</v>
      </c>
      <c r="J271" s="486"/>
      <c r="K271" s="482" t="s">
        <v>7393</v>
      </c>
      <c r="L271" s="487">
        <v>158.0</v>
      </c>
      <c r="M271" s="482"/>
      <c r="N271" s="482"/>
      <c r="O271" s="466"/>
      <c r="P271" s="357"/>
      <c r="Q271" s="357"/>
      <c r="R271" s="357"/>
      <c r="S271" s="357"/>
      <c r="T271" s="357"/>
      <c r="U271" s="357"/>
      <c r="V271" s="357"/>
      <c r="W271" s="357"/>
      <c r="X271" s="357"/>
      <c r="Y271" s="357"/>
      <c r="Z271" s="357"/>
    </row>
    <row r="272" ht="15.75" customHeight="1">
      <c r="A272" s="466" t="s">
        <v>7391</v>
      </c>
      <c r="B272" s="466">
        <v>2024.0</v>
      </c>
      <c r="C272" s="466">
        <f t="shared" si="4"/>
        <v>7</v>
      </c>
      <c r="D272" s="500">
        <v>45482.0</v>
      </c>
      <c r="E272" s="482" t="s">
        <v>7760</v>
      </c>
      <c r="F272" s="482" t="s">
        <v>7761</v>
      </c>
      <c r="G272" s="466" t="s">
        <v>7106</v>
      </c>
      <c r="H272" s="482" t="s">
        <v>7751</v>
      </c>
      <c r="I272" s="482">
        <v>1.0</v>
      </c>
      <c r="J272" s="486"/>
      <c r="K272" s="482" t="s">
        <v>7393</v>
      </c>
      <c r="L272" s="487">
        <v>72.5</v>
      </c>
      <c r="M272" s="482"/>
      <c r="N272" s="482"/>
      <c r="O272" s="466"/>
      <c r="P272" s="357"/>
      <c r="Q272" s="357"/>
      <c r="R272" s="357"/>
      <c r="S272" s="357"/>
      <c r="T272" s="357"/>
      <c r="U272" s="357"/>
      <c r="V272" s="357"/>
      <c r="W272" s="357"/>
      <c r="X272" s="357"/>
      <c r="Y272" s="357"/>
      <c r="Z272" s="357"/>
    </row>
    <row r="273" ht="15.75" customHeight="1">
      <c r="A273" s="466" t="s">
        <v>7391</v>
      </c>
      <c r="B273" s="466">
        <v>2024.0</v>
      </c>
      <c r="C273" s="466">
        <f t="shared" si="4"/>
        <v>7</v>
      </c>
      <c r="D273" s="500">
        <v>45482.0</v>
      </c>
      <c r="E273" s="482" t="s">
        <v>2561</v>
      </c>
      <c r="F273" s="482" t="s">
        <v>7762</v>
      </c>
      <c r="G273" s="466" t="s">
        <v>7106</v>
      </c>
      <c r="H273" s="482" t="s">
        <v>7643</v>
      </c>
      <c r="I273" s="482">
        <v>1.0</v>
      </c>
      <c r="J273" s="486"/>
      <c r="K273" s="482" t="s">
        <v>7393</v>
      </c>
      <c r="L273" s="487">
        <v>95.0</v>
      </c>
      <c r="M273" s="482"/>
      <c r="N273" s="482"/>
      <c r="O273" s="466"/>
      <c r="P273" s="357"/>
      <c r="Q273" s="357"/>
      <c r="R273" s="357"/>
      <c r="S273" s="357"/>
      <c r="T273" s="357"/>
      <c r="U273" s="357"/>
      <c r="V273" s="357"/>
      <c r="W273" s="357"/>
      <c r="X273" s="357"/>
      <c r="Y273" s="357"/>
      <c r="Z273" s="357"/>
    </row>
    <row r="274" ht="15.75" customHeight="1">
      <c r="A274" s="466" t="s">
        <v>7391</v>
      </c>
      <c r="B274" s="466">
        <v>2024.0</v>
      </c>
      <c r="C274" s="466">
        <f t="shared" si="4"/>
        <v>7</v>
      </c>
      <c r="D274" s="500">
        <v>45482.0</v>
      </c>
      <c r="E274" s="482" t="s">
        <v>2623</v>
      </c>
      <c r="F274" s="482" t="s">
        <v>7763</v>
      </c>
      <c r="G274" s="466" t="s">
        <v>7100</v>
      </c>
      <c r="H274" s="482" t="s">
        <v>204</v>
      </c>
      <c r="I274" s="482">
        <v>1.0</v>
      </c>
      <c r="J274" s="486"/>
      <c r="K274" s="482" t="s">
        <v>7393</v>
      </c>
      <c r="L274" s="487">
        <v>158.0</v>
      </c>
      <c r="M274" s="482"/>
      <c r="N274" s="482"/>
      <c r="O274" s="466"/>
      <c r="P274" s="357"/>
      <c r="Q274" s="357"/>
      <c r="R274" s="357"/>
      <c r="S274" s="357"/>
      <c r="T274" s="357"/>
      <c r="U274" s="357"/>
      <c r="V274" s="357"/>
      <c r="W274" s="357"/>
      <c r="X274" s="357"/>
      <c r="Y274" s="357"/>
      <c r="Z274" s="357"/>
    </row>
    <row r="275" ht="15.75" customHeight="1">
      <c r="A275" s="466" t="s">
        <v>7391</v>
      </c>
      <c r="B275" s="466">
        <v>2024.0</v>
      </c>
      <c r="C275" s="466">
        <f t="shared" si="4"/>
        <v>7</v>
      </c>
      <c r="D275" s="500">
        <v>45482.0</v>
      </c>
      <c r="E275" s="482" t="s">
        <v>2547</v>
      </c>
      <c r="F275" s="482" t="s">
        <v>7764</v>
      </c>
      <c r="G275" s="466" t="s">
        <v>7106</v>
      </c>
      <c r="H275" s="482" t="s">
        <v>7643</v>
      </c>
      <c r="I275" s="482">
        <v>1.0</v>
      </c>
      <c r="J275" s="486"/>
      <c r="K275" s="482" t="s">
        <v>7393</v>
      </c>
      <c r="L275" s="487">
        <v>85.0</v>
      </c>
      <c r="M275" s="482"/>
      <c r="N275" s="482"/>
      <c r="O275" s="466"/>
      <c r="P275" s="357"/>
      <c r="Q275" s="357"/>
      <c r="R275" s="357"/>
      <c r="S275" s="357"/>
      <c r="T275" s="357"/>
      <c r="U275" s="357"/>
      <c r="V275" s="357"/>
      <c r="W275" s="357"/>
      <c r="X275" s="357"/>
      <c r="Y275" s="357"/>
      <c r="Z275" s="357"/>
    </row>
    <row r="276" ht="15.75" customHeight="1">
      <c r="A276" s="466" t="s">
        <v>7391</v>
      </c>
      <c r="B276" s="466">
        <v>2024.0</v>
      </c>
      <c r="C276" s="466">
        <f t="shared" si="4"/>
        <v>7</v>
      </c>
      <c r="D276" s="500">
        <v>45482.0</v>
      </c>
      <c r="E276" s="482" t="s">
        <v>7714</v>
      </c>
      <c r="F276" s="482" t="s">
        <v>7765</v>
      </c>
      <c r="G276" s="466" t="s">
        <v>7106</v>
      </c>
      <c r="H276" s="482" t="s">
        <v>7751</v>
      </c>
      <c r="I276" s="482">
        <v>1.0</v>
      </c>
      <c r="J276" s="486"/>
      <c r="K276" s="482" t="s">
        <v>7393</v>
      </c>
      <c r="L276" s="487">
        <v>80.0</v>
      </c>
      <c r="M276" s="482"/>
      <c r="N276" s="482"/>
      <c r="O276" s="466"/>
      <c r="P276" s="357"/>
      <c r="Q276" s="357"/>
      <c r="R276" s="357"/>
      <c r="S276" s="357"/>
      <c r="T276" s="357"/>
      <c r="U276" s="357"/>
      <c r="V276" s="357"/>
      <c r="W276" s="357"/>
      <c r="X276" s="357"/>
      <c r="Y276" s="357"/>
      <c r="Z276" s="357"/>
    </row>
    <row r="277" ht="15.75" customHeight="1">
      <c r="A277" s="466" t="s">
        <v>7391</v>
      </c>
      <c r="B277" s="466">
        <v>2024.0</v>
      </c>
      <c r="C277" s="466">
        <f t="shared" si="4"/>
        <v>7</v>
      </c>
      <c r="D277" s="500">
        <v>45483.0</v>
      </c>
      <c r="E277" s="482" t="s">
        <v>7766</v>
      </c>
      <c r="F277" s="482" t="s">
        <v>7767</v>
      </c>
      <c r="G277" s="466" t="s">
        <v>7100</v>
      </c>
      <c r="H277" s="482" t="s">
        <v>204</v>
      </c>
      <c r="I277" s="482">
        <v>1.0</v>
      </c>
      <c r="J277" s="486"/>
      <c r="K277" s="482" t="s">
        <v>7393</v>
      </c>
      <c r="L277" s="487">
        <v>175.0</v>
      </c>
      <c r="M277" s="482"/>
      <c r="N277" s="482"/>
      <c r="O277" s="466"/>
      <c r="P277" s="357"/>
      <c r="Q277" s="357"/>
      <c r="R277" s="357"/>
      <c r="S277" s="357"/>
      <c r="T277" s="357"/>
      <c r="U277" s="357"/>
      <c r="V277" s="357"/>
      <c r="W277" s="357"/>
      <c r="X277" s="357"/>
      <c r="Y277" s="357"/>
      <c r="Z277" s="357"/>
    </row>
    <row r="278" ht="15.75" customHeight="1">
      <c r="A278" s="466" t="s">
        <v>7391</v>
      </c>
      <c r="B278" s="466">
        <v>2024.0</v>
      </c>
      <c r="C278" s="466">
        <f t="shared" si="4"/>
        <v>7</v>
      </c>
      <c r="D278" s="500">
        <v>45483.0</v>
      </c>
      <c r="E278" s="482" t="s">
        <v>2604</v>
      </c>
      <c r="F278" s="482" t="s">
        <v>7768</v>
      </c>
      <c r="G278" s="466" t="s">
        <v>7100</v>
      </c>
      <c r="H278" s="482" t="s">
        <v>6828</v>
      </c>
      <c r="I278" s="482">
        <v>1.0</v>
      </c>
      <c r="J278" s="486"/>
      <c r="K278" s="482" t="s">
        <v>7393</v>
      </c>
      <c r="L278" s="487">
        <v>175.0</v>
      </c>
      <c r="M278" s="482"/>
      <c r="N278" s="482"/>
      <c r="O278" s="466"/>
      <c r="P278" s="357"/>
      <c r="Q278" s="357"/>
      <c r="R278" s="357"/>
      <c r="S278" s="357"/>
      <c r="T278" s="357"/>
      <c r="U278" s="357"/>
      <c r="V278" s="357"/>
      <c r="W278" s="357"/>
      <c r="X278" s="357"/>
      <c r="Y278" s="357"/>
      <c r="Z278" s="357"/>
    </row>
    <row r="279" ht="15.75" customHeight="1">
      <c r="A279" s="466" t="s">
        <v>7391</v>
      </c>
      <c r="B279" s="466">
        <v>2024.0</v>
      </c>
      <c r="C279" s="466">
        <f t="shared" si="4"/>
        <v>7</v>
      </c>
      <c r="D279" s="500">
        <v>45483.0</v>
      </c>
      <c r="E279" s="482" t="s">
        <v>2668</v>
      </c>
      <c r="F279" s="482" t="s">
        <v>7769</v>
      </c>
      <c r="G279" s="466" t="s">
        <v>7059</v>
      </c>
      <c r="H279" s="482" t="s">
        <v>7770</v>
      </c>
      <c r="I279" s="482">
        <v>1.0</v>
      </c>
      <c r="J279" s="486"/>
      <c r="K279" s="482" t="s">
        <v>7393</v>
      </c>
      <c r="L279" s="487">
        <v>86.0</v>
      </c>
      <c r="M279" s="482"/>
      <c r="N279" s="482"/>
      <c r="O279" s="466"/>
      <c r="P279" s="357"/>
      <c r="Q279" s="357"/>
      <c r="R279" s="357"/>
      <c r="S279" s="357"/>
      <c r="T279" s="357"/>
      <c r="U279" s="357"/>
      <c r="V279" s="357"/>
      <c r="W279" s="357"/>
      <c r="X279" s="357"/>
      <c r="Y279" s="357"/>
      <c r="Z279" s="357"/>
    </row>
    <row r="280" ht="15.75" customHeight="1">
      <c r="A280" s="466" t="s">
        <v>7391</v>
      </c>
      <c r="B280" s="466">
        <v>2024.0</v>
      </c>
      <c r="C280" s="466">
        <f t="shared" si="4"/>
        <v>7</v>
      </c>
      <c r="D280" s="500">
        <v>45483.0</v>
      </c>
      <c r="E280" s="482" t="s">
        <v>7417</v>
      </c>
      <c r="F280" s="482" t="s">
        <v>7771</v>
      </c>
      <c r="G280" s="466" t="s">
        <v>7075</v>
      </c>
      <c r="H280" s="482" t="s">
        <v>7772</v>
      </c>
      <c r="I280" s="482">
        <v>1.0</v>
      </c>
      <c r="J280" s="486"/>
      <c r="K280" s="482" t="s">
        <v>7393</v>
      </c>
      <c r="L280" s="487">
        <v>105.0</v>
      </c>
      <c r="M280" s="482"/>
      <c r="N280" s="482"/>
      <c r="O280" s="466"/>
      <c r="P280" s="357"/>
      <c r="Q280" s="357"/>
      <c r="R280" s="357"/>
      <c r="S280" s="357"/>
      <c r="T280" s="357"/>
      <c r="U280" s="357"/>
      <c r="V280" s="357"/>
      <c r="W280" s="357"/>
      <c r="X280" s="357"/>
      <c r="Y280" s="357"/>
      <c r="Z280" s="357"/>
    </row>
    <row r="281" ht="15.75" customHeight="1">
      <c r="A281" s="466" t="s">
        <v>7391</v>
      </c>
      <c r="B281" s="466">
        <v>2024.0</v>
      </c>
      <c r="C281" s="466">
        <f t="shared" si="4"/>
        <v>7</v>
      </c>
      <c r="D281" s="500">
        <v>45483.0</v>
      </c>
      <c r="E281" s="482" t="s">
        <v>7417</v>
      </c>
      <c r="F281" s="482" t="s">
        <v>7773</v>
      </c>
      <c r="G281" s="466" t="s">
        <v>7106</v>
      </c>
      <c r="H281" s="482" t="s">
        <v>2619</v>
      </c>
      <c r="I281" s="482">
        <v>1.0</v>
      </c>
      <c r="J281" s="486"/>
      <c r="K281" s="482" t="s">
        <v>7393</v>
      </c>
      <c r="L281" s="487">
        <v>80.0</v>
      </c>
      <c r="M281" s="482"/>
      <c r="N281" s="482"/>
      <c r="O281" s="466"/>
      <c r="P281" s="357"/>
      <c r="Q281" s="357"/>
      <c r="R281" s="357"/>
      <c r="S281" s="357"/>
      <c r="T281" s="357"/>
      <c r="U281" s="357"/>
      <c r="V281" s="357"/>
      <c r="W281" s="357"/>
      <c r="X281" s="357"/>
      <c r="Y281" s="357"/>
      <c r="Z281" s="357"/>
    </row>
    <row r="282" ht="15.75" customHeight="1">
      <c r="A282" s="466" t="s">
        <v>7391</v>
      </c>
      <c r="B282" s="466">
        <v>2024.0</v>
      </c>
      <c r="C282" s="466">
        <f t="shared" si="4"/>
        <v>7</v>
      </c>
      <c r="D282" s="500">
        <v>45483.0</v>
      </c>
      <c r="E282" s="482" t="s">
        <v>7774</v>
      </c>
      <c r="F282" s="482" t="s">
        <v>7775</v>
      </c>
      <c r="G282" s="466" t="s">
        <v>7075</v>
      </c>
      <c r="H282" s="482" t="s">
        <v>7776</v>
      </c>
      <c r="I282" s="482">
        <v>1.0</v>
      </c>
      <c r="J282" s="486"/>
      <c r="K282" s="482" t="s">
        <v>7393</v>
      </c>
      <c r="L282" s="487">
        <v>105.0</v>
      </c>
      <c r="M282" s="482"/>
      <c r="N282" s="482"/>
      <c r="O282" s="466"/>
      <c r="P282" s="357"/>
      <c r="Q282" s="357"/>
      <c r="R282" s="357"/>
      <c r="S282" s="357"/>
      <c r="T282" s="357"/>
      <c r="U282" s="357"/>
      <c r="V282" s="357"/>
      <c r="W282" s="357"/>
      <c r="X282" s="357"/>
      <c r="Y282" s="357"/>
      <c r="Z282" s="357"/>
    </row>
    <row r="283" ht="15.75" customHeight="1">
      <c r="A283" s="466" t="s">
        <v>7391</v>
      </c>
      <c r="B283" s="466">
        <v>2024.0</v>
      </c>
      <c r="C283" s="466">
        <f t="shared" si="4"/>
        <v>7</v>
      </c>
      <c r="D283" s="500">
        <v>45483.0</v>
      </c>
      <c r="E283" s="482" t="s">
        <v>7653</v>
      </c>
      <c r="F283" s="482" t="s">
        <v>7641</v>
      </c>
      <c r="G283" s="466" t="s">
        <v>7075</v>
      </c>
      <c r="H283" s="482" t="s">
        <v>7675</v>
      </c>
      <c r="I283" s="482">
        <v>1.0</v>
      </c>
      <c r="J283" s="486"/>
      <c r="K283" s="482" t="s">
        <v>7393</v>
      </c>
      <c r="L283" s="487">
        <v>105.0</v>
      </c>
      <c r="M283" s="482"/>
      <c r="N283" s="482"/>
      <c r="O283" s="466"/>
      <c r="P283" s="357"/>
      <c r="Q283" s="357"/>
      <c r="R283" s="357"/>
      <c r="S283" s="357"/>
      <c r="T283" s="357"/>
      <c r="U283" s="357"/>
      <c r="V283" s="357"/>
      <c r="W283" s="357"/>
      <c r="X283" s="357"/>
      <c r="Y283" s="357"/>
      <c r="Z283" s="357"/>
    </row>
    <row r="284" ht="15.75" customHeight="1">
      <c r="A284" s="466" t="s">
        <v>7391</v>
      </c>
      <c r="B284" s="466">
        <v>2024.0</v>
      </c>
      <c r="C284" s="466">
        <f t="shared" si="4"/>
        <v>7</v>
      </c>
      <c r="D284" s="500">
        <v>45483.0</v>
      </c>
      <c r="E284" s="482" t="s">
        <v>7681</v>
      </c>
      <c r="F284" s="482" t="s">
        <v>7777</v>
      </c>
      <c r="G284" s="466" t="s">
        <v>7075</v>
      </c>
      <c r="H284" s="482" t="s">
        <v>7675</v>
      </c>
      <c r="I284" s="482">
        <v>1.0</v>
      </c>
      <c r="J284" s="486"/>
      <c r="K284" s="482" t="s">
        <v>7393</v>
      </c>
      <c r="L284" s="487">
        <v>105.0</v>
      </c>
      <c r="M284" s="482"/>
      <c r="N284" s="482"/>
      <c r="O284" s="466"/>
      <c r="P284" s="357"/>
      <c r="Q284" s="357"/>
      <c r="R284" s="357"/>
      <c r="S284" s="357"/>
      <c r="T284" s="357"/>
      <c r="U284" s="357"/>
      <c r="V284" s="357"/>
      <c r="W284" s="357"/>
      <c r="X284" s="357"/>
      <c r="Y284" s="357"/>
      <c r="Z284" s="357"/>
    </row>
    <row r="285" ht="15.75" customHeight="1">
      <c r="A285" s="466" t="s">
        <v>7391</v>
      </c>
      <c r="B285" s="466">
        <v>2024.0</v>
      </c>
      <c r="C285" s="466">
        <f t="shared" si="4"/>
        <v>7</v>
      </c>
      <c r="D285" s="500">
        <v>45483.0</v>
      </c>
      <c r="E285" s="482" t="s">
        <v>2600</v>
      </c>
      <c r="F285" s="482" t="s">
        <v>7778</v>
      </c>
      <c r="G285" s="466" t="s">
        <v>7075</v>
      </c>
      <c r="H285" s="482" t="s">
        <v>7772</v>
      </c>
      <c r="I285" s="482">
        <v>1.0</v>
      </c>
      <c r="J285" s="486"/>
      <c r="K285" s="482" t="s">
        <v>7393</v>
      </c>
      <c r="L285" s="487">
        <v>105.0</v>
      </c>
      <c r="M285" s="482"/>
      <c r="N285" s="482"/>
      <c r="O285" s="466"/>
      <c r="P285" s="357"/>
      <c r="Q285" s="357"/>
      <c r="R285" s="357"/>
      <c r="S285" s="357"/>
      <c r="T285" s="357"/>
      <c r="U285" s="357"/>
      <c r="V285" s="357"/>
      <c r="W285" s="357"/>
      <c r="X285" s="357"/>
      <c r="Y285" s="357"/>
      <c r="Z285" s="357"/>
    </row>
    <row r="286" ht="15.75" customHeight="1">
      <c r="A286" s="466" t="s">
        <v>7391</v>
      </c>
      <c r="B286" s="466">
        <v>2024.0</v>
      </c>
      <c r="C286" s="466">
        <f t="shared" si="4"/>
        <v>7</v>
      </c>
      <c r="D286" s="500">
        <v>45483.0</v>
      </c>
      <c r="E286" s="482" t="s">
        <v>2772</v>
      </c>
      <c r="F286" s="482" t="s">
        <v>7779</v>
      </c>
      <c r="G286" s="466" t="s">
        <v>7106</v>
      </c>
      <c r="H286" s="482" t="s">
        <v>7643</v>
      </c>
      <c r="I286" s="482">
        <v>1.0</v>
      </c>
      <c r="J286" s="486"/>
      <c r="K286" s="482" t="s">
        <v>7393</v>
      </c>
      <c r="L286" s="487">
        <v>77.0</v>
      </c>
      <c r="M286" s="482"/>
      <c r="N286" s="482"/>
      <c r="O286" s="466"/>
      <c r="P286" s="357"/>
      <c r="Q286" s="357"/>
      <c r="R286" s="357"/>
      <c r="S286" s="357"/>
      <c r="T286" s="357"/>
      <c r="U286" s="357"/>
      <c r="V286" s="357"/>
      <c r="W286" s="357"/>
      <c r="X286" s="357"/>
      <c r="Y286" s="357"/>
      <c r="Z286" s="357"/>
    </row>
    <row r="287" ht="15.75" customHeight="1">
      <c r="A287" s="466" t="s">
        <v>7391</v>
      </c>
      <c r="B287" s="466">
        <v>2024.0</v>
      </c>
      <c r="C287" s="466">
        <f t="shared" si="4"/>
        <v>7</v>
      </c>
      <c r="D287" s="500">
        <v>45483.0</v>
      </c>
      <c r="E287" s="482" t="s">
        <v>7780</v>
      </c>
      <c r="F287" s="482" t="s">
        <v>7781</v>
      </c>
      <c r="G287" s="466" t="s">
        <v>7106</v>
      </c>
      <c r="H287" s="482" t="s">
        <v>7643</v>
      </c>
      <c r="I287" s="482">
        <v>1.0</v>
      </c>
      <c r="J287" s="486"/>
      <c r="K287" s="482" t="s">
        <v>7393</v>
      </c>
      <c r="L287" s="487">
        <v>95.0</v>
      </c>
      <c r="M287" s="482"/>
      <c r="N287" s="482"/>
      <c r="O287" s="466"/>
      <c r="P287" s="357"/>
      <c r="Q287" s="357"/>
      <c r="R287" s="357"/>
      <c r="S287" s="357"/>
      <c r="T287" s="357"/>
      <c r="U287" s="357"/>
      <c r="V287" s="357"/>
      <c r="W287" s="357"/>
      <c r="X287" s="357"/>
      <c r="Y287" s="357"/>
      <c r="Z287" s="357"/>
    </row>
    <row r="288" ht="15.75" customHeight="1">
      <c r="A288" s="466" t="s">
        <v>7391</v>
      </c>
      <c r="B288" s="466">
        <v>2024.0</v>
      </c>
      <c r="C288" s="466">
        <f t="shared" si="4"/>
        <v>7</v>
      </c>
      <c r="D288" s="500">
        <v>45483.0</v>
      </c>
      <c r="E288" s="482" t="s">
        <v>7554</v>
      </c>
      <c r="F288" s="482" t="s">
        <v>7782</v>
      </c>
      <c r="G288" s="466" t="s">
        <v>7106</v>
      </c>
      <c r="H288" s="482" t="s">
        <v>7643</v>
      </c>
      <c r="I288" s="482">
        <v>1.0</v>
      </c>
      <c r="J288" s="486"/>
      <c r="K288" s="482" t="s">
        <v>7393</v>
      </c>
      <c r="L288" s="487">
        <v>80.0</v>
      </c>
      <c r="M288" s="482"/>
      <c r="N288" s="482"/>
      <c r="O288" s="466"/>
      <c r="P288" s="357"/>
      <c r="Q288" s="357"/>
      <c r="R288" s="357"/>
      <c r="S288" s="357"/>
      <c r="T288" s="357"/>
      <c r="U288" s="357"/>
      <c r="V288" s="357"/>
      <c r="W288" s="357"/>
      <c r="X288" s="357"/>
      <c r="Y288" s="357"/>
      <c r="Z288" s="357"/>
    </row>
    <row r="289" ht="15.75" customHeight="1">
      <c r="A289" s="466" t="s">
        <v>7391</v>
      </c>
      <c r="B289" s="466">
        <v>2024.0</v>
      </c>
      <c r="C289" s="466">
        <f t="shared" si="4"/>
        <v>7</v>
      </c>
      <c r="D289" s="500">
        <v>45484.0</v>
      </c>
      <c r="E289" s="482" t="s">
        <v>2623</v>
      </c>
      <c r="F289" s="482" t="s">
        <v>7783</v>
      </c>
      <c r="G289" s="466" t="s">
        <v>7106</v>
      </c>
      <c r="H289" s="482" t="s">
        <v>7643</v>
      </c>
      <c r="I289" s="482">
        <v>1.0</v>
      </c>
      <c r="J289" s="486"/>
      <c r="K289" s="482" t="s">
        <v>7393</v>
      </c>
      <c r="L289" s="487">
        <v>85.0</v>
      </c>
      <c r="M289" s="482"/>
      <c r="N289" s="482"/>
      <c r="O289" s="466"/>
      <c r="P289" s="357"/>
      <c r="Q289" s="357"/>
      <c r="R289" s="357"/>
      <c r="S289" s="357"/>
      <c r="T289" s="357"/>
      <c r="U289" s="357"/>
      <c r="V289" s="357"/>
      <c r="W289" s="357"/>
      <c r="X289" s="357"/>
      <c r="Y289" s="357"/>
      <c r="Z289" s="357"/>
    </row>
    <row r="290" ht="15.75" customHeight="1">
      <c r="A290" s="466" t="s">
        <v>7391</v>
      </c>
      <c r="B290" s="466">
        <v>2024.0</v>
      </c>
      <c r="C290" s="466">
        <f t="shared" si="4"/>
        <v>7</v>
      </c>
      <c r="D290" s="500">
        <v>45484.0</v>
      </c>
      <c r="E290" s="482" t="s">
        <v>7784</v>
      </c>
      <c r="F290" s="482" t="s">
        <v>7785</v>
      </c>
      <c r="G290" s="466" t="s">
        <v>7106</v>
      </c>
      <c r="H290" s="482" t="s">
        <v>7643</v>
      </c>
      <c r="I290" s="482">
        <v>1.0</v>
      </c>
      <c r="J290" s="486"/>
      <c r="K290" s="482" t="s">
        <v>7393</v>
      </c>
      <c r="L290" s="487">
        <v>95.0</v>
      </c>
      <c r="M290" s="482"/>
      <c r="N290" s="482"/>
      <c r="O290" s="466"/>
      <c r="P290" s="357"/>
      <c r="Q290" s="357"/>
      <c r="R290" s="357"/>
      <c r="S290" s="357"/>
      <c r="T290" s="357"/>
      <c r="U290" s="357"/>
      <c r="V290" s="357"/>
      <c r="W290" s="357"/>
      <c r="X290" s="357"/>
      <c r="Y290" s="357"/>
      <c r="Z290" s="357"/>
    </row>
    <row r="291" ht="15.75" customHeight="1">
      <c r="A291" s="466" t="s">
        <v>7391</v>
      </c>
      <c r="B291" s="466">
        <v>2024.0</v>
      </c>
      <c r="C291" s="466">
        <f t="shared" si="4"/>
        <v>7</v>
      </c>
      <c r="D291" s="500">
        <v>45484.0</v>
      </c>
      <c r="E291" s="482" t="s">
        <v>7396</v>
      </c>
      <c r="F291" s="482" t="s">
        <v>7786</v>
      </c>
      <c r="G291" s="466" t="s">
        <v>7106</v>
      </c>
      <c r="H291" s="482" t="s">
        <v>7643</v>
      </c>
      <c r="I291" s="482">
        <v>1.0</v>
      </c>
      <c r="J291" s="486"/>
      <c r="K291" s="482" t="s">
        <v>7393</v>
      </c>
      <c r="L291" s="487">
        <v>90.0</v>
      </c>
      <c r="M291" s="482"/>
      <c r="N291" s="482"/>
      <c r="O291" s="466"/>
      <c r="P291" s="357"/>
      <c r="Q291" s="357"/>
      <c r="R291" s="357"/>
      <c r="S291" s="357"/>
      <c r="T291" s="357"/>
      <c r="U291" s="357"/>
      <c r="V291" s="357"/>
      <c r="W291" s="357"/>
      <c r="X291" s="357"/>
      <c r="Y291" s="357"/>
      <c r="Z291" s="357"/>
    </row>
    <row r="292" ht="15.75" customHeight="1">
      <c r="A292" s="466" t="s">
        <v>7391</v>
      </c>
      <c r="B292" s="466">
        <v>2024.0</v>
      </c>
      <c r="C292" s="466">
        <f t="shared" si="4"/>
        <v>7</v>
      </c>
      <c r="D292" s="500">
        <v>45484.0</v>
      </c>
      <c r="E292" s="482" t="s">
        <v>7381</v>
      </c>
      <c r="F292" s="482" t="s">
        <v>7787</v>
      </c>
      <c r="G292" s="466" t="s">
        <v>7106</v>
      </c>
      <c r="H292" s="482" t="s">
        <v>7643</v>
      </c>
      <c r="I292" s="482">
        <v>1.0</v>
      </c>
      <c r="J292" s="486"/>
      <c r="K292" s="482" t="s">
        <v>7393</v>
      </c>
      <c r="L292" s="487">
        <v>85.0</v>
      </c>
      <c r="M292" s="482"/>
      <c r="N292" s="482"/>
      <c r="O292" s="466"/>
      <c r="P292" s="357"/>
      <c r="Q292" s="357"/>
      <c r="R292" s="357"/>
      <c r="S292" s="357"/>
      <c r="T292" s="357"/>
      <c r="U292" s="357"/>
      <c r="V292" s="357"/>
      <c r="W292" s="357"/>
      <c r="X292" s="357"/>
      <c r="Y292" s="357"/>
      <c r="Z292" s="357"/>
    </row>
    <row r="293" ht="15.75" customHeight="1">
      <c r="A293" s="466" t="s">
        <v>7391</v>
      </c>
      <c r="B293" s="466">
        <v>2024.0</v>
      </c>
      <c r="C293" s="466">
        <f t="shared" si="4"/>
        <v>7</v>
      </c>
      <c r="D293" s="500">
        <v>45485.0</v>
      </c>
      <c r="E293" s="482" t="s">
        <v>2193</v>
      </c>
      <c r="F293" s="482" t="s">
        <v>7624</v>
      </c>
      <c r="G293" s="466" t="s">
        <v>7106</v>
      </c>
      <c r="H293" s="482" t="s">
        <v>7643</v>
      </c>
      <c r="I293" s="482">
        <v>1.0</v>
      </c>
      <c r="J293" s="486"/>
      <c r="K293" s="482" t="s">
        <v>7393</v>
      </c>
      <c r="L293" s="487">
        <v>85.0</v>
      </c>
      <c r="M293" s="482"/>
      <c r="N293" s="482"/>
      <c r="O293" s="466"/>
      <c r="P293" s="357"/>
      <c r="Q293" s="357"/>
      <c r="R293" s="357"/>
      <c r="S293" s="357"/>
      <c r="T293" s="357"/>
      <c r="U293" s="357"/>
      <c r="V293" s="357"/>
      <c r="W293" s="357"/>
      <c r="X293" s="357"/>
      <c r="Y293" s="357"/>
      <c r="Z293" s="357"/>
    </row>
    <row r="294" ht="15.75" customHeight="1">
      <c r="A294" s="466" t="s">
        <v>7391</v>
      </c>
      <c r="B294" s="466">
        <v>2024.0</v>
      </c>
      <c r="C294" s="466">
        <f t="shared" si="4"/>
        <v>7</v>
      </c>
      <c r="D294" s="500">
        <v>45485.0</v>
      </c>
      <c r="E294" s="482" t="s">
        <v>2623</v>
      </c>
      <c r="F294" s="482" t="s">
        <v>7788</v>
      </c>
      <c r="G294" s="466" t="s">
        <v>7106</v>
      </c>
      <c r="H294" s="482" t="s">
        <v>7643</v>
      </c>
      <c r="I294" s="482">
        <v>1.0</v>
      </c>
      <c r="J294" s="486"/>
      <c r="K294" s="482" t="s">
        <v>7393</v>
      </c>
      <c r="L294" s="487">
        <v>95.0</v>
      </c>
      <c r="M294" s="482"/>
      <c r="N294" s="482"/>
      <c r="O294" s="466"/>
      <c r="P294" s="357"/>
      <c r="Q294" s="357"/>
      <c r="R294" s="357"/>
      <c r="S294" s="357"/>
      <c r="T294" s="357"/>
      <c r="U294" s="357"/>
      <c r="V294" s="357"/>
      <c r="W294" s="357"/>
      <c r="X294" s="357"/>
      <c r="Y294" s="357"/>
      <c r="Z294" s="357"/>
    </row>
    <row r="295" ht="15.75" customHeight="1">
      <c r="A295" s="466" t="s">
        <v>7391</v>
      </c>
      <c r="B295" s="466">
        <v>2024.0</v>
      </c>
      <c r="C295" s="466">
        <f t="shared" si="4"/>
        <v>7</v>
      </c>
      <c r="D295" s="500">
        <v>45485.0</v>
      </c>
      <c r="E295" s="482" t="s">
        <v>2193</v>
      </c>
      <c r="F295" s="482" t="s">
        <v>7789</v>
      </c>
      <c r="G295" s="466" t="s">
        <v>7075</v>
      </c>
      <c r="H295" s="482" t="s">
        <v>7675</v>
      </c>
      <c r="I295" s="482">
        <v>1.0</v>
      </c>
      <c r="J295" s="486"/>
      <c r="K295" s="482" t="s">
        <v>7393</v>
      </c>
      <c r="L295" s="487">
        <v>105.0</v>
      </c>
      <c r="M295" s="482"/>
      <c r="N295" s="482"/>
      <c r="O295" s="466"/>
      <c r="P295" s="357"/>
      <c r="Q295" s="357"/>
      <c r="R295" s="357"/>
      <c r="S295" s="357"/>
      <c r="T295" s="357"/>
      <c r="U295" s="357"/>
      <c r="V295" s="357"/>
      <c r="W295" s="357"/>
      <c r="X295" s="357"/>
      <c r="Y295" s="357"/>
      <c r="Z295" s="357"/>
    </row>
    <row r="296" ht="15.75" customHeight="1">
      <c r="A296" s="466" t="s">
        <v>7391</v>
      </c>
      <c r="B296" s="466">
        <v>2024.0</v>
      </c>
      <c r="C296" s="466">
        <f t="shared" si="4"/>
        <v>7</v>
      </c>
      <c r="D296" s="500">
        <v>45486.0</v>
      </c>
      <c r="E296" s="482" t="s">
        <v>7790</v>
      </c>
      <c r="F296" s="482" t="s">
        <v>7791</v>
      </c>
      <c r="G296" s="466" t="s">
        <v>7100</v>
      </c>
      <c r="H296" s="482" t="s">
        <v>204</v>
      </c>
      <c r="I296" s="482">
        <v>1.0</v>
      </c>
      <c r="J296" s="486"/>
      <c r="K296" s="482" t="s">
        <v>7393</v>
      </c>
      <c r="L296" s="487">
        <v>175.0</v>
      </c>
      <c r="M296" s="482"/>
      <c r="N296" s="482"/>
      <c r="O296" s="466"/>
      <c r="P296" s="357"/>
      <c r="Q296" s="357"/>
      <c r="R296" s="357"/>
      <c r="S296" s="357"/>
      <c r="T296" s="357"/>
      <c r="U296" s="357"/>
      <c r="V296" s="357"/>
      <c r="W296" s="357"/>
      <c r="X296" s="357"/>
      <c r="Y296" s="357"/>
      <c r="Z296" s="357"/>
    </row>
    <row r="297" ht="15.75" customHeight="1">
      <c r="A297" s="466" t="s">
        <v>7391</v>
      </c>
      <c r="B297" s="466">
        <v>2024.0</v>
      </c>
      <c r="C297" s="466">
        <f t="shared" si="4"/>
        <v>7</v>
      </c>
      <c r="D297" s="500">
        <v>45489.0</v>
      </c>
      <c r="E297" s="482" t="s">
        <v>2193</v>
      </c>
      <c r="F297" s="482" t="s">
        <v>7792</v>
      </c>
      <c r="G297" s="466" t="s">
        <v>7100</v>
      </c>
      <c r="H297" s="482" t="s">
        <v>204</v>
      </c>
      <c r="I297" s="482">
        <v>1.0</v>
      </c>
      <c r="J297" s="486"/>
      <c r="K297" s="482" t="s">
        <v>7393</v>
      </c>
      <c r="L297" s="487">
        <v>175.0</v>
      </c>
      <c r="M297" s="482"/>
      <c r="N297" s="482"/>
      <c r="O297" s="466"/>
      <c r="P297" s="357"/>
      <c r="Q297" s="357"/>
      <c r="R297" s="357"/>
      <c r="S297" s="357"/>
      <c r="T297" s="357"/>
      <c r="U297" s="357"/>
      <c r="V297" s="357"/>
      <c r="W297" s="357"/>
      <c r="X297" s="357"/>
      <c r="Y297" s="357"/>
      <c r="Z297" s="357"/>
    </row>
    <row r="298" ht="15.75" customHeight="1">
      <c r="A298" s="466" t="s">
        <v>7391</v>
      </c>
      <c r="B298" s="466">
        <v>2024.0</v>
      </c>
      <c r="C298" s="466">
        <f t="shared" si="4"/>
        <v>7</v>
      </c>
      <c r="D298" s="500">
        <v>45489.0</v>
      </c>
      <c r="E298" s="482" t="s">
        <v>7760</v>
      </c>
      <c r="F298" s="482" t="s">
        <v>7736</v>
      </c>
      <c r="G298" s="466" t="s">
        <v>7075</v>
      </c>
      <c r="H298" s="482" t="s">
        <v>7793</v>
      </c>
      <c r="I298" s="482">
        <v>1.0</v>
      </c>
      <c r="J298" s="486"/>
      <c r="K298" s="482" t="s">
        <v>7393</v>
      </c>
      <c r="L298" s="487">
        <v>93.0</v>
      </c>
      <c r="M298" s="482"/>
      <c r="N298" s="482"/>
      <c r="O298" s="466"/>
      <c r="P298" s="357"/>
      <c r="Q298" s="357"/>
      <c r="R298" s="357"/>
      <c r="S298" s="357"/>
      <c r="T298" s="357"/>
      <c r="U298" s="357"/>
      <c r="V298" s="357"/>
      <c r="W298" s="357"/>
      <c r="X298" s="357"/>
      <c r="Y298" s="357"/>
      <c r="Z298" s="357"/>
    </row>
    <row r="299" ht="15.75" customHeight="1">
      <c r="A299" s="466" t="s">
        <v>7391</v>
      </c>
      <c r="B299" s="466">
        <v>2024.0</v>
      </c>
      <c r="C299" s="466">
        <f t="shared" si="4"/>
        <v>7</v>
      </c>
      <c r="D299" s="500">
        <v>45489.0</v>
      </c>
      <c r="E299" s="482" t="s">
        <v>2572</v>
      </c>
      <c r="F299" s="482" t="s">
        <v>7794</v>
      </c>
      <c r="G299" s="466" t="s">
        <v>7100</v>
      </c>
      <c r="H299" s="482" t="s">
        <v>204</v>
      </c>
      <c r="I299" s="482">
        <v>1.0</v>
      </c>
      <c r="J299" s="486"/>
      <c r="K299" s="482" t="s">
        <v>7393</v>
      </c>
      <c r="L299" s="487">
        <v>141.0</v>
      </c>
      <c r="M299" s="482"/>
      <c r="N299" s="482"/>
      <c r="O299" s="466"/>
      <c r="P299" s="357"/>
      <c r="Q299" s="357"/>
      <c r="R299" s="357"/>
      <c r="S299" s="357"/>
      <c r="T299" s="357"/>
      <c r="U299" s="357"/>
      <c r="V299" s="357"/>
      <c r="W299" s="357"/>
      <c r="X299" s="357"/>
      <c r="Y299" s="357"/>
      <c r="Z299" s="357"/>
    </row>
    <row r="300" ht="15.75" customHeight="1">
      <c r="A300" s="466" t="s">
        <v>7391</v>
      </c>
      <c r="B300" s="466">
        <v>2024.0</v>
      </c>
      <c r="C300" s="466">
        <f t="shared" si="4"/>
        <v>7</v>
      </c>
      <c r="D300" s="500">
        <v>45489.0</v>
      </c>
      <c r="E300" s="482" t="s">
        <v>2665</v>
      </c>
      <c r="F300" s="482" t="s">
        <v>7795</v>
      </c>
      <c r="G300" s="466" t="s">
        <v>7075</v>
      </c>
      <c r="H300" s="482" t="s">
        <v>7733</v>
      </c>
      <c r="I300" s="482">
        <v>1.0</v>
      </c>
      <c r="J300" s="486"/>
      <c r="K300" s="482" t="s">
        <v>7393</v>
      </c>
      <c r="L300" s="487">
        <v>85.0</v>
      </c>
      <c r="M300" s="482"/>
      <c r="N300" s="482"/>
      <c r="O300" s="466"/>
      <c r="P300" s="357"/>
      <c r="Q300" s="357"/>
      <c r="R300" s="357"/>
      <c r="S300" s="357"/>
      <c r="T300" s="357"/>
      <c r="U300" s="357"/>
      <c r="V300" s="357"/>
      <c r="W300" s="357"/>
      <c r="X300" s="357"/>
      <c r="Y300" s="357"/>
      <c r="Z300" s="357"/>
    </row>
    <row r="301" ht="15.75" customHeight="1">
      <c r="A301" s="466" t="s">
        <v>7391</v>
      </c>
      <c r="B301" s="466">
        <v>2024.0</v>
      </c>
      <c r="C301" s="466">
        <f t="shared" si="4"/>
        <v>7</v>
      </c>
      <c r="D301" s="500">
        <v>45489.0</v>
      </c>
      <c r="E301" s="482" t="s">
        <v>2547</v>
      </c>
      <c r="F301" s="482" t="s">
        <v>7796</v>
      </c>
      <c r="G301" s="466" t="s">
        <v>7100</v>
      </c>
      <c r="H301" s="482" t="s">
        <v>204</v>
      </c>
      <c r="I301" s="482">
        <v>1.0</v>
      </c>
      <c r="J301" s="486"/>
      <c r="K301" s="482" t="s">
        <v>7393</v>
      </c>
      <c r="L301" s="487">
        <v>141.0</v>
      </c>
      <c r="M301" s="482"/>
      <c r="N301" s="482"/>
      <c r="O301" s="466"/>
      <c r="P301" s="357"/>
      <c r="Q301" s="357"/>
      <c r="R301" s="357"/>
      <c r="S301" s="357"/>
      <c r="T301" s="357"/>
      <c r="U301" s="357"/>
      <c r="V301" s="357"/>
      <c r="W301" s="357"/>
      <c r="X301" s="357"/>
      <c r="Y301" s="357"/>
      <c r="Z301" s="357"/>
    </row>
    <row r="302" ht="15.75" customHeight="1">
      <c r="A302" s="466" t="s">
        <v>7391</v>
      </c>
      <c r="B302" s="466">
        <v>2024.0</v>
      </c>
      <c r="C302" s="466">
        <f t="shared" si="4"/>
        <v>7</v>
      </c>
      <c r="D302" s="500">
        <v>45489.0</v>
      </c>
      <c r="E302" s="482" t="s">
        <v>7637</v>
      </c>
      <c r="F302" s="482" t="s">
        <v>7797</v>
      </c>
      <c r="G302" s="466" t="s">
        <v>7106</v>
      </c>
      <c r="H302" s="482" t="s">
        <v>7753</v>
      </c>
      <c r="I302" s="482">
        <v>1.0</v>
      </c>
      <c r="J302" s="486"/>
      <c r="K302" s="482" t="s">
        <v>7393</v>
      </c>
      <c r="L302" s="487">
        <v>73.0</v>
      </c>
      <c r="M302" s="482"/>
      <c r="N302" s="482"/>
      <c r="O302" s="466"/>
      <c r="P302" s="357"/>
      <c r="Q302" s="357"/>
      <c r="R302" s="357"/>
      <c r="S302" s="357"/>
      <c r="T302" s="357"/>
      <c r="U302" s="357"/>
      <c r="V302" s="357"/>
      <c r="W302" s="357"/>
      <c r="X302" s="357"/>
      <c r="Y302" s="357"/>
      <c r="Z302" s="357"/>
    </row>
    <row r="303" ht="15.75" customHeight="1">
      <c r="A303" s="466" t="s">
        <v>7391</v>
      </c>
      <c r="B303" s="466">
        <v>2024.0</v>
      </c>
      <c r="C303" s="466">
        <f t="shared" si="4"/>
        <v>7</v>
      </c>
      <c r="D303" s="500">
        <v>45490.0</v>
      </c>
      <c r="E303" s="482" t="s">
        <v>2594</v>
      </c>
      <c r="F303" s="482" t="s">
        <v>7798</v>
      </c>
      <c r="G303" s="466" t="s">
        <v>7100</v>
      </c>
      <c r="H303" s="482" t="s">
        <v>6906</v>
      </c>
      <c r="I303" s="482">
        <v>1.0</v>
      </c>
      <c r="J303" s="486"/>
      <c r="K303" s="482" t="s">
        <v>7393</v>
      </c>
      <c r="L303" s="487">
        <v>141.0</v>
      </c>
      <c r="M303" s="482"/>
      <c r="N303" s="482"/>
      <c r="O303" s="466"/>
      <c r="P303" s="357"/>
      <c r="Q303" s="357"/>
      <c r="R303" s="357"/>
      <c r="S303" s="357"/>
      <c r="T303" s="357"/>
      <c r="U303" s="357"/>
      <c r="V303" s="357"/>
      <c r="W303" s="357"/>
      <c r="X303" s="357"/>
      <c r="Y303" s="357"/>
      <c r="Z303" s="357"/>
    </row>
    <row r="304" ht="15.75" customHeight="1">
      <c r="A304" s="466" t="s">
        <v>7391</v>
      </c>
      <c r="B304" s="466">
        <v>2024.0</v>
      </c>
      <c r="C304" s="466">
        <f t="shared" si="4"/>
        <v>7</v>
      </c>
      <c r="D304" s="500">
        <v>45490.0</v>
      </c>
      <c r="E304" s="482" t="s">
        <v>2193</v>
      </c>
      <c r="F304" s="482" t="s">
        <v>7799</v>
      </c>
      <c r="G304" s="466" t="s">
        <v>7100</v>
      </c>
      <c r="H304" s="482" t="s">
        <v>204</v>
      </c>
      <c r="I304" s="482">
        <v>1.0</v>
      </c>
      <c r="J304" s="486"/>
      <c r="K304" s="482" t="s">
        <v>7393</v>
      </c>
      <c r="L304" s="487">
        <v>175.0</v>
      </c>
      <c r="M304" s="482"/>
      <c r="N304" s="482"/>
      <c r="O304" s="466"/>
      <c r="P304" s="357"/>
      <c r="Q304" s="357"/>
      <c r="R304" s="357"/>
      <c r="S304" s="357"/>
      <c r="T304" s="357"/>
      <c r="U304" s="357"/>
      <c r="V304" s="357"/>
      <c r="W304" s="357"/>
      <c r="X304" s="357"/>
      <c r="Y304" s="357"/>
      <c r="Z304" s="357"/>
    </row>
    <row r="305" ht="15.75" customHeight="1">
      <c r="A305" s="466" t="s">
        <v>7391</v>
      </c>
      <c r="B305" s="466">
        <v>2024.0</v>
      </c>
      <c r="C305" s="466">
        <f t="shared" si="4"/>
        <v>7</v>
      </c>
      <c r="D305" s="500">
        <v>45490.0</v>
      </c>
      <c r="E305" s="482" t="s">
        <v>7396</v>
      </c>
      <c r="F305" s="482" t="s">
        <v>7800</v>
      </c>
      <c r="G305" s="466" t="s">
        <v>7100</v>
      </c>
      <c r="H305" s="482" t="s">
        <v>204</v>
      </c>
      <c r="I305" s="482">
        <v>1.0</v>
      </c>
      <c r="J305" s="486"/>
      <c r="K305" s="482" t="s">
        <v>7393</v>
      </c>
      <c r="L305" s="487">
        <v>141.0</v>
      </c>
      <c r="M305" s="482"/>
      <c r="N305" s="482"/>
      <c r="O305" s="466"/>
      <c r="P305" s="357"/>
      <c r="Q305" s="357"/>
      <c r="R305" s="357"/>
      <c r="S305" s="357"/>
      <c r="T305" s="357"/>
      <c r="U305" s="357"/>
      <c r="V305" s="357"/>
      <c r="W305" s="357"/>
      <c r="X305" s="357"/>
      <c r="Y305" s="357"/>
      <c r="Z305" s="357"/>
    </row>
    <row r="306" ht="15.75" customHeight="1">
      <c r="A306" s="466" t="s">
        <v>7391</v>
      </c>
      <c r="B306" s="466">
        <v>2024.0</v>
      </c>
      <c r="C306" s="466">
        <f t="shared" si="4"/>
        <v>7</v>
      </c>
      <c r="D306" s="500">
        <v>45490.0</v>
      </c>
      <c r="E306" s="482" t="s">
        <v>7687</v>
      </c>
      <c r="F306" s="482" t="s">
        <v>7688</v>
      </c>
      <c r="G306" s="466" t="s">
        <v>7075</v>
      </c>
      <c r="H306" s="482" t="s">
        <v>7801</v>
      </c>
      <c r="I306" s="482">
        <v>1.0</v>
      </c>
      <c r="J306" s="486"/>
      <c r="K306" s="482" t="s">
        <v>7393</v>
      </c>
      <c r="L306" s="487">
        <v>85.0</v>
      </c>
      <c r="M306" s="482"/>
      <c r="N306" s="482"/>
      <c r="O306" s="466"/>
      <c r="P306" s="357"/>
      <c r="Q306" s="357"/>
      <c r="R306" s="357"/>
      <c r="S306" s="357"/>
      <c r="T306" s="357"/>
      <c r="U306" s="357"/>
      <c r="V306" s="357"/>
      <c r="W306" s="357"/>
      <c r="X306" s="357"/>
      <c r="Y306" s="357"/>
      <c r="Z306" s="357"/>
    </row>
    <row r="307" ht="15.75" customHeight="1">
      <c r="A307" s="466" t="s">
        <v>7391</v>
      </c>
      <c r="B307" s="466">
        <v>2024.0</v>
      </c>
      <c r="C307" s="466">
        <f t="shared" si="4"/>
        <v>7</v>
      </c>
      <c r="D307" s="500">
        <v>45490.0</v>
      </c>
      <c r="E307" s="482" t="s">
        <v>2586</v>
      </c>
      <c r="F307" s="482" t="s">
        <v>7802</v>
      </c>
      <c r="G307" s="466" t="s">
        <v>7100</v>
      </c>
      <c r="H307" s="482" t="s">
        <v>6828</v>
      </c>
      <c r="I307" s="482">
        <v>1.0</v>
      </c>
      <c r="J307" s="486"/>
      <c r="K307" s="482" t="s">
        <v>7393</v>
      </c>
      <c r="L307" s="487">
        <v>141.0</v>
      </c>
      <c r="M307" s="482"/>
      <c r="N307" s="482"/>
      <c r="O307" s="466"/>
      <c r="P307" s="357"/>
      <c r="Q307" s="357"/>
      <c r="R307" s="357"/>
      <c r="S307" s="357"/>
      <c r="T307" s="357"/>
      <c r="U307" s="357"/>
      <c r="V307" s="357"/>
      <c r="W307" s="357"/>
      <c r="X307" s="357"/>
      <c r="Y307" s="357"/>
      <c r="Z307" s="357"/>
    </row>
    <row r="308" ht="15.75" customHeight="1">
      <c r="A308" s="466" t="s">
        <v>7391</v>
      </c>
      <c r="B308" s="466">
        <v>2024.0</v>
      </c>
      <c r="C308" s="466">
        <f t="shared" si="4"/>
        <v>7</v>
      </c>
      <c r="D308" s="500">
        <v>45490.0</v>
      </c>
      <c r="E308" s="482" t="s">
        <v>7803</v>
      </c>
      <c r="F308" s="482" t="s">
        <v>7804</v>
      </c>
      <c r="G308" s="466" t="s">
        <v>7100</v>
      </c>
      <c r="H308" s="482" t="s">
        <v>204</v>
      </c>
      <c r="I308" s="482">
        <v>1.0</v>
      </c>
      <c r="J308" s="486"/>
      <c r="K308" s="482" t="s">
        <v>7393</v>
      </c>
      <c r="L308" s="487">
        <v>141.0</v>
      </c>
      <c r="M308" s="482"/>
      <c r="N308" s="482"/>
      <c r="O308" s="466"/>
      <c r="P308" s="357"/>
      <c r="Q308" s="357"/>
      <c r="R308" s="357"/>
      <c r="S308" s="357"/>
      <c r="T308" s="357"/>
      <c r="U308" s="357"/>
      <c r="V308" s="357"/>
      <c r="W308" s="357"/>
      <c r="X308" s="357"/>
      <c r="Y308" s="357"/>
      <c r="Z308" s="357"/>
    </row>
    <row r="309" ht="15.75" customHeight="1">
      <c r="A309" s="466" t="s">
        <v>7391</v>
      </c>
      <c r="B309" s="466">
        <v>2024.0</v>
      </c>
      <c r="C309" s="466">
        <f t="shared" si="4"/>
        <v>7</v>
      </c>
      <c r="D309" s="500">
        <v>45490.0</v>
      </c>
      <c r="E309" s="482" t="s">
        <v>7805</v>
      </c>
      <c r="F309" s="482" t="s">
        <v>7806</v>
      </c>
      <c r="G309" s="466" t="s">
        <v>7075</v>
      </c>
      <c r="H309" s="482" t="s">
        <v>7733</v>
      </c>
      <c r="I309" s="482">
        <v>1.0</v>
      </c>
      <c r="J309" s="486"/>
      <c r="K309" s="482" t="s">
        <v>7393</v>
      </c>
      <c r="L309" s="487">
        <v>85.0</v>
      </c>
      <c r="M309" s="482"/>
      <c r="N309" s="482"/>
      <c r="O309" s="466"/>
      <c r="P309" s="357"/>
      <c r="Q309" s="357"/>
      <c r="R309" s="357"/>
      <c r="S309" s="357"/>
      <c r="T309" s="357"/>
      <c r="U309" s="357"/>
      <c r="V309" s="357"/>
      <c r="W309" s="357"/>
      <c r="X309" s="357"/>
      <c r="Y309" s="357"/>
      <c r="Z309" s="357"/>
    </row>
    <row r="310" ht="15.75" customHeight="1">
      <c r="A310" s="466" t="s">
        <v>7391</v>
      </c>
      <c r="B310" s="466">
        <v>2024.0</v>
      </c>
      <c r="C310" s="466">
        <f t="shared" si="4"/>
        <v>7</v>
      </c>
      <c r="D310" s="500">
        <v>45491.0</v>
      </c>
      <c r="E310" s="482" t="s">
        <v>2193</v>
      </c>
      <c r="F310" s="482" t="s">
        <v>7807</v>
      </c>
      <c r="G310" s="466" t="s">
        <v>7075</v>
      </c>
      <c r="H310" s="482"/>
      <c r="I310" s="482">
        <v>1.0</v>
      </c>
      <c r="J310" s="486"/>
      <c r="K310" s="482" t="s">
        <v>7393</v>
      </c>
      <c r="L310" s="487">
        <v>115.0</v>
      </c>
      <c r="M310" s="482"/>
      <c r="N310" s="482"/>
      <c r="O310" s="466"/>
      <c r="P310" s="357"/>
      <c r="Q310" s="357"/>
      <c r="R310" s="357"/>
      <c r="S310" s="357"/>
      <c r="T310" s="357"/>
      <c r="U310" s="357"/>
      <c r="V310" s="357"/>
      <c r="W310" s="357"/>
      <c r="X310" s="357"/>
      <c r="Y310" s="357"/>
      <c r="Z310" s="357"/>
    </row>
    <row r="311" ht="15.75" customHeight="1">
      <c r="A311" s="466" t="s">
        <v>7391</v>
      </c>
      <c r="B311" s="466">
        <v>2024.0</v>
      </c>
      <c r="C311" s="466">
        <f t="shared" si="4"/>
        <v>7</v>
      </c>
      <c r="D311" s="500">
        <v>45491.0</v>
      </c>
      <c r="E311" s="482" t="s">
        <v>7434</v>
      </c>
      <c r="F311" s="482" t="s">
        <v>7808</v>
      </c>
      <c r="G311" s="466" t="s">
        <v>7075</v>
      </c>
      <c r="H311" s="482"/>
      <c r="I311" s="482">
        <v>1.0</v>
      </c>
      <c r="J311" s="486"/>
      <c r="K311" s="482" t="s">
        <v>7393</v>
      </c>
      <c r="L311" s="487">
        <v>110.0</v>
      </c>
      <c r="M311" s="482"/>
      <c r="N311" s="482"/>
      <c r="O311" s="466"/>
      <c r="P311" s="357"/>
      <c r="Q311" s="357"/>
      <c r="R311" s="357"/>
      <c r="S311" s="357"/>
      <c r="T311" s="357"/>
      <c r="U311" s="357"/>
      <c r="V311" s="357"/>
      <c r="W311" s="357"/>
      <c r="X311" s="357"/>
      <c r="Y311" s="357"/>
      <c r="Z311" s="357"/>
    </row>
    <row r="312" ht="15.75" customHeight="1">
      <c r="A312" s="466" t="s">
        <v>7391</v>
      </c>
      <c r="B312" s="466">
        <v>2024.0</v>
      </c>
      <c r="C312" s="466">
        <f t="shared" si="4"/>
        <v>7</v>
      </c>
      <c r="D312" s="500">
        <v>45495.0</v>
      </c>
      <c r="E312" s="482" t="s">
        <v>7809</v>
      </c>
      <c r="F312" s="482" t="s">
        <v>7810</v>
      </c>
      <c r="G312" s="466" t="s">
        <v>7075</v>
      </c>
      <c r="H312" s="482" t="s">
        <v>7733</v>
      </c>
      <c r="I312" s="482">
        <v>1.0</v>
      </c>
      <c r="J312" s="486"/>
      <c r="K312" s="482" t="s">
        <v>7393</v>
      </c>
      <c r="L312" s="487">
        <v>80.0</v>
      </c>
      <c r="M312" s="482"/>
      <c r="N312" s="482"/>
      <c r="O312" s="466"/>
      <c r="P312" s="357"/>
      <c r="Q312" s="357"/>
      <c r="R312" s="357"/>
      <c r="S312" s="357"/>
      <c r="T312" s="357"/>
      <c r="U312" s="357"/>
      <c r="V312" s="357"/>
      <c r="W312" s="357"/>
      <c r="X312" s="357"/>
      <c r="Y312" s="357"/>
      <c r="Z312" s="357"/>
    </row>
    <row r="313" ht="15.75" customHeight="1">
      <c r="A313" s="466" t="s">
        <v>7391</v>
      </c>
      <c r="B313" s="466">
        <v>2024.0</v>
      </c>
      <c r="C313" s="466">
        <f t="shared" si="4"/>
        <v>7</v>
      </c>
      <c r="D313" s="500">
        <v>45496.0</v>
      </c>
      <c r="E313" s="482" t="s">
        <v>2607</v>
      </c>
      <c r="F313" s="482" t="s">
        <v>7811</v>
      </c>
      <c r="G313" s="466" t="s">
        <v>7075</v>
      </c>
      <c r="H313" s="482" t="s">
        <v>7812</v>
      </c>
      <c r="I313" s="482">
        <v>1.0</v>
      </c>
      <c r="J313" s="486"/>
      <c r="K313" s="482" t="s">
        <v>7393</v>
      </c>
      <c r="L313" s="487">
        <v>85.0</v>
      </c>
      <c r="M313" s="482"/>
      <c r="N313" s="482"/>
      <c r="O313" s="466"/>
      <c r="P313" s="357"/>
      <c r="Q313" s="357"/>
      <c r="R313" s="357"/>
      <c r="S313" s="357"/>
      <c r="T313" s="357"/>
      <c r="U313" s="357"/>
      <c r="V313" s="357"/>
      <c r="W313" s="357"/>
      <c r="X313" s="357"/>
      <c r="Y313" s="357"/>
      <c r="Z313" s="357"/>
    </row>
    <row r="314" ht="15.75" customHeight="1">
      <c r="A314" s="466" t="s">
        <v>7391</v>
      </c>
      <c r="B314" s="466">
        <v>2024.0</v>
      </c>
      <c r="C314" s="466">
        <f t="shared" si="4"/>
        <v>7</v>
      </c>
      <c r="D314" s="500">
        <v>45496.0</v>
      </c>
      <c r="E314" s="482" t="s">
        <v>2193</v>
      </c>
      <c r="F314" s="482" t="s">
        <v>7813</v>
      </c>
      <c r="G314" s="466" t="s">
        <v>7075</v>
      </c>
      <c r="H314" s="482" t="s">
        <v>7801</v>
      </c>
      <c r="I314" s="482">
        <v>1.0</v>
      </c>
      <c r="J314" s="486"/>
      <c r="K314" s="482" t="s">
        <v>7393</v>
      </c>
      <c r="L314" s="487">
        <v>85.0</v>
      </c>
      <c r="M314" s="482"/>
      <c r="N314" s="482"/>
      <c r="O314" s="466"/>
      <c r="P314" s="357"/>
      <c r="Q314" s="357"/>
      <c r="R314" s="357"/>
      <c r="S314" s="357"/>
      <c r="T314" s="357"/>
      <c r="U314" s="357"/>
      <c r="V314" s="357"/>
      <c r="W314" s="357"/>
      <c r="X314" s="357"/>
      <c r="Y314" s="357"/>
      <c r="Z314" s="357"/>
    </row>
    <row r="315" ht="15.75" customHeight="1">
      <c r="A315" s="466" t="s">
        <v>7391</v>
      </c>
      <c r="B315" s="466">
        <v>2024.0</v>
      </c>
      <c r="C315" s="466">
        <f t="shared" si="4"/>
        <v>7</v>
      </c>
      <c r="D315" s="500">
        <v>45497.0</v>
      </c>
      <c r="E315" s="482" t="s">
        <v>7814</v>
      </c>
      <c r="F315" s="482" t="s">
        <v>7815</v>
      </c>
      <c r="G315" s="466" t="s">
        <v>7100</v>
      </c>
      <c r="H315" s="482" t="s">
        <v>6906</v>
      </c>
      <c r="I315" s="482">
        <v>1.0</v>
      </c>
      <c r="J315" s="486"/>
      <c r="K315" s="482" t="s">
        <v>7393</v>
      </c>
      <c r="L315" s="487">
        <v>175.0</v>
      </c>
      <c r="M315" s="482"/>
      <c r="N315" s="482"/>
      <c r="O315" s="466"/>
      <c r="P315" s="357"/>
      <c r="Q315" s="357"/>
      <c r="R315" s="357"/>
      <c r="S315" s="357"/>
      <c r="T315" s="357"/>
      <c r="U315" s="357"/>
      <c r="V315" s="357"/>
      <c r="W315" s="357"/>
      <c r="X315" s="357"/>
      <c r="Y315" s="357"/>
      <c r="Z315" s="357"/>
    </row>
    <row r="316" ht="15.75" customHeight="1">
      <c r="A316" s="466" t="s">
        <v>7391</v>
      </c>
      <c r="B316" s="466">
        <v>2024.0</v>
      </c>
      <c r="C316" s="466">
        <f t="shared" si="4"/>
        <v>7</v>
      </c>
      <c r="D316" s="500">
        <v>45497.0</v>
      </c>
      <c r="E316" s="482" t="s">
        <v>2193</v>
      </c>
      <c r="F316" s="482" t="s">
        <v>7807</v>
      </c>
      <c r="G316" s="466" t="s">
        <v>7100</v>
      </c>
      <c r="H316" s="482" t="s">
        <v>204</v>
      </c>
      <c r="I316" s="482">
        <v>1.0</v>
      </c>
      <c r="J316" s="486"/>
      <c r="K316" s="482" t="s">
        <v>7393</v>
      </c>
      <c r="L316" s="487">
        <v>175.0</v>
      </c>
      <c r="M316" s="482"/>
      <c r="N316" s="482"/>
      <c r="O316" s="466"/>
      <c r="P316" s="357"/>
      <c r="Q316" s="357"/>
      <c r="R316" s="357"/>
      <c r="S316" s="357"/>
      <c r="T316" s="357"/>
      <c r="U316" s="357"/>
      <c r="V316" s="357"/>
      <c r="W316" s="357"/>
      <c r="X316" s="357"/>
      <c r="Y316" s="357"/>
      <c r="Z316" s="357"/>
    </row>
    <row r="317" ht="15.75" customHeight="1">
      <c r="A317" s="466" t="s">
        <v>7391</v>
      </c>
      <c r="B317" s="466">
        <v>2024.0</v>
      </c>
      <c r="C317" s="466">
        <f t="shared" si="4"/>
        <v>7</v>
      </c>
      <c r="D317" s="500">
        <v>45498.0</v>
      </c>
      <c r="E317" s="482" t="s">
        <v>7816</v>
      </c>
      <c r="F317" s="482" t="s">
        <v>7817</v>
      </c>
      <c r="G317" s="466" t="s">
        <v>7100</v>
      </c>
      <c r="H317" s="482" t="s">
        <v>204</v>
      </c>
      <c r="I317" s="482">
        <v>1.0</v>
      </c>
      <c r="J317" s="486"/>
      <c r="K317" s="482" t="s">
        <v>7393</v>
      </c>
      <c r="L317" s="487">
        <v>141.0</v>
      </c>
      <c r="M317" s="482"/>
      <c r="N317" s="482"/>
      <c r="O317" s="466"/>
      <c r="P317" s="357"/>
      <c r="Q317" s="357"/>
      <c r="R317" s="357"/>
      <c r="S317" s="357"/>
      <c r="T317" s="357"/>
      <c r="U317" s="357"/>
      <c r="V317" s="357"/>
      <c r="W317" s="357"/>
      <c r="X317" s="357"/>
      <c r="Y317" s="357"/>
      <c r="Z317" s="357"/>
    </row>
    <row r="318" ht="15.75" customHeight="1">
      <c r="A318" s="466" t="s">
        <v>7391</v>
      </c>
      <c r="B318" s="466">
        <v>2024.0</v>
      </c>
      <c r="C318" s="466">
        <f t="shared" si="4"/>
        <v>7</v>
      </c>
      <c r="D318" s="500">
        <v>45498.0</v>
      </c>
      <c r="E318" s="482" t="s">
        <v>7818</v>
      </c>
      <c r="F318" s="482" t="s">
        <v>7819</v>
      </c>
      <c r="G318" s="466" t="s">
        <v>7100</v>
      </c>
      <c r="H318" s="482" t="s">
        <v>204</v>
      </c>
      <c r="I318" s="482">
        <v>1.0</v>
      </c>
      <c r="J318" s="486"/>
      <c r="K318" s="482" t="s">
        <v>7393</v>
      </c>
      <c r="L318" s="487">
        <v>141.0</v>
      </c>
      <c r="M318" s="482"/>
      <c r="N318" s="482"/>
      <c r="O318" s="466"/>
      <c r="P318" s="357"/>
      <c r="Q318" s="357"/>
      <c r="R318" s="357"/>
      <c r="S318" s="357"/>
      <c r="T318" s="357"/>
      <c r="U318" s="357"/>
      <c r="V318" s="357"/>
      <c r="W318" s="357"/>
      <c r="X318" s="357"/>
      <c r="Y318" s="357"/>
      <c r="Z318" s="357"/>
    </row>
    <row r="319" ht="15.75" customHeight="1">
      <c r="A319" s="466" t="s">
        <v>7391</v>
      </c>
      <c r="B319" s="466">
        <v>2024.0</v>
      </c>
      <c r="C319" s="466">
        <f t="shared" si="4"/>
        <v>7</v>
      </c>
      <c r="D319" s="500">
        <v>45498.0</v>
      </c>
      <c r="E319" s="482" t="s">
        <v>7820</v>
      </c>
      <c r="F319" s="482" t="s">
        <v>7821</v>
      </c>
      <c r="G319" s="466" t="s">
        <v>7075</v>
      </c>
      <c r="H319" s="482" t="s">
        <v>7822</v>
      </c>
      <c r="I319" s="482">
        <v>1.0</v>
      </c>
      <c r="J319" s="486"/>
      <c r="K319" s="482" t="s">
        <v>7393</v>
      </c>
      <c r="L319" s="487">
        <v>85.0</v>
      </c>
      <c r="M319" s="482"/>
      <c r="N319" s="482"/>
      <c r="O319" s="466"/>
      <c r="P319" s="357"/>
      <c r="Q319" s="357"/>
      <c r="R319" s="357"/>
      <c r="S319" s="357"/>
      <c r="T319" s="357"/>
      <c r="U319" s="357"/>
      <c r="V319" s="357"/>
      <c r="W319" s="357"/>
      <c r="X319" s="357"/>
      <c r="Y319" s="357"/>
      <c r="Z319" s="357"/>
    </row>
    <row r="320" ht="15.75" customHeight="1">
      <c r="A320" s="466" t="s">
        <v>7391</v>
      </c>
      <c r="B320" s="466">
        <v>2024.0</v>
      </c>
      <c r="C320" s="466">
        <f t="shared" si="4"/>
        <v>7</v>
      </c>
      <c r="D320" s="500">
        <v>45498.0</v>
      </c>
      <c r="E320" s="482" t="s">
        <v>2638</v>
      </c>
      <c r="F320" s="482" t="s">
        <v>7823</v>
      </c>
      <c r="G320" s="466" t="s">
        <v>7106</v>
      </c>
      <c r="H320" s="482" t="s">
        <v>7824</v>
      </c>
      <c r="I320" s="482">
        <v>1.0</v>
      </c>
      <c r="J320" s="486"/>
      <c r="K320" s="482" t="s">
        <v>7393</v>
      </c>
      <c r="L320" s="487">
        <v>73.0</v>
      </c>
      <c r="M320" s="482"/>
      <c r="N320" s="482"/>
      <c r="O320" s="466"/>
      <c r="P320" s="357"/>
      <c r="Q320" s="357"/>
      <c r="R320" s="357"/>
      <c r="S320" s="357"/>
      <c r="T320" s="357"/>
      <c r="U320" s="357"/>
      <c r="V320" s="357"/>
      <c r="W320" s="357"/>
      <c r="X320" s="357"/>
      <c r="Y320" s="357"/>
      <c r="Z320" s="357"/>
    </row>
    <row r="321" ht="15.75" customHeight="1">
      <c r="A321" s="466" t="s">
        <v>7391</v>
      </c>
      <c r="B321" s="466">
        <v>2024.0</v>
      </c>
      <c r="C321" s="466">
        <f t="shared" si="4"/>
        <v>7</v>
      </c>
      <c r="D321" s="500">
        <v>45498.0</v>
      </c>
      <c r="E321" s="482" t="s">
        <v>2561</v>
      </c>
      <c r="F321" s="482" t="s">
        <v>7825</v>
      </c>
      <c r="G321" s="466" t="s">
        <v>7100</v>
      </c>
      <c r="H321" s="482" t="s">
        <v>204</v>
      </c>
      <c r="I321" s="482">
        <v>1.0</v>
      </c>
      <c r="J321" s="486"/>
      <c r="K321" s="482" t="s">
        <v>7393</v>
      </c>
      <c r="L321" s="487">
        <v>141.0</v>
      </c>
      <c r="M321" s="482"/>
      <c r="N321" s="482"/>
      <c r="O321" s="466"/>
      <c r="P321" s="357"/>
      <c r="Q321" s="357"/>
      <c r="R321" s="357"/>
      <c r="S321" s="357"/>
      <c r="T321" s="357"/>
      <c r="U321" s="357"/>
      <c r="V321" s="357"/>
      <c r="W321" s="357"/>
      <c r="X321" s="357"/>
      <c r="Y321" s="357"/>
      <c r="Z321" s="357"/>
    </row>
    <row r="322" ht="15.75" customHeight="1">
      <c r="A322" s="466" t="s">
        <v>7391</v>
      </c>
      <c r="B322" s="466">
        <v>2024.0</v>
      </c>
      <c r="C322" s="466">
        <f t="shared" si="4"/>
        <v>7</v>
      </c>
      <c r="D322" s="500">
        <v>45499.0</v>
      </c>
      <c r="E322" s="482" t="s">
        <v>7826</v>
      </c>
      <c r="F322" s="482" t="s">
        <v>7827</v>
      </c>
      <c r="G322" s="466" t="s">
        <v>7075</v>
      </c>
      <c r="H322" s="482" t="s">
        <v>7801</v>
      </c>
      <c r="I322" s="482">
        <v>1.0</v>
      </c>
      <c r="J322" s="486"/>
      <c r="K322" s="482" t="s">
        <v>7393</v>
      </c>
      <c r="L322" s="487">
        <v>85.0</v>
      </c>
      <c r="M322" s="482"/>
      <c r="N322" s="482"/>
      <c r="O322" s="466"/>
      <c r="P322" s="357"/>
      <c r="Q322" s="357"/>
      <c r="R322" s="357"/>
      <c r="S322" s="357"/>
      <c r="T322" s="357"/>
      <c r="U322" s="357"/>
      <c r="V322" s="357"/>
      <c r="W322" s="357"/>
      <c r="X322" s="357"/>
      <c r="Y322" s="357"/>
      <c r="Z322" s="357"/>
    </row>
    <row r="323" ht="15.75" customHeight="1">
      <c r="A323" s="466" t="s">
        <v>7391</v>
      </c>
      <c r="B323" s="466">
        <v>2024.0</v>
      </c>
      <c r="C323" s="466">
        <f t="shared" si="4"/>
        <v>7</v>
      </c>
      <c r="D323" s="500">
        <v>45502.0</v>
      </c>
      <c r="E323" s="482" t="s">
        <v>2547</v>
      </c>
      <c r="F323" s="482" t="s">
        <v>7828</v>
      </c>
      <c r="G323" s="466" t="s">
        <v>7100</v>
      </c>
      <c r="H323" s="482" t="s">
        <v>204</v>
      </c>
      <c r="I323" s="482">
        <v>1.0</v>
      </c>
      <c r="J323" s="486"/>
      <c r="K323" s="482" t="s">
        <v>7393</v>
      </c>
      <c r="L323" s="487">
        <v>141.0</v>
      </c>
      <c r="M323" s="482"/>
      <c r="N323" s="482"/>
      <c r="O323" s="466"/>
      <c r="P323" s="357"/>
      <c r="Q323" s="357"/>
      <c r="R323" s="357"/>
      <c r="S323" s="357"/>
      <c r="T323" s="357"/>
      <c r="U323" s="357"/>
      <c r="V323" s="357"/>
      <c r="W323" s="357"/>
      <c r="X323" s="357"/>
      <c r="Y323" s="357"/>
      <c r="Z323" s="357"/>
    </row>
    <row r="324" ht="15.75" customHeight="1">
      <c r="A324" s="466" t="s">
        <v>7391</v>
      </c>
      <c r="B324" s="466">
        <v>2024.0</v>
      </c>
      <c r="C324" s="466">
        <f t="shared" si="4"/>
        <v>7</v>
      </c>
      <c r="D324" s="500">
        <v>45502.0</v>
      </c>
      <c r="E324" s="482" t="s">
        <v>7417</v>
      </c>
      <c r="F324" s="482" t="s">
        <v>7829</v>
      </c>
      <c r="G324" s="466" t="s">
        <v>7100</v>
      </c>
      <c r="H324" s="482" t="s">
        <v>204</v>
      </c>
      <c r="I324" s="482">
        <v>1.0</v>
      </c>
      <c r="J324" s="486"/>
      <c r="K324" s="482" t="s">
        <v>7393</v>
      </c>
      <c r="L324" s="487">
        <v>141.0</v>
      </c>
      <c r="M324" s="482"/>
      <c r="N324" s="482"/>
      <c r="O324" s="466"/>
      <c r="P324" s="357"/>
      <c r="Q324" s="357"/>
      <c r="R324" s="357"/>
      <c r="S324" s="357"/>
      <c r="T324" s="357"/>
      <c r="U324" s="357"/>
      <c r="V324" s="357"/>
      <c r="W324" s="357"/>
      <c r="X324" s="357"/>
      <c r="Y324" s="357"/>
      <c r="Z324" s="357"/>
    </row>
    <row r="325" ht="15.75" customHeight="1">
      <c r="A325" s="466" t="s">
        <v>7391</v>
      </c>
      <c r="B325" s="466">
        <v>2024.0</v>
      </c>
      <c r="C325" s="466">
        <f t="shared" si="4"/>
        <v>7</v>
      </c>
      <c r="D325" s="500">
        <v>45502.0</v>
      </c>
      <c r="E325" s="482" t="s">
        <v>7760</v>
      </c>
      <c r="F325" s="482" t="s">
        <v>7830</v>
      </c>
      <c r="G325" s="466" t="s">
        <v>7100</v>
      </c>
      <c r="H325" s="482" t="s">
        <v>204</v>
      </c>
      <c r="I325" s="482">
        <v>1.0</v>
      </c>
      <c r="J325" s="486"/>
      <c r="K325" s="482" t="s">
        <v>7393</v>
      </c>
      <c r="L325" s="487">
        <v>141.0</v>
      </c>
      <c r="M325" s="482"/>
      <c r="N325" s="482"/>
      <c r="O325" s="466"/>
      <c r="P325" s="357"/>
      <c r="Q325" s="357"/>
      <c r="R325" s="357"/>
      <c r="S325" s="357"/>
      <c r="T325" s="357"/>
      <c r="U325" s="357"/>
      <c r="V325" s="357"/>
      <c r="W325" s="357"/>
      <c r="X325" s="357"/>
      <c r="Y325" s="357"/>
      <c r="Z325" s="357"/>
    </row>
    <row r="326" ht="15.75" customHeight="1">
      <c r="A326" s="466" t="s">
        <v>7391</v>
      </c>
      <c r="B326" s="466">
        <v>2024.0</v>
      </c>
      <c r="C326" s="466">
        <f t="shared" si="4"/>
        <v>7</v>
      </c>
      <c r="D326" s="500">
        <v>45502.0</v>
      </c>
      <c r="E326" s="482" t="s">
        <v>2193</v>
      </c>
      <c r="F326" s="482" t="s">
        <v>7831</v>
      </c>
      <c r="G326" s="466" t="s">
        <v>7100</v>
      </c>
      <c r="H326" s="482" t="s">
        <v>204</v>
      </c>
      <c r="I326" s="482">
        <v>1.0</v>
      </c>
      <c r="J326" s="486"/>
      <c r="K326" s="482" t="s">
        <v>7393</v>
      </c>
      <c r="L326" s="487">
        <v>141.0</v>
      </c>
      <c r="M326" s="482"/>
      <c r="N326" s="482"/>
      <c r="O326" s="466"/>
      <c r="P326" s="357"/>
      <c r="Q326" s="357"/>
      <c r="R326" s="357"/>
      <c r="S326" s="357"/>
      <c r="T326" s="357"/>
      <c r="U326" s="357"/>
      <c r="V326" s="357"/>
      <c r="W326" s="357"/>
      <c r="X326" s="357"/>
      <c r="Y326" s="357"/>
      <c r="Z326" s="357"/>
    </row>
    <row r="327" ht="15.75" customHeight="1">
      <c r="A327" s="466" t="s">
        <v>7391</v>
      </c>
      <c r="B327" s="466">
        <v>2024.0</v>
      </c>
      <c r="C327" s="466">
        <f t="shared" si="4"/>
        <v>7</v>
      </c>
      <c r="D327" s="500">
        <v>45503.0</v>
      </c>
      <c r="E327" s="482" t="s">
        <v>7832</v>
      </c>
      <c r="F327" s="482" t="s">
        <v>7833</v>
      </c>
      <c r="G327" s="466" t="s">
        <v>7106</v>
      </c>
      <c r="H327" s="482" t="s">
        <v>6851</v>
      </c>
      <c r="I327" s="482">
        <v>1.0</v>
      </c>
      <c r="J327" s="486"/>
      <c r="K327" s="482" t="s">
        <v>7393</v>
      </c>
      <c r="L327" s="487">
        <v>61.0</v>
      </c>
      <c r="M327" s="482"/>
      <c r="N327" s="482"/>
      <c r="O327" s="466"/>
      <c r="P327" s="357"/>
      <c r="Q327" s="357"/>
      <c r="R327" s="357"/>
      <c r="S327" s="357"/>
      <c r="T327" s="357"/>
      <c r="U327" s="357"/>
      <c r="V327" s="357"/>
      <c r="W327" s="357"/>
      <c r="X327" s="357"/>
      <c r="Y327" s="357"/>
      <c r="Z327" s="357"/>
    </row>
    <row r="328" ht="15.75" customHeight="1">
      <c r="A328" s="466" t="s">
        <v>7391</v>
      </c>
      <c r="B328" s="466">
        <v>2024.0</v>
      </c>
      <c r="C328" s="466">
        <f t="shared" si="4"/>
        <v>7</v>
      </c>
      <c r="D328" s="500">
        <v>45503.0</v>
      </c>
      <c r="E328" s="482" t="s">
        <v>2638</v>
      </c>
      <c r="F328" s="482" t="s">
        <v>7834</v>
      </c>
      <c r="G328" s="466" t="s">
        <v>7075</v>
      </c>
      <c r="H328" s="482" t="s">
        <v>7707</v>
      </c>
      <c r="I328" s="482">
        <v>1.0</v>
      </c>
      <c r="J328" s="486"/>
      <c r="K328" s="482" t="s">
        <v>7393</v>
      </c>
      <c r="L328" s="487">
        <v>85.0</v>
      </c>
      <c r="M328" s="482"/>
      <c r="N328" s="482"/>
      <c r="O328" s="466"/>
      <c r="P328" s="357"/>
      <c r="Q328" s="357"/>
      <c r="R328" s="357"/>
      <c r="S328" s="357"/>
      <c r="T328" s="357"/>
      <c r="U328" s="357"/>
      <c r="V328" s="357"/>
      <c r="W328" s="357"/>
      <c r="X328" s="357"/>
      <c r="Y328" s="357"/>
      <c r="Z328" s="357"/>
    </row>
    <row r="329" ht="15.75" customHeight="1">
      <c r="A329" s="466" t="s">
        <v>7391</v>
      </c>
      <c r="B329" s="466">
        <v>2024.0</v>
      </c>
      <c r="C329" s="466">
        <f t="shared" si="4"/>
        <v>7</v>
      </c>
      <c r="D329" s="500">
        <v>45503.0</v>
      </c>
      <c r="E329" s="482" t="s">
        <v>7406</v>
      </c>
      <c r="F329" s="482" t="s">
        <v>7835</v>
      </c>
      <c r="G329" s="466" t="s">
        <v>7100</v>
      </c>
      <c r="H329" s="482" t="s">
        <v>204</v>
      </c>
      <c r="I329" s="482">
        <v>1.0</v>
      </c>
      <c r="J329" s="486"/>
      <c r="K329" s="482" t="s">
        <v>7393</v>
      </c>
      <c r="L329" s="487">
        <v>141.0</v>
      </c>
      <c r="M329" s="482"/>
      <c r="N329" s="482"/>
      <c r="O329" s="466"/>
      <c r="P329" s="357"/>
      <c r="Q329" s="357"/>
      <c r="R329" s="357"/>
      <c r="S329" s="357"/>
      <c r="T329" s="357"/>
      <c r="U329" s="357"/>
      <c r="V329" s="357"/>
      <c r="W329" s="357"/>
      <c r="X329" s="357"/>
      <c r="Y329" s="357"/>
      <c r="Z329" s="357"/>
    </row>
    <row r="330" ht="15.75" customHeight="1">
      <c r="A330" s="466" t="s">
        <v>7391</v>
      </c>
      <c r="B330" s="466">
        <v>2024.0</v>
      </c>
      <c r="C330" s="466">
        <f t="shared" si="4"/>
        <v>7</v>
      </c>
      <c r="D330" s="500">
        <v>45503.0</v>
      </c>
      <c r="E330" s="482" t="s">
        <v>7805</v>
      </c>
      <c r="F330" s="482" t="s">
        <v>7836</v>
      </c>
      <c r="G330" s="466" t="s">
        <v>7100</v>
      </c>
      <c r="H330" s="482" t="s">
        <v>204</v>
      </c>
      <c r="I330" s="482">
        <v>2.0</v>
      </c>
      <c r="J330" s="486"/>
      <c r="K330" s="482" t="s">
        <v>7393</v>
      </c>
      <c r="L330" s="487">
        <v>272.0</v>
      </c>
      <c r="M330" s="482"/>
      <c r="N330" s="482"/>
      <c r="O330" s="466"/>
      <c r="P330" s="357"/>
      <c r="Q330" s="357"/>
      <c r="R330" s="357"/>
      <c r="S330" s="357"/>
      <c r="T330" s="357"/>
      <c r="U330" s="357"/>
      <c r="V330" s="357"/>
      <c r="W330" s="357"/>
      <c r="X330" s="357"/>
      <c r="Y330" s="357"/>
      <c r="Z330" s="357"/>
    </row>
    <row r="331" ht="15.75" customHeight="1">
      <c r="A331" s="466" t="s">
        <v>7391</v>
      </c>
      <c r="B331" s="466">
        <v>2024.0</v>
      </c>
      <c r="C331" s="466">
        <f t="shared" si="4"/>
        <v>7</v>
      </c>
      <c r="D331" s="500">
        <v>45503.0</v>
      </c>
      <c r="E331" s="482" t="s">
        <v>7805</v>
      </c>
      <c r="F331" s="482" t="s">
        <v>7836</v>
      </c>
      <c r="G331" s="466" t="s">
        <v>7100</v>
      </c>
      <c r="H331" s="482" t="s">
        <v>7564</v>
      </c>
      <c r="I331" s="482">
        <v>1.0</v>
      </c>
      <c r="J331" s="486"/>
      <c r="K331" s="482" t="s">
        <v>7393</v>
      </c>
      <c r="L331" s="487">
        <v>141.0</v>
      </c>
      <c r="M331" s="482"/>
      <c r="N331" s="482"/>
      <c r="O331" s="466"/>
      <c r="P331" s="357"/>
      <c r="Q331" s="357"/>
      <c r="R331" s="357"/>
      <c r="S331" s="357"/>
      <c r="T331" s="357"/>
      <c r="U331" s="357"/>
      <c r="V331" s="357"/>
      <c r="W331" s="357"/>
      <c r="X331" s="357"/>
      <c r="Y331" s="357"/>
      <c r="Z331" s="357"/>
    </row>
    <row r="332" ht="15.75" customHeight="1">
      <c r="A332" s="466" t="s">
        <v>7391</v>
      </c>
      <c r="B332" s="466">
        <v>2024.0</v>
      </c>
      <c r="C332" s="466">
        <f t="shared" si="4"/>
        <v>7</v>
      </c>
      <c r="D332" s="500">
        <v>45503.0</v>
      </c>
      <c r="E332" s="482" t="s">
        <v>7554</v>
      </c>
      <c r="F332" s="482" t="s">
        <v>7837</v>
      </c>
      <c r="G332" s="466" t="s">
        <v>7106</v>
      </c>
      <c r="H332" s="482" t="s">
        <v>6851</v>
      </c>
      <c r="I332" s="482">
        <v>1.0</v>
      </c>
      <c r="J332" s="486"/>
      <c r="K332" s="482" t="s">
        <v>7393</v>
      </c>
      <c r="L332" s="487">
        <v>73.0</v>
      </c>
      <c r="M332" s="482"/>
      <c r="N332" s="482"/>
      <c r="O332" s="466"/>
      <c r="P332" s="357"/>
      <c r="Q332" s="357"/>
      <c r="R332" s="357"/>
      <c r="S332" s="357"/>
      <c r="T332" s="357"/>
      <c r="U332" s="357"/>
      <c r="V332" s="357"/>
      <c r="W332" s="357"/>
      <c r="X332" s="357"/>
      <c r="Y332" s="357"/>
      <c r="Z332" s="357"/>
    </row>
    <row r="333" ht="15.75" customHeight="1">
      <c r="A333" s="466" t="s">
        <v>7391</v>
      </c>
      <c r="B333" s="466">
        <v>2024.0</v>
      </c>
      <c r="C333" s="466">
        <v>8.0</v>
      </c>
      <c r="D333" s="482"/>
      <c r="E333" s="482"/>
      <c r="F333" s="482"/>
      <c r="G333" s="466" t="s">
        <v>7100</v>
      </c>
      <c r="H333" s="482"/>
      <c r="I333" s="482">
        <v>1.0</v>
      </c>
      <c r="J333" s="486"/>
      <c r="K333" s="482"/>
      <c r="L333" s="487">
        <v>176.9</v>
      </c>
      <c r="M333" s="482"/>
      <c r="N333" s="482"/>
      <c r="O333" s="466"/>
      <c r="P333" s="357"/>
      <c r="Q333" s="357"/>
      <c r="R333" s="357"/>
      <c r="S333" s="357"/>
      <c r="T333" s="357"/>
      <c r="U333" s="357"/>
      <c r="V333" s="357"/>
      <c r="W333" s="357"/>
      <c r="X333" s="357"/>
      <c r="Y333" s="357"/>
      <c r="Z333" s="357"/>
    </row>
    <row r="334" ht="15.75" customHeight="1">
      <c r="A334" s="466" t="s">
        <v>7391</v>
      </c>
      <c r="B334" s="466">
        <v>2024.0</v>
      </c>
      <c r="C334" s="466">
        <v>8.0</v>
      </c>
      <c r="D334" s="482"/>
      <c r="E334" s="482"/>
      <c r="F334" s="482"/>
      <c r="G334" s="466" t="s">
        <v>7075</v>
      </c>
      <c r="H334" s="482"/>
      <c r="I334" s="482">
        <v>1.0</v>
      </c>
      <c r="J334" s="486"/>
      <c r="K334" s="482"/>
      <c r="L334" s="487">
        <v>91.9</v>
      </c>
      <c r="M334" s="482"/>
      <c r="N334" s="482"/>
      <c r="O334" s="466"/>
      <c r="P334" s="357"/>
      <c r="Q334" s="357"/>
      <c r="R334" s="357"/>
      <c r="S334" s="357"/>
      <c r="T334" s="357"/>
      <c r="U334" s="357"/>
      <c r="V334" s="357"/>
      <c r="W334" s="357"/>
      <c r="X334" s="357"/>
      <c r="Y334" s="357"/>
      <c r="Z334" s="357"/>
    </row>
    <row r="335" ht="15.75" customHeight="1">
      <c r="A335" s="466" t="s">
        <v>7391</v>
      </c>
      <c r="B335" s="466">
        <v>2024.0</v>
      </c>
      <c r="C335" s="466">
        <v>8.0</v>
      </c>
      <c r="D335" s="482"/>
      <c r="E335" s="482"/>
      <c r="F335" s="482"/>
      <c r="G335" s="466" t="s">
        <v>7100</v>
      </c>
      <c r="H335" s="482"/>
      <c r="I335" s="482">
        <v>1.0</v>
      </c>
      <c r="J335" s="486"/>
      <c r="K335" s="482"/>
      <c r="L335" s="487">
        <v>176.9</v>
      </c>
      <c r="M335" s="482"/>
      <c r="N335" s="482"/>
      <c r="O335" s="466"/>
      <c r="P335" s="357"/>
      <c r="Q335" s="357"/>
      <c r="R335" s="357"/>
      <c r="S335" s="357"/>
      <c r="T335" s="357"/>
      <c r="U335" s="357"/>
      <c r="V335" s="357"/>
      <c r="W335" s="357"/>
      <c r="X335" s="357"/>
      <c r="Y335" s="357"/>
      <c r="Z335" s="357"/>
    </row>
    <row r="336" ht="15.75" customHeight="1">
      <c r="A336" s="466" t="s">
        <v>7391</v>
      </c>
      <c r="B336" s="466">
        <v>2024.0</v>
      </c>
      <c r="C336" s="466">
        <v>8.0</v>
      </c>
      <c r="D336" s="482"/>
      <c r="E336" s="482"/>
      <c r="F336" s="482"/>
      <c r="G336" s="466" t="s">
        <v>7100</v>
      </c>
      <c r="H336" s="482"/>
      <c r="I336" s="482">
        <v>1.0</v>
      </c>
      <c r="J336" s="486"/>
      <c r="K336" s="482"/>
      <c r="L336" s="487">
        <v>176.9</v>
      </c>
      <c r="M336" s="482"/>
      <c r="N336" s="482"/>
      <c r="O336" s="466"/>
      <c r="P336" s="357"/>
      <c r="Q336" s="357"/>
      <c r="R336" s="357"/>
      <c r="S336" s="357"/>
      <c r="T336" s="357"/>
      <c r="U336" s="357"/>
      <c r="V336" s="357"/>
      <c r="W336" s="357"/>
      <c r="X336" s="357"/>
      <c r="Y336" s="357"/>
      <c r="Z336" s="357"/>
    </row>
    <row r="337" ht="15.75" customHeight="1">
      <c r="A337" s="466" t="s">
        <v>7391</v>
      </c>
      <c r="B337" s="466">
        <v>2024.0</v>
      </c>
      <c r="C337" s="466">
        <v>8.0</v>
      </c>
      <c r="D337" s="482"/>
      <c r="E337" s="482"/>
      <c r="F337" s="482"/>
      <c r="G337" s="466" t="s">
        <v>7100</v>
      </c>
      <c r="H337" s="482"/>
      <c r="I337" s="482">
        <v>1.0</v>
      </c>
      <c r="J337" s="486"/>
      <c r="K337" s="482"/>
      <c r="L337" s="487">
        <v>176.9</v>
      </c>
      <c r="M337" s="482"/>
      <c r="N337" s="482"/>
      <c r="O337" s="466"/>
      <c r="P337" s="357"/>
      <c r="Q337" s="357"/>
      <c r="R337" s="357"/>
      <c r="S337" s="357"/>
      <c r="T337" s="357"/>
      <c r="U337" s="357"/>
      <c r="V337" s="357"/>
      <c r="W337" s="357"/>
      <c r="X337" s="357"/>
      <c r="Y337" s="357"/>
      <c r="Z337" s="357"/>
    </row>
    <row r="338" ht="15.75" customHeight="1">
      <c r="A338" s="466" t="s">
        <v>7391</v>
      </c>
      <c r="B338" s="466">
        <v>2024.0</v>
      </c>
      <c r="C338" s="466">
        <v>8.0</v>
      </c>
      <c r="D338" s="482"/>
      <c r="E338" s="482"/>
      <c r="F338" s="482"/>
      <c r="G338" s="466" t="s">
        <v>7100</v>
      </c>
      <c r="H338" s="482"/>
      <c r="I338" s="482">
        <v>1.0</v>
      </c>
      <c r="J338" s="486"/>
      <c r="K338" s="482"/>
      <c r="L338" s="487">
        <v>176.9</v>
      </c>
      <c r="M338" s="482"/>
      <c r="N338" s="482"/>
      <c r="O338" s="466"/>
      <c r="P338" s="357"/>
      <c r="Q338" s="357"/>
      <c r="R338" s="357"/>
      <c r="S338" s="357"/>
      <c r="T338" s="357"/>
      <c r="U338" s="357"/>
      <c r="V338" s="357"/>
      <c r="W338" s="357"/>
      <c r="X338" s="357"/>
      <c r="Y338" s="357"/>
      <c r="Z338" s="357"/>
    </row>
    <row r="339" ht="15.75" customHeight="1">
      <c r="A339" s="466" t="s">
        <v>7391</v>
      </c>
      <c r="B339" s="466">
        <v>2024.0</v>
      </c>
      <c r="C339" s="466">
        <v>8.0</v>
      </c>
      <c r="D339" s="482"/>
      <c r="E339" s="482"/>
      <c r="F339" s="482"/>
      <c r="G339" s="466" t="s">
        <v>7100</v>
      </c>
      <c r="H339" s="482"/>
      <c r="I339" s="482">
        <v>1.0</v>
      </c>
      <c r="J339" s="486"/>
      <c r="K339" s="482"/>
      <c r="L339" s="487">
        <v>176.9</v>
      </c>
      <c r="M339" s="482"/>
      <c r="N339" s="482"/>
      <c r="O339" s="466"/>
      <c r="P339" s="357"/>
      <c r="Q339" s="357"/>
      <c r="R339" s="357"/>
      <c r="S339" s="357"/>
      <c r="T339" s="357"/>
      <c r="U339" s="357"/>
      <c r="V339" s="357"/>
      <c r="W339" s="357"/>
      <c r="X339" s="357"/>
      <c r="Y339" s="357"/>
      <c r="Z339" s="357"/>
    </row>
    <row r="340" ht="15.75" customHeight="1">
      <c r="A340" s="466" t="s">
        <v>7391</v>
      </c>
      <c r="B340" s="466">
        <v>2024.0</v>
      </c>
      <c r="C340" s="466">
        <v>8.0</v>
      </c>
      <c r="D340" s="482"/>
      <c r="E340" s="482"/>
      <c r="F340" s="482"/>
      <c r="G340" s="466" t="s">
        <v>7100</v>
      </c>
      <c r="H340" s="482"/>
      <c r="I340" s="482">
        <v>1.0</v>
      </c>
      <c r="J340" s="486"/>
      <c r="K340" s="482"/>
      <c r="L340" s="487">
        <v>176.9</v>
      </c>
      <c r="M340" s="482"/>
      <c r="N340" s="482"/>
      <c r="O340" s="466"/>
      <c r="P340" s="357"/>
      <c r="Q340" s="357"/>
      <c r="R340" s="357"/>
      <c r="S340" s="357"/>
      <c r="T340" s="357"/>
      <c r="U340" s="357"/>
      <c r="V340" s="357"/>
      <c r="W340" s="357"/>
      <c r="X340" s="357"/>
      <c r="Y340" s="357"/>
      <c r="Z340" s="357"/>
    </row>
    <row r="341" ht="15.75" customHeight="1">
      <c r="A341" s="466" t="s">
        <v>7391</v>
      </c>
      <c r="B341" s="466">
        <v>2024.0</v>
      </c>
      <c r="C341" s="466">
        <v>8.0</v>
      </c>
      <c r="D341" s="482"/>
      <c r="E341" s="482"/>
      <c r="F341" s="482"/>
      <c r="G341" s="466" t="s">
        <v>7100</v>
      </c>
      <c r="H341" s="482"/>
      <c r="I341" s="482">
        <v>1.0</v>
      </c>
      <c r="J341" s="486"/>
      <c r="K341" s="482"/>
      <c r="L341" s="487">
        <v>106.9</v>
      </c>
      <c r="M341" s="482"/>
      <c r="N341" s="482"/>
      <c r="O341" s="466"/>
      <c r="P341" s="357"/>
      <c r="Q341" s="357"/>
      <c r="R341" s="357"/>
      <c r="S341" s="357"/>
      <c r="T341" s="357"/>
      <c r="U341" s="357"/>
      <c r="V341" s="357"/>
      <c r="W341" s="357"/>
      <c r="X341" s="357"/>
      <c r="Y341" s="357"/>
      <c r="Z341" s="357"/>
    </row>
    <row r="342" ht="15.75" customHeight="1">
      <c r="A342" s="466" t="s">
        <v>7391</v>
      </c>
      <c r="B342" s="466">
        <v>2024.0</v>
      </c>
      <c r="C342" s="466">
        <v>8.0</v>
      </c>
      <c r="D342" s="482"/>
      <c r="E342" s="482"/>
      <c r="F342" s="482"/>
      <c r="G342" s="466" t="s">
        <v>7075</v>
      </c>
      <c r="H342" s="482"/>
      <c r="I342" s="482">
        <v>1.0</v>
      </c>
      <c r="J342" s="486"/>
      <c r="K342" s="482"/>
      <c r="L342" s="487">
        <v>91.9</v>
      </c>
      <c r="M342" s="482"/>
      <c r="N342" s="482"/>
      <c r="O342" s="466"/>
      <c r="P342" s="357"/>
      <c r="Q342" s="357"/>
      <c r="R342" s="357"/>
      <c r="S342" s="357"/>
      <c r="T342" s="357"/>
      <c r="U342" s="357"/>
      <c r="V342" s="357"/>
      <c r="W342" s="357"/>
      <c r="X342" s="357"/>
      <c r="Y342" s="357"/>
      <c r="Z342" s="357"/>
    </row>
    <row r="343" ht="15.75" customHeight="1">
      <c r="A343" s="466" t="s">
        <v>7391</v>
      </c>
      <c r="B343" s="466">
        <v>2024.0</v>
      </c>
      <c r="C343" s="466">
        <v>8.0</v>
      </c>
      <c r="D343" s="482"/>
      <c r="E343" s="482"/>
      <c r="F343" s="482"/>
      <c r="G343" s="466" t="s">
        <v>7075</v>
      </c>
      <c r="H343" s="482"/>
      <c r="I343" s="482">
        <v>1.0</v>
      </c>
      <c r="J343" s="486"/>
      <c r="K343" s="482"/>
      <c r="L343" s="487">
        <v>106.9</v>
      </c>
      <c r="M343" s="482"/>
      <c r="N343" s="482"/>
      <c r="O343" s="466"/>
      <c r="P343" s="357"/>
      <c r="Q343" s="357"/>
      <c r="R343" s="357"/>
      <c r="S343" s="357"/>
      <c r="T343" s="357"/>
      <c r="U343" s="357"/>
      <c r="V343" s="357"/>
      <c r="W343" s="357"/>
      <c r="X343" s="357"/>
      <c r="Y343" s="357"/>
      <c r="Z343" s="357"/>
    </row>
    <row r="344" ht="15.75" customHeight="1">
      <c r="A344" s="466" t="s">
        <v>7391</v>
      </c>
      <c r="B344" s="466">
        <v>2024.0</v>
      </c>
      <c r="C344" s="466">
        <v>9.0</v>
      </c>
      <c r="D344" s="482"/>
      <c r="E344" s="482"/>
      <c r="F344" s="482"/>
      <c r="G344" s="466" t="s">
        <v>7100</v>
      </c>
      <c r="H344" s="482"/>
      <c r="I344" s="482">
        <v>1.0</v>
      </c>
      <c r="J344" s="486"/>
      <c r="K344" s="482"/>
      <c r="L344" s="487">
        <v>176.9</v>
      </c>
      <c r="M344" s="482"/>
      <c r="N344" s="482"/>
      <c r="O344" s="466"/>
      <c r="P344" s="357"/>
      <c r="Q344" s="357"/>
      <c r="R344" s="357"/>
      <c r="S344" s="357"/>
      <c r="T344" s="357"/>
      <c r="U344" s="357"/>
      <c r="V344" s="357"/>
      <c r="W344" s="357"/>
      <c r="X344" s="357"/>
      <c r="Y344" s="357"/>
      <c r="Z344" s="357"/>
    </row>
    <row r="345" ht="15.75" customHeight="1">
      <c r="A345" s="466" t="s">
        <v>7391</v>
      </c>
      <c r="B345" s="466">
        <v>2024.0</v>
      </c>
      <c r="C345" s="466">
        <v>9.0</v>
      </c>
      <c r="D345" s="482"/>
      <c r="E345" s="482"/>
      <c r="F345" s="482"/>
      <c r="G345" s="466" t="s">
        <v>7100</v>
      </c>
      <c r="H345" s="482"/>
      <c r="I345" s="482">
        <v>1.0</v>
      </c>
      <c r="J345" s="486"/>
      <c r="K345" s="482"/>
      <c r="L345" s="487">
        <v>176.9</v>
      </c>
      <c r="M345" s="482"/>
      <c r="N345" s="482"/>
      <c r="O345" s="466"/>
      <c r="P345" s="357"/>
      <c r="Q345" s="357"/>
      <c r="R345" s="357"/>
      <c r="S345" s="357"/>
      <c r="T345" s="357"/>
      <c r="U345" s="357"/>
      <c r="V345" s="357"/>
      <c r="W345" s="357"/>
      <c r="X345" s="357"/>
      <c r="Y345" s="357"/>
      <c r="Z345" s="357"/>
    </row>
    <row r="346" ht="15.75" customHeight="1">
      <c r="A346" s="466" t="s">
        <v>7391</v>
      </c>
      <c r="B346" s="466">
        <v>2024.0</v>
      </c>
      <c r="C346" s="466">
        <v>9.0</v>
      </c>
      <c r="D346" s="482"/>
      <c r="E346" s="482"/>
      <c r="F346" s="482"/>
      <c r="G346" s="466" t="s">
        <v>7100</v>
      </c>
      <c r="H346" s="482"/>
      <c r="I346" s="482">
        <v>1.0</v>
      </c>
      <c r="J346" s="486"/>
      <c r="K346" s="482"/>
      <c r="L346" s="487">
        <v>159.9</v>
      </c>
      <c r="M346" s="482"/>
      <c r="N346" s="482"/>
      <c r="O346" s="466"/>
      <c r="P346" s="357"/>
      <c r="Q346" s="357"/>
      <c r="R346" s="357"/>
      <c r="S346" s="357"/>
      <c r="T346" s="357"/>
      <c r="U346" s="357"/>
      <c r="V346" s="357"/>
      <c r="W346" s="357"/>
      <c r="X346" s="357"/>
      <c r="Y346" s="357"/>
      <c r="Z346" s="357"/>
    </row>
    <row r="347" ht="15.75" customHeight="1">
      <c r="A347" s="466" t="s">
        <v>7391</v>
      </c>
      <c r="B347" s="466">
        <v>2024.0</v>
      </c>
      <c r="C347" s="466">
        <v>9.0</v>
      </c>
      <c r="D347" s="482"/>
      <c r="E347" s="482"/>
      <c r="F347" s="482"/>
      <c r="G347" s="466" t="s">
        <v>7100</v>
      </c>
      <c r="H347" s="482"/>
      <c r="I347" s="482">
        <v>1.0</v>
      </c>
      <c r="J347" s="486"/>
      <c r="K347" s="482"/>
      <c r="L347" s="487">
        <v>159.9</v>
      </c>
      <c r="M347" s="482"/>
      <c r="N347" s="482"/>
      <c r="O347" s="466"/>
      <c r="P347" s="357"/>
      <c r="Q347" s="357"/>
      <c r="R347" s="357"/>
      <c r="S347" s="357"/>
      <c r="T347" s="357"/>
      <c r="U347" s="357"/>
      <c r="V347" s="357"/>
      <c r="W347" s="357"/>
      <c r="X347" s="357"/>
      <c r="Y347" s="357"/>
      <c r="Z347" s="357"/>
    </row>
    <row r="348" ht="15.75" customHeight="1">
      <c r="A348" s="466" t="s">
        <v>7391</v>
      </c>
      <c r="B348" s="466">
        <v>2024.0</v>
      </c>
      <c r="C348" s="466">
        <v>9.0</v>
      </c>
      <c r="D348" s="482"/>
      <c r="E348" s="482"/>
      <c r="F348" s="482"/>
      <c r="G348" s="466" t="s">
        <v>7100</v>
      </c>
      <c r="H348" s="482"/>
      <c r="I348" s="482">
        <v>1.0</v>
      </c>
      <c r="J348" s="486"/>
      <c r="K348" s="482"/>
      <c r="L348" s="487">
        <v>159.9</v>
      </c>
      <c r="M348" s="482"/>
      <c r="N348" s="482"/>
      <c r="O348" s="466"/>
      <c r="P348" s="357"/>
      <c r="Q348" s="357"/>
      <c r="R348" s="357"/>
      <c r="S348" s="357"/>
      <c r="T348" s="357"/>
      <c r="U348" s="357"/>
      <c r="V348" s="357"/>
      <c r="W348" s="357"/>
      <c r="X348" s="357"/>
      <c r="Y348" s="357"/>
      <c r="Z348" s="357"/>
    </row>
    <row r="349" ht="15.75" customHeight="1">
      <c r="A349" s="466" t="s">
        <v>7391</v>
      </c>
      <c r="B349" s="466">
        <v>2024.0</v>
      </c>
      <c r="C349" s="466">
        <v>9.0</v>
      </c>
      <c r="D349" s="482"/>
      <c r="E349" s="482"/>
      <c r="F349" s="482"/>
      <c r="G349" s="466" t="s">
        <v>7100</v>
      </c>
      <c r="H349" s="482"/>
      <c r="I349" s="482">
        <v>1.0</v>
      </c>
      <c r="J349" s="486"/>
      <c r="K349" s="482"/>
      <c r="L349" s="487">
        <v>176.9</v>
      </c>
      <c r="M349" s="482"/>
      <c r="N349" s="482"/>
      <c r="O349" s="466"/>
      <c r="P349" s="357"/>
      <c r="Q349" s="357"/>
      <c r="R349" s="357"/>
      <c r="S349" s="357"/>
      <c r="T349" s="357"/>
      <c r="U349" s="357"/>
      <c r="V349" s="357"/>
      <c r="W349" s="357"/>
      <c r="X349" s="357"/>
      <c r="Y349" s="357"/>
      <c r="Z349" s="357"/>
    </row>
    <row r="350" ht="15.75" customHeight="1">
      <c r="A350" s="466" t="s">
        <v>7391</v>
      </c>
      <c r="B350" s="466">
        <v>2024.0</v>
      </c>
      <c r="C350" s="466">
        <v>9.0</v>
      </c>
      <c r="D350" s="482"/>
      <c r="E350" s="482"/>
      <c r="F350" s="482"/>
      <c r="G350" s="466" t="s">
        <v>7100</v>
      </c>
      <c r="H350" s="482"/>
      <c r="I350" s="482">
        <v>1.0</v>
      </c>
      <c r="J350" s="486"/>
      <c r="K350" s="482"/>
      <c r="L350" s="487">
        <v>159.9</v>
      </c>
      <c r="M350" s="482"/>
      <c r="N350" s="482"/>
      <c r="O350" s="466"/>
      <c r="P350" s="357"/>
      <c r="Q350" s="357"/>
      <c r="R350" s="357"/>
      <c r="S350" s="357"/>
      <c r="T350" s="357"/>
      <c r="U350" s="357"/>
      <c r="V350" s="357"/>
      <c r="W350" s="357"/>
      <c r="X350" s="357"/>
      <c r="Y350" s="357"/>
      <c r="Z350" s="357"/>
    </row>
    <row r="351" ht="15.75" customHeight="1">
      <c r="A351" s="466" t="s">
        <v>7391</v>
      </c>
      <c r="B351" s="466">
        <v>2024.0</v>
      </c>
      <c r="C351" s="466">
        <v>9.0</v>
      </c>
      <c r="D351" s="482"/>
      <c r="E351" s="482"/>
      <c r="F351" s="482"/>
      <c r="G351" s="466" t="s">
        <v>7100</v>
      </c>
      <c r="H351" s="482"/>
      <c r="I351" s="482">
        <v>1.0</v>
      </c>
      <c r="J351" s="486"/>
      <c r="K351" s="482"/>
      <c r="L351" s="487">
        <v>159.9</v>
      </c>
      <c r="M351" s="482"/>
      <c r="N351" s="482"/>
      <c r="O351" s="466"/>
      <c r="P351" s="357"/>
      <c r="Q351" s="357"/>
      <c r="R351" s="357"/>
      <c r="S351" s="357"/>
      <c r="T351" s="357"/>
      <c r="U351" s="357"/>
      <c r="V351" s="357"/>
      <c r="W351" s="357"/>
      <c r="X351" s="357"/>
      <c r="Y351" s="357"/>
      <c r="Z351" s="357"/>
    </row>
    <row r="352" ht="15.75" customHeight="1">
      <c r="A352" s="466" t="s">
        <v>7391</v>
      </c>
      <c r="B352" s="466">
        <v>2024.0</v>
      </c>
      <c r="C352" s="466">
        <v>9.0</v>
      </c>
      <c r="D352" s="482"/>
      <c r="E352" s="482"/>
      <c r="F352" s="482"/>
      <c r="G352" s="466" t="s">
        <v>7100</v>
      </c>
      <c r="H352" s="482"/>
      <c r="I352" s="482">
        <v>1.0</v>
      </c>
      <c r="J352" s="486"/>
      <c r="K352" s="482"/>
      <c r="L352" s="487">
        <v>159.9</v>
      </c>
      <c r="M352" s="482"/>
      <c r="N352" s="482"/>
      <c r="O352" s="466"/>
      <c r="P352" s="357"/>
      <c r="Q352" s="357"/>
      <c r="R352" s="357"/>
      <c r="S352" s="357"/>
      <c r="T352" s="357"/>
      <c r="U352" s="357"/>
      <c r="V352" s="357"/>
      <c r="W352" s="357"/>
      <c r="X352" s="357"/>
      <c r="Y352" s="357"/>
      <c r="Z352" s="357"/>
    </row>
    <row r="353" ht="15.75" customHeight="1">
      <c r="A353" s="466" t="s">
        <v>7391</v>
      </c>
      <c r="B353" s="466">
        <v>2024.0</v>
      </c>
      <c r="C353" s="466">
        <v>9.0</v>
      </c>
      <c r="D353" s="482"/>
      <c r="E353" s="482"/>
      <c r="F353" s="482"/>
      <c r="G353" s="466" t="s">
        <v>7100</v>
      </c>
      <c r="H353" s="482"/>
      <c r="I353" s="482">
        <v>1.0</v>
      </c>
      <c r="J353" s="486"/>
      <c r="K353" s="482"/>
      <c r="L353" s="487">
        <v>159.9</v>
      </c>
      <c r="M353" s="482"/>
      <c r="N353" s="482"/>
      <c r="O353" s="466"/>
      <c r="P353" s="357"/>
      <c r="Q353" s="357"/>
      <c r="R353" s="357"/>
      <c r="S353" s="357"/>
      <c r="T353" s="357"/>
      <c r="U353" s="357"/>
      <c r="V353" s="357"/>
      <c r="W353" s="357"/>
      <c r="X353" s="357"/>
      <c r="Y353" s="357"/>
      <c r="Z353" s="357"/>
    </row>
    <row r="354" ht="15.75" customHeight="1">
      <c r="A354" s="466" t="s">
        <v>7391</v>
      </c>
      <c r="B354" s="466">
        <v>2024.0</v>
      </c>
      <c r="C354" s="466">
        <v>9.0</v>
      </c>
      <c r="D354" s="482"/>
      <c r="E354" s="482"/>
      <c r="F354" s="482"/>
      <c r="G354" s="466" t="s">
        <v>7100</v>
      </c>
      <c r="H354" s="482"/>
      <c r="I354" s="482">
        <v>1.0</v>
      </c>
      <c r="J354" s="486"/>
      <c r="K354" s="482"/>
      <c r="L354" s="487">
        <v>159.9</v>
      </c>
      <c r="M354" s="482"/>
      <c r="N354" s="482"/>
      <c r="O354" s="466"/>
      <c r="P354" s="357"/>
      <c r="Q354" s="357"/>
      <c r="R354" s="357"/>
      <c r="S354" s="357"/>
      <c r="T354" s="357"/>
      <c r="U354" s="357"/>
      <c r="V354" s="357"/>
      <c r="W354" s="357"/>
      <c r="X354" s="357"/>
      <c r="Y354" s="357"/>
      <c r="Z354" s="357"/>
    </row>
    <row r="355" ht="15.75" customHeight="1">
      <c r="A355" s="466" t="s">
        <v>7391</v>
      </c>
      <c r="B355" s="466">
        <v>2024.0</v>
      </c>
      <c r="C355" s="466">
        <v>9.0</v>
      </c>
      <c r="D355" s="482"/>
      <c r="E355" s="482"/>
      <c r="F355" s="482"/>
      <c r="G355" s="466" t="s">
        <v>7106</v>
      </c>
      <c r="H355" s="482"/>
      <c r="I355" s="482">
        <v>1.0</v>
      </c>
      <c r="J355" s="486"/>
      <c r="K355" s="482"/>
      <c r="L355" s="487">
        <v>81.9</v>
      </c>
      <c r="M355" s="482"/>
      <c r="N355" s="482"/>
      <c r="O355" s="466"/>
      <c r="P355" s="357"/>
      <c r="Q355" s="357"/>
      <c r="R355" s="357"/>
      <c r="S355" s="357"/>
      <c r="T355" s="357"/>
      <c r="U355" s="357"/>
      <c r="V355" s="357"/>
      <c r="W355" s="357"/>
      <c r="X355" s="357"/>
      <c r="Y355" s="357"/>
      <c r="Z355" s="357"/>
    </row>
    <row r="356" ht="15.75" customHeight="1">
      <c r="A356" s="466" t="s">
        <v>7391</v>
      </c>
      <c r="B356" s="466">
        <v>2024.0</v>
      </c>
      <c r="C356" s="466">
        <f t="shared" ref="C356:C618" si="5">MONTH(D356)</f>
        <v>9</v>
      </c>
      <c r="D356" s="501">
        <v>45549.0</v>
      </c>
      <c r="E356" s="482" t="s">
        <v>7838</v>
      </c>
      <c r="F356" s="482" t="s">
        <v>7839</v>
      </c>
      <c r="G356" s="466" t="s">
        <v>7100</v>
      </c>
      <c r="H356" s="482" t="s">
        <v>248</v>
      </c>
      <c r="I356" s="482">
        <v>1.0</v>
      </c>
      <c r="J356" s="486"/>
      <c r="K356" s="482"/>
      <c r="L356" s="487">
        <v>159.9</v>
      </c>
      <c r="M356" s="482"/>
      <c r="N356" s="482"/>
      <c r="O356" s="466"/>
      <c r="P356" s="357"/>
      <c r="Q356" s="357"/>
      <c r="R356" s="357"/>
      <c r="S356" s="357"/>
      <c r="T356" s="357"/>
      <c r="U356" s="357"/>
      <c r="V356" s="357"/>
      <c r="W356" s="357"/>
      <c r="X356" s="357"/>
      <c r="Y356" s="357"/>
      <c r="Z356" s="357"/>
    </row>
    <row r="357" ht="15.75" customHeight="1">
      <c r="A357" s="466" t="s">
        <v>7391</v>
      </c>
      <c r="B357" s="466">
        <v>2024.0</v>
      </c>
      <c r="C357" s="466">
        <f t="shared" si="5"/>
        <v>9</v>
      </c>
      <c r="D357" s="501">
        <v>45553.0</v>
      </c>
      <c r="E357" s="482" t="s">
        <v>7434</v>
      </c>
      <c r="F357" s="482" t="s">
        <v>7840</v>
      </c>
      <c r="G357" s="466" t="s">
        <v>7075</v>
      </c>
      <c r="H357" s="482" t="s">
        <v>7841</v>
      </c>
      <c r="I357" s="482">
        <v>1.0</v>
      </c>
      <c r="J357" s="486"/>
      <c r="K357" s="482"/>
      <c r="L357" s="487">
        <v>106.9</v>
      </c>
      <c r="M357" s="482"/>
      <c r="N357" s="482"/>
      <c r="O357" s="466"/>
      <c r="P357" s="357"/>
      <c r="Q357" s="357"/>
      <c r="R357" s="357"/>
      <c r="S357" s="357"/>
      <c r="T357" s="357"/>
      <c r="U357" s="357"/>
      <c r="V357" s="357"/>
      <c r="W357" s="357"/>
      <c r="X357" s="357"/>
      <c r="Y357" s="357"/>
      <c r="Z357" s="357"/>
    </row>
    <row r="358" ht="15.75" customHeight="1">
      <c r="A358" s="466" t="s">
        <v>7391</v>
      </c>
      <c r="B358" s="466">
        <v>2024.0</v>
      </c>
      <c r="C358" s="466">
        <f t="shared" si="5"/>
        <v>9</v>
      </c>
      <c r="D358" s="501">
        <v>45558.0</v>
      </c>
      <c r="E358" s="482" t="s">
        <v>2193</v>
      </c>
      <c r="F358" s="482" t="s">
        <v>7842</v>
      </c>
      <c r="G358" s="466" t="s">
        <v>7100</v>
      </c>
      <c r="H358" s="482" t="s">
        <v>248</v>
      </c>
      <c r="I358" s="482">
        <v>1.0</v>
      </c>
      <c r="J358" s="486"/>
      <c r="K358" s="482"/>
      <c r="L358" s="487">
        <v>179.9</v>
      </c>
      <c r="M358" s="482"/>
      <c r="N358" s="482"/>
      <c r="O358" s="466"/>
      <c r="P358" s="357"/>
      <c r="Q358" s="357"/>
      <c r="R358" s="357"/>
      <c r="S358" s="357"/>
      <c r="T358" s="357"/>
      <c r="U358" s="357"/>
      <c r="V358" s="357"/>
      <c r="W358" s="357"/>
      <c r="X358" s="357"/>
      <c r="Y358" s="357"/>
      <c r="Z358" s="357"/>
    </row>
    <row r="359" ht="15.75" customHeight="1">
      <c r="A359" s="466" t="s">
        <v>7391</v>
      </c>
      <c r="B359" s="466">
        <v>2024.0</v>
      </c>
      <c r="C359" s="466">
        <f t="shared" si="5"/>
        <v>9</v>
      </c>
      <c r="D359" s="501">
        <v>45558.0</v>
      </c>
      <c r="E359" s="482" t="s">
        <v>2647</v>
      </c>
      <c r="F359" s="482" t="s">
        <v>7843</v>
      </c>
      <c r="G359" s="466" t="s">
        <v>7075</v>
      </c>
      <c r="H359" s="482" t="s">
        <v>7841</v>
      </c>
      <c r="I359" s="482">
        <v>1.0</v>
      </c>
      <c r="J359" s="486"/>
      <c r="K359" s="482"/>
      <c r="L359" s="487">
        <v>96.9</v>
      </c>
      <c r="M359" s="482"/>
      <c r="N359" s="482"/>
      <c r="O359" s="466"/>
      <c r="P359" s="357"/>
      <c r="Q359" s="357"/>
      <c r="R359" s="357"/>
      <c r="S359" s="357"/>
      <c r="T359" s="357"/>
      <c r="U359" s="357"/>
      <c r="V359" s="357"/>
      <c r="W359" s="357"/>
      <c r="X359" s="357"/>
      <c r="Y359" s="357"/>
      <c r="Z359" s="357"/>
    </row>
    <row r="360" ht="15.75" customHeight="1">
      <c r="A360" s="466" t="s">
        <v>7391</v>
      </c>
      <c r="B360" s="466">
        <v>2024.0</v>
      </c>
      <c r="C360" s="466">
        <f t="shared" si="5"/>
        <v>9</v>
      </c>
      <c r="D360" s="501">
        <v>45558.0</v>
      </c>
      <c r="E360" s="482" t="s">
        <v>7844</v>
      </c>
      <c r="F360" s="482" t="s">
        <v>7845</v>
      </c>
      <c r="G360" s="466" t="s">
        <v>7100</v>
      </c>
      <c r="H360" s="482" t="s">
        <v>248</v>
      </c>
      <c r="I360" s="482">
        <v>1.0</v>
      </c>
      <c r="J360" s="486"/>
      <c r="K360" s="482"/>
      <c r="L360" s="487">
        <v>176.9</v>
      </c>
      <c r="M360" s="482"/>
      <c r="N360" s="482"/>
      <c r="O360" s="466"/>
      <c r="P360" s="357"/>
      <c r="Q360" s="357"/>
      <c r="R360" s="357"/>
      <c r="S360" s="357"/>
      <c r="T360" s="357"/>
      <c r="U360" s="357"/>
      <c r="V360" s="357"/>
      <c r="W360" s="357"/>
      <c r="X360" s="357"/>
      <c r="Y360" s="357"/>
      <c r="Z360" s="357"/>
    </row>
    <row r="361" ht="15.75" customHeight="1">
      <c r="A361" s="466" t="s">
        <v>7391</v>
      </c>
      <c r="B361" s="466">
        <v>2024.0</v>
      </c>
      <c r="C361" s="466">
        <f t="shared" si="5"/>
        <v>9</v>
      </c>
      <c r="D361" s="501">
        <v>45559.0</v>
      </c>
      <c r="E361" s="482" t="s">
        <v>7672</v>
      </c>
      <c r="F361" s="482" t="s">
        <v>7846</v>
      </c>
      <c r="G361" s="466" t="s">
        <v>7075</v>
      </c>
      <c r="H361" s="482" t="s">
        <v>226</v>
      </c>
      <c r="I361" s="482">
        <v>1.0</v>
      </c>
      <c r="J361" s="486"/>
      <c r="K361" s="482"/>
      <c r="L361" s="487">
        <v>96.9</v>
      </c>
      <c r="M361" s="482"/>
      <c r="N361" s="482"/>
      <c r="O361" s="466"/>
      <c r="P361" s="357"/>
      <c r="Q361" s="357"/>
      <c r="R361" s="357"/>
      <c r="S361" s="357"/>
      <c r="T361" s="357"/>
      <c r="U361" s="357"/>
      <c r="V361" s="357"/>
      <c r="W361" s="357"/>
      <c r="X361" s="357"/>
      <c r="Y361" s="357"/>
      <c r="Z361" s="357"/>
    </row>
    <row r="362" ht="15.75" customHeight="1">
      <c r="A362" s="466" t="s">
        <v>7391</v>
      </c>
      <c r="B362" s="466">
        <v>2024.0</v>
      </c>
      <c r="C362" s="466">
        <f t="shared" si="5"/>
        <v>9</v>
      </c>
      <c r="D362" s="501">
        <v>45559.0</v>
      </c>
      <c r="E362" s="482" t="s">
        <v>7396</v>
      </c>
      <c r="F362" s="482" t="s">
        <v>7847</v>
      </c>
      <c r="G362" s="466" t="s">
        <v>7075</v>
      </c>
      <c r="H362" s="482" t="s">
        <v>2619</v>
      </c>
      <c r="I362" s="482">
        <v>1.0</v>
      </c>
      <c r="J362" s="486"/>
      <c r="K362" s="482"/>
      <c r="L362" s="487">
        <v>96.9</v>
      </c>
      <c r="M362" s="482"/>
      <c r="N362" s="482"/>
      <c r="O362" s="466"/>
      <c r="P362" s="357"/>
      <c r="Q362" s="357"/>
      <c r="R362" s="357"/>
      <c r="S362" s="357"/>
      <c r="T362" s="357"/>
      <c r="U362" s="357"/>
      <c r="V362" s="357"/>
      <c r="W362" s="357"/>
      <c r="X362" s="357"/>
      <c r="Y362" s="357"/>
      <c r="Z362" s="357"/>
    </row>
    <row r="363" ht="15.75" customHeight="1">
      <c r="A363" s="466" t="s">
        <v>7391</v>
      </c>
      <c r="B363" s="466">
        <v>2024.0</v>
      </c>
      <c r="C363" s="466">
        <f t="shared" si="5"/>
        <v>9</v>
      </c>
      <c r="D363" s="501">
        <v>45559.0</v>
      </c>
      <c r="E363" s="482" t="s">
        <v>7848</v>
      </c>
      <c r="F363" s="482" t="s">
        <v>7849</v>
      </c>
      <c r="G363" s="466" t="s">
        <v>7075</v>
      </c>
      <c r="H363" s="482" t="s">
        <v>226</v>
      </c>
      <c r="I363" s="482">
        <v>1.0</v>
      </c>
      <c r="J363" s="486"/>
      <c r="K363" s="482"/>
      <c r="L363" s="487">
        <v>106.9</v>
      </c>
      <c r="M363" s="482"/>
      <c r="N363" s="482"/>
      <c r="O363" s="466"/>
      <c r="P363" s="357"/>
      <c r="Q363" s="357"/>
      <c r="R363" s="357"/>
      <c r="S363" s="357"/>
      <c r="T363" s="357"/>
      <c r="U363" s="357"/>
      <c r="V363" s="357"/>
      <c r="W363" s="357"/>
      <c r="X363" s="357"/>
      <c r="Y363" s="357"/>
      <c r="Z363" s="357"/>
    </row>
    <row r="364" ht="15.75" customHeight="1">
      <c r="A364" s="466" t="s">
        <v>7391</v>
      </c>
      <c r="B364" s="466">
        <v>2024.0</v>
      </c>
      <c r="C364" s="466">
        <f t="shared" si="5"/>
        <v>9</v>
      </c>
      <c r="D364" s="501">
        <v>45559.0</v>
      </c>
      <c r="E364" s="482" t="s">
        <v>7850</v>
      </c>
      <c r="F364" s="482" t="s">
        <v>7851</v>
      </c>
      <c r="G364" s="466" t="s">
        <v>7075</v>
      </c>
      <c r="H364" s="482" t="s">
        <v>226</v>
      </c>
      <c r="I364" s="482">
        <v>1.0</v>
      </c>
      <c r="J364" s="486"/>
      <c r="K364" s="482"/>
      <c r="L364" s="487">
        <v>96.9</v>
      </c>
      <c r="M364" s="482"/>
      <c r="N364" s="482"/>
      <c r="O364" s="466"/>
      <c r="P364" s="357"/>
      <c r="Q364" s="357"/>
      <c r="R364" s="357"/>
      <c r="S364" s="357"/>
      <c r="T364" s="357"/>
      <c r="U364" s="357"/>
      <c r="V364" s="357"/>
      <c r="W364" s="357"/>
      <c r="X364" s="357"/>
      <c r="Y364" s="357"/>
      <c r="Z364" s="357"/>
    </row>
    <row r="365" ht="15.75" customHeight="1">
      <c r="A365" s="466" t="s">
        <v>7391</v>
      </c>
      <c r="B365" s="466">
        <v>2024.0</v>
      </c>
      <c r="C365" s="466">
        <f t="shared" si="5"/>
        <v>9</v>
      </c>
      <c r="D365" s="501">
        <v>45559.0</v>
      </c>
      <c r="E365" s="482" t="s">
        <v>7805</v>
      </c>
      <c r="F365" s="482" t="s">
        <v>7430</v>
      </c>
      <c r="G365" s="466" t="s">
        <v>7075</v>
      </c>
      <c r="H365" s="482" t="s">
        <v>7647</v>
      </c>
      <c r="I365" s="482">
        <v>1.0</v>
      </c>
      <c r="J365" s="486"/>
      <c r="K365" s="482"/>
      <c r="L365" s="487">
        <v>126.9</v>
      </c>
      <c r="M365" s="482"/>
      <c r="N365" s="482"/>
      <c r="O365" s="466"/>
      <c r="P365" s="357"/>
      <c r="Q365" s="357"/>
      <c r="R365" s="357"/>
      <c r="S365" s="357"/>
      <c r="T365" s="357"/>
      <c r="U365" s="357"/>
      <c r="V365" s="357"/>
      <c r="W365" s="357"/>
      <c r="X365" s="357"/>
      <c r="Y365" s="357"/>
      <c r="Z365" s="357"/>
    </row>
    <row r="366" ht="15.75" customHeight="1">
      <c r="A366" s="466" t="s">
        <v>7391</v>
      </c>
      <c r="B366" s="466">
        <v>2024.0</v>
      </c>
      <c r="C366" s="466">
        <f t="shared" si="5"/>
        <v>9</v>
      </c>
      <c r="D366" s="501">
        <v>45560.0</v>
      </c>
      <c r="E366" s="482" t="s">
        <v>7852</v>
      </c>
      <c r="F366" s="482" t="s">
        <v>7853</v>
      </c>
      <c r="G366" s="466" t="s">
        <v>7075</v>
      </c>
      <c r="H366" s="482" t="s">
        <v>7647</v>
      </c>
      <c r="I366" s="482">
        <v>1.0</v>
      </c>
      <c r="J366" s="486"/>
      <c r="K366" s="482"/>
      <c r="L366" s="487">
        <v>126.9</v>
      </c>
      <c r="M366" s="482"/>
      <c r="N366" s="482"/>
      <c r="O366" s="466"/>
      <c r="P366" s="357"/>
      <c r="Q366" s="357"/>
      <c r="R366" s="357"/>
      <c r="S366" s="357"/>
      <c r="T366" s="357"/>
      <c r="U366" s="357"/>
      <c r="V366" s="357"/>
      <c r="W366" s="357"/>
      <c r="X366" s="357"/>
      <c r="Y366" s="357"/>
      <c r="Z366" s="357"/>
    </row>
    <row r="367" ht="15.75" customHeight="1">
      <c r="A367" s="466" t="s">
        <v>7391</v>
      </c>
      <c r="B367" s="466">
        <v>2024.0</v>
      </c>
      <c r="C367" s="466">
        <f t="shared" si="5"/>
        <v>9</v>
      </c>
      <c r="D367" s="501">
        <v>45560.0</v>
      </c>
      <c r="E367" s="482" t="s">
        <v>2772</v>
      </c>
      <c r="F367" s="482" t="s">
        <v>7854</v>
      </c>
      <c r="G367" s="466" t="s">
        <v>7075</v>
      </c>
      <c r="H367" s="482" t="s">
        <v>226</v>
      </c>
      <c r="I367" s="482">
        <v>1.0</v>
      </c>
      <c r="J367" s="486"/>
      <c r="K367" s="482"/>
      <c r="L367" s="487">
        <v>96.9</v>
      </c>
      <c r="M367" s="482"/>
      <c r="N367" s="482"/>
      <c r="O367" s="466"/>
      <c r="P367" s="357"/>
      <c r="Q367" s="357"/>
      <c r="R367" s="357"/>
      <c r="S367" s="357"/>
      <c r="T367" s="357"/>
      <c r="U367" s="357"/>
      <c r="V367" s="357"/>
      <c r="W367" s="357"/>
      <c r="X367" s="357"/>
      <c r="Y367" s="357"/>
      <c r="Z367" s="357"/>
    </row>
    <row r="368" ht="15.75" customHeight="1">
      <c r="A368" s="466" t="s">
        <v>7391</v>
      </c>
      <c r="B368" s="466">
        <v>2024.0</v>
      </c>
      <c r="C368" s="466">
        <f t="shared" si="5"/>
        <v>9</v>
      </c>
      <c r="D368" s="501">
        <v>45560.0</v>
      </c>
      <c r="E368" s="482" t="s">
        <v>2668</v>
      </c>
      <c r="F368" s="482" t="s">
        <v>7855</v>
      </c>
      <c r="G368" s="466" t="s">
        <v>7075</v>
      </c>
      <c r="H368" s="482" t="s">
        <v>7856</v>
      </c>
      <c r="I368" s="482">
        <v>1.0</v>
      </c>
      <c r="J368" s="486"/>
      <c r="K368" s="482"/>
      <c r="L368" s="487">
        <v>126.9</v>
      </c>
      <c r="M368" s="482"/>
      <c r="N368" s="482"/>
      <c r="O368" s="466"/>
      <c r="P368" s="357"/>
      <c r="Q368" s="357"/>
      <c r="R368" s="357"/>
      <c r="S368" s="357"/>
      <c r="T368" s="357"/>
      <c r="U368" s="357"/>
      <c r="V368" s="357"/>
      <c r="W368" s="357"/>
      <c r="X368" s="357"/>
      <c r="Y368" s="357"/>
      <c r="Z368" s="357"/>
    </row>
    <row r="369" ht="15.75" customHeight="1">
      <c r="A369" s="466" t="s">
        <v>7391</v>
      </c>
      <c r="B369" s="466">
        <v>2024.0</v>
      </c>
      <c r="C369" s="466">
        <f t="shared" si="5"/>
        <v>9</v>
      </c>
      <c r="D369" s="501">
        <v>45561.0</v>
      </c>
      <c r="E369" s="482" t="s">
        <v>2561</v>
      </c>
      <c r="F369" s="482" t="s">
        <v>7857</v>
      </c>
      <c r="G369" s="466" t="s">
        <v>7075</v>
      </c>
      <c r="H369" s="482" t="s">
        <v>7858</v>
      </c>
      <c r="I369" s="482">
        <v>1.0</v>
      </c>
      <c r="J369" s="486"/>
      <c r="K369" s="482"/>
      <c r="L369" s="487">
        <v>126.9</v>
      </c>
      <c r="M369" s="482"/>
      <c r="N369" s="482"/>
      <c r="O369" s="466"/>
      <c r="P369" s="357"/>
      <c r="Q369" s="357"/>
      <c r="R369" s="357"/>
      <c r="S369" s="357"/>
      <c r="T369" s="357"/>
      <c r="U369" s="357"/>
      <c r="V369" s="357"/>
      <c r="W369" s="357"/>
      <c r="X369" s="357"/>
      <c r="Y369" s="357"/>
      <c r="Z369" s="357"/>
    </row>
    <row r="370" ht="15.75" customHeight="1">
      <c r="A370" s="466" t="s">
        <v>7391</v>
      </c>
      <c r="B370" s="466">
        <v>2024.0</v>
      </c>
      <c r="C370" s="466">
        <f t="shared" si="5"/>
        <v>9</v>
      </c>
      <c r="D370" s="501">
        <v>45561.0</v>
      </c>
      <c r="E370" s="482" t="s">
        <v>2665</v>
      </c>
      <c r="F370" s="482" t="s">
        <v>7795</v>
      </c>
      <c r="G370" s="466" t="s">
        <v>7075</v>
      </c>
      <c r="H370" s="482" t="s">
        <v>7856</v>
      </c>
      <c r="I370" s="482">
        <v>1.0</v>
      </c>
      <c r="J370" s="486"/>
      <c r="K370" s="482"/>
      <c r="L370" s="487">
        <v>126.9</v>
      </c>
      <c r="M370" s="482"/>
      <c r="N370" s="482"/>
      <c r="O370" s="466"/>
      <c r="P370" s="357"/>
      <c r="Q370" s="357"/>
      <c r="R370" s="357"/>
      <c r="S370" s="357"/>
      <c r="T370" s="357"/>
      <c r="U370" s="357"/>
      <c r="V370" s="357"/>
      <c r="W370" s="357"/>
      <c r="X370" s="357"/>
      <c r="Y370" s="357"/>
      <c r="Z370" s="357"/>
    </row>
    <row r="371" ht="15.75" customHeight="1">
      <c r="A371" s="466" t="s">
        <v>7391</v>
      </c>
      <c r="B371" s="466">
        <v>2024.0</v>
      </c>
      <c r="C371" s="466">
        <f t="shared" si="5"/>
        <v>9</v>
      </c>
      <c r="D371" s="501">
        <v>45561.0</v>
      </c>
      <c r="E371" s="482" t="s">
        <v>7408</v>
      </c>
      <c r="F371" s="482" t="s">
        <v>7592</v>
      </c>
      <c r="G371" s="466" t="s">
        <v>7106</v>
      </c>
      <c r="H371" s="482"/>
      <c r="I371" s="482">
        <v>1.0</v>
      </c>
      <c r="J371" s="486"/>
      <c r="K371" s="482"/>
      <c r="L371" s="487">
        <v>91.9</v>
      </c>
      <c r="M371" s="482"/>
      <c r="N371" s="482"/>
      <c r="O371" s="466"/>
      <c r="P371" s="357"/>
      <c r="Q371" s="357"/>
      <c r="R371" s="357"/>
      <c r="S371" s="357"/>
      <c r="T371" s="357"/>
      <c r="U371" s="357"/>
      <c r="V371" s="357"/>
      <c r="W371" s="357"/>
      <c r="X371" s="357"/>
      <c r="Y371" s="357"/>
      <c r="Z371" s="357"/>
    </row>
    <row r="372" ht="15.75" customHeight="1">
      <c r="A372" s="466" t="s">
        <v>7391</v>
      </c>
      <c r="B372" s="466">
        <v>2024.0</v>
      </c>
      <c r="C372" s="466">
        <f t="shared" si="5"/>
        <v>9</v>
      </c>
      <c r="D372" s="501">
        <v>45561.0</v>
      </c>
      <c r="E372" s="482" t="s">
        <v>2668</v>
      </c>
      <c r="F372" s="482" t="s">
        <v>7859</v>
      </c>
      <c r="G372" s="466" t="s">
        <v>7075</v>
      </c>
      <c r="H372" s="482" t="s">
        <v>7685</v>
      </c>
      <c r="I372" s="482">
        <v>1.0</v>
      </c>
      <c r="J372" s="486"/>
      <c r="K372" s="482"/>
      <c r="L372" s="487">
        <v>126.9</v>
      </c>
      <c r="M372" s="482"/>
      <c r="N372" s="482"/>
      <c r="O372" s="466"/>
      <c r="P372" s="357"/>
      <c r="Q372" s="357"/>
      <c r="R372" s="357"/>
      <c r="S372" s="357"/>
      <c r="T372" s="357"/>
      <c r="U372" s="357"/>
      <c r="V372" s="357"/>
      <c r="W372" s="357"/>
      <c r="X372" s="357"/>
      <c r="Y372" s="357"/>
      <c r="Z372" s="357"/>
    </row>
    <row r="373" ht="15.75" customHeight="1">
      <c r="A373" s="466" t="s">
        <v>7391</v>
      </c>
      <c r="B373" s="466">
        <v>2024.0</v>
      </c>
      <c r="C373" s="466">
        <f t="shared" si="5"/>
        <v>9</v>
      </c>
      <c r="D373" s="501">
        <v>45561.0</v>
      </c>
      <c r="E373" s="482" t="s">
        <v>7417</v>
      </c>
      <c r="F373" s="482" t="s">
        <v>7860</v>
      </c>
      <c r="G373" s="466" t="s">
        <v>7075</v>
      </c>
      <c r="H373" s="482" t="s">
        <v>2619</v>
      </c>
      <c r="I373" s="482">
        <v>1.0</v>
      </c>
      <c r="J373" s="486"/>
      <c r="K373" s="482"/>
      <c r="L373" s="487">
        <v>106.9</v>
      </c>
      <c r="M373" s="482"/>
      <c r="N373" s="482"/>
      <c r="O373" s="466"/>
      <c r="P373" s="357"/>
      <c r="Q373" s="357"/>
      <c r="R373" s="357"/>
      <c r="S373" s="357"/>
      <c r="T373" s="357"/>
      <c r="U373" s="357"/>
      <c r="V373" s="357"/>
      <c r="W373" s="357"/>
      <c r="X373" s="357"/>
      <c r="Y373" s="357"/>
      <c r="Z373" s="357"/>
    </row>
    <row r="374" ht="15.75" customHeight="1">
      <c r="A374" s="466" t="s">
        <v>7391</v>
      </c>
      <c r="B374" s="466">
        <v>2024.0</v>
      </c>
      <c r="C374" s="466">
        <f t="shared" si="5"/>
        <v>9</v>
      </c>
      <c r="D374" s="501">
        <v>45561.0</v>
      </c>
      <c r="E374" s="482" t="s">
        <v>7861</v>
      </c>
      <c r="F374" s="482" t="s">
        <v>7862</v>
      </c>
      <c r="G374" s="466" t="s">
        <v>7075</v>
      </c>
      <c r="H374" s="482" t="s">
        <v>7856</v>
      </c>
      <c r="I374" s="482">
        <v>1.0</v>
      </c>
      <c r="J374" s="486"/>
      <c r="K374" s="482"/>
      <c r="L374" s="487">
        <v>126.9</v>
      </c>
      <c r="M374" s="482"/>
      <c r="N374" s="482"/>
      <c r="O374" s="466"/>
      <c r="P374" s="357"/>
      <c r="Q374" s="357"/>
      <c r="R374" s="357"/>
      <c r="S374" s="357"/>
      <c r="T374" s="357"/>
      <c r="U374" s="357"/>
      <c r="V374" s="357"/>
      <c r="W374" s="357"/>
      <c r="X374" s="357"/>
      <c r="Y374" s="357"/>
      <c r="Z374" s="357"/>
    </row>
    <row r="375" ht="15.75" customHeight="1">
      <c r="A375" s="466" t="s">
        <v>7391</v>
      </c>
      <c r="B375" s="466">
        <v>2024.0</v>
      </c>
      <c r="C375" s="466">
        <f t="shared" si="5"/>
        <v>9</v>
      </c>
      <c r="D375" s="501">
        <v>45562.0</v>
      </c>
      <c r="E375" s="482" t="s">
        <v>2780</v>
      </c>
      <c r="F375" s="482" t="s">
        <v>7863</v>
      </c>
      <c r="G375" s="466" t="s">
        <v>7075</v>
      </c>
      <c r="H375" s="482" t="s">
        <v>7685</v>
      </c>
      <c r="I375" s="482">
        <v>1.0</v>
      </c>
      <c r="J375" s="486"/>
      <c r="K375" s="482"/>
      <c r="L375" s="487">
        <v>126.9</v>
      </c>
      <c r="M375" s="482"/>
      <c r="N375" s="482"/>
      <c r="O375" s="466"/>
      <c r="P375" s="357"/>
      <c r="Q375" s="357"/>
      <c r="R375" s="357"/>
      <c r="S375" s="357"/>
      <c r="T375" s="357"/>
      <c r="U375" s="357"/>
      <c r="V375" s="357"/>
      <c r="W375" s="357"/>
      <c r="X375" s="357"/>
      <c r="Y375" s="357"/>
      <c r="Z375" s="357"/>
    </row>
    <row r="376" ht="15.75" customHeight="1">
      <c r="A376" s="466" t="s">
        <v>7391</v>
      </c>
      <c r="B376" s="466">
        <v>2024.0</v>
      </c>
      <c r="C376" s="466">
        <f t="shared" si="5"/>
        <v>9</v>
      </c>
      <c r="D376" s="501">
        <v>45562.0</v>
      </c>
      <c r="E376" s="482" t="s">
        <v>7427</v>
      </c>
      <c r="F376" s="482" t="s">
        <v>7864</v>
      </c>
      <c r="G376" s="466" t="s">
        <v>7075</v>
      </c>
      <c r="H376" s="482" t="s">
        <v>7685</v>
      </c>
      <c r="I376" s="482">
        <v>1.0</v>
      </c>
      <c r="J376" s="486"/>
      <c r="K376" s="482"/>
      <c r="L376" s="487">
        <v>126.9</v>
      </c>
      <c r="M376" s="482"/>
      <c r="N376" s="482"/>
      <c r="O376" s="466"/>
      <c r="P376" s="357"/>
      <c r="Q376" s="357"/>
      <c r="R376" s="357"/>
      <c r="S376" s="357"/>
      <c r="T376" s="357"/>
      <c r="U376" s="357"/>
      <c r="V376" s="357"/>
      <c r="W376" s="357"/>
      <c r="X376" s="357"/>
      <c r="Y376" s="357"/>
      <c r="Z376" s="357"/>
    </row>
    <row r="377" ht="15.75" customHeight="1">
      <c r="A377" s="466" t="s">
        <v>7391</v>
      </c>
      <c r="B377" s="466">
        <v>2024.0</v>
      </c>
      <c r="C377" s="466">
        <f t="shared" si="5"/>
        <v>9</v>
      </c>
      <c r="D377" s="501">
        <v>45562.0</v>
      </c>
      <c r="E377" s="482" t="s">
        <v>2623</v>
      </c>
      <c r="F377" s="482" t="s">
        <v>7865</v>
      </c>
      <c r="G377" s="466" t="s">
        <v>7075</v>
      </c>
      <c r="H377" s="482" t="s">
        <v>7858</v>
      </c>
      <c r="I377" s="482">
        <v>1.0</v>
      </c>
      <c r="J377" s="486"/>
      <c r="K377" s="482"/>
      <c r="L377" s="487">
        <v>126.9</v>
      </c>
      <c r="M377" s="482"/>
      <c r="N377" s="482"/>
      <c r="O377" s="466"/>
      <c r="P377" s="357"/>
      <c r="Q377" s="357"/>
      <c r="R377" s="357"/>
      <c r="S377" s="357"/>
      <c r="T377" s="357"/>
      <c r="U377" s="357"/>
      <c r="V377" s="357"/>
      <c r="W377" s="357"/>
      <c r="X377" s="357"/>
      <c r="Y377" s="357"/>
      <c r="Z377" s="357"/>
    </row>
    <row r="378" ht="15.75" customHeight="1">
      <c r="A378" s="466" t="s">
        <v>7391</v>
      </c>
      <c r="B378" s="466">
        <v>2024.0</v>
      </c>
      <c r="C378" s="466">
        <f t="shared" si="5"/>
        <v>9</v>
      </c>
      <c r="D378" s="501">
        <v>45562.0</v>
      </c>
      <c r="E378" s="482" t="s">
        <v>2607</v>
      </c>
      <c r="F378" s="482" t="s">
        <v>7866</v>
      </c>
      <c r="G378" s="466" t="s">
        <v>7075</v>
      </c>
      <c r="H378" s="482" t="s">
        <v>7858</v>
      </c>
      <c r="I378" s="482">
        <v>1.0</v>
      </c>
      <c r="J378" s="486"/>
      <c r="K378" s="482"/>
      <c r="L378" s="487">
        <v>126.9</v>
      </c>
      <c r="M378" s="482"/>
      <c r="N378" s="482"/>
      <c r="O378" s="466"/>
      <c r="P378" s="357"/>
      <c r="Q378" s="357"/>
      <c r="R378" s="357"/>
      <c r="S378" s="357"/>
      <c r="T378" s="357"/>
      <c r="U378" s="357"/>
      <c r="V378" s="357"/>
      <c r="W378" s="357"/>
      <c r="X378" s="357"/>
      <c r="Y378" s="357"/>
      <c r="Z378" s="357"/>
    </row>
    <row r="379" ht="15.75" customHeight="1">
      <c r="A379" s="466" t="s">
        <v>7391</v>
      </c>
      <c r="B379" s="466">
        <v>2024.0</v>
      </c>
      <c r="C379" s="466">
        <f t="shared" si="5"/>
        <v>9</v>
      </c>
      <c r="D379" s="501">
        <v>45563.0</v>
      </c>
      <c r="E379" s="482" t="s">
        <v>7559</v>
      </c>
      <c r="F379" s="482" t="s">
        <v>7867</v>
      </c>
      <c r="G379" s="466" t="s">
        <v>7100</v>
      </c>
      <c r="H379" s="482" t="s">
        <v>248</v>
      </c>
      <c r="I379" s="482">
        <v>1.0</v>
      </c>
      <c r="J379" s="486"/>
      <c r="K379" s="482"/>
      <c r="L379" s="487">
        <v>176.9</v>
      </c>
      <c r="M379" s="482"/>
      <c r="N379" s="482"/>
      <c r="O379" s="466"/>
      <c r="P379" s="357"/>
      <c r="Q379" s="357"/>
      <c r="R379" s="357"/>
      <c r="S379" s="357"/>
      <c r="T379" s="357"/>
      <c r="U379" s="357"/>
      <c r="V379" s="357"/>
      <c r="W379" s="357"/>
      <c r="X379" s="357"/>
      <c r="Y379" s="357"/>
      <c r="Z379" s="357"/>
    </row>
    <row r="380" ht="15.75" customHeight="1">
      <c r="A380" s="466" t="s">
        <v>7391</v>
      </c>
      <c r="B380" s="466">
        <v>2024.0</v>
      </c>
      <c r="C380" s="466">
        <f t="shared" si="5"/>
        <v>9</v>
      </c>
      <c r="D380" s="501">
        <v>45563.0</v>
      </c>
      <c r="E380" s="482" t="s">
        <v>2772</v>
      </c>
      <c r="F380" s="482"/>
      <c r="G380" s="466" t="s">
        <v>7075</v>
      </c>
      <c r="H380" s="482" t="s">
        <v>7685</v>
      </c>
      <c r="I380" s="482">
        <v>1.0</v>
      </c>
      <c r="J380" s="486"/>
      <c r="K380" s="482" t="s">
        <v>3009</v>
      </c>
      <c r="L380" s="487">
        <v>136.0</v>
      </c>
      <c r="M380" s="482"/>
      <c r="N380" s="482"/>
      <c r="O380" s="466"/>
      <c r="P380" s="357"/>
      <c r="Q380" s="357"/>
      <c r="R380" s="357"/>
      <c r="S380" s="357"/>
      <c r="T380" s="357"/>
      <c r="U380" s="357"/>
      <c r="V380" s="357"/>
      <c r="W380" s="357"/>
      <c r="X380" s="357"/>
      <c r="Y380" s="357"/>
      <c r="Z380" s="357"/>
    </row>
    <row r="381" ht="15.75" customHeight="1">
      <c r="A381" s="466" t="s">
        <v>7391</v>
      </c>
      <c r="B381" s="466">
        <v>2024.0</v>
      </c>
      <c r="C381" s="466">
        <f t="shared" si="5"/>
        <v>9</v>
      </c>
      <c r="D381" s="501">
        <v>45563.0</v>
      </c>
      <c r="E381" s="482" t="s">
        <v>2623</v>
      </c>
      <c r="F381" s="482" t="s">
        <v>7868</v>
      </c>
      <c r="G381" s="466" t="s">
        <v>7075</v>
      </c>
      <c r="H381" s="482" t="s">
        <v>6867</v>
      </c>
      <c r="I381" s="482">
        <v>1.0</v>
      </c>
      <c r="J381" s="486"/>
      <c r="K381" s="482" t="s">
        <v>7393</v>
      </c>
      <c r="L381" s="487">
        <v>126.9</v>
      </c>
      <c r="M381" s="482"/>
      <c r="N381" s="482"/>
      <c r="O381" s="466"/>
      <c r="P381" s="357"/>
      <c r="Q381" s="357"/>
      <c r="R381" s="357"/>
      <c r="S381" s="357"/>
      <c r="T381" s="357"/>
      <c r="U381" s="357"/>
      <c r="V381" s="357"/>
      <c r="W381" s="357"/>
      <c r="X381" s="357"/>
      <c r="Y381" s="357"/>
      <c r="Z381" s="357"/>
    </row>
    <row r="382" ht="15.75" customHeight="1">
      <c r="A382" s="466" t="s">
        <v>7391</v>
      </c>
      <c r="B382" s="466">
        <v>2024.0</v>
      </c>
      <c r="C382" s="466">
        <f t="shared" si="5"/>
        <v>9</v>
      </c>
      <c r="D382" s="467">
        <v>45563.0</v>
      </c>
      <c r="E382" s="482" t="s">
        <v>7637</v>
      </c>
      <c r="F382" s="482" t="s">
        <v>7797</v>
      </c>
      <c r="G382" s="466" t="s">
        <v>7100</v>
      </c>
      <c r="H382" s="482" t="s">
        <v>248</v>
      </c>
      <c r="I382" s="482">
        <v>2.0</v>
      </c>
      <c r="J382" s="486"/>
      <c r="K382" s="482" t="s">
        <v>7393</v>
      </c>
      <c r="L382" s="487">
        <v>340.0</v>
      </c>
      <c r="M382" s="482"/>
      <c r="N382" s="482"/>
      <c r="O382" s="466"/>
      <c r="P382" s="357"/>
      <c r="Q382" s="357"/>
      <c r="R382" s="357"/>
      <c r="S382" s="357"/>
      <c r="T382" s="357"/>
      <c r="U382" s="357"/>
      <c r="V382" s="357"/>
      <c r="W382" s="357"/>
      <c r="X382" s="357"/>
      <c r="Y382" s="357"/>
      <c r="Z382" s="357"/>
    </row>
    <row r="383" ht="15.75" customHeight="1">
      <c r="A383" s="466" t="s">
        <v>7391</v>
      </c>
      <c r="B383" s="466">
        <v>2024.0</v>
      </c>
      <c r="C383" s="466">
        <f t="shared" si="5"/>
        <v>9</v>
      </c>
      <c r="D383" s="467">
        <v>45563.0</v>
      </c>
      <c r="E383" s="482" t="s">
        <v>7869</v>
      </c>
      <c r="F383" s="482" t="s">
        <v>7870</v>
      </c>
      <c r="G383" s="466" t="s">
        <v>7100</v>
      </c>
      <c r="H383" s="482" t="s">
        <v>248</v>
      </c>
      <c r="I383" s="482">
        <v>1.0</v>
      </c>
      <c r="J383" s="486"/>
      <c r="K383" s="482" t="s">
        <v>7393</v>
      </c>
      <c r="L383" s="487">
        <v>176.9</v>
      </c>
      <c r="M383" s="482"/>
      <c r="N383" s="482"/>
      <c r="O383" s="466"/>
      <c r="P383" s="357"/>
      <c r="Q383" s="357"/>
      <c r="R383" s="357"/>
      <c r="S383" s="357"/>
      <c r="T383" s="357"/>
      <c r="U383" s="357"/>
      <c r="V383" s="357"/>
      <c r="W383" s="357"/>
      <c r="X383" s="357"/>
      <c r="Y383" s="357"/>
      <c r="Z383" s="357"/>
    </row>
    <row r="384" ht="15.75" customHeight="1">
      <c r="A384" s="466" t="s">
        <v>7391</v>
      </c>
      <c r="B384" s="466">
        <v>2024.0</v>
      </c>
      <c r="C384" s="466">
        <f t="shared" si="5"/>
        <v>9</v>
      </c>
      <c r="D384" s="467">
        <v>45564.0</v>
      </c>
      <c r="E384" s="482" t="s">
        <v>7871</v>
      </c>
      <c r="F384" s="482"/>
      <c r="G384" s="466" t="s">
        <v>7075</v>
      </c>
      <c r="H384" s="482" t="s">
        <v>7872</v>
      </c>
      <c r="I384" s="482">
        <v>1.0</v>
      </c>
      <c r="J384" s="486"/>
      <c r="K384" s="482" t="s">
        <v>7393</v>
      </c>
      <c r="L384" s="487">
        <v>126.9</v>
      </c>
      <c r="M384" s="482"/>
      <c r="N384" s="482"/>
      <c r="O384" s="466"/>
      <c r="P384" s="357"/>
      <c r="Q384" s="357"/>
      <c r="R384" s="357"/>
      <c r="S384" s="357"/>
      <c r="T384" s="357"/>
      <c r="U384" s="357"/>
      <c r="V384" s="357"/>
      <c r="W384" s="357"/>
      <c r="X384" s="357"/>
      <c r="Y384" s="357"/>
      <c r="Z384" s="357"/>
    </row>
    <row r="385" ht="15.75" customHeight="1">
      <c r="A385" s="466" t="s">
        <v>7391</v>
      </c>
      <c r="B385" s="466">
        <v>2024.0</v>
      </c>
      <c r="C385" s="466">
        <f t="shared" si="5"/>
        <v>9</v>
      </c>
      <c r="D385" s="467">
        <v>45564.0</v>
      </c>
      <c r="E385" s="482" t="s">
        <v>2638</v>
      </c>
      <c r="F385" s="482" t="s">
        <v>7873</v>
      </c>
      <c r="G385" s="466" t="s">
        <v>7075</v>
      </c>
      <c r="H385" s="482" t="s">
        <v>6867</v>
      </c>
      <c r="I385" s="482">
        <v>1.0</v>
      </c>
      <c r="J385" s="486"/>
      <c r="K385" s="482" t="s">
        <v>7393</v>
      </c>
      <c r="L385" s="487">
        <v>126.9</v>
      </c>
      <c r="M385" s="482"/>
      <c r="N385" s="482"/>
      <c r="O385" s="466"/>
      <c r="P385" s="357"/>
      <c r="Q385" s="357"/>
      <c r="R385" s="357"/>
      <c r="S385" s="357"/>
      <c r="T385" s="357"/>
      <c r="U385" s="357"/>
      <c r="V385" s="357"/>
      <c r="W385" s="357"/>
      <c r="X385" s="357"/>
      <c r="Y385" s="357"/>
      <c r="Z385" s="357"/>
    </row>
    <row r="386" ht="15.75" customHeight="1">
      <c r="A386" s="466" t="s">
        <v>7391</v>
      </c>
      <c r="B386" s="466">
        <v>2024.0</v>
      </c>
      <c r="C386" s="466">
        <f t="shared" si="5"/>
        <v>10</v>
      </c>
      <c r="D386" s="467">
        <v>45566.0</v>
      </c>
      <c r="E386" s="482" t="s">
        <v>7874</v>
      </c>
      <c r="F386" s="482" t="s">
        <v>7875</v>
      </c>
      <c r="G386" s="466" t="s">
        <v>7075</v>
      </c>
      <c r="H386" s="482" t="s">
        <v>7856</v>
      </c>
      <c r="I386" s="482">
        <v>1.0</v>
      </c>
      <c r="J386" s="486"/>
      <c r="K386" s="482" t="s">
        <v>7393</v>
      </c>
      <c r="L386" s="487">
        <v>126.9</v>
      </c>
      <c r="M386" s="482"/>
      <c r="N386" s="482"/>
      <c r="O386" s="466"/>
      <c r="P386" s="357"/>
      <c r="Q386" s="357"/>
      <c r="R386" s="357"/>
      <c r="S386" s="357"/>
      <c r="T386" s="357"/>
      <c r="U386" s="357"/>
      <c r="V386" s="357"/>
      <c r="W386" s="357"/>
      <c r="X386" s="357"/>
      <c r="Y386" s="357"/>
      <c r="Z386" s="357"/>
    </row>
    <row r="387" ht="15.75" customHeight="1">
      <c r="A387" s="466" t="s">
        <v>7391</v>
      </c>
      <c r="B387" s="466">
        <v>2024.0</v>
      </c>
      <c r="C387" s="466">
        <f t="shared" si="5"/>
        <v>10</v>
      </c>
      <c r="D387" s="467">
        <v>45566.0</v>
      </c>
      <c r="E387" s="482" t="s">
        <v>7876</v>
      </c>
      <c r="F387" s="482" t="s">
        <v>7877</v>
      </c>
      <c r="G387" s="466" t="s">
        <v>7075</v>
      </c>
      <c r="H387" s="482" t="s">
        <v>7878</v>
      </c>
      <c r="I387" s="482">
        <v>1.0</v>
      </c>
      <c r="J387" s="486"/>
      <c r="K387" s="482" t="s">
        <v>7393</v>
      </c>
      <c r="L387" s="487">
        <v>126.9</v>
      </c>
      <c r="M387" s="482"/>
      <c r="N387" s="482"/>
      <c r="O387" s="466"/>
      <c r="P387" s="357"/>
      <c r="Q387" s="357"/>
      <c r="R387" s="357"/>
      <c r="S387" s="357"/>
      <c r="T387" s="357"/>
      <c r="U387" s="357"/>
      <c r="V387" s="357"/>
      <c r="W387" s="357"/>
      <c r="X387" s="357"/>
      <c r="Y387" s="357"/>
      <c r="Z387" s="357"/>
    </row>
    <row r="388" ht="15.75" customHeight="1">
      <c r="A388" s="466" t="s">
        <v>7391</v>
      </c>
      <c r="B388" s="466">
        <v>2024.0</v>
      </c>
      <c r="C388" s="466">
        <f t="shared" si="5"/>
        <v>10</v>
      </c>
      <c r="D388" s="467">
        <v>45566.0</v>
      </c>
      <c r="E388" s="482" t="s">
        <v>2193</v>
      </c>
      <c r="F388" s="482" t="s">
        <v>7879</v>
      </c>
      <c r="G388" s="466" t="s">
        <v>7075</v>
      </c>
      <c r="H388" s="482" t="s">
        <v>7878</v>
      </c>
      <c r="I388" s="482">
        <v>1.0</v>
      </c>
      <c r="J388" s="486"/>
      <c r="K388" s="482" t="s">
        <v>3009</v>
      </c>
      <c r="L388" s="487">
        <v>126.9</v>
      </c>
      <c r="M388" s="482"/>
      <c r="N388" s="482"/>
      <c r="O388" s="466"/>
      <c r="P388" s="357"/>
      <c r="Q388" s="357"/>
      <c r="R388" s="357"/>
      <c r="S388" s="357"/>
      <c r="T388" s="357"/>
      <c r="U388" s="357"/>
      <c r="V388" s="357"/>
      <c r="W388" s="357"/>
      <c r="X388" s="357"/>
      <c r="Y388" s="357"/>
      <c r="Z388" s="357"/>
    </row>
    <row r="389" ht="15.75" customHeight="1">
      <c r="A389" s="466" t="s">
        <v>7391</v>
      </c>
      <c r="B389" s="466">
        <v>2024.0</v>
      </c>
      <c r="C389" s="466">
        <f t="shared" si="5"/>
        <v>10</v>
      </c>
      <c r="D389" s="467">
        <v>45567.0</v>
      </c>
      <c r="E389" s="482" t="s">
        <v>2668</v>
      </c>
      <c r="F389" s="482" t="s">
        <v>7880</v>
      </c>
      <c r="G389" s="466" t="s">
        <v>7100</v>
      </c>
      <c r="H389" s="482" t="s">
        <v>248</v>
      </c>
      <c r="I389" s="482">
        <v>1.0</v>
      </c>
      <c r="J389" s="486"/>
      <c r="K389" s="482" t="s">
        <v>7393</v>
      </c>
      <c r="L389" s="487">
        <v>176.9</v>
      </c>
      <c r="M389" s="482"/>
      <c r="N389" s="482"/>
      <c r="O389" s="466"/>
      <c r="P389" s="357"/>
      <c r="Q389" s="357"/>
      <c r="R389" s="357"/>
      <c r="S389" s="357"/>
      <c r="T389" s="357"/>
      <c r="U389" s="357"/>
      <c r="V389" s="357"/>
      <c r="W389" s="357"/>
      <c r="X389" s="357"/>
      <c r="Y389" s="357"/>
      <c r="Z389" s="357"/>
    </row>
    <row r="390" ht="15.75" customHeight="1">
      <c r="A390" s="466" t="s">
        <v>7391</v>
      </c>
      <c r="B390" s="466">
        <v>2024.0</v>
      </c>
      <c r="C390" s="466">
        <f t="shared" si="5"/>
        <v>10</v>
      </c>
      <c r="D390" s="467">
        <v>45567.0</v>
      </c>
      <c r="E390" s="482" t="s">
        <v>7881</v>
      </c>
      <c r="F390" s="482" t="s">
        <v>7882</v>
      </c>
      <c r="G390" s="466" t="s">
        <v>7075</v>
      </c>
      <c r="H390" s="482" t="s">
        <v>7878</v>
      </c>
      <c r="I390" s="482">
        <v>1.0</v>
      </c>
      <c r="J390" s="486"/>
      <c r="K390" s="482" t="s">
        <v>7393</v>
      </c>
      <c r="L390" s="487">
        <v>135.0</v>
      </c>
      <c r="M390" s="482"/>
      <c r="N390" s="482"/>
      <c r="O390" s="466"/>
      <c r="P390" s="357"/>
      <c r="Q390" s="357"/>
      <c r="R390" s="357"/>
      <c r="S390" s="357"/>
      <c r="T390" s="357"/>
      <c r="U390" s="357"/>
      <c r="V390" s="357"/>
      <c r="W390" s="357"/>
      <c r="X390" s="357"/>
      <c r="Y390" s="357"/>
      <c r="Z390" s="357"/>
    </row>
    <row r="391" ht="15.75" customHeight="1">
      <c r="A391" s="466" t="s">
        <v>7391</v>
      </c>
      <c r="B391" s="466">
        <v>2024.0</v>
      </c>
      <c r="C391" s="466">
        <f t="shared" si="5"/>
        <v>10</v>
      </c>
      <c r="D391" s="467">
        <v>45567.0</v>
      </c>
      <c r="E391" s="482" t="s">
        <v>7883</v>
      </c>
      <c r="F391" s="482" t="s">
        <v>7884</v>
      </c>
      <c r="G391" s="466" t="s">
        <v>7075</v>
      </c>
      <c r="H391" s="482" t="s">
        <v>7878</v>
      </c>
      <c r="I391" s="482">
        <v>1.0</v>
      </c>
      <c r="J391" s="486"/>
      <c r="K391" s="482" t="s">
        <v>7393</v>
      </c>
      <c r="L391" s="487">
        <v>126.9</v>
      </c>
      <c r="M391" s="482"/>
      <c r="N391" s="482"/>
      <c r="O391" s="466"/>
      <c r="P391" s="357"/>
      <c r="Q391" s="357"/>
      <c r="R391" s="357"/>
      <c r="S391" s="357"/>
      <c r="T391" s="357"/>
      <c r="U391" s="357"/>
      <c r="V391" s="357"/>
      <c r="W391" s="357"/>
      <c r="X391" s="357"/>
      <c r="Y391" s="357"/>
      <c r="Z391" s="357"/>
    </row>
    <row r="392" ht="15.75" customHeight="1">
      <c r="A392" s="466" t="s">
        <v>7391</v>
      </c>
      <c r="B392" s="466">
        <v>2024.0</v>
      </c>
      <c r="C392" s="466">
        <f t="shared" si="5"/>
        <v>10</v>
      </c>
      <c r="D392" s="467">
        <v>45567.0</v>
      </c>
      <c r="E392" s="482" t="s">
        <v>2193</v>
      </c>
      <c r="F392" s="482" t="s">
        <v>7807</v>
      </c>
      <c r="G392" s="466" t="s">
        <v>7075</v>
      </c>
      <c r="H392" s="482" t="s">
        <v>2619</v>
      </c>
      <c r="I392" s="482">
        <v>1.0</v>
      </c>
      <c r="J392" s="486"/>
      <c r="K392" s="482" t="s">
        <v>7393</v>
      </c>
      <c r="L392" s="487">
        <v>106.9</v>
      </c>
      <c r="M392" s="482"/>
      <c r="N392" s="482"/>
      <c r="O392" s="466"/>
      <c r="P392" s="357"/>
      <c r="Q392" s="357"/>
      <c r="R392" s="357"/>
      <c r="S392" s="357"/>
      <c r="T392" s="357"/>
      <c r="U392" s="357"/>
      <c r="V392" s="357"/>
      <c r="W392" s="357"/>
      <c r="X392" s="357"/>
      <c r="Y392" s="357"/>
      <c r="Z392" s="357"/>
    </row>
    <row r="393" ht="15.75" customHeight="1">
      <c r="A393" s="466" t="s">
        <v>7391</v>
      </c>
      <c r="B393" s="466">
        <v>2024.0</v>
      </c>
      <c r="C393" s="466">
        <f t="shared" si="5"/>
        <v>10</v>
      </c>
      <c r="D393" s="467">
        <v>45569.0</v>
      </c>
      <c r="E393" s="482" t="s">
        <v>7637</v>
      </c>
      <c r="F393" s="482" t="s">
        <v>7885</v>
      </c>
      <c r="G393" s="466" t="s">
        <v>7075</v>
      </c>
      <c r="H393" s="482" t="s">
        <v>6867</v>
      </c>
      <c r="I393" s="482">
        <v>1.0</v>
      </c>
      <c r="J393" s="486"/>
      <c r="K393" s="482" t="s">
        <v>7393</v>
      </c>
      <c r="L393" s="487">
        <v>126.9</v>
      </c>
      <c r="M393" s="482"/>
      <c r="N393" s="482"/>
      <c r="O393" s="466"/>
      <c r="P393" s="357"/>
      <c r="Q393" s="357"/>
      <c r="R393" s="357"/>
      <c r="S393" s="357"/>
      <c r="T393" s="357"/>
      <c r="U393" s="357"/>
      <c r="V393" s="357"/>
      <c r="W393" s="357"/>
      <c r="X393" s="357"/>
      <c r="Y393" s="357"/>
      <c r="Z393" s="357"/>
    </row>
    <row r="394" ht="15.75" customHeight="1">
      <c r="A394" s="466" t="s">
        <v>7391</v>
      </c>
      <c r="B394" s="466">
        <v>2024.0</v>
      </c>
      <c r="C394" s="466">
        <f t="shared" si="5"/>
        <v>10</v>
      </c>
      <c r="D394" s="467">
        <v>45569.0</v>
      </c>
      <c r="E394" s="482" t="s">
        <v>7396</v>
      </c>
      <c r="F394" s="482" t="s">
        <v>7886</v>
      </c>
      <c r="G394" s="466" t="s">
        <v>7075</v>
      </c>
      <c r="H394" s="482" t="s">
        <v>6867</v>
      </c>
      <c r="I394" s="482">
        <v>1.0</v>
      </c>
      <c r="J394" s="486"/>
      <c r="K394" s="482" t="s">
        <v>7393</v>
      </c>
      <c r="L394" s="487">
        <v>126.9</v>
      </c>
      <c r="M394" s="482"/>
      <c r="N394" s="482"/>
      <c r="O394" s="466"/>
      <c r="P394" s="357"/>
      <c r="Q394" s="357"/>
      <c r="R394" s="357"/>
      <c r="S394" s="357"/>
      <c r="T394" s="357"/>
      <c r="U394" s="357"/>
      <c r="V394" s="357"/>
      <c r="W394" s="357"/>
      <c r="X394" s="357"/>
      <c r="Y394" s="357"/>
      <c r="Z394" s="357"/>
    </row>
    <row r="395" ht="15.75" customHeight="1">
      <c r="A395" s="466" t="s">
        <v>7391</v>
      </c>
      <c r="B395" s="466">
        <v>2024.0</v>
      </c>
      <c r="C395" s="466">
        <f t="shared" si="5"/>
        <v>10</v>
      </c>
      <c r="D395" s="467">
        <v>45569.0</v>
      </c>
      <c r="E395" s="482" t="s">
        <v>7887</v>
      </c>
      <c r="F395" s="482" t="s">
        <v>7888</v>
      </c>
      <c r="G395" s="466" t="s">
        <v>7075</v>
      </c>
      <c r="H395" s="482" t="s">
        <v>7878</v>
      </c>
      <c r="I395" s="482">
        <v>1.0</v>
      </c>
      <c r="J395" s="486"/>
      <c r="K395" s="482" t="s">
        <v>7393</v>
      </c>
      <c r="L395" s="487">
        <v>126.9</v>
      </c>
      <c r="M395" s="482"/>
      <c r="N395" s="482"/>
      <c r="O395" s="466"/>
      <c r="P395" s="357"/>
      <c r="Q395" s="357"/>
      <c r="R395" s="357"/>
      <c r="S395" s="357"/>
      <c r="T395" s="357"/>
      <c r="U395" s="357"/>
      <c r="V395" s="357"/>
      <c r="W395" s="357"/>
      <c r="X395" s="357"/>
      <c r="Y395" s="357"/>
      <c r="Z395" s="357"/>
    </row>
    <row r="396" ht="15.75" customHeight="1">
      <c r="A396" s="466" t="s">
        <v>7391</v>
      </c>
      <c r="B396" s="466">
        <v>2024.0</v>
      </c>
      <c r="C396" s="466">
        <f t="shared" si="5"/>
        <v>10</v>
      </c>
      <c r="D396" s="467">
        <v>45570.0</v>
      </c>
      <c r="E396" s="482" t="s">
        <v>7760</v>
      </c>
      <c r="F396" s="482" t="s">
        <v>7830</v>
      </c>
      <c r="G396" s="466" t="s">
        <v>7075</v>
      </c>
      <c r="H396" s="482" t="s">
        <v>6867</v>
      </c>
      <c r="I396" s="482">
        <v>1.0</v>
      </c>
      <c r="J396" s="486"/>
      <c r="K396" s="482" t="s">
        <v>7393</v>
      </c>
      <c r="L396" s="487">
        <v>126.9</v>
      </c>
      <c r="M396" s="482"/>
      <c r="N396" s="482"/>
      <c r="O396" s="466"/>
      <c r="P396" s="357"/>
      <c r="Q396" s="357"/>
      <c r="R396" s="357"/>
      <c r="S396" s="357"/>
      <c r="T396" s="357"/>
      <c r="U396" s="357"/>
      <c r="V396" s="357"/>
      <c r="W396" s="357"/>
      <c r="X396" s="357"/>
      <c r="Y396" s="357"/>
      <c r="Z396" s="357"/>
    </row>
    <row r="397" ht="15.75" customHeight="1">
      <c r="A397" s="466" t="s">
        <v>7391</v>
      </c>
      <c r="B397" s="466">
        <v>2024.0</v>
      </c>
      <c r="C397" s="466">
        <f t="shared" si="5"/>
        <v>10</v>
      </c>
      <c r="D397" s="467">
        <v>45570.0</v>
      </c>
      <c r="E397" s="482" t="s">
        <v>7889</v>
      </c>
      <c r="F397" s="482" t="s">
        <v>7890</v>
      </c>
      <c r="G397" s="466" t="s">
        <v>7100</v>
      </c>
      <c r="H397" s="482" t="s">
        <v>248</v>
      </c>
      <c r="I397" s="482">
        <v>1.0</v>
      </c>
      <c r="J397" s="486"/>
      <c r="K397" s="482" t="s">
        <v>7393</v>
      </c>
      <c r="L397" s="487">
        <v>176.9</v>
      </c>
      <c r="M397" s="482"/>
      <c r="N397" s="482"/>
      <c r="O397" s="466"/>
      <c r="P397" s="357"/>
      <c r="Q397" s="357"/>
      <c r="R397" s="357"/>
      <c r="S397" s="357"/>
      <c r="T397" s="357"/>
      <c r="U397" s="357"/>
      <c r="V397" s="357"/>
      <c r="W397" s="357"/>
      <c r="X397" s="357"/>
      <c r="Y397" s="357"/>
      <c r="Z397" s="357"/>
    </row>
    <row r="398" ht="15.75" customHeight="1">
      <c r="A398" s="466" t="s">
        <v>7391</v>
      </c>
      <c r="B398" s="466">
        <v>2024.0</v>
      </c>
      <c r="C398" s="466">
        <f t="shared" si="5"/>
        <v>10</v>
      </c>
      <c r="D398" s="467">
        <v>45571.0</v>
      </c>
      <c r="E398" s="482" t="s">
        <v>2623</v>
      </c>
      <c r="F398" s="482" t="s">
        <v>7891</v>
      </c>
      <c r="G398" s="466" t="s">
        <v>7075</v>
      </c>
      <c r="H398" s="482" t="s">
        <v>7878</v>
      </c>
      <c r="I398" s="482">
        <v>1.0</v>
      </c>
      <c r="J398" s="486"/>
      <c r="K398" s="482" t="s">
        <v>7393</v>
      </c>
      <c r="L398" s="487">
        <v>126.9</v>
      </c>
      <c r="M398" s="482"/>
      <c r="N398" s="482"/>
      <c r="O398" s="466"/>
      <c r="P398" s="357"/>
      <c r="Q398" s="357"/>
      <c r="R398" s="357"/>
      <c r="S398" s="357"/>
      <c r="T398" s="357"/>
      <c r="U398" s="357"/>
      <c r="V398" s="357"/>
      <c r="W398" s="357"/>
      <c r="X398" s="357"/>
      <c r="Y398" s="357"/>
      <c r="Z398" s="357"/>
    </row>
    <row r="399" ht="15.75" customHeight="1">
      <c r="A399" s="466" t="s">
        <v>7391</v>
      </c>
      <c r="B399" s="466">
        <v>2024.0</v>
      </c>
      <c r="C399" s="466">
        <f t="shared" si="5"/>
        <v>10</v>
      </c>
      <c r="D399" s="467">
        <v>45572.0</v>
      </c>
      <c r="E399" s="482" t="s">
        <v>2547</v>
      </c>
      <c r="F399" s="482" t="s">
        <v>7892</v>
      </c>
      <c r="G399" s="466" t="s">
        <v>7075</v>
      </c>
      <c r="H399" s="482" t="s">
        <v>6867</v>
      </c>
      <c r="I399" s="482">
        <v>1.0</v>
      </c>
      <c r="J399" s="486"/>
      <c r="K399" s="482" t="s">
        <v>7393</v>
      </c>
      <c r="L399" s="487">
        <v>120.0</v>
      </c>
      <c r="M399" s="482"/>
      <c r="N399" s="482"/>
      <c r="O399" s="466"/>
      <c r="P399" s="357"/>
      <c r="Q399" s="357"/>
      <c r="R399" s="357"/>
      <c r="S399" s="357"/>
      <c r="T399" s="357"/>
      <c r="U399" s="357"/>
      <c r="V399" s="357"/>
      <c r="W399" s="357"/>
      <c r="X399" s="357"/>
      <c r="Y399" s="357"/>
      <c r="Z399" s="357"/>
    </row>
    <row r="400" ht="15.75" customHeight="1">
      <c r="A400" s="466" t="s">
        <v>7391</v>
      </c>
      <c r="B400" s="466">
        <v>2024.0</v>
      </c>
      <c r="C400" s="466">
        <f t="shared" si="5"/>
        <v>10</v>
      </c>
      <c r="D400" s="467">
        <v>45572.0</v>
      </c>
      <c r="E400" s="482" t="s">
        <v>7687</v>
      </c>
      <c r="F400" s="482" t="s">
        <v>7688</v>
      </c>
      <c r="G400" s="466" t="s">
        <v>7075</v>
      </c>
      <c r="H400" s="482" t="s">
        <v>7893</v>
      </c>
      <c r="I400" s="482">
        <v>1.0</v>
      </c>
      <c r="J400" s="486"/>
      <c r="K400" s="482" t="s">
        <v>7393</v>
      </c>
      <c r="L400" s="487">
        <v>126.9</v>
      </c>
      <c r="M400" s="482"/>
      <c r="N400" s="482"/>
      <c r="O400" s="466"/>
      <c r="P400" s="357"/>
      <c r="Q400" s="357"/>
      <c r="R400" s="357"/>
      <c r="S400" s="357"/>
      <c r="T400" s="357"/>
      <c r="U400" s="357"/>
      <c r="V400" s="357"/>
      <c r="W400" s="357"/>
      <c r="X400" s="357"/>
      <c r="Y400" s="357"/>
      <c r="Z400" s="357"/>
    </row>
    <row r="401" ht="15.75" customHeight="1">
      <c r="A401" s="466" t="s">
        <v>7391</v>
      </c>
      <c r="B401" s="466">
        <v>2024.0</v>
      </c>
      <c r="C401" s="466">
        <f t="shared" si="5"/>
        <v>10</v>
      </c>
      <c r="D401" s="467">
        <v>45574.0</v>
      </c>
      <c r="E401" s="482" t="s">
        <v>7894</v>
      </c>
      <c r="F401" s="482" t="s">
        <v>7895</v>
      </c>
      <c r="G401" s="466" t="s">
        <v>7100</v>
      </c>
      <c r="H401" s="482" t="s">
        <v>248</v>
      </c>
      <c r="I401" s="482">
        <v>1.0</v>
      </c>
      <c r="J401" s="486"/>
      <c r="K401" s="482" t="s">
        <v>7393</v>
      </c>
      <c r="L401" s="487">
        <v>170.0</v>
      </c>
      <c r="M401" s="482"/>
      <c r="N401" s="482"/>
      <c r="O401" s="466"/>
      <c r="P401" s="357"/>
      <c r="Q401" s="357"/>
      <c r="R401" s="357"/>
      <c r="S401" s="357"/>
      <c r="T401" s="357"/>
      <c r="U401" s="357"/>
      <c r="V401" s="357"/>
      <c r="W401" s="357"/>
      <c r="X401" s="357"/>
      <c r="Y401" s="357"/>
      <c r="Z401" s="357"/>
    </row>
    <row r="402" ht="15.75" customHeight="1">
      <c r="A402" s="466" t="s">
        <v>7391</v>
      </c>
      <c r="B402" s="466">
        <v>2024.0</v>
      </c>
      <c r="C402" s="466">
        <f t="shared" si="5"/>
        <v>10</v>
      </c>
      <c r="D402" s="467">
        <v>45574.0</v>
      </c>
      <c r="E402" s="482" t="s">
        <v>7896</v>
      </c>
      <c r="F402" s="482" t="s">
        <v>7897</v>
      </c>
      <c r="G402" s="466" t="s">
        <v>7075</v>
      </c>
      <c r="H402" s="482" t="s">
        <v>6867</v>
      </c>
      <c r="I402" s="482">
        <v>1.0</v>
      </c>
      <c r="J402" s="486"/>
      <c r="K402" s="482" t="s">
        <v>7393</v>
      </c>
      <c r="L402" s="487">
        <v>126.9</v>
      </c>
      <c r="M402" s="482"/>
      <c r="N402" s="482"/>
      <c r="O402" s="466"/>
      <c r="P402" s="357"/>
      <c r="Q402" s="357"/>
      <c r="R402" s="357"/>
      <c r="S402" s="357"/>
      <c r="T402" s="357"/>
      <c r="U402" s="357"/>
      <c r="V402" s="357"/>
      <c r="W402" s="357"/>
      <c r="X402" s="357"/>
      <c r="Y402" s="357"/>
      <c r="Z402" s="357"/>
    </row>
    <row r="403" ht="15.75" customHeight="1">
      <c r="A403" s="466" t="s">
        <v>7391</v>
      </c>
      <c r="B403" s="466">
        <v>2024.0</v>
      </c>
      <c r="C403" s="466">
        <f t="shared" si="5"/>
        <v>10</v>
      </c>
      <c r="D403" s="467">
        <v>45574.0</v>
      </c>
      <c r="E403" s="482" t="s">
        <v>7898</v>
      </c>
      <c r="F403" s="482" t="s">
        <v>7899</v>
      </c>
      <c r="G403" s="466" t="s">
        <v>7075</v>
      </c>
      <c r="H403" s="482" t="s">
        <v>2619</v>
      </c>
      <c r="I403" s="482">
        <v>1.0</v>
      </c>
      <c r="J403" s="486"/>
      <c r="K403" s="482" t="s">
        <v>7393</v>
      </c>
      <c r="L403" s="487">
        <v>106.9</v>
      </c>
      <c r="M403" s="482"/>
      <c r="N403" s="482"/>
      <c r="O403" s="466"/>
      <c r="P403" s="357"/>
      <c r="Q403" s="357"/>
      <c r="R403" s="357"/>
      <c r="S403" s="357"/>
      <c r="T403" s="357"/>
      <c r="U403" s="357"/>
      <c r="V403" s="357"/>
      <c r="W403" s="357"/>
      <c r="X403" s="357"/>
      <c r="Y403" s="357"/>
      <c r="Z403" s="357"/>
    </row>
    <row r="404" ht="15.75" customHeight="1">
      <c r="A404" s="466" t="s">
        <v>7391</v>
      </c>
      <c r="B404" s="466">
        <v>2024.0</v>
      </c>
      <c r="C404" s="466">
        <f t="shared" si="5"/>
        <v>10</v>
      </c>
      <c r="D404" s="467">
        <v>45575.0</v>
      </c>
      <c r="E404" s="482" t="s">
        <v>7436</v>
      </c>
      <c r="F404" s="482" t="s">
        <v>7900</v>
      </c>
      <c r="G404" s="466" t="s">
        <v>7075</v>
      </c>
      <c r="H404" s="482" t="s">
        <v>6867</v>
      </c>
      <c r="I404" s="482">
        <v>1.0</v>
      </c>
      <c r="J404" s="486"/>
      <c r="K404" s="482" t="s">
        <v>7393</v>
      </c>
      <c r="L404" s="487">
        <v>126.9</v>
      </c>
      <c r="M404" s="482"/>
      <c r="N404" s="482"/>
      <c r="O404" s="466"/>
      <c r="P404" s="357"/>
      <c r="Q404" s="357"/>
      <c r="R404" s="357"/>
      <c r="S404" s="357"/>
      <c r="T404" s="357"/>
      <c r="U404" s="357"/>
      <c r="V404" s="357"/>
      <c r="W404" s="357"/>
      <c r="X404" s="357"/>
      <c r="Y404" s="357"/>
      <c r="Z404" s="357"/>
    </row>
    <row r="405" ht="15.75" customHeight="1">
      <c r="A405" s="466" t="s">
        <v>7391</v>
      </c>
      <c r="B405" s="466">
        <v>2024.0</v>
      </c>
      <c r="C405" s="466">
        <f t="shared" si="5"/>
        <v>10</v>
      </c>
      <c r="D405" s="467">
        <v>45575.0</v>
      </c>
      <c r="E405" s="482" t="s">
        <v>2566</v>
      </c>
      <c r="F405" s="482" t="s">
        <v>7901</v>
      </c>
      <c r="G405" s="466" t="s">
        <v>7075</v>
      </c>
      <c r="H405" s="482" t="s">
        <v>6867</v>
      </c>
      <c r="I405" s="482">
        <v>1.0</v>
      </c>
      <c r="J405" s="486"/>
      <c r="K405" s="482" t="s">
        <v>7393</v>
      </c>
      <c r="L405" s="487">
        <v>126.9</v>
      </c>
      <c r="M405" s="482"/>
      <c r="N405" s="482"/>
      <c r="O405" s="466"/>
      <c r="P405" s="357"/>
      <c r="Q405" s="357"/>
      <c r="R405" s="357"/>
      <c r="S405" s="357"/>
      <c r="T405" s="357"/>
      <c r="U405" s="357"/>
      <c r="V405" s="357"/>
      <c r="W405" s="357"/>
      <c r="X405" s="357"/>
      <c r="Y405" s="357"/>
      <c r="Z405" s="357"/>
    </row>
    <row r="406" ht="15.75" customHeight="1">
      <c r="A406" s="466" t="s">
        <v>7391</v>
      </c>
      <c r="B406" s="466">
        <v>2024.0</v>
      </c>
      <c r="C406" s="466">
        <f t="shared" si="5"/>
        <v>10</v>
      </c>
      <c r="D406" s="467">
        <v>45575.0</v>
      </c>
      <c r="E406" s="482" t="s">
        <v>7429</v>
      </c>
      <c r="F406" s="482" t="s">
        <v>7902</v>
      </c>
      <c r="G406" s="466" t="s">
        <v>7075</v>
      </c>
      <c r="H406" s="482" t="s">
        <v>6867</v>
      </c>
      <c r="I406" s="482">
        <v>1.0</v>
      </c>
      <c r="J406" s="486"/>
      <c r="K406" s="482" t="s">
        <v>7393</v>
      </c>
      <c r="L406" s="487">
        <v>120.0</v>
      </c>
      <c r="M406" s="482"/>
      <c r="N406" s="482"/>
      <c r="O406" s="466"/>
      <c r="P406" s="357"/>
      <c r="Q406" s="357"/>
      <c r="R406" s="357"/>
      <c r="S406" s="357"/>
      <c r="T406" s="357"/>
      <c r="U406" s="357"/>
      <c r="V406" s="357"/>
      <c r="W406" s="357"/>
      <c r="X406" s="357"/>
      <c r="Y406" s="357"/>
      <c r="Z406" s="357"/>
    </row>
    <row r="407" ht="15.75" customHeight="1">
      <c r="A407" s="466" t="s">
        <v>7391</v>
      </c>
      <c r="B407" s="466">
        <v>2024.0</v>
      </c>
      <c r="C407" s="466">
        <f t="shared" si="5"/>
        <v>10</v>
      </c>
      <c r="D407" s="467">
        <v>45575.0</v>
      </c>
      <c r="E407" s="482" t="s">
        <v>2561</v>
      </c>
      <c r="F407" s="482" t="s">
        <v>7903</v>
      </c>
      <c r="G407" s="466" t="s">
        <v>7075</v>
      </c>
      <c r="H407" s="482" t="s">
        <v>7878</v>
      </c>
      <c r="I407" s="482">
        <v>1.0</v>
      </c>
      <c r="J407" s="486"/>
      <c r="K407" s="482" t="s">
        <v>7393</v>
      </c>
      <c r="L407" s="487">
        <v>120.0</v>
      </c>
      <c r="M407" s="482"/>
      <c r="N407" s="482"/>
      <c r="O407" s="466"/>
      <c r="P407" s="357"/>
      <c r="Q407" s="357"/>
      <c r="R407" s="357"/>
      <c r="S407" s="357"/>
      <c r="T407" s="357"/>
      <c r="U407" s="357"/>
      <c r="V407" s="357"/>
      <c r="W407" s="357"/>
      <c r="X407" s="357"/>
      <c r="Y407" s="357"/>
      <c r="Z407" s="357"/>
    </row>
    <row r="408" ht="15.75" customHeight="1">
      <c r="A408" s="466" t="s">
        <v>7391</v>
      </c>
      <c r="B408" s="466">
        <v>2024.0</v>
      </c>
      <c r="C408" s="466">
        <f t="shared" si="5"/>
        <v>10</v>
      </c>
      <c r="D408" s="467">
        <v>45575.0</v>
      </c>
      <c r="E408" s="482" t="s">
        <v>7714</v>
      </c>
      <c r="F408" s="482" t="s">
        <v>2769</v>
      </c>
      <c r="G408" s="466" t="s">
        <v>7075</v>
      </c>
      <c r="H408" s="482" t="s">
        <v>7856</v>
      </c>
      <c r="I408" s="482">
        <v>1.0</v>
      </c>
      <c r="J408" s="486"/>
      <c r="K408" s="482" t="s">
        <v>7393</v>
      </c>
      <c r="L408" s="487">
        <v>126.9</v>
      </c>
      <c r="M408" s="482"/>
      <c r="N408" s="482"/>
      <c r="O408" s="466"/>
      <c r="P408" s="357"/>
      <c r="Q408" s="357"/>
      <c r="R408" s="357"/>
      <c r="S408" s="357"/>
      <c r="T408" s="357"/>
      <c r="U408" s="357"/>
      <c r="V408" s="357"/>
      <c r="W408" s="357"/>
      <c r="X408" s="357"/>
      <c r="Y408" s="357"/>
      <c r="Z408" s="357"/>
    </row>
    <row r="409" ht="15.75" customHeight="1">
      <c r="A409" s="466" t="s">
        <v>7391</v>
      </c>
      <c r="B409" s="466">
        <v>2024.0</v>
      </c>
      <c r="C409" s="466">
        <f t="shared" si="5"/>
        <v>10</v>
      </c>
      <c r="D409" s="467">
        <v>45575.0</v>
      </c>
      <c r="E409" s="482" t="s">
        <v>2600</v>
      </c>
      <c r="F409" s="482" t="s">
        <v>7904</v>
      </c>
      <c r="G409" s="466" t="s">
        <v>7075</v>
      </c>
      <c r="H409" s="482" t="s">
        <v>7685</v>
      </c>
      <c r="I409" s="482">
        <v>1.0</v>
      </c>
      <c r="J409" s="486"/>
      <c r="K409" s="482" t="s">
        <v>7393</v>
      </c>
      <c r="L409" s="487">
        <v>126.9</v>
      </c>
      <c r="M409" s="482"/>
      <c r="N409" s="482"/>
      <c r="O409" s="466"/>
      <c r="P409" s="357"/>
      <c r="Q409" s="357"/>
      <c r="R409" s="357"/>
      <c r="S409" s="357"/>
      <c r="T409" s="357"/>
      <c r="U409" s="357"/>
      <c r="V409" s="357"/>
      <c r="W409" s="357"/>
      <c r="X409" s="357"/>
      <c r="Y409" s="357"/>
      <c r="Z409" s="357"/>
    </row>
    <row r="410" ht="15.75" customHeight="1">
      <c r="A410" s="466" t="s">
        <v>7391</v>
      </c>
      <c r="B410" s="466">
        <v>2024.0</v>
      </c>
      <c r="C410" s="466">
        <f t="shared" si="5"/>
        <v>10</v>
      </c>
      <c r="D410" s="467">
        <v>45576.0</v>
      </c>
      <c r="E410" s="482" t="s">
        <v>7559</v>
      </c>
      <c r="F410" s="482" t="s">
        <v>7905</v>
      </c>
      <c r="G410" s="466" t="s">
        <v>7075</v>
      </c>
      <c r="H410" s="482" t="s">
        <v>7685</v>
      </c>
      <c r="I410" s="482">
        <v>1.0</v>
      </c>
      <c r="J410" s="486"/>
      <c r="K410" s="482" t="s">
        <v>7393</v>
      </c>
      <c r="L410" s="487">
        <v>126.9</v>
      </c>
      <c r="M410" s="482"/>
      <c r="N410" s="482"/>
      <c r="O410" s="466"/>
      <c r="P410" s="357"/>
      <c r="Q410" s="357"/>
      <c r="R410" s="357"/>
      <c r="S410" s="357"/>
      <c r="T410" s="357"/>
      <c r="U410" s="357"/>
      <c r="V410" s="357"/>
      <c r="W410" s="357"/>
      <c r="X410" s="357"/>
      <c r="Y410" s="357"/>
      <c r="Z410" s="357"/>
    </row>
    <row r="411" ht="15.75" customHeight="1">
      <c r="A411" s="466" t="s">
        <v>7391</v>
      </c>
      <c r="B411" s="466">
        <v>2024.0</v>
      </c>
      <c r="C411" s="466">
        <f t="shared" si="5"/>
        <v>10</v>
      </c>
      <c r="D411" s="467">
        <v>45576.0</v>
      </c>
      <c r="E411" s="482" t="s">
        <v>2586</v>
      </c>
      <c r="F411" s="482" t="s">
        <v>7906</v>
      </c>
      <c r="G411" s="466" t="s">
        <v>7075</v>
      </c>
      <c r="H411" s="482" t="s">
        <v>6867</v>
      </c>
      <c r="I411" s="482">
        <v>1.0</v>
      </c>
      <c r="J411" s="486"/>
      <c r="K411" s="482" t="s">
        <v>7393</v>
      </c>
      <c r="L411" s="487">
        <v>126.9</v>
      </c>
      <c r="M411" s="482"/>
      <c r="N411" s="482"/>
      <c r="O411" s="466"/>
      <c r="P411" s="357"/>
      <c r="Q411" s="357"/>
      <c r="R411" s="357"/>
      <c r="S411" s="357"/>
      <c r="T411" s="357"/>
      <c r="U411" s="357"/>
      <c r="V411" s="357"/>
      <c r="W411" s="357"/>
      <c r="X411" s="357"/>
      <c r="Y411" s="357"/>
      <c r="Z411" s="357"/>
    </row>
    <row r="412" ht="15.75" customHeight="1">
      <c r="A412" s="466" t="s">
        <v>7391</v>
      </c>
      <c r="B412" s="466">
        <v>2024.0</v>
      </c>
      <c r="C412" s="466">
        <f t="shared" si="5"/>
        <v>10</v>
      </c>
      <c r="D412" s="467">
        <v>45577.0</v>
      </c>
      <c r="E412" s="482" t="s">
        <v>7874</v>
      </c>
      <c r="F412" s="482" t="s">
        <v>7907</v>
      </c>
      <c r="G412" s="466" t="s">
        <v>7100</v>
      </c>
      <c r="H412" s="482" t="s">
        <v>248</v>
      </c>
      <c r="I412" s="482">
        <v>1.0</v>
      </c>
      <c r="J412" s="486"/>
      <c r="K412" s="482" t="s">
        <v>7393</v>
      </c>
      <c r="L412" s="487">
        <v>176.9</v>
      </c>
      <c r="M412" s="482"/>
      <c r="N412" s="482"/>
      <c r="O412" s="466"/>
      <c r="P412" s="357"/>
      <c r="Q412" s="357"/>
      <c r="R412" s="357"/>
      <c r="S412" s="357"/>
      <c r="T412" s="357"/>
      <c r="U412" s="357"/>
      <c r="V412" s="357"/>
      <c r="W412" s="357"/>
      <c r="X412" s="357"/>
      <c r="Y412" s="357"/>
      <c r="Z412" s="357"/>
    </row>
    <row r="413" ht="15.75" customHeight="1">
      <c r="A413" s="466" t="s">
        <v>7391</v>
      </c>
      <c r="B413" s="466">
        <v>2024.0</v>
      </c>
      <c r="C413" s="466">
        <f t="shared" si="5"/>
        <v>10</v>
      </c>
      <c r="D413" s="467">
        <v>45577.0</v>
      </c>
      <c r="E413" s="482" t="s">
        <v>7908</v>
      </c>
      <c r="F413" s="482" t="s">
        <v>7909</v>
      </c>
      <c r="G413" s="466" t="s">
        <v>7100</v>
      </c>
      <c r="H413" s="482" t="s">
        <v>248</v>
      </c>
      <c r="I413" s="482">
        <v>1.0</v>
      </c>
      <c r="J413" s="486"/>
      <c r="K413" s="482" t="s">
        <v>7393</v>
      </c>
      <c r="L413" s="487">
        <v>176.9</v>
      </c>
      <c r="M413" s="482"/>
      <c r="N413" s="482"/>
      <c r="O413" s="466"/>
      <c r="P413" s="357"/>
      <c r="Q413" s="357"/>
      <c r="R413" s="357"/>
      <c r="S413" s="357"/>
      <c r="T413" s="357"/>
      <c r="U413" s="357"/>
      <c r="V413" s="357"/>
      <c r="W413" s="357"/>
      <c r="X413" s="357"/>
      <c r="Y413" s="357"/>
      <c r="Z413" s="357"/>
    </row>
    <row r="414" ht="15.75" customHeight="1">
      <c r="A414" s="466" t="s">
        <v>7391</v>
      </c>
      <c r="B414" s="466">
        <v>2024.0</v>
      </c>
      <c r="C414" s="466">
        <f t="shared" si="5"/>
        <v>10</v>
      </c>
      <c r="D414" s="467">
        <v>45577.0</v>
      </c>
      <c r="E414" s="482" t="s">
        <v>7515</v>
      </c>
      <c r="F414" s="482" t="s">
        <v>7910</v>
      </c>
      <c r="G414" s="466" t="s">
        <v>7075</v>
      </c>
      <c r="H414" s="482" t="s">
        <v>7856</v>
      </c>
      <c r="I414" s="482">
        <v>1.0</v>
      </c>
      <c r="J414" s="486"/>
      <c r="K414" s="482" t="s">
        <v>7393</v>
      </c>
      <c r="L414" s="487">
        <v>120.0</v>
      </c>
      <c r="M414" s="482"/>
      <c r="N414" s="482"/>
      <c r="O414" s="466"/>
      <c r="P414" s="357"/>
      <c r="Q414" s="357"/>
      <c r="R414" s="357"/>
      <c r="S414" s="357"/>
      <c r="T414" s="357"/>
      <c r="U414" s="357"/>
      <c r="V414" s="357"/>
      <c r="W414" s="357"/>
      <c r="X414" s="357"/>
      <c r="Y414" s="357"/>
      <c r="Z414" s="357"/>
    </row>
    <row r="415" ht="15.75" customHeight="1">
      <c r="A415" s="466" t="s">
        <v>7391</v>
      </c>
      <c r="B415" s="466">
        <v>2024.0</v>
      </c>
      <c r="C415" s="466">
        <f t="shared" si="5"/>
        <v>10</v>
      </c>
      <c r="D415" s="467">
        <v>45578.0</v>
      </c>
      <c r="E415" s="482" t="s">
        <v>2623</v>
      </c>
      <c r="F415" s="482" t="s">
        <v>7911</v>
      </c>
      <c r="G415" s="466" t="s">
        <v>7075</v>
      </c>
      <c r="H415" s="482" t="s">
        <v>7685</v>
      </c>
      <c r="I415" s="482">
        <v>1.0</v>
      </c>
      <c r="J415" s="486"/>
      <c r="K415" s="482" t="s">
        <v>7393</v>
      </c>
      <c r="L415" s="487">
        <v>126.9</v>
      </c>
      <c r="M415" s="482"/>
      <c r="N415" s="482"/>
      <c r="O415" s="466"/>
      <c r="P415" s="357"/>
      <c r="Q415" s="357"/>
      <c r="R415" s="357"/>
      <c r="S415" s="357"/>
      <c r="T415" s="357"/>
      <c r="U415" s="357"/>
      <c r="V415" s="357"/>
      <c r="W415" s="357"/>
      <c r="X415" s="357"/>
      <c r="Y415" s="357"/>
      <c r="Z415" s="357"/>
    </row>
    <row r="416" ht="15.75" customHeight="1">
      <c r="A416" s="466" t="s">
        <v>7391</v>
      </c>
      <c r="B416" s="466">
        <v>2024.0</v>
      </c>
      <c r="C416" s="466">
        <f t="shared" si="5"/>
        <v>10</v>
      </c>
      <c r="D416" s="467">
        <v>45578.0</v>
      </c>
      <c r="E416" s="482" t="s">
        <v>7555</v>
      </c>
      <c r="F416" s="482" t="s">
        <v>7912</v>
      </c>
      <c r="G416" s="466" t="s">
        <v>7100</v>
      </c>
      <c r="H416" s="482" t="s">
        <v>248</v>
      </c>
      <c r="I416" s="482">
        <v>1.0</v>
      </c>
      <c r="J416" s="486"/>
      <c r="K416" s="482" t="s">
        <v>7393</v>
      </c>
      <c r="L416" s="487">
        <v>176.9</v>
      </c>
      <c r="M416" s="482"/>
      <c r="N416" s="482"/>
      <c r="O416" s="466"/>
      <c r="P416" s="357"/>
      <c r="Q416" s="357"/>
      <c r="R416" s="357"/>
      <c r="S416" s="357"/>
      <c r="T416" s="357"/>
      <c r="U416" s="357"/>
      <c r="V416" s="357"/>
      <c r="W416" s="357"/>
      <c r="X416" s="357"/>
      <c r="Y416" s="357"/>
      <c r="Z416" s="357"/>
    </row>
    <row r="417" ht="15.75" customHeight="1">
      <c r="A417" s="466" t="s">
        <v>7391</v>
      </c>
      <c r="B417" s="466">
        <v>2024.0</v>
      </c>
      <c r="C417" s="466">
        <f t="shared" si="5"/>
        <v>10</v>
      </c>
      <c r="D417" s="467">
        <v>45578.0</v>
      </c>
      <c r="E417" s="482" t="s">
        <v>7429</v>
      </c>
      <c r="F417" s="482" t="s">
        <v>7913</v>
      </c>
      <c r="G417" s="466" t="s">
        <v>7100</v>
      </c>
      <c r="H417" s="482" t="s">
        <v>248</v>
      </c>
      <c r="I417" s="482">
        <v>1.0</v>
      </c>
      <c r="J417" s="486"/>
      <c r="K417" s="482" t="s">
        <v>7393</v>
      </c>
      <c r="L417" s="487">
        <v>176.9</v>
      </c>
      <c r="M417" s="482"/>
      <c r="N417" s="482"/>
      <c r="O417" s="466"/>
      <c r="P417" s="357"/>
      <c r="Q417" s="357"/>
      <c r="R417" s="357"/>
      <c r="S417" s="357"/>
      <c r="T417" s="357"/>
      <c r="U417" s="357"/>
      <c r="V417" s="357"/>
      <c r="W417" s="357"/>
      <c r="X417" s="357"/>
      <c r="Y417" s="357"/>
      <c r="Z417" s="357"/>
    </row>
    <row r="418" ht="15.75" customHeight="1">
      <c r="A418" s="466" t="s">
        <v>7391</v>
      </c>
      <c r="B418" s="466">
        <v>2024.0</v>
      </c>
      <c r="C418" s="466">
        <f t="shared" si="5"/>
        <v>10</v>
      </c>
      <c r="D418" s="467">
        <v>45579.0</v>
      </c>
      <c r="E418" s="482" t="s">
        <v>7914</v>
      </c>
      <c r="F418" s="482" t="s">
        <v>7915</v>
      </c>
      <c r="G418" s="466" t="s">
        <v>7100</v>
      </c>
      <c r="H418" s="482" t="s">
        <v>248</v>
      </c>
      <c r="I418" s="482">
        <v>1.0</v>
      </c>
      <c r="J418" s="486"/>
      <c r="K418" s="482" t="s">
        <v>7393</v>
      </c>
      <c r="L418" s="487">
        <v>176.9</v>
      </c>
      <c r="M418" s="482"/>
      <c r="N418" s="482"/>
      <c r="O418" s="466"/>
      <c r="P418" s="357"/>
      <c r="Q418" s="357"/>
      <c r="R418" s="357"/>
      <c r="S418" s="357"/>
      <c r="T418" s="357"/>
      <c r="U418" s="357"/>
      <c r="V418" s="357"/>
      <c r="W418" s="357"/>
      <c r="X418" s="357"/>
      <c r="Y418" s="357"/>
      <c r="Z418" s="357"/>
    </row>
    <row r="419" ht="15.75" customHeight="1">
      <c r="A419" s="466" t="s">
        <v>7391</v>
      </c>
      <c r="B419" s="466">
        <v>2024.0</v>
      </c>
      <c r="C419" s="466">
        <f t="shared" si="5"/>
        <v>10</v>
      </c>
      <c r="D419" s="467">
        <v>45579.0</v>
      </c>
      <c r="E419" s="482" t="s">
        <v>7419</v>
      </c>
      <c r="F419" s="482" t="s">
        <v>7916</v>
      </c>
      <c r="G419" s="466" t="s">
        <v>7075</v>
      </c>
      <c r="H419" s="482" t="s">
        <v>7856</v>
      </c>
      <c r="I419" s="482">
        <v>1.0</v>
      </c>
      <c r="J419" s="486"/>
      <c r="K419" s="482" t="s">
        <v>7393</v>
      </c>
      <c r="L419" s="487">
        <v>126.9</v>
      </c>
      <c r="M419" s="482"/>
      <c r="N419" s="482"/>
      <c r="O419" s="466"/>
      <c r="P419" s="357"/>
      <c r="Q419" s="357"/>
      <c r="R419" s="357"/>
      <c r="S419" s="357"/>
      <c r="T419" s="357"/>
      <c r="U419" s="357"/>
      <c r="V419" s="357"/>
      <c r="W419" s="357"/>
      <c r="X419" s="357"/>
      <c r="Y419" s="357"/>
      <c r="Z419" s="357"/>
    </row>
    <row r="420" ht="15.75" customHeight="1">
      <c r="A420" s="466" t="s">
        <v>7391</v>
      </c>
      <c r="B420" s="466">
        <v>2024.0</v>
      </c>
      <c r="C420" s="466">
        <f t="shared" si="5"/>
        <v>10</v>
      </c>
      <c r="D420" s="467">
        <v>45579.0</v>
      </c>
      <c r="E420" s="482" t="s">
        <v>2607</v>
      </c>
      <c r="F420" s="482" t="s">
        <v>7917</v>
      </c>
      <c r="G420" s="466" t="s">
        <v>7100</v>
      </c>
      <c r="H420" s="482" t="s">
        <v>248</v>
      </c>
      <c r="I420" s="482">
        <v>1.0</v>
      </c>
      <c r="J420" s="486"/>
      <c r="K420" s="482" t="s">
        <v>7393</v>
      </c>
      <c r="L420" s="487">
        <v>176.9</v>
      </c>
      <c r="M420" s="482"/>
      <c r="N420" s="482"/>
      <c r="O420" s="466"/>
      <c r="P420" s="357"/>
      <c r="Q420" s="357"/>
      <c r="R420" s="357"/>
      <c r="S420" s="357"/>
      <c r="T420" s="357"/>
      <c r="U420" s="357"/>
      <c r="V420" s="357"/>
      <c r="W420" s="357"/>
      <c r="X420" s="357"/>
      <c r="Y420" s="357"/>
      <c r="Z420" s="357"/>
    </row>
    <row r="421" ht="15.75" customHeight="1">
      <c r="A421" s="466" t="s">
        <v>7391</v>
      </c>
      <c r="B421" s="466">
        <v>2024.0</v>
      </c>
      <c r="C421" s="466">
        <f t="shared" si="5"/>
        <v>10</v>
      </c>
      <c r="D421" s="467">
        <v>45580.0</v>
      </c>
      <c r="E421" s="482" t="s">
        <v>2547</v>
      </c>
      <c r="F421" s="482" t="s">
        <v>7918</v>
      </c>
      <c r="G421" s="466" t="s">
        <v>7075</v>
      </c>
      <c r="H421" s="482" t="s">
        <v>7856</v>
      </c>
      <c r="I421" s="482">
        <v>1.0</v>
      </c>
      <c r="J421" s="486"/>
      <c r="K421" s="482" t="s">
        <v>7393</v>
      </c>
      <c r="L421" s="487">
        <v>126.9</v>
      </c>
      <c r="M421" s="482"/>
      <c r="N421" s="482"/>
      <c r="O421" s="466"/>
      <c r="P421" s="357"/>
      <c r="Q421" s="357"/>
      <c r="R421" s="357"/>
      <c r="S421" s="357"/>
      <c r="T421" s="357"/>
      <c r="U421" s="357"/>
      <c r="V421" s="357"/>
      <c r="W421" s="357"/>
      <c r="X421" s="357"/>
      <c r="Y421" s="357"/>
      <c r="Z421" s="357"/>
    </row>
    <row r="422" ht="15.75" customHeight="1">
      <c r="A422" s="466" t="s">
        <v>7391</v>
      </c>
      <c r="B422" s="466">
        <v>2024.0</v>
      </c>
      <c r="C422" s="466">
        <f t="shared" si="5"/>
        <v>10</v>
      </c>
      <c r="D422" s="467">
        <v>45581.0</v>
      </c>
      <c r="E422" s="482" t="s">
        <v>7919</v>
      </c>
      <c r="F422" s="482" t="s">
        <v>7920</v>
      </c>
      <c r="G422" s="466" t="s">
        <v>7075</v>
      </c>
      <c r="H422" s="482" t="s">
        <v>7772</v>
      </c>
      <c r="I422" s="482">
        <v>1.0</v>
      </c>
      <c r="J422" s="486"/>
      <c r="K422" s="482" t="s">
        <v>7393</v>
      </c>
      <c r="L422" s="487">
        <v>100.0</v>
      </c>
      <c r="M422" s="482"/>
      <c r="N422" s="482"/>
      <c r="O422" s="466"/>
      <c r="P422" s="357"/>
      <c r="Q422" s="357"/>
      <c r="R422" s="357"/>
      <c r="S422" s="357"/>
      <c r="T422" s="357"/>
      <c r="U422" s="357"/>
      <c r="V422" s="357"/>
      <c r="W422" s="357"/>
      <c r="X422" s="357"/>
      <c r="Y422" s="357"/>
      <c r="Z422" s="357"/>
    </row>
    <row r="423" ht="15.75" customHeight="1">
      <c r="A423" s="466" t="s">
        <v>7391</v>
      </c>
      <c r="B423" s="466">
        <v>2024.0</v>
      </c>
      <c r="C423" s="466">
        <f t="shared" si="5"/>
        <v>10</v>
      </c>
      <c r="D423" s="467">
        <v>45583.0</v>
      </c>
      <c r="E423" s="482" t="s">
        <v>2665</v>
      </c>
      <c r="F423" s="482" t="s">
        <v>7921</v>
      </c>
      <c r="G423" s="466" t="s">
        <v>7075</v>
      </c>
      <c r="H423" s="482" t="s">
        <v>7841</v>
      </c>
      <c r="I423" s="482">
        <v>1.0</v>
      </c>
      <c r="J423" s="486"/>
      <c r="K423" s="482" t="s">
        <v>7393</v>
      </c>
      <c r="L423" s="487">
        <v>106.9</v>
      </c>
      <c r="M423" s="482"/>
      <c r="N423" s="482"/>
      <c r="O423" s="466"/>
      <c r="P423" s="357"/>
      <c r="Q423" s="357"/>
      <c r="R423" s="357"/>
      <c r="S423" s="357"/>
      <c r="T423" s="357"/>
      <c r="U423" s="357"/>
      <c r="V423" s="357"/>
      <c r="W423" s="357"/>
      <c r="X423" s="357"/>
      <c r="Y423" s="357"/>
      <c r="Z423" s="357"/>
    </row>
    <row r="424" ht="15.75" customHeight="1">
      <c r="A424" s="466" t="s">
        <v>7391</v>
      </c>
      <c r="B424" s="466">
        <v>2024.0</v>
      </c>
      <c r="C424" s="466">
        <f t="shared" si="5"/>
        <v>10</v>
      </c>
      <c r="D424" s="467">
        <v>45583.0</v>
      </c>
      <c r="E424" s="482" t="s">
        <v>2586</v>
      </c>
      <c r="F424" s="482" t="s">
        <v>7922</v>
      </c>
      <c r="G424" s="466" t="s">
        <v>7100</v>
      </c>
      <c r="H424" s="482" t="s">
        <v>248</v>
      </c>
      <c r="I424" s="482" t="s">
        <v>7923</v>
      </c>
      <c r="J424" s="486"/>
      <c r="K424" s="482" t="s">
        <v>7393</v>
      </c>
      <c r="L424" s="487" t="s">
        <v>7923</v>
      </c>
      <c r="M424" s="482"/>
      <c r="N424" s="482"/>
      <c r="O424" s="466"/>
      <c r="P424" s="357"/>
      <c r="Q424" s="357"/>
      <c r="R424" s="357"/>
      <c r="S424" s="357"/>
      <c r="T424" s="357"/>
      <c r="U424" s="357"/>
      <c r="V424" s="357"/>
      <c r="W424" s="357"/>
      <c r="X424" s="357"/>
      <c r="Y424" s="357"/>
      <c r="Z424" s="357"/>
    </row>
    <row r="425" ht="15.75" customHeight="1">
      <c r="A425" s="466" t="s">
        <v>7391</v>
      </c>
      <c r="B425" s="466">
        <v>2024.0</v>
      </c>
      <c r="C425" s="466">
        <f t="shared" si="5"/>
        <v>10</v>
      </c>
      <c r="D425" s="467">
        <v>45585.0</v>
      </c>
      <c r="E425" s="482" t="s">
        <v>7832</v>
      </c>
      <c r="F425" s="482" t="s">
        <v>7924</v>
      </c>
      <c r="G425" s="466" t="s">
        <v>7100</v>
      </c>
      <c r="H425" s="482" t="s">
        <v>248</v>
      </c>
      <c r="I425" s="482">
        <v>1.0</v>
      </c>
      <c r="J425" s="486"/>
      <c r="K425" s="482" t="s">
        <v>7393</v>
      </c>
      <c r="L425" s="487">
        <v>176.9</v>
      </c>
      <c r="M425" s="482"/>
      <c r="N425" s="482"/>
      <c r="O425" s="466"/>
      <c r="P425" s="357"/>
      <c r="Q425" s="357"/>
      <c r="R425" s="357"/>
      <c r="S425" s="357"/>
      <c r="T425" s="357"/>
      <c r="U425" s="357"/>
      <c r="V425" s="357"/>
      <c r="W425" s="357"/>
      <c r="X425" s="357"/>
      <c r="Y425" s="357"/>
      <c r="Z425" s="357"/>
    </row>
    <row r="426" ht="15.75" customHeight="1">
      <c r="A426" s="466" t="s">
        <v>7391</v>
      </c>
      <c r="B426" s="466">
        <v>2024.0</v>
      </c>
      <c r="C426" s="466">
        <f t="shared" si="5"/>
        <v>10</v>
      </c>
      <c r="D426" s="467">
        <v>45590.0</v>
      </c>
      <c r="E426" s="482" t="s">
        <v>7820</v>
      </c>
      <c r="F426" s="482" t="s">
        <v>7925</v>
      </c>
      <c r="G426" s="466" t="s">
        <v>7100</v>
      </c>
      <c r="H426" s="482" t="s">
        <v>248</v>
      </c>
      <c r="I426" s="482">
        <v>1.0</v>
      </c>
      <c r="J426" s="486"/>
      <c r="K426" s="482" t="s">
        <v>7393</v>
      </c>
      <c r="L426" s="487">
        <v>176.9</v>
      </c>
      <c r="M426" s="482"/>
      <c r="N426" s="482"/>
      <c r="O426" s="466"/>
      <c r="P426" s="357"/>
      <c r="Q426" s="357"/>
      <c r="R426" s="357"/>
      <c r="S426" s="357"/>
      <c r="T426" s="357"/>
      <c r="U426" s="357"/>
      <c r="V426" s="357"/>
      <c r="W426" s="357"/>
      <c r="X426" s="357"/>
      <c r="Y426" s="357"/>
      <c r="Z426" s="357"/>
    </row>
    <row r="427" ht="15.75" customHeight="1">
      <c r="A427" s="466" t="s">
        <v>7391</v>
      </c>
      <c r="B427" s="466">
        <v>2024.0</v>
      </c>
      <c r="C427" s="466">
        <f t="shared" si="5"/>
        <v>10</v>
      </c>
      <c r="D427" s="467">
        <v>45590.0</v>
      </c>
      <c r="E427" s="482" t="s">
        <v>7554</v>
      </c>
      <c r="F427" s="482" t="s">
        <v>7926</v>
      </c>
      <c r="G427" s="466" t="s">
        <v>7100</v>
      </c>
      <c r="H427" s="482" t="s">
        <v>6828</v>
      </c>
      <c r="I427" s="482">
        <v>1.0</v>
      </c>
      <c r="J427" s="486"/>
      <c r="K427" s="482" t="s">
        <v>7393</v>
      </c>
      <c r="L427" s="487">
        <v>176.9</v>
      </c>
      <c r="M427" s="482"/>
      <c r="N427" s="482"/>
      <c r="O427" s="466"/>
      <c r="P427" s="357"/>
      <c r="Q427" s="357"/>
      <c r="R427" s="357"/>
      <c r="S427" s="357"/>
      <c r="T427" s="357"/>
      <c r="U427" s="357"/>
      <c r="V427" s="357"/>
      <c r="W427" s="357"/>
      <c r="X427" s="357"/>
      <c r="Y427" s="357"/>
      <c r="Z427" s="357"/>
    </row>
    <row r="428" ht="15.75" customHeight="1">
      <c r="A428" s="466" t="s">
        <v>7391</v>
      </c>
      <c r="B428" s="466">
        <v>2024.0</v>
      </c>
      <c r="C428" s="466">
        <f t="shared" si="5"/>
        <v>10</v>
      </c>
      <c r="D428" s="467">
        <v>45592.0</v>
      </c>
      <c r="E428" s="482" t="s">
        <v>7927</v>
      </c>
      <c r="F428" s="482" t="s">
        <v>7811</v>
      </c>
      <c r="G428" s="466" t="s">
        <v>7928</v>
      </c>
      <c r="H428" s="482"/>
      <c r="I428" s="482">
        <v>1.0</v>
      </c>
      <c r="J428" s="486"/>
      <c r="K428" s="482" t="s">
        <v>7393</v>
      </c>
      <c r="L428" s="487">
        <v>110.0</v>
      </c>
      <c r="M428" s="482"/>
      <c r="N428" s="482"/>
      <c r="O428" s="466"/>
      <c r="P428" s="357"/>
      <c r="Q428" s="357"/>
      <c r="R428" s="357"/>
      <c r="S428" s="357"/>
      <c r="T428" s="357"/>
      <c r="U428" s="357"/>
      <c r="V428" s="357"/>
      <c r="W428" s="357"/>
      <c r="X428" s="357"/>
      <c r="Y428" s="357"/>
      <c r="Z428" s="357"/>
    </row>
    <row r="429" ht="15.75" customHeight="1">
      <c r="A429" s="466" t="s">
        <v>7391</v>
      </c>
      <c r="B429" s="466">
        <v>2024.0</v>
      </c>
      <c r="C429" s="466">
        <f t="shared" si="5"/>
        <v>10</v>
      </c>
      <c r="D429" s="467">
        <v>45592.0</v>
      </c>
      <c r="E429" s="482" t="s">
        <v>2772</v>
      </c>
      <c r="F429" s="482" t="s">
        <v>7929</v>
      </c>
      <c r="G429" s="466" t="s">
        <v>7100</v>
      </c>
      <c r="H429" s="482" t="s">
        <v>248</v>
      </c>
      <c r="I429" s="482">
        <v>1.0</v>
      </c>
      <c r="J429" s="486"/>
      <c r="K429" s="482" t="s">
        <v>7393</v>
      </c>
      <c r="L429" s="487">
        <v>159.9</v>
      </c>
      <c r="M429" s="482"/>
      <c r="N429" s="482"/>
      <c r="O429" s="466"/>
      <c r="P429" s="357"/>
      <c r="Q429" s="357"/>
      <c r="R429" s="357"/>
      <c r="S429" s="357"/>
      <c r="T429" s="357"/>
      <c r="U429" s="357"/>
      <c r="V429" s="357"/>
      <c r="W429" s="357"/>
      <c r="X429" s="357"/>
      <c r="Y429" s="357"/>
      <c r="Z429" s="357"/>
    </row>
    <row r="430" ht="15.75" customHeight="1">
      <c r="A430" s="466" t="s">
        <v>7391</v>
      </c>
      <c r="B430" s="466">
        <v>2024.0</v>
      </c>
      <c r="C430" s="466">
        <f t="shared" si="5"/>
        <v>10</v>
      </c>
      <c r="D430" s="467">
        <v>45594.0</v>
      </c>
      <c r="E430" s="482" t="s">
        <v>2772</v>
      </c>
      <c r="F430" s="482" t="s">
        <v>7930</v>
      </c>
      <c r="G430" s="466" t="s">
        <v>7075</v>
      </c>
      <c r="H430" s="482" t="s">
        <v>7772</v>
      </c>
      <c r="I430" s="482">
        <v>1.0</v>
      </c>
      <c r="J430" s="486"/>
      <c r="K430" s="482" t="s">
        <v>7393</v>
      </c>
      <c r="L430" s="487">
        <v>106.9</v>
      </c>
      <c r="M430" s="482"/>
      <c r="N430" s="482"/>
      <c r="O430" s="466"/>
      <c r="P430" s="357"/>
      <c r="Q430" s="357"/>
      <c r="R430" s="357"/>
      <c r="S430" s="357"/>
      <c r="T430" s="357"/>
      <c r="U430" s="357"/>
      <c r="V430" s="357"/>
      <c r="W430" s="357"/>
      <c r="X430" s="357"/>
      <c r="Y430" s="357"/>
      <c r="Z430" s="357"/>
    </row>
    <row r="431" ht="15.75" customHeight="1">
      <c r="A431" s="466" t="s">
        <v>7391</v>
      </c>
      <c r="B431" s="466">
        <v>2024.0</v>
      </c>
      <c r="C431" s="466">
        <f t="shared" si="5"/>
        <v>10</v>
      </c>
      <c r="D431" s="467">
        <v>45594.0</v>
      </c>
      <c r="E431" s="482" t="s">
        <v>2193</v>
      </c>
      <c r="F431" s="482" t="s">
        <v>7931</v>
      </c>
      <c r="G431" s="466" t="s">
        <v>7075</v>
      </c>
      <c r="H431" s="482" t="s">
        <v>2619</v>
      </c>
      <c r="I431" s="482">
        <v>1.0</v>
      </c>
      <c r="J431" s="486"/>
      <c r="K431" s="482" t="s">
        <v>7393</v>
      </c>
      <c r="L431" s="487">
        <v>106.9</v>
      </c>
      <c r="M431" s="482"/>
      <c r="N431" s="482"/>
      <c r="O431" s="466"/>
      <c r="P431" s="357"/>
      <c r="Q431" s="357"/>
      <c r="R431" s="357"/>
      <c r="S431" s="357"/>
      <c r="T431" s="357"/>
      <c r="U431" s="357"/>
      <c r="V431" s="357"/>
      <c r="W431" s="357"/>
      <c r="X431" s="357"/>
      <c r="Y431" s="357"/>
      <c r="Z431" s="357"/>
    </row>
    <row r="432" ht="15.75" customHeight="1">
      <c r="A432" s="466" t="s">
        <v>7391</v>
      </c>
      <c r="B432" s="466">
        <v>2024.0</v>
      </c>
      <c r="C432" s="466">
        <f t="shared" si="5"/>
        <v>10</v>
      </c>
      <c r="D432" s="467">
        <v>45594.0</v>
      </c>
      <c r="E432" s="482" t="s">
        <v>2607</v>
      </c>
      <c r="F432" s="482" t="s">
        <v>7932</v>
      </c>
      <c r="G432" s="466" t="s">
        <v>7100</v>
      </c>
      <c r="H432" s="482" t="s">
        <v>248</v>
      </c>
      <c r="I432" s="482" t="s">
        <v>7923</v>
      </c>
      <c r="J432" s="486"/>
      <c r="K432" s="482" t="s">
        <v>7393</v>
      </c>
      <c r="L432" s="487" t="s">
        <v>7923</v>
      </c>
      <c r="M432" s="482"/>
      <c r="N432" s="482"/>
      <c r="O432" s="466"/>
      <c r="P432" s="357"/>
      <c r="Q432" s="357"/>
      <c r="R432" s="357"/>
      <c r="S432" s="357"/>
      <c r="T432" s="357"/>
      <c r="U432" s="357"/>
      <c r="V432" s="357"/>
      <c r="W432" s="357"/>
      <c r="X432" s="357"/>
      <c r="Y432" s="357"/>
      <c r="Z432" s="357"/>
    </row>
    <row r="433" ht="15.75" customHeight="1">
      <c r="A433" s="466" t="s">
        <v>7391</v>
      </c>
      <c r="B433" s="466">
        <v>2024.0</v>
      </c>
      <c r="C433" s="466">
        <f t="shared" si="5"/>
        <v>11</v>
      </c>
      <c r="D433" s="467">
        <v>45597.0</v>
      </c>
      <c r="E433" s="482" t="s">
        <v>7933</v>
      </c>
      <c r="F433" s="482" t="s">
        <v>7934</v>
      </c>
      <c r="G433" s="466" t="s">
        <v>7100</v>
      </c>
      <c r="H433" s="482" t="s">
        <v>248</v>
      </c>
      <c r="I433" s="482">
        <v>1.0</v>
      </c>
      <c r="J433" s="486"/>
      <c r="K433" s="482" t="s">
        <v>7393</v>
      </c>
      <c r="L433" s="487">
        <v>185.0</v>
      </c>
      <c r="M433" s="482"/>
      <c r="N433" s="482"/>
      <c r="O433" s="466"/>
      <c r="P433" s="357"/>
      <c r="Q433" s="357"/>
      <c r="R433" s="357"/>
      <c r="S433" s="357"/>
      <c r="T433" s="357"/>
      <c r="U433" s="357"/>
      <c r="V433" s="357"/>
      <c r="W433" s="357"/>
      <c r="X433" s="357"/>
      <c r="Y433" s="357"/>
      <c r="Z433" s="357"/>
    </row>
    <row r="434" ht="15.75" customHeight="1">
      <c r="A434" s="466" t="s">
        <v>7391</v>
      </c>
      <c r="B434" s="466">
        <v>2024.0</v>
      </c>
      <c r="C434" s="466">
        <f t="shared" si="5"/>
        <v>11</v>
      </c>
      <c r="D434" s="467">
        <v>45599.0</v>
      </c>
      <c r="E434" s="482" t="s">
        <v>7396</v>
      </c>
      <c r="F434" s="482" t="s">
        <v>7935</v>
      </c>
      <c r="G434" s="466" t="s">
        <v>7100</v>
      </c>
      <c r="H434" s="482" t="s">
        <v>6828</v>
      </c>
      <c r="I434" s="482">
        <v>1.0</v>
      </c>
      <c r="J434" s="486"/>
      <c r="K434" s="482" t="s">
        <v>7393</v>
      </c>
      <c r="L434" s="487">
        <v>176.9</v>
      </c>
      <c r="M434" s="482"/>
      <c r="N434" s="482"/>
      <c r="O434" s="466"/>
      <c r="P434" s="357"/>
      <c r="Q434" s="357"/>
      <c r="R434" s="357"/>
      <c r="S434" s="357"/>
      <c r="T434" s="357"/>
      <c r="U434" s="357"/>
      <c r="V434" s="357"/>
      <c r="W434" s="357"/>
      <c r="X434" s="357"/>
      <c r="Y434" s="357"/>
      <c r="Z434" s="357"/>
    </row>
    <row r="435" ht="15.75" customHeight="1">
      <c r="A435" s="466" t="s">
        <v>7391</v>
      </c>
      <c r="B435" s="466">
        <v>2024.0</v>
      </c>
      <c r="C435" s="466">
        <f t="shared" si="5"/>
        <v>11</v>
      </c>
      <c r="D435" s="467">
        <v>45599.0</v>
      </c>
      <c r="E435" s="482" t="s">
        <v>7429</v>
      </c>
      <c r="F435" s="482" t="s">
        <v>7936</v>
      </c>
      <c r="G435" s="466" t="s">
        <v>7100</v>
      </c>
      <c r="H435" s="482" t="s">
        <v>248</v>
      </c>
      <c r="I435" s="482">
        <v>1.0</v>
      </c>
      <c r="J435" s="486"/>
      <c r="K435" s="482" t="s">
        <v>7393</v>
      </c>
      <c r="L435" s="487">
        <v>176.9</v>
      </c>
      <c r="M435" s="482"/>
      <c r="N435" s="482"/>
      <c r="O435" s="466"/>
      <c r="P435" s="357"/>
      <c r="Q435" s="357"/>
      <c r="R435" s="357"/>
      <c r="S435" s="357"/>
      <c r="T435" s="357"/>
      <c r="U435" s="357"/>
      <c r="V435" s="357"/>
      <c r="W435" s="357"/>
      <c r="X435" s="357"/>
      <c r="Y435" s="357"/>
      <c r="Z435" s="357"/>
    </row>
    <row r="436" ht="15.75" customHeight="1">
      <c r="A436" s="466" t="s">
        <v>7391</v>
      </c>
      <c r="B436" s="466">
        <v>2024.0</v>
      </c>
      <c r="C436" s="466">
        <f t="shared" si="5"/>
        <v>11</v>
      </c>
      <c r="D436" s="467">
        <v>45600.0</v>
      </c>
      <c r="E436" s="482" t="s">
        <v>2547</v>
      </c>
      <c r="F436" s="482" t="s">
        <v>7937</v>
      </c>
      <c r="G436" s="466" t="s">
        <v>7100</v>
      </c>
      <c r="H436" s="482" t="s">
        <v>248</v>
      </c>
      <c r="I436" s="482">
        <v>1.0</v>
      </c>
      <c r="J436" s="486"/>
      <c r="K436" s="482" t="s">
        <v>7393</v>
      </c>
      <c r="L436" s="487">
        <v>176.9</v>
      </c>
      <c r="M436" s="482"/>
      <c r="N436" s="482"/>
      <c r="O436" s="466"/>
      <c r="P436" s="357"/>
      <c r="Q436" s="357"/>
      <c r="R436" s="357"/>
      <c r="S436" s="357"/>
      <c r="T436" s="357"/>
      <c r="U436" s="357"/>
      <c r="V436" s="357"/>
      <c r="W436" s="357"/>
      <c r="X436" s="357"/>
      <c r="Y436" s="357"/>
      <c r="Z436" s="357"/>
    </row>
    <row r="437" ht="15.75" customHeight="1">
      <c r="A437" s="466" t="s">
        <v>7391</v>
      </c>
      <c r="B437" s="466">
        <v>2024.0</v>
      </c>
      <c r="C437" s="466">
        <f t="shared" si="5"/>
        <v>11</v>
      </c>
      <c r="D437" s="467">
        <v>45600.0</v>
      </c>
      <c r="E437" s="482" t="s">
        <v>2600</v>
      </c>
      <c r="F437" s="482" t="s">
        <v>7938</v>
      </c>
      <c r="G437" s="466" t="s">
        <v>7100</v>
      </c>
      <c r="H437" s="482" t="s">
        <v>248</v>
      </c>
      <c r="I437" s="482">
        <v>1.0</v>
      </c>
      <c r="J437" s="486"/>
      <c r="K437" s="482" t="s">
        <v>7393</v>
      </c>
      <c r="L437" s="487">
        <v>176.9</v>
      </c>
      <c r="M437" s="482"/>
      <c r="N437" s="482"/>
      <c r="O437" s="466"/>
      <c r="P437" s="357"/>
      <c r="Q437" s="357"/>
      <c r="R437" s="357"/>
      <c r="S437" s="357"/>
      <c r="T437" s="357"/>
      <c r="U437" s="357"/>
      <c r="V437" s="357"/>
      <c r="W437" s="357"/>
      <c r="X437" s="357"/>
      <c r="Y437" s="357"/>
      <c r="Z437" s="357"/>
    </row>
    <row r="438" ht="15.75" customHeight="1">
      <c r="A438" s="466" t="s">
        <v>7391</v>
      </c>
      <c r="B438" s="466">
        <v>2024.0</v>
      </c>
      <c r="C438" s="466">
        <f t="shared" si="5"/>
        <v>11</v>
      </c>
      <c r="D438" s="467">
        <v>45601.0</v>
      </c>
      <c r="E438" s="482" t="s">
        <v>7612</v>
      </c>
      <c r="F438" s="482" t="s">
        <v>7939</v>
      </c>
      <c r="G438" s="466" t="s">
        <v>7100</v>
      </c>
      <c r="H438" s="482" t="s">
        <v>248</v>
      </c>
      <c r="I438" s="482">
        <v>1.0</v>
      </c>
      <c r="J438" s="486"/>
      <c r="K438" s="482" t="s">
        <v>7393</v>
      </c>
      <c r="L438" s="487">
        <v>159.9</v>
      </c>
      <c r="M438" s="482"/>
      <c r="N438" s="482"/>
      <c r="O438" s="466"/>
      <c r="P438" s="357"/>
      <c r="Q438" s="357"/>
      <c r="R438" s="357"/>
      <c r="S438" s="357"/>
      <c r="T438" s="357"/>
      <c r="U438" s="357"/>
      <c r="V438" s="357"/>
      <c r="W438" s="357"/>
      <c r="X438" s="357"/>
      <c r="Y438" s="357"/>
      <c r="Z438" s="357"/>
    </row>
    <row r="439" ht="15.75" customHeight="1">
      <c r="A439" s="466" t="s">
        <v>7391</v>
      </c>
      <c r="B439" s="466">
        <v>2024.0</v>
      </c>
      <c r="C439" s="466">
        <f t="shared" si="5"/>
        <v>11</v>
      </c>
      <c r="D439" s="467">
        <v>45601.0</v>
      </c>
      <c r="E439" s="482" t="s">
        <v>7436</v>
      </c>
      <c r="F439" s="482" t="s">
        <v>7900</v>
      </c>
      <c r="G439" s="466" t="s">
        <v>7073</v>
      </c>
      <c r="H439" s="482" t="s">
        <v>7940</v>
      </c>
      <c r="I439" s="482">
        <v>1.0</v>
      </c>
      <c r="J439" s="486"/>
      <c r="K439" s="482" t="s">
        <v>7393</v>
      </c>
      <c r="L439" s="487">
        <v>121.9</v>
      </c>
      <c r="M439" s="482"/>
      <c r="N439" s="482"/>
      <c r="O439" s="466"/>
      <c r="P439" s="357"/>
      <c r="Q439" s="357"/>
      <c r="R439" s="357"/>
      <c r="S439" s="357"/>
      <c r="T439" s="357"/>
      <c r="U439" s="357"/>
      <c r="V439" s="357"/>
      <c r="W439" s="357"/>
      <c r="X439" s="357"/>
      <c r="Y439" s="357"/>
      <c r="Z439" s="357"/>
    </row>
    <row r="440" ht="15.75" customHeight="1">
      <c r="A440" s="466" t="s">
        <v>7391</v>
      </c>
      <c r="B440" s="466">
        <v>2024.0</v>
      </c>
      <c r="C440" s="466">
        <f t="shared" si="5"/>
        <v>11</v>
      </c>
      <c r="D440" s="467">
        <v>45601.0</v>
      </c>
      <c r="E440" s="482" t="s">
        <v>7408</v>
      </c>
      <c r="F440" s="482" t="s">
        <v>7592</v>
      </c>
      <c r="G440" s="466" t="s">
        <v>7073</v>
      </c>
      <c r="H440" s="482" t="s">
        <v>2619</v>
      </c>
      <c r="I440" s="482">
        <v>1.0</v>
      </c>
      <c r="J440" s="486"/>
      <c r="K440" s="482" t="s">
        <v>7393</v>
      </c>
      <c r="L440" s="487">
        <v>121.9</v>
      </c>
      <c r="M440" s="482"/>
      <c r="N440" s="482"/>
      <c r="O440" s="466"/>
      <c r="P440" s="357"/>
      <c r="Q440" s="357"/>
      <c r="R440" s="357"/>
      <c r="S440" s="357"/>
      <c r="T440" s="357"/>
      <c r="U440" s="357"/>
      <c r="V440" s="357"/>
      <c r="W440" s="357"/>
      <c r="X440" s="357"/>
      <c r="Y440" s="357"/>
      <c r="Z440" s="357"/>
    </row>
    <row r="441" ht="15.75" customHeight="1">
      <c r="A441" s="466" t="s">
        <v>7391</v>
      </c>
      <c r="B441" s="466">
        <v>2024.0</v>
      </c>
      <c r="C441" s="466">
        <f t="shared" si="5"/>
        <v>11</v>
      </c>
      <c r="D441" s="467">
        <v>45602.0</v>
      </c>
      <c r="E441" s="482" t="s">
        <v>7941</v>
      </c>
      <c r="F441" s="482" t="s">
        <v>7942</v>
      </c>
      <c r="G441" s="466" t="s">
        <v>7100</v>
      </c>
      <c r="H441" s="482" t="s">
        <v>248</v>
      </c>
      <c r="I441" s="482">
        <v>1.0</v>
      </c>
      <c r="J441" s="486"/>
      <c r="K441" s="482" t="s">
        <v>7393</v>
      </c>
      <c r="L441" s="487">
        <v>176.9</v>
      </c>
      <c r="M441" s="482"/>
      <c r="N441" s="482"/>
      <c r="O441" s="466"/>
      <c r="P441" s="357"/>
      <c r="Q441" s="357"/>
      <c r="R441" s="357"/>
      <c r="S441" s="357"/>
      <c r="T441" s="357"/>
      <c r="U441" s="357"/>
      <c r="V441" s="357"/>
      <c r="W441" s="357"/>
      <c r="X441" s="357"/>
      <c r="Y441" s="357"/>
      <c r="Z441" s="357"/>
    </row>
    <row r="442" ht="15.75" customHeight="1">
      <c r="A442" s="466" t="s">
        <v>7391</v>
      </c>
      <c r="B442" s="466">
        <v>2024.0</v>
      </c>
      <c r="C442" s="466">
        <f t="shared" si="5"/>
        <v>11</v>
      </c>
      <c r="D442" s="467">
        <v>45602.0</v>
      </c>
      <c r="E442" s="482" t="s">
        <v>2623</v>
      </c>
      <c r="F442" s="482" t="s">
        <v>7868</v>
      </c>
      <c r="G442" s="466" t="s">
        <v>7073</v>
      </c>
      <c r="H442" s="482" t="s">
        <v>7940</v>
      </c>
      <c r="I442" s="482">
        <v>1.0</v>
      </c>
      <c r="J442" s="486"/>
      <c r="K442" s="482" t="s">
        <v>7393</v>
      </c>
      <c r="L442" s="487">
        <v>121.9</v>
      </c>
      <c r="M442" s="482"/>
      <c r="N442" s="482"/>
      <c r="O442" s="466"/>
      <c r="P442" s="357"/>
      <c r="Q442" s="357"/>
      <c r="R442" s="357"/>
      <c r="S442" s="357"/>
      <c r="T442" s="357"/>
      <c r="U442" s="357"/>
      <c r="V442" s="357"/>
      <c r="W442" s="357"/>
      <c r="X442" s="357"/>
      <c r="Y442" s="357"/>
      <c r="Z442" s="357"/>
    </row>
    <row r="443" ht="15.75" customHeight="1">
      <c r="A443" s="466" t="s">
        <v>7391</v>
      </c>
      <c r="B443" s="466">
        <v>2024.0</v>
      </c>
      <c r="C443" s="466">
        <f t="shared" si="5"/>
        <v>11</v>
      </c>
      <c r="D443" s="467">
        <v>45603.0</v>
      </c>
      <c r="E443" s="482" t="s">
        <v>7943</v>
      </c>
      <c r="F443" s="482" t="s">
        <v>7944</v>
      </c>
      <c r="G443" s="466" t="s">
        <v>7100</v>
      </c>
      <c r="H443" s="482" t="s">
        <v>248</v>
      </c>
      <c r="I443" s="482">
        <v>1.0</v>
      </c>
      <c r="J443" s="486"/>
      <c r="K443" s="482" t="s">
        <v>7393</v>
      </c>
      <c r="L443" s="487">
        <v>159.9</v>
      </c>
      <c r="M443" s="482"/>
      <c r="N443" s="482"/>
      <c r="O443" s="466"/>
      <c r="P443" s="357"/>
      <c r="Q443" s="357"/>
      <c r="R443" s="357"/>
      <c r="S443" s="357"/>
      <c r="T443" s="357"/>
      <c r="U443" s="357"/>
      <c r="V443" s="357"/>
      <c r="W443" s="357"/>
      <c r="X443" s="357"/>
      <c r="Y443" s="357"/>
      <c r="Z443" s="357"/>
    </row>
    <row r="444" ht="15.75" customHeight="1">
      <c r="A444" s="466" t="s">
        <v>7391</v>
      </c>
      <c r="B444" s="466">
        <v>2024.0</v>
      </c>
      <c r="C444" s="466">
        <f t="shared" si="5"/>
        <v>11</v>
      </c>
      <c r="D444" s="467">
        <v>45604.0</v>
      </c>
      <c r="E444" s="482" t="s">
        <v>7861</v>
      </c>
      <c r="F444" s="482" t="s">
        <v>7862</v>
      </c>
      <c r="G444" s="466" t="s">
        <v>7073</v>
      </c>
      <c r="H444" s="482" t="s">
        <v>7940</v>
      </c>
      <c r="I444" s="482">
        <v>1.0</v>
      </c>
      <c r="J444" s="486"/>
      <c r="K444" s="482" t="s">
        <v>7393</v>
      </c>
      <c r="L444" s="487">
        <v>121.9</v>
      </c>
      <c r="M444" s="482"/>
      <c r="N444" s="482"/>
      <c r="O444" s="466"/>
      <c r="P444" s="357"/>
      <c r="Q444" s="357"/>
      <c r="R444" s="357"/>
      <c r="S444" s="357"/>
      <c r="T444" s="357"/>
      <c r="U444" s="357"/>
      <c r="V444" s="357"/>
      <c r="W444" s="357"/>
      <c r="X444" s="357"/>
      <c r="Y444" s="357"/>
      <c r="Z444" s="357"/>
    </row>
    <row r="445" ht="15.75" customHeight="1">
      <c r="A445" s="466" t="s">
        <v>7391</v>
      </c>
      <c r="B445" s="466">
        <v>2024.0</v>
      </c>
      <c r="C445" s="466">
        <f t="shared" si="5"/>
        <v>11</v>
      </c>
      <c r="D445" s="467">
        <v>45604.0</v>
      </c>
      <c r="E445" s="482" t="s">
        <v>7396</v>
      </c>
      <c r="F445" s="482" t="s">
        <v>7945</v>
      </c>
      <c r="G445" s="466" t="s">
        <v>7100</v>
      </c>
      <c r="H445" s="482" t="s">
        <v>248</v>
      </c>
      <c r="I445" s="482">
        <v>1.0</v>
      </c>
      <c r="J445" s="486"/>
      <c r="K445" s="482" t="s">
        <v>7393</v>
      </c>
      <c r="L445" s="487">
        <v>153.9</v>
      </c>
      <c r="M445" s="482"/>
      <c r="N445" s="482"/>
      <c r="O445" s="466"/>
      <c r="P445" s="357"/>
      <c r="Q445" s="357"/>
      <c r="R445" s="357"/>
      <c r="S445" s="357"/>
      <c r="T445" s="357"/>
      <c r="U445" s="357"/>
      <c r="V445" s="357"/>
      <c r="W445" s="357"/>
      <c r="X445" s="357"/>
      <c r="Y445" s="357"/>
      <c r="Z445" s="357"/>
    </row>
    <row r="446" ht="15.75" customHeight="1">
      <c r="A446" s="466" t="s">
        <v>7391</v>
      </c>
      <c r="B446" s="466">
        <v>2024.0</v>
      </c>
      <c r="C446" s="466">
        <f t="shared" si="5"/>
        <v>11</v>
      </c>
      <c r="D446" s="467">
        <v>45604.0</v>
      </c>
      <c r="E446" s="482" t="s">
        <v>7820</v>
      </c>
      <c r="F446" s="482" t="s">
        <v>7946</v>
      </c>
      <c r="G446" s="466" t="s">
        <v>7075</v>
      </c>
      <c r="H446" s="482" t="s">
        <v>6867</v>
      </c>
      <c r="I446" s="482">
        <v>1.0</v>
      </c>
      <c r="J446" s="486"/>
      <c r="K446" s="482" t="s">
        <v>7393</v>
      </c>
      <c r="L446" s="487">
        <v>126.9</v>
      </c>
      <c r="M446" s="482"/>
      <c r="N446" s="482"/>
      <c r="O446" s="466"/>
      <c r="P446" s="357"/>
      <c r="Q446" s="357"/>
      <c r="R446" s="357"/>
      <c r="S446" s="357"/>
      <c r="T446" s="357"/>
      <c r="U446" s="357"/>
      <c r="V446" s="357"/>
      <c r="W446" s="357"/>
      <c r="X446" s="357"/>
      <c r="Y446" s="357"/>
      <c r="Z446" s="357"/>
    </row>
    <row r="447" ht="15.75" customHeight="1">
      <c r="A447" s="466" t="s">
        <v>7391</v>
      </c>
      <c r="B447" s="466">
        <v>2024.0</v>
      </c>
      <c r="C447" s="466">
        <f t="shared" si="5"/>
        <v>11</v>
      </c>
      <c r="D447" s="467">
        <v>45604.0</v>
      </c>
      <c r="E447" s="482" t="s">
        <v>7504</v>
      </c>
      <c r="F447" s="482" t="s">
        <v>7947</v>
      </c>
      <c r="G447" s="466" t="s">
        <v>7059</v>
      </c>
      <c r="H447" s="482" t="s">
        <v>7948</v>
      </c>
      <c r="I447" s="482">
        <v>1.0</v>
      </c>
      <c r="J447" s="486"/>
      <c r="K447" s="482" t="s">
        <v>7393</v>
      </c>
      <c r="L447" s="487">
        <v>96.9</v>
      </c>
      <c r="M447" s="482"/>
      <c r="N447" s="482"/>
      <c r="O447" s="466"/>
      <c r="P447" s="357"/>
      <c r="Q447" s="357"/>
      <c r="R447" s="357"/>
      <c r="S447" s="357"/>
      <c r="T447" s="357"/>
      <c r="U447" s="357"/>
      <c r="V447" s="357"/>
      <c r="W447" s="357"/>
      <c r="X447" s="357"/>
      <c r="Y447" s="357"/>
      <c r="Z447" s="357"/>
    </row>
    <row r="448" ht="15.75" customHeight="1">
      <c r="A448" s="466" t="s">
        <v>7391</v>
      </c>
      <c r="B448" s="466">
        <v>2024.0</v>
      </c>
      <c r="C448" s="466">
        <f t="shared" si="5"/>
        <v>11</v>
      </c>
      <c r="D448" s="467">
        <v>45605.0</v>
      </c>
      <c r="E448" s="482" t="s">
        <v>7429</v>
      </c>
      <c r="F448" s="482" t="s">
        <v>7949</v>
      </c>
      <c r="G448" s="466" t="s">
        <v>7100</v>
      </c>
      <c r="H448" s="482" t="s">
        <v>248</v>
      </c>
      <c r="I448" s="482">
        <v>1.0</v>
      </c>
      <c r="J448" s="486"/>
      <c r="K448" s="482" t="s">
        <v>7393</v>
      </c>
      <c r="L448" s="487">
        <v>159.9</v>
      </c>
      <c r="M448" s="482"/>
      <c r="N448" s="482"/>
      <c r="O448" s="466"/>
      <c r="P448" s="357"/>
      <c r="Q448" s="357"/>
      <c r="R448" s="357"/>
      <c r="S448" s="357"/>
      <c r="T448" s="357"/>
      <c r="U448" s="357"/>
      <c r="V448" s="357"/>
      <c r="W448" s="357"/>
      <c r="X448" s="357"/>
      <c r="Y448" s="357"/>
      <c r="Z448" s="357"/>
    </row>
    <row r="449" ht="15.75" customHeight="1">
      <c r="A449" s="466" t="s">
        <v>7391</v>
      </c>
      <c r="B449" s="466">
        <v>2024.0</v>
      </c>
      <c r="C449" s="466">
        <f t="shared" si="5"/>
        <v>11</v>
      </c>
      <c r="D449" s="467">
        <v>45606.0</v>
      </c>
      <c r="E449" s="482" t="s">
        <v>7436</v>
      </c>
      <c r="F449" s="482" t="s">
        <v>7950</v>
      </c>
      <c r="G449" s="466" t="s">
        <v>7075</v>
      </c>
      <c r="H449" s="482" t="s">
        <v>7951</v>
      </c>
      <c r="I449" s="482">
        <v>1.0</v>
      </c>
      <c r="J449" s="486"/>
      <c r="K449" s="482" t="s">
        <v>7393</v>
      </c>
      <c r="L449" s="487">
        <v>96.9</v>
      </c>
      <c r="M449" s="482"/>
      <c r="N449" s="482"/>
      <c r="O449" s="466"/>
      <c r="P449" s="357"/>
      <c r="Q449" s="357"/>
      <c r="R449" s="357"/>
      <c r="S449" s="357"/>
      <c r="T449" s="357"/>
      <c r="U449" s="357"/>
      <c r="V449" s="357"/>
      <c r="W449" s="357"/>
      <c r="X449" s="357"/>
      <c r="Y449" s="357"/>
      <c r="Z449" s="357"/>
    </row>
    <row r="450" ht="15.75" customHeight="1">
      <c r="A450" s="466" t="s">
        <v>7391</v>
      </c>
      <c r="B450" s="466">
        <v>2024.0</v>
      </c>
      <c r="C450" s="466">
        <f t="shared" si="5"/>
        <v>11</v>
      </c>
      <c r="D450" s="467">
        <v>45607.0</v>
      </c>
      <c r="E450" s="482" t="s">
        <v>7446</v>
      </c>
      <c r="F450" s="482" t="s">
        <v>7447</v>
      </c>
      <c r="G450" s="466" t="s">
        <v>7075</v>
      </c>
      <c r="H450" s="482" t="s">
        <v>7647</v>
      </c>
      <c r="I450" s="482">
        <v>1.0</v>
      </c>
      <c r="J450" s="486"/>
      <c r="K450" s="482" t="s">
        <v>7393</v>
      </c>
      <c r="L450" s="487">
        <v>126.9</v>
      </c>
      <c r="M450" s="482"/>
      <c r="N450" s="482"/>
      <c r="O450" s="466"/>
      <c r="P450" s="357"/>
      <c r="Q450" s="357"/>
      <c r="R450" s="357"/>
      <c r="S450" s="357"/>
      <c r="T450" s="357"/>
      <c r="U450" s="357"/>
      <c r="V450" s="357"/>
      <c r="W450" s="357"/>
      <c r="X450" s="357"/>
      <c r="Y450" s="357"/>
      <c r="Z450" s="357"/>
    </row>
    <row r="451" ht="15.75" customHeight="1">
      <c r="A451" s="466" t="s">
        <v>7391</v>
      </c>
      <c r="B451" s="466">
        <v>2024.0</v>
      </c>
      <c r="C451" s="466">
        <f t="shared" si="5"/>
        <v>11</v>
      </c>
      <c r="D451" s="467">
        <v>45607.0</v>
      </c>
      <c r="E451" s="482" t="s">
        <v>2623</v>
      </c>
      <c r="F451" s="482" t="s">
        <v>7952</v>
      </c>
      <c r="G451" s="466" t="s">
        <v>7075</v>
      </c>
      <c r="H451" s="482" t="s">
        <v>6865</v>
      </c>
      <c r="I451" s="482">
        <v>1.0</v>
      </c>
      <c r="J451" s="486"/>
      <c r="K451" s="482" t="s">
        <v>7393</v>
      </c>
      <c r="L451" s="487">
        <v>126.9</v>
      </c>
      <c r="M451" s="482"/>
      <c r="N451" s="482"/>
      <c r="O451" s="466"/>
      <c r="P451" s="357"/>
      <c r="Q451" s="357"/>
      <c r="R451" s="357"/>
      <c r="S451" s="357"/>
      <c r="T451" s="357"/>
      <c r="U451" s="357"/>
      <c r="V451" s="357"/>
      <c r="W451" s="357"/>
      <c r="X451" s="357"/>
      <c r="Y451" s="357"/>
      <c r="Z451" s="357"/>
    </row>
    <row r="452" ht="15.75" customHeight="1">
      <c r="A452" s="466" t="s">
        <v>7391</v>
      </c>
      <c r="B452" s="466">
        <v>2024.0</v>
      </c>
      <c r="C452" s="466">
        <f t="shared" si="5"/>
        <v>11</v>
      </c>
      <c r="D452" s="467">
        <v>45607.0</v>
      </c>
      <c r="E452" s="482" t="s">
        <v>7408</v>
      </c>
      <c r="F452" s="482" t="s">
        <v>7592</v>
      </c>
      <c r="G452" s="466" t="s">
        <v>7075</v>
      </c>
      <c r="H452" s="482" t="s">
        <v>7647</v>
      </c>
      <c r="I452" s="482">
        <v>1.0</v>
      </c>
      <c r="J452" s="486"/>
      <c r="K452" s="482" t="s">
        <v>7393</v>
      </c>
      <c r="L452" s="487">
        <v>126.9</v>
      </c>
      <c r="M452" s="482"/>
      <c r="N452" s="482"/>
      <c r="O452" s="466"/>
      <c r="P452" s="357"/>
      <c r="Q452" s="357"/>
      <c r="R452" s="357"/>
      <c r="S452" s="357"/>
      <c r="T452" s="357"/>
      <c r="U452" s="357"/>
      <c r="V452" s="357"/>
      <c r="W452" s="357"/>
      <c r="X452" s="357"/>
      <c r="Y452" s="357"/>
      <c r="Z452" s="357"/>
    </row>
    <row r="453" ht="15.75" customHeight="1">
      <c r="A453" s="466" t="s">
        <v>7391</v>
      </c>
      <c r="B453" s="466">
        <v>2024.0</v>
      </c>
      <c r="C453" s="466">
        <f t="shared" si="5"/>
        <v>11</v>
      </c>
      <c r="D453" s="467">
        <v>45607.0</v>
      </c>
      <c r="E453" s="482" t="s">
        <v>7600</v>
      </c>
      <c r="F453" s="482" t="s">
        <v>7953</v>
      </c>
      <c r="G453" s="466" t="s">
        <v>7075</v>
      </c>
      <c r="H453" s="482" t="s">
        <v>6867</v>
      </c>
      <c r="I453" s="482">
        <v>1.0</v>
      </c>
      <c r="J453" s="486"/>
      <c r="K453" s="482" t="s">
        <v>7393</v>
      </c>
      <c r="L453" s="487">
        <v>126.9</v>
      </c>
      <c r="M453" s="482"/>
      <c r="N453" s="482"/>
      <c r="O453" s="466"/>
      <c r="P453" s="357"/>
      <c r="Q453" s="357"/>
      <c r="R453" s="357"/>
      <c r="S453" s="357"/>
      <c r="T453" s="357"/>
      <c r="U453" s="357"/>
      <c r="V453" s="357"/>
      <c r="W453" s="357"/>
      <c r="X453" s="357"/>
      <c r="Y453" s="357"/>
      <c r="Z453" s="357"/>
    </row>
    <row r="454" ht="15.75" customHeight="1">
      <c r="A454" s="466" t="s">
        <v>7391</v>
      </c>
      <c r="B454" s="466">
        <v>2024.0</v>
      </c>
      <c r="C454" s="466">
        <f t="shared" si="5"/>
        <v>11</v>
      </c>
      <c r="D454" s="467">
        <v>45608.0</v>
      </c>
      <c r="E454" s="482" t="s">
        <v>7954</v>
      </c>
      <c r="F454" s="482" t="s">
        <v>7955</v>
      </c>
      <c r="G454" s="466" t="s">
        <v>7075</v>
      </c>
      <c r="H454" s="482" t="s">
        <v>7856</v>
      </c>
      <c r="I454" s="482">
        <v>1.0</v>
      </c>
      <c r="J454" s="486"/>
      <c r="K454" s="482" t="s">
        <v>7393</v>
      </c>
      <c r="L454" s="487">
        <v>126.9</v>
      </c>
      <c r="M454" s="482"/>
      <c r="N454" s="482"/>
      <c r="O454" s="466"/>
      <c r="P454" s="357"/>
      <c r="Q454" s="357"/>
      <c r="R454" s="357"/>
      <c r="S454" s="357"/>
      <c r="T454" s="357"/>
      <c r="U454" s="357"/>
      <c r="V454" s="357"/>
      <c r="W454" s="357"/>
      <c r="X454" s="357"/>
      <c r="Y454" s="357"/>
      <c r="Z454" s="357"/>
    </row>
    <row r="455" ht="15.75" customHeight="1">
      <c r="A455" s="466" t="s">
        <v>7391</v>
      </c>
      <c r="B455" s="466">
        <v>2024.0</v>
      </c>
      <c r="C455" s="466">
        <f t="shared" si="5"/>
        <v>11</v>
      </c>
      <c r="D455" s="467">
        <v>45608.0</v>
      </c>
      <c r="E455" s="482" t="s">
        <v>7714</v>
      </c>
      <c r="F455" s="482" t="s">
        <v>7956</v>
      </c>
      <c r="G455" s="466" t="s">
        <v>7611</v>
      </c>
      <c r="H455" s="482" t="s">
        <v>7957</v>
      </c>
      <c r="I455" s="482">
        <v>1.0</v>
      </c>
      <c r="J455" s="486"/>
      <c r="K455" s="482" t="s">
        <v>7393</v>
      </c>
      <c r="L455" s="487">
        <v>126.9</v>
      </c>
      <c r="M455" s="482"/>
      <c r="N455" s="482"/>
      <c r="O455" s="466"/>
      <c r="P455" s="357"/>
      <c r="Q455" s="357"/>
      <c r="R455" s="357"/>
      <c r="S455" s="357"/>
      <c r="T455" s="357"/>
      <c r="U455" s="357"/>
      <c r="V455" s="357"/>
      <c r="W455" s="357"/>
      <c r="X455" s="357"/>
      <c r="Y455" s="357"/>
      <c r="Z455" s="357"/>
    </row>
    <row r="456" ht="15.75" customHeight="1">
      <c r="A456" s="466" t="s">
        <v>7391</v>
      </c>
      <c r="B456" s="466">
        <v>2024.0</v>
      </c>
      <c r="C456" s="466">
        <f t="shared" si="5"/>
        <v>11</v>
      </c>
      <c r="D456" s="467">
        <v>45609.0</v>
      </c>
      <c r="E456" s="482" t="s">
        <v>7672</v>
      </c>
      <c r="F456" s="482" t="s">
        <v>7958</v>
      </c>
      <c r="G456" s="466" t="s">
        <v>7073</v>
      </c>
      <c r="H456" s="482" t="s">
        <v>7940</v>
      </c>
      <c r="I456" s="482">
        <v>1.0</v>
      </c>
      <c r="J456" s="486"/>
      <c r="K456" s="482" t="s">
        <v>7393</v>
      </c>
      <c r="L456" s="487">
        <v>91.9</v>
      </c>
      <c r="M456" s="482"/>
      <c r="N456" s="482"/>
      <c r="O456" s="466"/>
      <c r="P456" s="357"/>
      <c r="Q456" s="357"/>
      <c r="R456" s="357"/>
      <c r="S456" s="357"/>
      <c r="T456" s="357"/>
      <c r="U456" s="357"/>
      <c r="V456" s="357"/>
      <c r="W456" s="357"/>
      <c r="X456" s="357"/>
      <c r="Y456" s="357"/>
      <c r="Z456" s="357"/>
    </row>
    <row r="457" ht="15.75" customHeight="1">
      <c r="A457" s="466" t="s">
        <v>7391</v>
      </c>
      <c r="B457" s="466">
        <v>2024.0</v>
      </c>
      <c r="C457" s="466">
        <f t="shared" si="5"/>
        <v>11</v>
      </c>
      <c r="D457" s="467">
        <v>45609.0</v>
      </c>
      <c r="E457" s="482" t="s">
        <v>2441</v>
      </c>
      <c r="F457" s="482" t="s">
        <v>7959</v>
      </c>
      <c r="G457" s="466" t="s">
        <v>7075</v>
      </c>
      <c r="H457" s="482" t="s">
        <v>7960</v>
      </c>
      <c r="I457" s="482">
        <v>1.0</v>
      </c>
      <c r="J457" s="486"/>
      <c r="K457" s="482" t="s">
        <v>7393</v>
      </c>
      <c r="L457" s="487">
        <v>110.4</v>
      </c>
      <c r="M457" s="482"/>
      <c r="N457" s="482"/>
      <c r="O457" s="466"/>
      <c r="P457" s="357"/>
      <c r="Q457" s="357"/>
      <c r="R457" s="357"/>
      <c r="S457" s="357"/>
      <c r="T457" s="357"/>
      <c r="U457" s="357"/>
      <c r="V457" s="357"/>
      <c r="W457" s="357"/>
      <c r="X457" s="357"/>
      <c r="Y457" s="357"/>
      <c r="Z457" s="357"/>
    </row>
    <row r="458" ht="15.75" customHeight="1">
      <c r="A458" s="466" t="s">
        <v>7391</v>
      </c>
      <c r="B458" s="466">
        <v>2024.0</v>
      </c>
      <c r="C458" s="466">
        <f t="shared" si="5"/>
        <v>11</v>
      </c>
      <c r="D458" s="467">
        <v>45609.0</v>
      </c>
      <c r="E458" s="482" t="s">
        <v>7381</v>
      </c>
      <c r="F458" s="482" t="s">
        <v>7961</v>
      </c>
      <c r="G458" s="466" t="s">
        <v>7075</v>
      </c>
      <c r="H458" s="482" t="s">
        <v>7841</v>
      </c>
      <c r="I458" s="482">
        <v>1.0</v>
      </c>
      <c r="J458" s="486"/>
      <c r="K458" s="482" t="s">
        <v>7393</v>
      </c>
      <c r="L458" s="487">
        <v>126.9</v>
      </c>
      <c r="M458" s="482"/>
      <c r="N458" s="482"/>
      <c r="O458" s="466"/>
      <c r="P458" s="357"/>
      <c r="Q458" s="357"/>
      <c r="R458" s="357"/>
      <c r="S458" s="357"/>
      <c r="T458" s="357"/>
      <c r="U458" s="357"/>
      <c r="V458" s="357"/>
      <c r="W458" s="357"/>
      <c r="X458" s="357"/>
      <c r="Y458" s="357"/>
      <c r="Z458" s="357"/>
    </row>
    <row r="459" ht="15.75" customHeight="1">
      <c r="A459" s="466" t="s">
        <v>7391</v>
      </c>
      <c r="B459" s="466">
        <v>2024.0</v>
      </c>
      <c r="C459" s="466">
        <f t="shared" si="5"/>
        <v>11</v>
      </c>
      <c r="D459" s="467">
        <v>45609.0</v>
      </c>
      <c r="E459" s="482" t="s">
        <v>2561</v>
      </c>
      <c r="F459" s="482" t="s">
        <v>7962</v>
      </c>
      <c r="G459" s="466" t="s">
        <v>7075</v>
      </c>
      <c r="H459" s="482" t="s">
        <v>6867</v>
      </c>
      <c r="I459" s="482">
        <v>1.0</v>
      </c>
      <c r="J459" s="486"/>
      <c r="K459" s="482" t="s">
        <v>7393</v>
      </c>
      <c r="L459" s="487">
        <v>106.9</v>
      </c>
      <c r="M459" s="482"/>
      <c r="N459" s="482"/>
      <c r="O459" s="466"/>
      <c r="P459" s="357"/>
      <c r="Q459" s="357"/>
      <c r="R459" s="357"/>
      <c r="S459" s="357"/>
      <c r="T459" s="357"/>
      <c r="U459" s="357"/>
      <c r="V459" s="357"/>
      <c r="W459" s="357"/>
      <c r="X459" s="357"/>
      <c r="Y459" s="357"/>
      <c r="Z459" s="357"/>
    </row>
    <row r="460" ht="15.75" customHeight="1">
      <c r="A460" s="466" t="s">
        <v>7391</v>
      </c>
      <c r="B460" s="466">
        <v>2024.0</v>
      </c>
      <c r="C460" s="466">
        <f t="shared" si="5"/>
        <v>11</v>
      </c>
      <c r="D460" s="467">
        <v>45610.0</v>
      </c>
      <c r="E460" s="482" t="s">
        <v>7941</v>
      </c>
      <c r="F460" s="482" t="s">
        <v>7963</v>
      </c>
      <c r="G460" s="466" t="s">
        <v>7100</v>
      </c>
      <c r="H460" s="482" t="s">
        <v>248</v>
      </c>
      <c r="I460" s="482">
        <v>1.0</v>
      </c>
      <c r="J460" s="486"/>
      <c r="K460" s="482" t="s">
        <v>7393</v>
      </c>
      <c r="L460" s="487">
        <v>108.9</v>
      </c>
      <c r="M460" s="482"/>
      <c r="N460" s="482"/>
      <c r="O460" s="466"/>
      <c r="P460" s="357"/>
      <c r="Q460" s="357"/>
      <c r="R460" s="357"/>
      <c r="S460" s="357"/>
      <c r="T460" s="357"/>
      <c r="U460" s="357"/>
      <c r="V460" s="357"/>
      <c r="W460" s="357"/>
      <c r="X460" s="357"/>
      <c r="Y460" s="357"/>
      <c r="Z460" s="357"/>
    </row>
    <row r="461" ht="15.75" customHeight="1">
      <c r="A461" s="466" t="s">
        <v>7391</v>
      </c>
      <c r="B461" s="466">
        <v>2024.0</v>
      </c>
      <c r="C461" s="466">
        <f t="shared" si="5"/>
        <v>11</v>
      </c>
      <c r="D461" s="467">
        <v>45611.0</v>
      </c>
      <c r="E461" s="482" t="s">
        <v>7532</v>
      </c>
      <c r="F461" s="482" t="s">
        <v>7964</v>
      </c>
      <c r="G461" s="466" t="s">
        <v>7073</v>
      </c>
      <c r="H461" s="482" t="s">
        <v>2619</v>
      </c>
      <c r="I461" s="482">
        <v>1.0</v>
      </c>
      <c r="J461" s="486"/>
      <c r="K461" s="482" t="s">
        <v>7393</v>
      </c>
      <c r="L461" s="487">
        <v>159.9</v>
      </c>
      <c r="M461" s="482"/>
      <c r="N461" s="482"/>
      <c r="O461" s="466"/>
      <c r="P461" s="357"/>
      <c r="Q461" s="357"/>
      <c r="R461" s="357"/>
      <c r="S461" s="357"/>
      <c r="T461" s="357"/>
      <c r="U461" s="357"/>
      <c r="V461" s="357"/>
      <c r="W461" s="357"/>
      <c r="X461" s="357"/>
      <c r="Y461" s="357"/>
      <c r="Z461" s="357"/>
    </row>
    <row r="462" ht="15.75" customHeight="1">
      <c r="A462" s="466" t="s">
        <v>7391</v>
      </c>
      <c r="B462" s="466">
        <v>2024.0</v>
      </c>
      <c r="C462" s="466">
        <f t="shared" si="5"/>
        <v>11</v>
      </c>
      <c r="D462" s="467">
        <v>45611.0</v>
      </c>
      <c r="E462" s="482" t="s">
        <v>2772</v>
      </c>
      <c r="F462" s="482" t="s">
        <v>7965</v>
      </c>
      <c r="G462" s="466" t="s">
        <v>7073</v>
      </c>
      <c r="H462" s="482" t="s">
        <v>7940</v>
      </c>
      <c r="I462" s="482">
        <v>1.0</v>
      </c>
      <c r="J462" s="486"/>
      <c r="K462" s="482" t="s">
        <v>7393</v>
      </c>
      <c r="L462" s="487">
        <v>126.9</v>
      </c>
      <c r="M462" s="482"/>
      <c r="N462" s="482"/>
      <c r="O462" s="466"/>
      <c r="P462" s="357"/>
      <c r="Q462" s="357"/>
      <c r="R462" s="357"/>
      <c r="S462" s="357"/>
      <c r="T462" s="357"/>
      <c r="U462" s="357"/>
      <c r="V462" s="357"/>
      <c r="W462" s="357"/>
      <c r="X462" s="357"/>
      <c r="Y462" s="357"/>
      <c r="Z462" s="357"/>
    </row>
    <row r="463" ht="15.75" customHeight="1">
      <c r="A463" s="466" t="s">
        <v>7391</v>
      </c>
      <c r="B463" s="466">
        <v>2024.0</v>
      </c>
      <c r="C463" s="466">
        <f t="shared" si="5"/>
        <v>11</v>
      </c>
      <c r="D463" s="467">
        <v>45612.0</v>
      </c>
      <c r="E463" s="482" t="s">
        <v>7619</v>
      </c>
      <c r="F463" s="482" t="s">
        <v>7966</v>
      </c>
      <c r="G463" s="466" t="s">
        <v>7075</v>
      </c>
      <c r="H463" s="482" t="s">
        <v>7856</v>
      </c>
      <c r="I463" s="482">
        <v>1.0</v>
      </c>
      <c r="J463" s="486"/>
      <c r="K463" s="482" t="s">
        <v>7393</v>
      </c>
      <c r="L463" s="487">
        <v>121.9</v>
      </c>
      <c r="M463" s="482"/>
      <c r="N463" s="482"/>
      <c r="O463" s="466"/>
      <c r="P463" s="357"/>
      <c r="Q463" s="357"/>
      <c r="R463" s="357"/>
      <c r="S463" s="357"/>
      <c r="T463" s="357"/>
      <c r="U463" s="357"/>
      <c r="V463" s="357"/>
      <c r="W463" s="357"/>
      <c r="X463" s="357"/>
      <c r="Y463" s="357"/>
      <c r="Z463" s="357"/>
    </row>
    <row r="464" ht="15.75" customHeight="1">
      <c r="A464" s="466" t="s">
        <v>7391</v>
      </c>
      <c r="B464" s="466">
        <v>2024.0</v>
      </c>
      <c r="C464" s="466">
        <f t="shared" si="5"/>
        <v>11</v>
      </c>
      <c r="D464" s="467">
        <v>45612.0</v>
      </c>
      <c r="E464" s="482" t="s">
        <v>7967</v>
      </c>
      <c r="F464" s="482" t="s">
        <v>7968</v>
      </c>
      <c r="G464" s="466" t="s">
        <v>7075</v>
      </c>
      <c r="H464" s="482" t="s">
        <v>6867</v>
      </c>
      <c r="I464" s="482">
        <v>1.0</v>
      </c>
      <c r="J464" s="486"/>
      <c r="K464" s="482" t="s">
        <v>7393</v>
      </c>
      <c r="L464" s="487">
        <v>114.9</v>
      </c>
      <c r="M464" s="482"/>
      <c r="N464" s="482"/>
      <c r="O464" s="466"/>
      <c r="P464" s="357"/>
      <c r="Q464" s="357"/>
      <c r="R464" s="357"/>
      <c r="S464" s="357"/>
      <c r="T464" s="357"/>
      <c r="U464" s="357"/>
      <c r="V464" s="357"/>
      <c r="W464" s="357"/>
      <c r="X464" s="357"/>
      <c r="Y464" s="357"/>
      <c r="Z464" s="357"/>
    </row>
    <row r="465" ht="15.75" customHeight="1">
      <c r="A465" s="466" t="s">
        <v>7391</v>
      </c>
      <c r="B465" s="466">
        <v>2024.0</v>
      </c>
      <c r="C465" s="466">
        <f t="shared" si="5"/>
        <v>11</v>
      </c>
      <c r="D465" s="467">
        <v>45612.0</v>
      </c>
      <c r="E465" s="482" t="s">
        <v>7678</v>
      </c>
      <c r="F465" s="482" t="s">
        <v>7969</v>
      </c>
      <c r="G465" s="466" t="s">
        <v>7100</v>
      </c>
      <c r="H465" s="482" t="s">
        <v>248</v>
      </c>
      <c r="I465" s="482">
        <v>1.0</v>
      </c>
      <c r="J465" s="486"/>
      <c r="K465" s="482" t="s">
        <v>7393</v>
      </c>
      <c r="L465" s="487">
        <v>176.9</v>
      </c>
      <c r="M465" s="482"/>
      <c r="N465" s="482"/>
      <c r="O465" s="466"/>
      <c r="P465" s="357"/>
      <c r="Q465" s="357"/>
      <c r="R465" s="357"/>
      <c r="S465" s="357"/>
      <c r="T465" s="357"/>
      <c r="U465" s="357"/>
      <c r="V465" s="357"/>
      <c r="W465" s="357"/>
      <c r="X465" s="357"/>
      <c r="Y465" s="357"/>
      <c r="Z465" s="357"/>
    </row>
    <row r="466" ht="15.75" customHeight="1">
      <c r="A466" s="466" t="s">
        <v>7391</v>
      </c>
      <c r="B466" s="466">
        <v>2024.0</v>
      </c>
      <c r="C466" s="466">
        <f t="shared" si="5"/>
        <v>11</v>
      </c>
      <c r="D466" s="467">
        <v>45613.0</v>
      </c>
      <c r="E466" s="482" t="s">
        <v>7970</v>
      </c>
      <c r="F466" s="482" t="s">
        <v>7971</v>
      </c>
      <c r="G466" s="466" t="s">
        <v>7075</v>
      </c>
      <c r="H466" s="482" t="s">
        <v>6867</v>
      </c>
      <c r="I466" s="482">
        <v>1.0</v>
      </c>
      <c r="J466" s="486"/>
      <c r="K466" s="482" t="s">
        <v>7393</v>
      </c>
      <c r="L466" s="487">
        <v>114.9</v>
      </c>
      <c r="M466" s="482"/>
      <c r="N466" s="482"/>
      <c r="O466" s="466"/>
      <c r="P466" s="357"/>
      <c r="Q466" s="357"/>
      <c r="R466" s="357"/>
      <c r="S466" s="357"/>
      <c r="T466" s="357"/>
      <c r="U466" s="357"/>
      <c r="V466" s="357"/>
      <c r="W466" s="357"/>
      <c r="X466" s="357"/>
      <c r="Y466" s="357"/>
      <c r="Z466" s="357"/>
    </row>
    <row r="467" ht="15.75" customHeight="1">
      <c r="A467" s="466" t="s">
        <v>7391</v>
      </c>
      <c r="B467" s="466">
        <v>2024.0</v>
      </c>
      <c r="C467" s="466">
        <f t="shared" si="5"/>
        <v>11</v>
      </c>
      <c r="D467" s="467">
        <v>45613.0</v>
      </c>
      <c r="E467" s="482" t="s">
        <v>2638</v>
      </c>
      <c r="F467" s="482" t="s">
        <v>7972</v>
      </c>
      <c r="G467" s="466" t="s">
        <v>7075</v>
      </c>
      <c r="H467" s="482" t="s">
        <v>7841</v>
      </c>
      <c r="I467" s="482">
        <v>1.0</v>
      </c>
      <c r="J467" s="486"/>
      <c r="K467" s="482" t="s">
        <v>7393</v>
      </c>
      <c r="L467" s="487">
        <v>106.9</v>
      </c>
      <c r="M467" s="482"/>
      <c r="N467" s="482"/>
      <c r="O467" s="466"/>
      <c r="P467" s="357"/>
      <c r="Q467" s="357"/>
      <c r="R467" s="357"/>
      <c r="S467" s="357"/>
      <c r="T467" s="357"/>
      <c r="U467" s="357"/>
      <c r="V467" s="357"/>
      <c r="W467" s="357"/>
      <c r="X467" s="357"/>
      <c r="Y467" s="357"/>
      <c r="Z467" s="357"/>
    </row>
    <row r="468" ht="15.75" customHeight="1">
      <c r="A468" s="466" t="s">
        <v>7391</v>
      </c>
      <c r="B468" s="466">
        <v>2024.0</v>
      </c>
      <c r="C468" s="466">
        <f t="shared" si="5"/>
        <v>11</v>
      </c>
      <c r="D468" s="467">
        <v>45616.0</v>
      </c>
      <c r="E468" s="482" t="s">
        <v>7616</v>
      </c>
      <c r="F468" s="482" t="s">
        <v>7973</v>
      </c>
      <c r="G468" s="466" t="s">
        <v>7073</v>
      </c>
      <c r="H468" s="482" t="s">
        <v>2619</v>
      </c>
      <c r="I468" s="482">
        <v>1.0</v>
      </c>
      <c r="J468" s="486"/>
      <c r="K468" s="482" t="s">
        <v>7393</v>
      </c>
      <c r="L468" s="487">
        <v>121.9</v>
      </c>
      <c r="M468" s="482"/>
      <c r="N468" s="482"/>
      <c r="O468" s="466"/>
      <c r="P468" s="357"/>
      <c r="Q468" s="357"/>
      <c r="R468" s="357"/>
      <c r="S468" s="357"/>
      <c r="T468" s="357"/>
      <c r="U468" s="357"/>
      <c r="V468" s="357"/>
      <c r="W468" s="357"/>
      <c r="X468" s="357"/>
      <c r="Y468" s="357"/>
      <c r="Z468" s="357"/>
    </row>
    <row r="469" ht="15.75" customHeight="1">
      <c r="A469" s="466" t="s">
        <v>7391</v>
      </c>
      <c r="B469" s="466">
        <v>2024.0</v>
      </c>
      <c r="C469" s="466">
        <f t="shared" si="5"/>
        <v>11</v>
      </c>
      <c r="D469" s="467">
        <v>45617.0</v>
      </c>
      <c r="E469" s="482" t="s">
        <v>7974</v>
      </c>
      <c r="F469" s="482" t="s">
        <v>7975</v>
      </c>
      <c r="G469" s="466" t="s">
        <v>7075</v>
      </c>
      <c r="H469" s="482" t="s">
        <v>6867</v>
      </c>
      <c r="I469" s="482">
        <v>1.0</v>
      </c>
      <c r="J469" s="486"/>
      <c r="K469" s="482" t="s">
        <v>7393</v>
      </c>
      <c r="L469" s="487">
        <v>126.9</v>
      </c>
      <c r="M469" s="482"/>
      <c r="N469" s="482"/>
      <c r="O469" s="466"/>
      <c r="P469" s="357"/>
      <c r="Q469" s="357"/>
      <c r="R469" s="357"/>
      <c r="S469" s="357"/>
      <c r="T469" s="357"/>
      <c r="U469" s="357"/>
      <c r="V469" s="357"/>
      <c r="W469" s="357"/>
      <c r="X469" s="357"/>
      <c r="Y469" s="357"/>
      <c r="Z469" s="357"/>
    </row>
    <row r="470" ht="15.75" customHeight="1">
      <c r="A470" s="466" t="s">
        <v>7391</v>
      </c>
      <c r="B470" s="466">
        <v>2024.0</v>
      </c>
      <c r="C470" s="466">
        <f t="shared" si="5"/>
        <v>11</v>
      </c>
      <c r="D470" s="467">
        <v>45618.0</v>
      </c>
      <c r="E470" s="482" t="s">
        <v>2659</v>
      </c>
      <c r="F470" s="482" t="s">
        <v>2608</v>
      </c>
      <c r="G470" s="466" t="s">
        <v>7075</v>
      </c>
      <c r="H470" s="482" t="s">
        <v>6867</v>
      </c>
      <c r="I470" s="482">
        <v>1.0</v>
      </c>
      <c r="J470" s="486"/>
      <c r="K470" s="482" t="s">
        <v>7393</v>
      </c>
      <c r="L470" s="487">
        <v>126.9</v>
      </c>
      <c r="M470" s="482"/>
      <c r="N470" s="482"/>
      <c r="O470" s="466"/>
      <c r="P470" s="357"/>
      <c r="Q470" s="357"/>
      <c r="R470" s="357"/>
      <c r="S470" s="357"/>
      <c r="T470" s="357"/>
      <c r="U470" s="357"/>
      <c r="V470" s="357"/>
      <c r="W470" s="357"/>
      <c r="X470" s="357"/>
      <c r="Y470" s="357"/>
      <c r="Z470" s="357"/>
    </row>
    <row r="471" ht="15.75" customHeight="1">
      <c r="A471" s="466" t="s">
        <v>7391</v>
      </c>
      <c r="B471" s="466">
        <v>2024.0</v>
      </c>
      <c r="C471" s="466">
        <f t="shared" si="5"/>
        <v>11</v>
      </c>
      <c r="D471" s="467">
        <v>45618.0</v>
      </c>
      <c r="E471" s="482" t="s">
        <v>2739</v>
      </c>
      <c r="F471" s="482" t="s">
        <v>7976</v>
      </c>
      <c r="G471" s="466" t="s">
        <v>7073</v>
      </c>
      <c r="H471" s="482" t="s">
        <v>7940</v>
      </c>
      <c r="I471" s="482">
        <v>1.0</v>
      </c>
      <c r="J471" s="486"/>
      <c r="K471" s="482" t="s">
        <v>7393</v>
      </c>
      <c r="L471" s="487">
        <v>121.9</v>
      </c>
      <c r="M471" s="482"/>
      <c r="N471" s="482"/>
      <c r="O471" s="466"/>
      <c r="P471" s="357"/>
      <c r="Q471" s="357"/>
      <c r="R471" s="357"/>
      <c r="S471" s="357"/>
      <c r="T471" s="357"/>
      <c r="U471" s="357"/>
      <c r="V471" s="357"/>
      <c r="W471" s="357"/>
      <c r="X471" s="357"/>
      <c r="Y471" s="357"/>
      <c r="Z471" s="357"/>
    </row>
    <row r="472" ht="15.75" customHeight="1">
      <c r="A472" s="466" t="s">
        <v>7391</v>
      </c>
      <c r="B472" s="466">
        <v>2024.0</v>
      </c>
      <c r="C472" s="466">
        <f t="shared" si="5"/>
        <v>11</v>
      </c>
      <c r="D472" s="467">
        <v>45618.0</v>
      </c>
      <c r="E472" s="482" t="s">
        <v>7977</v>
      </c>
      <c r="F472" s="482" t="s">
        <v>7978</v>
      </c>
      <c r="G472" s="466" t="s">
        <v>7075</v>
      </c>
      <c r="H472" s="482" t="s">
        <v>6867</v>
      </c>
      <c r="I472" s="482">
        <v>1.0</v>
      </c>
      <c r="J472" s="486"/>
      <c r="K472" s="482" t="s">
        <v>7393</v>
      </c>
      <c r="L472" s="487">
        <v>120.0</v>
      </c>
      <c r="M472" s="482"/>
      <c r="N472" s="482"/>
      <c r="O472" s="466"/>
      <c r="P472" s="357"/>
      <c r="Q472" s="357"/>
      <c r="R472" s="357"/>
      <c r="S472" s="357"/>
      <c r="T472" s="357"/>
      <c r="U472" s="357"/>
      <c r="V472" s="357"/>
      <c r="W472" s="357"/>
      <c r="X472" s="357"/>
      <c r="Y472" s="357"/>
      <c r="Z472" s="357"/>
    </row>
    <row r="473" ht="15.75" customHeight="1">
      <c r="A473" s="466" t="s">
        <v>7391</v>
      </c>
      <c r="B473" s="466">
        <v>2024.0</v>
      </c>
      <c r="C473" s="466">
        <f t="shared" si="5"/>
        <v>11</v>
      </c>
      <c r="D473" s="467">
        <v>45618.0</v>
      </c>
      <c r="E473" s="482" t="s">
        <v>7408</v>
      </c>
      <c r="F473" s="482" t="s">
        <v>7979</v>
      </c>
      <c r="G473" s="466" t="s">
        <v>7100</v>
      </c>
      <c r="H473" s="482" t="s">
        <v>248</v>
      </c>
      <c r="I473" s="482">
        <v>1.0</v>
      </c>
      <c r="J473" s="486"/>
      <c r="K473" s="482" t="s">
        <v>7393</v>
      </c>
      <c r="L473" s="487">
        <v>176.9</v>
      </c>
      <c r="M473" s="482"/>
      <c r="N473" s="482"/>
      <c r="O473" s="466"/>
      <c r="P473" s="357"/>
      <c r="Q473" s="357"/>
      <c r="R473" s="357"/>
      <c r="S473" s="357"/>
      <c r="T473" s="357"/>
      <c r="U473" s="357"/>
      <c r="V473" s="357"/>
      <c r="W473" s="357"/>
      <c r="X473" s="357"/>
      <c r="Y473" s="357"/>
      <c r="Z473" s="357"/>
    </row>
    <row r="474" ht="15.75" customHeight="1">
      <c r="A474" s="466" t="s">
        <v>7391</v>
      </c>
      <c r="B474" s="466">
        <v>2024.0</v>
      </c>
      <c r="C474" s="466">
        <f t="shared" si="5"/>
        <v>11</v>
      </c>
      <c r="D474" s="467">
        <v>45620.0</v>
      </c>
      <c r="E474" s="482" t="s">
        <v>7814</v>
      </c>
      <c r="F474" s="482" t="s">
        <v>7980</v>
      </c>
      <c r="G474" s="466" t="s">
        <v>7611</v>
      </c>
      <c r="H474" s="482" t="s">
        <v>7957</v>
      </c>
      <c r="I474" s="482">
        <v>1.0</v>
      </c>
      <c r="J474" s="486"/>
      <c r="K474" s="482" t="s">
        <v>7393</v>
      </c>
      <c r="L474" s="487">
        <v>85.0</v>
      </c>
      <c r="M474" s="482"/>
      <c r="N474" s="482"/>
      <c r="O474" s="466"/>
      <c r="P474" s="357"/>
      <c r="Q474" s="357"/>
      <c r="R474" s="357"/>
      <c r="S474" s="357"/>
      <c r="T474" s="357"/>
      <c r="U474" s="357"/>
      <c r="V474" s="357"/>
      <c r="W474" s="357"/>
      <c r="X474" s="357"/>
      <c r="Y474" s="357"/>
      <c r="Z474" s="357"/>
    </row>
    <row r="475" ht="15.75" customHeight="1">
      <c r="A475" s="466" t="s">
        <v>7391</v>
      </c>
      <c r="B475" s="466">
        <v>2024.0</v>
      </c>
      <c r="C475" s="466">
        <f t="shared" si="5"/>
        <v>11</v>
      </c>
      <c r="D475" s="467">
        <v>45621.0</v>
      </c>
      <c r="E475" s="482" t="s">
        <v>2772</v>
      </c>
      <c r="F475" s="482" t="s">
        <v>7981</v>
      </c>
      <c r="G475" s="466" t="s">
        <v>7100</v>
      </c>
      <c r="H475" s="482" t="s">
        <v>248</v>
      </c>
      <c r="I475" s="482">
        <v>1.0</v>
      </c>
      <c r="J475" s="486"/>
      <c r="K475" s="482" t="s">
        <v>7393</v>
      </c>
      <c r="L475" s="487">
        <v>170.0</v>
      </c>
      <c r="M475" s="482"/>
      <c r="N475" s="482"/>
      <c r="O475" s="466"/>
      <c r="P475" s="357"/>
      <c r="Q475" s="357"/>
      <c r="R475" s="357"/>
      <c r="S475" s="357"/>
      <c r="T475" s="357"/>
      <c r="U475" s="357"/>
      <c r="V475" s="357"/>
      <c r="W475" s="357"/>
      <c r="X475" s="357"/>
      <c r="Y475" s="357"/>
      <c r="Z475" s="357"/>
    </row>
    <row r="476" ht="15.75" customHeight="1">
      <c r="A476" s="466" t="s">
        <v>7391</v>
      </c>
      <c r="B476" s="466">
        <v>2024.0</v>
      </c>
      <c r="C476" s="466">
        <f t="shared" si="5"/>
        <v>11</v>
      </c>
      <c r="D476" s="467">
        <v>45621.0</v>
      </c>
      <c r="E476" s="482" t="s">
        <v>7381</v>
      </c>
      <c r="F476" s="482" t="s">
        <v>7982</v>
      </c>
      <c r="G476" s="466" t="s">
        <v>7100</v>
      </c>
      <c r="H476" s="482" t="s">
        <v>248</v>
      </c>
      <c r="I476" s="482">
        <v>1.0</v>
      </c>
      <c r="J476" s="486"/>
      <c r="K476" s="482" t="s">
        <v>7393</v>
      </c>
      <c r="L476" s="487">
        <v>170.0</v>
      </c>
      <c r="M476" s="482"/>
      <c r="N476" s="482"/>
      <c r="O476" s="466"/>
      <c r="P476" s="357"/>
      <c r="Q476" s="357"/>
      <c r="R476" s="357"/>
      <c r="S476" s="357"/>
      <c r="T476" s="357"/>
      <c r="U476" s="357"/>
      <c r="V476" s="357"/>
      <c r="W476" s="357"/>
      <c r="X476" s="357"/>
      <c r="Y476" s="357"/>
      <c r="Z476" s="357"/>
    </row>
    <row r="477" ht="15.75" customHeight="1">
      <c r="A477" s="466" t="s">
        <v>7391</v>
      </c>
      <c r="B477" s="466">
        <v>2024.0</v>
      </c>
      <c r="C477" s="466">
        <f t="shared" si="5"/>
        <v>11</v>
      </c>
      <c r="D477" s="467">
        <v>45621.0</v>
      </c>
      <c r="E477" s="482" t="s">
        <v>2193</v>
      </c>
      <c r="F477" s="482" t="s">
        <v>7983</v>
      </c>
      <c r="G477" s="466" t="s">
        <v>7075</v>
      </c>
      <c r="H477" s="482" t="s">
        <v>7984</v>
      </c>
      <c r="I477" s="482">
        <v>1.0</v>
      </c>
      <c r="J477" s="486"/>
      <c r="K477" s="482" t="s">
        <v>7393</v>
      </c>
      <c r="L477" s="487">
        <v>126.9</v>
      </c>
      <c r="M477" s="482"/>
      <c r="N477" s="482"/>
      <c r="O477" s="466"/>
      <c r="P477" s="357"/>
      <c r="Q477" s="357"/>
      <c r="R477" s="357"/>
      <c r="S477" s="357"/>
      <c r="T477" s="357"/>
      <c r="U477" s="357"/>
      <c r="V477" s="357"/>
      <c r="W477" s="357"/>
      <c r="X477" s="357"/>
      <c r="Y477" s="357"/>
      <c r="Z477" s="357"/>
    </row>
    <row r="478" ht="15.75" customHeight="1">
      <c r="A478" s="466" t="s">
        <v>7391</v>
      </c>
      <c r="B478" s="466">
        <v>2024.0</v>
      </c>
      <c r="C478" s="466">
        <f t="shared" si="5"/>
        <v>11</v>
      </c>
      <c r="D478" s="467">
        <v>45621.0</v>
      </c>
      <c r="E478" s="482" t="s">
        <v>2597</v>
      </c>
      <c r="F478" s="482" t="s">
        <v>7604</v>
      </c>
      <c r="G478" s="466" t="s">
        <v>7073</v>
      </c>
      <c r="H478" s="482" t="s">
        <v>2619</v>
      </c>
      <c r="I478" s="482">
        <v>1.0</v>
      </c>
      <c r="J478" s="486"/>
      <c r="K478" s="482" t="s">
        <v>7393</v>
      </c>
      <c r="L478" s="487">
        <v>115.0</v>
      </c>
      <c r="M478" s="482"/>
      <c r="N478" s="482"/>
      <c r="O478" s="466"/>
      <c r="P478" s="357"/>
      <c r="Q478" s="357"/>
      <c r="R478" s="357"/>
      <c r="S478" s="357"/>
      <c r="T478" s="357"/>
      <c r="U478" s="357"/>
      <c r="V478" s="357"/>
      <c r="W478" s="357"/>
      <c r="X478" s="357"/>
      <c r="Y478" s="357"/>
      <c r="Z478" s="357"/>
    </row>
    <row r="479" ht="15.75" customHeight="1">
      <c r="A479" s="466" t="s">
        <v>7391</v>
      </c>
      <c r="B479" s="466">
        <v>2024.0</v>
      </c>
      <c r="C479" s="466">
        <f t="shared" si="5"/>
        <v>11</v>
      </c>
      <c r="D479" s="467">
        <v>45621.0</v>
      </c>
      <c r="E479" s="482" t="s">
        <v>2561</v>
      </c>
      <c r="F479" s="482" t="s">
        <v>7985</v>
      </c>
      <c r="G479" s="466" t="s">
        <v>7075</v>
      </c>
      <c r="H479" s="482" t="s">
        <v>6867</v>
      </c>
      <c r="I479" s="482">
        <v>1.0</v>
      </c>
      <c r="J479" s="486"/>
      <c r="K479" s="482" t="s">
        <v>7393</v>
      </c>
      <c r="L479" s="487">
        <v>120.0</v>
      </c>
      <c r="M479" s="482"/>
      <c r="N479" s="482"/>
      <c r="O479" s="466"/>
      <c r="P479" s="357"/>
      <c r="Q479" s="357"/>
      <c r="R479" s="357"/>
      <c r="S479" s="357"/>
      <c r="T479" s="357"/>
      <c r="U479" s="357"/>
      <c r="V479" s="357"/>
      <c r="W479" s="357"/>
      <c r="X479" s="357"/>
      <c r="Y479" s="357"/>
      <c r="Z479" s="357"/>
    </row>
    <row r="480" ht="15.75" customHeight="1">
      <c r="A480" s="466" t="s">
        <v>7391</v>
      </c>
      <c r="B480" s="466">
        <v>2024.0</v>
      </c>
      <c r="C480" s="466">
        <f t="shared" si="5"/>
        <v>11</v>
      </c>
      <c r="D480" s="467">
        <v>45622.0</v>
      </c>
      <c r="E480" s="482" t="s">
        <v>7986</v>
      </c>
      <c r="F480" s="482" t="s">
        <v>7987</v>
      </c>
      <c r="G480" s="466" t="s">
        <v>7100</v>
      </c>
      <c r="H480" s="482" t="s">
        <v>248</v>
      </c>
      <c r="I480" s="482">
        <v>1.0</v>
      </c>
      <c r="J480" s="486"/>
      <c r="K480" s="482" t="s">
        <v>7393</v>
      </c>
      <c r="L480" s="487">
        <v>170.0</v>
      </c>
      <c r="M480" s="482"/>
      <c r="N480" s="482"/>
      <c r="O480" s="466"/>
      <c r="P480" s="357"/>
      <c r="Q480" s="357"/>
      <c r="R480" s="357"/>
      <c r="S480" s="357"/>
      <c r="T480" s="357"/>
      <c r="U480" s="357"/>
      <c r="V480" s="357"/>
      <c r="W480" s="357"/>
      <c r="X480" s="357"/>
      <c r="Y480" s="357"/>
      <c r="Z480" s="357"/>
    </row>
    <row r="481" ht="15.75" customHeight="1">
      <c r="A481" s="466" t="s">
        <v>7391</v>
      </c>
      <c r="B481" s="466">
        <v>2024.0</v>
      </c>
      <c r="C481" s="466">
        <f t="shared" si="5"/>
        <v>11</v>
      </c>
      <c r="D481" s="467">
        <v>45622.0</v>
      </c>
      <c r="E481" s="482" t="s">
        <v>7988</v>
      </c>
      <c r="F481" s="482" t="s">
        <v>7989</v>
      </c>
      <c r="G481" s="466" t="s">
        <v>7100</v>
      </c>
      <c r="H481" s="482" t="s">
        <v>248</v>
      </c>
      <c r="I481" s="482">
        <v>1.0</v>
      </c>
      <c r="J481" s="486"/>
      <c r="K481" s="482" t="s">
        <v>7393</v>
      </c>
      <c r="L481" s="487">
        <v>176.9</v>
      </c>
      <c r="M481" s="482"/>
      <c r="N481" s="482"/>
      <c r="O481" s="466"/>
      <c r="P481" s="357"/>
      <c r="Q481" s="357"/>
      <c r="R481" s="357"/>
      <c r="S481" s="357"/>
      <c r="T481" s="357"/>
      <c r="U481" s="357"/>
      <c r="V481" s="357"/>
      <c r="W481" s="357"/>
      <c r="X481" s="357"/>
      <c r="Y481" s="357"/>
      <c r="Z481" s="357"/>
    </row>
    <row r="482" ht="15.75" customHeight="1">
      <c r="A482" s="466" t="s">
        <v>7391</v>
      </c>
      <c r="B482" s="466">
        <v>2024.0</v>
      </c>
      <c r="C482" s="466">
        <f t="shared" si="5"/>
        <v>11</v>
      </c>
      <c r="D482" s="467">
        <v>45622.0</v>
      </c>
      <c r="E482" s="482" t="s">
        <v>7869</v>
      </c>
      <c r="F482" s="482" t="s">
        <v>7990</v>
      </c>
      <c r="G482" s="466" t="s">
        <v>7075</v>
      </c>
      <c r="H482" s="482" t="s">
        <v>7960</v>
      </c>
      <c r="I482" s="482">
        <v>1.0</v>
      </c>
      <c r="J482" s="486"/>
      <c r="K482" s="482" t="s">
        <v>7393</v>
      </c>
      <c r="L482" s="487">
        <v>102.9</v>
      </c>
      <c r="M482" s="482"/>
      <c r="N482" s="482"/>
      <c r="O482" s="466"/>
      <c r="P482" s="357"/>
      <c r="Q482" s="357"/>
      <c r="R482" s="357"/>
      <c r="S482" s="357"/>
      <c r="T482" s="357"/>
      <c r="U482" s="357"/>
      <c r="V482" s="357"/>
      <c r="W482" s="357"/>
      <c r="X482" s="357"/>
      <c r="Y482" s="357"/>
      <c r="Z482" s="357"/>
    </row>
    <row r="483" ht="15.75" customHeight="1">
      <c r="A483" s="466" t="s">
        <v>7391</v>
      </c>
      <c r="B483" s="466">
        <v>2024.0</v>
      </c>
      <c r="C483" s="466">
        <f t="shared" si="5"/>
        <v>11</v>
      </c>
      <c r="D483" s="467">
        <v>45622.0</v>
      </c>
      <c r="E483" s="482" t="s">
        <v>2647</v>
      </c>
      <c r="F483" s="482" t="s">
        <v>7991</v>
      </c>
      <c r="G483" s="466" t="s">
        <v>7075</v>
      </c>
      <c r="H483" s="482" t="s">
        <v>6867</v>
      </c>
      <c r="I483" s="482">
        <v>1.0</v>
      </c>
      <c r="J483" s="486"/>
      <c r="K483" s="482" t="s">
        <v>7393</v>
      </c>
      <c r="L483" s="487">
        <v>120.0</v>
      </c>
      <c r="M483" s="482"/>
      <c r="N483" s="482"/>
      <c r="O483" s="466"/>
      <c r="P483" s="357"/>
      <c r="Q483" s="357"/>
      <c r="R483" s="357"/>
      <c r="S483" s="357"/>
      <c r="T483" s="357"/>
      <c r="U483" s="357"/>
      <c r="V483" s="357"/>
      <c r="W483" s="357"/>
      <c r="X483" s="357"/>
      <c r="Y483" s="357"/>
      <c r="Z483" s="357"/>
    </row>
    <row r="484" ht="15.75" customHeight="1">
      <c r="A484" s="466" t="s">
        <v>7391</v>
      </c>
      <c r="B484" s="466">
        <v>2024.0</v>
      </c>
      <c r="C484" s="466">
        <f t="shared" si="5"/>
        <v>11</v>
      </c>
      <c r="D484" s="467">
        <v>45622.0</v>
      </c>
      <c r="E484" s="482" t="s">
        <v>7992</v>
      </c>
      <c r="F484" s="482" t="s">
        <v>7993</v>
      </c>
      <c r="G484" s="466" t="s">
        <v>7075</v>
      </c>
      <c r="H484" s="482" t="s">
        <v>7960</v>
      </c>
      <c r="I484" s="482">
        <v>1.0</v>
      </c>
      <c r="J484" s="486"/>
      <c r="K484" s="482" t="s">
        <v>7393</v>
      </c>
      <c r="L484" s="487">
        <v>120.0</v>
      </c>
      <c r="M484" s="482"/>
      <c r="N484" s="482"/>
      <c r="O484" s="466"/>
      <c r="P484" s="357"/>
      <c r="Q484" s="357"/>
      <c r="R484" s="357"/>
      <c r="S484" s="357"/>
      <c r="T484" s="357"/>
      <c r="U484" s="357"/>
      <c r="V484" s="357"/>
      <c r="W484" s="357"/>
      <c r="X484" s="357"/>
      <c r="Y484" s="357"/>
      <c r="Z484" s="357"/>
    </row>
    <row r="485" ht="15.75" customHeight="1">
      <c r="A485" s="466" t="s">
        <v>7391</v>
      </c>
      <c r="B485" s="466">
        <v>2024.0</v>
      </c>
      <c r="C485" s="466">
        <f t="shared" si="5"/>
        <v>11</v>
      </c>
      <c r="D485" s="467">
        <v>45622.0</v>
      </c>
      <c r="E485" s="482" t="s">
        <v>7417</v>
      </c>
      <c r="F485" s="482" t="s">
        <v>7994</v>
      </c>
      <c r="G485" s="466" t="s">
        <v>7075</v>
      </c>
      <c r="H485" s="482" t="s">
        <v>6867</v>
      </c>
      <c r="I485" s="482">
        <v>1.0</v>
      </c>
      <c r="J485" s="486"/>
      <c r="K485" s="482" t="s">
        <v>7393</v>
      </c>
      <c r="L485" s="487">
        <v>120.0</v>
      </c>
      <c r="M485" s="482"/>
      <c r="N485" s="482"/>
      <c r="O485" s="466"/>
      <c r="P485" s="357"/>
      <c r="Q485" s="357"/>
      <c r="R485" s="357"/>
      <c r="S485" s="357"/>
      <c r="T485" s="357"/>
      <c r="U485" s="357"/>
      <c r="V485" s="357"/>
      <c r="W485" s="357"/>
      <c r="X485" s="357"/>
      <c r="Y485" s="357"/>
      <c r="Z485" s="357"/>
    </row>
    <row r="486" ht="15.75" customHeight="1">
      <c r="A486" s="466" t="s">
        <v>7391</v>
      </c>
      <c r="B486" s="466">
        <v>2024.0</v>
      </c>
      <c r="C486" s="466">
        <f t="shared" si="5"/>
        <v>11</v>
      </c>
      <c r="D486" s="467">
        <v>45622.0</v>
      </c>
      <c r="E486" s="482" t="s">
        <v>7995</v>
      </c>
      <c r="F486" s="482" t="s">
        <v>7996</v>
      </c>
      <c r="G486" s="466" t="s">
        <v>7075</v>
      </c>
      <c r="H486" s="482" t="s">
        <v>2619</v>
      </c>
      <c r="I486" s="482">
        <v>1.0</v>
      </c>
      <c r="J486" s="486"/>
      <c r="K486" s="482" t="s">
        <v>7393</v>
      </c>
      <c r="L486" s="488">
        <v>106.9</v>
      </c>
      <c r="M486" s="475"/>
      <c r="N486" s="475"/>
      <c r="O486" s="466"/>
      <c r="P486" s="357"/>
      <c r="Q486" s="357"/>
      <c r="R486" s="357"/>
      <c r="S486" s="357"/>
      <c r="T486" s="357"/>
      <c r="U486" s="357"/>
      <c r="V486" s="357"/>
      <c r="W486" s="357"/>
      <c r="X486" s="357"/>
      <c r="Y486" s="357"/>
      <c r="Z486" s="357"/>
    </row>
    <row r="487" ht="15.75" customHeight="1">
      <c r="A487" s="466" t="s">
        <v>7391</v>
      </c>
      <c r="B487" s="466">
        <v>2024.0</v>
      </c>
      <c r="C487" s="466">
        <f t="shared" si="5"/>
        <v>11</v>
      </c>
      <c r="D487" s="467">
        <v>45623.0</v>
      </c>
      <c r="E487" s="482" t="s">
        <v>7874</v>
      </c>
      <c r="F487" s="482" t="s">
        <v>7997</v>
      </c>
      <c r="G487" s="466" t="s">
        <v>7075</v>
      </c>
      <c r="H487" s="482" t="s">
        <v>2619</v>
      </c>
      <c r="I487" s="482">
        <v>1.0</v>
      </c>
      <c r="J487" s="486"/>
      <c r="K487" s="482" t="s">
        <v>7393</v>
      </c>
      <c r="L487" s="488">
        <v>106.9</v>
      </c>
      <c r="M487" s="475"/>
      <c r="N487" s="475"/>
      <c r="O487" s="466"/>
      <c r="P487" s="357"/>
      <c r="Q487" s="357"/>
      <c r="R487" s="357"/>
      <c r="S487" s="357"/>
      <c r="T487" s="357"/>
      <c r="U487" s="357"/>
      <c r="V487" s="357"/>
      <c r="W487" s="357"/>
      <c r="X487" s="357"/>
      <c r="Y487" s="357"/>
      <c r="Z487" s="357"/>
    </row>
    <row r="488" ht="15.75" customHeight="1">
      <c r="A488" s="466" t="s">
        <v>7391</v>
      </c>
      <c r="B488" s="466">
        <v>2024.0</v>
      </c>
      <c r="C488" s="466">
        <f t="shared" si="5"/>
        <v>11</v>
      </c>
      <c r="D488" s="467">
        <v>45623.0</v>
      </c>
      <c r="E488" s="482" t="s">
        <v>7998</v>
      </c>
      <c r="F488" s="482" t="s">
        <v>7999</v>
      </c>
      <c r="G488" s="466" t="s">
        <v>7100</v>
      </c>
      <c r="H488" s="482" t="s">
        <v>248</v>
      </c>
      <c r="I488" s="482">
        <v>1.0</v>
      </c>
      <c r="J488" s="486"/>
      <c r="K488" s="482" t="s">
        <v>7393</v>
      </c>
      <c r="L488" s="487">
        <v>176.9</v>
      </c>
      <c r="M488" s="482"/>
      <c r="N488" s="482"/>
      <c r="O488" s="466"/>
      <c r="P488" s="357"/>
      <c r="Q488" s="357"/>
      <c r="R488" s="357"/>
      <c r="S488" s="357"/>
      <c r="T488" s="357"/>
      <c r="U488" s="357"/>
      <c r="V488" s="357"/>
      <c r="W488" s="357"/>
      <c r="X488" s="357"/>
      <c r="Y488" s="357"/>
      <c r="Z488" s="357"/>
    </row>
    <row r="489" ht="15.75" customHeight="1">
      <c r="A489" s="466" t="s">
        <v>7391</v>
      </c>
      <c r="B489" s="466">
        <v>2024.0</v>
      </c>
      <c r="C489" s="466">
        <f t="shared" si="5"/>
        <v>11</v>
      </c>
      <c r="D489" s="467">
        <v>45623.0</v>
      </c>
      <c r="E489" s="482" t="s">
        <v>7735</v>
      </c>
      <c r="F489" s="482" t="s">
        <v>8000</v>
      </c>
      <c r="G489" s="466" t="s">
        <v>7075</v>
      </c>
      <c r="H489" s="482" t="s">
        <v>7856</v>
      </c>
      <c r="I489" s="482">
        <v>1.0</v>
      </c>
      <c r="J489" s="486"/>
      <c r="K489" s="482" t="s">
        <v>7393</v>
      </c>
      <c r="L489" s="487">
        <v>126.9</v>
      </c>
      <c r="M489" s="482"/>
      <c r="N489" s="482"/>
      <c r="O489" s="466"/>
      <c r="P489" s="357"/>
      <c r="Q489" s="357"/>
      <c r="R489" s="357"/>
      <c r="S489" s="357"/>
      <c r="T489" s="357"/>
      <c r="U489" s="357"/>
      <c r="V489" s="357"/>
      <c r="W489" s="357"/>
      <c r="X489" s="357"/>
      <c r="Y489" s="357"/>
      <c r="Z489" s="357"/>
    </row>
    <row r="490" ht="15.75" customHeight="1">
      <c r="A490" s="466" t="s">
        <v>7391</v>
      </c>
      <c r="B490" s="466">
        <v>2024.0</v>
      </c>
      <c r="C490" s="466">
        <f t="shared" si="5"/>
        <v>11</v>
      </c>
      <c r="D490" s="467">
        <v>45623.0</v>
      </c>
      <c r="E490" s="482" t="s">
        <v>7532</v>
      </c>
      <c r="F490" s="482" t="s">
        <v>8001</v>
      </c>
      <c r="G490" s="466" t="s">
        <v>7075</v>
      </c>
      <c r="H490" s="482" t="s">
        <v>6867</v>
      </c>
      <c r="I490" s="482">
        <v>1.0</v>
      </c>
      <c r="J490" s="486"/>
      <c r="K490" s="482" t="s">
        <v>7393</v>
      </c>
      <c r="L490" s="487">
        <v>114.9</v>
      </c>
      <c r="M490" s="482"/>
      <c r="N490" s="482"/>
      <c r="O490" s="466"/>
      <c r="P490" s="357"/>
      <c r="Q490" s="357"/>
      <c r="R490" s="357"/>
      <c r="S490" s="357"/>
      <c r="T490" s="357"/>
      <c r="U490" s="357"/>
      <c r="V490" s="357"/>
      <c r="W490" s="357"/>
      <c r="X490" s="357"/>
      <c r="Y490" s="357"/>
      <c r="Z490" s="357"/>
    </row>
    <row r="491" ht="15.75" customHeight="1">
      <c r="A491" s="466" t="s">
        <v>7391</v>
      </c>
      <c r="B491" s="466">
        <v>2024.0</v>
      </c>
      <c r="C491" s="466">
        <f t="shared" si="5"/>
        <v>11</v>
      </c>
      <c r="D491" s="467">
        <v>45623.0</v>
      </c>
      <c r="E491" s="482" t="s">
        <v>2193</v>
      </c>
      <c r="F491" s="482" t="s">
        <v>7624</v>
      </c>
      <c r="G491" s="466" t="s">
        <v>7100</v>
      </c>
      <c r="H491" s="482" t="s">
        <v>6828</v>
      </c>
      <c r="I491" s="482">
        <v>1.0</v>
      </c>
      <c r="J491" s="486"/>
      <c r="K491" s="482" t="s">
        <v>7393</v>
      </c>
      <c r="L491" s="487">
        <v>176.9</v>
      </c>
      <c r="M491" s="482"/>
      <c r="N491" s="482"/>
      <c r="O491" s="466"/>
      <c r="P491" s="357"/>
      <c r="Q491" s="357"/>
      <c r="R491" s="357"/>
      <c r="S491" s="357"/>
      <c r="T491" s="357"/>
      <c r="U491" s="357"/>
      <c r="V491" s="357"/>
      <c r="W491" s="357"/>
      <c r="X491" s="357"/>
      <c r="Y491" s="357"/>
      <c r="Z491" s="357"/>
    </row>
    <row r="492" ht="15.75" customHeight="1">
      <c r="A492" s="466" t="s">
        <v>7391</v>
      </c>
      <c r="B492" s="466">
        <v>2024.0</v>
      </c>
      <c r="C492" s="466">
        <f t="shared" si="5"/>
        <v>11</v>
      </c>
      <c r="D492" s="467">
        <v>45624.0</v>
      </c>
      <c r="E492" s="482" t="s">
        <v>8002</v>
      </c>
      <c r="F492" s="482" t="s">
        <v>8003</v>
      </c>
      <c r="G492" s="466" t="s">
        <v>7100</v>
      </c>
      <c r="H492" s="482" t="s">
        <v>248</v>
      </c>
      <c r="I492" s="482">
        <v>1.0</v>
      </c>
      <c r="J492" s="486"/>
      <c r="K492" s="482" t="s">
        <v>7393</v>
      </c>
      <c r="L492" s="487">
        <v>176.9</v>
      </c>
      <c r="M492" s="482"/>
      <c r="N492" s="482"/>
      <c r="O492" s="466"/>
      <c r="P492" s="357"/>
      <c r="Q492" s="357"/>
      <c r="R492" s="357"/>
      <c r="S492" s="357"/>
      <c r="T492" s="357"/>
      <c r="U492" s="357"/>
      <c r="V492" s="357"/>
      <c r="W492" s="357"/>
      <c r="X492" s="357"/>
      <c r="Y492" s="357"/>
      <c r="Z492" s="357"/>
    </row>
    <row r="493" ht="15.75" customHeight="1">
      <c r="A493" s="466" t="s">
        <v>7391</v>
      </c>
      <c r="B493" s="466">
        <v>2024.0</v>
      </c>
      <c r="C493" s="466">
        <f t="shared" si="5"/>
        <v>11</v>
      </c>
      <c r="D493" s="467">
        <v>45624.0</v>
      </c>
      <c r="E493" s="482" t="s">
        <v>8004</v>
      </c>
      <c r="F493" s="482" t="s">
        <v>8005</v>
      </c>
      <c r="G493" s="466" t="s">
        <v>7075</v>
      </c>
      <c r="H493" s="482" t="s">
        <v>7960</v>
      </c>
      <c r="I493" s="482">
        <v>1.0</v>
      </c>
      <c r="J493" s="486"/>
      <c r="K493" s="482" t="s">
        <v>7393</v>
      </c>
      <c r="L493" s="487">
        <v>120.0</v>
      </c>
      <c r="M493" s="482"/>
      <c r="N493" s="482"/>
      <c r="O493" s="466"/>
      <c r="P493" s="357"/>
      <c r="Q493" s="357"/>
      <c r="R493" s="357"/>
      <c r="S493" s="357"/>
      <c r="T493" s="357"/>
      <c r="U493" s="357"/>
      <c r="V493" s="357"/>
      <c r="W493" s="357"/>
      <c r="X493" s="357"/>
      <c r="Y493" s="357"/>
      <c r="Z493" s="357"/>
    </row>
    <row r="494" ht="15.75" customHeight="1">
      <c r="A494" s="466" t="s">
        <v>7391</v>
      </c>
      <c r="B494" s="466">
        <v>2024.0</v>
      </c>
      <c r="C494" s="466">
        <f t="shared" si="5"/>
        <v>11</v>
      </c>
      <c r="D494" s="467">
        <v>45625.0</v>
      </c>
      <c r="E494" s="482" t="s">
        <v>2561</v>
      </c>
      <c r="F494" s="482" t="s">
        <v>8006</v>
      </c>
      <c r="G494" s="466" t="s">
        <v>7075</v>
      </c>
      <c r="H494" s="482" t="s">
        <v>6867</v>
      </c>
      <c r="I494" s="482">
        <v>1.0</v>
      </c>
      <c r="J494" s="486"/>
      <c r="K494" s="482" t="s">
        <v>7393</v>
      </c>
      <c r="L494" s="487">
        <v>126.9</v>
      </c>
      <c r="M494" s="482"/>
      <c r="N494" s="482"/>
      <c r="O494" s="466"/>
      <c r="P494" s="357"/>
      <c r="Q494" s="357"/>
      <c r="R494" s="357"/>
      <c r="S494" s="357"/>
      <c r="T494" s="357"/>
      <c r="U494" s="357"/>
      <c r="V494" s="357"/>
      <c r="W494" s="357"/>
      <c r="X494" s="357"/>
      <c r="Y494" s="357"/>
      <c r="Z494" s="357"/>
    </row>
    <row r="495" ht="15.75" customHeight="1">
      <c r="A495" s="466" t="s">
        <v>7391</v>
      </c>
      <c r="B495" s="466">
        <v>2024.0</v>
      </c>
      <c r="C495" s="466">
        <f t="shared" si="5"/>
        <v>11</v>
      </c>
      <c r="D495" s="467">
        <v>45625.0</v>
      </c>
      <c r="E495" s="482" t="s">
        <v>2823</v>
      </c>
      <c r="F495" s="482" t="s">
        <v>8007</v>
      </c>
      <c r="G495" s="466" t="s">
        <v>7075</v>
      </c>
      <c r="H495" s="482" t="s">
        <v>7856</v>
      </c>
      <c r="I495" s="482">
        <v>1.0</v>
      </c>
      <c r="J495" s="486"/>
      <c r="K495" s="482" t="s">
        <v>7393</v>
      </c>
      <c r="L495" s="487">
        <v>120.0</v>
      </c>
      <c r="M495" s="482"/>
      <c r="N495" s="482"/>
      <c r="O495" s="466"/>
      <c r="P495" s="357"/>
      <c r="Q495" s="357"/>
      <c r="R495" s="357"/>
      <c r="S495" s="357"/>
      <c r="T495" s="357"/>
      <c r="U495" s="357"/>
      <c r="V495" s="357"/>
      <c r="W495" s="357"/>
      <c r="X495" s="357"/>
      <c r="Y495" s="357"/>
      <c r="Z495" s="357"/>
    </row>
    <row r="496" ht="15.75" customHeight="1">
      <c r="A496" s="466" t="s">
        <v>7391</v>
      </c>
      <c r="B496" s="466">
        <v>2024.0</v>
      </c>
      <c r="C496" s="466">
        <f t="shared" si="5"/>
        <v>11</v>
      </c>
      <c r="D496" s="467">
        <v>45625.0</v>
      </c>
      <c r="E496" s="482" t="s">
        <v>2586</v>
      </c>
      <c r="F496" s="482" t="s">
        <v>8008</v>
      </c>
      <c r="G496" s="466" t="s">
        <v>7073</v>
      </c>
      <c r="H496" s="482" t="s">
        <v>2619</v>
      </c>
      <c r="I496" s="482">
        <v>1.0</v>
      </c>
      <c r="J496" s="486"/>
      <c r="K496" s="482" t="s">
        <v>7393</v>
      </c>
      <c r="L496" s="487">
        <v>104.65</v>
      </c>
      <c r="M496" s="482"/>
      <c r="N496" s="482"/>
      <c r="O496" s="466"/>
      <c r="P496" s="357"/>
      <c r="Q496" s="357"/>
      <c r="R496" s="357"/>
      <c r="S496" s="357"/>
      <c r="T496" s="357"/>
      <c r="U496" s="357"/>
      <c r="V496" s="357"/>
      <c r="W496" s="357"/>
      <c r="X496" s="357"/>
      <c r="Y496" s="357"/>
      <c r="Z496" s="357"/>
    </row>
    <row r="497" ht="15.75" customHeight="1">
      <c r="A497" s="466" t="s">
        <v>7391</v>
      </c>
      <c r="B497" s="466">
        <v>2024.0</v>
      </c>
      <c r="C497" s="466">
        <f t="shared" si="5"/>
        <v>11</v>
      </c>
      <c r="D497" s="467">
        <v>45625.0</v>
      </c>
      <c r="E497" s="482" t="s">
        <v>7381</v>
      </c>
      <c r="F497" s="482" t="s">
        <v>8009</v>
      </c>
      <c r="G497" s="466" t="s">
        <v>7100</v>
      </c>
      <c r="H497" s="482" t="s">
        <v>248</v>
      </c>
      <c r="I497" s="482">
        <v>1.0</v>
      </c>
      <c r="J497" s="486"/>
      <c r="K497" s="482" t="s">
        <v>7393</v>
      </c>
      <c r="L497" s="487">
        <v>170.0</v>
      </c>
      <c r="M497" s="482"/>
      <c r="N497" s="482"/>
      <c r="O497" s="466"/>
      <c r="P497" s="357"/>
      <c r="Q497" s="357"/>
      <c r="R497" s="357"/>
      <c r="S497" s="357"/>
      <c r="T497" s="357"/>
      <c r="U497" s="357"/>
      <c r="V497" s="357"/>
      <c r="W497" s="357"/>
      <c r="X497" s="357"/>
      <c r="Y497" s="357"/>
      <c r="Z497" s="357"/>
    </row>
    <row r="498" ht="15.75" customHeight="1">
      <c r="A498" s="466" t="s">
        <v>7391</v>
      </c>
      <c r="B498" s="466">
        <v>2024.0</v>
      </c>
      <c r="C498" s="466">
        <f t="shared" si="5"/>
        <v>11</v>
      </c>
      <c r="D498" s="467">
        <v>45625.0</v>
      </c>
      <c r="E498" s="482" t="s">
        <v>7687</v>
      </c>
      <c r="F498" s="482" t="s">
        <v>8010</v>
      </c>
      <c r="G498" s="466" t="s">
        <v>7611</v>
      </c>
      <c r="H498" s="482" t="s">
        <v>7957</v>
      </c>
      <c r="I498" s="482">
        <v>1.0</v>
      </c>
      <c r="J498" s="486"/>
      <c r="K498" s="482" t="s">
        <v>7393</v>
      </c>
      <c r="L498" s="487">
        <v>79.15</v>
      </c>
      <c r="M498" s="482"/>
      <c r="N498" s="482"/>
      <c r="O498" s="466"/>
      <c r="P498" s="357"/>
      <c r="Q498" s="357"/>
      <c r="R498" s="357"/>
      <c r="S498" s="357"/>
      <c r="T498" s="357"/>
      <c r="U498" s="357"/>
      <c r="V498" s="357"/>
      <c r="W498" s="357"/>
      <c r="X498" s="357"/>
      <c r="Y498" s="357"/>
      <c r="Z498" s="357"/>
    </row>
    <row r="499" ht="15.75" customHeight="1">
      <c r="A499" s="466" t="s">
        <v>7391</v>
      </c>
      <c r="B499" s="466">
        <v>2024.0</v>
      </c>
      <c r="C499" s="466">
        <f t="shared" si="5"/>
        <v>11</v>
      </c>
      <c r="D499" s="467">
        <v>45625.0</v>
      </c>
      <c r="E499" s="482" t="s">
        <v>8011</v>
      </c>
      <c r="F499" s="482" t="s">
        <v>8012</v>
      </c>
      <c r="G499" s="466" t="s">
        <v>7075</v>
      </c>
      <c r="H499" s="482" t="s">
        <v>7960</v>
      </c>
      <c r="I499" s="482">
        <v>1.0</v>
      </c>
      <c r="J499" s="486"/>
      <c r="K499" s="482" t="s">
        <v>7393</v>
      </c>
      <c r="L499" s="487">
        <v>108.9</v>
      </c>
      <c r="M499" s="482"/>
      <c r="N499" s="482"/>
      <c r="O499" s="466"/>
      <c r="P499" s="357"/>
      <c r="Q499" s="357"/>
      <c r="R499" s="357"/>
      <c r="S499" s="357"/>
      <c r="T499" s="357"/>
      <c r="U499" s="357"/>
      <c r="V499" s="357"/>
      <c r="W499" s="357"/>
      <c r="X499" s="357"/>
      <c r="Y499" s="357"/>
      <c r="Z499" s="357"/>
    </row>
    <row r="500" ht="15.75" customHeight="1">
      <c r="A500" s="466" t="s">
        <v>7391</v>
      </c>
      <c r="B500" s="466">
        <v>2024.0</v>
      </c>
      <c r="C500" s="466">
        <f t="shared" si="5"/>
        <v>11</v>
      </c>
      <c r="D500" s="467">
        <v>45625.0</v>
      </c>
      <c r="E500" s="482" t="s">
        <v>7874</v>
      </c>
      <c r="F500" s="482" t="s">
        <v>7842</v>
      </c>
      <c r="G500" s="466" t="s">
        <v>7611</v>
      </c>
      <c r="H500" s="482" t="s">
        <v>2459</v>
      </c>
      <c r="I500" s="482">
        <v>1.0</v>
      </c>
      <c r="J500" s="486"/>
      <c r="K500" s="482" t="s">
        <v>7393</v>
      </c>
      <c r="L500" s="487">
        <v>79.15</v>
      </c>
      <c r="M500" s="482"/>
      <c r="N500" s="482"/>
      <c r="O500" s="466"/>
      <c r="P500" s="357"/>
      <c r="Q500" s="357"/>
      <c r="R500" s="357"/>
      <c r="S500" s="357"/>
      <c r="T500" s="357"/>
      <c r="U500" s="357"/>
      <c r="V500" s="357"/>
      <c r="W500" s="357"/>
      <c r="X500" s="357"/>
      <c r="Y500" s="357"/>
      <c r="Z500" s="357"/>
    </row>
    <row r="501" ht="15.75" customHeight="1">
      <c r="A501" s="466" t="s">
        <v>7391</v>
      </c>
      <c r="B501" s="466">
        <v>2024.0</v>
      </c>
      <c r="C501" s="466">
        <f t="shared" si="5"/>
        <v>11</v>
      </c>
      <c r="D501" s="467">
        <v>45625.0</v>
      </c>
      <c r="E501" s="482" t="s">
        <v>7434</v>
      </c>
      <c r="F501" s="482" t="s">
        <v>8013</v>
      </c>
      <c r="G501" s="466" t="s">
        <v>7075</v>
      </c>
      <c r="H501" s="482" t="s">
        <v>6867</v>
      </c>
      <c r="I501" s="482">
        <v>1.0</v>
      </c>
      <c r="J501" s="486"/>
      <c r="K501" s="482" t="s">
        <v>7393</v>
      </c>
      <c r="L501" s="487">
        <v>126.9</v>
      </c>
      <c r="M501" s="482"/>
      <c r="N501" s="482"/>
      <c r="O501" s="466"/>
      <c r="P501" s="357"/>
      <c r="Q501" s="357"/>
      <c r="R501" s="357"/>
      <c r="S501" s="357"/>
      <c r="T501" s="357"/>
      <c r="U501" s="357"/>
      <c r="V501" s="357"/>
      <c r="W501" s="357"/>
      <c r="X501" s="357"/>
      <c r="Y501" s="357"/>
      <c r="Z501" s="357"/>
    </row>
    <row r="502" ht="15.75" customHeight="1">
      <c r="A502" s="466" t="s">
        <v>7391</v>
      </c>
      <c r="B502" s="466">
        <v>2024.0</v>
      </c>
      <c r="C502" s="466">
        <f t="shared" si="5"/>
        <v>11</v>
      </c>
      <c r="D502" s="467">
        <v>45625.0</v>
      </c>
      <c r="E502" s="482" t="s">
        <v>8014</v>
      </c>
      <c r="F502" s="482" t="s">
        <v>8015</v>
      </c>
      <c r="G502" s="466" t="s">
        <v>7075</v>
      </c>
      <c r="H502" s="482" t="s">
        <v>6867</v>
      </c>
      <c r="I502" s="482">
        <v>1.0</v>
      </c>
      <c r="J502" s="486"/>
      <c r="K502" s="482" t="s">
        <v>7393</v>
      </c>
      <c r="L502" s="487">
        <v>120.0</v>
      </c>
      <c r="M502" s="482"/>
      <c r="N502" s="482"/>
      <c r="O502" s="466"/>
      <c r="P502" s="357"/>
      <c r="Q502" s="357"/>
      <c r="R502" s="357"/>
      <c r="S502" s="357"/>
      <c r="T502" s="357"/>
      <c r="U502" s="357"/>
      <c r="V502" s="357"/>
      <c r="W502" s="357"/>
      <c r="X502" s="357"/>
      <c r="Y502" s="357"/>
      <c r="Z502" s="357"/>
    </row>
    <row r="503" ht="15.75" customHeight="1">
      <c r="A503" s="466" t="s">
        <v>7391</v>
      </c>
      <c r="B503" s="466">
        <v>2024.0</v>
      </c>
      <c r="C503" s="466">
        <f t="shared" si="5"/>
        <v>11</v>
      </c>
      <c r="D503" s="467">
        <v>45625.0</v>
      </c>
      <c r="E503" s="482" t="s">
        <v>7657</v>
      </c>
      <c r="F503" s="482" t="s">
        <v>8016</v>
      </c>
      <c r="G503" s="466" t="s">
        <v>7075</v>
      </c>
      <c r="H503" s="482" t="s">
        <v>7960</v>
      </c>
      <c r="I503" s="482">
        <v>1.0</v>
      </c>
      <c r="J503" s="486"/>
      <c r="K503" s="482" t="s">
        <v>7393</v>
      </c>
      <c r="L503" s="487">
        <v>108.9</v>
      </c>
      <c r="M503" s="482"/>
      <c r="N503" s="482"/>
      <c r="O503" s="466"/>
      <c r="P503" s="357"/>
      <c r="Q503" s="357"/>
      <c r="R503" s="357"/>
      <c r="S503" s="357"/>
      <c r="T503" s="357"/>
      <c r="U503" s="357"/>
      <c r="V503" s="357"/>
      <c r="W503" s="357"/>
      <c r="X503" s="357"/>
      <c r="Y503" s="357"/>
      <c r="Z503" s="357"/>
    </row>
    <row r="504" ht="15.75" customHeight="1">
      <c r="A504" s="466" t="s">
        <v>7391</v>
      </c>
      <c r="B504" s="466">
        <v>2024.0</v>
      </c>
      <c r="C504" s="466">
        <f t="shared" si="5"/>
        <v>11</v>
      </c>
      <c r="D504" s="467">
        <v>45625.0</v>
      </c>
      <c r="E504" s="482" t="s">
        <v>8017</v>
      </c>
      <c r="F504" s="482" t="s">
        <v>7426</v>
      </c>
      <c r="G504" s="466" t="s">
        <v>7073</v>
      </c>
      <c r="H504" s="482" t="s">
        <v>2619</v>
      </c>
      <c r="I504" s="482">
        <v>1.0</v>
      </c>
      <c r="J504" s="486"/>
      <c r="K504" s="482" t="s">
        <v>7393</v>
      </c>
      <c r="L504" s="487">
        <v>104.65</v>
      </c>
      <c r="M504" s="482"/>
      <c r="N504" s="482"/>
      <c r="O504" s="466"/>
      <c r="P504" s="357"/>
      <c r="Q504" s="357"/>
      <c r="R504" s="357"/>
      <c r="S504" s="357"/>
      <c r="T504" s="357"/>
      <c r="U504" s="357"/>
      <c r="V504" s="357"/>
      <c r="W504" s="357"/>
      <c r="X504" s="357"/>
      <c r="Y504" s="357"/>
      <c r="Z504" s="357"/>
    </row>
    <row r="505" ht="15.75" customHeight="1">
      <c r="A505" s="466" t="s">
        <v>7391</v>
      </c>
      <c r="B505" s="466">
        <v>2024.0</v>
      </c>
      <c r="C505" s="466">
        <f t="shared" si="5"/>
        <v>11</v>
      </c>
      <c r="D505" s="467">
        <v>45625.0</v>
      </c>
      <c r="E505" s="482" t="s">
        <v>7396</v>
      </c>
      <c r="F505" s="482" t="s">
        <v>8018</v>
      </c>
      <c r="G505" s="466" t="s">
        <v>7073</v>
      </c>
      <c r="H505" s="482" t="s">
        <v>7940</v>
      </c>
      <c r="I505" s="482">
        <v>1.0</v>
      </c>
      <c r="J505" s="486"/>
      <c r="K505" s="482" t="s">
        <v>7393</v>
      </c>
      <c r="L505" s="487">
        <v>104.65</v>
      </c>
      <c r="M505" s="482"/>
      <c r="N505" s="482"/>
      <c r="O505" s="466"/>
      <c r="P505" s="357"/>
      <c r="Q505" s="357"/>
      <c r="R505" s="357"/>
      <c r="S505" s="357"/>
      <c r="T505" s="357"/>
      <c r="U505" s="357"/>
      <c r="V505" s="357"/>
      <c r="W505" s="357"/>
      <c r="X505" s="357"/>
      <c r="Y505" s="357"/>
      <c r="Z505" s="357"/>
    </row>
    <row r="506" ht="15.75" customHeight="1">
      <c r="A506" s="466" t="s">
        <v>7391</v>
      </c>
      <c r="B506" s="466">
        <v>2024.0</v>
      </c>
      <c r="C506" s="466">
        <f t="shared" si="5"/>
        <v>11</v>
      </c>
      <c r="D506" s="467">
        <v>45626.0</v>
      </c>
      <c r="E506" s="482" t="s">
        <v>8019</v>
      </c>
      <c r="F506" s="482" t="s">
        <v>8020</v>
      </c>
      <c r="G506" s="466" t="s">
        <v>7075</v>
      </c>
      <c r="H506" s="482" t="s">
        <v>6906</v>
      </c>
      <c r="I506" s="482">
        <v>1.0</v>
      </c>
      <c r="J506" s="486"/>
      <c r="K506" s="482" t="s">
        <v>7393</v>
      </c>
      <c r="L506" s="487">
        <v>106.9</v>
      </c>
      <c r="M506" s="482"/>
      <c r="N506" s="482"/>
      <c r="O506" s="466"/>
      <c r="P506" s="357"/>
      <c r="Q506" s="357"/>
      <c r="R506" s="357"/>
      <c r="S506" s="357"/>
      <c r="T506" s="357"/>
      <c r="U506" s="357"/>
      <c r="V506" s="357"/>
      <c r="W506" s="357"/>
      <c r="X506" s="357"/>
      <c r="Y506" s="357"/>
      <c r="Z506" s="357"/>
    </row>
    <row r="507" ht="15.75" customHeight="1">
      <c r="A507" s="466" t="s">
        <v>7391</v>
      </c>
      <c r="B507" s="466">
        <v>2024.0</v>
      </c>
      <c r="C507" s="466">
        <f t="shared" si="5"/>
        <v>11</v>
      </c>
      <c r="D507" s="467">
        <v>45626.0</v>
      </c>
      <c r="E507" s="482" t="s">
        <v>8021</v>
      </c>
      <c r="F507" s="482" t="s">
        <v>8022</v>
      </c>
      <c r="G507" s="466" t="s">
        <v>7075</v>
      </c>
      <c r="H507" s="482" t="s">
        <v>7960</v>
      </c>
      <c r="I507" s="482">
        <v>1.0</v>
      </c>
      <c r="J507" s="486"/>
      <c r="K507" s="482" t="s">
        <v>7393</v>
      </c>
      <c r="L507" s="487">
        <v>126.9</v>
      </c>
      <c r="M507" s="482"/>
      <c r="N507" s="482"/>
      <c r="O507" s="466"/>
      <c r="P507" s="357"/>
      <c r="Q507" s="357"/>
      <c r="R507" s="357"/>
      <c r="S507" s="357"/>
      <c r="T507" s="357"/>
      <c r="U507" s="357"/>
      <c r="V507" s="357"/>
      <c r="W507" s="357"/>
      <c r="X507" s="357"/>
      <c r="Y507" s="357"/>
      <c r="Z507" s="357"/>
    </row>
    <row r="508" ht="15.75" customHeight="1">
      <c r="A508" s="466" t="s">
        <v>7391</v>
      </c>
      <c r="B508" s="466">
        <v>2024.0</v>
      </c>
      <c r="C508" s="466">
        <f t="shared" si="5"/>
        <v>11</v>
      </c>
      <c r="D508" s="467">
        <v>45626.0</v>
      </c>
      <c r="E508" s="482" t="s">
        <v>2600</v>
      </c>
      <c r="F508" s="482" t="s">
        <v>8023</v>
      </c>
      <c r="G508" s="466" t="s">
        <v>7073</v>
      </c>
      <c r="H508" s="482" t="s">
        <v>7940</v>
      </c>
      <c r="I508" s="482">
        <v>1.0</v>
      </c>
      <c r="J508" s="486"/>
      <c r="K508" s="482" t="s">
        <v>7393</v>
      </c>
      <c r="L508" s="487">
        <v>121.9</v>
      </c>
      <c r="M508" s="482"/>
      <c r="N508" s="482"/>
      <c r="O508" s="466"/>
      <c r="P508" s="357"/>
      <c r="Q508" s="357"/>
      <c r="R508" s="357"/>
      <c r="S508" s="357"/>
      <c r="T508" s="357"/>
      <c r="U508" s="357"/>
      <c r="V508" s="357"/>
      <c r="W508" s="357"/>
      <c r="X508" s="357"/>
      <c r="Y508" s="357"/>
      <c r="Z508" s="357"/>
    </row>
    <row r="509" ht="15.75" customHeight="1">
      <c r="A509" s="466" t="s">
        <v>7391</v>
      </c>
      <c r="B509" s="466">
        <v>2024.0</v>
      </c>
      <c r="C509" s="466">
        <f t="shared" si="5"/>
        <v>11</v>
      </c>
      <c r="D509" s="467">
        <v>45626.0</v>
      </c>
      <c r="E509" s="482" t="s">
        <v>2647</v>
      </c>
      <c r="F509" s="482" t="s">
        <v>8024</v>
      </c>
      <c r="G509" s="466" t="s">
        <v>7073</v>
      </c>
      <c r="H509" s="482" t="s">
        <v>2619</v>
      </c>
      <c r="I509" s="482">
        <v>1.0</v>
      </c>
      <c r="J509" s="486"/>
      <c r="K509" s="482" t="s">
        <v>7393</v>
      </c>
      <c r="L509" s="487">
        <v>121.9</v>
      </c>
      <c r="M509" s="482"/>
      <c r="N509" s="482"/>
      <c r="O509" s="466"/>
      <c r="P509" s="357"/>
      <c r="Q509" s="357"/>
      <c r="R509" s="357"/>
      <c r="S509" s="357"/>
      <c r="T509" s="357"/>
      <c r="U509" s="357"/>
      <c r="V509" s="357"/>
      <c r="W509" s="357"/>
      <c r="X509" s="357"/>
      <c r="Y509" s="357"/>
      <c r="Z509" s="357"/>
    </row>
    <row r="510" ht="15.75" customHeight="1">
      <c r="A510" s="466" t="s">
        <v>7391</v>
      </c>
      <c r="B510" s="466">
        <v>2024.0</v>
      </c>
      <c r="C510" s="466">
        <f t="shared" si="5"/>
        <v>12</v>
      </c>
      <c r="D510" s="467">
        <v>45627.0</v>
      </c>
      <c r="E510" s="482" t="s">
        <v>2441</v>
      </c>
      <c r="F510" s="482" t="s">
        <v>8025</v>
      </c>
      <c r="G510" s="466" t="s">
        <v>7075</v>
      </c>
      <c r="H510" s="482" t="s">
        <v>6867</v>
      </c>
      <c r="I510" s="482">
        <v>1.0</v>
      </c>
      <c r="J510" s="486"/>
      <c r="K510" s="482" t="s">
        <v>7393</v>
      </c>
      <c r="L510" s="487">
        <v>120.0</v>
      </c>
      <c r="M510" s="482"/>
      <c r="N510" s="482"/>
      <c r="O510" s="466"/>
      <c r="P510" s="357"/>
      <c r="Q510" s="357"/>
      <c r="R510" s="357"/>
      <c r="S510" s="357"/>
      <c r="T510" s="357"/>
      <c r="U510" s="357"/>
      <c r="V510" s="357"/>
      <c r="W510" s="357"/>
      <c r="X510" s="357"/>
      <c r="Y510" s="357"/>
      <c r="Z510" s="357"/>
    </row>
    <row r="511" ht="15.75" customHeight="1">
      <c r="A511" s="466" t="s">
        <v>7391</v>
      </c>
      <c r="B511" s="466">
        <v>2024.0</v>
      </c>
      <c r="C511" s="466">
        <f t="shared" si="5"/>
        <v>12</v>
      </c>
      <c r="D511" s="467">
        <v>45627.0</v>
      </c>
      <c r="E511" s="482" t="s">
        <v>2600</v>
      </c>
      <c r="F511" s="482" t="s">
        <v>8026</v>
      </c>
      <c r="G511" s="466" t="s">
        <v>7075</v>
      </c>
      <c r="H511" s="482" t="s">
        <v>6867</v>
      </c>
      <c r="I511" s="482">
        <v>1.0</v>
      </c>
      <c r="J511" s="486"/>
      <c r="K511" s="482" t="s">
        <v>7393</v>
      </c>
      <c r="L511" s="487">
        <v>126.9</v>
      </c>
      <c r="M511" s="482"/>
      <c r="N511" s="482"/>
      <c r="O511" s="466"/>
      <c r="P511" s="357"/>
      <c r="Q511" s="357"/>
      <c r="R511" s="357"/>
      <c r="S511" s="357"/>
      <c r="T511" s="357"/>
      <c r="U511" s="357"/>
      <c r="V511" s="357"/>
      <c r="W511" s="357"/>
      <c r="X511" s="357"/>
      <c r="Y511" s="357"/>
      <c r="Z511" s="357"/>
    </row>
    <row r="512" ht="15.75" customHeight="1">
      <c r="A512" s="466" t="s">
        <v>7391</v>
      </c>
      <c r="B512" s="466">
        <v>2024.0</v>
      </c>
      <c r="C512" s="466">
        <f t="shared" si="5"/>
        <v>12</v>
      </c>
      <c r="D512" s="467">
        <v>45627.0</v>
      </c>
      <c r="E512" s="482" t="s">
        <v>7637</v>
      </c>
      <c r="F512" s="482" t="s">
        <v>7287</v>
      </c>
      <c r="G512" s="466" t="s">
        <v>7611</v>
      </c>
      <c r="H512" s="482" t="s">
        <v>7989</v>
      </c>
      <c r="I512" s="482">
        <v>1.0</v>
      </c>
      <c r="J512" s="486"/>
      <c r="K512" s="482" t="s">
        <v>7393</v>
      </c>
      <c r="L512" s="487">
        <v>91.9</v>
      </c>
      <c r="M512" s="482"/>
      <c r="N512" s="482"/>
      <c r="O512" s="466"/>
      <c r="P512" s="357"/>
      <c r="Q512" s="357"/>
      <c r="R512" s="357"/>
      <c r="S512" s="357"/>
      <c r="T512" s="357"/>
      <c r="U512" s="357"/>
      <c r="V512" s="357"/>
      <c r="W512" s="357"/>
      <c r="X512" s="357"/>
      <c r="Y512" s="357"/>
      <c r="Z512" s="357"/>
    </row>
    <row r="513" ht="15.75" customHeight="1">
      <c r="A513" s="466" t="s">
        <v>7391</v>
      </c>
      <c r="B513" s="466">
        <v>2024.0</v>
      </c>
      <c r="C513" s="466">
        <f t="shared" si="5"/>
        <v>12</v>
      </c>
      <c r="D513" s="467">
        <v>45627.0</v>
      </c>
      <c r="E513" s="482" t="s">
        <v>7755</v>
      </c>
      <c r="F513" s="482" t="s">
        <v>8027</v>
      </c>
      <c r="G513" s="466" t="s">
        <v>7075</v>
      </c>
      <c r="H513" s="482" t="s">
        <v>6867</v>
      </c>
      <c r="I513" s="482">
        <v>1.0</v>
      </c>
      <c r="J513" s="486"/>
      <c r="K513" s="482" t="s">
        <v>7393</v>
      </c>
      <c r="L513" s="487">
        <v>126.9</v>
      </c>
      <c r="M513" s="482"/>
      <c r="N513" s="482"/>
      <c r="O513" s="466"/>
      <c r="P513" s="357"/>
      <c r="Q513" s="357"/>
      <c r="R513" s="357"/>
      <c r="S513" s="357"/>
      <c r="T513" s="357"/>
      <c r="U513" s="357"/>
      <c r="V513" s="357"/>
      <c r="W513" s="357"/>
      <c r="X513" s="357"/>
      <c r="Y513" s="357"/>
      <c r="Z513" s="357"/>
    </row>
    <row r="514" ht="15.75" customHeight="1">
      <c r="A514" s="466" t="s">
        <v>7391</v>
      </c>
      <c r="B514" s="466">
        <v>2024.0</v>
      </c>
      <c r="C514" s="466">
        <f t="shared" si="5"/>
        <v>12</v>
      </c>
      <c r="D514" s="467">
        <v>45627.0</v>
      </c>
      <c r="E514" s="482" t="s">
        <v>7661</v>
      </c>
      <c r="F514" s="482" t="s">
        <v>7553</v>
      </c>
      <c r="G514" s="466" t="s">
        <v>7075</v>
      </c>
      <c r="H514" s="482" t="s">
        <v>7984</v>
      </c>
      <c r="I514" s="482">
        <v>1.0</v>
      </c>
      <c r="J514" s="486"/>
      <c r="K514" s="482" t="s">
        <v>7393</v>
      </c>
      <c r="L514" s="487">
        <v>120.0</v>
      </c>
      <c r="M514" s="482"/>
      <c r="N514" s="482"/>
      <c r="O514" s="466"/>
      <c r="P514" s="357"/>
      <c r="Q514" s="357"/>
      <c r="R514" s="357"/>
      <c r="S514" s="357"/>
      <c r="T514" s="357"/>
      <c r="U514" s="357"/>
      <c r="V514" s="357"/>
      <c r="W514" s="357"/>
      <c r="X514" s="357"/>
      <c r="Y514" s="357"/>
      <c r="Z514" s="357"/>
    </row>
    <row r="515" ht="15.75" customHeight="1">
      <c r="A515" s="466" t="s">
        <v>7391</v>
      </c>
      <c r="B515" s="466">
        <v>2024.0</v>
      </c>
      <c r="C515" s="466">
        <f t="shared" si="5"/>
        <v>12</v>
      </c>
      <c r="D515" s="467">
        <v>45627.0</v>
      </c>
      <c r="E515" s="482" t="s">
        <v>7784</v>
      </c>
      <c r="F515" s="482" t="s">
        <v>8028</v>
      </c>
      <c r="G515" s="466" t="s">
        <v>7075</v>
      </c>
      <c r="H515" s="482" t="s">
        <v>6867</v>
      </c>
      <c r="I515" s="482">
        <v>1.0</v>
      </c>
      <c r="J515" s="486"/>
      <c r="K515" s="482" t="s">
        <v>7393</v>
      </c>
      <c r="L515" s="487">
        <v>126.9</v>
      </c>
      <c r="M515" s="482"/>
      <c r="N515" s="482"/>
      <c r="O515" s="466"/>
      <c r="P515" s="357"/>
      <c r="Q515" s="357"/>
      <c r="R515" s="357"/>
      <c r="S515" s="357"/>
      <c r="T515" s="357"/>
      <c r="U515" s="357"/>
      <c r="V515" s="357"/>
      <c r="W515" s="357"/>
      <c r="X515" s="357"/>
      <c r="Y515" s="357"/>
      <c r="Z515" s="357"/>
    </row>
    <row r="516" ht="15.75" customHeight="1">
      <c r="A516" s="466" t="s">
        <v>7391</v>
      </c>
      <c r="B516" s="466">
        <v>2024.0</v>
      </c>
      <c r="C516" s="466">
        <f t="shared" si="5"/>
        <v>12</v>
      </c>
      <c r="D516" s="467">
        <v>45628.0</v>
      </c>
      <c r="E516" s="482" t="s">
        <v>2659</v>
      </c>
      <c r="F516" s="482" t="s">
        <v>8029</v>
      </c>
      <c r="G516" s="466" t="s">
        <v>7100</v>
      </c>
      <c r="H516" s="482" t="s">
        <v>248</v>
      </c>
      <c r="I516" s="482">
        <v>1.0</v>
      </c>
      <c r="J516" s="486"/>
      <c r="K516" s="482" t="s">
        <v>7393</v>
      </c>
      <c r="L516" s="487">
        <v>176.9</v>
      </c>
      <c r="M516" s="482"/>
      <c r="N516" s="482"/>
      <c r="O516" s="466"/>
      <c r="P516" s="357"/>
      <c r="Q516" s="357"/>
      <c r="R516" s="357"/>
      <c r="S516" s="357"/>
      <c r="T516" s="357"/>
      <c r="U516" s="357"/>
      <c r="V516" s="357"/>
      <c r="W516" s="357"/>
      <c r="X516" s="357"/>
      <c r="Y516" s="357"/>
      <c r="Z516" s="357"/>
    </row>
    <row r="517" ht="15.75" customHeight="1">
      <c r="A517" s="466" t="s">
        <v>7391</v>
      </c>
      <c r="B517" s="466">
        <v>2024.0</v>
      </c>
      <c r="C517" s="466">
        <f t="shared" si="5"/>
        <v>12</v>
      </c>
      <c r="D517" s="467">
        <v>45628.0</v>
      </c>
      <c r="E517" s="482" t="s">
        <v>8030</v>
      </c>
      <c r="F517" s="482" t="s">
        <v>2595</v>
      </c>
      <c r="G517" s="466" t="s">
        <v>7100</v>
      </c>
      <c r="H517" s="482" t="s">
        <v>6828</v>
      </c>
      <c r="I517" s="482">
        <v>1.0</v>
      </c>
      <c r="J517" s="486"/>
      <c r="K517" s="482" t="s">
        <v>7393</v>
      </c>
      <c r="L517" s="487">
        <v>176.9</v>
      </c>
      <c r="M517" s="482"/>
      <c r="N517" s="482"/>
      <c r="O517" s="466"/>
      <c r="P517" s="357"/>
      <c r="Q517" s="357"/>
      <c r="R517" s="357"/>
      <c r="S517" s="357"/>
      <c r="T517" s="357"/>
      <c r="U517" s="357"/>
      <c r="V517" s="357"/>
      <c r="W517" s="357"/>
      <c r="X517" s="357"/>
      <c r="Y517" s="357"/>
      <c r="Z517" s="357"/>
    </row>
    <row r="518" ht="15.75" customHeight="1">
      <c r="A518" s="466" t="s">
        <v>7391</v>
      </c>
      <c r="B518" s="466">
        <v>2024.0</v>
      </c>
      <c r="C518" s="466">
        <f t="shared" si="5"/>
        <v>12</v>
      </c>
      <c r="D518" s="467">
        <v>45628.0</v>
      </c>
      <c r="E518" s="482" t="s">
        <v>7554</v>
      </c>
      <c r="F518" s="482" t="s">
        <v>8031</v>
      </c>
      <c r="G518" s="466" t="s">
        <v>7075</v>
      </c>
      <c r="H518" s="482" t="s">
        <v>7801</v>
      </c>
      <c r="I518" s="482">
        <v>1.0</v>
      </c>
      <c r="J518" s="486"/>
      <c r="K518" s="482" t="s">
        <v>7393</v>
      </c>
      <c r="L518" s="487">
        <v>116.9</v>
      </c>
      <c r="M518" s="482"/>
      <c r="N518" s="482"/>
      <c r="O518" s="466"/>
      <c r="P518" s="357"/>
      <c r="Q518" s="357"/>
      <c r="R518" s="357"/>
      <c r="S518" s="357"/>
      <c r="T518" s="357"/>
      <c r="U518" s="357"/>
      <c r="V518" s="357"/>
      <c r="W518" s="357"/>
      <c r="X518" s="357"/>
      <c r="Y518" s="357"/>
      <c r="Z518" s="357"/>
    </row>
    <row r="519" ht="15.75" customHeight="1">
      <c r="A519" s="466" t="s">
        <v>7391</v>
      </c>
      <c r="B519" s="466">
        <v>2024.0</v>
      </c>
      <c r="C519" s="466">
        <f t="shared" si="5"/>
        <v>12</v>
      </c>
      <c r="D519" s="467">
        <v>45628.0</v>
      </c>
      <c r="E519" s="482" t="s">
        <v>8032</v>
      </c>
      <c r="F519" s="482" t="s">
        <v>8033</v>
      </c>
      <c r="G519" s="466" t="s">
        <v>7075</v>
      </c>
      <c r="H519" s="482" t="s">
        <v>7801</v>
      </c>
      <c r="I519" s="482">
        <v>1.0</v>
      </c>
      <c r="J519" s="486"/>
      <c r="K519" s="482" t="s">
        <v>7393</v>
      </c>
      <c r="L519" s="487">
        <v>116.9</v>
      </c>
      <c r="M519" s="482"/>
      <c r="N519" s="482"/>
      <c r="O519" s="466"/>
      <c r="P519" s="357"/>
      <c r="Q519" s="357"/>
      <c r="R519" s="357"/>
      <c r="S519" s="357"/>
      <c r="T519" s="357"/>
      <c r="U519" s="357"/>
      <c r="V519" s="357"/>
      <c r="W519" s="357"/>
      <c r="X519" s="357"/>
      <c r="Y519" s="357"/>
      <c r="Z519" s="357"/>
    </row>
    <row r="520" ht="15.75" customHeight="1">
      <c r="A520" s="466" t="s">
        <v>7391</v>
      </c>
      <c r="B520" s="466">
        <v>2024.0</v>
      </c>
      <c r="C520" s="466">
        <f t="shared" si="5"/>
        <v>12</v>
      </c>
      <c r="D520" s="467">
        <v>45628.0</v>
      </c>
      <c r="E520" s="482" t="s">
        <v>7883</v>
      </c>
      <c r="F520" s="482" t="s">
        <v>8034</v>
      </c>
      <c r="G520" s="466" t="s">
        <v>8035</v>
      </c>
      <c r="H520" s="482"/>
      <c r="I520" s="482">
        <v>2.0</v>
      </c>
      <c r="J520" s="486"/>
      <c r="K520" s="482" t="s">
        <v>7393</v>
      </c>
      <c r="L520" s="487">
        <v>66.9</v>
      </c>
      <c r="M520" s="482"/>
      <c r="N520" s="482"/>
      <c r="O520" s="466" t="s">
        <v>7497</v>
      </c>
      <c r="P520" s="357"/>
      <c r="Q520" s="357"/>
      <c r="R520" s="357"/>
      <c r="S520" s="357"/>
      <c r="T520" s="357"/>
      <c r="U520" s="357"/>
      <c r="V520" s="357"/>
      <c r="W520" s="357"/>
      <c r="X520" s="357"/>
      <c r="Y520" s="357"/>
      <c r="Z520" s="357"/>
    </row>
    <row r="521" ht="15.75" customHeight="1">
      <c r="A521" s="466" t="s">
        <v>7391</v>
      </c>
      <c r="B521" s="466">
        <v>2024.0</v>
      </c>
      <c r="C521" s="466">
        <f t="shared" si="5"/>
        <v>12</v>
      </c>
      <c r="D521" s="467">
        <v>45628.0</v>
      </c>
      <c r="E521" s="482" t="s">
        <v>7848</v>
      </c>
      <c r="F521" s="482" t="s">
        <v>8036</v>
      </c>
      <c r="G521" s="466" t="s">
        <v>7075</v>
      </c>
      <c r="H521" s="482" t="s">
        <v>6867</v>
      </c>
      <c r="I521" s="482">
        <v>1.0</v>
      </c>
      <c r="J521" s="486"/>
      <c r="K521" s="482" t="s">
        <v>7393</v>
      </c>
      <c r="L521" s="487">
        <v>120.0</v>
      </c>
      <c r="M521" s="482"/>
      <c r="N521" s="482"/>
      <c r="O521" s="466"/>
      <c r="P521" s="357"/>
      <c r="Q521" s="357"/>
      <c r="R521" s="357"/>
      <c r="S521" s="357"/>
      <c r="T521" s="357"/>
      <c r="U521" s="357"/>
      <c r="V521" s="357"/>
      <c r="W521" s="357"/>
      <c r="X521" s="357"/>
      <c r="Y521" s="357"/>
      <c r="Z521" s="357"/>
    </row>
    <row r="522" ht="15.75" customHeight="1">
      <c r="A522" s="466" t="s">
        <v>7391</v>
      </c>
      <c r="B522" s="466">
        <v>2024.0</v>
      </c>
      <c r="C522" s="466">
        <f t="shared" si="5"/>
        <v>12</v>
      </c>
      <c r="D522" s="467">
        <v>45629.0</v>
      </c>
      <c r="E522" s="482" t="s">
        <v>8037</v>
      </c>
      <c r="F522" s="482" t="s">
        <v>8038</v>
      </c>
      <c r="G522" s="466" t="s">
        <v>7075</v>
      </c>
      <c r="H522" s="482" t="s">
        <v>6867</v>
      </c>
      <c r="I522" s="482">
        <v>1.0</v>
      </c>
      <c r="J522" s="486"/>
      <c r="K522" s="482" t="s">
        <v>7393</v>
      </c>
      <c r="L522" s="487">
        <v>138.7</v>
      </c>
      <c r="M522" s="482"/>
      <c r="N522" s="482"/>
      <c r="O522" s="466"/>
      <c r="P522" s="357"/>
      <c r="Q522" s="357"/>
      <c r="R522" s="357"/>
      <c r="S522" s="357"/>
      <c r="T522" s="357"/>
      <c r="U522" s="357"/>
      <c r="V522" s="357"/>
      <c r="W522" s="357"/>
      <c r="X522" s="357"/>
      <c r="Y522" s="357"/>
      <c r="Z522" s="357"/>
    </row>
    <row r="523" ht="15.75" customHeight="1">
      <c r="A523" s="466" t="s">
        <v>7391</v>
      </c>
      <c r="B523" s="466">
        <v>2024.0</v>
      </c>
      <c r="C523" s="466">
        <f t="shared" si="5"/>
        <v>12</v>
      </c>
      <c r="D523" s="467">
        <v>45629.0</v>
      </c>
      <c r="E523" s="482" t="s">
        <v>7619</v>
      </c>
      <c r="F523" s="482" t="s">
        <v>8039</v>
      </c>
      <c r="G523" s="466" t="s">
        <v>7100</v>
      </c>
      <c r="H523" s="482" t="s">
        <v>248</v>
      </c>
      <c r="I523" s="482">
        <v>1.0</v>
      </c>
      <c r="J523" s="486"/>
      <c r="K523" s="482" t="s">
        <v>7393</v>
      </c>
      <c r="L523" s="487">
        <v>176.9</v>
      </c>
      <c r="M523" s="482"/>
      <c r="N523" s="482"/>
      <c r="O523" s="466"/>
      <c r="P523" s="357"/>
      <c r="Q523" s="357"/>
      <c r="R523" s="357"/>
      <c r="S523" s="357"/>
      <c r="T523" s="357"/>
      <c r="U523" s="357"/>
      <c r="V523" s="357"/>
      <c r="W523" s="357"/>
      <c r="X523" s="357"/>
      <c r="Y523" s="357"/>
      <c r="Z523" s="357"/>
    </row>
    <row r="524" ht="15.75" customHeight="1">
      <c r="A524" s="466" t="s">
        <v>7391</v>
      </c>
      <c r="B524" s="466">
        <v>2024.0</v>
      </c>
      <c r="C524" s="466">
        <f t="shared" si="5"/>
        <v>12</v>
      </c>
      <c r="D524" s="467">
        <v>45629.0</v>
      </c>
      <c r="E524" s="482" t="s">
        <v>8040</v>
      </c>
      <c r="F524" s="482" t="s">
        <v>8041</v>
      </c>
      <c r="G524" s="466" t="s">
        <v>7075</v>
      </c>
      <c r="H524" s="482" t="s">
        <v>6867</v>
      </c>
      <c r="I524" s="482">
        <v>1.0</v>
      </c>
      <c r="J524" s="486"/>
      <c r="K524" s="482" t="s">
        <v>7393</v>
      </c>
      <c r="L524" s="487">
        <v>126.9</v>
      </c>
      <c r="M524" s="482"/>
      <c r="N524" s="482"/>
      <c r="O524" s="466"/>
      <c r="P524" s="357"/>
      <c r="Q524" s="357"/>
      <c r="R524" s="357"/>
      <c r="S524" s="357"/>
      <c r="T524" s="357"/>
      <c r="U524" s="357"/>
      <c r="V524" s="357"/>
      <c r="W524" s="357"/>
      <c r="X524" s="357"/>
      <c r="Y524" s="357"/>
      <c r="Z524" s="357"/>
    </row>
    <row r="525" ht="15.75" customHeight="1">
      <c r="A525" s="466" t="s">
        <v>7391</v>
      </c>
      <c r="B525" s="466">
        <v>2024.0</v>
      </c>
      <c r="C525" s="466">
        <f t="shared" si="5"/>
        <v>12</v>
      </c>
      <c r="D525" s="467">
        <v>45629.0</v>
      </c>
      <c r="E525" s="482" t="s">
        <v>7396</v>
      </c>
      <c r="F525" s="482" t="s">
        <v>8042</v>
      </c>
      <c r="G525" s="466" t="s">
        <v>6613</v>
      </c>
      <c r="H525" s="482" t="s">
        <v>6906</v>
      </c>
      <c r="I525" s="482">
        <v>1.0</v>
      </c>
      <c r="J525" s="486"/>
      <c r="K525" s="482" t="s">
        <v>7393</v>
      </c>
      <c r="L525" s="487">
        <v>81.9</v>
      </c>
      <c r="M525" s="482"/>
      <c r="N525" s="482"/>
      <c r="O525" s="466"/>
      <c r="P525" s="357"/>
      <c r="Q525" s="357"/>
      <c r="R525" s="357"/>
      <c r="S525" s="357"/>
      <c r="T525" s="357"/>
      <c r="U525" s="357"/>
      <c r="V525" s="357"/>
      <c r="W525" s="357"/>
      <c r="X525" s="357"/>
      <c r="Y525" s="357"/>
      <c r="Z525" s="357"/>
    </row>
    <row r="526" ht="15.75" customHeight="1">
      <c r="A526" s="466" t="s">
        <v>7391</v>
      </c>
      <c r="B526" s="466">
        <v>2024.0</v>
      </c>
      <c r="C526" s="466">
        <f t="shared" si="5"/>
        <v>12</v>
      </c>
      <c r="D526" s="467">
        <v>45629.0</v>
      </c>
      <c r="E526" s="482" t="s">
        <v>8043</v>
      </c>
      <c r="F526" s="482" t="s">
        <v>7430</v>
      </c>
      <c r="G526" s="466" t="s">
        <v>6613</v>
      </c>
      <c r="H526" s="482" t="s">
        <v>8044</v>
      </c>
      <c r="I526" s="482">
        <v>1.0</v>
      </c>
      <c r="J526" s="486"/>
      <c r="K526" s="482" t="s">
        <v>7393</v>
      </c>
      <c r="L526" s="487">
        <v>75.0</v>
      </c>
      <c r="M526" s="482"/>
      <c r="N526" s="482"/>
      <c r="O526" s="466"/>
      <c r="P526" s="357"/>
      <c r="Q526" s="357"/>
      <c r="R526" s="357"/>
      <c r="S526" s="357"/>
      <c r="T526" s="357"/>
      <c r="U526" s="357"/>
      <c r="V526" s="357"/>
      <c r="W526" s="357"/>
      <c r="X526" s="357"/>
      <c r="Y526" s="357"/>
      <c r="Z526" s="357"/>
    </row>
    <row r="527" ht="15.75" customHeight="1">
      <c r="A527" s="466" t="s">
        <v>7391</v>
      </c>
      <c r="B527" s="466">
        <v>2024.0</v>
      </c>
      <c r="C527" s="466">
        <f t="shared" si="5"/>
        <v>12</v>
      </c>
      <c r="D527" s="467">
        <v>45629.0</v>
      </c>
      <c r="E527" s="482" t="s">
        <v>7559</v>
      </c>
      <c r="F527" s="482" t="s">
        <v>8045</v>
      </c>
      <c r="G527" s="466" t="s">
        <v>7611</v>
      </c>
      <c r="H527" s="482" t="s">
        <v>2459</v>
      </c>
      <c r="I527" s="482">
        <v>1.0</v>
      </c>
      <c r="J527" s="486"/>
      <c r="K527" s="482" t="s">
        <v>7393</v>
      </c>
      <c r="L527" s="487">
        <v>83.4</v>
      </c>
      <c r="M527" s="482"/>
      <c r="N527" s="482"/>
      <c r="O527" s="466"/>
      <c r="P527" s="357"/>
      <c r="Q527" s="357"/>
      <c r="R527" s="357"/>
      <c r="S527" s="357"/>
      <c r="T527" s="357"/>
      <c r="U527" s="357"/>
      <c r="V527" s="357"/>
      <c r="W527" s="357"/>
      <c r="X527" s="357"/>
      <c r="Y527" s="357"/>
      <c r="Z527" s="357"/>
    </row>
    <row r="528" ht="15.75" customHeight="1">
      <c r="A528" s="466" t="s">
        <v>7391</v>
      </c>
      <c r="B528" s="466">
        <v>2024.0</v>
      </c>
      <c r="C528" s="466">
        <f t="shared" si="5"/>
        <v>12</v>
      </c>
      <c r="D528" s="467">
        <v>45630.0</v>
      </c>
      <c r="E528" s="482" t="s">
        <v>2623</v>
      </c>
      <c r="F528" s="482" t="s">
        <v>8046</v>
      </c>
      <c r="G528" s="466" t="s">
        <v>7928</v>
      </c>
      <c r="H528" s="482"/>
      <c r="I528" s="482">
        <v>1.0</v>
      </c>
      <c r="J528" s="486"/>
      <c r="K528" s="482" t="s">
        <v>7393</v>
      </c>
      <c r="L528" s="487">
        <v>50.0</v>
      </c>
      <c r="M528" s="482"/>
      <c r="N528" s="482"/>
      <c r="O528" s="466"/>
      <c r="P528" s="357"/>
      <c r="Q528" s="357"/>
      <c r="R528" s="357"/>
      <c r="S528" s="357"/>
      <c r="T528" s="357"/>
      <c r="U528" s="357"/>
      <c r="V528" s="357"/>
      <c r="W528" s="357"/>
      <c r="X528" s="357"/>
      <c r="Y528" s="357"/>
      <c r="Z528" s="357"/>
    </row>
    <row r="529" ht="15.75" customHeight="1">
      <c r="A529" s="466" t="s">
        <v>7391</v>
      </c>
      <c r="B529" s="466">
        <v>2024.0</v>
      </c>
      <c r="C529" s="466">
        <f t="shared" si="5"/>
        <v>12</v>
      </c>
      <c r="D529" s="467">
        <v>45630.0</v>
      </c>
      <c r="E529" s="482" t="s">
        <v>7498</v>
      </c>
      <c r="F529" s="482" t="s">
        <v>8047</v>
      </c>
      <c r="G529" s="466" t="s">
        <v>7100</v>
      </c>
      <c r="H529" s="482" t="s">
        <v>204</v>
      </c>
      <c r="I529" s="482">
        <v>1.0</v>
      </c>
      <c r="J529" s="486"/>
      <c r="K529" s="482" t="s">
        <v>7393</v>
      </c>
      <c r="L529" s="487">
        <v>176.0</v>
      </c>
      <c r="M529" s="482"/>
      <c r="N529" s="482"/>
      <c r="O529" s="466"/>
      <c r="P529" s="357"/>
      <c r="Q529" s="357"/>
      <c r="R529" s="357"/>
      <c r="S529" s="357"/>
      <c r="T529" s="357"/>
      <c r="U529" s="357"/>
      <c r="V529" s="357"/>
      <c r="W529" s="357"/>
      <c r="X529" s="357"/>
      <c r="Y529" s="357"/>
      <c r="Z529" s="357"/>
    </row>
    <row r="530" ht="15.75" customHeight="1">
      <c r="A530" s="466" t="s">
        <v>7391</v>
      </c>
      <c r="B530" s="466">
        <v>2024.0</v>
      </c>
      <c r="C530" s="466">
        <f t="shared" si="5"/>
        <v>12</v>
      </c>
      <c r="D530" s="467">
        <v>45630.0</v>
      </c>
      <c r="E530" s="482" t="s">
        <v>2561</v>
      </c>
      <c r="F530" s="482" t="s">
        <v>8048</v>
      </c>
      <c r="G530" s="466" t="s">
        <v>7100</v>
      </c>
      <c r="H530" s="482" t="s">
        <v>248</v>
      </c>
      <c r="I530" s="482">
        <v>1.0</v>
      </c>
      <c r="J530" s="486"/>
      <c r="K530" s="482" t="s">
        <v>7393</v>
      </c>
      <c r="L530" s="487">
        <v>170.0</v>
      </c>
      <c r="M530" s="482"/>
      <c r="N530" s="482"/>
      <c r="O530" s="466"/>
      <c r="P530" s="357"/>
      <c r="Q530" s="357"/>
      <c r="R530" s="357"/>
      <c r="S530" s="357"/>
      <c r="T530" s="357"/>
      <c r="U530" s="357"/>
      <c r="V530" s="357"/>
      <c r="W530" s="357"/>
      <c r="X530" s="357"/>
      <c r="Y530" s="357"/>
      <c r="Z530" s="357"/>
    </row>
    <row r="531" ht="15.75" customHeight="1">
      <c r="A531" s="466" t="s">
        <v>7391</v>
      </c>
      <c r="B531" s="466">
        <v>2024.0</v>
      </c>
      <c r="C531" s="466">
        <f t="shared" si="5"/>
        <v>12</v>
      </c>
      <c r="D531" s="467">
        <v>45631.0</v>
      </c>
      <c r="E531" s="482" t="s">
        <v>7703</v>
      </c>
      <c r="F531" s="482" t="s">
        <v>4793</v>
      </c>
      <c r="G531" s="466" t="s">
        <v>7100</v>
      </c>
      <c r="H531" s="482" t="s">
        <v>248</v>
      </c>
      <c r="I531" s="482">
        <v>1.0</v>
      </c>
      <c r="J531" s="486"/>
      <c r="K531" s="482" t="s">
        <v>7393</v>
      </c>
      <c r="L531" s="487">
        <v>170.0</v>
      </c>
      <c r="M531" s="482"/>
      <c r="N531" s="482"/>
      <c r="O531" s="466"/>
      <c r="P531" s="357"/>
      <c r="Q531" s="357"/>
      <c r="R531" s="357"/>
      <c r="S531" s="357"/>
      <c r="T531" s="357"/>
      <c r="U531" s="357"/>
      <c r="V531" s="357"/>
      <c r="W531" s="357"/>
      <c r="X531" s="357"/>
      <c r="Y531" s="357"/>
      <c r="Z531" s="357"/>
    </row>
    <row r="532" ht="15.75" customHeight="1">
      <c r="A532" s="466" t="s">
        <v>7391</v>
      </c>
      <c r="B532" s="466">
        <v>2024.0</v>
      </c>
      <c r="C532" s="466">
        <f t="shared" si="5"/>
        <v>12</v>
      </c>
      <c r="D532" s="467">
        <v>45631.0</v>
      </c>
      <c r="E532" s="482" t="s">
        <v>2787</v>
      </c>
      <c r="F532" s="482" t="s">
        <v>8049</v>
      </c>
      <c r="G532" s="466" t="s">
        <v>7075</v>
      </c>
      <c r="H532" s="482" t="s">
        <v>6867</v>
      </c>
      <c r="I532" s="482">
        <v>1.0</v>
      </c>
      <c r="J532" s="486"/>
      <c r="K532" s="482" t="s">
        <v>7393</v>
      </c>
      <c r="L532" s="487">
        <v>126.9</v>
      </c>
      <c r="M532" s="482"/>
      <c r="N532" s="482"/>
      <c r="O532" s="466"/>
      <c r="P532" s="357"/>
      <c r="Q532" s="357"/>
      <c r="R532" s="357"/>
      <c r="S532" s="357"/>
      <c r="T532" s="357"/>
      <c r="U532" s="357"/>
      <c r="V532" s="357"/>
      <c r="W532" s="357"/>
      <c r="X532" s="357"/>
      <c r="Y532" s="357"/>
      <c r="Z532" s="357"/>
    </row>
    <row r="533" ht="15.75" customHeight="1">
      <c r="A533" s="466" t="s">
        <v>7391</v>
      </c>
      <c r="B533" s="466">
        <v>2024.0</v>
      </c>
      <c r="C533" s="466">
        <f t="shared" si="5"/>
        <v>12</v>
      </c>
      <c r="D533" s="467">
        <v>45631.0</v>
      </c>
      <c r="E533" s="482" t="s">
        <v>8050</v>
      </c>
      <c r="F533" s="482" t="s">
        <v>8051</v>
      </c>
      <c r="G533" s="466" t="s">
        <v>7100</v>
      </c>
      <c r="H533" s="482" t="s">
        <v>248</v>
      </c>
      <c r="I533" s="482">
        <v>1.0</v>
      </c>
      <c r="J533" s="486"/>
      <c r="K533" s="482" t="s">
        <v>7393</v>
      </c>
      <c r="L533" s="487">
        <v>176.9</v>
      </c>
      <c r="M533" s="482"/>
      <c r="N533" s="482"/>
      <c r="O533" s="466"/>
      <c r="P533" s="357"/>
      <c r="Q533" s="357"/>
      <c r="R533" s="357"/>
      <c r="S533" s="357"/>
      <c r="T533" s="357"/>
      <c r="U533" s="357"/>
      <c r="V533" s="357"/>
      <c r="W533" s="357"/>
      <c r="X533" s="357"/>
      <c r="Y533" s="357"/>
      <c r="Z533" s="357"/>
    </row>
    <row r="534" ht="15.75" customHeight="1">
      <c r="A534" s="466" t="s">
        <v>7391</v>
      </c>
      <c r="B534" s="466">
        <v>2024.0</v>
      </c>
      <c r="C534" s="466">
        <f t="shared" si="5"/>
        <v>12</v>
      </c>
      <c r="D534" s="467">
        <v>45631.0</v>
      </c>
      <c r="E534" s="482" t="s">
        <v>8052</v>
      </c>
      <c r="F534" s="482" t="s">
        <v>8053</v>
      </c>
      <c r="G534" s="466" t="s">
        <v>6613</v>
      </c>
      <c r="H534" s="482" t="s">
        <v>6906</v>
      </c>
      <c r="I534" s="482">
        <v>1.0</v>
      </c>
      <c r="J534" s="486"/>
      <c r="K534" s="482" t="s">
        <v>7393</v>
      </c>
      <c r="L534" s="487">
        <v>81.9</v>
      </c>
      <c r="M534" s="482"/>
      <c r="N534" s="482"/>
      <c r="O534" s="466"/>
      <c r="P534" s="357"/>
      <c r="Q534" s="357"/>
      <c r="R534" s="357"/>
      <c r="S534" s="357"/>
      <c r="T534" s="357"/>
      <c r="U534" s="357"/>
      <c r="V534" s="357"/>
      <c r="W534" s="357"/>
      <c r="X534" s="357"/>
      <c r="Y534" s="357"/>
      <c r="Z534" s="357"/>
    </row>
    <row r="535" ht="15.75" customHeight="1">
      <c r="A535" s="466" t="s">
        <v>7391</v>
      </c>
      <c r="B535" s="466">
        <v>2024.0</v>
      </c>
      <c r="C535" s="466">
        <f t="shared" si="5"/>
        <v>12</v>
      </c>
      <c r="D535" s="467">
        <v>45631.0</v>
      </c>
      <c r="E535" s="482" t="s">
        <v>7820</v>
      </c>
      <c r="F535" s="482" t="s">
        <v>7651</v>
      </c>
      <c r="G535" s="466" t="s">
        <v>7075</v>
      </c>
      <c r="H535" s="482" t="s">
        <v>2821</v>
      </c>
      <c r="I535" s="482">
        <v>1.0</v>
      </c>
      <c r="J535" s="486"/>
      <c r="K535" s="482" t="s">
        <v>7393</v>
      </c>
      <c r="L535" s="487">
        <v>126.9</v>
      </c>
      <c r="M535" s="482"/>
      <c r="N535" s="482"/>
      <c r="O535" s="466"/>
      <c r="P535" s="357"/>
      <c r="Q535" s="357"/>
      <c r="R535" s="357"/>
      <c r="S535" s="357"/>
      <c r="T535" s="357"/>
      <c r="U535" s="357"/>
      <c r="V535" s="357"/>
      <c r="W535" s="357"/>
      <c r="X535" s="357"/>
      <c r="Y535" s="357"/>
      <c r="Z535" s="357"/>
    </row>
    <row r="536" ht="15.75" customHeight="1">
      <c r="A536" s="466" t="s">
        <v>7391</v>
      </c>
      <c r="B536" s="466">
        <v>2024.0</v>
      </c>
      <c r="C536" s="466">
        <f t="shared" si="5"/>
        <v>12</v>
      </c>
      <c r="D536" s="467">
        <v>45631.0</v>
      </c>
      <c r="E536" s="482" t="s">
        <v>7559</v>
      </c>
      <c r="F536" s="482" t="s">
        <v>8045</v>
      </c>
      <c r="G536" s="466" t="s">
        <v>7075</v>
      </c>
      <c r="H536" s="482" t="s">
        <v>2821</v>
      </c>
      <c r="I536" s="482">
        <v>1.0</v>
      </c>
      <c r="J536" s="486"/>
      <c r="K536" s="482" t="s">
        <v>7393</v>
      </c>
      <c r="L536" s="487">
        <v>120.0</v>
      </c>
      <c r="M536" s="482"/>
      <c r="N536" s="482"/>
      <c r="O536" s="466"/>
      <c r="P536" s="357"/>
      <c r="Q536" s="357"/>
      <c r="R536" s="357"/>
      <c r="S536" s="357"/>
      <c r="T536" s="357"/>
      <c r="U536" s="357"/>
      <c r="V536" s="357"/>
      <c r="W536" s="357"/>
      <c r="X536" s="357"/>
      <c r="Y536" s="357"/>
      <c r="Z536" s="357"/>
    </row>
    <row r="537" ht="15.75" customHeight="1">
      <c r="A537" s="466" t="s">
        <v>7391</v>
      </c>
      <c r="B537" s="466">
        <v>2024.0</v>
      </c>
      <c r="C537" s="466">
        <f t="shared" si="5"/>
        <v>12</v>
      </c>
      <c r="D537" s="467">
        <v>45632.0</v>
      </c>
      <c r="E537" s="482" t="s">
        <v>8054</v>
      </c>
      <c r="F537" s="482" t="s">
        <v>8055</v>
      </c>
      <c r="G537" s="466" t="s">
        <v>7075</v>
      </c>
      <c r="H537" s="482" t="s">
        <v>6867</v>
      </c>
      <c r="I537" s="482">
        <v>1.0</v>
      </c>
      <c r="J537" s="486"/>
      <c r="K537" s="482" t="s">
        <v>7393</v>
      </c>
      <c r="L537" s="487">
        <v>114.9</v>
      </c>
      <c r="M537" s="482"/>
      <c r="N537" s="482"/>
      <c r="O537" s="466"/>
      <c r="P537" s="357"/>
      <c r="Q537" s="357"/>
      <c r="R537" s="357"/>
      <c r="S537" s="357"/>
      <c r="T537" s="357"/>
      <c r="U537" s="357"/>
      <c r="V537" s="357"/>
      <c r="W537" s="357"/>
      <c r="X537" s="357"/>
      <c r="Y537" s="357"/>
      <c r="Z537" s="357"/>
    </row>
    <row r="538" ht="15.75" customHeight="1">
      <c r="A538" s="466" t="s">
        <v>7391</v>
      </c>
      <c r="B538" s="466">
        <v>2024.0</v>
      </c>
      <c r="C538" s="466">
        <f t="shared" si="5"/>
        <v>12</v>
      </c>
      <c r="D538" s="467">
        <v>45633.0</v>
      </c>
      <c r="E538" s="482" t="s">
        <v>2647</v>
      </c>
      <c r="F538" s="482" t="s">
        <v>8056</v>
      </c>
      <c r="G538" s="466" t="s">
        <v>7075</v>
      </c>
      <c r="H538" s="482" t="s">
        <v>7960</v>
      </c>
      <c r="I538" s="482">
        <v>1.0</v>
      </c>
      <c r="J538" s="486"/>
      <c r="K538" s="482" t="s">
        <v>7393</v>
      </c>
      <c r="L538" s="487">
        <v>126.9</v>
      </c>
      <c r="M538" s="482"/>
      <c r="N538" s="482"/>
      <c r="O538" s="466"/>
      <c r="P538" s="357"/>
      <c r="Q538" s="357"/>
      <c r="R538" s="357"/>
      <c r="S538" s="357"/>
      <c r="T538" s="357"/>
      <c r="U538" s="357"/>
      <c r="V538" s="357"/>
      <c r="W538" s="357"/>
      <c r="X538" s="357"/>
      <c r="Y538" s="357"/>
      <c r="Z538" s="357"/>
    </row>
    <row r="539" ht="15.75" customHeight="1">
      <c r="A539" s="466" t="s">
        <v>7391</v>
      </c>
      <c r="B539" s="466">
        <v>2024.0</v>
      </c>
      <c r="C539" s="466">
        <f t="shared" si="5"/>
        <v>12</v>
      </c>
      <c r="D539" s="467">
        <v>45633.0</v>
      </c>
      <c r="E539" s="482" t="s">
        <v>2665</v>
      </c>
      <c r="F539" s="482" t="s">
        <v>8057</v>
      </c>
      <c r="G539" s="466" t="s">
        <v>7075</v>
      </c>
      <c r="H539" s="482" t="s">
        <v>8058</v>
      </c>
      <c r="I539" s="482">
        <v>1.0</v>
      </c>
      <c r="J539" s="486"/>
      <c r="K539" s="482" t="s">
        <v>7393</v>
      </c>
      <c r="L539" s="487">
        <v>126.9</v>
      </c>
      <c r="M539" s="482"/>
      <c r="N539" s="482"/>
      <c r="O539" s="466"/>
      <c r="P539" s="357"/>
      <c r="Q539" s="357"/>
      <c r="R539" s="357"/>
      <c r="S539" s="357"/>
      <c r="T539" s="357"/>
      <c r="U539" s="357"/>
      <c r="V539" s="357"/>
      <c r="W539" s="357"/>
      <c r="X539" s="357"/>
      <c r="Y539" s="357"/>
      <c r="Z539" s="357"/>
    </row>
    <row r="540" ht="15.75" customHeight="1">
      <c r="A540" s="466" t="s">
        <v>7391</v>
      </c>
      <c r="B540" s="466">
        <v>2024.0</v>
      </c>
      <c r="C540" s="466">
        <f t="shared" si="5"/>
        <v>12</v>
      </c>
      <c r="D540" s="467">
        <v>45633.0</v>
      </c>
      <c r="E540" s="482" t="s">
        <v>8059</v>
      </c>
      <c r="F540" s="482" t="s">
        <v>8060</v>
      </c>
      <c r="G540" s="466" t="s">
        <v>7075</v>
      </c>
      <c r="H540" s="482" t="s">
        <v>7801</v>
      </c>
      <c r="I540" s="482">
        <v>1.0</v>
      </c>
      <c r="J540" s="486"/>
      <c r="K540" s="482" t="s">
        <v>7393</v>
      </c>
      <c r="L540" s="487">
        <v>105.9</v>
      </c>
      <c r="M540" s="482"/>
      <c r="N540" s="482"/>
      <c r="O540" s="466"/>
      <c r="P540" s="357"/>
      <c r="Q540" s="357"/>
      <c r="R540" s="357"/>
      <c r="S540" s="357"/>
      <c r="T540" s="357"/>
      <c r="U540" s="357"/>
      <c r="V540" s="357"/>
      <c r="W540" s="357"/>
      <c r="X540" s="357"/>
      <c r="Y540" s="357"/>
      <c r="Z540" s="357"/>
    </row>
    <row r="541" ht="15.75" customHeight="1">
      <c r="A541" s="466" t="s">
        <v>7391</v>
      </c>
      <c r="B541" s="466">
        <v>2024.0</v>
      </c>
      <c r="C541" s="466">
        <f t="shared" si="5"/>
        <v>12</v>
      </c>
      <c r="D541" s="467">
        <v>45634.0</v>
      </c>
      <c r="E541" s="482" t="s">
        <v>7714</v>
      </c>
      <c r="F541" s="482" t="s">
        <v>8061</v>
      </c>
      <c r="G541" s="466" t="s">
        <v>7075</v>
      </c>
      <c r="H541" s="482" t="s">
        <v>7856</v>
      </c>
      <c r="I541" s="482">
        <v>1.0</v>
      </c>
      <c r="J541" s="486"/>
      <c r="K541" s="482" t="s">
        <v>7393</v>
      </c>
      <c r="L541" s="487">
        <v>126.9</v>
      </c>
      <c r="M541" s="482"/>
      <c r="N541" s="482"/>
      <c r="O541" s="466"/>
      <c r="P541" s="357"/>
      <c r="Q541" s="357"/>
      <c r="R541" s="357"/>
      <c r="S541" s="357"/>
      <c r="T541" s="357"/>
      <c r="U541" s="357"/>
      <c r="V541" s="357"/>
      <c r="W541" s="357"/>
      <c r="X541" s="357"/>
      <c r="Y541" s="357"/>
      <c r="Z541" s="357"/>
    </row>
    <row r="542" ht="15.75" customHeight="1">
      <c r="A542" s="466" t="s">
        <v>7391</v>
      </c>
      <c r="B542" s="466">
        <v>2024.0</v>
      </c>
      <c r="C542" s="466">
        <f t="shared" si="5"/>
        <v>12</v>
      </c>
      <c r="D542" s="467">
        <v>45634.0</v>
      </c>
      <c r="E542" s="482" t="s">
        <v>8062</v>
      </c>
      <c r="F542" s="482" t="s">
        <v>8063</v>
      </c>
      <c r="G542" s="466" t="s">
        <v>7100</v>
      </c>
      <c r="H542" s="482" t="s">
        <v>7564</v>
      </c>
      <c r="I542" s="482">
        <v>1.0</v>
      </c>
      <c r="J542" s="486"/>
      <c r="K542" s="482" t="s">
        <v>7393</v>
      </c>
      <c r="L542" s="487">
        <v>176.9</v>
      </c>
      <c r="M542" s="482"/>
      <c r="N542" s="482"/>
      <c r="O542" s="466"/>
      <c r="P542" s="357"/>
      <c r="Q542" s="357"/>
      <c r="R542" s="357"/>
      <c r="S542" s="357"/>
      <c r="T542" s="357"/>
      <c r="U542" s="357"/>
      <c r="V542" s="357"/>
      <c r="W542" s="357"/>
      <c r="X542" s="357"/>
      <c r="Y542" s="357"/>
      <c r="Z542" s="357"/>
    </row>
    <row r="543" ht="15.75" customHeight="1">
      <c r="A543" s="466" t="s">
        <v>7391</v>
      </c>
      <c r="B543" s="466">
        <v>2024.0</v>
      </c>
      <c r="C543" s="466">
        <f t="shared" si="5"/>
        <v>12</v>
      </c>
      <c r="D543" s="467">
        <v>45634.0</v>
      </c>
      <c r="E543" s="482" t="s">
        <v>7408</v>
      </c>
      <c r="F543" s="482" t="s">
        <v>8064</v>
      </c>
      <c r="G543" s="466" t="s">
        <v>8065</v>
      </c>
      <c r="H543" s="482"/>
      <c r="I543" s="482">
        <v>2.0</v>
      </c>
      <c r="J543" s="486"/>
      <c r="K543" s="482" t="s">
        <v>7393</v>
      </c>
      <c r="L543" s="487">
        <v>62.9</v>
      </c>
      <c r="M543" s="482"/>
      <c r="N543" s="482"/>
      <c r="O543" s="466" t="s">
        <v>7497</v>
      </c>
      <c r="P543" s="357"/>
      <c r="Q543" s="357"/>
      <c r="R543" s="357"/>
      <c r="S543" s="357"/>
      <c r="T543" s="357"/>
      <c r="U543" s="357"/>
      <c r="V543" s="357"/>
      <c r="W543" s="357"/>
      <c r="X543" s="357"/>
      <c r="Y543" s="357"/>
      <c r="Z543" s="357"/>
    </row>
    <row r="544" ht="15.75" customHeight="1">
      <c r="A544" s="466" t="s">
        <v>7391</v>
      </c>
      <c r="B544" s="466">
        <v>2024.0</v>
      </c>
      <c r="C544" s="466">
        <f t="shared" si="5"/>
        <v>12</v>
      </c>
      <c r="D544" s="467">
        <v>45634.0</v>
      </c>
      <c r="E544" s="482" t="s">
        <v>8066</v>
      </c>
      <c r="F544" s="482" t="s">
        <v>8067</v>
      </c>
      <c r="G544" s="466" t="s">
        <v>8068</v>
      </c>
      <c r="H544" s="482" t="s">
        <v>8069</v>
      </c>
      <c r="I544" s="482">
        <v>1.0</v>
      </c>
      <c r="J544" s="486"/>
      <c r="K544" s="482" t="s">
        <v>7393</v>
      </c>
      <c r="L544" s="487">
        <v>34.9</v>
      </c>
      <c r="M544" s="482"/>
      <c r="N544" s="482"/>
      <c r="O544" s="466"/>
      <c r="P544" s="357"/>
      <c r="Q544" s="357"/>
      <c r="R544" s="357"/>
      <c r="S544" s="357"/>
      <c r="T544" s="357"/>
      <c r="U544" s="357"/>
      <c r="V544" s="357"/>
      <c r="W544" s="357"/>
      <c r="X544" s="357"/>
      <c r="Y544" s="357"/>
      <c r="Z544" s="357"/>
    </row>
    <row r="545" ht="15.75" customHeight="1">
      <c r="A545" s="466" t="s">
        <v>7391</v>
      </c>
      <c r="B545" s="466">
        <v>2024.0</v>
      </c>
      <c r="C545" s="466">
        <f t="shared" si="5"/>
        <v>12</v>
      </c>
      <c r="D545" s="467">
        <v>45634.0</v>
      </c>
      <c r="E545" s="482" t="s">
        <v>7436</v>
      </c>
      <c r="F545" s="482" t="s">
        <v>8070</v>
      </c>
      <c r="G545" s="466" t="s">
        <v>7106</v>
      </c>
      <c r="H545" s="482"/>
      <c r="I545" s="482">
        <v>2.0</v>
      </c>
      <c r="J545" s="486"/>
      <c r="K545" s="482" t="s">
        <v>7393</v>
      </c>
      <c r="L545" s="487">
        <v>180.0</v>
      </c>
      <c r="M545" s="482"/>
      <c r="N545" s="482"/>
      <c r="O545" s="466"/>
      <c r="P545" s="357"/>
      <c r="Q545" s="357"/>
      <c r="R545" s="357"/>
      <c r="S545" s="357"/>
      <c r="T545" s="357"/>
      <c r="U545" s="357"/>
      <c r="V545" s="357"/>
      <c r="W545" s="357"/>
      <c r="X545" s="357"/>
      <c r="Y545" s="357"/>
      <c r="Z545" s="357"/>
    </row>
    <row r="546" ht="15.75" customHeight="1">
      <c r="A546" s="466" t="s">
        <v>7391</v>
      </c>
      <c r="B546" s="466">
        <v>2024.0</v>
      </c>
      <c r="C546" s="466">
        <f t="shared" si="5"/>
        <v>12</v>
      </c>
      <c r="D546" s="467">
        <v>45634.0</v>
      </c>
      <c r="E546" s="482" t="s">
        <v>7400</v>
      </c>
      <c r="F546" s="482" t="s">
        <v>8071</v>
      </c>
      <c r="G546" s="466" t="s">
        <v>7100</v>
      </c>
      <c r="H546" s="482" t="s">
        <v>248</v>
      </c>
      <c r="I546" s="482">
        <v>1.0</v>
      </c>
      <c r="J546" s="486"/>
      <c r="K546" s="482" t="s">
        <v>7393</v>
      </c>
      <c r="L546" s="487">
        <v>159.9</v>
      </c>
      <c r="M546" s="482"/>
      <c r="N546" s="482"/>
      <c r="O546" s="466"/>
      <c r="P546" s="357"/>
      <c r="Q546" s="357"/>
      <c r="R546" s="357"/>
      <c r="S546" s="357"/>
      <c r="T546" s="357"/>
      <c r="U546" s="357"/>
      <c r="V546" s="357"/>
      <c r="W546" s="357"/>
      <c r="X546" s="357"/>
      <c r="Y546" s="357"/>
      <c r="Z546" s="357"/>
    </row>
    <row r="547" ht="15.75" customHeight="1">
      <c r="A547" s="466" t="s">
        <v>7391</v>
      </c>
      <c r="B547" s="466">
        <v>2024.0</v>
      </c>
      <c r="C547" s="466">
        <f t="shared" si="5"/>
        <v>12</v>
      </c>
      <c r="D547" s="467">
        <v>45635.0</v>
      </c>
      <c r="E547" s="482" t="s">
        <v>7721</v>
      </c>
      <c r="F547" s="482" t="s">
        <v>8072</v>
      </c>
      <c r="G547" s="466" t="s">
        <v>7075</v>
      </c>
      <c r="H547" s="482" t="s">
        <v>6867</v>
      </c>
      <c r="I547" s="482">
        <v>1.0</v>
      </c>
      <c r="J547" s="486"/>
      <c r="K547" s="482" t="s">
        <v>7393</v>
      </c>
      <c r="L547" s="487">
        <v>120.0</v>
      </c>
      <c r="M547" s="482"/>
      <c r="N547" s="482"/>
      <c r="O547" s="466"/>
      <c r="P547" s="357"/>
      <c r="Q547" s="357"/>
      <c r="R547" s="357"/>
      <c r="S547" s="357"/>
      <c r="T547" s="357"/>
      <c r="U547" s="357"/>
      <c r="V547" s="357"/>
      <c r="W547" s="357"/>
      <c r="X547" s="357"/>
      <c r="Y547" s="357"/>
      <c r="Z547" s="357"/>
    </row>
    <row r="548" ht="15.75" customHeight="1">
      <c r="A548" s="466" t="s">
        <v>7391</v>
      </c>
      <c r="B548" s="466">
        <v>2024.0</v>
      </c>
      <c r="C548" s="466">
        <f t="shared" si="5"/>
        <v>12</v>
      </c>
      <c r="D548" s="467">
        <v>45635.0</v>
      </c>
      <c r="E548" s="482" t="s">
        <v>8073</v>
      </c>
      <c r="F548" s="482" t="s">
        <v>8074</v>
      </c>
      <c r="G548" s="466" t="s">
        <v>7075</v>
      </c>
      <c r="H548" s="482" t="s">
        <v>2821</v>
      </c>
      <c r="I548" s="482">
        <v>1.0</v>
      </c>
      <c r="J548" s="486"/>
      <c r="K548" s="482" t="s">
        <v>7393</v>
      </c>
      <c r="L548" s="487">
        <v>120.0</v>
      </c>
      <c r="M548" s="482"/>
      <c r="N548" s="482"/>
      <c r="O548" s="466"/>
      <c r="P548" s="357"/>
      <c r="Q548" s="357"/>
      <c r="R548" s="357"/>
      <c r="S548" s="357"/>
      <c r="T548" s="357"/>
      <c r="U548" s="357"/>
      <c r="V548" s="357"/>
      <c r="W548" s="357"/>
      <c r="X548" s="357"/>
      <c r="Y548" s="357"/>
      <c r="Z548" s="357"/>
    </row>
    <row r="549" ht="15.75" customHeight="1">
      <c r="A549" s="466" t="s">
        <v>7391</v>
      </c>
      <c r="B549" s="466">
        <v>2024.0</v>
      </c>
      <c r="C549" s="466">
        <f t="shared" si="5"/>
        <v>12</v>
      </c>
      <c r="D549" s="467">
        <v>45635.0</v>
      </c>
      <c r="E549" s="482" t="s">
        <v>8075</v>
      </c>
      <c r="F549" s="482" t="s">
        <v>7768</v>
      </c>
      <c r="G549" s="466" t="s">
        <v>7075</v>
      </c>
      <c r="H549" s="482" t="s">
        <v>8076</v>
      </c>
      <c r="I549" s="482">
        <v>1.0</v>
      </c>
      <c r="J549" s="486"/>
      <c r="K549" s="482" t="s">
        <v>7393</v>
      </c>
      <c r="L549" s="487">
        <v>150.0</v>
      </c>
      <c r="M549" s="482"/>
      <c r="N549" s="482"/>
      <c r="O549" s="466"/>
      <c r="P549" s="357"/>
      <c r="Q549" s="357"/>
      <c r="R549" s="357"/>
      <c r="S549" s="357"/>
      <c r="T549" s="357"/>
      <c r="U549" s="357"/>
      <c r="V549" s="357"/>
      <c r="W549" s="357"/>
      <c r="X549" s="357"/>
      <c r="Y549" s="357"/>
      <c r="Z549" s="357"/>
    </row>
    <row r="550" ht="15.75" customHeight="1">
      <c r="A550" s="466" t="s">
        <v>7391</v>
      </c>
      <c r="B550" s="466">
        <v>2024.0</v>
      </c>
      <c r="C550" s="466">
        <f t="shared" si="5"/>
        <v>12</v>
      </c>
      <c r="D550" s="467">
        <v>45635.0</v>
      </c>
      <c r="E550" s="482" t="s">
        <v>7406</v>
      </c>
      <c r="F550" s="482" t="s">
        <v>8077</v>
      </c>
      <c r="G550" s="466" t="s">
        <v>7611</v>
      </c>
      <c r="H550" s="482" t="s">
        <v>7989</v>
      </c>
      <c r="I550" s="482">
        <v>1.0</v>
      </c>
      <c r="J550" s="486"/>
      <c r="K550" s="482" t="s">
        <v>7393</v>
      </c>
      <c r="L550" s="487">
        <v>85.0</v>
      </c>
      <c r="M550" s="482"/>
      <c r="N550" s="482"/>
      <c r="O550" s="466"/>
      <c r="P550" s="357"/>
      <c r="Q550" s="357"/>
      <c r="R550" s="357"/>
      <c r="S550" s="357"/>
      <c r="T550" s="357"/>
      <c r="U550" s="357"/>
      <c r="V550" s="357"/>
      <c r="W550" s="357"/>
      <c r="X550" s="357"/>
      <c r="Y550" s="357"/>
      <c r="Z550" s="357"/>
    </row>
    <row r="551" ht="15.75" customHeight="1">
      <c r="A551" s="466" t="s">
        <v>7391</v>
      </c>
      <c r="B551" s="466">
        <v>2024.0</v>
      </c>
      <c r="C551" s="466">
        <f t="shared" si="5"/>
        <v>12</v>
      </c>
      <c r="D551" s="467">
        <v>45635.0</v>
      </c>
      <c r="E551" s="482" t="s">
        <v>8078</v>
      </c>
      <c r="F551" s="482" t="s">
        <v>8079</v>
      </c>
      <c r="G551" s="466" t="s">
        <v>7075</v>
      </c>
      <c r="H551" s="482" t="s">
        <v>8058</v>
      </c>
      <c r="I551" s="482">
        <v>1.0</v>
      </c>
      <c r="J551" s="486"/>
      <c r="K551" s="482" t="s">
        <v>7393</v>
      </c>
      <c r="L551" s="487">
        <v>126.9</v>
      </c>
      <c r="M551" s="482"/>
      <c r="N551" s="482"/>
      <c r="O551" s="466"/>
      <c r="P551" s="357"/>
      <c r="Q551" s="357"/>
      <c r="R551" s="357"/>
      <c r="S551" s="357"/>
      <c r="T551" s="357"/>
      <c r="U551" s="357"/>
      <c r="V551" s="357"/>
      <c r="W551" s="357"/>
      <c r="X551" s="357"/>
      <c r="Y551" s="357"/>
      <c r="Z551" s="357"/>
    </row>
    <row r="552" ht="15.75" customHeight="1">
      <c r="A552" s="466" t="s">
        <v>7391</v>
      </c>
      <c r="B552" s="466">
        <v>2024.0</v>
      </c>
      <c r="C552" s="466">
        <f t="shared" si="5"/>
        <v>12</v>
      </c>
      <c r="D552" s="467">
        <v>45636.0</v>
      </c>
      <c r="E552" s="482" t="s">
        <v>2823</v>
      </c>
      <c r="F552" s="482" t="s">
        <v>8080</v>
      </c>
      <c r="G552" s="466" t="s">
        <v>7075</v>
      </c>
      <c r="H552" s="482" t="s">
        <v>7647</v>
      </c>
      <c r="I552" s="482">
        <v>1.0</v>
      </c>
      <c r="J552" s="486"/>
      <c r="K552" s="482" t="s">
        <v>7393</v>
      </c>
      <c r="L552" s="487">
        <v>126.9</v>
      </c>
      <c r="M552" s="482"/>
      <c r="N552" s="482"/>
      <c r="O552" s="466"/>
      <c r="P552" s="357"/>
      <c r="Q552" s="357"/>
      <c r="R552" s="357"/>
      <c r="S552" s="357"/>
      <c r="T552" s="357"/>
      <c r="U552" s="357"/>
      <c r="V552" s="357"/>
      <c r="W552" s="357"/>
      <c r="X552" s="357"/>
      <c r="Y552" s="357"/>
      <c r="Z552" s="357"/>
    </row>
    <row r="553" ht="15.75" customHeight="1">
      <c r="A553" s="466" t="s">
        <v>7391</v>
      </c>
      <c r="B553" s="466">
        <v>2024.0</v>
      </c>
      <c r="C553" s="466">
        <f t="shared" si="5"/>
        <v>12</v>
      </c>
      <c r="D553" s="467">
        <v>45636.0</v>
      </c>
      <c r="E553" s="482" t="s">
        <v>7554</v>
      </c>
      <c r="F553" s="482" t="s">
        <v>8081</v>
      </c>
      <c r="G553" s="466" t="s">
        <v>7075</v>
      </c>
      <c r="H553" s="482" t="s">
        <v>8058</v>
      </c>
      <c r="I553" s="482">
        <v>1.0</v>
      </c>
      <c r="J553" s="486"/>
      <c r="K553" s="482" t="s">
        <v>7393</v>
      </c>
      <c r="L553" s="487">
        <v>126.9</v>
      </c>
      <c r="M553" s="482"/>
      <c r="N553" s="482"/>
      <c r="O553" s="466"/>
      <c r="P553" s="357"/>
      <c r="Q553" s="357"/>
      <c r="R553" s="357"/>
      <c r="S553" s="357"/>
      <c r="T553" s="357"/>
      <c r="U553" s="357"/>
      <c r="V553" s="357"/>
      <c r="W553" s="357"/>
      <c r="X553" s="357"/>
      <c r="Y553" s="357"/>
      <c r="Z553" s="357"/>
    </row>
    <row r="554" ht="15.75" customHeight="1">
      <c r="A554" s="466" t="s">
        <v>7391</v>
      </c>
      <c r="B554" s="466">
        <v>2024.0</v>
      </c>
      <c r="C554" s="466">
        <f t="shared" si="5"/>
        <v>12</v>
      </c>
      <c r="D554" s="467">
        <v>45636.0</v>
      </c>
      <c r="E554" s="482" t="s">
        <v>8082</v>
      </c>
      <c r="F554" s="482" t="s">
        <v>8083</v>
      </c>
      <c r="G554" s="466" t="s">
        <v>7075</v>
      </c>
      <c r="H554" s="482" t="s">
        <v>7856</v>
      </c>
      <c r="I554" s="482">
        <v>1.0</v>
      </c>
      <c r="J554" s="486"/>
      <c r="K554" s="482" t="s">
        <v>7393</v>
      </c>
      <c r="L554" s="487">
        <v>120.0</v>
      </c>
      <c r="M554" s="482"/>
      <c r="N554" s="482"/>
      <c r="O554" s="466"/>
      <c r="P554" s="357"/>
      <c r="Q554" s="357"/>
      <c r="R554" s="357"/>
      <c r="S554" s="357"/>
      <c r="T554" s="357"/>
      <c r="U554" s="357"/>
      <c r="V554" s="357"/>
      <c r="W554" s="357"/>
      <c r="X554" s="357"/>
      <c r="Y554" s="357"/>
      <c r="Z554" s="357"/>
    </row>
    <row r="555" ht="15.75" customHeight="1">
      <c r="A555" s="466" t="s">
        <v>7391</v>
      </c>
      <c r="B555" s="466">
        <v>2024.0</v>
      </c>
      <c r="C555" s="466">
        <f t="shared" si="5"/>
        <v>12</v>
      </c>
      <c r="D555" s="467">
        <v>45636.0</v>
      </c>
      <c r="E555" s="482" t="s">
        <v>7406</v>
      </c>
      <c r="F555" s="482" t="s">
        <v>8084</v>
      </c>
      <c r="G555" s="466" t="s">
        <v>7611</v>
      </c>
      <c r="H555" s="482" t="s">
        <v>7957</v>
      </c>
      <c r="I555" s="482">
        <v>1.0</v>
      </c>
      <c r="J555" s="486"/>
      <c r="K555" s="482" t="s">
        <v>7393</v>
      </c>
      <c r="L555" s="487">
        <v>120.0</v>
      </c>
      <c r="M555" s="482"/>
      <c r="N555" s="482"/>
      <c r="O555" s="466"/>
      <c r="P555" s="357"/>
      <c r="Q555" s="357"/>
      <c r="R555" s="357"/>
      <c r="S555" s="357"/>
      <c r="T555" s="357"/>
      <c r="U555" s="357"/>
      <c r="V555" s="357"/>
      <c r="W555" s="357"/>
      <c r="X555" s="357"/>
      <c r="Y555" s="357"/>
      <c r="Z555" s="357"/>
    </row>
    <row r="556" ht="15.75" customHeight="1">
      <c r="A556" s="466" t="s">
        <v>7391</v>
      </c>
      <c r="B556" s="466">
        <v>2024.0</v>
      </c>
      <c r="C556" s="466">
        <f t="shared" si="5"/>
        <v>12</v>
      </c>
      <c r="D556" s="467">
        <v>45636.0</v>
      </c>
      <c r="E556" s="482" t="s">
        <v>7381</v>
      </c>
      <c r="F556" s="482" t="s">
        <v>8085</v>
      </c>
      <c r="G556" s="466" t="s">
        <v>7611</v>
      </c>
      <c r="H556" s="482" t="s">
        <v>2459</v>
      </c>
      <c r="I556" s="482">
        <v>1.0</v>
      </c>
      <c r="J556" s="486"/>
      <c r="K556" s="482" t="s">
        <v>7393</v>
      </c>
      <c r="L556" s="487">
        <v>85.0</v>
      </c>
      <c r="M556" s="482"/>
      <c r="N556" s="482"/>
      <c r="O556" s="466"/>
      <c r="P556" s="357"/>
      <c r="Q556" s="357"/>
      <c r="R556" s="357"/>
      <c r="S556" s="357"/>
      <c r="T556" s="357"/>
      <c r="U556" s="357"/>
      <c r="V556" s="357"/>
      <c r="W556" s="357"/>
      <c r="X556" s="357"/>
      <c r="Y556" s="357"/>
      <c r="Z556" s="357"/>
    </row>
    <row r="557" ht="15.75" customHeight="1">
      <c r="A557" s="466" t="s">
        <v>7391</v>
      </c>
      <c r="B557" s="466">
        <v>2024.0</v>
      </c>
      <c r="C557" s="466">
        <f t="shared" si="5"/>
        <v>12</v>
      </c>
      <c r="D557" s="467">
        <v>45636.0</v>
      </c>
      <c r="E557" s="482" t="s">
        <v>7406</v>
      </c>
      <c r="F557" s="482" t="s">
        <v>8086</v>
      </c>
      <c r="G557" s="466" t="s">
        <v>7075</v>
      </c>
      <c r="H557" s="482" t="s">
        <v>8087</v>
      </c>
      <c r="I557" s="482">
        <v>1.0</v>
      </c>
      <c r="J557" s="486"/>
      <c r="K557" s="482" t="s">
        <v>7393</v>
      </c>
      <c r="L557" s="487">
        <v>156.9</v>
      </c>
      <c r="M557" s="482"/>
      <c r="N557" s="482"/>
      <c r="O557" s="466"/>
      <c r="P557" s="357"/>
      <c r="Q557" s="357"/>
      <c r="R557" s="357"/>
      <c r="S557" s="357"/>
      <c r="T557" s="357"/>
      <c r="U557" s="357"/>
      <c r="V557" s="357"/>
      <c r="W557" s="357"/>
      <c r="X557" s="357"/>
      <c r="Y557" s="357"/>
      <c r="Z557" s="357"/>
    </row>
    <row r="558" ht="15.75" customHeight="1">
      <c r="A558" s="466" t="s">
        <v>7391</v>
      </c>
      <c r="B558" s="466">
        <v>2024.0</v>
      </c>
      <c r="C558" s="466">
        <f t="shared" si="5"/>
        <v>12</v>
      </c>
      <c r="D558" s="467">
        <v>45636.0</v>
      </c>
      <c r="E558" s="482" t="s">
        <v>7970</v>
      </c>
      <c r="F558" s="482" t="s">
        <v>8088</v>
      </c>
      <c r="G558" s="466" t="s">
        <v>7075</v>
      </c>
      <c r="H558" s="482" t="s">
        <v>8087</v>
      </c>
      <c r="I558" s="482">
        <v>1.0</v>
      </c>
      <c r="J558" s="486"/>
      <c r="K558" s="482" t="s">
        <v>7393</v>
      </c>
      <c r="L558" s="487">
        <v>126.9</v>
      </c>
      <c r="M558" s="482"/>
      <c r="N558" s="482"/>
      <c r="O558" s="466"/>
      <c r="P558" s="357"/>
      <c r="Q558" s="357"/>
      <c r="R558" s="357"/>
      <c r="S558" s="357"/>
      <c r="T558" s="357"/>
      <c r="U558" s="357"/>
      <c r="V558" s="357"/>
      <c r="W558" s="357"/>
      <c r="X558" s="357"/>
      <c r="Y558" s="357"/>
      <c r="Z558" s="357"/>
    </row>
    <row r="559" ht="15.75" customHeight="1">
      <c r="A559" s="466" t="s">
        <v>7391</v>
      </c>
      <c r="B559" s="466">
        <v>2024.0</v>
      </c>
      <c r="C559" s="466">
        <f t="shared" si="5"/>
        <v>12</v>
      </c>
      <c r="D559" s="467">
        <v>45636.0</v>
      </c>
      <c r="E559" s="482" t="s">
        <v>7600</v>
      </c>
      <c r="F559" s="482" t="s">
        <v>8089</v>
      </c>
      <c r="G559" s="466" t="s">
        <v>7075</v>
      </c>
      <c r="H559" s="482" t="s">
        <v>8090</v>
      </c>
      <c r="I559" s="482">
        <v>1.0</v>
      </c>
      <c r="J559" s="486"/>
      <c r="K559" s="482" t="s">
        <v>7393</v>
      </c>
      <c r="L559" s="487">
        <v>126.9</v>
      </c>
      <c r="M559" s="482"/>
      <c r="N559" s="482"/>
      <c r="O559" s="466"/>
      <c r="P559" s="357"/>
      <c r="Q559" s="357"/>
      <c r="R559" s="357"/>
      <c r="S559" s="357"/>
      <c r="T559" s="357"/>
      <c r="U559" s="357"/>
      <c r="V559" s="357"/>
      <c r="W559" s="357"/>
      <c r="X559" s="357"/>
      <c r="Y559" s="357"/>
      <c r="Z559" s="357"/>
    </row>
    <row r="560" ht="15.75" customHeight="1">
      <c r="A560" s="466" t="s">
        <v>7391</v>
      </c>
      <c r="B560" s="466">
        <v>2024.0</v>
      </c>
      <c r="C560" s="466">
        <f t="shared" si="5"/>
        <v>12</v>
      </c>
      <c r="D560" s="467">
        <v>45637.0</v>
      </c>
      <c r="E560" s="482" t="s">
        <v>7820</v>
      </c>
      <c r="F560" s="482" t="s">
        <v>7651</v>
      </c>
      <c r="G560" s="466" t="s">
        <v>8091</v>
      </c>
      <c r="H560" s="482"/>
      <c r="I560" s="482">
        <v>2.0</v>
      </c>
      <c r="J560" s="486"/>
      <c r="K560" s="482" t="s">
        <v>7393</v>
      </c>
      <c r="L560" s="487">
        <v>106.9</v>
      </c>
      <c r="M560" s="482"/>
      <c r="N560" s="482"/>
      <c r="O560" s="466" t="s">
        <v>7497</v>
      </c>
      <c r="P560" s="357"/>
      <c r="Q560" s="357"/>
      <c r="R560" s="357"/>
      <c r="S560" s="357"/>
      <c r="T560" s="357"/>
      <c r="U560" s="357"/>
      <c r="V560" s="357"/>
      <c r="W560" s="357"/>
      <c r="X560" s="357"/>
      <c r="Y560" s="357"/>
      <c r="Z560" s="357"/>
    </row>
    <row r="561" ht="15.75" customHeight="1">
      <c r="A561" s="466" t="s">
        <v>7391</v>
      </c>
      <c r="B561" s="466">
        <v>2024.0</v>
      </c>
      <c r="C561" s="466">
        <f t="shared" si="5"/>
        <v>12</v>
      </c>
      <c r="D561" s="502">
        <v>45637.0</v>
      </c>
      <c r="E561" s="482" t="s">
        <v>2561</v>
      </c>
      <c r="F561" s="482" t="s">
        <v>7590</v>
      </c>
      <c r="G561" s="466" t="s">
        <v>7075</v>
      </c>
      <c r="H561" s="482" t="s">
        <v>8090</v>
      </c>
      <c r="I561" s="482">
        <v>1.0</v>
      </c>
      <c r="J561" s="486"/>
      <c r="K561" s="482" t="s">
        <v>7393</v>
      </c>
      <c r="L561" s="487">
        <v>126.9</v>
      </c>
      <c r="M561" s="482"/>
      <c r="N561" s="482"/>
      <c r="O561" s="466"/>
      <c r="P561" s="357"/>
      <c r="Q561" s="357"/>
      <c r="R561" s="357"/>
      <c r="S561" s="357"/>
      <c r="T561" s="357"/>
      <c r="U561" s="357"/>
      <c r="V561" s="357"/>
      <c r="W561" s="357"/>
      <c r="X561" s="357"/>
      <c r="Y561" s="357"/>
      <c r="Z561" s="357"/>
    </row>
    <row r="562" ht="15.75" customHeight="1">
      <c r="A562" s="466" t="s">
        <v>7391</v>
      </c>
      <c r="B562" s="466">
        <v>2024.0</v>
      </c>
      <c r="C562" s="466">
        <f t="shared" si="5"/>
        <v>12</v>
      </c>
      <c r="D562" s="502">
        <v>45637.0</v>
      </c>
      <c r="E562" s="482" t="s">
        <v>2665</v>
      </c>
      <c r="F562" s="482" t="s">
        <v>8092</v>
      </c>
      <c r="G562" s="466" t="s">
        <v>7100</v>
      </c>
      <c r="H562" s="482" t="s">
        <v>248</v>
      </c>
      <c r="I562" s="482">
        <v>1.0</v>
      </c>
      <c r="J562" s="486"/>
      <c r="K562" s="482" t="s">
        <v>7393</v>
      </c>
      <c r="L562" s="487">
        <v>176.9</v>
      </c>
      <c r="M562" s="482"/>
      <c r="N562" s="482"/>
      <c r="O562" s="466"/>
      <c r="P562" s="357"/>
      <c r="Q562" s="357"/>
      <c r="R562" s="357"/>
      <c r="S562" s="357"/>
      <c r="T562" s="357"/>
      <c r="U562" s="357"/>
      <c r="V562" s="357"/>
      <c r="W562" s="357"/>
      <c r="X562" s="357"/>
      <c r="Y562" s="357"/>
      <c r="Z562" s="357"/>
    </row>
    <row r="563" ht="15.75" customHeight="1">
      <c r="A563" s="466" t="s">
        <v>7391</v>
      </c>
      <c r="B563" s="466">
        <v>2024.0</v>
      </c>
      <c r="C563" s="466">
        <f t="shared" si="5"/>
        <v>12</v>
      </c>
      <c r="D563" s="502">
        <v>45637.0</v>
      </c>
      <c r="E563" s="482" t="s">
        <v>8093</v>
      </c>
      <c r="F563" s="482" t="s">
        <v>8094</v>
      </c>
      <c r="G563" s="466" t="s">
        <v>7100</v>
      </c>
      <c r="H563" s="482" t="s">
        <v>248</v>
      </c>
      <c r="I563" s="482">
        <v>1.0</v>
      </c>
      <c r="J563" s="486"/>
      <c r="K563" s="482" t="s">
        <v>7393</v>
      </c>
      <c r="L563" s="487">
        <v>176.9</v>
      </c>
      <c r="M563" s="482"/>
      <c r="N563" s="482"/>
      <c r="O563" s="466"/>
      <c r="P563" s="357"/>
      <c r="Q563" s="357"/>
      <c r="R563" s="357"/>
      <c r="S563" s="357"/>
      <c r="T563" s="357"/>
      <c r="U563" s="357"/>
      <c r="V563" s="357"/>
      <c r="W563" s="357"/>
      <c r="X563" s="357"/>
      <c r="Y563" s="357"/>
      <c r="Z563" s="357"/>
    </row>
    <row r="564" ht="15.75" customHeight="1">
      <c r="A564" s="466" t="s">
        <v>7391</v>
      </c>
      <c r="B564" s="466">
        <v>2024.0</v>
      </c>
      <c r="C564" s="466">
        <f t="shared" si="5"/>
        <v>12</v>
      </c>
      <c r="D564" s="502">
        <v>45638.0</v>
      </c>
      <c r="E564" s="482" t="s">
        <v>7848</v>
      </c>
      <c r="F564" s="482" t="s">
        <v>8095</v>
      </c>
      <c r="G564" s="466" t="s">
        <v>7075</v>
      </c>
      <c r="H564" s="482" t="s">
        <v>8096</v>
      </c>
      <c r="I564" s="482">
        <v>1.0</v>
      </c>
      <c r="J564" s="486"/>
      <c r="K564" s="482" t="s">
        <v>7393</v>
      </c>
      <c r="L564" s="487">
        <v>126.9</v>
      </c>
      <c r="M564" s="482"/>
      <c r="N564" s="482"/>
      <c r="O564" s="466"/>
      <c r="P564" s="357"/>
      <c r="Q564" s="357"/>
      <c r="R564" s="357"/>
      <c r="S564" s="357"/>
      <c r="T564" s="357"/>
      <c r="U564" s="357"/>
      <c r="V564" s="357"/>
      <c r="W564" s="357"/>
      <c r="X564" s="357"/>
      <c r="Y564" s="357"/>
      <c r="Z564" s="357"/>
    </row>
    <row r="565" ht="15.75" customHeight="1">
      <c r="A565" s="466" t="s">
        <v>7391</v>
      </c>
      <c r="B565" s="466">
        <v>2024.0</v>
      </c>
      <c r="C565" s="466">
        <f t="shared" si="5"/>
        <v>12</v>
      </c>
      <c r="D565" s="502">
        <v>45638.0</v>
      </c>
      <c r="E565" s="482" t="s">
        <v>8097</v>
      </c>
      <c r="F565" s="482" t="s">
        <v>8098</v>
      </c>
      <c r="G565" s="466" t="s">
        <v>7611</v>
      </c>
      <c r="H565" s="482" t="s">
        <v>7694</v>
      </c>
      <c r="I565" s="482">
        <v>1.0</v>
      </c>
      <c r="J565" s="486"/>
      <c r="K565" s="482" t="s">
        <v>7393</v>
      </c>
      <c r="L565" s="487">
        <v>91.9</v>
      </c>
      <c r="M565" s="482"/>
      <c r="N565" s="482"/>
      <c r="O565" s="466"/>
      <c r="P565" s="357"/>
      <c r="Q565" s="357"/>
      <c r="R565" s="357"/>
      <c r="S565" s="357"/>
      <c r="T565" s="357"/>
      <c r="U565" s="357"/>
      <c r="V565" s="357"/>
      <c r="W565" s="357"/>
      <c r="X565" s="357"/>
      <c r="Y565" s="357"/>
      <c r="Z565" s="357"/>
    </row>
    <row r="566" ht="15.75" customHeight="1">
      <c r="A566" s="466" t="s">
        <v>7391</v>
      </c>
      <c r="B566" s="466">
        <v>2024.0</v>
      </c>
      <c r="C566" s="466">
        <f t="shared" si="5"/>
        <v>12</v>
      </c>
      <c r="D566" s="502">
        <v>45638.0</v>
      </c>
      <c r="E566" s="482" t="s">
        <v>8099</v>
      </c>
      <c r="F566" s="482" t="s">
        <v>8100</v>
      </c>
      <c r="G566" s="466" t="s">
        <v>7075</v>
      </c>
      <c r="H566" s="482" t="s">
        <v>6867</v>
      </c>
      <c r="I566" s="482">
        <v>1.0</v>
      </c>
      <c r="J566" s="486"/>
      <c r="K566" s="482" t="s">
        <v>7393</v>
      </c>
      <c r="L566" s="487">
        <v>120.0</v>
      </c>
      <c r="M566" s="482"/>
      <c r="N566" s="482"/>
      <c r="O566" s="466"/>
      <c r="P566" s="357"/>
      <c r="Q566" s="357"/>
      <c r="R566" s="357"/>
      <c r="S566" s="357"/>
      <c r="T566" s="357"/>
      <c r="U566" s="357"/>
      <c r="V566" s="357"/>
      <c r="W566" s="357"/>
      <c r="X566" s="357"/>
      <c r="Y566" s="357"/>
      <c r="Z566" s="357"/>
    </row>
    <row r="567" ht="15.75" customHeight="1">
      <c r="A567" s="466" t="s">
        <v>7391</v>
      </c>
      <c r="B567" s="466">
        <v>2024.0</v>
      </c>
      <c r="C567" s="466">
        <f t="shared" si="5"/>
        <v>12</v>
      </c>
      <c r="D567" s="502">
        <v>45638.0</v>
      </c>
      <c r="E567" s="482" t="s">
        <v>7579</v>
      </c>
      <c r="F567" s="482" t="s">
        <v>8101</v>
      </c>
      <c r="G567" s="466" t="s">
        <v>7075</v>
      </c>
      <c r="H567" s="482" t="s">
        <v>7647</v>
      </c>
      <c r="I567" s="482">
        <v>1.0</v>
      </c>
      <c r="J567" s="486"/>
      <c r="K567" s="482" t="s">
        <v>7393</v>
      </c>
      <c r="L567" s="487">
        <v>114.9</v>
      </c>
      <c r="M567" s="482"/>
      <c r="N567" s="482"/>
      <c r="O567" s="466"/>
      <c r="P567" s="357"/>
      <c r="Q567" s="357"/>
      <c r="R567" s="357"/>
      <c r="S567" s="357"/>
      <c r="T567" s="357"/>
      <c r="U567" s="357"/>
      <c r="V567" s="357"/>
      <c r="W567" s="357"/>
      <c r="X567" s="357"/>
      <c r="Y567" s="357"/>
      <c r="Z567" s="357"/>
    </row>
    <row r="568" ht="15.75" customHeight="1">
      <c r="A568" s="466" t="s">
        <v>7391</v>
      </c>
      <c r="B568" s="466">
        <v>2024.0</v>
      </c>
      <c r="C568" s="466">
        <f t="shared" si="5"/>
        <v>12</v>
      </c>
      <c r="D568" s="502">
        <v>45638.0</v>
      </c>
      <c r="E568" s="482" t="s">
        <v>8075</v>
      </c>
      <c r="F568" s="482" t="s">
        <v>8102</v>
      </c>
      <c r="G568" s="466" t="s">
        <v>7100</v>
      </c>
      <c r="H568" s="482" t="s">
        <v>248</v>
      </c>
      <c r="I568" s="482">
        <v>1.0</v>
      </c>
      <c r="J568" s="486"/>
      <c r="K568" s="482" t="s">
        <v>7393</v>
      </c>
      <c r="L568" s="487">
        <v>179.6</v>
      </c>
      <c r="M568" s="482"/>
      <c r="N568" s="482"/>
      <c r="O568" s="466"/>
      <c r="P568" s="357"/>
      <c r="Q568" s="357"/>
      <c r="R568" s="357"/>
      <c r="S568" s="357"/>
      <c r="T568" s="357"/>
      <c r="U568" s="357"/>
      <c r="V568" s="357"/>
      <c r="W568" s="357"/>
      <c r="X568" s="357"/>
      <c r="Y568" s="357"/>
      <c r="Z568" s="357"/>
    </row>
    <row r="569" ht="15.75" customHeight="1">
      <c r="A569" s="466" t="s">
        <v>7391</v>
      </c>
      <c r="B569" s="466">
        <v>2024.0</v>
      </c>
      <c r="C569" s="466">
        <f t="shared" si="5"/>
        <v>12</v>
      </c>
      <c r="D569" s="502">
        <v>45639.0</v>
      </c>
      <c r="E569" s="482" t="s">
        <v>7600</v>
      </c>
      <c r="F569" s="482" t="s">
        <v>8103</v>
      </c>
      <c r="G569" s="466" t="s">
        <v>7611</v>
      </c>
      <c r="H569" s="482" t="s">
        <v>8104</v>
      </c>
      <c r="I569" s="482">
        <v>1.0</v>
      </c>
      <c r="J569" s="486"/>
      <c r="K569" s="482" t="s">
        <v>7393</v>
      </c>
      <c r="L569" s="487">
        <v>76.5</v>
      </c>
      <c r="M569" s="482"/>
      <c r="N569" s="482"/>
      <c r="O569" s="466"/>
      <c r="P569" s="357"/>
      <c r="Q569" s="357"/>
      <c r="R569" s="357"/>
      <c r="S569" s="357"/>
      <c r="T569" s="357"/>
      <c r="U569" s="357"/>
      <c r="V569" s="357"/>
      <c r="W569" s="357"/>
      <c r="X569" s="357"/>
      <c r="Y569" s="357"/>
      <c r="Z569" s="357"/>
    </row>
    <row r="570" ht="15.75" customHeight="1">
      <c r="A570" s="466" t="s">
        <v>7391</v>
      </c>
      <c r="B570" s="466">
        <v>2024.0</v>
      </c>
      <c r="C570" s="466">
        <f t="shared" si="5"/>
        <v>12</v>
      </c>
      <c r="D570" s="502">
        <v>45639.0</v>
      </c>
      <c r="E570" s="482" t="s">
        <v>2561</v>
      </c>
      <c r="F570" s="482" t="s">
        <v>8105</v>
      </c>
      <c r="G570" s="466" t="s">
        <v>7075</v>
      </c>
      <c r="H570" s="482" t="s">
        <v>8106</v>
      </c>
      <c r="I570" s="482">
        <v>1.0</v>
      </c>
      <c r="J570" s="486"/>
      <c r="K570" s="482" t="s">
        <v>7393</v>
      </c>
      <c r="L570" s="487">
        <v>126.9</v>
      </c>
      <c r="M570" s="482"/>
      <c r="N570" s="482"/>
      <c r="O570" s="466"/>
      <c r="P570" s="357"/>
      <c r="Q570" s="357"/>
      <c r="R570" s="357"/>
      <c r="S570" s="357"/>
      <c r="T570" s="357"/>
      <c r="U570" s="357"/>
      <c r="V570" s="357"/>
      <c r="W570" s="357"/>
      <c r="X570" s="357"/>
      <c r="Y570" s="357"/>
      <c r="Z570" s="357"/>
    </row>
    <row r="571" ht="15.75" customHeight="1">
      <c r="A571" s="466" t="s">
        <v>7391</v>
      </c>
      <c r="B571" s="466">
        <v>2024.0</v>
      </c>
      <c r="C571" s="466">
        <f t="shared" si="5"/>
        <v>12</v>
      </c>
      <c r="D571" s="502">
        <v>45639.0</v>
      </c>
      <c r="E571" s="482" t="s">
        <v>8107</v>
      </c>
      <c r="F571" s="482" t="s">
        <v>8108</v>
      </c>
      <c r="G571" s="466" t="s">
        <v>7075</v>
      </c>
      <c r="H571" s="482" t="s">
        <v>8106</v>
      </c>
      <c r="I571" s="482">
        <v>1.0</v>
      </c>
      <c r="J571" s="486"/>
      <c r="K571" s="482" t="s">
        <v>7393</v>
      </c>
      <c r="L571" s="487">
        <v>114.9</v>
      </c>
      <c r="M571" s="482"/>
      <c r="N571" s="482"/>
      <c r="O571" s="466"/>
      <c r="P571" s="357"/>
      <c r="Q571" s="357"/>
      <c r="R571" s="357"/>
      <c r="S571" s="357"/>
      <c r="T571" s="357"/>
      <c r="U571" s="357"/>
      <c r="V571" s="357"/>
      <c r="W571" s="357"/>
      <c r="X571" s="357"/>
      <c r="Y571" s="357"/>
      <c r="Z571" s="357"/>
    </row>
    <row r="572" ht="15.75" customHeight="1">
      <c r="A572" s="466" t="s">
        <v>7391</v>
      </c>
      <c r="B572" s="466">
        <v>2024.0</v>
      </c>
      <c r="C572" s="466">
        <f t="shared" si="5"/>
        <v>12</v>
      </c>
      <c r="D572" s="502">
        <v>45639.0</v>
      </c>
      <c r="E572" s="482" t="s">
        <v>7555</v>
      </c>
      <c r="F572" s="482" t="s">
        <v>8109</v>
      </c>
      <c r="G572" s="466" t="s">
        <v>7100</v>
      </c>
      <c r="H572" s="482" t="s">
        <v>248</v>
      </c>
      <c r="I572" s="482">
        <v>1.0</v>
      </c>
      <c r="J572" s="486"/>
      <c r="K572" s="482" t="s">
        <v>7393</v>
      </c>
      <c r="L572" s="487">
        <v>176.9</v>
      </c>
      <c r="M572" s="482"/>
      <c r="N572" s="482"/>
      <c r="O572" s="466"/>
      <c r="P572" s="357"/>
      <c r="Q572" s="357"/>
      <c r="R572" s="357"/>
      <c r="S572" s="357"/>
      <c r="T572" s="357"/>
      <c r="U572" s="357"/>
      <c r="V572" s="357"/>
      <c r="W572" s="357"/>
      <c r="X572" s="357"/>
      <c r="Y572" s="357"/>
      <c r="Z572" s="357"/>
    </row>
    <row r="573" ht="15.75" customHeight="1">
      <c r="A573" s="466" t="s">
        <v>7391</v>
      </c>
      <c r="B573" s="466">
        <v>2024.0</v>
      </c>
      <c r="C573" s="466">
        <f t="shared" si="5"/>
        <v>12</v>
      </c>
      <c r="D573" s="502">
        <v>45639.0</v>
      </c>
      <c r="E573" s="482" t="s">
        <v>7434</v>
      </c>
      <c r="F573" s="482" t="s">
        <v>8110</v>
      </c>
      <c r="G573" s="466" t="s">
        <v>7100</v>
      </c>
      <c r="H573" s="482" t="s">
        <v>248</v>
      </c>
      <c r="I573" s="482">
        <v>1.0</v>
      </c>
      <c r="J573" s="486"/>
      <c r="K573" s="482" t="s">
        <v>7393</v>
      </c>
      <c r="L573" s="487">
        <v>159.9</v>
      </c>
      <c r="M573" s="482"/>
      <c r="N573" s="482"/>
      <c r="O573" s="466"/>
      <c r="P573" s="357"/>
      <c r="Q573" s="357"/>
      <c r="R573" s="357"/>
      <c r="S573" s="357"/>
      <c r="T573" s="357"/>
      <c r="U573" s="357"/>
      <c r="V573" s="357"/>
      <c r="W573" s="357"/>
      <c r="X573" s="357"/>
      <c r="Y573" s="357"/>
      <c r="Z573" s="357"/>
    </row>
    <row r="574" ht="15.75" customHeight="1">
      <c r="A574" s="466" t="s">
        <v>7391</v>
      </c>
      <c r="B574" s="466">
        <v>2024.0</v>
      </c>
      <c r="C574" s="466">
        <f t="shared" si="5"/>
        <v>12</v>
      </c>
      <c r="D574" s="502">
        <v>45640.0</v>
      </c>
      <c r="E574" s="482" t="s">
        <v>7760</v>
      </c>
      <c r="F574" s="482" t="s">
        <v>8111</v>
      </c>
      <c r="G574" s="466" t="s">
        <v>8068</v>
      </c>
      <c r="H574" s="482" t="s">
        <v>8112</v>
      </c>
      <c r="I574" s="482">
        <v>1.0</v>
      </c>
      <c r="J574" s="486"/>
      <c r="K574" s="482" t="s">
        <v>7393</v>
      </c>
      <c r="L574" s="487">
        <v>28.0</v>
      </c>
      <c r="M574" s="482"/>
      <c r="N574" s="482"/>
      <c r="O574" s="466"/>
      <c r="P574" s="357"/>
      <c r="Q574" s="357"/>
      <c r="R574" s="357"/>
      <c r="S574" s="357"/>
      <c r="T574" s="357"/>
      <c r="U574" s="357"/>
      <c r="V574" s="357"/>
      <c r="W574" s="357"/>
      <c r="X574" s="357"/>
      <c r="Y574" s="357"/>
      <c r="Z574" s="357"/>
    </row>
    <row r="575" ht="15.75" customHeight="1">
      <c r="A575" s="466" t="s">
        <v>7391</v>
      </c>
      <c r="B575" s="466">
        <v>2024.0</v>
      </c>
      <c r="C575" s="466">
        <f t="shared" si="5"/>
        <v>12</v>
      </c>
      <c r="D575" s="502">
        <v>45640.0</v>
      </c>
      <c r="E575" s="482" t="s">
        <v>7760</v>
      </c>
      <c r="F575" s="482" t="s">
        <v>8111</v>
      </c>
      <c r="G575" s="466" t="s">
        <v>7075</v>
      </c>
      <c r="H575" s="482" t="s">
        <v>6906</v>
      </c>
      <c r="I575" s="482">
        <v>1.0</v>
      </c>
      <c r="J575" s="486"/>
      <c r="K575" s="482" t="s">
        <v>7393</v>
      </c>
      <c r="L575" s="487">
        <v>100.0</v>
      </c>
      <c r="M575" s="482"/>
      <c r="N575" s="482"/>
      <c r="O575" s="466"/>
      <c r="P575" s="357"/>
      <c r="Q575" s="357"/>
      <c r="R575" s="357"/>
      <c r="S575" s="357"/>
      <c r="T575" s="357"/>
      <c r="U575" s="357"/>
      <c r="V575" s="357"/>
      <c r="W575" s="357"/>
      <c r="X575" s="357"/>
      <c r="Y575" s="357"/>
      <c r="Z575" s="357"/>
    </row>
    <row r="576" ht="15.75" customHeight="1">
      <c r="A576" s="466" t="s">
        <v>7391</v>
      </c>
      <c r="B576" s="466">
        <v>2024.0</v>
      </c>
      <c r="C576" s="466">
        <f t="shared" si="5"/>
        <v>12</v>
      </c>
      <c r="D576" s="502">
        <v>45640.0</v>
      </c>
      <c r="E576" s="482" t="s">
        <v>2783</v>
      </c>
      <c r="F576" s="482" t="s">
        <v>8113</v>
      </c>
      <c r="G576" s="466" t="s">
        <v>7075</v>
      </c>
      <c r="H576" s="482" t="s">
        <v>6867</v>
      </c>
      <c r="I576" s="482">
        <v>1.0</v>
      </c>
      <c r="J576" s="486"/>
      <c r="K576" s="482" t="s">
        <v>7393</v>
      </c>
      <c r="L576" s="487">
        <v>126.9</v>
      </c>
      <c r="M576" s="482"/>
      <c r="N576" s="482"/>
      <c r="O576" s="466"/>
      <c r="P576" s="357"/>
      <c r="Q576" s="357"/>
      <c r="R576" s="357"/>
      <c r="S576" s="357"/>
      <c r="T576" s="357"/>
      <c r="U576" s="357"/>
      <c r="V576" s="357"/>
      <c r="W576" s="357"/>
      <c r="X576" s="357"/>
      <c r="Y576" s="357"/>
      <c r="Z576" s="357"/>
    </row>
    <row r="577" ht="15.75" customHeight="1">
      <c r="A577" s="466" t="s">
        <v>7391</v>
      </c>
      <c r="B577" s="466">
        <v>2024.0</v>
      </c>
      <c r="C577" s="466">
        <f t="shared" si="5"/>
        <v>12</v>
      </c>
      <c r="D577" s="502">
        <v>45640.0</v>
      </c>
      <c r="E577" s="482" t="s">
        <v>8114</v>
      </c>
      <c r="F577" s="482" t="s">
        <v>8115</v>
      </c>
      <c r="G577" s="466" t="s">
        <v>8068</v>
      </c>
      <c r="H577" s="482" t="s">
        <v>8069</v>
      </c>
      <c r="I577" s="482">
        <v>1.0</v>
      </c>
      <c r="J577" s="486"/>
      <c r="K577" s="482" t="s">
        <v>7393</v>
      </c>
      <c r="L577" s="487">
        <v>34.9</v>
      </c>
      <c r="M577" s="482"/>
      <c r="N577" s="482"/>
      <c r="O577" s="466"/>
      <c r="P577" s="357"/>
      <c r="Q577" s="357"/>
      <c r="R577" s="357"/>
      <c r="S577" s="357"/>
      <c r="T577" s="357"/>
      <c r="U577" s="357"/>
      <c r="V577" s="357"/>
      <c r="W577" s="357"/>
      <c r="X577" s="357"/>
      <c r="Y577" s="357"/>
      <c r="Z577" s="357"/>
    </row>
    <row r="578" ht="15.75" customHeight="1">
      <c r="A578" s="466" t="s">
        <v>7391</v>
      </c>
      <c r="B578" s="466">
        <v>2024.0</v>
      </c>
      <c r="C578" s="466">
        <f t="shared" si="5"/>
        <v>12</v>
      </c>
      <c r="D578" s="502">
        <v>45640.0</v>
      </c>
      <c r="E578" s="482" t="s">
        <v>8116</v>
      </c>
      <c r="F578" s="482" t="s">
        <v>8117</v>
      </c>
      <c r="G578" s="466" t="s">
        <v>7073</v>
      </c>
      <c r="H578" s="482" t="s">
        <v>7940</v>
      </c>
      <c r="I578" s="482">
        <v>1.0</v>
      </c>
      <c r="J578" s="486"/>
      <c r="K578" s="482" t="s">
        <v>7393</v>
      </c>
      <c r="L578" s="487">
        <v>115.0</v>
      </c>
      <c r="M578" s="482"/>
      <c r="N578" s="482"/>
      <c r="O578" s="466"/>
      <c r="P578" s="357"/>
      <c r="Q578" s="357"/>
      <c r="R578" s="357"/>
      <c r="S578" s="357"/>
      <c r="T578" s="357"/>
      <c r="U578" s="357"/>
      <c r="V578" s="357"/>
      <c r="W578" s="357"/>
      <c r="X578" s="357"/>
      <c r="Y578" s="357"/>
      <c r="Z578" s="357"/>
    </row>
    <row r="579" ht="15.75" customHeight="1">
      <c r="A579" s="466" t="s">
        <v>7391</v>
      </c>
      <c r="B579" s="466">
        <v>2024.0</v>
      </c>
      <c r="C579" s="466">
        <f t="shared" si="5"/>
        <v>12</v>
      </c>
      <c r="D579" s="502">
        <v>45640.0</v>
      </c>
      <c r="E579" s="482" t="s">
        <v>8116</v>
      </c>
      <c r="F579" s="482" t="s">
        <v>8117</v>
      </c>
      <c r="G579" s="466" t="s">
        <v>8068</v>
      </c>
      <c r="H579" s="482" t="s">
        <v>8069</v>
      </c>
      <c r="I579" s="482">
        <v>1.0</v>
      </c>
      <c r="J579" s="486"/>
      <c r="K579" s="482" t="s">
        <v>7393</v>
      </c>
      <c r="L579" s="487">
        <v>28.0</v>
      </c>
      <c r="M579" s="482"/>
      <c r="N579" s="482"/>
      <c r="O579" s="466"/>
      <c r="P579" s="357"/>
      <c r="Q579" s="357"/>
      <c r="R579" s="357"/>
      <c r="S579" s="357"/>
      <c r="T579" s="357"/>
      <c r="U579" s="357"/>
      <c r="V579" s="357"/>
      <c r="W579" s="357"/>
      <c r="X579" s="357"/>
      <c r="Y579" s="357"/>
      <c r="Z579" s="357"/>
    </row>
    <row r="580" ht="15.75" customHeight="1">
      <c r="A580" s="466" t="s">
        <v>7391</v>
      </c>
      <c r="B580" s="466">
        <v>2024.0</v>
      </c>
      <c r="C580" s="466">
        <f t="shared" si="5"/>
        <v>12</v>
      </c>
      <c r="D580" s="502">
        <v>45640.0</v>
      </c>
      <c r="E580" s="482" t="s">
        <v>8116</v>
      </c>
      <c r="F580" s="482" t="s">
        <v>8117</v>
      </c>
      <c r="G580" s="466" t="s">
        <v>7075</v>
      </c>
      <c r="H580" s="482" t="s">
        <v>6906</v>
      </c>
      <c r="I580" s="482">
        <v>1.0</v>
      </c>
      <c r="J580" s="486"/>
      <c r="K580" s="482" t="s">
        <v>7393</v>
      </c>
      <c r="L580" s="487">
        <v>106.9</v>
      </c>
      <c r="M580" s="482"/>
      <c r="N580" s="482"/>
      <c r="O580" s="466"/>
      <c r="P580" s="357"/>
      <c r="Q580" s="357"/>
      <c r="R580" s="357"/>
      <c r="S580" s="357"/>
      <c r="T580" s="357"/>
      <c r="U580" s="357"/>
      <c r="V580" s="357"/>
      <c r="W580" s="357"/>
      <c r="X580" s="357"/>
      <c r="Y580" s="357"/>
      <c r="Z580" s="357"/>
    </row>
    <row r="581" ht="15.75" customHeight="1">
      <c r="A581" s="466" t="s">
        <v>7391</v>
      </c>
      <c r="B581" s="466">
        <v>2024.0</v>
      </c>
      <c r="C581" s="466">
        <f t="shared" si="5"/>
        <v>12</v>
      </c>
      <c r="D581" s="502">
        <v>45640.0</v>
      </c>
      <c r="E581" s="482" t="s">
        <v>7417</v>
      </c>
      <c r="F581" s="482" t="s">
        <v>8118</v>
      </c>
      <c r="G581" s="466" t="s">
        <v>7075</v>
      </c>
      <c r="H581" s="482" t="s">
        <v>6873</v>
      </c>
      <c r="I581" s="482">
        <v>1.0</v>
      </c>
      <c r="J581" s="486"/>
      <c r="K581" s="482" t="s">
        <v>7393</v>
      </c>
      <c r="L581" s="487">
        <v>126.9</v>
      </c>
      <c r="M581" s="482"/>
      <c r="N581" s="482"/>
      <c r="O581" s="466"/>
      <c r="P581" s="357"/>
      <c r="Q581" s="357"/>
      <c r="R581" s="357"/>
      <c r="S581" s="357"/>
      <c r="T581" s="357"/>
      <c r="U581" s="357"/>
      <c r="V581" s="357"/>
      <c r="W581" s="357"/>
      <c r="X581" s="357"/>
      <c r="Y581" s="357"/>
      <c r="Z581" s="357"/>
    </row>
    <row r="582" ht="15.75" customHeight="1">
      <c r="A582" s="466" t="s">
        <v>7391</v>
      </c>
      <c r="B582" s="466">
        <v>2024.0</v>
      </c>
      <c r="C582" s="466">
        <f t="shared" si="5"/>
        <v>12</v>
      </c>
      <c r="D582" s="502">
        <v>45640.0</v>
      </c>
      <c r="E582" s="482" t="s">
        <v>2783</v>
      </c>
      <c r="F582" s="482" t="s">
        <v>8119</v>
      </c>
      <c r="G582" s="466" t="s">
        <v>7075</v>
      </c>
      <c r="H582" s="482" t="s">
        <v>6867</v>
      </c>
      <c r="I582" s="482">
        <v>1.0</v>
      </c>
      <c r="J582" s="486"/>
      <c r="K582" s="482" t="s">
        <v>7393</v>
      </c>
      <c r="L582" s="487">
        <v>114.9</v>
      </c>
      <c r="M582" s="482"/>
      <c r="N582" s="482"/>
      <c r="O582" s="466"/>
      <c r="P582" s="357"/>
      <c r="Q582" s="357"/>
      <c r="R582" s="357"/>
      <c r="S582" s="357"/>
      <c r="T582" s="357"/>
      <c r="U582" s="357"/>
      <c r="V582" s="357"/>
      <c r="W582" s="357"/>
      <c r="X582" s="357"/>
      <c r="Y582" s="357"/>
      <c r="Z582" s="357"/>
    </row>
    <row r="583" ht="15.75" customHeight="1">
      <c r="A583" s="466" t="s">
        <v>7391</v>
      </c>
      <c r="B583" s="466">
        <v>2024.0</v>
      </c>
      <c r="C583" s="466">
        <f t="shared" si="5"/>
        <v>12</v>
      </c>
      <c r="D583" s="502">
        <v>45641.0</v>
      </c>
      <c r="E583" s="482" t="s">
        <v>2635</v>
      </c>
      <c r="F583" s="482" t="s">
        <v>8120</v>
      </c>
      <c r="G583" s="466" t="s">
        <v>8121</v>
      </c>
      <c r="H583" s="482" t="s">
        <v>6838</v>
      </c>
      <c r="I583" s="482">
        <v>1.0</v>
      </c>
      <c r="J583" s="486"/>
      <c r="K583" s="482" t="s">
        <v>7393</v>
      </c>
      <c r="L583" s="487">
        <v>34.9</v>
      </c>
      <c r="M583" s="482"/>
      <c r="N583" s="482"/>
      <c r="O583" s="466"/>
      <c r="P583" s="357"/>
      <c r="Q583" s="357"/>
      <c r="R583" s="357"/>
      <c r="S583" s="357"/>
      <c r="T583" s="357"/>
      <c r="U583" s="357"/>
      <c r="V583" s="357"/>
      <c r="W583" s="357"/>
      <c r="X583" s="357"/>
      <c r="Y583" s="357"/>
      <c r="Z583" s="357"/>
    </row>
    <row r="584" ht="15.75" customHeight="1">
      <c r="A584" s="466" t="s">
        <v>7391</v>
      </c>
      <c r="B584" s="466">
        <v>2024.0</v>
      </c>
      <c r="C584" s="466">
        <f t="shared" si="5"/>
        <v>12</v>
      </c>
      <c r="D584" s="502">
        <v>45641.0</v>
      </c>
      <c r="E584" s="482" t="s">
        <v>2547</v>
      </c>
      <c r="F584" s="482" t="s">
        <v>8122</v>
      </c>
      <c r="G584" s="466" t="s">
        <v>7611</v>
      </c>
      <c r="H584" s="482" t="s">
        <v>2459</v>
      </c>
      <c r="I584" s="482">
        <v>1.0</v>
      </c>
      <c r="J584" s="486"/>
      <c r="K584" s="482" t="s">
        <v>7393</v>
      </c>
      <c r="L584" s="487">
        <v>91.9</v>
      </c>
      <c r="M584" s="482"/>
      <c r="N584" s="482"/>
      <c r="O584" s="466"/>
      <c r="P584" s="357"/>
      <c r="Q584" s="357"/>
      <c r="R584" s="357"/>
      <c r="S584" s="357"/>
      <c r="T584" s="357"/>
      <c r="U584" s="357"/>
      <c r="V584" s="357"/>
      <c r="W584" s="357"/>
      <c r="X584" s="357"/>
      <c r="Y584" s="357"/>
      <c r="Z584" s="357"/>
    </row>
    <row r="585" ht="15.75" customHeight="1">
      <c r="A585" s="466" t="s">
        <v>7391</v>
      </c>
      <c r="B585" s="466">
        <v>2024.0</v>
      </c>
      <c r="C585" s="466">
        <f t="shared" si="5"/>
        <v>12</v>
      </c>
      <c r="D585" s="502">
        <v>45641.0</v>
      </c>
      <c r="E585" s="482" t="s">
        <v>7417</v>
      </c>
      <c r="F585" s="482" t="s">
        <v>8123</v>
      </c>
      <c r="G585" s="466" t="s">
        <v>7075</v>
      </c>
      <c r="H585" s="482" t="s">
        <v>6906</v>
      </c>
      <c r="I585" s="482">
        <v>1.0</v>
      </c>
      <c r="J585" s="486"/>
      <c r="K585" s="482" t="s">
        <v>7393</v>
      </c>
      <c r="L585" s="487">
        <v>100.0</v>
      </c>
      <c r="M585" s="482"/>
      <c r="N585" s="482"/>
      <c r="O585" s="466"/>
      <c r="P585" s="357"/>
      <c r="Q585" s="357"/>
      <c r="R585" s="357"/>
      <c r="S585" s="357"/>
      <c r="T585" s="357"/>
      <c r="U585" s="357"/>
      <c r="V585" s="357"/>
      <c r="W585" s="357"/>
      <c r="X585" s="357"/>
      <c r="Y585" s="357"/>
      <c r="Z585" s="357"/>
    </row>
    <row r="586" ht="15.75" customHeight="1">
      <c r="A586" s="466" t="s">
        <v>7391</v>
      </c>
      <c r="B586" s="466">
        <v>2024.0</v>
      </c>
      <c r="C586" s="466">
        <f t="shared" si="5"/>
        <v>12</v>
      </c>
      <c r="D586" s="502">
        <v>45642.0</v>
      </c>
      <c r="E586" s="482" t="s">
        <v>7869</v>
      </c>
      <c r="F586" s="482" t="s">
        <v>8124</v>
      </c>
      <c r="G586" s="466" t="s">
        <v>8068</v>
      </c>
      <c r="H586" s="482" t="s">
        <v>8069</v>
      </c>
      <c r="I586" s="482">
        <v>1.0</v>
      </c>
      <c r="J586" s="486"/>
      <c r="K586" s="482" t="s">
        <v>7393</v>
      </c>
      <c r="L586" s="487">
        <v>25.0</v>
      </c>
      <c r="M586" s="482"/>
      <c r="N586" s="482"/>
      <c r="O586" s="466"/>
      <c r="P586" s="357"/>
      <c r="Q586" s="357"/>
      <c r="R586" s="357"/>
      <c r="S586" s="357"/>
      <c r="T586" s="357"/>
      <c r="U586" s="357"/>
      <c r="V586" s="357"/>
      <c r="W586" s="357"/>
      <c r="X586" s="357"/>
      <c r="Y586" s="357"/>
      <c r="Z586" s="357"/>
    </row>
    <row r="587" ht="15.75" customHeight="1">
      <c r="A587" s="466" t="s">
        <v>7391</v>
      </c>
      <c r="B587" s="466">
        <v>2024.0</v>
      </c>
      <c r="C587" s="466">
        <f t="shared" si="5"/>
        <v>12</v>
      </c>
      <c r="D587" s="502">
        <v>45642.0</v>
      </c>
      <c r="E587" s="482" t="s">
        <v>7637</v>
      </c>
      <c r="F587" s="482" t="s">
        <v>8125</v>
      </c>
      <c r="G587" s="466" t="s">
        <v>6613</v>
      </c>
      <c r="H587" s="482" t="s">
        <v>8126</v>
      </c>
      <c r="I587" s="482">
        <v>1.0</v>
      </c>
      <c r="J587" s="486"/>
      <c r="K587" s="482" t="s">
        <v>7393</v>
      </c>
      <c r="L587" s="487">
        <v>75.0</v>
      </c>
      <c r="M587" s="482"/>
      <c r="N587" s="482"/>
      <c r="O587" s="466"/>
      <c r="P587" s="357"/>
      <c r="Q587" s="357"/>
      <c r="R587" s="357"/>
      <c r="S587" s="357"/>
      <c r="T587" s="357"/>
      <c r="U587" s="357"/>
      <c r="V587" s="357"/>
      <c r="W587" s="357"/>
      <c r="X587" s="357"/>
      <c r="Y587" s="357"/>
      <c r="Z587" s="357"/>
    </row>
    <row r="588" ht="15.75" customHeight="1">
      <c r="A588" s="466" t="s">
        <v>7391</v>
      </c>
      <c r="B588" s="466">
        <v>2024.0</v>
      </c>
      <c r="C588" s="466">
        <f t="shared" si="5"/>
        <v>12</v>
      </c>
      <c r="D588" s="502">
        <v>45642.0</v>
      </c>
      <c r="E588" s="482" t="s">
        <v>8127</v>
      </c>
      <c r="F588" s="482" t="s">
        <v>8128</v>
      </c>
      <c r="G588" s="466" t="s">
        <v>7075</v>
      </c>
      <c r="H588" s="482" t="s">
        <v>7772</v>
      </c>
      <c r="I588" s="482">
        <v>1.0</v>
      </c>
      <c r="J588" s="486"/>
      <c r="K588" s="482" t="s">
        <v>7393</v>
      </c>
      <c r="L588" s="487">
        <v>106.9</v>
      </c>
      <c r="M588" s="482"/>
      <c r="N588" s="482"/>
      <c r="O588" s="466"/>
      <c r="P588" s="357"/>
      <c r="Q588" s="357"/>
      <c r="R588" s="357"/>
      <c r="S588" s="357"/>
      <c r="T588" s="357"/>
      <c r="U588" s="357"/>
      <c r="V588" s="357"/>
      <c r="W588" s="357"/>
      <c r="X588" s="357"/>
      <c r="Y588" s="357"/>
      <c r="Z588" s="357"/>
    </row>
    <row r="589" ht="15.75" customHeight="1">
      <c r="A589" s="466" t="s">
        <v>7391</v>
      </c>
      <c r="B589" s="466">
        <v>2024.0</v>
      </c>
      <c r="C589" s="466">
        <f t="shared" si="5"/>
        <v>12</v>
      </c>
      <c r="D589" s="502">
        <v>45642.0</v>
      </c>
      <c r="E589" s="482" t="s">
        <v>7498</v>
      </c>
      <c r="F589" s="482" t="s">
        <v>8129</v>
      </c>
      <c r="G589" s="466" t="s">
        <v>7611</v>
      </c>
      <c r="H589" s="482" t="s">
        <v>7957</v>
      </c>
      <c r="I589" s="482">
        <v>1.0</v>
      </c>
      <c r="J589" s="486"/>
      <c r="K589" s="482" t="s">
        <v>7393</v>
      </c>
      <c r="L589" s="487">
        <v>91.9</v>
      </c>
      <c r="M589" s="482"/>
      <c r="N589" s="482"/>
      <c r="O589" s="466"/>
      <c r="P589" s="357"/>
      <c r="Q589" s="357"/>
      <c r="R589" s="357"/>
      <c r="S589" s="357"/>
      <c r="T589" s="357"/>
      <c r="U589" s="357"/>
      <c r="V589" s="357"/>
      <c r="W589" s="357"/>
      <c r="X589" s="357"/>
      <c r="Y589" s="357"/>
      <c r="Z589" s="357"/>
    </row>
    <row r="590" ht="15.75" customHeight="1">
      <c r="A590" s="466" t="s">
        <v>7391</v>
      </c>
      <c r="B590" s="466">
        <v>2024.0</v>
      </c>
      <c r="C590" s="466">
        <f t="shared" si="5"/>
        <v>12</v>
      </c>
      <c r="D590" s="502">
        <v>45642.0</v>
      </c>
      <c r="E590" s="482" t="s">
        <v>8130</v>
      </c>
      <c r="F590" s="482" t="s">
        <v>8131</v>
      </c>
      <c r="G590" s="466" t="s">
        <v>7611</v>
      </c>
      <c r="H590" s="482" t="s">
        <v>7989</v>
      </c>
      <c r="I590" s="482">
        <v>1.0</v>
      </c>
      <c r="J590" s="486"/>
      <c r="K590" s="482" t="s">
        <v>7393</v>
      </c>
      <c r="L590" s="487">
        <v>91.9</v>
      </c>
      <c r="M590" s="482"/>
      <c r="N590" s="482"/>
      <c r="O590" s="466"/>
      <c r="P590" s="357"/>
      <c r="Q590" s="357"/>
      <c r="R590" s="357"/>
      <c r="S590" s="357"/>
      <c r="T590" s="357"/>
      <c r="U590" s="357"/>
      <c r="V590" s="357"/>
      <c r="W590" s="357"/>
      <c r="X590" s="357"/>
      <c r="Y590" s="357"/>
      <c r="Z590" s="357"/>
    </row>
    <row r="591" ht="15.75" customHeight="1">
      <c r="A591" s="466" t="s">
        <v>7391</v>
      </c>
      <c r="B591" s="466">
        <v>2024.0</v>
      </c>
      <c r="C591" s="466">
        <f t="shared" si="5"/>
        <v>12</v>
      </c>
      <c r="D591" s="502">
        <v>45642.0</v>
      </c>
      <c r="E591" s="482" t="s">
        <v>2623</v>
      </c>
      <c r="F591" s="482" t="s">
        <v>8132</v>
      </c>
      <c r="G591" s="466" t="s">
        <v>8068</v>
      </c>
      <c r="H591" s="482" t="s">
        <v>8069</v>
      </c>
      <c r="I591" s="482">
        <v>1.0</v>
      </c>
      <c r="J591" s="486"/>
      <c r="K591" s="482" t="s">
        <v>7393</v>
      </c>
      <c r="L591" s="487">
        <v>34.9</v>
      </c>
      <c r="M591" s="482"/>
      <c r="N591" s="482"/>
      <c r="O591" s="466"/>
      <c r="P591" s="357"/>
      <c r="Q591" s="357"/>
      <c r="R591" s="357"/>
      <c r="S591" s="357"/>
      <c r="T591" s="357"/>
      <c r="U591" s="357"/>
      <c r="V591" s="357"/>
      <c r="W591" s="357"/>
      <c r="X591" s="357"/>
      <c r="Y591" s="357"/>
      <c r="Z591" s="357"/>
    </row>
    <row r="592" ht="15.75" customHeight="1">
      <c r="A592" s="466" t="s">
        <v>7391</v>
      </c>
      <c r="B592" s="466">
        <v>2024.0</v>
      </c>
      <c r="C592" s="466">
        <f t="shared" si="5"/>
        <v>12</v>
      </c>
      <c r="D592" s="502">
        <v>45642.0</v>
      </c>
      <c r="E592" s="482" t="s">
        <v>2597</v>
      </c>
      <c r="F592" s="482" t="s">
        <v>8133</v>
      </c>
      <c r="G592" s="466" t="s">
        <v>7073</v>
      </c>
      <c r="H592" s="482" t="s">
        <v>2619</v>
      </c>
      <c r="I592" s="482">
        <v>1.0</v>
      </c>
      <c r="J592" s="486"/>
      <c r="K592" s="482" t="s">
        <v>7393</v>
      </c>
      <c r="L592" s="487">
        <v>256.9</v>
      </c>
      <c r="M592" s="482"/>
      <c r="N592" s="482"/>
      <c r="O592" s="466"/>
      <c r="P592" s="357"/>
      <c r="Q592" s="357"/>
      <c r="R592" s="357"/>
      <c r="S592" s="357"/>
      <c r="T592" s="357"/>
      <c r="U592" s="357"/>
      <c r="V592" s="357"/>
      <c r="W592" s="357"/>
      <c r="X592" s="357"/>
      <c r="Y592" s="357"/>
      <c r="Z592" s="357"/>
    </row>
    <row r="593" ht="15.75" customHeight="1">
      <c r="A593" s="466" t="s">
        <v>7391</v>
      </c>
      <c r="B593" s="466">
        <v>2024.0</v>
      </c>
      <c r="C593" s="466">
        <f t="shared" si="5"/>
        <v>12</v>
      </c>
      <c r="D593" s="502">
        <v>45642.0</v>
      </c>
      <c r="E593" s="482" t="s">
        <v>2597</v>
      </c>
      <c r="F593" s="482" t="s">
        <v>8133</v>
      </c>
      <c r="G593" s="466" t="s">
        <v>7075</v>
      </c>
      <c r="H593" s="482" t="s">
        <v>7628</v>
      </c>
      <c r="I593" s="482">
        <v>1.0</v>
      </c>
      <c r="J593" s="486"/>
      <c r="K593" s="482" t="s">
        <v>7393</v>
      </c>
      <c r="L593" s="482"/>
      <c r="M593" s="482"/>
      <c r="N593" s="482"/>
      <c r="O593" s="466"/>
      <c r="P593" s="357"/>
      <c r="Q593" s="357"/>
      <c r="R593" s="357"/>
      <c r="S593" s="357"/>
      <c r="T593" s="357"/>
      <c r="U593" s="357"/>
      <c r="V593" s="357"/>
      <c r="W593" s="357"/>
      <c r="X593" s="357"/>
      <c r="Y593" s="357"/>
      <c r="Z593" s="357"/>
    </row>
    <row r="594" ht="15.75" customHeight="1">
      <c r="A594" s="466" t="s">
        <v>7391</v>
      </c>
      <c r="B594" s="466">
        <v>2024.0</v>
      </c>
      <c r="C594" s="466">
        <f t="shared" si="5"/>
        <v>12</v>
      </c>
      <c r="D594" s="502">
        <v>45643.0</v>
      </c>
      <c r="E594" s="482" t="s">
        <v>2441</v>
      </c>
      <c r="F594" s="482" t="s">
        <v>8134</v>
      </c>
      <c r="G594" s="466" t="s">
        <v>7075</v>
      </c>
      <c r="H594" s="482" t="s">
        <v>7647</v>
      </c>
      <c r="I594" s="482">
        <v>1.0</v>
      </c>
      <c r="J594" s="486"/>
      <c r="K594" s="482" t="s">
        <v>7393</v>
      </c>
      <c r="L594" s="482">
        <v>126.9</v>
      </c>
      <c r="M594" s="482"/>
      <c r="N594" s="482"/>
      <c r="O594" s="466"/>
      <c r="P594" s="357"/>
      <c r="Q594" s="357"/>
      <c r="R594" s="357"/>
      <c r="S594" s="357"/>
      <c r="T594" s="357"/>
      <c r="U594" s="357"/>
      <c r="V594" s="357"/>
      <c r="W594" s="357"/>
      <c r="X594" s="357"/>
      <c r="Y594" s="357"/>
      <c r="Z594" s="357"/>
    </row>
    <row r="595" ht="15.75" customHeight="1">
      <c r="A595" s="466" t="s">
        <v>7391</v>
      </c>
      <c r="B595" s="466">
        <v>2024.0</v>
      </c>
      <c r="C595" s="466">
        <f t="shared" si="5"/>
        <v>12</v>
      </c>
      <c r="D595" s="502">
        <v>45643.0</v>
      </c>
      <c r="E595" s="482" t="s">
        <v>2665</v>
      </c>
      <c r="F595" s="482" t="s">
        <v>7648</v>
      </c>
      <c r="G595" s="466" t="s">
        <v>8121</v>
      </c>
      <c r="H595" s="482" t="s">
        <v>6838</v>
      </c>
      <c r="I595" s="482">
        <v>1.0</v>
      </c>
      <c r="J595" s="486"/>
      <c r="K595" s="482" t="s">
        <v>7393</v>
      </c>
      <c r="L595" s="482">
        <v>37.9</v>
      </c>
      <c r="M595" s="482"/>
      <c r="N595" s="482"/>
      <c r="O595" s="466"/>
      <c r="P595" s="357"/>
      <c r="Q595" s="357"/>
      <c r="R595" s="357"/>
      <c r="S595" s="357"/>
      <c r="T595" s="357"/>
      <c r="U595" s="357"/>
      <c r="V595" s="357"/>
      <c r="W595" s="357"/>
      <c r="X595" s="357"/>
      <c r="Y595" s="357"/>
      <c r="Z595" s="357"/>
    </row>
    <row r="596" ht="15.75" customHeight="1">
      <c r="A596" s="466" t="s">
        <v>7391</v>
      </c>
      <c r="B596" s="466">
        <v>2024.0</v>
      </c>
      <c r="C596" s="466">
        <f t="shared" si="5"/>
        <v>12</v>
      </c>
      <c r="D596" s="502">
        <v>45643.0</v>
      </c>
      <c r="E596" s="482" t="s">
        <v>8059</v>
      </c>
      <c r="F596" s="482" t="s">
        <v>8135</v>
      </c>
      <c r="G596" s="466" t="s">
        <v>7075</v>
      </c>
      <c r="H596" s="482" t="s">
        <v>7647</v>
      </c>
      <c r="I596" s="482">
        <v>1.0</v>
      </c>
      <c r="J596" s="486"/>
      <c r="K596" s="482" t="s">
        <v>7393</v>
      </c>
      <c r="L596" s="482">
        <v>126.9</v>
      </c>
      <c r="M596" s="482"/>
      <c r="N596" s="482"/>
      <c r="O596" s="466"/>
      <c r="P596" s="357"/>
      <c r="Q596" s="357"/>
      <c r="R596" s="357"/>
      <c r="S596" s="357"/>
      <c r="T596" s="357"/>
      <c r="U596" s="357"/>
      <c r="V596" s="357"/>
      <c r="W596" s="357"/>
      <c r="X596" s="357"/>
      <c r="Y596" s="357"/>
      <c r="Z596" s="357"/>
    </row>
    <row r="597" ht="15.75" customHeight="1">
      <c r="A597" s="466" t="s">
        <v>7391</v>
      </c>
      <c r="B597" s="466">
        <v>2024.0</v>
      </c>
      <c r="C597" s="466">
        <f t="shared" si="5"/>
        <v>12</v>
      </c>
      <c r="D597" s="502">
        <v>45643.0</v>
      </c>
      <c r="E597" s="482" t="s">
        <v>8136</v>
      </c>
      <c r="F597" s="482" t="s">
        <v>7775</v>
      </c>
      <c r="G597" s="466" t="s">
        <v>7075</v>
      </c>
      <c r="H597" s="482" t="s">
        <v>6867</v>
      </c>
      <c r="I597" s="482">
        <v>1.0</v>
      </c>
      <c r="J597" s="486"/>
      <c r="K597" s="482" t="s">
        <v>7393</v>
      </c>
      <c r="L597" s="482">
        <v>126.9</v>
      </c>
      <c r="M597" s="482"/>
      <c r="N597" s="482"/>
      <c r="O597" s="466"/>
      <c r="P597" s="357"/>
      <c r="Q597" s="357"/>
      <c r="R597" s="357"/>
      <c r="S597" s="357"/>
      <c r="T597" s="357"/>
      <c r="U597" s="357"/>
      <c r="V597" s="357"/>
      <c r="W597" s="357"/>
      <c r="X597" s="357"/>
      <c r="Y597" s="357"/>
      <c r="Z597" s="357"/>
    </row>
    <row r="598" ht="15.75" customHeight="1">
      <c r="A598" s="466" t="s">
        <v>7391</v>
      </c>
      <c r="B598" s="466">
        <v>2024.0</v>
      </c>
      <c r="C598" s="466">
        <f t="shared" si="5"/>
        <v>12</v>
      </c>
      <c r="D598" s="502">
        <v>45643.0</v>
      </c>
      <c r="E598" s="482" t="s">
        <v>7396</v>
      </c>
      <c r="F598" s="482" t="s">
        <v>7886</v>
      </c>
      <c r="G598" s="466" t="s">
        <v>7075</v>
      </c>
      <c r="H598" s="482" t="s">
        <v>7801</v>
      </c>
      <c r="I598" s="482">
        <v>1.0</v>
      </c>
      <c r="J598" s="486"/>
      <c r="K598" s="482" t="s">
        <v>7393</v>
      </c>
      <c r="L598" s="482">
        <v>116.9</v>
      </c>
      <c r="M598" s="482"/>
      <c r="N598" s="482"/>
      <c r="O598" s="466"/>
      <c r="P598" s="357"/>
      <c r="Q598" s="357"/>
      <c r="R598" s="357"/>
      <c r="S598" s="357"/>
      <c r="T598" s="357"/>
      <c r="U598" s="357"/>
      <c r="V598" s="357"/>
      <c r="W598" s="357"/>
      <c r="X598" s="357"/>
      <c r="Y598" s="357"/>
      <c r="Z598" s="357"/>
    </row>
    <row r="599" ht="15.75" customHeight="1">
      <c r="A599" s="466" t="s">
        <v>7391</v>
      </c>
      <c r="B599" s="466">
        <v>2024.0</v>
      </c>
      <c r="C599" s="466">
        <f t="shared" si="5"/>
        <v>12</v>
      </c>
      <c r="D599" s="502">
        <v>45644.0</v>
      </c>
      <c r="E599" s="482" t="s">
        <v>2647</v>
      </c>
      <c r="F599" s="482" t="s">
        <v>8137</v>
      </c>
      <c r="G599" s="466" t="s">
        <v>7075</v>
      </c>
      <c r="H599" s="482" t="s">
        <v>7960</v>
      </c>
      <c r="I599" s="482">
        <v>1.0</v>
      </c>
      <c r="J599" s="486"/>
      <c r="K599" s="482" t="s">
        <v>7393</v>
      </c>
      <c r="L599" s="482">
        <v>114.9</v>
      </c>
      <c r="M599" s="482"/>
      <c r="N599" s="482"/>
      <c r="O599" s="466"/>
      <c r="P599" s="357"/>
      <c r="Q599" s="357"/>
      <c r="R599" s="357"/>
      <c r="S599" s="357"/>
      <c r="T599" s="357"/>
      <c r="U599" s="357"/>
      <c r="V599" s="357"/>
      <c r="W599" s="357"/>
      <c r="X599" s="357"/>
      <c r="Y599" s="357"/>
      <c r="Z599" s="357"/>
    </row>
    <row r="600" ht="15.75" customHeight="1">
      <c r="A600" s="466" t="s">
        <v>7391</v>
      </c>
      <c r="B600" s="466">
        <v>2024.0</v>
      </c>
      <c r="C600" s="466">
        <f t="shared" si="5"/>
        <v>12</v>
      </c>
      <c r="D600" s="502">
        <v>45644.0</v>
      </c>
      <c r="E600" s="482" t="s">
        <v>7941</v>
      </c>
      <c r="F600" s="482" t="s">
        <v>8138</v>
      </c>
      <c r="G600" s="466" t="s">
        <v>7075</v>
      </c>
      <c r="H600" s="482" t="s">
        <v>8076</v>
      </c>
      <c r="I600" s="482">
        <v>1.0</v>
      </c>
      <c r="J600" s="486"/>
      <c r="K600" s="482" t="s">
        <v>7393</v>
      </c>
      <c r="L600" s="482">
        <v>141.9</v>
      </c>
      <c r="M600" s="482"/>
      <c r="N600" s="482"/>
      <c r="O600" s="466"/>
      <c r="P600" s="357"/>
      <c r="Q600" s="357"/>
      <c r="R600" s="357"/>
      <c r="S600" s="357"/>
      <c r="T600" s="357"/>
      <c r="U600" s="357"/>
      <c r="V600" s="357"/>
      <c r="W600" s="357"/>
      <c r="X600" s="357"/>
      <c r="Y600" s="357"/>
      <c r="Z600" s="357"/>
    </row>
    <row r="601" ht="15.75" customHeight="1">
      <c r="A601" s="466" t="s">
        <v>7391</v>
      </c>
      <c r="B601" s="466">
        <v>2024.0</v>
      </c>
      <c r="C601" s="466">
        <f t="shared" si="5"/>
        <v>12</v>
      </c>
      <c r="D601" s="502">
        <v>45645.0</v>
      </c>
      <c r="E601" s="482" t="s">
        <v>8139</v>
      </c>
      <c r="F601" s="482" t="s">
        <v>8140</v>
      </c>
      <c r="G601" s="466" t="s">
        <v>7611</v>
      </c>
      <c r="H601" s="482" t="s">
        <v>7989</v>
      </c>
      <c r="I601" s="482">
        <v>1.0</v>
      </c>
      <c r="J601" s="486"/>
      <c r="K601" s="482" t="s">
        <v>7393</v>
      </c>
      <c r="L601" s="482">
        <v>91.9</v>
      </c>
      <c r="M601" s="482"/>
      <c r="N601" s="482"/>
      <c r="O601" s="466"/>
      <c r="P601" s="357"/>
      <c r="Q601" s="357"/>
      <c r="R601" s="357"/>
      <c r="S601" s="357"/>
      <c r="T601" s="357"/>
      <c r="U601" s="357"/>
      <c r="V601" s="357"/>
      <c r="W601" s="357"/>
      <c r="X601" s="357"/>
      <c r="Y601" s="357"/>
      <c r="Z601" s="357"/>
    </row>
    <row r="602" ht="15.75" customHeight="1">
      <c r="A602" s="466" t="s">
        <v>7391</v>
      </c>
      <c r="B602" s="466">
        <v>2024.0</v>
      </c>
      <c r="C602" s="466">
        <f t="shared" si="5"/>
        <v>12</v>
      </c>
      <c r="D602" s="502">
        <v>45645.0</v>
      </c>
      <c r="E602" s="482" t="s">
        <v>7417</v>
      </c>
      <c r="F602" s="482" t="s">
        <v>8141</v>
      </c>
      <c r="G602" s="466" t="s">
        <v>7073</v>
      </c>
      <c r="H602" s="482" t="s">
        <v>2619</v>
      </c>
      <c r="I602" s="482">
        <v>1.0</v>
      </c>
      <c r="J602" s="486"/>
      <c r="K602" s="482" t="s">
        <v>7393</v>
      </c>
      <c r="L602" s="482">
        <v>121.9</v>
      </c>
      <c r="M602" s="482"/>
      <c r="N602" s="482"/>
      <c r="O602" s="466"/>
      <c r="P602" s="357"/>
      <c r="Q602" s="357"/>
      <c r="R602" s="357"/>
      <c r="S602" s="357"/>
      <c r="T602" s="357"/>
      <c r="U602" s="357"/>
      <c r="V602" s="357"/>
      <c r="W602" s="357"/>
      <c r="X602" s="357"/>
      <c r="Y602" s="357"/>
      <c r="Z602" s="357"/>
    </row>
    <row r="603" ht="15.75" customHeight="1">
      <c r="A603" s="466" t="s">
        <v>7391</v>
      </c>
      <c r="B603" s="466">
        <v>2024.0</v>
      </c>
      <c r="C603" s="466">
        <f t="shared" si="5"/>
        <v>12</v>
      </c>
      <c r="D603" s="502">
        <v>45645.0</v>
      </c>
      <c r="E603" s="482" t="s">
        <v>2647</v>
      </c>
      <c r="F603" s="482" t="s">
        <v>8137</v>
      </c>
      <c r="G603" s="466" t="s">
        <v>7075</v>
      </c>
      <c r="H603" s="482" t="s">
        <v>7801</v>
      </c>
      <c r="I603" s="482">
        <v>1.0</v>
      </c>
      <c r="J603" s="486"/>
      <c r="K603" s="482" t="s">
        <v>7393</v>
      </c>
      <c r="L603" s="482">
        <v>100.4</v>
      </c>
      <c r="M603" s="482"/>
      <c r="N603" s="482"/>
      <c r="O603" s="466"/>
      <c r="P603" s="357"/>
      <c r="Q603" s="357"/>
      <c r="R603" s="357"/>
      <c r="S603" s="357"/>
      <c r="T603" s="357"/>
      <c r="U603" s="357"/>
      <c r="V603" s="357"/>
      <c r="W603" s="357"/>
      <c r="X603" s="357"/>
      <c r="Y603" s="357"/>
      <c r="Z603" s="357"/>
    </row>
    <row r="604" ht="15.75" customHeight="1">
      <c r="A604" s="466" t="s">
        <v>7391</v>
      </c>
      <c r="B604" s="466">
        <v>2024.0</v>
      </c>
      <c r="C604" s="466">
        <f t="shared" si="5"/>
        <v>12</v>
      </c>
      <c r="D604" s="502">
        <v>45645.0</v>
      </c>
      <c r="E604" s="482" t="s">
        <v>8142</v>
      </c>
      <c r="F604" s="482" t="s">
        <v>8143</v>
      </c>
      <c r="G604" s="466" t="s">
        <v>7100</v>
      </c>
      <c r="H604" s="482" t="s">
        <v>6828</v>
      </c>
      <c r="I604" s="482">
        <v>1.0</v>
      </c>
      <c r="J604" s="486"/>
      <c r="K604" s="482" t="s">
        <v>7393</v>
      </c>
      <c r="L604" s="482">
        <v>151.4</v>
      </c>
      <c r="M604" s="482"/>
      <c r="N604" s="482"/>
      <c r="O604" s="466"/>
      <c r="P604" s="357"/>
      <c r="Q604" s="357"/>
      <c r="R604" s="357"/>
      <c r="S604" s="357"/>
      <c r="T604" s="357"/>
      <c r="U604" s="357"/>
      <c r="V604" s="357"/>
      <c r="W604" s="357"/>
      <c r="X604" s="357"/>
      <c r="Y604" s="357"/>
      <c r="Z604" s="357"/>
    </row>
    <row r="605" ht="15.75" customHeight="1">
      <c r="A605" s="466" t="s">
        <v>7391</v>
      </c>
      <c r="B605" s="466">
        <v>2024.0</v>
      </c>
      <c r="C605" s="466">
        <f t="shared" si="5"/>
        <v>12</v>
      </c>
      <c r="D605" s="502">
        <v>45645.0</v>
      </c>
      <c r="E605" s="482" t="s">
        <v>8144</v>
      </c>
      <c r="F605" s="482" t="s">
        <v>8145</v>
      </c>
      <c r="G605" s="466" t="s">
        <v>7075</v>
      </c>
      <c r="H605" s="482" t="s">
        <v>6867</v>
      </c>
      <c r="I605" s="482">
        <v>1.0</v>
      </c>
      <c r="J605" s="486"/>
      <c r="K605" s="482" t="s">
        <v>7393</v>
      </c>
      <c r="L605" s="482">
        <v>114.9</v>
      </c>
      <c r="M605" s="482"/>
      <c r="N605" s="482"/>
      <c r="O605" s="466"/>
      <c r="P605" s="357"/>
      <c r="Q605" s="357"/>
      <c r="R605" s="357"/>
      <c r="S605" s="357"/>
      <c r="T605" s="357"/>
      <c r="U605" s="357"/>
      <c r="V605" s="357"/>
      <c r="W605" s="357"/>
      <c r="X605" s="357"/>
      <c r="Y605" s="357"/>
      <c r="Z605" s="357"/>
    </row>
    <row r="606" ht="15.75" customHeight="1">
      <c r="A606" s="466" t="s">
        <v>7391</v>
      </c>
      <c r="B606" s="466">
        <v>2024.0</v>
      </c>
      <c r="C606" s="466">
        <f t="shared" si="5"/>
        <v>12</v>
      </c>
      <c r="D606" s="502">
        <v>45645.0</v>
      </c>
      <c r="E606" s="482" t="s">
        <v>8146</v>
      </c>
      <c r="F606" s="482" t="s">
        <v>8147</v>
      </c>
      <c r="G606" s="466" t="s">
        <v>7075</v>
      </c>
      <c r="H606" s="482" t="s">
        <v>7685</v>
      </c>
      <c r="I606" s="482">
        <v>1.0</v>
      </c>
      <c r="J606" s="486"/>
      <c r="K606" s="482" t="s">
        <v>7393</v>
      </c>
      <c r="L606" s="482">
        <v>108.9</v>
      </c>
      <c r="M606" s="482"/>
      <c r="N606" s="482"/>
      <c r="O606" s="466"/>
      <c r="P606" s="357"/>
      <c r="Q606" s="357"/>
      <c r="R606" s="357"/>
      <c r="S606" s="357"/>
      <c r="T606" s="357"/>
      <c r="U606" s="357"/>
      <c r="V606" s="357"/>
      <c r="W606" s="357"/>
      <c r="X606" s="357"/>
      <c r="Y606" s="357"/>
      <c r="Z606" s="357"/>
    </row>
    <row r="607" ht="15.75" customHeight="1">
      <c r="A607" s="466" t="s">
        <v>7391</v>
      </c>
      <c r="B607" s="466">
        <v>2024.0</v>
      </c>
      <c r="C607" s="466">
        <f t="shared" si="5"/>
        <v>12</v>
      </c>
      <c r="D607" s="502">
        <v>45646.0</v>
      </c>
      <c r="E607" s="482" t="s">
        <v>2561</v>
      </c>
      <c r="F607" s="482" t="s">
        <v>8148</v>
      </c>
      <c r="G607" s="466" t="s">
        <v>7075</v>
      </c>
      <c r="H607" s="482" t="s">
        <v>7685</v>
      </c>
      <c r="I607" s="482">
        <v>1.0</v>
      </c>
      <c r="J607" s="486"/>
      <c r="K607" s="482" t="s">
        <v>7393</v>
      </c>
      <c r="L607" s="482">
        <v>108.9</v>
      </c>
      <c r="M607" s="482"/>
      <c r="N607" s="482"/>
      <c r="O607" s="466"/>
      <c r="P607" s="357"/>
      <c r="Q607" s="357"/>
      <c r="R607" s="357"/>
      <c r="S607" s="357"/>
      <c r="T607" s="357"/>
      <c r="U607" s="357"/>
      <c r="V607" s="357"/>
      <c r="W607" s="357"/>
      <c r="X607" s="357"/>
      <c r="Y607" s="357"/>
      <c r="Z607" s="357"/>
    </row>
    <row r="608" ht="15.75" customHeight="1">
      <c r="A608" s="466" t="s">
        <v>7391</v>
      </c>
      <c r="B608" s="466">
        <v>2024.0</v>
      </c>
      <c r="C608" s="466">
        <f t="shared" si="5"/>
        <v>12</v>
      </c>
      <c r="D608" s="502">
        <v>45646.0</v>
      </c>
      <c r="E608" s="482" t="s">
        <v>7883</v>
      </c>
      <c r="F608" s="482" t="s">
        <v>8034</v>
      </c>
      <c r="G608" s="466" t="s">
        <v>8121</v>
      </c>
      <c r="H608" s="482" t="s">
        <v>6838</v>
      </c>
      <c r="I608" s="482">
        <v>1.0</v>
      </c>
      <c r="J608" s="486"/>
      <c r="K608" s="482" t="s">
        <v>7393</v>
      </c>
      <c r="L608" s="482">
        <v>65.9</v>
      </c>
      <c r="M608" s="482"/>
      <c r="N608" s="482"/>
      <c r="O608" s="466"/>
      <c r="P608" s="357"/>
      <c r="Q608" s="357"/>
      <c r="R608" s="357"/>
      <c r="S608" s="357"/>
      <c r="T608" s="357"/>
      <c r="U608" s="357"/>
      <c r="V608" s="357"/>
      <c r="W608" s="357"/>
      <c r="X608" s="357"/>
      <c r="Y608" s="357"/>
      <c r="Z608" s="357"/>
    </row>
    <row r="609" ht="15.75" customHeight="1">
      <c r="A609" s="466" t="s">
        <v>7391</v>
      </c>
      <c r="B609" s="466">
        <v>2024.0</v>
      </c>
      <c r="C609" s="466">
        <f t="shared" si="5"/>
        <v>12</v>
      </c>
      <c r="D609" s="502">
        <v>45646.0</v>
      </c>
      <c r="E609" s="482" t="s">
        <v>7883</v>
      </c>
      <c r="F609" s="482" t="s">
        <v>8034</v>
      </c>
      <c r="G609" s="466" t="s">
        <v>8068</v>
      </c>
      <c r="H609" s="482" t="s">
        <v>6928</v>
      </c>
      <c r="I609" s="482">
        <v>1.0</v>
      </c>
      <c r="J609" s="486"/>
      <c r="K609" s="482" t="s">
        <v>7393</v>
      </c>
      <c r="L609" s="482" t="s">
        <v>7246</v>
      </c>
      <c r="M609" s="482"/>
      <c r="N609" s="482"/>
      <c r="O609" s="466"/>
      <c r="P609" s="357"/>
      <c r="Q609" s="357"/>
      <c r="R609" s="357"/>
      <c r="S609" s="357"/>
      <c r="T609" s="357"/>
      <c r="U609" s="357"/>
      <c r="V609" s="357"/>
      <c r="W609" s="357"/>
      <c r="X609" s="357"/>
      <c r="Y609" s="357"/>
      <c r="Z609" s="357"/>
    </row>
    <row r="610" ht="15.75" customHeight="1">
      <c r="A610" s="466" t="s">
        <v>7391</v>
      </c>
      <c r="B610" s="466">
        <v>2024.0</v>
      </c>
      <c r="C610" s="466">
        <f t="shared" si="5"/>
        <v>12</v>
      </c>
      <c r="D610" s="502">
        <v>45647.0</v>
      </c>
      <c r="E610" s="482" t="s">
        <v>7714</v>
      </c>
      <c r="F610" s="482" t="s">
        <v>2769</v>
      </c>
      <c r="G610" s="466" t="s">
        <v>8149</v>
      </c>
      <c r="H610" s="482"/>
      <c r="I610" s="482">
        <v>1.0</v>
      </c>
      <c r="J610" s="486"/>
      <c r="K610" s="482" t="s">
        <v>7393</v>
      </c>
      <c r="L610" s="482">
        <v>69.9</v>
      </c>
      <c r="M610" s="482"/>
      <c r="N610" s="482"/>
      <c r="O610" s="466"/>
      <c r="P610" s="357"/>
      <c r="Q610" s="357"/>
      <c r="R610" s="357"/>
      <c r="S610" s="357"/>
      <c r="T610" s="357"/>
      <c r="U610" s="357"/>
      <c r="V610" s="357"/>
      <c r="W610" s="357"/>
      <c r="X610" s="357"/>
      <c r="Y610" s="357"/>
      <c r="Z610" s="357"/>
    </row>
    <row r="611" ht="15.75" customHeight="1">
      <c r="A611" s="466" t="s">
        <v>7391</v>
      </c>
      <c r="B611" s="466">
        <v>2024.0</v>
      </c>
      <c r="C611" s="466">
        <f t="shared" si="5"/>
        <v>12</v>
      </c>
      <c r="D611" s="502">
        <v>45647.0</v>
      </c>
      <c r="E611" s="482" t="s">
        <v>7714</v>
      </c>
      <c r="F611" s="482" t="s">
        <v>2769</v>
      </c>
      <c r="G611" s="466" t="s">
        <v>8068</v>
      </c>
      <c r="H611" s="482" t="s">
        <v>6928</v>
      </c>
      <c r="I611" s="482">
        <v>1.0</v>
      </c>
      <c r="J611" s="486"/>
      <c r="K611" s="482" t="s">
        <v>7393</v>
      </c>
      <c r="L611" s="482" t="s">
        <v>7246</v>
      </c>
      <c r="M611" s="482"/>
      <c r="N611" s="482"/>
      <c r="O611" s="466"/>
      <c r="P611" s="357"/>
      <c r="Q611" s="357"/>
      <c r="R611" s="357"/>
      <c r="S611" s="357"/>
      <c r="T611" s="357"/>
      <c r="U611" s="357"/>
      <c r="V611" s="357"/>
      <c r="W611" s="357"/>
      <c r="X611" s="357"/>
      <c r="Y611" s="357"/>
      <c r="Z611" s="357"/>
    </row>
    <row r="612" ht="15.75" customHeight="1">
      <c r="A612" s="466" t="s">
        <v>7391</v>
      </c>
      <c r="B612" s="466">
        <v>2024.0</v>
      </c>
      <c r="C612" s="466">
        <f t="shared" si="5"/>
        <v>12</v>
      </c>
      <c r="D612" s="502">
        <v>45647.0</v>
      </c>
      <c r="E612" s="482" t="s">
        <v>7429</v>
      </c>
      <c r="F612" s="482" t="s">
        <v>8150</v>
      </c>
      <c r="G612" s="466" t="s">
        <v>7100</v>
      </c>
      <c r="H612" s="482" t="s">
        <v>6828</v>
      </c>
      <c r="I612" s="482">
        <v>1.0</v>
      </c>
      <c r="J612" s="486"/>
      <c r="K612" s="482" t="s">
        <v>7393</v>
      </c>
      <c r="L612" s="482">
        <v>176.9</v>
      </c>
      <c r="M612" s="482"/>
      <c r="N612" s="482"/>
      <c r="O612" s="466"/>
      <c r="P612" s="357"/>
      <c r="Q612" s="357"/>
      <c r="R612" s="357"/>
      <c r="S612" s="357"/>
      <c r="T612" s="357"/>
      <c r="U612" s="357"/>
      <c r="V612" s="357"/>
      <c r="W612" s="357"/>
      <c r="X612" s="357"/>
      <c r="Y612" s="357"/>
      <c r="Z612" s="357"/>
    </row>
    <row r="613" ht="15.75" customHeight="1">
      <c r="A613" s="466" t="s">
        <v>7391</v>
      </c>
      <c r="B613" s="466">
        <v>2024.0</v>
      </c>
      <c r="C613" s="466">
        <f t="shared" si="5"/>
        <v>12</v>
      </c>
      <c r="D613" s="502">
        <v>45648.0</v>
      </c>
      <c r="E613" s="482" t="s">
        <v>8146</v>
      </c>
      <c r="F613" s="482" t="s">
        <v>8151</v>
      </c>
      <c r="G613" s="466" t="s">
        <v>7075</v>
      </c>
      <c r="H613" s="482" t="s">
        <v>6828</v>
      </c>
      <c r="I613" s="482">
        <v>1.0</v>
      </c>
      <c r="J613" s="486"/>
      <c r="K613" s="482" t="s">
        <v>7393</v>
      </c>
      <c r="L613" s="482">
        <v>116.9</v>
      </c>
      <c r="M613" s="482"/>
      <c r="N613" s="482"/>
      <c r="O613" s="466"/>
      <c r="P613" s="357"/>
      <c r="Q613" s="357"/>
      <c r="R613" s="357"/>
      <c r="S613" s="357"/>
      <c r="T613" s="357"/>
      <c r="U613" s="357"/>
      <c r="V613" s="357"/>
      <c r="W613" s="357"/>
      <c r="X613" s="357"/>
      <c r="Y613" s="357"/>
      <c r="Z613" s="357"/>
    </row>
    <row r="614" ht="15.75" customHeight="1">
      <c r="A614" s="466" t="s">
        <v>7391</v>
      </c>
      <c r="B614" s="466">
        <v>2024.0</v>
      </c>
      <c r="C614" s="466">
        <f t="shared" si="5"/>
        <v>12</v>
      </c>
      <c r="D614" s="502">
        <v>45649.0</v>
      </c>
      <c r="E614" s="482" t="s">
        <v>7637</v>
      </c>
      <c r="F614" s="482" t="s">
        <v>8152</v>
      </c>
      <c r="G614" s="466" t="s">
        <v>7075</v>
      </c>
      <c r="H614" s="482" t="s">
        <v>7960</v>
      </c>
      <c r="I614" s="482">
        <v>1.0</v>
      </c>
      <c r="J614" s="486"/>
      <c r="K614" s="482" t="s">
        <v>7393</v>
      </c>
      <c r="L614" s="482">
        <v>108.0</v>
      </c>
      <c r="M614" s="482"/>
      <c r="N614" s="482"/>
      <c r="O614" s="466"/>
      <c r="P614" s="357"/>
      <c r="Q614" s="357"/>
      <c r="R614" s="357"/>
      <c r="S614" s="357"/>
      <c r="T614" s="357"/>
      <c r="U614" s="357"/>
      <c r="V614" s="357"/>
      <c r="W614" s="357"/>
      <c r="X614" s="357"/>
      <c r="Y614" s="357"/>
      <c r="Z614" s="357"/>
    </row>
    <row r="615" ht="15.75" customHeight="1">
      <c r="A615" s="466" t="s">
        <v>7391</v>
      </c>
      <c r="B615" s="466">
        <v>2024.0</v>
      </c>
      <c r="C615" s="466">
        <f t="shared" si="5"/>
        <v>12</v>
      </c>
      <c r="D615" s="502">
        <v>45652.0</v>
      </c>
      <c r="E615" s="482" t="s">
        <v>2193</v>
      </c>
      <c r="F615" s="482" t="s">
        <v>8153</v>
      </c>
      <c r="G615" s="466" t="s">
        <v>8154</v>
      </c>
      <c r="H615" s="482"/>
      <c r="I615" s="482">
        <v>1.0</v>
      </c>
      <c r="J615" s="486"/>
      <c r="K615" s="482" t="s">
        <v>7393</v>
      </c>
      <c r="L615" s="482">
        <v>66.9</v>
      </c>
      <c r="M615" s="482"/>
      <c r="N615" s="482"/>
      <c r="O615" s="466"/>
      <c r="P615" s="357"/>
      <c r="Q615" s="357"/>
      <c r="R615" s="357"/>
      <c r="S615" s="357"/>
      <c r="T615" s="357"/>
      <c r="U615" s="357"/>
      <c r="V615" s="357"/>
      <c r="W615" s="357"/>
      <c r="X615" s="357"/>
      <c r="Y615" s="357"/>
      <c r="Z615" s="357"/>
    </row>
    <row r="616" ht="15.75" customHeight="1">
      <c r="A616" s="466" t="s">
        <v>7391</v>
      </c>
      <c r="B616" s="466">
        <v>2024.0</v>
      </c>
      <c r="C616" s="466">
        <f t="shared" si="5"/>
        <v>12</v>
      </c>
      <c r="D616" s="502">
        <v>45652.0</v>
      </c>
      <c r="E616" s="482" t="s">
        <v>8155</v>
      </c>
      <c r="F616" s="482" t="s">
        <v>8156</v>
      </c>
      <c r="G616" s="466" t="s">
        <v>7611</v>
      </c>
      <c r="H616" s="482" t="s">
        <v>8157</v>
      </c>
      <c r="I616" s="482">
        <v>1.0</v>
      </c>
      <c r="J616" s="486"/>
      <c r="K616" s="482" t="s">
        <v>7393</v>
      </c>
      <c r="L616" s="482">
        <v>91.9</v>
      </c>
      <c r="M616" s="482"/>
      <c r="N616" s="482"/>
      <c r="O616" s="466"/>
      <c r="P616" s="357"/>
      <c r="Q616" s="357"/>
      <c r="R616" s="357"/>
      <c r="S616" s="357"/>
      <c r="T616" s="357"/>
      <c r="U616" s="357"/>
      <c r="V616" s="357"/>
      <c r="W616" s="357"/>
      <c r="X616" s="357"/>
      <c r="Y616" s="357"/>
      <c r="Z616" s="357"/>
    </row>
    <row r="617" ht="15.75" customHeight="1">
      <c r="A617" s="466" t="s">
        <v>7391</v>
      </c>
      <c r="B617" s="466">
        <v>2024.0</v>
      </c>
      <c r="C617" s="466">
        <f t="shared" si="5"/>
        <v>12</v>
      </c>
      <c r="D617" s="502">
        <v>45655.0</v>
      </c>
      <c r="E617" s="482" t="s">
        <v>2623</v>
      </c>
      <c r="F617" s="482" t="s">
        <v>8158</v>
      </c>
      <c r="G617" s="466" t="s">
        <v>8154</v>
      </c>
      <c r="H617" s="482"/>
      <c r="I617" s="482">
        <v>1.0</v>
      </c>
      <c r="J617" s="486"/>
      <c r="K617" s="482" t="s">
        <v>7393</v>
      </c>
      <c r="L617" s="482">
        <v>66.9</v>
      </c>
      <c r="M617" s="482"/>
      <c r="N617" s="482"/>
      <c r="O617" s="466"/>
      <c r="P617" s="357"/>
      <c r="Q617" s="357"/>
      <c r="R617" s="357"/>
      <c r="S617" s="357"/>
      <c r="T617" s="357"/>
      <c r="U617" s="357"/>
      <c r="V617" s="357"/>
      <c r="W617" s="357"/>
      <c r="X617" s="357"/>
      <c r="Y617" s="357"/>
      <c r="Z617" s="357"/>
    </row>
    <row r="618" ht="15.75" customHeight="1">
      <c r="A618" s="466" t="s">
        <v>7391</v>
      </c>
      <c r="B618" s="466">
        <v>2024.0</v>
      </c>
      <c r="C618" s="466">
        <f t="shared" si="5"/>
        <v>12</v>
      </c>
      <c r="D618" s="502">
        <v>45656.0</v>
      </c>
      <c r="E618" s="482" t="s">
        <v>7848</v>
      </c>
      <c r="F618" s="482" t="s">
        <v>8159</v>
      </c>
      <c r="G618" s="466" t="s">
        <v>7075</v>
      </c>
      <c r="H618" s="482" t="s">
        <v>8076</v>
      </c>
      <c r="I618" s="482">
        <v>1.0</v>
      </c>
      <c r="J618" s="486"/>
      <c r="K618" s="482" t="s">
        <v>7393</v>
      </c>
      <c r="L618" s="482">
        <v>156.9</v>
      </c>
      <c r="M618" s="482"/>
      <c r="N618" s="482"/>
      <c r="O618" s="466"/>
      <c r="P618" s="357"/>
      <c r="Q618" s="357"/>
      <c r="R618" s="357"/>
      <c r="S618" s="357"/>
      <c r="T618" s="357"/>
      <c r="U618" s="357"/>
      <c r="V618" s="357"/>
      <c r="W618" s="357"/>
      <c r="X618" s="357"/>
      <c r="Y618" s="357"/>
      <c r="Z618" s="357"/>
    </row>
    <row r="619" ht="15.75" customHeight="1">
      <c r="A619" s="466" t="s">
        <v>8160</v>
      </c>
      <c r="B619" s="466">
        <v>2024.0</v>
      </c>
      <c r="C619" s="466">
        <v>1.0</v>
      </c>
      <c r="D619" s="466">
        <v>45301.0</v>
      </c>
      <c r="E619" s="466" t="s">
        <v>8161</v>
      </c>
      <c r="F619" s="466" t="s">
        <v>2548</v>
      </c>
      <c r="G619" s="466" t="s">
        <v>7395</v>
      </c>
      <c r="H619" s="466"/>
      <c r="I619" s="466">
        <v>1.0</v>
      </c>
      <c r="J619" s="503"/>
      <c r="K619" s="466" t="s">
        <v>2511</v>
      </c>
      <c r="L619" s="466">
        <v>50.0</v>
      </c>
      <c r="M619" s="466"/>
      <c r="N619" s="466"/>
      <c r="O619" s="466"/>
      <c r="P619" s="357"/>
      <c r="Q619" s="357"/>
      <c r="R619" s="357"/>
      <c r="S619" s="357"/>
      <c r="T619" s="357"/>
      <c r="U619" s="357"/>
      <c r="V619" s="357"/>
      <c r="W619" s="357"/>
      <c r="X619" s="357"/>
      <c r="Y619" s="357"/>
      <c r="Z619" s="357"/>
    </row>
    <row r="620" ht="15.75" customHeight="1">
      <c r="A620" s="466" t="s">
        <v>8160</v>
      </c>
      <c r="B620" s="466">
        <v>2024.0</v>
      </c>
      <c r="C620" s="466">
        <v>1.0</v>
      </c>
      <c r="D620" s="466">
        <v>45302.0</v>
      </c>
      <c r="E620" s="466" t="s">
        <v>7743</v>
      </c>
      <c r="F620" s="466" t="s">
        <v>8162</v>
      </c>
      <c r="G620" s="466" t="s">
        <v>7395</v>
      </c>
      <c r="H620" s="466"/>
      <c r="I620" s="466">
        <v>1.0</v>
      </c>
      <c r="J620" s="503"/>
      <c r="K620" s="466" t="s">
        <v>2511</v>
      </c>
      <c r="L620" s="466">
        <v>50.0</v>
      </c>
      <c r="M620" s="466"/>
      <c r="N620" s="466"/>
      <c r="O620" s="466"/>
      <c r="P620" s="357"/>
      <c r="Q620" s="357"/>
      <c r="R620" s="357"/>
      <c r="S620" s="357"/>
      <c r="T620" s="357"/>
      <c r="U620" s="357"/>
      <c r="V620" s="357"/>
      <c r="W620" s="357"/>
      <c r="X620" s="357"/>
      <c r="Y620" s="357"/>
      <c r="Z620" s="357"/>
    </row>
    <row r="621" ht="15.75" customHeight="1">
      <c r="A621" s="466" t="s">
        <v>8160</v>
      </c>
      <c r="B621" s="466">
        <v>2024.0</v>
      </c>
      <c r="C621" s="466">
        <v>1.0</v>
      </c>
      <c r="D621" s="466">
        <v>45304.0</v>
      </c>
      <c r="E621" s="466" t="s">
        <v>8082</v>
      </c>
      <c r="F621" s="466" t="s">
        <v>8163</v>
      </c>
      <c r="G621" s="466" t="s">
        <v>6613</v>
      </c>
      <c r="H621" s="466"/>
      <c r="I621" s="466">
        <v>1.0</v>
      </c>
      <c r="J621" s="503"/>
      <c r="K621" s="466" t="s">
        <v>8164</v>
      </c>
      <c r="L621" s="466">
        <v>55.0</v>
      </c>
      <c r="M621" s="466"/>
      <c r="N621" s="466"/>
      <c r="O621" s="466"/>
      <c r="P621" s="357"/>
      <c r="Q621" s="357"/>
      <c r="R621" s="357"/>
      <c r="S621" s="357"/>
      <c r="T621" s="357"/>
      <c r="U621" s="357"/>
      <c r="V621" s="357"/>
      <c r="W621" s="357"/>
      <c r="X621" s="357"/>
      <c r="Y621" s="357"/>
      <c r="Z621" s="357"/>
    </row>
    <row r="622" ht="15.75" customHeight="1">
      <c r="A622" s="466" t="s">
        <v>8160</v>
      </c>
      <c r="B622" s="466">
        <v>2024.0</v>
      </c>
      <c r="C622" s="466">
        <v>1.0</v>
      </c>
      <c r="D622" s="466">
        <v>45316.0</v>
      </c>
      <c r="E622" s="466" t="s">
        <v>8161</v>
      </c>
      <c r="F622" s="466" t="s">
        <v>2548</v>
      </c>
      <c r="G622" s="466" t="s">
        <v>7395</v>
      </c>
      <c r="H622" s="466"/>
      <c r="I622" s="466">
        <v>1.0</v>
      </c>
      <c r="J622" s="503"/>
      <c r="K622" s="466" t="s">
        <v>8165</v>
      </c>
      <c r="L622" s="466">
        <v>65.0</v>
      </c>
      <c r="M622" s="466"/>
      <c r="N622" s="466"/>
      <c r="O622" s="466"/>
      <c r="P622" s="357"/>
      <c r="Q622" s="357"/>
      <c r="R622" s="357"/>
      <c r="S622" s="357"/>
      <c r="T622" s="357"/>
      <c r="U622" s="357"/>
      <c r="V622" s="357"/>
      <c r="W622" s="357"/>
      <c r="X622" s="357"/>
      <c r="Y622" s="357"/>
      <c r="Z622" s="357"/>
    </row>
    <row r="623" ht="15.75" customHeight="1">
      <c r="A623" s="466" t="s">
        <v>8160</v>
      </c>
      <c r="B623" s="466">
        <v>2024.0</v>
      </c>
      <c r="C623" s="466">
        <v>1.0</v>
      </c>
      <c r="D623" s="466">
        <v>45320.0</v>
      </c>
      <c r="E623" s="466" t="s">
        <v>8166</v>
      </c>
      <c r="F623" s="466"/>
      <c r="G623" s="466" t="s">
        <v>7395</v>
      </c>
      <c r="H623" s="466"/>
      <c r="I623" s="466">
        <v>1.0</v>
      </c>
      <c r="J623" s="503"/>
      <c r="K623" s="466" t="s">
        <v>2511</v>
      </c>
      <c r="L623" s="466">
        <v>50.0</v>
      </c>
      <c r="M623" s="466"/>
      <c r="N623" s="466"/>
      <c r="O623" s="466"/>
      <c r="P623" s="357"/>
      <c r="Q623" s="357"/>
      <c r="R623" s="357"/>
      <c r="S623" s="357"/>
      <c r="T623" s="357"/>
      <c r="U623" s="357"/>
      <c r="V623" s="357"/>
      <c r="W623" s="357"/>
      <c r="X623" s="357"/>
      <c r="Y623" s="357"/>
      <c r="Z623" s="357"/>
    </row>
    <row r="624" ht="15.75" customHeight="1">
      <c r="A624" s="466" t="s">
        <v>8160</v>
      </c>
      <c r="B624" s="466">
        <v>2024.0</v>
      </c>
      <c r="C624" s="466">
        <v>2.0</v>
      </c>
      <c r="D624" s="466">
        <v>45328.0</v>
      </c>
      <c r="E624" s="466" t="s">
        <v>7760</v>
      </c>
      <c r="F624" s="466" t="s">
        <v>8167</v>
      </c>
      <c r="G624" s="466" t="s">
        <v>6613</v>
      </c>
      <c r="H624" s="466"/>
      <c r="I624" s="466">
        <v>1.0</v>
      </c>
      <c r="J624" s="503"/>
      <c r="K624" s="466" t="s">
        <v>8168</v>
      </c>
      <c r="L624" s="466">
        <v>70.0</v>
      </c>
      <c r="M624" s="466"/>
      <c r="N624" s="466"/>
      <c r="O624" s="466"/>
      <c r="P624" s="357"/>
      <c r="Q624" s="357"/>
      <c r="R624" s="357"/>
      <c r="S624" s="357"/>
      <c r="T624" s="357"/>
      <c r="U624" s="357"/>
      <c r="V624" s="357"/>
      <c r="W624" s="357"/>
      <c r="X624" s="357"/>
      <c r="Y624" s="357"/>
      <c r="Z624" s="357"/>
    </row>
    <row r="625" ht="15.75" customHeight="1">
      <c r="A625" s="466" t="s">
        <v>8160</v>
      </c>
      <c r="B625" s="466">
        <v>2024.0</v>
      </c>
      <c r="C625" s="466">
        <v>2.0</v>
      </c>
      <c r="D625" s="466">
        <v>45328.0</v>
      </c>
      <c r="E625" s="466" t="s">
        <v>8169</v>
      </c>
      <c r="F625" s="466" t="s">
        <v>8170</v>
      </c>
      <c r="G625" s="466" t="s">
        <v>7395</v>
      </c>
      <c r="H625" s="466"/>
      <c r="I625" s="466">
        <v>5.0</v>
      </c>
      <c r="J625" s="503"/>
      <c r="K625" s="466" t="s">
        <v>8168</v>
      </c>
      <c r="L625" s="466">
        <v>300.0</v>
      </c>
      <c r="M625" s="466"/>
      <c r="N625" s="466"/>
      <c r="O625" s="466"/>
      <c r="P625" s="357"/>
      <c r="Q625" s="357"/>
      <c r="R625" s="357"/>
      <c r="S625" s="357"/>
      <c r="T625" s="357"/>
      <c r="U625" s="357"/>
      <c r="V625" s="357"/>
      <c r="W625" s="357"/>
      <c r="X625" s="357"/>
      <c r="Y625" s="357"/>
      <c r="Z625" s="357"/>
    </row>
    <row r="626" ht="15.75" customHeight="1">
      <c r="A626" s="466" t="s">
        <v>8160</v>
      </c>
      <c r="B626" s="466">
        <v>2024.0</v>
      </c>
      <c r="C626" s="466">
        <v>2.0</v>
      </c>
      <c r="D626" s="466"/>
      <c r="E626" s="466" t="s">
        <v>2823</v>
      </c>
      <c r="F626" s="466" t="s">
        <v>8171</v>
      </c>
      <c r="G626" s="466" t="s">
        <v>6613</v>
      </c>
      <c r="H626" s="466"/>
      <c r="I626" s="466">
        <v>1.0</v>
      </c>
      <c r="J626" s="503"/>
      <c r="K626" s="466" t="s">
        <v>8168</v>
      </c>
      <c r="L626" s="466">
        <v>55.0</v>
      </c>
      <c r="M626" s="466"/>
      <c r="N626" s="466"/>
      <c r="O626" s="466"/>
      <c r="P626" s="357"/>
      <c r="Q626" s="357"/>
      <c r="R626" s="357"/>
      <c r="S626" s="357"/>
      <c r="T626" s="357"/>
      <c r="U626" s="357"/>
      <c r="V626" s="357"/>
      <c r="W626" s="357"/>
      <c r="X626" s="357"/>
      <c r="Y626" s="357"/>
      <c r="Z626" s="357"/>
    </row>
    <row r="627" ht="15.75" customHeight="1">
      <c r="A627" s="466" t="s">
        <v>8160</v>
      </c>
      <c r="B627" s="466">
        <v>2024.0</v>
      </c>
      <c r="C627" s="466">
        <v>2.0</v>
      </c>
      <c r="D627" s="466"/>
      <c r="E627" s="466" t="s">
        <v>8172</v>
      </c>
      <c r="F627" s="466"/>
      <c r="G627" s="466" t="s">
        <v>7395</v>
      </c>
      <c r="H627" s="466"/>
      <c r="I627" s="466">
        <v>1.0</v>
      </c>
      <c r="J627" s="503"/>
      <c r="K627" s="466" t="s">
        <v>8168</v>
      </c>
      <c r="L627" s="466">
        <v>60.0</v>
      </c>
      <c r="M627" s="466"/>
      <c r="N627" s="466"/>
      <c r="O627" s="466"/>
      <c r="P627" s="357"/>
      <c r="Q627" s="357"/>
      <c r="R627" s="357"/>
      <c r="S627" s="357"/>
      <c r="T627" s="357"/>
      <c r="U627" s="357"/>
      <c r="V627" s="357"/>
      <c r="W627" s="357"/>
      <c r="X627" s="357"/>
      <c r="Y627" s="357"/>
      <c r="Z627" s="357"/>
    </row>
    <row r="628" ht="15.75" customHeight="1">
      <c r="A628" s="466" t="s">
        <v>8160</v>
      </c>
      <c r="B628" s="466">
        <v>2024.0</v>
      </c>
      <c r="C628" s="466">
        <v>3.0</v>
      </c>
      <c r="D628" s="466"/>
      <c r="E628" s="466" t="s">
        <v>2635</v>
      </c>
      <c r="F628" s="466" t="s">
        <v>7797</v>
      </c>
      <c r="G628" s="466" t="s">
        <v>7075</v>
      </c>
      <c r="H628" s="466"/>
      <c r="I628" s="466">
        <v>1.0</v>
      </c>
      <c r="J628" s="503"/>
      <c r="K628" s="466"/>
      <c r="L628" s="466">
        <v>100.0</v>
      </c>
      <c r="M628" s="466"/>
      <c r="N628" s="466"/>
      <c r="O628" s="466"/>
      <c r="P628" s="357"/>
      <c r="Q628" s="357"/>
      <c r="R628" s="357"/>
      <c r="S628" s="357"/>
      <c r="T628" s="357"/>
      <c r="U628" s="357"/>
      <c r="V628" s="357"/>
      <c r="W628" s="357"/>
      <c r="X628" s="357"/>
      <c r="Y628" s="357"/>
      <c r="Z628" s="357"/>
    </row>
    <row r="629" ht="15.75" customHeight="1">
      <c r="A629" s="466" t="s">
        <v>8160</v>
      </c>
      <c r="B629" s="466">
        <v>2024.0</v>
      </c>
      <c r="C629" s="466">
        <v>3.0</v>
      </c>
      <c r="D629" s="466"/>
      <c r="E629" s="466" t="s">
        <v>7507</v>
      </c>
      <c r="F629" s="466" t="s">
        <v>7797</v>
      </c>
      <c r="G629" s="466" t="s">
        <v>7075</v>
      </c>
      <c r="H629" s="466"/>
      <c r="I629" s="466">
        <v>1.0</v>
      </c>
      <c r="J629" s="503"/>
      <c r="K629" s="466"/>
      <c r="L629" s="466">
        <v>90.0</v>
      </c>
      <c r="M629" s="466"/>
      <c r="N629" s="466"/>
      <c r="O629" s="466"/>
      <c r="P629" s="357"/>
      <c r="Q629" s="357"/>
      <c r="R629" s="357"/>
      <c r="S629" s="357"/>
      <c r="T629" s="357"/>
      <c r="U629" s="357"/>
      <c r="V629" s="357"/>
      <c r="W629" s="357"/>
      <c r="X629" s="357"/>
      <c r="Y629" s="357"/>
      <c r="Z629" s="357"/>
    </row>
    <row r="630" ht="15.75" customHeight="1">
      <c r="A630" s="466" t="s">
        <v>8160</v>
      </c>
      <c r="B630" s="466">
        <v>2024.0</v>
      </c>
      <c r="C630" s="466">
        <v>3.0</v>
      </c>
      <c r="D630" s="466">
        <v>45364.0</v>
      </c>
      <c r="E630" s="466" t="s">
        <v>2553</v>
      </c>
      <c r="F630" s="466" t="s">
        <v>8173</v>
      </c>
      <c r="G630" s="466" t="s">
        <v>7075</v>
      </c>
      <c r="H630" s="466"/>
      <c r="I630" s="466">
        <v>1.0</v>
      </c>
      <c r="J630" s="503"/>
      <c r="K630" s="466"/>
      <c r="L630" s="466">
        <v>105.0</v>
      </c>
      <c r="M630" s="466"/>
      <c r="N630" s="466"/>
      <c r="O630" s="466"/>
      <c r="P630" s="357"/>
      <c r="Q630" s="357"/>
      <c r="R630" s="357"/>
      <c r="S630" s="357"/>
      <c r="T630" s="357"/>
      <c r="U630" s="357"/>
      <c r="V630" s="357"/>
      <c r="W630" s="357"/>
      <c r="X630" s="357"/>
      <c r="Y630" s="357"/>
      <c r="Z630" s="357"/>
    </row>
    <row r="631" ht="15.75" customHeight="1">
      <c r="A631" s="466" t="s">
        <v>8160</v>
      </c>
      <c r="B631" s="466">
        <v>2024.0</v>
      </c>
      <c r="C631" s="466">
        <v>3.0</v>
      </c>
      <c r="D631" s="466">
        <v>45364.0</v>
      </c>
      <c r="E631" s="466" t="s">
        <v>7571</v>
      </c>
      <c r="F631" s="466" t="s">
        <v>8174</v>
      </c>
      <c r="G631" s="466" t="s">
        <v>6613</v>
      </c>
      <c r="H631" s="466"/>
      <c r="I631" s="466">
        <v>1.0</v>
      </c>
      <c r="J631" s="503"/>
      <c r="K631" s="466"/>
      <c r="L631" s="466">
        <v>70.0</v>
      </c>
      <c r="M631" s="466"/>
      <c r="N631" s="466"/>
      <c r="O631" s="466"/>
      <c r="P631" s="357"/>
      <c r="Q631" s="357"/>
      <c r="R631" s="357"/>
      <c r="S631" s="357"/>
      <c r="T631" s="357"/>
      <c r="U631" s="357"/>
      <c r="V631" s="357"/>
      <c r="W631" s="357"/>
      <c r="X631" s="357"/>
      <c r="Y631" s="357"/>
      <c r="Z631" s="357"/>
    </row>
    <row r="632" ht="15.75" customHeight="1">
      <c r="A632" s="466" t="s">
        <v>8160</v>
      </c>
      <c r="B632" s="466">
        <v>2024.0</v>
      </c>
      <c r="C632" s="466">
        <v>3.0</v>
      </c>
      <c r="D632" s="466">
        <v>45366.0</v>
      </c>
      <c r="E632" s="466" t="s">
        <v>2561</v>
      </c>
      <c r="F632" s="466" t="s">
        <v>2562</v>
      </c>
      <c r="G632" s="466" t="s">
        <v>7075</v>
      </c>
      <c r="H632" s="466"/>
      <c r="I632" s="466">
        <v>1.0</v>
      </c>
      <c r="J632" s="503"/>
      <c r="K632" s="466"/>
      <c r="L632" s="466">
        <v>105.0</v>
      </c>
      <c r="M632" s="466"/>
      <c r="N632" s="466"/>
      <c r="O632" s="466"/>
      <c r="P632" s="357"/>
      <c r="Q632" s="357"/>
      <c r="R632" s="357"/>
      <c r="S632" s="357"/>
      <c r="T632" s="357"/>
      <c r="U632" s="357"/>
      <c r="V632" s="357"/>
      <c r="W632" s="357"/>
      <c r="X632" s="357"/>
      <c r="Y632" s="357"/>
      <c r="Z632" s="357"/>
    </row>
    <row r="633" ht="15.75" customHeight="1">
      <c r="A633" s="466" t="s">
        <v>8160</v>
      </c>
      <c r="B633" s="466">
        <v>2024.0</v>
      </c>
      <c r="C633" s="466">
        <v>3.0</v>
      </c>
      <c r="D633" s="466"/>
      <c r="E633" s="466" t="s">
        <v>8175</v>
      </c>
      <c r="F633" s="466" t="s">
        <v>2551</v>
      </c>
      <c r="G633" s="466" t="s">
        <v>7075</v>
      </c>
      <c r="H633" s="466"/>
      <c r="I633" s="466">
        <v>1.0</v>
      </c>
      <c r="J633" s="503"/>
      <c r="K633" s="466"/>
      <c r="L633" s="466">
        <v>100.0</v>
      </c>
      <c r="M633" s="466"/>
      <c r="N633" s="466"/>
      <c r="O633" s="466"/>
      <c r="P633" s="357"/>
      <c r="Q633" s="357"/>
      <c r="R633" s="357"/>
      <c r="S633" s="357"/>
      <c r="T633" s="357"/>
      <c r="U633" s="357"/>
      <c r="V633" s="357"/>
      <c r="W633" s="357"/>
      <c r="X633" s="357"/>
      <c r="Y633" s="357"/>
      <c r="Z633" s="357"/>
    </row>
    <row r="634" ht="15.75" customHeight="1">
      <c r="A634" s="466" t="s">
        <v>8160</v>
      </c>
      <c r="B634" s="466">
        <v>2024.0</v>
      </c>
      <c r="C634" s="466">
        <v>3.0</v>
      </c>
      <c r="D634" s="466"/>
      <c r="E634" s="466" t="s">
        <v>8176</v>
      </c>
      <c r="F634" s="466"/>
      <c r="G634" s="466" t="s">
        <v>7395</v>
      </c>
      <c r="H634" s="466"/>
      <c r="I634" s="466">
        <v>1.0</v>
      </c>
      <c r="J634" s="503"/>
      <c r="K634" s="466"/>
      <c r="L634" s="466">
        <v>50.0</v>
      </c>
      <c r="M634" s="466"/>
      <c r="N634" s="466"/>
      <c r="O634" s="466"/>
      <c r="P634" s="357"/>
      <c r="Q634" s="357"/>
      <c r="R634" s="357"/>
      <c r="S634" s="357"/>
      <c r="T634" s="357"/>
      <c r="U634" s="357"/>
      <c r="V634" s="357"/>
      <c r="W634" s="357"/>
      <c r="X634" s="357"/>
      <c r="Y634" s="357"/>
      <c r="Z634" s="357"/>
    </row>
    <row r="635" ht="15.75" customHeight="1">
      <c r="A635" s="466" t="s">
        <v>8160</v>
      </c>
      <c r="B635" s="466">
        <v>2024.0</v>
      </c>
      <c r="C635" s="466">
        <v>3.0</v>
      </c>
      <c r="D635" s="466">
        <v>45372.0</v>
      </c>
      <c r="E635" s="466" t="s">
        <v>2685</v>
      </c>
      <c r="F635" s="466"/>
      <c r="G635" s="466" t="s">
        <v>7395</v>
      </c>
      <c r="H635" s="466"/>
      <c r="I635" s="466">
        <v>1.0</v>
      </c>
      <c r="J635" s="503"/>
      <c r="K635" s="466"/>
      <c r="L635" s="466">
        <v>50.0</v>
      </c>
      <c r="M635" s="466"/>
      <c r="N635" s="466"/>
      <c r="O635" s="466"/>
      <c r="P635" s="357"/>
      <c r="Q635" s="357"/>
      <c r="R635" s="357"/>
      <c r="S635" s="357"/>
      <c r="T635" s="357"/>
      <c r="U635" s="357"/>
      <c r="V635" s="357"/>
      <c r="W635" s="357"/>
      <c r="X635" s="357"/>
      <c r="Y635" s="357"/>
      <c r="Z635" s="357"/>
    </row>
    <row r="636" ht="15.75" customHeight="1">
      <c r="A636" s="466" t="s">
        <v>8160</v>
      </c>
      <c r="B636" s="466">
        <v>2024.0</v>
      </c>
      <c r="C636" s="466">
        <v>3.0</v>
      </c>
      <c r="D636" s="466">
        <v>45372.0</v>
      </c>
      <c r="E636" s="466" t="s">
        <v>2685</v>
      </c>
      <c r="F636" s="466"/>
      <c r="G636" s="466" t="s">
        <v>7395</v>
      </c>
      <c r="H636" s="466"/>
      <c r="I636" s="466">
        <v>1.0</v>
      </c>
      <c r="J636" s="503"/>
      <c r="K636" s="466"/>
      <c r="L636" s="466">
        <v>50.0</v>
      </c>
      <c r="M636" s="466"/>
      <c r="N636" s="466"/>
      <c r="O636" s="466"/>
      <c r="P636" s="357"/>
      <c r="Q636" s="357"/>
      <c r="R636" s="357"/>
      <c r="S636" s="357"/>
      <c r="T636" s="357"/>
      <c r="U636" s="357"/>
      <c r="V636" s="357"/>
      <c r="W636" s="357"/>
      <c r="X636" s="357"/>
      <c r="Y636" s="357"/>
      <c r="Z636" s="357"/>
    </row>
    <row r="637" ht="15.75" customHeight="1">
      <c r="A637" s="466" t="s">
        <v>8160</v>
      </c>
      <c r="B637" s="466">
        <v>2024.0</v>
      </c>
      <c r="C637" s="466">
        <v>3.0</v>
      </c>
      <c r="D637" s="466">
        <v>45372.0</v>
      </c>
      <c r="E637" s="466" t="s">
        <v>2685</v>
      </c>
      <c r="F637" s="466"/>
      <c r="G637" s="466" t="s">
        <v>7075</v>
      </c>
      <c r="H637" s="466"/>
      <c r="I637" s="466">
        <v>1.0</v>
      </c>
      <c r="J637" s="503"/>
      <c r="K637" s="466"/>
      <c r="L637" s="466">
        <v>109.0</v>
      </c>
      <c r="M637" s="466"/>
      <c r="N637" s="466"/>
      <c r="O637" s="466"/>
      <c r="P637" s="357"/>
      <c r="Q637" s="357"/>
      <c r="R637" s="357"/>
      <c r="S637" s="357"/>
      <c r="T637" s="357"/>
      <c r="U637" s="357"/>
      <c r="V637" s="357"/>
      <c r="W637" s="357"/>
      <c r="X637" s="357"/>
      <c r="Y637" s="357"/>
      <c r="Z637" s="357"/>
    </row>
    <row r="638" ht="15.75" customHeight="1">
      <c r="A638" s="466" t="s">
        <v>8160</v>
      </c>
      <c r="B638" s="466">
        <v>2024.0</v>
      </c>
      <c r="C638" s="466">
        <v>3.0</v>
      </c>
      <c r="D638" s="466"/>
      <c r="E638" s="466" t="s">
        <v>8177</v>
      </c>
      <c r="F638" s="466" t="s">
        <v>8178</v>
      </c>
      <c r="G638" s="466" t="s">
        <v>7075</v>
      </c>
      <c r="H638" s="466"/>
      <c r="I638" s="466">
        <v>1.0</v>
      </c>
      <c r="J638" s="503"/>
      <c r="K638" s="466"/>
      <c r="L638" s="466">
        <v>90.0</v>
      </c>
      <c r="M638" s="466"/>
      <c r="N638" s="466"/>
      <c r="O638" s="466"/>
      <c r="P638" s="357"/>
      <c r="Q638" s="357"/>
      <c r="R638" s="357"/>
      <c r="S638" s="357"/>
      <c r="T638" s="357"/>
      <c r="U638" s="357"/>
      <c r="V638" s="357"/>
      <c r="W638" s="357"/>
      <c r="X638" s="357"/>
      <c r="Y638" s="357"/>
      <c r="Z638" s="357"/>
    </row>
    <row r="639" ht="15.75" customHeight="1">
      <c r="A639" s="466" t="s">
        <v>8160</v>
      </c>
      <c r="B639" s="466">
        <v>2024.0</v>
      </c>
      <c r="C639" s="466">
        <v>4.0</v>
      </c>
      <c r="D639" s="466">
        <v>45386.0</v>
      </c>
      <c r="E639" s="466" t="s">
        <v>7396</v>
      </c>
      <c r="F639" s="466" t="s">
        <v>8179</v>
      </c>
      <c r="G639" s="466" t="s">
        <v>6613</v>
      </c>
      <c r="H639" s="466"/>
      <c r="I639" s="466">
        <v>1.0</v>
      </c>
      <c r="J639" s="503"/>
      <c r="K639" s="466"/>
      <c r="L639" s="466">
        <v>65.0</v>
      </c>
      <c r="M639" s="466"/>
      <c r="N639" s="466"/>
      <c r="O639" s="466"/>
      <c r="P639" s="357"/>
      <c r="Q639" s="357"/>
      <c r="R639" s="357"/>
      <c r="S639" s="357"/>
      <c r="T639" s="357"/>
      <c r="U639" s="357"/>
      <c r="V639" s="357"/>
      <c r="W639" s="357"/>
      <c r="X639" s="357"/>
      <c r="Y639" s="357"/>
      <c r="Z639" s="357"/>
    </row>
    <row r="640" ht="15.75" customHeight="1">
      <c r="A640" s="466" t="s">
        <v>8160</v>
      </c>
      <c r="B640" s="466">
        <v>2024.0</v>
      </c>
      <c r="C640" s="466">
        <v>4.0</v>
      </c>
      <c r="D640" s="466">
        <v>45389.0</v>
      </c>
      <c r="E640" s="466" t="s">
        <v>8161</v>
      </c>
      <c r="F640" s="466" t="s">
        <v>2548</v>
      </c>
      <c r="G640" s="466" t="s">
        <v>7100</v>
      </c>
      <c r="H640" s="466" t="s">
        <v>248</v>
      </c>
      <c r="I640" s="466">
        <v>1.0</v>
      </c>
      <c r="J640" s="503"/>
      <c r="K640" s="466" t="s">
        <v>2511</v>
      </c>
      <c r="L640" s="466">
        <v>170.0</v>
      </c>
      <c r="M640" s="466"/>
      <c r="N640" s="466"/>
      <c r="O640" s="466"/>
      <c r="P640" s="357"/>
      <c r="Q640" s="357"/>
      <c r="R640" s="357"/>
      <c r="S640" s="357"/>
      <c r="T640" s="357"/>
      <c r="U640" s="357"/>
      <c r="V640" s="357"/>
      <c r="W640" s="357"/>
      <c r="X640" s="357"/>
      <c r="Y640" s="357"/>
      <c r="Z640" s="357"/>
    </row>
    <row r="641" ht="15.75" customHeight="1">
      <c r="A641" s="466" t="s">
        <v>8160</v>
      </c>
      <c r="B641" s="466">
        <v>2024.0</v>
      </c>
      <c r="C641" s="466">
        <v>4.0</v>
      </c>
      <c r="D641" s="466">
        <v>45396.0</v>
      </c>
      <c r="E641" s="466" t="s">
        <v>2572</v>
      </c>
      <c r="F641" s="466" t="s">
        <v>8180</v>
      </c>
      <c r="G641" s="466" t="s">
        <v>7075</v>
      </c>
      <c r="H641" s="466"/>
      <c r="I641" s="466">
        <v>1.0</v>
      </c>
      <c r="J641" s="503"/>
      <c r="K641" s="466"/>
      <c r="L641" s="466">
        <v>100.0</v>
      </c>
      <c r="M641" s="466"/>
      <c r="N641" s="466"/>
      <c r="O641" s="466"/>
      <c r="P641" s="357"/>
      <c r="Q641" s="357"/>
      <c r="R641" s="357"/>
      <c r="S641" s="357"/>
      <c r="T641" s="357"/>
      <c r="U641" s="357"/>
      <c r="V641" s="357"/>
      <c r="W641" s="357"/>
      <c r="X641" s="357"/>
      <c r="Y641" s="357"/>
      <c r="Z641" s="357"/>
    </row>
    <row r="642" ht="15.75" customHeight="1">
      <c r="A642" s="466" t="s">
        <v>8160</v>
      </c>
      <c r="B642" s="466">
        <v>2024.0</v>
      </c>
      <c r="C642" s="466">
        <v>4.0</v>
      </c>
      <c r="D642" s="466">
        <v>45394.0</v>
      </c>
      <c r="E642" s="466" t="s">
        <v>2600</v>
      </c>
      <c r="F642" s="466" t="s">
        <v>8181</v>
      </c>
      <c r="G642" s="466" t="s">
        <v>7075</v>
      </c>
      <c r="H642" s="466" t="s">
        <v>8182</v>
      </c>
      <c r="I642" s="466">
        <v>1.0</v>
      </c>
      <c r="J642" s="503"/>
      <c r="K642" s="466" t="s">
        <v>7393</v>
      </c>
      <c r="L642" s="466">
        <v>90.0</v>
      </c>
      <c r="M642" s="466"/>
      <c r="N642" s="466"/>
      <c r="O642" s="466"/>
      <c r="P642" s="357"/>
      <c r="Q642" s="357"/>
      <c r="R642" s="357"/>
      <c r="S642" s="357"/>
      <c r="T642" s="357"/>
      <c r="U642" s="357"/>
      <c r="V642" s="357"/>
      <c r="W642" s="357"/>
      <c r="X642" s="357"/>
      <c r="Y642" s="357"/>
      <c r="Z642" s="357"/>
    </row>
    <row r="643" ht="15.75" customHeight="1">
      <c r="A643" s="466" t="s">
        <v>8160</v>
      </c>
      <c r="B643" s="466">
        <v>2024.0</v>
      </c>
      <c r="C643" s="466">
        <v>4.0</v>
      </c>
      <c r="D643" s="466">
        <v>45394.0</v>
      </c>
      <c r="E643" s="466" t="s">
        <v>2566</v>
      </c>
      <c r="F643" s="466" t="s">
        <v>7623</v>
      </c>
      <c r="G643" s="466" t="s">
        <v>7106</v>
      </c>
      <c r="H643" s="466" t="s">
        <v>7749</v>
      </c>
      <c r="I643" s="466">
        <v>1.0</v>
      </c>
      <c r="J643" s="503"/>
      <c r="K643" s="466" t="s">
        <v>7393</v>
      </c>
      <c r="L643" s="466">
        <v>80.0</v>
      </c>
      <c r="M643" s="466"/>
      <c r="N643" s="466"/>
      <c r="O643" s="466"/>
      <c r="P643" s="357"/>
      <c r="Q643" s="357"/>
      <c r="R643" s="357"/>
      <c r="S643" s="357"/>
      <c r="T643" s="357"/>
      <c r="U643" s="357"/>
      <c r="V643" s="357"/>
      <c r="W643" s="357"/>
      <c r="X643" s="357"/>
      <c r="Y643" s="357"/>
      <c r="Z643" s="357"/>
    </row>
    <row r="644" ht="15.75" customHeight="1">
      <c r="A644" s="466" t="s">
        <v>8160</v>
      </c>
      <c r="B644" s="466">
        <v>2024.0</v>
      </c>
      <c r="C644" s="466">
        <v>4.0</v>
      </c>
      <c r="D644" s="466">
        <v>45395.0</v>
      </c>
      <c r="E644" s="466" t="s">
        <v>2597</v>
      </c>
      <c r="F644" s="466" t="s">
        <v>8183</v>
      </c>
      <c r="G644" s="466" t="s">
        <v>7059</v>
      </c>
      <c r="H644" s="466"/>
      <c r="I644" s="466">
        <v>1.0</v>
      </c>
      <c r="J644" s="503"/>
      <c r="K644" s="466" t="s">
        <v>2511</v>
      </c>
      <c r="L644" s="466">
        <v>40.0</v>
      </c>
      <c r="M644" s="466"/>
      <c r="N644" s="466"/>
      <c r="O644" s="466"/>
      <c r="P644" s="357"/>
      <c r="Q644" s="357"/>
      <c r="R644" s="357"/>
      <c r="S644" s="357"/>
      <c r="T644" s="357"/>
      <c r="U644" s="357"/>
      <c r="V644" s="357"/>
      <c r="W644" s="357"/>
      <c r="X644" s="357"/>
      <c r="Y644" s="357"/>
      <c r="Z644" s="357"/>
    </row>
    <row r="645" ht="15.75" customHeight="1">
      <c r="A645" s="466" t="s">
        <v>8160</v>
      </c>
      <c r="B645" s="466">
        <v>2024.0</v>
      </c>
      <c r="C645" s="466">
        <v>4.0</v>
      </c>
      <c r="D645" s="466">
        <v>45395.0</v>
      </c>
      <c r="E645" s="466" t="s">
        <v>2647</v>
      </c>
      <c r="F645" s="466"/>
      <c r="G645" s="466" t="s">
        <v>7059</v>
      </c>
      <c r="H645" s="466"/>
      <c r="I645" s="466">
        <v>1.0</v>
      </c>
      <c r="J645" s="503"/>
      <c r="K645" s="466" t="s">
        <v>7393</v>
      </c>
      <c r="L645" s="466">
        <v>40.0</v>
      </c>
      <c r="M645" s="466"/>
      <c r="N645" s="466"/>
      <c r="O645" s="466"/>
      <c r="P645" s="357"/>
      <c r="Q645" s="357"/>
      <c r="R645" s="357"/>
      <c r="S645" s="357"/>
      <c r="T645" s="357"/>
      <c r="U645" s="357"/>
      <c r="V645" s="357"/>
      <c r="W645" s="357"/>
      <c r="X645" s="357"/>
      <c r="Y645" s="357"/>
      <c r="Z645" s="357"/>
    </row>
    <row r="646" ht="15.75" customHeight="1">
      <c r="A646" s="466" t="s">
        <v>8160</v>
      </c>
      <c r="B646" s="466">
        <v>2024.0</v>
      </c>
      <c r="C646" s="466">
        <v>4.0</v>
      </c>
      <c r="D646" s="466">
        <v>45395.0</v>
      </c>
      <c r="E646" s="466" t="s">
        <v>8166</v>
      </c>
      <c r="F646" s="466"/>
      <c r="G646" s="466" t="s">
        <v>7106</v>
      </c>
      <c r="H646" s="466" t="s">
        <v>7749</v>
      </c>
      <c r="I646" s="466">
        <v>1.0</v>
      </c>
      <c r="J646" s="503"/>
      <c r="K646" s="466" t="s">
        <v>2511</v>
      </c>
      <c r="L646" s="466">
        <v>80.0</v>
      </c>
      <c r="M646" s="466"/>
      <c r="N646" s="466"/>
      <c r="O646" s="466"/>
      <c r="P646" s="357"/>
      <c r="Q646" s="357"/>
      <c r="R646" s="357"/>
      <c r="S646" s="357"/>
      <c r="T646" s="357"/>
      <c r="U646" s="357"/>
      <c r="V646" s="357"/>
      <c r="W646" s="357"/>
      <c r="X646" s="357"/>
      <c r="Y646" s="357"/>
      <c r="Z646" s="357"/>
    </row>
    <row r="647" ht="15.75" customHeight="1">
      <c r="A647" s="466" t="s">
        <v>8160</v>
      </c>
      <c r="B647" s="466">
        <v>2024.0</v>
      </c>
      <c r="C647" s="466">
        <v>4.0</v>
      </c>
      <c r="D647" s="466">
        <v>45395.0</v>
      </c>
      <c r="E647" s="466" t="s">
        <v>8184</v>
      </c>
      <c r="F647" s="466" t="s">
        <v>8185</v>
      </c>
      <c r="G647" s="466" t="s">
        <v>7395</v>
      </c>
      <c r="H647" s="466" t="s">
        <v>8186</v>
      </c>
      <c r="I647" s="466">
        <v>1.0</v>
      </c>
      <c r="J647" s="503"/>
      <c r="K647" s="466" t="s">
        <v>7393</v>
      </c>
      <c r="L647" s="466">
        <v>50.0</v>
      </c>
      <c r="M647" s="466"/>
      <c r="N647" s="466"/>
      <c r="O647" s="466"/>
      <c r="P647" s="357"/>
      <c r="Q647" s="357"/>
      <c r="R647" s="357"/>
      <c r="S647" s="357"/>
      <c r="T647" s="357"/>
      <c r="U647" s="357"/>
      <c r="V647" s="357"/>
      <c r="W647" s="357"/>
      <c r="X647" s="357"/>
      <c r="Y647" s="357"/>
      <c r="Z647" s="357"/>
    </row>
    <row r="648" ht="15.75" customHeight="1">
      <c r="A648" s="466" t="s">
        <v>8160</v>
      </c>
      <c r="B648" s="466">
        <v>2024.0</v>
      </c>
      <c r="C648" s="466">
        <v>4.0</v>
      </c>
      <c r="D648" s="466">
        <v>45396.0</v>
      </c>
      <c r="E648" s="466" t="s">
        <v>8187</v>
      </c>
      <c r="F648" s="466" t="s">
        <v>8188</v>
      </c>
      <c r="G648" s="466" t="s">
        <v>7395</v>
      </c>
      <c r="H648" s="466" t="s">
        <v>8186</v>
      </c>
      <c r="I648" s="466">
        <v>1.0</v>
      </c>
      <c r="J648" s="503"/>
      <c r="K648" s="466" t="s">
        <v>7393</v>
      </c>
      <c r="L648" s="466">
        <v>40.0</v>
      </c>
      <c r="M648" s="466"/>
      <c r="N648" s="466"/>
      <c r="O648" s="466"/>
      <c r="P648" s="357"/>
      <c r="Q648" s="357"/>
      <c r="R648" s="357"/>
      <c r="S648" s="357"/>
      <c r="T648" s="357"/>
      <c r="U648" s="357"/>
      <c r="V648" s="357"/>
      <c r="W648" s="357"/>
      <c r="X648" s="357"/>
      <c r="Y648" s="357"/>
      <c r="Z648" s="357"/>
    </row>
    <row r="649" ht="15.75" customHeight="1">
      <c r="A649" s="466" t="s">
        <v>8160</v>
      </c>
      <c r="B649" s="466">
        <v>2024.0</v>
      </c>
      <c r="C649" s="466">
        <v>4.0</v>
      </c>
      <c r="D649" s="466">
        <v>45396.0</v>
      </c>
      <c r="E649" s="466" t="s">
        <v>2665</v>
      </c>
      <c r="F649" s="466" t="s">
        <v>7656</v>
      </c>
      <c r="G649" s="466" t="s">
        <v>7395</v>
      </c>
      <c r="H649" s="466"/>
      <c r="I649" s="466">
        <v>1.0</v>
      </c>
      <c r="J649" s="503"/>
      <c r="K649" s="466" t="s">
        <v>7393</v>
      </c>
      <c r="L649" s="466">
        <v>50.0</v>
      </c>
      <c r="M649" s="466"/>
      <c r="N649" s="466"/>
      <c r="O649" s="466"/>
      <c r="P649" s="357"/>
      <c r="Q649" s="357"/>
      <c r="R649" s="357"/>
      <c r="S649" s="357"/>
      <c r="T649" s="357"/>
      <c r="U649" s="357"/>
      <c r="V649" s="357"/>
      <c r="W649" s="357"/>
      <c r="X649" s="357"/>
      <c r="Y649" s="357"/>
      <c r="Z649" s="357"/>
    </row>
    <row r="650" ht="15.75" customHeight="1">
      <c r="A650" s="466" t="s">
        <v>8160</v>
      </c>
      <c r="B650" s="466">
        <v>2024.0</v>
      </c>
      <c r="C650" s="466">
        <v>4.0</v>
      </c>
      <c r="D650" s="466">
        <v>45396.0</v>
      </c>
      <c r="E650" s="466" t="s">
        <v>2561</v>
      </c>
      <c r="F650" s="466" t="s">
        <v>8189</v>
      </c>
      <c r="G650" s="466" t="s">
        <v>7395</v>
      </c>
      <c r="H650" s="466"/>
      <c r="I650" s="466">
        <v>1.0</v>
      </c>
      <c r="J650" s="503"/>
      <c r="K650" s="466" t="s">
        <v>7393</v>
      </c>
      <c r="L650" s="466">
        <v>50.0</v>
      </c>
      <c r="M650" s="466"/>
      <c r="N650" s="466"/>
      <c r="O650" s="466"/>
      <c r="P650" s="357"/>
      <c r="Q650" s="357"/>
      <c r="R650" s="357"/>
      <c r="S650" s="357"/>
      <c r="T650" s="357"/>
      <c r="U650" s="357"/>
      <c r="V650" s="357"/>
      <c r="W650" s="357"/>
      <c r="X650" s="357"/>
      <c r="Y650" s="357"/>
      <c r="Z650" s="357"/>
    </row>
    <row r="651" ht="15.75" customHeight="1">
      <c r="A651" s="466" t="s">
        <v>8160</v>
      </c>
      <c r="B651" s="466">
        <v>2024.0</v>
      </c>
      <c r="C651" s="466">
        <v>4.0</v>
      </c>
      <c r="D651" s="466">
        <v>45396.0</v>
      </c>
      <c r="E651" s="466" t="s">
        <v>8190</v>
      </c>
      <c r="F651" s="466" t="s">
        <v>8191</v>
      </c>
      <c r="G651" s="466" t="s">
        <v>6613</v>
      </c>
      <c r="H651" s="466"/>
      <c r="I651" s="466">
        <v>1.0</v>
      </c>
      <c r="J651" s="503"/>
      <c r="K651" s="466" t="s">
        <v>7393</v>
      </c>
      <c r="L651" s="466">
        <v>70.0</v>
      </c>
      <c r="M651" s="466"/>
      <c r="N651" s="466"/>
      <c r="O651" s="466"/>
      <c r="P651" s="357"/>
      <c r="Q651" s="357"/>
      <c r="R651" s="357"/>
      <c r="S651" s="357"/>
      <c r="T651" s="357"/>
      <c r="U651" s="357"/>
      <c r="V651" s="357"/>
      <c r="W651" s="357"/>
      <c r="X651" s="357"/>
      <c r="Y651" s="357"/>
      <c r="Z651" s="357"/>
    </row>
    <row r="652" ht="15.75" customHeight="1">
      <c r="A652" s="466" t="s">
        <v>8160</v>
      </c>
      <c r="B652" s="466">
        <v>2024.0</v>
      </c>
      <c r="C652" s="466">
        <v>4.0</v>
      </c>
      <c r="D652" s="466">
        <v>45406.0</v>
      </c>
      <c r="E652" s="466" t="s">
        <v>8192</v>
      </c>
      <c r="F652" s="466" t="s">
        <v>8193</v>
      </c>
      <c r="G652" s="466" t="s">
        <v>7100</v>
      </c>
      <c r="H652" s="466" t="s">
        <v>6643</v>
      </c>
      <c r="I652" s="466">
        <v>1.0</v>
      </c>
      <c r="J652" s="503"/>
      <c r="K652" s="466" t="s">
        <v>8168</v>
      </c>
      <c r="L652" s="466">
        <v>170.0</v>
      </c>
      <c r="M652" s="466"/>
      <c r="N652" s="466"/>
      <c r="O652" s="466"/>
      <c r="P652" s="357"/>
      <c r="Q652" s="357"/>
      <c r="R652" s="357"/>
      <c r="S652" s="357"/>
      <c r="T652" s="357"/>
      <c r="U652" s="357"/>
      <c r="V652" s="357"/>
      <c r="W652" s="357"/>
      <c r="X652" s="357"/>
      <c r="Y652" s="357"/>
      <c r="Z652" s="357"/>
    </row>
    <row r="653" ht="15.75" customHeight="1">
      <c r="A653" s="466" t="s">
        <v>8160</v>
      </c>
      <c r="B653" s="466">
        <v>2024.0</v>
      </c>
      <c r="C653" s="466">
        <v>4.0</v>
      </c>
      <c r="D653" s="466">
        <v>45406.0</v>
      </c>
      <c r="E653" s="466" t="s">
        <v>8194</v>
      </c>
      <c r="F653" s="466" t="s">
        <v>8195</v>
      </c>
      <c r="G653" s="466" t="s">
        <v>7100</v>
      </c>
      <c r="H653" s="466" t="s">
        <v>6643</v>
      </c>
      <c r="I653" s="466">
        <v>1.0</v>
      </c>
      <c r="J653" s="503"/>
      <c r="K653" s="466" t="s">
        <v>8164</v>
      </c>
      <c r="L653" s="466">
        <v>125.0</v>
      </c>
      <c r="M653" s="466"/>
      <c r="N653" s="466"/>
      <c r="O653" s="466"/>
      <c r="P653" s="357"/>
      <c r="Q653" s="357"/>
      <c r="R653" s="357"/>
      <c r="S653" s="357"/>
      <c r="T653" s="357"/>
      <c r="U653" s="357"/>
      <c r="V653" s="357"/>
      <c r="W653" s="357"/>
      <c r="X653" s="357"/>
      <c r="Y653" s="357"/>
      <c r="Z653" s="357"/>
    </row>
    <row r="654" ht="15.75" customHeight="1">
      <c r="A654" s="466" t="s">
        <v>8160</v>
      </c>
      <c r="B654" s="466">
        <v>2024.0</v>
      </c>
      <c r="C654" s="466">
        <v>4.0</v>
      </c>
      <c r="D654" s="466" t="s">
        <v>8196</v>
      </c>
      <c r="E654" s="466" t="s">
        <v>2566</v>
      </c>
      <c r="F654" s="466" t="s">
        <v>8013</v>
      </c>
      <c r="G654" s="466" t="s">
        <v>6613</v>
      </c>
      <c r="H654" s="466"/>
      <c r="I654" s="466">
        <v>1.0</v>
      </c>
      <c r="J654" s="503"/>
      <c r="K654" s="466" t="s">
        <v>8168</v>
      </c>
      <c r="L654" s="466">
        <v>70.0</v>
      </c>
      <c r="M654" s="466"/>
      <c r="N654" s="466"/>
      <c r="O654" s="466"/>
      <c r="P654" s="357"/>
      <c r="Q654" s="357"/>
      <c r="R654" s="357"/>
      <c r="S654" s="357"/>
      <c r="T654" s="357"/>
      <c r="U654" s="357"/>
      <c r="V654" s="357"/>
      <c r="W654" s="357"/>
      <c r="X654" s="357"/>
      <c r="Y654" s="357"/>
      <c r="Z654" s="357"/>
    </row>
    <row r="655" ht="15.75" customHeight="1">
      <c r="A655" s="466" t="s">
        <v>8160</v>
      </c>
      <c r="B655" s="466">
        <v>2024.0</v>
      </c>
      <c r="C655" s="466">
        <v>4.0</v>
      </c>
      <c r="D655" s="466" t="s">
        <v>8197</v>
      </c>
      <c r="E655" s="466" t="s">
        <v>8198</v>
      </c>
      <c r="F655" s="466" t="s">
        <v>7797</v>
      </c>
      <c r="G655" s="466" t="s">
        <v>7100</v>
      </c>
      <c r="H655" s="466" t="s">
        <v>6643</v>
      </c>
      <c r="I655" s="466">
        <v>1.0</v>
      </c>
      <c r="J655" s="503"/>
      <c r="K655" s="466" t="s">
        <v>2511</v>
      </c>
      <c r="L655" s="466">
        <v>170.0</v>
      </c>
      <c r="M655" s="466"/>
      <c r="N655" s="466"/>
      <c r="O655" s="466"/>
      <c r="P655" s="357"/>
      <c r="Q655" s="357"/>
      <c r="R655" s="357"/>
      <c r="S655" s="357"/>
      <c r="T655" s="357"/>
      <c r="U655" s="357"/>
      <c r="V655" s="357"/>
      <c r="W655" s="357"/>
      <c r="X655" s="357"/>
      <c r="Y655" s="357"/>
      <c r="Z655" s="357"/>
    </row>
    <row r="656" ht="15.75" customHeight="1">
      <c r="A656" s="466" t="s">
        <v>8160</v>
      </c>
      <c r="B656" s="466">
        <v>2024.0</v>
      </c>
      <c r="C656" s="466">
        <v>4.0</v>
      </c>
      <c r="D656" s="466" t="s">
        <v>8197</v>
      </c>
      <c r="E656" s="466" t="s">
        <v>8199</v>
      </c>
      <c r="F656" s="466" t="s">
        <v>8200</v>
      </c>
      <c r="G656" s="466" t="s">
        <v>7100</v>
      </c>
      <c r="H656" s="466" t="s">
        <v>248</v>
      </c>
      <c r="I656" s="466">
        <v>1.0</v>
      </c>
      <c r="J656" s="503"/>
      <c r="K656" s="466" t="s">
        <v>8201</v>
      </c>
      <c r="L656" s="466">
        <v>150.0</v>
      </c>
      <c r="M656" s="466"/>
      <c r="N656" s="466"/>
      <c r="O656" s="466"/>
      <c r="P656" s="357"/>
      <c r="Q656" s="357"/>
      <c r="R656" s="357"/>
      <c r="S656" s="357"/>
      <c r="T656" s="357"/>
      <c r="U656" s="357"/>
      <c r="V656" s="357"/>
      <c r="W656" s="357"/>
      <c r="X656" s="357"/>
      <c r="Y656" s="357"/>
      <c r="Z656" s="357"/>
    </row>
    <row r="657" ht="15.75" customHeight="1">
      <c r="A657" s="466" t="s">
        <v>8160</v>
      </c>
      <c r="B657" s="466">
        <v>2024.0</v>
      </c>
      <c r="C657" s="466">
        <v>5.0</v>
      </c>
      <c r="D657" s="466">
        <v>45356.0</v>
      </c>
      <c r="E657" s="466" t="s">
        <v>8202</v>
      </c>
      <c r="F657" s="466" t="s">
        <v>8203</v>
      </c>
      <c r="G657" s="466" t="s">
        <v>7100</v>
      </c>
      <c r="H657" s="466" t="s">
        <v>248</v>
      </c>
      <c r="I657" s="466">
        <v>1.0</v>
      </c>
      <c r="J657" s="503"/>
      <c r="K657" s="466" t="s">
        <v>8168</v>
      </c>
      <c r="L657" s="466">
        <v>170.0</v>
      </c>
      <c r="M657" s="466"/>
      <c r="N657" s="466"/>
      <c r="O657" s="466"/>
      <c r="P657" s="357"/>
      <c r="Q657" s="357"/>
      <c r="R657" s="357"/>
      <c r="S657" s="357"/>
      <c r="T657" s="357"/>
      <c r="U657" s="357"/>
      <c r="V657" s="357"/>
      <c r="W657" s="357"/>
      <c r="X657" s="357"/>
      <c r="Y657" s="357"/>
      <c r="Z657" s="357"/>
    </row>
    <row r="658" ht="15.75" customHeight="1">
      <c r="A658" s="466" t="s">
        <v>8160</v>
      </c>
      <c r="B658" s="466">
        <v>2024.0</v>
      </c>
      <c r="C658" s="466">
        <v>5.0</v>
      </c>
      <c r="D658" s="466">
        <v>45540.0</v>
      </c>
      <c r="E658" s="466" t="s">
        <v>8204</v>
      </c>
      <c r="F658" s="466"/>
      <c r="G658" s="466" t="s">
        <v>7075</v>
      </c>
      <c r="H658" s="466" t="s">
        <v>8205</v>
      </c>
      <c r="I658" s="466">
        <v>1.0</v>
      </c>
      <c r="J658" s="503"/>
      <c r="K658" s="466" t="s">
        <v>2511</v>
      </c>
      <c r="L658" s="466">
        <v>100.0</v>
      </c>
      <c r="M658" s="466"/>
      <c r="N658" s="466"/>
      <c r="O658" s="466"/>
      <c r="P658" s="357"/>
      <c r="Q658" s="357"/>
      <c r="R658" s="357"/>
      <c r="S658" s="357"/>
      <c r="T658" s="357"/>
      <c r="U658" s="357"/>
      <c r="V658" s="357"/>
      <c r="W658" s="357"/>
      <c r="X658" s="357"/>
      <c r="Y658" s="357"/>
      <c r="Z658" s="357"/>
    </row>
    <row r="659" ht="15.75" customHeight="1">
      <c r="A659" s="466" t="s">
        <v>8160</v>
      </c>
      <c r="B659" s="466">
        <v>2024.0</v>
      </c>
      <c r="C659" s="466">
        <v>5.0</v>
      </c>
      <c r="D659" s="466">
        <v>45418.0</v>
      </c>
      <c r="E659" s="466" t="s">
        <v>8206</v>
      </c>
      <c r="F659" s="466"/>
      <c r="G659" s="466" t="s">
        <v>7395</v>
      </c>
      <c r="H659" s="466" t="s">
        <v>8207</v>
      </c>
      <c r="I659" s="466">
        <v>1.0</v>
      </c>
      <c r="J659" s="503"/>
      <c r="K659" s="466" t="s">
        <v>8208</v>
      </c>
      <c r="L659" s="466">
        <v>60.0</v>
      </c>
      <c r="M659" s="466"/>
      <c r="N659" s="466"/>
      <c r="O659" s="466"/>
      <c r="P659" s="357"/>
      <c r="Q659" s="357"/>
      <c r="R659" s="357"/>
      <c r="S659" s="357"/>
      <c r="T659" s="357"/>
      <c r="U659" s="357"/>
      <c r="V659" s="357"/>
      <c r="W659" s="357"/>
      <c r="X659" s="357"/>
      <c r="Y659" s="357"/>
      <c r="Z659" s="357"/>
    </row>
    <row r="660" ht="15.75" customHeight="1">
      <c r="A660" s="466" t="s">
        <v>8160</v>
      </c>
      <c r="B660" s="466">
        <v>2024.0</v>
      </c>
      <c r="C660" s="466">
        <v>5.0</v>
      </c>
      <c r="D660" s="466">
        <v>45429.0</v>
      </c>
      <c r="E660" s="466" t="s">
        <v>8209</v>
      </c>
      <c r="F660" s="466" t="s">
        <v>7767</v>
      </c>
      <c r="G660" s="466" t="s">
        <v>7106</v>
      </c>
      <c r="H660" s="466" t="s">
        <v>8210</v>
      </c>
      <c r="I660" s="466">
        <v>1.0</v>
      </c>
      <c r="J660" s="503"/>
      <c r="K660" s="466" t="s">
        <v>8211</v>
      </c>
      <c r="L660" s="466">
        <v>50.0</v>
      </c>
      <c r="M660" s="466"/>
      <c r="N660" s="466"/>
      <c r="O660" s="466"/>
      <c r="P660" s="357"/>
      <c r="Q660" s="357"/>
      <c r="R660" s="357"/>
      <c r="S660" s="357"/>
      <c r="T660" s="357"/>
      <c r="U660" s="357"/>
      <c r="V660" s="357"/>
      <c r="W660" s="357"/>
      <c r="X660" s="357"/>
      <c r="Y660" s="357"/>
      <c r="Z660" s="357"/>
    </row>
    <row r="661" ht="15.75" customHeight="1">
      <c r="A661" s="466" t="s">
        <v>8160</v>
      </c>
      <c r="B661" s="466">
        <v>2024.0</v>
      </c>
      <c r="C661" s="466">
        <v>5.0</v>
      </c>
      <c r="D661" s="466">
        <v>45429.0</v>
      </c>
      <c r="E661" s="466" t="s">
        <v>8209</v>
      </c>
      <c r="F661" s="466" t="s">
        <v>7767</v>
      </c>
      <c r="G661" s="466" t="s">
        <v>7395</v>
      </c>
      <c r="H661" s="466" t="s">
        <v>8212</v>
      </c>
      <c r="I661" s="466">
        <v>1.0</v>
      </c>
      <c r="J661" s="503"/>
      <c r="K661" s="466" t="s">
        <v>2511</v>
      </c>
      <c r="L661" s="466">
        <v>50.0</v>
      </c>
      <c r="M661" s="466"/>
      <c r="N661" s="466"/>
      <c r="O661" s="466"/>
      <c r="P661" s="357"/>
      <c r="Q661" s="357"/>
      <c r="R661" s="357"/>
      <c r="S661" s="357"/>
      <c r="T661" s="357"/>
      <c r="U661" s="357"/>
      <c r="V661" s="357"/>
      <c r="W661" s="357"/>
      <c r="X661" s="357"/>
      <c r="Y661" s="357"/>
      <c r="Z661" s="357"/>
    </row>
    <row r="662" ht="15.75" customHeight="1">
      <c r="A662" s="466" t="s">
        <v>8213</v>
      </c>
      <c r="B662" s="466">
        <v>2024.0</v>
      </c>
      <c r="C662" s="466">
        <v>5.0</v>
      </c>
      <c r="D662" s="466">
        <v>45432.0</v>
      </c>
      <c r="E662" s="466" t="s">
        <v>7429</v>
      </c>
      <c r="F662" s="466"/>
      <c r="G662" s="466" t="s">
        <v>7100</v>
      </c>
      <c r="H662" s="466" t="s">
        <v>6643</v>
      </c>
      <c r="I662" s="466">
        <v>1.0</v>
      </c>
      <c r="J662" s="503"/>
      <c r="K662" s="466" t="s">
        <v>2511</v>
      </c>
      <c r="L662" s="466">
        <v>170.0</v>
      </c>
      <c r="M662" s="466"/>
      <c r="N662" s="466"/>
      <c r="O662" s="466"/>
      <c r="P662" s="357"/>
      <c r="Q662" s="357"/>
      <c r="R662" s="357"/>
      <c r="S662" s="357"/>
      <c r="T662" s="357"/>
      <c r="U662" s="357"/>
      <c r="V662" s="357"/>
      <c r="W662" s="357"/>
      <c r="X662" s="357"/>
      <c r="Y662" s="357"/>
      <c r="Z662" s="357"/>
    </row>
    <row r="663" ht="15.75" customHeight="1">
      <c r="A663" s="466" t="s">
        <v>8213</v>
      </c>
      <c r="B663" s="466">
        <v>2024.0</v>
      </c>
      <c r="C663" s="466">
        <v>5.0</v>
      </c>
      <c r="D663" s="466">
        <v>45432.0</v>
      </c>
      <c r="E663" s="466" t="s">
        <v>2561</v>
      </c>
      <c r="F663" s="466" t="s">
        <v>8214</v>
      </c>
      <c r="G663" s="466" t="s">
        <v>7611</v>
      </c>
      <c r="H663" s="466" t="s">
        <v>8215</v>
      </c>
      <c r="I663" s="466">
        <v>1.0</v>
      </c>
      <c r="J663" s="503"/>
      <c r="K663" s="466" t="s">
        <v>7393</v>
      </c>
      <c r="L663" s="466">
        <v>80.0</v>
      </c>
      <c r="M663" s="466"/>
      <c r="N663" s="466"/>
      <c r="O663" s="466"/>
      <c r="P663" s="357"/>
      <c r="Q663" s="357"/>
      <c r="R663" s="357"/>
      <c r="S663" s="357"/>
      <c r="T663" s="357"/>
      <c r="U663" s="357"/>
      <c r="V663" s="357"/>
      <c r="W663" s="357"/>
      <c r="X663" s="357"/>
      <c r="Y663" s="357"/>
      <c r="Z663" s="357"/>
    </row>
    <row r="664" ht="15.75" customHeight="1">
      <c r="A664" s="466" t="s">
        <v>8213</v>
      </c>
      <c r="B664" s="466">
        <v>2024.0</v>
      </c>
      <c r="C664" s="466">
        <v>5.0</v>
      </c>
      <c r="D664" s="466">
        <v>45433.0</v>
      </c>
      <c r="E664" s="466" t="s">
        <v>8216</v>
      </c>
      <c r="F664" s="466" t="s">
        <v>7684</v>
      </c>
      <c r="G664" s="466" t="s">
        <v>7075</v>
      </c>
      <c r="H664" s="466" t="s">
        <v>8217</v>
      </c>
      <c r="I664" s="466">
        <v>1.0</v>
      </c>
      <c r="J664" s="503"/>
      <c r="K664" s="466" t="s">
        <v>7393</v>
      </c>
      <c r="L664" s="466">
        <v>109.0</v>
      </c>
      <c r="M664" s="466"/>
      <c r="N664" s="466"/>
      <c r="O664" s="466"/>
      <c r="P664" s="357"/>
      <c r="Q664" s="357"/>
      <c r="R664" s="357"/>
      <c r="S664" s="357"/>
      <c r="T664" s="357"/>
      <c r="U664" s="357"/>
      <c r="V664" s="357"/>
      <c r="W664" s="357"/>
      <c r="X664" s="357"/>
      <c r="Y664" s="357"/>
      <c r="Z664" s="357"/>
    </row>
    <row r="665" ht="15.75" customHeight="1">
      <c r="A665" s="466" t="s">
        <v>8213</v>
      </c>
      <c r="B665" s="466">
        <v>2024.0</v>
      </c>
      <c r="C665" s="466">
        <v>5.0</v>
      </c>
      <c r="D665" s="466">
        <v>45433.0</v>
      </c>
      <c r="E665" s="466" t="s">
        <v>7396</v>
      </c>
      <c r="F665" s="466" t="s">
        <v>8218</v>
      </c>
      <c r="G665" s="466" t="s">
        <v>7075</v>
      </c>
      <c r="H665" s="466" t="s">
        <v>8205</v>
      </c>
      <c r="I665" s="466">
        <v>1.0</v>
      </c>
      <c r="J665" s="503"/>
      <c r="K665" s="466" t="s">
        <v>7393</v>
      </c>
      <c r="L665" s="466">
        <v>109.0</v>
      </c>
      <c r="M665" s="466"/>
      <c r="N665" s="466"/>
      <c r="O665" s="466"/>
      <c r="P665" s="357"/>
      <c r="Q665" s="357"/>
      <c r="R665" s="357"/>
      <c r="S665" s="357"/>
      <c r="T665" s="357"/>
      <c r="U665" s="357"/>
      <c r="V665" s="357"/>
      <c r="W665" s="357"/>
      <c r="X665" s="357"/>
      <c r="Y665" s="357"/>
      <c r="Z665" s="357"/>
    </row>
    <row r="666" ht="15.75" customHeight="1">
      <c r="A666" s="466" t="s">
        <v>8213</v>
      </c>
      <c r="B666" s="466">
        <v>2024.0</v>
      </c>
      <c r="C666" s="466">
        <v>5.0</v>
      </c>
      <c r="D666" s="466">
        <v>45433.0</v>
      </c>
      <c r="E666" s="466" t="s">
        <v>2547</v>
      </c>
      <c r="F666" s="466" t="s">
        <v>8219</v>
      </c>
      <c r="G666" s="466" t="s">
        <v>7100</v>
      </c>
      <c r="H666" s="466" t="s">
        <v>248</v>
      </c>
      <c r="I666" s="466">
        <v>1.0</v>
      </c>
      <c r="J666" s="503"/>
      <c r="K666" s="466" t="s">
        <v>2511</v>
      </c>
      <c r="L666" s="466">
        <v>160.0</v>
      </c>
      <c r="M666" s="466"/>
      <c r="N666" s="466"/>
      <c r="O666" s="466"/>
      <c r="P666" s="357"/>
      <c r="Q666" s="357"/>
      <c r="R666" s="357"/>
      <c r="S666" s="357"/>
      <c r="T666" s="357"/>
      <c r="U666" s="357"/>
      <c r="V666" s="357"/>
      <c r="W666" s="357"/>
      <c r="X666" s="357"/>
      <c r="Y666" s="357"/>
      <c r="Z666" s="357"/>
    </row>
    <row r="667" ht="15.75" customHeight="1">
      <c r="A667" s="466" t="s">
        <v>8213</v>
      </c>
      <c r="B667" s="466">
        <v>2024.0</v>
      </c>
      <c r="C667" s="466">
        <v>5.0</v>
      </c>
      <c r="D667" s="466">
        <v>45434.0</v>
      </c>
      <c r="E667" s="466" t="s">
        <v>2547</v>
      </c>
      <c r="F667" s="466" t="s">
        <v>8220</v>
      </c>
      <c r="G667" s="466" t="s">
        <v>7075</v>
      </c>
      <c r="H667" s="466" t="s">
        <v>8217</v>
      </c>
      <c r="I667" s="466">
        <v>1.0</v>
      </c>
      <c r="J667" s="503"/>
      <c r="K667" s="466"/>
      <c r="L667" s="466" t="s">
        <v>2584</v>
      </c>
      <c r="M667" s="466"/>
      <c r="N667" s="466"/>
      <c r="O667" s="466"/>
      <c r="P667" s="357"/>
      <c r="Q667" s="357"/>
      <c r="R667" s="357"/>
      <c r="S667" s="357"/>
      <c r="T667" s="357"/>
      <c r="U667" s="357"/>
      <c r="V667" s="357"/>
      <c r="W667" s="357"/>
      <c r="X667" s="357"/>
      <c r="Y667" s="357"/>
      <c r="Z667" s="357"/>
    </row>
    <row r="668" ht="15.75" customHeight="1">
      <c r="A668" s="466" t="s">
        <v>8213</v>
      </c>
      <c r="B668" s="466">
        <v>2024.0</v>
      </c>
      <c r="C668" s="466">
        <v>5.0</v>
      </c>
      <c r="D668" s="466">
        <v>45435.0</v>
      </c>
      <c r="E668" s="466" t="s">
        <v>7532</v>
      </c>
      <c r="F668" s="466" t="s">
        <v>8221</v>
      </c>
      <c r="G668" s="466" t="s">
        <v>7075</v>
      </c>
      <c r="H668" s="466" t="s">
        <v>8205</v>
      </c>
      <c r="I668" s="466">
        <v>1.0</v>
      </c>
      <c r="J668" s="503"/>
      <c r="K668" s="466"/>
      <c r="L668" s="466">
        <v>109.0</v>
      </c>
      <c r="M668" s="466"/>
      <c r="N668" s="466"/>
      <c r="O668" s="466"/>
      <c r="P668" s="357"/>
      <c r="Q668" s="357"/>
      <c r="R668" s="357"/>
      <c r="S668" s="357"/>
      <c r="T668" s="357"/>
      <c r="U668" s="357"/>
      <c r="V668" s="357"/>
      <c r="W668" s="357"/>
      <c r="X668" s="357"/>
      <c r="Y668" s="357"/>
      <c r="Z668" s="357"/>
    </row>
    <row r="669" ht="15.75" customHeight="1">
      <c r="A669" s="466" t="s">
        <v>8213</v>
      </c>
      <c r="B669" s="466">
        <v>2024.0</v>
      </c>
      <c r="C669" s="466">
        <v>5.0</v>
      </c>
      <c r="D669" s="466">
        <v>45435.0</v>
      </c>
      <c r="E669" s="466" t="s">
        <v>8222</v>
      </c>
      <c r="F669" s="466" t="s">
        <v>8223</v>
      </c>
      <c r="G669" s="466" t="s">
        <v>7395</v>
      </c>
      <c r="H669" s="466" t="s">
        <v>8224</v>
      </c>
      <c r="I669" s="466">
        <v>1.0</v>
      </c>
      <c r="J669" s="503"/>
      <c r="K669" s="466"/>
      <c r="L669" s="466">
        <v>50.0</v>
      </c>
      <c r="M669" s="466"/>
      <c r="N669" s="466"/>
      <c r="O669" s="466"/>
      <c r="P669" s="357"/>
      <c r="Q669" s="357"/>
      <c r="R669" s="357"/>
      <c r="S669" s="357"/>
      <c r="T669" s="357"/>
      <c r="U669" s="357"/>
      <c r="V669" s="357"/>
      <c r="W669" s="357"/>
      <c r="X669" s="357"/>
      <c r="Y669" s="357"/>
      <c r="Z669" s="357"/>
    </row>
    <row r="670" ht="15.75" customHeight="1">
      <c r="A670" s="466" t="s">
        <v>8213</v>
      </c>
      <c r="B670" s="466">
        <v>2024.0</v>
      </c>
      <c r="C670" s="466">
        <v>5.0</v>
      </c>
      <c r="D670" s="466">
        <v>45435.0</v>
      </c>
      <c r="E670" s="466" t="s">
        <v>7659</v>
      </c>
      <c r="F670" s="466" t="s">
        <v>5966</v>
      </c>
      <c r="G670" s="466" t="s">
        <v>7106</v>
      </c>
      <c r="H670" s="466" t="s">
        <v>8225</v>
      </c>
      <c r="I670" s="466">
        <v>1.0</v>
      </c>
      <c r="J670" s="503"/>
      <c r="K670" s="466"/>
      <c r="L670" s="466">
        <v>80.0</v>
      </c>
      <c r="M670" s="466"/>
      <c r="N670" s="466"/>
      <c r="O670" s="466"/>
      <c r="P670" s="357"/>
      <c r="Q670" s="357"/>
      <c r="R670" s="357"/>
      <c r="S670" s="357"/>
      <c r="T670" s="357"/>
      <c r="U670" s="357"/>
      <c r="V670" s="357"/>
      <c r="W670" s="357"/>
      <c r="X670" s="357"/>
      <c r="Y670" s="357"/>
      <c r="Z670" s="357"/>
    </row>
    <row r="671" ht="15.75" customHeight="1">
      <c r="A671" s="466" t="s">
        <v>8213</v>
      </c>
      <c r="B671" s="466">
        <v>2024.0</v>
      </c>
      <c r="C671" s="466">
        <v>5.0</v>
      </c>
      <c r="D671" s="466">
        <v>45435.0</v>
      </c>
      <c r="E671" s="466" t="s">
        <v>8226</v>
      </c>
      <c r="F671" s="466" t="s">
        <v>8227</v>
      </c>
      <c r="G671" s="466" t="s">
        <v>7611</v>
      </c>
      <c r="H671" s="466" t="s">
        <v>8228</v>
      </c>
      <c r="I671" s="466">
        <v>1.0</v>
      </c>
      <c r="J671" s="503"/>
      <c r="K671" s="466"/>
      <c r="L671" s="466">
        <v>80.0</v>
      </c>
      <c r="M671" s="466"/>
      <c r="N671" s="466"/>
      <c r="O671" s="466"/>
      <c r="P671" s="357"/>
      <c r="Q671" s="357"/>
      <c r="R671" s="357"/>
      <c r="S671" s="357"/>
      <c r="T671" s="357"/>
      <c r="U671" s="357"/>
      <c r="V671" s="357"/>
      <c r="W671" s="357"/>
      <c r="X671" s="357"/>
      <c r="Y671" s="357"/>
      <c r="Z671" s="357"/>
    </row>
    <row r="672" ht="15.75" customHeight="1">
      <c r="A672" s="466" t="s">
        <v>8213</v>
      </c>
      <c r="B672" s="466">
        <v>2024.0</v>
      </c>
      <c r="C672" s="466">
        <v>5.0</v>
      </c>
      <c r="D672" s="466">
        <v>45435.0</v>
      </c>
      <c r="E672" s="466" t="s">
        <v>8226</v>
      </c>
      <c r="F672" s="466" t="s">
        <v>8227</v>
      </c>
      <c r="G672" s="466" t="s">
        <v>7106</v>
      </c>
      <c r="H672" s="466" t="s">
        <v>8229</v>
      </c>
      <c r="I672" s="466">
        <v>1.0</v>
      </c>
      <c r="J672" s="503"/>
      <c r="K672" s="466"/>
      <c r="L672" s="466">
        <v>70.0</v>
      </c>
      <c r="M672" s="466"/>
      <c r="N672" s="466"/>
      <c r="O672" s="466"/>
      <c r="P672" s="357"/>
      <c r="Q672" s="357"/>
      <c r="R672" s="357"/>
      <c r="S672" s="357"/>
      <c r="T672" s="357"/>
      <c r="U672" s="357"/>
      <c r="V672" s="357"/>
      <c r="W672" s="357"/>
      <c r="X672" s="357"/>
      <c r="Y672" s="357"/>
      <c r="Z672" s="357"/>
    </row>
    <row r="673" ht="15.75" customHeight="1">
      <c r="A673" s="466" t="s">
        <v>8213</v>
      </c>
      <c r="B673" s="466">
        <v>2024.0</v>
      </c>
      <c r="C673" s="466">
        <v>5.0</v>
      </c>
      <c r="D673" s="466">
        <v>45436.0</v>
      </c>
      <c r="E673" s="466" t="s">
        <v>8230</v>
      </c>
      <c r="F673" s="466" t="s">
        <v>8231</v>
      </c>
      <c r="G673" s="466" t="s">
        <v>7611</v>
      </c>
      <c r="H673" s="466" t="s">
        <v>8232</v>
      </c>
      <c r="I673" s="466">
        <v>1.0</v>
      </c>
      <c r="J673" s="503"/>
      <c r="K673" s="466" t="s">
        <v>7393</v>
      </c>
      <c r="L673" s="466">
        <v>50.0</v>
      </c>
      <c r="M673" s="466"/>
      <c r="N673" s="466"/>
      <c r="O673" s="466"/>
      <c r="P673" s="357"/>
      <c r="Q673" s="357"/>
      <c r="R673" s="357"/>
      <c r="S673" s="357"/>
      <c r="T673" s="357"/>
      <c r="U673" s="357"/>
      <c r="V673" s="357"/>
      <c r="W673" s="357"/>
      <c r="X673" s="357"/>
      <c r="Y673" s="357"/>
      <c r="Z673" s="357"/>
    </row>
    <row r="674" ht="15.75" customHeight="1">
      <c r="A674" s="466" t="s">
        <v>8213</v>
      </c>
      <c r="B674" s="466">
        <v>2024.0</v>
      </c>
      <c r="C674" s="466">
        <v>5.0</v>
      </c>
      <c r="D674" s="466">
        <v>45436.0</v>
      </c>
      <c r="E674" s="466" t="s">
        <v>8233</v>
      </c>
      <c r="F674" s="466" t="s">
        <v>8234</v>
      </c>
      <c r="G674" s="466" t="s">
        <v>7395</v>
      </c>
      <c r="H674" s="466" t="s">
        <v>8235</v>
      </c>
      <c r="I674" s="466">
        <v>1.0</v>
      </c>
      <c r="J674" s="503"/>
      <c r="K674" s="466" t="s">
        <v>7393</v>
      </c>
      <c r="L674" s="466">
        <v>80.0</v>
      </c>
      <c r="M674" s="466"/>
      <c r="N674" s="466"/>
      <c r="O674" s="466"/>
      <c r="P674" s="357"/>
      <c r="Q674" s="357"/>
      <c r="R674" s="357"/>
      <c r="S674" s="357"/>
      <c r="T674" s="357"/>
      <c r="U674" s="357"/>
      <c r="V674" s="357"/>
      <c r="W674" s="357"/>
      <c r="X674" s="357"/>
      <c r="Y674" s="357"/>
      <c r="Z674" s="357"/>
    </row>
    <row r="675" ht="15.75" customHeight="1">
      <c r="A675" s="466" t="s">
        <v>8213</v>
      </c>
      <c r="B675" s="466">
        <v>2024.0</v>
      </c>
      <c r="C675" s="466">
        <v>5.0</v>
      </c>
      <c r="D675" s="466">
        <v>45436.0</v>
      </c>
      <c r="E675" s="466" t="s">
        <v>8236</v>
      </c>
      <c r="F675" s="466" t="s">
        <v>7797</v>
      </c>
      <c r="G675" s="466" t="s">
        <v>7106</v>
      </c>
      <c r="H675" s="466" t="s">
        <v>8237</v>
      </c>
      <c r="I675" s="466">
        <v>1.0</v>
      </c>
      <c r="J675" s="503"/>
      <c r="K675" s="466" t="s">
        <v>2511</v>
      </c>
      <c r="L675" s="466">
        <v>75.0</v>
      </c>
      <c r="M675" s="466"/>
      <c r="N675" s="466"/>
      <c r="O675" s="466"/>
      <c r="P675" s="357"/>
      <c r="Q675" s="357"/>
      <c r="R675" s="357"/>
      <c r="S675" s="357"/>
      <c r="T675" s="357"/>
      <c r="U675" s="357"/>
      <c r="V675" s="357"/>
      <c r="W675" s="357"/>
      <c r="X675" s="357"/>
      <c r="Y675" s="357"/>
      <c r="Z675" s="357"/>
    </row>
    <row r="676" ht="15.75" customHeight="1">
      <c r="A676" s="466" t="s">
        <v>8213</v>
      </c>
      <c r="B676" s="466">
        <v>2024.0</v>
      </c>
      <c r="C676" s="466">
        <v>5.0</v>
      </c>
      <c r="D676" s="466">
        <v>45436.0</v>
      </c>
      <c r="E676" s="466" t="s">
        <v>7507</v>
      </c>
      <c r="F676" s="466" t="s">
        <v>7797</v>
      </c>
      <c r="G676" s="466" t="s">
        <v>7075</v>
      </c>
      <c r="H676" s="466" t="s">
        <v>8217</v>
      </c>
      <c r="I676" s="466">
        <v>1.0</v>
      </c>
      <c r="J676" s="503"/>
      <c r="K676" s="466" t="s">
        <v>8238</v>
      </c>
      <c r="L676" s="466">
        <v>95.0</v>
      </c>
      <c r="M676" s="466"/>
      <c r="N676" s="466"/>
      <c r="O676" s="466"/>
      <c r="P676" s="357"/>
      <c r="Q676" s="357"/>
      <c r="R676" s="357"/>
      <c r="S676" s="357"/>
      <c r="T676" s="357"/>
      <c r="U676" s="357"/>
      <c r="V676" s="357"/>
      <c r="W676" s="357"/>
      <c r="X676" s="357"/>
      <c r="Y676" s="357"/>
      <c r="Z676" s="357"/>
    </row>
    <row r="677" ht="15.75" customHeight="1">
      <c r="A677" s="466" t="s">
        <v>8213</v>
      </c>
      <c r="B677" s="466">
        <v>2024.0</v>
      </c>
      <c r="C677" s="466">
        <v>5.0</v>
      </c>
      <c r="D677" s="466">
        <v>45436.0</v>
      </c>
      <c r="E677" s="466" t="s">
        <v>2659</v>
      </c>
      <c r="F677" s="466" t="s">
        <v>2551</v>
      </c>
      <c r="G677" s="466" t="s">
        <v>7075</v>
      </c>
      <c r="H677" s="466" t="s">
        <v>6795</v>
      </c>
      <c r="I677" s="466">
        <v>1.0</v>
      </c>
      <c r="J677" s="503"/>
      <c r="K677" s="466" t="s">
        <v>7393</v>
      </c>
      <c r="L677" s="466">
        <v>109.0</v>
      </c>
      <c r="M677" s="466"/>
      <c r="N677" s="466"/>
      <c r="O677" s="466"/>
      <c r="P677" s="357"/>
      <c r="Q677" s="357"/>
      <c r="R677" s="357"/>
      <c r="S677" s="357"/>
      <c r="T677" s="357"/>
      <c r="U677" s="357"/>
      <c r="V677" s="357"/>
      <c r="W677" s="357"/>
      <c r="X677" s="357"/>
      <c r="Y677" s="357"/>
      <c r="Z677" s="357"/>
    </row>
    <row r="678" ht="15.75" customHeight="1">
      <c r="A678" s="466" t="s">
        <v>8213</v>
      </c>
      <c r="B678" s="466">
        <v>2024.0</v>
      </c>
      <c r="C678" s="466">
        <v>5.0</v>
      </c>
      <c r="D678" s="466">
        <v>45436.0</v>
      </c>
      <c r="E678" s="466" t="s">
        <v>7747</v>
      </c>
      <c r="F678" s="466" t="s">
        <v>8239</v>
      </c>
      <c r="G678" s="466" t="s">
        <v>7075</v>
      </c>
      <c r="H678" s="466" t="s">
        <v>6795</v>
      </c>
      <c r="I678" s="466">
        <v>1.0</v>
      </c>
      <c r="J678" s="503"/>
      <c r="K678" s="466" t="s">
        <v>7393</v>
      </c>
      <c r="L678" s="466">
        <v>109.0</v>
      </c>
      <c r="M678" s="466"/>
      <c r="N678" s="466"/>
      <c r="O678" s="466"/>
      <c r="P678" s="357"/>
      <c r="Q678" s="357"/>
      <c r="R678" s="357"/>
      <c r="S678" s="357"/>
      <c r="T678" s="357"/>
      <c r="U678" s="357"/>
      <c r="V678" s="357"/>
      <c r="W678" s="357"/>
      <c r="X678" s="357"/>
      <c r="Y678" s="357"/>
      <c r="Z678" s="357"/>
    </row>
    <row r="679" ht="15.75" customHeight="1">
      <c r="A679" s="466" t="s">
        <v>8213</v>
      </c>
      <c r="B679" s="466">
        <v>2024.0</v>
      </c>
      <c r="C679" s="466">
        <v>5.0</v>
      </c>
      <c r="D679" s="466">
        <v>45436.0</v>
      </c>
      <c r="E679" s="466" t="s">
        <v>7747</v>
      </c>
      <c r="F679" s="466" t="s">
        <v>8240</v>
      </c>
      <c r="G679" s="466" t="s">
        <v>7075</v>
      </c>
      <c r="H679" s="466" t="s">
        <v>8205</v>
      </c>
      <c r="I679" s="466">
        <v>1.0</v>
      </c>
      <c r="J679" s="503"/>
      <c r="K679" s="466" t="s">
        <v>7393</v>
      </c>
      <c r="L679" s="466">
        <v>105.0</v>
      </c>
      <c r="M679" s="466"/>
      <c r="N679" s="466"/>
      <c r="O679" s="466"/>
      <c r="P679" s="357"/>
      <c r="Q679" s="357"/>
      <c r="R679" s="357"/>
      <c r="S679" s="357"/>
      <c r="T679" s="357"/>
      <c r="U679" s="357"/>
      <c r="V679" s="357"/>
      <c r="W679" s="357"/>
      <c r="X679" s="357"/>
      <c r="Y679" s="357"/>
      <c r="Z679" s="357"/>
    </row>
    <row r="680" ht="15.75" customHeight="1">
      <c r="A680" s="466" t="s">
        <v>8213</v>
      </c>
      <c r="B680" s="466">
        <v>2024.0</v>
      </c>
      <c r="C680" s="466">
        <v>5.0</v>
      </c>
      <c r="D680" s="466">
        <v>45436.0</v>
      </c>
      <c r="E680" s="466" t="s">
        <v>2193</v>
      </c>
      <c r="F680" s="466" t="s">
        <v>8241</v>
      </c>
      <c r="G680" s="466" t="s">
        <v>7075</v>
      </c>
      <c r="H680" s="466" t="s">
        <v>8217</v>
      </c>
      <c r="I680" s="466">
        <v>1.0</v>
      </c>
      <c r="J680" s="503"/>
      <c r="K680" s="466" t="s">
        <v>2511</v>
      </c>
      <c r="L680" s="466">
        <v>105.0</v>
      </c>
      <c r="M680" s="466"/>
      <c r="N680" s="466"/>
      <c r="O680" s="466"/>
      <c r="P680" s="357"/>
      <c r="Q680" s="357"/>
      <c r="R680" s="357"/>
      <c r="S680" s="357"/>
      <c r="T680" s="357"/>
      <c r="U680" s="357"/>
      <c r="V680" s="357"/>
      <c r="W680" s="357"/>
      <c r="X680" s="357"/>
      <c r="Y680" s="357"/>
      <c r="Z680" s="357"/>
    </row>
    <row r="681" ht="15.75" customHeight="1">
      <c r="A681" s="466" t="s">
        <v>8213</v>
      </c>
      <c r="B681" s="466">
        <v>2024.0</v>
      </c>
      <c r="C681" s="466">
        <v>5.0</v>
      </c>
      <c r="D681" s="466">
        <v>45436.0</v>
      </c>
      <c r="E681" s="466" t="s">
        <v>8242</v>
      </c>
      <c r="F681" s="466" t="s">
        <v>8243</v>
      </c>
      <c r="G681" s="466" t="s">
        <v>7611</v>
      </c>
      <c r="H681" s="466" t="s">
        <v>8215</v>
      </c>
      <c r="I681" s="466">
        <v>1.0</v>
      </c>
      <c r="J681" s="503"/>
      <c r="K681" s="466" t="s">
        <v>2511</v>
      </c>
      <c r="L681" s="466">
        <v>80.0</v>
      </c>
      <c r="M681" s="466"/>
      <c r="N681" s="466"/>
      <c r="O681" s="466"/>
      <c r="P681" s="357"/>
      <c r="Q681" s="357"/>
      <c r="R681" s="357"/>
      <c r="S681" s="357"/>
      <c r="T681" s="357"/>
      <c r="U681" s="357"/>
      <c r="V681" s="357"/>
      <c r="W681" s="357"/>
      <c r="X681" s="357"/>
      <c r="Y681" s="357"/>
      <c r="Z681" s="357"/>
    </row>
    <row r="682" ht="15.75" customHeight="1">
      <c r="A682" s="466" t="s">
        <v>8213</v>
      </c>
      <c r="B682" s="466">
        <v>2024.0</v>
      </c>
      <c r="C682" s="466">
        <v>5.0</v>
      </c>
      <c r="D682" s="466">
        <v>45437.0</v>
      </c>
      <c r="E682" s="466" t="s">
        <v>7408</v>
      </c>
      <c r="F682" s="466" t="s">
        <v>7409</v>
      </c>
      <c r="G682" s="466" t="s">
        <v>6613</v>
      </c>
      <c r="H682" s="466" t="s">
        <v>8244</v>
      </c>
      <c r="I682" s="466">
        <v>1.0</v>
      </c>
      <c r="J682" s="503"/>
      <c r="K682" s="466" t="s">
        <v>7393</v>
      </c>
      <c r="L682" s="466">
        <v>65.0</v>
      </c>
      <c r="M682" s="466"/>
      <c r="N682" s="466"/>
      <c r="O682" s="466"/>
      <c r="P682" s="357"/>
      <c r="Q682" s="357"/>
      <c r="R682" s="357"/>
      <c r="S682" s="357"/>
      <c r="T682" s="357"/>
      <c r="U682" s="357"/>
      <c r="V682" s="357"/>
      <c r="W682" s="357"/>
      <c r="X682" s="357"/>
      <c r="Y682" s="357"/>
      <c r="Z682" s="357"/>
    </row>
    <row r="683" ht="15.75" customHeight="1">
      <c r="A683" s="466" t="s">
        <v>8213</v>
      </c>
      <c r="B683" s="466">
        <v>2024.0</v>
      </c>
      <c r="C683" s="466">
        <v>5.0</v>
      </c>
      <c r="D683" s="466">
        <v>45437.0</v>
      </c>
      <c r="E683" s="466" t="s">
        <v>8245</v>
      </c>
      <c r="F683" s="466"/>
      <c r="G683" s="466" t="s">
        <v>7075</v>
      </c>
      <c r="H683" s="466" t="s">
        <v>8217</v>
      </c>
      <c r="I683" s="466">
        <v>1.0</v>
      </c>
      <c r="J683" s="503"/>
      <c r="K683" s="466" t="s">
        <v>7393</v>
      </c>
      <c r="L683" s="466">
        <v>109.0</v>
      </c>
      <c r="M683" s="466"/>
      <c r="N683" s="466"/>
      <c r="O683" s="466"/>
      <c r="P683" s="357"/>
      <c r="Q683" s="357"/>
      <c r="R683" s="357"/>
      <c r="S683" s="357"/>
      <c r="T683" s="357"/>
      <c r="U683" s="357"/>
      <c r="V683" s="357"/>
      <c r="W683" s="357"/>
      <c r="X683" s="357"/>
      <c r="Y683" s="357"/>
      <c r="Z683" s="357"/>
    </row>
    <row r="684" ht="15.75" customHeight="1">
      <c r="A684" s="466" t="s">
        <v>8213</v>
      </c>
      <c r="B684" s="466">
        <v>2024.0</v>
      </c>
      <c r="C684" s="466">
        <v>5.0</v>
      </c>
      <c r="D684" s="466">
        <v>45437.0</v>
      </c>
      <c r="E684" s="466" t="s">
        <v>8246</v>
      </c>
      <c r="F684" s="466" t="s">
        <v>8247</v>
      </c>
      <c r="G684" s="466" t="s">
        <v>7106</v>
      </c>
      <c r="H684" s="466" t="s">
        <v>8248</v>
      </c>
      <c r="I684" s="466">
        <v>1.0</v>
      </c>
      <c r="J684" s="503"/>
      <c r="K684" s="466" t="s">
        <v>2511</v>
      </c>
      <c r="L684" s="466">
        <v>70.0</v>
      </c>
      <c r="M684" s="466"/>
      <c r="N684" s="466"/>
      <c r="O684" s="466"/>
      <c r="P684" s="357"/>
      <c r="Q684" s="357"/>
      <c r="R684" s="357"/>
      <c r="S684" s="357"/>
      <c r="T684" s="357"/>
      <c r="U684" s="357"/>
      <c r="V684" s="357"/>
      <c r="W684" s="357"/>
      <c r="X684" s="357"/>
      <c r="Y684" s="357"/>
      <c r="Z684" s="357"/>
    </row>
    <row r="685" ht="15.75" customHeight="1">
      <c r="A685" s="466" t="s">
        <v>8213</v>
      </c>
      <c r="B685" s="466">
        <v>2024.0</v>
      </c>
      <c r="C685" s="466">
        <v>5.0</v>
      </c>
      <c r="D685" s="466">
        <v>45438.0</v>
      </c>
      <c r="E685" s="466" t="s">
        <v>7515</v>
      </c>
      <c r="F685" s="466" t="s">
        <v>8249</v>
      </c>
      <c r="G685" s="466" t="s">
        <v>7106</v>
      </c>
      <c r="H685" s="466" t="s">
        <v>8250</v>
      </c>
      <c r="I685" s="466">
        <v>1.0</v>
      </c>
      <c r="J685" s="503"/>
      <c r="K685" s="466" t="s">
        <v>7393</v>
      </c>
      <c r="L685" s="466">
        <v>65.0</v>
      </c>
      <c r="M685" s="466"/>
      <c r="N685" s="466"/>
      <c r="O685" s="466"/>
      <c r="P685" s="357"/>
      <c r="Q685" s="357"/>
      <c r="R685" s="357"/>
      <c r="S685" s="357"/>
      <c r="T685" s="357"/>
      <c r="U685" s="357"/>
      <c r="V685" s="357"/>
      <c r="W685" s="357"/>
      <c r="X685" s="357"/>
      <c r="Y685" s="357"/>
      <c r="Z685" s="357"/>
    </row>
    <row r="686" ht="15.75" customHeight="1">
      <c r="A686" s="466" t="s">
        <v>8213</v>
      </c>
      <c r="B686" s="466">
        <v>2024.0</v>
      </c>
      <c r="C686" s="466">
        <v>5.0</v>
      </c>
      <c r="D686" s="466">
        <v>45438.0</v>
      </c>
      <c r="E686" s="466" t="s">
        <v>2600</v>
      </c>
      <c r="F686" s="466" t="s">
        <v>8083</v>
      </c>
      <c r="G686" s="466" t="s">
        <v>7106</v>
      </c>
      <c r="H686" s="466" t="s">
        <v>8251</v>
      </c>
      <c r="I686" s="466">
        <v>1.0</v>
      </c>
      <c r="J686" s="503"/>
      <c r="K686" s="466" t="s">
        <v>7393</v>
      </c>
      <c r="L686" s="466">
        <v>75.0</v>
      </c>
      <c r="M686" s="466"/>
      <c r="N686" s="466"/>
      <c r="O686" s="466"/>
      <c r="P686" s="357"/>
      <c r="Q686" s="357"/>
      <c r="R686" s="357"/>
      <c r="S686" s="357"/>
      <c r="T686" s="357"/>
      <c r="U686" s="357"/>
      <c r="V686" s="357"/>
      <c r="W686" s="357"/>
      <c r="X686" s="357"/>
      <c r="Y686" s="357"/>
      <c r="Z686" s="357"/>
    </row>
    <row r="687" ht="15.75" customHeight="1">
      <c r="A687" s="466" t="s">
        <v>8213</v>
      </c>
      <c r="B687" s="466">
        <v>2024.0</v>
      </c>
      <c r="C687" s="466">
        <v>5.0</v>
      </c>
      <c r="D687" s="466">
        <v>45438.0</v>
      </c>
      <c r="E687" s="466" t="s">
        <v>8252</v>
      </c>
      <c r="F687" s="466" t="s">
        <v>8253</v>
      </c>
      <c r="G687" s="466" t="s">
        <v>7075</v>
      </c>
      <c r="H687" s="466" t="s">
        <v>8254</v>
      </c>
      <c r="I687" s="466">
        <v>1.0</v>
      </c>
      <c r="J687" s="503"/>
      <c r="K687" s="466" t="s">
        <v>8255</v>
      </c>
      <c r="L687" s="466">
        <v>90.0</v>
      </c>
      <c r="M687" s="466"/>
      <c r="N687" s="466"/>
      <c r="O687" s="466"/>
      <c r="P687" s="357"/>
      <c r="Q687" s="357"/>
      <c r="R687" s="357"/>
      <c r="S687" s="357"/>
      <c r="T687" s="357"/>
      <c r="U687" s="357"/>
      <c r="V687" s="357"/>
      <c r="W687" s="357"/>
      <c r="X687" s="357"/>
      <c r="Y687" s="357"/>
      <c r="Z687" s="357"/>
    </row>
    <row r="688" ht="15.75" customHeight="1">
      <c r="A688" s="466" t="s">
        <v>8160</v>
      </c>
      <c r="B688" s="466">
        <v>2024.0</v>
      </c>
      <c r="C688" s="466">
        <v>5.0</v>
      </c>
      <c r="D688" s="466">
        <v>45442.0</v>
      </c>
      <c r="E688" s="466" t="s">
        <v>7747</v>
      </c>
      <c r="F688" s="466" t="s">
        <v>7797</v>
      </c>
      <c r="G688" s="466" t="s">
        <v>7106</v>
      </c>
      <c r="H688" s="466" t="s">
        <v>8210</v>
      </c>
      <c r="I688" s="466">
        <v>1.0</v>
      </c>
      <c r="J688" s="503"/>
      <c r="K688" s="466" t="s">
        <v>8256</v>
      </c>
      <c r="L688" s="466">
        <v>50.0</v>
      </c>
      <c r="M688" s="466"/>
      <c r="N688" s="466"/>
      <c r="O688" s="466"/>
      <c r="P688" s="357"/>
      <c r="Q688" s="357"/>
      <c r="R688" s="357"/>
      <c r="S688" s="357"/>
      <c r="T688" s="357"/>
      <c r="U688" s="357"/>
      <c r="V688" s="357"/>
      <c r="W688" s="357"/>
      <c r="X688" s="357"/>
      <c r="Y688" s="357"/>
      <c r="Z688" s="357"/>
    </row>
    <row r="689" ht="15.75" customHeight="1">
      <c r="A689" s="466" t="s">
        <v>8160</v>
      </c>
      <c r="B689" s="466">
        <v>2024.0</v>
      </c>
      <c r="C689" s="466">
        <v>5.0</v>
      </c>
      <c r="D689" s="466">
        <v>45442.0</v>
      </c>
      <c r="E689" s="466" t="s">
        <v>7814</v>
      </c>
      <c r="F689" s="466"/>
      <c r="G689" s="466" t="s">
        <v>7100</v>
      </c>
      <c r="H689" s="466" t="s">
        <v>6643</v>
      </c>
      <c r="I689" s="466">
        <v>1.0</v>
      </c>
      <c r="J689" s="503"/>
      <c r="K689" s="466" t="s">
        <v>8257</v>
      </c>
      <c r="L689" s="466">
        <v>135.0</v>
      </c>
      <c r="M689" s="466"/>
      <c r="N689" s="466"/>
      <c r="O689" s="466"/>
      <c r="P689" s="357"/>
      <c r="Q689" s="357"/>
      <c r="R689" s="357"/>
      <c r="S689" s="357"/>
      <c r="T689" s="357"/>
      <c r="U689" s="357"/>
      <c r="V689" s="357"/>
      <c r="W689" s="357"/>
      <c r="X689" s="357"/>
      <c r="Y689" s="357"/>
      <c r="Z689" s="357"/>
    </row>
    <row r="690" ht="15.75" customHeight="1">
      <c r="A690" s="466" t="s">
        <v>8160</v>
      </c>
      <c r="B690" s="466">
        <v>2024.0</v>
      </c>
      <c r="C690" s="466">
        <v>5.0</v>
      </c>
      <c r="D690" s="466">
        <v>45442.0</v>
      </c>
      <c r="E690" s="466" t="s">
        <v>7814</v>
      </c>
      <c r="F690" s="466"/>
      <c r="G690" s="466" t="s">
        <v>7100</v>
      </c>
      <c r="H690" s="466" t="s">
        <v>248</v>
      </c>
      <c r="I690" s="466">
        <v>1.0</v>
      </c>
      <c r="J690" s="503"/>
      <c r="K690" s="466" t="s">
        <v>8257</v>
      </c>
      <c r="L690" s="466">
        <v>135.0</v>
      </c>
      <c r="M690" s="466"/>
      <c r="N690" s="466"/>
      <c r="O690" s="466"/>
      <c r="P690" s="357"/>
      <c r="Q690" s="357"/>
      <c r="R690" s="357"/>
      <c r="S690" s="357"/>
      <c r="T690" s="357"/>
      <c r="U690" s="357"/>
      <c r="V690" s="357"/>
      <c r="W690" s="357"/>
      <c r="X690" s="357"/>
      <c r="Y690" s="357"/>
      <c r="Z690" s="357"/>
    </row>
    <row r="691" ht="15.75" customHeight="1">
      <c r="A691" s="466" t="s">
        <v>8160</v>
      </c>
      <c r="B691" s="466">
        <v>2024.0</v>
      </c>
      <c r="C691" s="466">
        <v>5.0</v>
      </c>
      <c r="D691" s="466">
        <v>45442.0</v>
      </c>
      <c r="E691" s="466" t="s">
        <v>2594</v>
      </c>
      <c r="F691" s="466" t="s">
        <v>2595</v>
      </c>
      <c r="G691" s="466" t="s">
        <v>7075</v>
      </c>
      <c r="H691" s="466" t="s">
        <v>8205</v>
      </c>
      <c r="I691" s="466">
        <v>1.0</v>
      </c>
      <c r="J691" s="503"/>
      <c r="K691" s="466" t="s">
        <v>2584</v>
      </c>
      <c r="L691" s="466" t="s">
        <v>7246</v>
      </c>
      <c r="M691" s="466"/>
      <c r="N691" s="466"/>
      <c r="O691" s="466"/>
      <c r="P691" s="357"/>
      <c r="Q691" s="357"/>
      <c r="R691" s="357"/>
      <c r="S691" s="357"/>
      <c r="T691" s="357"/>
      <c r="U691" s="357"/>
      <c r="V691" s="357"/>
      <c r="W691" s="357"/>
      <c r="X691" s="357"/>
      <c r="Y691" s="357"/>
      <c r="Z691" s="357"/>
    </row>
    <row r="692" ht="15.75" customHeight="1">
      <c r="A692" s="466" t="s">
        <v>8258</v>
      </c>
      <c r="B692" s="466">
        <v>2024.0</v>
      </c>
      <c r="C692" s="466">
        <v>6.0</v>
      </c>
      <c r="D692" s="466">
        <v>45448.0</v>
      </c>
      <c r="E692" s="466" t="s">
        <v>7784</v>
      </c>
      <c r="F692" s="466" t="s">
        <v>7756</v>
      </c>
      <c r="G692" s="466" t="s">
        <v>7106</v>
      </c>
      <c r="H692" s="466" t="s">
        <v>8259</v>
      </c>
      <c r="I692" s="466">
        <v>1.0</v>
      </c>
      <c r="J692" s="503"/>
      <c r="K692" s="466" t="s">
        <v>7393</v>
      </c>
      <c r="L692" s="466">
        <v>75.0</v>
      </c>
      <c r="M692" s="466"/>
      <c r="N692" s="466"/>
      <c r="O692" s="466"/>
      <c r="P692" s="357"/>
      <c r="Q692" s="357"/>
      <c r="R692" s="357"/>
      <c r="S692" s="357"/>
      <c r="T692" s="357"/>
      <c r="U692" s="357"/>
      <c r="V692" s="357"/>
      <c r="W692" s="357"/>
      <c r="X692" s="357"/>
      <c r="Y692" s="357"/>
      <c r="Z692" s="357"/>
    </row>
    <row r="693" ht="15.75" customHeight="1">
      <c r="A693" s="466" t="s">
        <v>8258</v>
      </c>
      <c r="B693" s="466">
        <v>2024.0</v>
      </c>
      <c r="C693" s="466">
        <v>6.0</v>
      </c>
      <c r="D693" s="466">
        <v>45448.0</v>
      </c>
      <c r="E693" s="466"/>
      <c r="F693" s="466" t="s">
        <v>8049</v>
      </c>
      <c r="G693" s="466" t="s">
        <v>7106</v>
      </c>
      <c r="H693" s="466" t="s">
        <v>8260</v>
      </c>
      <c r="I693" s="466">
        <v>1.0</v>
      </c>
      <c r="J693" s="503"/>
      <c r="K693" s="466" t="s">
        <v>7393</v>
      </c>
      <c r="L693" s="466">
        <v>75.0</v>
      </c>
      <c r="M693" s="466"/>
      <c r="N693" s="466"/>
      <c r="O693" s="466"/>
      <c r="P693" s="357"/>
      <c r="Q693" s="357"/>
      <c r="R693" s="357"/>
      <c r="S693" s="357"/>
      <c r="T693" s="357"/>
      <c r="U693" s="357"/>
      <c r="V693" s="357"/>
      <c r="W693" s="357"/>
      <c r="X693" s="357"/>
      <c r="Y693" s="357"/>
      <c r="Z693" s="357"/>
    </row>
    <row r="694" ht="15.75" customHeight="1">
      <c r="A694" s="466" t="s">
        <v>8258</v>
      </c>
      <c r="B694" s="466">
        <v>2024.0</v>
      </c>
      <c r="C694" s="466">
        <v>6.0</v>
      </c>
      <c r="D694" s="466">
        <v>45448.0</v>
      </c>
      <c r="E694" s="466" t="s">
        <v>7714</v>
      </c>
      <c r="F694" s="466" t="s">
        <v>8261</v>
      </c>
      <c r="G694" s="466" t="s">
        <v>7075</v>
      </c>
      <c r="H694" s="466" t="s">
        <v>6795</v>
      </c>
      <c r="I694" s="466">
        <v>1.0</v>
      </c>
      <c r="J694" s="503"/>
      <c r="K694" s="466" t="s">
        <v>7393</v>
      </c>
      <c r="L694" s="466">
        <v>105.0</v>
      </c>
      <c r="M694" s="466"/>
      <c r="N694" s="466"/>
      <c r="O694" s="466"/>
      <c r="P694" s="357"/>
      <c r="Q694" s="357"/>
      <c r="R694" s="357"/>
      <c r="S694" s="357"/>
      <c r="T694" s="357"/>
      <c r="U694" s="357"/>
      <c r="V694" s="357"/>
      <c r="W694" s="357"/>
      <c r="X694" s="357"/>
      <c r="Y694" s="357"/>
      <c r="Z694" s="357"/>
    </row>
    <row r="695" ht="15.75" customHeight="1">
      <c r="A695" s="466" t="s">
        <v>8258</v>
      </c>
      <c r="B695" s="466">
        <v>2024.0</v>
      </c>
      <c r="C695" s="466">
        <v>6.0</v>
      </c>
      <c r="D695" s="466">
        <v>45448.0</v>
      </c>
      <c r="E695" s="466" t="s">
        <v>2547</v>
      </c>
      <c r="F695" s="466" t="s">
        <v>7979</v>
      </c>
      <c r="G695" s="466" t="s">
        <v>7075</v>
      </c>
      <c r="H695" s="466" t="s">
        <v>8262</v>
      </c>
      <c r="I695" s="466">
        <v>1.0</v>
      </c>
      <c r="J695" s="503"/>
      <c r="K695" s="466" t="s">
        <v>7393</v>
      </c>
      <c r="L695" s="466">
        <v>110.0</v>
      </c>
      <c r="M695" s="466"/>
      <c r="N695" s="466"/>
      <c r="O695" s="466"/>
      <c r="P695" s="357"/>
      <c r="Q695" s="357"/>
      <c r="R695" s="357"/>
      <c r="S695" s="357"/>
      <c r="T695" s="357"/>
      <c r="U695" s="357"/>
      <c r="V695" s="357"/>
      <c r="W695" s="357"/>
      <c r="X695" s="357"/>
      <c r="Y695" s="357"/>
      <c r="Z695" s="357"/>
    </row>
    <row r="696" ht="15.75" customHeight="1">
      <c r="A696" s="466" t="s">
        <v>8258</v>
      </c>
      <c r="B696" s="466">
        <v>2024.0</v>
      </c>
      <c r="C696" s="466">
        <v>6.0</v>
      </c>
      <c r="D696" s="466">
        <v>45448.0</v>
      </c>
      <c r="E696" s="466" t="s">
        <v>7489</v>
      </c>
      <c r="F696" s="466" t="s">
        <v>8263</v>
      </c>
      <c r="G696" s="466" t="s">
        <v>7075</v>
      </c>
      <c r="H696" s="466" t="s">
        <v>8217</v>
      </c>
      <c r="I696" s="466">
        <v>1.0</v>
      </c>
      <c r="J696" s="503"/>
      <c r="K696" s="466" t="s">
        <v>7393</v>
      </c>
      <c r="L696" s="466">
        <v>110.0</v>
      </c>
      <c r="M696" s="466"/>
      <c r="N696" s="466"/>
      <c r="O696" s="466"/>
      <c r="P696" s="357"/>
      <c r="Q696" s="357"/>
      <c r="R696" s="357"/>
      <c r="S696" s="357"/>
      <c r="T696" s="357"/>
      <c r="U696" s="357"/>
      <c r="V696" s="357"/>
      <c r="W696" s="357"/>
      <c r="X696" s="357"/>
      <c r="Y696" s="357"/>
      <c r="Z696" s="357"/>
    </row>
    <row r="697" ht="15.75" customHeight="1">
      <c r="A697" s="466" t="s">
        <v>8258</v>
      </c>
      <c r="B697" s="466">
        <v>2024.0</v>
      </c>
      <c r="C697" s="466">
        <v>6.0</v>
      </c>
      <c r="D697" s="466">
        <v>45449.0</v>
      </c>
      <c r="E697" s="466" t="s">
        <v>2623</v>
      </c>
      <c r="F697" s="466" t="s">
        <v>8264</v>
      </c>
      <c r="G697" s="466" t="s">
        <v>7100</v>
      </c>
      <c r="H697" s="466" t="s">
        <v>248</v>
      </c>
      <c r="I697" s="466">
        <v>1.0</v>
      </c>
      <c r="J697" s="503"/>
      <c r="K697" s="466" t="s">
        <v>7393</v>
      </c>
      <c r="L697" s="466">
        <v>170.0</v>
      </c>
      <c r="M697" s="466"/>
      <c r="N697" s="466"/>
      <c r="O697" s="466"/>
      <c r="P697" s="357"/>
      <c r="Q697" s="357"/>
      <c r="R697" s="357"/>
      <c r="S697" s="357"/>
      <c r="T697" s="357"/>
      <c r="U697" s="357"/>
      <c r="V697" s="357"/>
      <c r="W697" s="357"/>
      <c r="X697" s="357"/>
      <c r="Y697" s="357"/>
      <c r="Z697" s="357"/>
    </row>
    <row r="698" ht="15.75" customHeight="1">
      <c r="A698" s="466" t="s">
        <v>8258</v>
      </c>
      <c r="B698" s="466">
        <v>2024.0</v>
      </c>
      <c r="C698" s="466">
        <v>6.0</v>
      </c>
      <c r="D698" s="466">
        <v>45449.0</v>
      </c>
      <c r="E698" s="466" t="s">
        <v>8265</v>
      </c>
      <c r="F698" s="466" t="s">
        <v>8266</v>
      </c>
      <c r="G698" s="466" t="s">
        <v>7075</v>
      </c>
      <c r="H698" s="466" t="s">
        <v>8267</v>
      </c>
      <c r="I698" s="466">
        <v>1.0</v>
      </c>
      <c r="J698" s="503"/>
      <c r="K698" s="466" t="s">
        <v>7393</v>
      </c>
      <c r="L698" s="466">
        <v>90.0</v>
      </c>
      <c r="M698" s="466"/>
      <c r="N698" s="466"/>
      <c r="O698" s="466"/>
      <c r="P698" s="357"/>
      <c r="Q698" s="357"/>
      <c r="R698" s="357"/>
      <c r="S698" s="357"/>
      <c r="T698" s="357"/>
      <c r="U698" s="357"/>
      <c r="V698" s="357"/>
      <c r="W698" s="357"/>
      <c r="X698" s="357"/>
      <c r="Y698" s="357"/>
      <c r="Z698" s="357"/>
    </row>
    <row r="699" ht="15.75" customHeight="1">
      <c r="A699" s="466" t="s">
        <v>8258</v>
      </c>
      <c r="B699" s="466">
        <v>2024.0</v>
      </c>
      <c r="C699" s="466">
        <v>6.0</v>
      </c>
      <c r="D699" s="466">
        <v>45449.0</v>
      </c>
      <c r="E699" s="466" t="s">
        <v>8265</v>
      </c>
      <c r="F699" s="466" t="s">
        <v>8266</v>
      </c>
      <c r="G699" s="466" t="s">
        <v>7059</v>
      </c>
      <c r="H699" s="466" t="s">
        <v>8268</v>
      </c>
      <c r="I699" s="466">
        <v>1.0</v>
      </c>
      <c r="J699" s="503"/>
      <c r="K699" s="466" t="s">
        <v>7393</v>
      </c>
      <c r="L699" s="466">
        <v>85.0</v>
      </c>
      <c r="M699" s="466"/>
      <c r="N699" s="466"/>
      <c r="O699" s="466"/>
      <c r="P699" s="357"/>
      <c r="Q699" s="357"/>
      <c r="R699" s="357"/>
      <c r="S699" s="357"/>
      <c r="T699" s="357"/>
      <c r="U699" s="357"/>
      <c r="V699" s="357"/>
      <c r="W699" s="357"/>
      <c r="X699" s="357"/>
      <c r="Y699" s="357"/>
      <c r="Z699" s="357"/>
    </row>
    <row r="700" ht="15.75" customHeight="1">
      <c r="A700" s="466" t="s">
        <v>8258</v>
      </c>
      <c r="B700" s="466">
        <v>2024.0</v>
      </c>
      <c r="C700" s="466">
        <v>6.0</v>
      </c>
      <c r="D700" s="466">
        <v>45449.0</v>
      </c>
      <c r="E700" s="466" t="s">
        <v>2623</v>
      </c>
      <c r="F700" s="466" t="s">
        <v>8269</v>
      </c>
      <c r="G700" s="466" t="s">
        <v>7106</v>
      </c>
      <c r="H700" s="466" t="s">
        <v>226</v>
      </c>
      <c r="I700" s="466">
        <v>1.0</v>
      </c>
      <c r="J700" s="503"/>
      <c r="K700" s="466" t="s">
        <v>7393</v>
      </c>
      <c r="L700" s="466">
        <v>85.0</v>
      </c>
      <c r="M700" s="466"/>
      <c r="N700" s="466"/>
      <c r="O700" s="466"/>
      <c r="P700" s="357"/>
      <c r="Q700" s="357"/>
      <c r="R700" s="357"/>
      <c r="S700" s="357"/>
      <c r="T700" s="357"/>
      <c r="U700" s="357"/>
      <c r="V700" s="357"/>
      <c r="W700" s="357"/>
      <c r="X700" s="357"/>
      <c r="Y700" s="357"/>
      <c r="Z700" s="357"/>
    </row>
    <row r="701" ht="15.75" customHeight="1">
      <c r="A701" s="466" t="s">
        <v>8258</v>
      </c>
      <c r="B701" s="466">
        <v>2024.0</v>
      </c>
      <c r="C701" s="466">
        <v>6.0</v>
      </c>
      <c r="D701" s="466">
        <v>45449.0</v>
      </c>
      <c r="E701" s="466" t="s">
        <v>7637</v>
      </c>
      <c r="F701" s="466" t="s">
        <v>8152</v>
      </c>
      <c r="G701" s="466" t="s">
        <v>7075</v>
      </c>
      <c r="H701" s="466" t="s">
        <v>8217</v>
      </c>
      <c r="I701" s="466">
        <v>1.0</v>
      </c>
      <c r="J701" s="503"/>
      <c r="K701" s="466" t="s">
        <v>7393</v>
      </c>
      <c r="L701" s="466">
        <v>105.0</v>
      </c>
      <c r="M701" s="466"/>
      <c r="N701" s="466"/>
      <c r="O701" s="466"/>
      <c r="P701" s="357"/>
      <c r="Q701" s="357"/>
      <c r="R701" s="357"/>
      <c r="S701" s="357"/>
      <c r="T701" s="357"/>
      <c r="U701" s="357"/>
      <c r="V701" s="357"/>
      <c r="W701" s="357"/>
      <c r="X701" s="357"/>
      <c r="Y701" s="357"/>
      <c r="Z701" s="357"/>
    </row>
    <row r="702" ht="15.75" customHeight="1">
      <c r="A702" s="466" t="s">
        <v>8258</v>
      </c>
      <c r="B702" s="466">
        <v>2024.0</v>
      </c>
      <c r="C702" s="466">
        <v>6.0</v>
      </c>
      <c r="D702" s="466">
        <v>45449.0</v>
      </c>
      <c r="E702" s="466" t="s">
        <v>7489</v>
      </c>
      <c r="F702" s="466" t="s">
        <v>8270</v>
      </c>
      <c r="G702" s="466" t="s">
        <v>7059</v>
      </c>
      <c r="H702" s="466" t="s">
        <v>8271</v>
      </c>
      <c r="I702" s="466">
        <v>1.0</v>
      </c>
      <c r="J702" s="503"/>
      <c r="K702" s="466" t="s">
        <v>8272</v>
      </c>
      <c r="L702" s="466">
        <v>70.0</v>
      </c>
      <c r="M702" s="466"/>
      <c r="N702" s="466"/>
      <c r="O702" s="466"/>
      <c r="P702" s="357"/>
      <c r="Q702" s="357"/>
      <c r="R702" s="357"/>
      <c r="S702" s="357"/>
      <c r="T702" s="357"/>
      <c r="U702" s="357"/>
      <c r="V702" s="357"/>
      <c r="W702" s="357"/>
      <c r="X702" s="357"/>
      <c r="Y702" s="357"/>
      <c r="Z702" s="357"/>
    </row>
    <row r="703" ht="15.75" customHeight="1">
      <c r="A703" s="466" t="s">
        <v>8258</v>
      </c>
      <c r="B703" s="466">
        <v>2024.0</v>
      </c>
      <c r="C703" s="466">
        <v>6.0</v>
      </c>
      <c r="D703" s="466">
        <v>45449.0</v>
      </c>
      <c r="E703" s="466" t="s">
        <v>7621</v>
      </c>
      <c r="F703" s="466" t="s">
        <v>2669</v>
      </c>
      <c r="G703" s="466" t="s">
        <v>7075</v>
      </c>
      <c r="H703" s="466" t="s">
        <v>230</v>
      </c>
      <c r="I703" s="466">
        <v>1.0</v>
      </c>
      <c r="J703" s="503"/>
      <c r="K703" s="466" t="s">
        <v>8273</v>
      </c>
      <c r="L703" s="466">
        <v>100.0</v>
      </c>
      <c r="M703" s="466"/>
      <c r="N703" s="466"/>
      <c r="O703" s="466"/>
      <c r="P703" s="357"/>
      <c r="Q703" s="357"/>
      <c r="R703" s="357"/>
      <c r="S703" s="357"/>
      <c r="T703" s="357"/>
      <c r="U703" s="357"/>
      <c r="V703" s="357"/>
      <c r="W703" s="357"/>
      <c r="X703" s="357"/>
      <c r="Y703" s="357"/>
      <c r="Z703" s="357"/>
    </row>
    <row r="704" ht="15.75" customHeight="1">
      <c r="A704" s="466" t="s">
        <v>8258</v>
      </c>
      <c r="B704" s="466">
        <v>2024.0</v>
      </c>
      <c r="C704" s="466">
        <v>6.0</v>
      </c>
      <c r="D704" s="466">
        <v>45450.0</v>
      </c>
      <c r="E704" s="466" t="s">
        <v>2578</v>
      </c>
      <c r="F704" s="466" t="s">
        <v>2579</v>
      </c>
      <c r="G704" s="466" t="s">
        <v>7075</v>
      </c>
      <c r="H704" s="466" t="s">
        <v>7092</v>
      </c>
      <c r="I704" s="466">
        <v>1.0</v>
      </c>
      <c r="J704" s="503"/>
      <c r="K704" s="466" t="s">
        <v>8274</v>
      </c>
      <c r="L704" s="466">
        <v>78.0</v>
      </c>
      <c r="M704" s="466"/>
      <c r="N704" s="466"/>
      <c r="O704" s="466"/>
      <c r="P704" s="357"/>
      <c r="Q704" s="357"/>
      <c r="R704" s="357"/>
      <c r="S704" s="357"/>
      <c r="T704" s="357"/>
      <c r="U704" s="357"/>
      <c r="V704" s="357"/>
      <c r="W704" s="357"/>
      <c r="X704" s="357"/>
      <c r="Y704" s="357"/>
      <c r="Z704" s="357"/>
    </row>
    <row r="705" ht="15.75" customHeight="1">
      <c r="A705" s="466" t="s">
        <v>8258</v>
      </c>
      <c r="B705" s="466">
        <v>2024.0</v>
      </c>
      <c r="C705" s="466">
        <v>6.0</v>
      </c>
      <c r="D705" s="466">
        <v>45450.0</v>
      </c>
      <c r="E705" s="466" t="s">
        <v>7760</v>
      </c>
      <c r="F705" s="466" t="s">
        <v>8275</v>
      </c>
      <c r="G705" s="466" t="s">
        <v>7611</v>
      </c>
      <c r="H705" s="466" t="s">
        <v>8276</v>
      </c>
      <c r="I705" s="466">
        <v>1.0</v>
      </c>
      <c r="J705" s="503"/>
      <c r="K705" s="466" t="s">
        <v>7393</v>
      </c>
      <c r="L705" s="466">
        <v>75.0</v>
      </c>
      <c r="M705" s="466"/>
      <c r="N705" s="466"/>
      <c r="O705" s="466"/>
      <c r="P705" s="357"/>
      <c r="Q705" s="357"/>
      <c r="R705" s="357"/>
      <c r="S705" s="357"/>
      <c r="T705" s="357"/>
      <c r="U705" s="357"/>
      <c r="V705" s="357"/>
      <c r="W705" s="357"/>
      <c r="X705" s="357"/>
      <c r="Y705" s="357"/>
      <c r="Z705" s="357"/>
    </row>
    <row r="706" ht="15.75" customHeight="1">
      <c r="A706" s="466" t="s">
        <v>8258</v>
      </c>
      <c r="B706" s="466">
        <v>2024.0</v>
      </c>
      <c r="C706" s="466">
        <v>6.0</v>
      </c>
      <c r="D706" s="466">
        <v>45450.0</v>
      </c>
      <c r="E706" s="466" t="s">
        <v>7417</v>
      </c>
      <c r="F706" s="466" t="s">
        <v>8277</v>
      </c>
      <c r="G706" s="466" t="s">
        <v>8278</v>
      </c>
      <c r="H706" s="466"/>
      <c r="I706" s="466">
        <v>1.0</v>
      </c>
      <c r="J706" s="503"/>
      <c r="K706" s="466" t="s">
        <v>2511</v>
      </c>
      <c r="L706" s="466">
        <v>30.0</v>
      </c>
      <c r="M706" s="466"/>
      <c r="N706" s="466"/>
      <c r="O706" s="466"/>
      <c r="P706" s="357"/>
      <c r="Q706" s="357"/>
      <c r="R706" s="357"/>
      <c r="S706" s="357"/>
      <c r="T706" s="357"/>
      <c r="U706" s="357"/>
      <c r="V706" s="357"/>
      <c r="W706" s="357"/>
      <c r="X706" s="357"/>
      <c r="Y706" s="357"/>
      <c r="Z706" s="357"/>
    </row>
    <row r="707" ht="15.75" customHeight="1">
      <c r="A707" s="466" t="s">
        <v>8258</v>
      </c>
      <c r="B707" s="466">
        <v>2024.0</v>
      </c>
      <c r="C707" s="466">
        <v>6.0</v>
      </c>
      <c r="D707" s="466">
        <v>45450.0</v>
      </c>
      <c r="E707" s="466" t="s">
        <v>2659</v>
      </c>
      <c r="F707" s="466" t="s">
        <v>8279</v>
      </c>
      <c r="G707" s="466" t="s">
        <v>7106</v>
      </c>
      <c r="H707" s="466" t="s">
        <v>8280</v>
      </c>
      <c r="I707" s="466">
        <v>1.0</v>
      </c>
      <c r="J707" s="503"/>
      <c r="K707" s="466" t="s">
        <v>7393</v>
      </c>
      <c r="L707" s="466">
        <v>80.0</v>
      </c>
      <c r="M707" s="466"/>
      <c r="N707" s="466"/>
      <c r="O707" s="466"/>
      <c r="P707" s="357"/>
      <c r="Q707" s="357"/>
      <c r="R707" s="357"/>
      <c r="S707" s="357"/>
      <c r="T707" s="357"/>
      <c r="U707" s="357"/>
      <c r="V707" s="357"/>
      <c r="W707" s="357"/>
      <c r="X707" s="357"/>
      <c r="Y707" s="357"/>
      <c r="Z707" s="357"/>
    </row>
    <row r="708" ht="15.75" customHeight="1">
      <c r="A708" s="466" t="s">
        <v>8258</v>
      </c>
      <c r="B708" s="466">
        <v>2024.0</v>
      </c>
      <c r="C708" s="466">
        <v>6.0</v>
      </c>
      <c r="D708" s="466">
        <v>45450.0</v>
      </c>
      <c r="E708" s="466" t="s">
        <v>2547</v>
      </c>
      <c r="F708" s="466" t="s">
        <v>7426</v>
      </c>
      <c r="G708" s="466" t="s">
        <v>7059</v>
      </c>
      <c r="H708" s="466"/>
      <c r="I708" s="466">
        <v>1.0</v>
      </c>
      <c r="J708" s="503"/>
      <c r="K708" s="466" t="s">
        <v>7393</v>
      </c>
      <c r="L708" s="466">
        <v>85.0</v>
      </c>
      <c r="M708" s="466"/>
      <c r="N708" s="466"/>
      <c r="O708" s="466"/>
      <c r="P708" s="357"/>
      <c r="Q708" s="357"/>
      <c r="R708" s="357"/>
      <c r="S708" s="357"/>
      <c r="T708" s="357"/>
      <c r="U708" s="357"/>
      <c r="V708" s="357"/>
      <c r="W708" s="357"/>
      <c r="X708" s="357"/>
      <c r="Y708" s="357"/>
      <c r="Z708" s="357"/>
    </row>
    <row r="709" ht="15.75" customHeight="1">
      <c r="A709" s="466" t="s">
        <v>8281</v>
      </c>
      <c r="B709" s="466">
        <v>2024.0</v>
      </c>
      <c r="C709" s="466">
        <v>6.0</v>
      </c>
      <c r="D709" s="466">
        <v>45451.0</v>
      </c>
      <c r="E709" s="466" t="s">
        <v>2566</v>
      </c>
      <c r="F709" s="466" t="s">
        <v>8282</v>
      </c>
      <c r="G709" s="466" t="s">
        <v>7059</v>
      </c>
      <c r="H709" s="466"/>
      <c r="I709" s="466">
        <v>1.0</v>
      </c>
      <c r="J709" s="503"/>
      <c r="K709" s="466" t="s">
        <v>8274</v>
      </c>
      <c r="L709" s="466">
        <v>90.0</v>
      </c>
      <c r="M709" s="466"/>
      <c r="N709" s="466"/>
      <c r="O709" s="466"/>
      <c r="P709" s="357"/>
      <c r="Q709" s="357"/>
      <c r="R709" s="357"/>
      <c r="S709" s="357"/>
      <c r="T709" s="357"/>
      <c r="U709" s="357"/>
      <c r="V709" s="357"/>
      <c r="W709" s="357"/>
      <c r="X709" s="357"/>
      <c r="Y709" s="357"/>
      <c r="Z709" s="357"/>
    </row>
    <row r="710" ht="15.75" customHeight="1">
      <c r="A710" s="466" t="s">
        <v>8281</v>
      </c>
      <c r="B710" s="466">
        <v>2024.0</v>
      </c>
      <c r="C710" s="466">
        <v>6.0</v>
      </c>
      <c r="D710" s="466">
        <v>45451.0</v>
      </c>
      <c r="E710" s="466" t="s">
        <v>8166</v>
      </c>
      <c r="F710" s="466"/>
      <c r="G710" s="466" t="s">
        <v>7106</v>
      </c>
      <c r="H710" s="466" t="s">
        <v>8283</v>
      </c>
      <c r="I710" s="466">
        <v>1.0</v>
      </c>
      <c r="J710" s="503"/>
      <c r="K710" s="466" t="s">
        <v>8274</v>
      </c>
      <c r="L710" s="466">
        <v>75.0</v>
      </c>
      <c r="M710" s="466"/>
      <c r="N710" s="466"/>
      <c r="O710" s="466"/>
      <c r="P710" s="357"/>
      <c r="Q710" s="357"/>
      <c r="R710" s="357"/>
      <c r="S710" s="357"/>
      <c r="T710" s="357"/>
      <c r="U710" s="357"/>
      <c r="V710" s="357"/>
      <c r="W710" s="357"/>
      <c r="X710" s="357"/>
      <c r="Y710" s="357"/>
      <c r="Z710" s="357"/>
    </row>
    <row r="711" ht="15.75" customHeight="1">
      <c r="A711" s="466" t="s">
        <v>8281</v>
      </c>
      <c r="B711" s="466">
        <v>2024.0</v>
      </c>
      <c r="C711" s="466">
        <v>6.0</v>
      </c>
      <c r="D711" s="466">
        <v>45451.0</v>
      </c>
      <c r="E711" s="466" t="s">
        <v>7703</v>
      </c>
      <c r="F711" s="466" t="s">
        <v>8284</v>
      </c>
      <c r="G711" s="466" t="s">
        <v>7075</v>
      </c>
      <c r="H711" s="466" t="s">
        <v>8217</v>
      </c>
      <c r="I711" s="466">
        <v>1.0</v>
      </c>
      <c r="J711" s="503"/>
      <c r="K711" s="466" t="s">
        <v>8211</v>
      </c>
      <c r="L711" s="466">
        <v>86.0</v>
      </c>
      <c r="M711" s="466"/>
      <c r="N711" s="466"/>
      <c r="O711" s="466"/>
      <c r="P711" s="357"/>
      <c r="Q711" s="357"/>
      <c r="R711" s="357"/>
      <c r="S711" s="357"/>
      <c r="T711" s="357"/>
      <c r="U711" s="357"/>
      <c r="V711" s="357"/>
      <c r="W711" s="357"/>
      <c r="X711" s="357"/>
      <c r="Y711" s="357"/>
      <c r="Z711" s="357"/>
    </row>
    <row r="712" ht="15.75" customHeight="1">
      <c r="A712" s="466" t="s">
        <v>8281</v>
      </c>
      <c r="B712" s="466">
        <v>2024.0</v>
      </c>
      <c r="C712" s="466">
        <v>6.0</v>
      </c>
      <c r="D712" s="466">
        <v>45451.0</v>
      </c>
      <c r="E712" s="466" t="s">
        <v>8285</v>
      </c>
      <c r="F712" s="466" t="s">
        <v>8286</v>
      </c>
      <c r="G712" s="466" t="s">
        <v>7106</v>
      </c>
      <c r="H712" s="466" t="s">
        <v>8287</v>
      </c>
      <c r="I712" s="466">
        <v>1.0</v>
      </c>
      <c r="J712" s="503"/>
      <c r="K712" s="466" t="s">
        <v>8211</v>
      </c>
      <c r="L712" s="466">
        <v>50.0</v>
      </c>
      <c r="M712" s="466"/>
      <c r="N712" s="466"/>
      <c r="O712" s="466"/>
      <c r="P712" s="357"/>
      <c r="Q712" s="357"/>
      <c r="R712" s="357"/>
      <c r="S712" s="357"/>
      <c r="T712" s="357"/>
      <c r="U712" s="357"/>
      <c r="V712" s="357"/>
      <c r="W712" s="357"/>
      <c r="X712" s="357"/>
      <c r="Y712" s="357"/>
      <c r="Z712" s="357"/>
    </row>
    <row r="713" ht="15.75" customHeight="1">
      <c r="A713" s="466" t="s">
        <v>8160</v>
      </c>
      <c r="B713" s="466">
        <v>2024.0</v>
      </c>
      <c r="C713" s="466">
        <v>6.0</v>
      </c>
      <c r="D713" s="466">
        <v>45453.0</v>
      </c>
      <c r="E713" s="466" t="s">
        <v>2780</v>
      </c>
      <c r="F713" s="466" t="s">
        <v>8288</v>
      </c>
      <c r="G713" s="466" t="s">
        <v>7075</v>
      </c>
      <c r="H713" s="466" t="s">
        <v>230</v>
      </c>
      <c r="I713" s="466">
        <v>1.0</v>
      </c>
      <c r="J713" s="503"/>
      <c r="K713" s="466" t="s">
        <v>8274</v>
      </c>
      <c r="L713" s="466">
        <v>100.0</v>
      </c>
      <c r="M713" s="466"/>
      <c r="N713" s="466"/>
      <c r="O713" s="466"/>
      <c r="P713" s="357"/>
      <c r="Q713" s="357"/>
      <c r="R713" s="357"/>
      <c r="S713" s="357"/>
      <c r="T713" s="357"/>
      <c r="U713" s="357"/>
      <c r="V713" s="357"/>
      <c r="W713" s="357"/>
      <c r="X713" s="357"/>
      <c r="Y713" s="357"/>
      <c r="Z713" s="357"/>
    </row>
    <row r="714" ht="15.75" customHeight="1">
      <c r="A714" s="466" t="s">
        <v>8160</v>
      </c>
      <c r="B714" s="466">
        <v>2024.0</v>
      </c>
      <c r="C714" s="466">
        <v>6.0</v>
      </c>
      <c r="D714" s="466">
        <v>45453.0</v>
      </c>
      <c r="E714" s="466" t="s">
        <v>8289</v>
      </c>
      <c r="F714" s="466" t="s">
        <v>8290</v>
      </c>
      <c r="G714" s="466" t="s">
        <v>7075</v>
      </c>
      <c r="H714" s="466" t="s">
        <v>8217</v>
      </c>
      <c r="I714" s="466">
        <v>1.0</v>
      </c>
      <c r="J714" s="503"/>
      <c r="K714" s="466" t="s">
        <v>8274</v>
      </c>
      <c r="L714" s="466">
        <v>100.0</v>
      </c>
      <c r="M714" s="466"/>
      <c r="N714" s="466"/>
      <c r="O714" s="466"/>
      <c r="P714" s="357"/>
      <c r="Q714" s="357"/>
      <c r="R714" s="357"/>
      <c r="S714" s="357"/>
      <c r="T714" s="357"/>
      <c r="U714" s="357"/>
      <c r="V714" s="357"/>
      <c r="W714" s="357"/>
      <c r="X714" s="357"/>
      <c r="Y714" s="357"/>
      <c r="Z714" s="357"/>
    </row>
    <row r="715" ht="15.75" customHeight="1">
      <c r="A715" s="466" t="s">
        <v>8160</v>
      </c>
      <c r="B715" s="466">
        <v>2024.0</v>
      </c>
      <c r="C715" s="466">
        <v>6.0</v>
      </c>
      <c r="D715" s="466">
        <v>45453.0</v>
      </c>
      <c r="E715" s="466" t="s">
        <v>7515</v>
      </c>
      <c r="F715" s="466" t="s">
        <v>2551</v>
      </c>
      <c r="G715" s="466" t="s">
        <v>7106</v>
      </c>
      <c r="H715" s="466" t="s">
        <v>8291</v>
      </c>
      <c r="I715" s="466">
        <v>1.0</v>
      </c>
      <c r="J715" s="503"/>
      <c r="K715" s="466" t="s">
        <v>8292</v>
      </c>
      <c r="L715" s="466">
        <v>60.0</v>
      </c>
      <c r="M715" s="466"/>
      <c r="N715" s="466"/>
      <c r="O715" s="466"/>
      <c r="P715" s="357"/>
      <c r="Q715" s="357"/>
      <c r="R715" s="357"/>
      <c r="S715" s="357"/>
      <c r="T715" s="357"/>
      <c r="U715" s="357"/>
      <c r="V715" s="357"/>
      <c r="W715" s="357"/>
      <c r="X715" s="357"/>
      <c r="Y715" s="357"/>
      <c r="Z715" s="357"/>
    </row>
    <row r="716" ht="15.75" customHeight="1">
      <c r="A716" s="466" t="s">
        <v>8160</v>
      </c>
      <c r="B716" s="466">
        <v>2024.0</v>
      </c>
      <c r="C716" s="466">
        <v>6.0</v>
      </c>
      <c r="D716" s="466">
        <v>45453.0</v>
      </c>
      <c r="E716" s="466" t="s">
        <v>7515</v>
      </c>
      <c r="F716" s="466" t="s">
        <v>2551</v>
      </c>
      <c r="G716" s="466" t="s">
        <v>7075</v>
      </c>
      <c r="H716" s="466" t="s">
        <v>8217</v>
      </c>
      <c r="I716" s="466">
        <v>1.0</v>
      </c>
      <c r="J716" s="503"/>
      <c r="K716" s="466" t="s">
        <v>8292</v>
      </c>
      <c r="L716" s="466">
        <v>95.0</v>
      </c>
      <c r="M716" s="466"/>
      <c r="N716" s="466"/>
      <c r="O716" s="466"/>
      <c r="P716" s="357"/>
      <c r="Q716" s="357"/>
      <c r="R716" s="357"/>
      <c r="S716" s="357"/>
      <c r="T716" s="357"/>
      <c r="U716" s="357"/>
      <c r="V716" s="357"/>
      <c r="W716" s="357"/>
      <c r="X716" s="357"/>
      <c r="Y716" s="357"/>
      <c r="Z716" s="357"/>
    </row>
    <row r="717" ht="15.75" customHeight="1">
      <c r="A717" s="466" t="s">
        <v>8160</v>
      </c>
      <c r="B717" s="466">
        <v>2024.0</v>
      </c>
      <c r="C717" s="466">
        <v>6.0</v>
      </c>
      <c r="D717" s="466">
        <v>45453.0</v>
      </c>
      <c r="E717" s="466" t="s">
        <v>7515</v>
      </c>
      <c r="F717" s="466" t="s">
        <v>2551</v>
      </c>
      <c r="G717" s="466" t="s">
        <v>7611</v>
      </c>
      <c r="H717" s="466" t="s">
        <v>8293</v>
      </c>
      <c r="I717" s="466">
        <v>1.0</v>
      </c>
      <c r="J717" s="503"/>
      <c r="K717" s="466" t="s">
        <v>8292</v>
      </c>
      <c r="L717" s="466">
        <v>90.0</v>
      </c>
      <c r="M717" s="466"/>
      <c r="N717" s="466"/>
      <c r="O717" s="466"/>
      <c r="P717" s="357"/>
      <c r="Q717" s="357"/>
      <c r="R717" s="357"/>
      <c r="S717" s="357"/>
      <c r="T717" s="357"/>
      <c r="U717" s="357"/>
      <c r="V717" s="357"/>
      <c r="W717" s="357"/>
      <c r="X717" s="357"/>
      <c r="Y717" s="357"/>
      <c r="Z717" s="357"/>
    </row>
    <row r="718" ht="15.75" customHeight="1">
      <c r="A718" s="466" t="s">
        <v>8160</v>
      </c>
      <c r="B718" s="466">
        <v>2024.0</v>
      </c>
      <c r="C718" s="466">
        <v>6.0</v>
      </c>
      <c r="D718" s="466">
        <v>45455.0</v>
      </c>
      <c r="E718" s="466" t="s">
        <v>2578</v>
      </c>
      <c r="F718" s="466" t="s">
        <v>8294</v>
      </c>
      <c r="G718" s="466" t="s">
        <v>7059</v>
      </c>
      <c r="H718" s="466"/>
      <c r="I718" s="466">
        <v>1.0</v>
      </c>
      <c r="J718" s="503"/>
      <c r="K718" s="466" t="s">
        <v>8295</v>
      </c>
      <c r="L718" s="466">
        <v>85.0</v>
      </c>
      <c r="M718" s="466"/>
      <c r="N718" s="466"/>
      <c r="O718" s="466"/>
      <c r="P718" s="357"/>
      <c r="Q718" s="357"/>
      <c r="R718" s="357"/>
      <c r="S718" s="357"/>
      <c r="T718" s="357"/>
      <c r="U718" s="357"/>
      <c r="V718" s="357"/>
      <c r="W718" s="357"/>
      <c r="X718" s="357"/>
      <c r="Y718" s="357"/>
      <c r="Z718" s="357"/>
    </row>
    <row r="719" ht="15.75" customHeight="1">
      <c r="A719" s="466" t="s">
        <v>8160</v>
      </c>
      <c r="B719" s="466">
        <v>2024.0</v>
      </c>
      <c r="C719" s="466">
        <v>6.0</v>
      </c>
      <c r="D719" s="466">
        <v>45455.0</v>
      </c>
      <c r="E719" s="466" t="s">
        <v>2772</v>
      </c>
      <c r="F719" s="466" t="s">
        <v>8296</v>
      </c>
      <c r="G719" s="466" t="s">
        <v>7611</v>
      </c>
      <c r="H719" s="466" t="s">
        <v>7486</v>
      </c>
      <c r="I719" s="466">
        <v>1.0</v>
      </c>
      <c r="J719" s="503"/>
      <c r="K719" s="466" t="s">
        <v>8257</v>
      </c>
      <c r="L719" s="466">
        <v>80.0</v>
      </c>
      <c r="M719" s="466"/>
      <c r="N719" s="466"/>
      <c r="O719" s="466"/>
      <c r="P719" s="357"/>
      <c r="Q719" s="357"/>
      <c r="R719" s="357"/>
      <c r="S719" s="357"/>
      <c r="T719" s="357"/>
      <c r="U719" s="357"/>
      <c r="V719" s="357"/>
      <c r="W719" s="357"/>
      <c r="X719" s="357"/>
      <c r="Y719" s="357"/>
      <c r="Z719" s="357"/>
    </row>
    <row r="720" ht="15.75" customHeight="1">
      <c r="A720" s="466" t="s">
        <v>8160</v>
      </c>
      <c r="B720" s="466">
        <v>2024.0</v>
      </c>
      <c r="C720" s="466">
        <v>6.0</v>
      </c>
      <c r="D720" s="466">
        <v>45455.0</v>
      </c>
      <c r="E720" s="466" t="s">
        <v>8297</v>
      </c>
      <c r="F720" s="466"/>
      <c r="G720" s="466" t="s">
        <v>7106</v>
      </c>
      <c r="H720" s="466" t="s">
        <v>8298</v>
      </c>
      <c r="I720" s="466">
        <v>1.0</v>
      </c>
      <c r="J720" s="503"/>
      <c r="K720" s="466" t="s">
        <v>8257</v>
      </c>
      <c r="L720" s="466">
        <v>70.0</v>
      </c>
      <c r="M720" s="466"/>
      <c r="N720" s="466"/>
      <c r="O720" s="466"/>
      <c r="P720" s="357"/>
      <c r="Q720" s="357"/>
      <c r="R720" s="357"/>
      <c r="S720" s="357"/>
      <c r="T720" s="357"/>
      <c r="U720" s="357"/>
      <c r="V720" s="357"/>
      <c r="W720" s="357"/>
      <c r="X720" s="357"/>
      <c r="Y720" s="357"/>
      <c r="Z720" s="357"/>
    </row>
    <row r="721" ht="15.75" customHeight="1">
      <c r="A721" s="466" t="s">
        <v>8160</v>
      </c>
      <c r="B721" s="466">
        <v>2024.0</v>
      </c>
      <c r="C721" s="466">
        <v>6.0</v>
      </c>
      <c r="D721" s="466">
        <v>45455.0</v>
      </c>
      <c r="E721" s="466" t="s">
        <v>8297</v>
      </c>
      <c r="F721" s="466"/>
      <c r="G721" s="466" t="s">
        <v>7106</v>
      </c>
      <c r="H721" s="466" t="s">
        <v>8299</v>
      </c>
      <c r="I721" s="466">
        <v>1.0</v>
      </c>
      <c r="J721" s="503"/>
      <c r="K721" s="466" t="s">
        <v>8257</v>
      </c>
      <c r="L721" s="466">
        <v>70.0</v>
      </c>
      <c r="M721" s="466"/>
      <c r="N721" s="466"/>
      <c r="O721" s="466"/>
      <c r="P721" s="357"/>
      <c r="Q721" s="357"/>
      <c r="R721" s="357"/>
      <c r="S721" s="357"/>
      <c r="T721" s="357"/>
      <c r="U721" s="357"/>
      <c r="V721" s="357"/>
      <c r="W721" s="357"/>
      <c r="X721" s="357"/>
      <c r="Y721" s="357"/>
      <c r="Z721" s="357"/>
    </row>
    <row r="722" ht="15.75" customHeight="1">
      <c r="A722" s="466" t="s">
        <v>8160</v>
      </c>
      <c r="B722" s="466">
        <v>2024.0</v>
      </c>
      <c r="C722" s="466">
        <v>6.0</v>
      </c>
      <c r="D722" s="466">
        <v>45457.0</v>
      </c>
      <c r="E722" s="466" t="s">
        <v>8242</v>
      </c>
      <c r="F722" s="466" t="s">
        <v>8243</v>
      </c>
      <c r="G722" s="466" t="s">
        <v>7075</v>
      </c>
      <c r="H722" s="466" t="s">
        <v>230</v>
      </c>
      <c r="I722" s="466">
        <v>1.0</v>
      </c>
      <c r="J722" s="503"/>
      <c r="K722" s="466" t="s">
        <v>8300</v>
      </c>
      <c r="L722" s="466">
        <v>105.0</v>
      </c>
      <c r="M722" s="466"/>
      <c r="N722" s="466"/>
      <c r="O722" s="466"/>
      <c r="P722" s="357"/>
      <c r="Q722" s="357"/>
      <c r="R722" s="357"/>
      <c r="S722" s="357"/>
      <c r="T722" s="357"/>
      <c r="U722" s="357"/>
      <c r="V722" s="357"/>
      <c r="W722" s="357"/>
      <c r="X722" s="357"/>
      <c r="Y722" s="357"/>
      <c r="Z722" s="357"/>
    </row>
    <row r="723" ht="15.75" customHeight="1">
      <c r="A723" s="466" t="s">
        <v>8160</v>
      </c>
      <c r="B723" s="466">
        <v>2024.0</v>
      </c>
      <c r="C723" s="466">
        <v>6.0</v>
      </c>
      <c r="D723" s="466">
        <v>45457.0</v>
      </c>
      <c r="E723" s="466" t="s">
        <v>8242</v>
      </c>
      <c r="F723" s="466"/>
      <c r="G723" s="466" t="s">
        <v>7075</v>
      </c>
      <c r="H723" s="466" t="s">
        <v>8301</v>
      </c>
      <c r="I723" s="466">
        <v>1.0</v>
      </c>
      <c r="J723" s="503"/>
      <c r="K723" s="466" t="s">
        <v>8300</v>
      </c>
      <c r="L723" s="466">
        <v>105.0</v>
      </c>
      <c r="M723" s="466"/>
      <c r="N723" s="466"/>
      <c r="O723" s="466"/>
      <c r="P723" s="357"/>
      <c r="Q723" s="357"/>
      <c r="R723" s="357"/>
      <c r="S723" s="357"/>
      <c r="T723" s="357"/>
      <c r="U723" s="357"/>
      <c r="V723" s="357"/>
      <c r="W723" s="357"/>
      <c r="X723" s="357"/>
      <c r="Y723" s="357"/>
      <c r="Z723" s="357"/>
    </row>
    <row r="724" ht="15.75" customHeight="1">
      <c r="A724" s="466" t="s">
        <v>8160</v>
      </c>
      <c r="B724" s="466">
        <v>2024.0</v>
      </c>
      <c r="C724" s="466">
        <v>6.0</v>
      </c>
      <c r="D724" s="466">
        <v>45457.0</v>
      </c>
      <c r="E724" s="466" t="s">
        <v>2193</v>
      </c>
      <c r="F724" s="466" t="s">
        <v>8302</v>
      </c>
      <c r="G724" s="466" t="s">
        <v>7059</v>
      </c>
      <c r="H724" s="466"/>
      <c r="I724" s="466">
        <v>1.0</v>
      </c>
      <c r="J724" s="503"/>
      <c r="K724" s="466" t="s">
        <v>8303</v>
      </c>
      <c r="L724" s="466">
        <v>80.0</v>
      </c>
      <c r="M724" s="466"/>
      <c r="N724" s="466"/>
      <c r="O724" s="466"/>
      <c r="P724" s="357"/>
      <c r="Q724" s="357"/>
      <c r="R724" s="357"/>
      <c r="S724" s="357"/>
      <c r="T724" s="357"/>
      <c r="U724" s="357"/>
      <c r="V724" s="357"/>
      <c r="W724" s="357"/>
      <c r="X724" s="357"/>
      <c r="Y724" s="357"/>
      <c r="Z724" s="357"/>
    </row>
    <row r="725" ht="15.75" customHeight="1">
      <c r="A725" s="466" t="s">
        <v>8304</v>
      </c>
      <c r="B725" s="466">
        <v>2024.0</v>
      </c>
      <c r="C725" s="466">
        <v>6.0</v>
      </c>
      <c r="D725" s="466">
        <v>45460.0</v>
      </c>
      <c r="E725" s="466" t="s">
        <v>8305</v>
      </c>
      <c r="F725" s="466"/>
      <c r="G725" s="466" t="s">
        <v>7059</v>
      </c>
      <c r="H725" s="466" t="s">
        <v>8306</v>
      </c>
      <c r="I725" s="466">
        <v>1.0</v>
      </c>
      <c r="J725" s="503"/>
      <c r="K725" s="466" t="s">
        <v>7393</v>
      </c>
      <c r="L725" s="466">
        <v>85.0</v>
      </c>
      <c r="M725" s="466"/>
      <c r="N725" s="466"/>
      <c r="O725" s="466"/>
      <c r="P725" s="357"/>
      <c r="Q725" s="357"/>
      <c r="R725" s="357"/>
      <c r="S725" s="357"/>
      <c r="T725" s="357"/>
      <c r="U725" s="357"/>
      <c r="V725" s="357"/>
      <c r="W725" s="357"/>
      <c r="X725" s="357"/>
      <c r="Y725" s="357"/>
      <c r="Z725" s="357"/>
    </row>
    <row r="726" ht="15.75" customHeight="1">
      <c r="A726" s="466" t="s">
        <v>8304</v>
      </c>
      <c r="B726" s="466">
        <v>2024.0</v>
      </c>
      <c r="C726" s="466">
        <v>6.0</v>
      </c>
      <c r="D726" s="466">
        <v>45460.0</v>
      </c>
      <c r="E726" s="466" t="s">
        <v>8307</v>
      </c>
      <c r="F726" s="466" t="s">
        <v>8308</v>
      </c>
      <c r="G726" s="466" t="s">
        <v>7075</v>
      </c>
      <c r="H726" s="466" t="s">
        <v>8205</v>
      </c>
      <c r="I726" s="466">
        <v>1.0</v>
      </c>
      <c r="J726" s="503"/>
      <c r="K726" s="466" t="s">
        <v>7393</v>
      </c>
      <c r="L726" s="466">
        <v>90.0</v>
      </c>
      <c r="M726" s="466"/>
      <c r="N726" s="466"/>
      <c r="O726" s="466"/>
      <c r="P726" s="357"/>
      <c r="Q726" s="357"/>
      <c r="R726" s="357"/>
      <c r="S726" s="357"/>
      <c r="T726" s="357"/>
      <c r="U726" s="357"/>
      <c r="V726" s="357"/>
      <c r="W726" s="357"/>
      <c r="X726" s="357"/>
      <c r="Y726" s="357"/>
      <c r="Z726" s="357"/>
    </row>
    <row r="727" ht="15.75" customHeight="1">
      <c r="A727" s="466" t="s">
        <v>8304</v>
      </c>
      <c r="B727" s="466">
        <v>2024.0</v>
      </c>
      <c r="C727" s="466">
        <v>6.0</v>
      </c>
      <c r="D727" s="466">
        <v>45460.0</v>
      </c>
      <c r="E727" s="466" t="s">
        <v>8309</v>
      </c>
      <c r="F727" s="466" t="s">
        <v>8308</v>
      </c>
      <c r="G727" s="466" t="s">
        <v>7611</v>
      </c>
      <c r="H727" s="504" t="s">
        <v>7486</v>
      </c>
      <c r="I727" s="466">
        <v>1.0</v>
      </c>
      <c r="J727" s="503"/>
      <c r="K727" s="466" t="s">
        <v>7393</v>
      </c>
      <c r="L727" s="466">
        <v>80.0</v>
      </c>
      <c r="M727" s="466"/>
      <c r="N727" s="466"/>
      <c r="O727" s="466"/>
      <c r="P727" s="357"/>
      <c r="Q727" s="357"/>
      <c r="R727" s="357"/>
      <c r="S727" s="357"/>
      <c r="T727" s="357"/>
      <c r="U727" s="357"/>
      <c r="V727" s="357"/>
      <c r="W727" s="357"/>
      <c r="X727" s="357"/>
      <c r="Y727" s="357"/>
      <c r="Z727" s="357"/>
    </row>
    <row r="728" ht="15.75" customHeight="1">
      <c r="A728" s="466" t="s">
        <v>8304</v>
      </c>
      <c r="B728" s="466">
        <v>2024.0</v>
      </c>
      <c r="C728" s="466">
        <v>6.0</v>
      </c>
      <c r="D728" s="466">
        <v>45460.0</v>
      </c>
      <c r="E728" s="466" t="s">
        <v>2193</v>
      </c>
      <c r="F728" s="466" t="s">
        <v>8310</v>
      </c>
      <c r="G728" s="466" t="s">
        <v>7100</v>
      </c>
      <c r="H728" s="466" t="s">
        <v>248</v>
      </c>
      <c r="I728" s="466">
        <v>1.0</v>
      </c>
      <c r="J728" s="503"/>
      <c r="K728" s="466" t="s">
        <v>7393</v>
      </c>
      <c r="L728" s="466">
        <v>170.0</v>
      </c>
      <c r="M728" s="466"/>
      <c r="N728" s="466"/>
      <c r="O728" s="466"/>
      <c r="P728" s="357"/>
      <c r="Q728" s="357"/>
      <c r="R728" s="357"/>
      <c r="S728" s="357"/>
      <c r="T728" s="357"/>
      <c r="U728" s="357"/>
      <c r="V728" s="357"/>
      <c r="W728" s="357"/>
      <c r="X728" s="357"/>
      <c r="Y728" s="357"/>
      <c r="Z728" s="357"/>
    </row>
    <row r="729" ht="15.75" customHeight="1">
      <c r="A729" s="466" t="s">
        <v>8304</v>
      </c>
      <c r="B729" s="466">
        <v>2024.0</v>
      </c>
      <c r="C729" s="466">
        <v>6.0</v>
      </c>
      <c r="D729" s="466">
        <v>45460.0</v>
      </c>
      <c r="E729" s="466" t="s">
        <v>8242</v>
      </c>
      <c r="F729" s="466" t="s">
        <v>8243</v>
      </c>
      <c r="G729" s="466" t="s">
        <v>7075</v>
      </c>
      <c r="H729" s="466" t="s">
        <v>7092</v>
      </c>
      <c r="I729" s="466">
        <v>1.0</v>
      </c>
      <c r="J729" s="503"/>
      <c r="K729" s="466" t="s">
        <v>7393</v>
      </c>
      <c r="L729" s="466">
        <v>95.0</v>
      </c>
      <c r="M729" s="466"/>
      <c r="N729" s="466"/>
      <c r="O729" s="466"/>
      <c r="P729" s="357"/>
      <c r="Q729" s="357"/>
      <c r="R729" s="357"/>
      <c r="S729" s="357"/>
      <c r="T729" s="357"/>
      <c r="U729" s="357"/>
      <c r="V729" s="357"/>
      <c r="W729" s="357"/>
      <c r="X729" s="357"/>
      <c r="Y729" s="357"/>
      <c r="Z729" s="357"/>
    </row>
    <row r="730" ht="15.75" customHeight="1">
      <c r="A730" s="466" t="s">
        <v>8304</v>
      </c>
      <c r="B730" s="466">
        <v>2024.0</v>
      </c>
      <c r="C730" s="466">
        <v>6.0</v>
      </c>
      <c r="D730" s="466">
        <v>45460.0</v>
      </c>
      <c r="E730" s="466"/>
      <c r="F730" s="466"/>
      <c r="G730" s="466" t="s">
        <v>7106</v>
      </c>
      <c r="H730" s="466" t="s">
        <v>8311</v>
      </c>
      <c r="I730" s="466">
        <v>1.0</v>
      </c>
      <c r="J730" s="503"/>
      <c r="K730" s="466" t="s">
        <v>7393</v>
      </c>
      <c r="L730" s="466">
        <v>75.0</v>
      </c>
      <c r="M730" s="466"/>
      <c r="N730" s="466"/>
      <c r="O730" s="466"/>
      <c r="P730" s="357"/>
      <c r="Q730" s="357"/>
      <c r="R730" s="357"/>
      <c r="S730" s="357"/>
      <c r="T730" s="357"/>
      <c r="U730" s="357"/>
      <c r="V730" s="357"/>
      <c r="W730" s="357"/>
      <c r="X730" s="357"/>
      <c r="Y730" s="357"/>
      <c r="Z730" s="357"/>
    </row>
    <row r="731" ht="15.75" customHeight="1">
      <c r="A731" s="466" t="s">
        <v>8304</v>
      </c>
      <c r="B731" s="466">
        <v>2024.0</v>
      </c>
      <c r="C731" s="466">
        <v>6.0</v>
      </c>
      <c r="D731" s="466">
        <v>45460.0</v>
      </c>
      <c r="E731" s="466" t="s">
        <v>8312</v>
      </c>
      <c r="F731" s="466" t="s">
        <v>8313</v>
      </c>
      <c r="G731" s="466" t="s">
        <v>7100</v>
      </c>
      <c r="H731" s="466" t="s">
        <v>2853</v>
      </c>
      <c r="I731" s="466">
        <v>1.0</v>
      </c>
      <c r="J731" s="503"/>
      <c r="K731" s="466" t="s">
        <v>7393</v>
      </c>
      <c r="L731" s="466">
        <v>170.0</v>
      </c>
      <c r="M731" s="466"/>
      <c r="N731" s="466"/>
      <c r="O731" s="466"/>
      <c r="P731" s="357"/>
      <c r="Q731" s="357"/>
      <c r="R731" s="357"/>
      <c r="S731" s="357"/>
      <c r="T731" s="357"/>
      <c r="U731" s="357"/>
      <c r="V731" s="357"/>
      <c r="W731" s="357"/>
      <c r="X731" s="357"/>
      <c r="Y731" s="357"/>
      <c r="Z731" s="357"/>
    </row>
    <row r="732" ht="15.75" customHeight="1">
      <c r="A732" s="466" t="s">
        <v>8304</v>
      </c>
      <c r="B732" s="466">
        <v>2024.0</v>
      </c>
      <c r="C732" s="466">
        <v>6.0</v>
      </c>
      <c r="D732" s="466">
        <v>45460.0</v>
      </c>
      <c r="E732" s="466" t="s">
        <v>8314</v>
      </c>
      <c r="F732" s="466" t="s">
        <v>8315</v>
      </c>
      <c r="G732" s="466" t="s">
        <v>7106</v>
      </c>
      <c r="H732" s="466" t="s">
        <v>8316</v>
      </c>
      <c r="I732" s="466">
        <v>1.0</v>
      </c>
      <c r="J732" s="503"/>
      <c r="K732" s="466" t="s">
        <v>7393</v>
      </c>
      <c r="L732" s="466">
        <v>75.0</v>
      </c>
      <c r="M732" s="466"/>
      <c r="N732" s="466"/>
      <c r="O732" s="466"/>
      <c r="P732" s="357"/>
      <c r="Q732" s="357"/>
      <c r="R732" s="357"/>
      <c r="S732" s="357"/>
      <c r="T732" s="357"/>
      <c r="U732" s="357"/>
      <c r="V732" s="357"/>
      <c r="W732" s="357"/>
      <c r="X732" s="357"/>
      <c r="Y732" s="357"/>
      <c r="Z732" s="357"/>
    </row>
    <row r="733" ht="15.75" customHeight="1">
      <c r="A733" s="466" t="s">
        <v>8304</v>
      </c>
      <c r="B733" s="466">
        <v>2024.0</v>
      </c>
      <c r="C733" s="466">
        <v>6.0</v>
      </c>
      <c r="D733" s="466">
        <v>45460.0</v>
      </c>
      <c r="E733" s="466" t="s">
        <v>8317</v>
      </c>
      <c r="F733" s="466"/>
      <c r="G733" s="466" t="s">
        <v>7100</v>
      </c>
      <c r="H733" s="466" t="s">
        <v>259</v>
      </c>
      <c r="I733" s="466">
        <v>1.0</v>
      </c>
      <c r="J733" s="503"/>
      <c r="K733" s="466" t="s">
        <v>8201</v>
      </c>
      <c r="L733" s="466">
        <v>150.0</v>
      </c>
      <c r="M733" s="466"/>
      <c r="N733" s="466"/>
      <c r="O733" s="466"/>
      <c r="P733" s="357"/>
      <c r="Q733" s="357"/>
      <c r="R733" s="357"/>
      <c r="S733" s="357"/>
      <c r="T733" s="357"/>
      <c r="U733" s="357"/>
      <c r="V733" s="357"/>
      <c r="W733" s="357"/>
      <c r="X733" s="357"/>
      <c r="Y733" s="357"/>
      <c r="Z733" s="357"/>
    </row>
    <row r="734" ht="15.75" customHeight="1">
      <c r="A734" s="466" t="s">
        <v>8304</v>
      </c>
      <c r="B734" s="466">
        <v>2024.0</v>
      </c>
      <c r="C734" s="466">
        <v>6.0</v>
      </c>
      <c r="D734" s="466">
        <v>45460.0</v>
      </c>
      <c r="E734" s="466" t="s">
        <v>2768</v>
      </c>
      <c r="F734" s="466" t="s">
        <v>2769</v>
      </c>
      <c r="G734" s="466" t="s">
        <v>7059</v>
      </c>
      <c r="H734" s="466" t="s">
        <v>8318</v>
      </c>
      <c r="I734" s="466">
        <v>1.0</v>
      </c>
      <c r="J734" s="503"/>
      <c r="K734" s="466" t="s">
        <v>7393</v>
      </c>
      <c r="L734" s="466">
        <v>90.0</v>
      </c>
      <c r="M734" s="466"/>
      <c r="N734" s="466"/>
      <c r="O734" s="466"/>
      <c r="P734" s="357"/>
      <c r="Q734" s="357"/>
      <c r="R734" s="357"/>
      <c r="S734" s="357"/>
      <c r="T734" s="357"/>
      <c r="U734" s="357"/>
      <c r="V734" s="357"/>
      <c r="W734" s="357"/>
      <c r="X734" s="357"/>
      <c r="Y734" s="357"/>
      <c r="Z734" s="357"/>
    </row>
    <row r="735" ht="15.75" customHeight="1">
      <c r="A735" s="466" t="s">
        <v>8304</v>
      </c>
      <c r="B735" s="466">
        <v>2024.0</v>
      </c>
      <c r="C735" s="466">
        <v>6.0</v>
      </c>
      <c r="D735" s="466">
        <v>45461.0</v>
      </c>
      <c r="E735" s="466" t="s">
        <v>7530</v>
      </c>
      <c r="F735" s="466" t="s">
        <v>8319</v>
      </c>
      <c r="G735" s="466" t="s">
        <v>8320</v>
      </c>
      <c r="H735" s="466" t="s">
        <v>8321</v>
      </c>
      <c r="I735" s="466">
        <v>1.0</v>
      </c>
      <c r="J735" s="503"/>
      <c r="K735" s="466" t="s">
        <v>7393</v>
      </c>
      <c r="L735" s="466">
        <v>50.0</v>
      </c>
      <c r="M735" s="466"/>
      <c r="N735" s="466"/>
      <c r="O735" s="466"/>
      <c r="P735" s="357"/>
      <c r="Q735" s="357"/>
      <c r="R735" s="357"/>
      <c r="S735" s="357"/>
      <c r="T735" s="357"/>
      <c r="U735" s="357"/>
      <c r="V735" s="357"/>
      <c r="W735" s="357"/>
      <c r="X735" s="357"/>
      <c r="Y735" s="357"/>
      <c r="Z735" s="357"/>
    </row>
    <row r="736" ht="15.75" customHeight="1">
      <c r="A736" s="466" t="s">
        <v>8304</v>
      </c>
      <c r="B736" s="466">
        <v>2024.0</v>
      </c>
      <c r="C736" s="466">
        <v>6.0</v>
      </c>
      <c r="D736" s="466">
        <v>45461.0</v>
      </c>
      <c r="E736" s="466" t="s">
        <v>2586</v>
      </c>
      <c r="F736" s="466" t="s">
        <v>8322</v>
      </c>
      <c r="G736" s="466" t="s">
        <v>7611</v>
      </c>
      <c r="H736" s="466" t="s">
        <v>8323</v>
      </c>
      <c r="I736" s="466">
        <v>1.0</v>
      </c>
      <c r="J736" s="503"/>
      <c r="K736" s="466" t="s">
        <v>7393</v>
      </c>
      <c r="L736" s="466">
        <v>90.0</v>
      </c>
      <c r="M736" s="466"/>
      <c r="N736" s="466"/>
      <c r="O736" s="466"/>
      <c r="P736" s="357"/>
      <c r="Q736" s="357"/>
      <c r="R736" s="357"/>
      <c r="S736" s="357"/>
      <c r="T736" s="357"/>
      <c r="U736" s="357"/>
      <c r="V736" s="357"/>
      <c r="W736" s="357"/>
      <c r="X736" s="357"/>
      <c r="Y736" s="357"/>
      <c r="Z736" s="357"/>
    </row>
    <row r="737" ht="15.75" customHeight="1">
      <c r="A737" s="466" t="s">
        <v>8304</v>
      </c>
      <c r="B737" s="466">
        <v>2024.0</v>
      </c>
      <c r="C737" s="466">
        <v>6.0</v>
      </c>
      <c r="D737" s="466">
        <v>45461.0</v>
      </c>
      <c r="E737" s="466" t="s">
        <v>2780</v>
      </c>
      <c r="F737" s="466" t="s">
        <v>8324</v>
      </c>
      <c r="G737" s="466" t="s">
        <v>7100</v>
      </c>
      <c r="H737" s="466" t="s">
        <v>248</v>
      </c>
      <c r="I737" s="466">
        <v>1.0</v>
      </c>
      <c r="J737" s="503"/>
      <c r="K737" s="466" t="s">
        <v>7393</v>
      </c>
      <c r="L737" s="466">
        <v>160.0</v>
      </c>
      <c r="M737" s="466"/>
      <c r="N737" s="466"/>
      <c r="O737" s="466"/>
      <c r="P737" s="357"/>
      <c r="Q737" s="357"/>
      <c r="R737" s="357"/>
      <c r="S737" s="357"/>
      <c r="T737" s="357"/>
      <c r="U737" s="357"/>
      <c r="V737" s="357"/>
      <c r="W737" s="357"/>
      <c r="X737" s="357"/>
      <c r="Y737" s="357"/>
      <c r="Z737" s="357"/>
    </row>
    <row r="738" ht="15.75" customHeight="1">
      <c r="A738" s="466" t="s">
        <v>8304</v>
      </c>
      <c r="B738" s="466">
        <v>2024.0</v>
      </c>
      <c r="C738" s="466">
        <v>6.0</v>
      </c>
      <c r="D738" s="466">
        <v>45461.0</v>
      </c>
      <c r="E738" s="466" t="s">
        <v>7398</v>
      </c>
      <c r="F738" s="466" t="s">
        <v>8325</v>
      </c>
      <c r="G738" s="466" t="s">
        <v>6613</v>
      </c>
      <c r="H738" s="466" t="s">
        <v>8326</v>
      </c>
      <c r="I738" s="466">
        <v>1.0</v>
      </c>
      <c r="J738" s="503"/>
      <c r="K738" s="466" t="s">
        <v>7393</v>
      </c>
      <c r="L738" s="466">
        <v>70.0</v>
      </c>
      <c r="M738" s="466"/>
      <c r="N738" s="466"/>
      <c r="O738" s="466"/>
      <c r="P738" s="357"/>
      <c r="Q738" s="357"/>
      <c r="R738" s="357"/>
      <c r="S738" s="357"/>
      <c r="T738" s="357"/>
      <c r="U738" s="357"/>
      <c r="V738" s="357"/>
      <c r="W738" s="357"/>
      <c r="X738" s="357"/>
      <c r="Y738" s="357"/>
      <c r="Z738" s="357"/>
    </row>
    <row r="739" ht="15.75" customHeight="1">
      <c r="A739" s="466" t="s">
        <v>8304</v>
      </c>
      <c r="B739" s="466">
        <v>2024.0</v>
      </c>
      <c r="C739" s="466">
        <v>6.0</v>
      </c>
      <c r="D739" s="466">
        <v>45461.0</v>
      </c>
      <c r="E739" s="466" t="s">
        <v>8327</v>
      </c>
      <c r="F739" s="466" t="s">
        <v>8328</v>
      </c>
      <c r="G739" s="466" t="s">
        <v>7075</v>
      </c>
      <c r="H739" s="466" t="s">
        <v>8217</v>
      </c>
      <c r="I739" s="466">
        <v>1.0</v>
      </c>
      <c r="J739" s="503"/>
      <c r="K739" s="466" t="s">
        <v>7393</v>
      </c>
      <c r="L739" s="466">
        <v>95.0</v>
      </c>
      <c r="M739" s="466"/>
      <c r="N739" s="466"/>
      <c r="O739" s="466"/>
      <c r="P739" s="357"/>
      <c r="Q739" s="357"/>
      <c r="R739" s="357"/>
      <c r="S739" s="357"/>
      <c r="T739" s="357"/>
      <c r="U739" s="357"/>
      <c r="V739" s="357"/>
      <c r="W739" s="357"/>
      <c r="X739" s="357"/>
      <c r="Y739" s="357"/>
      <c r="Z739" s="357"/>
    </row>
    <row r="740" ht="15.75" customHeight="1">
      <c r="A740" s="466" t="s">
        <v>8304</v>
      </c>
      <c r="B740" s="466">
        <v>2024.0</v>
      </c>
      <c r="C740" s="466">
        <v>6.0</v>
      </c>
      <c r="D740" s="466">
        <v>45461.0</v>
      </c>
      <c r="E740" s="466" t="s">
        <v>8329</v>
      </c>
      <c r="F740" s="466"/>
      <c r="G740" s="466" t="s">
        <v>7106</v>
      </c>
      <c r="H740" s="466" t="s">
        <v>8330</v>
      </c>
      <c r="I740" s="466">
        <v>1.0</v>
      </c>
      <c r="J740" s="503"/>
      <c r="K740" s="466" t="s">
        <v>2511</v>
      </c>
      <c r="L740" s="466">
        <v>85.0</v>
      </c>
      <c r="M740" s="466"/>
      <c r="N740" s="466"/>
      <c r="O740" s="466"/>
      <c r="P740" s="357"/>
      <c r="Q740" s="357"/>
      <c r="R740" s="357"/>
      <c r="S740" s="357"/>
      <c r="T740" s="357"/>
      <c r="U740" s="357"/>
      <c r="V740" s="357"/>
      <c r="W740" s="357"/>
      <c r="X740" s="357"/>
      <c r="Y740" s="357"/>
      <c r="Z740" s="357"/>
    </row>
    <row r="741" ht="15.75" customHeight="1">
      <c r="A741" s="466" t="s">
        <v>8304</v>
      </c>
      <c r="B741" s="466">
        <v>2024.0</v>
      </c>
      <c r="C741" s="466">
        <v>6.0</v>
      </c>
      <c r="D741" s="466">
        <v>45462.0</v>
      </c>
      <c r="E741" s="466" t="s">
        <v>2772</v>
      </c>
      <c r="F741" s="466" t="s">
        <v>8331</v>
      </c>
      <c r="G741" s="466" t="s">
        <v>7075</v>
      </c>
      <c r="H741" s="466" t="s">
        <v>8332</v>
      </c>
      <c r="I741" s="466">
        <v>1.0</v>
      </c>
      <c r="J741" s="503"/>
      <c r="K741" s="466" t="s">
        <v>7393</v>
      </c>
      <c r="L741" s="466">
        <v>100.0</v>
      </c>
      <c r="M741" s="466"/>
      <c r="N741" s="466"/>
      <c r="O741" s="466"/>
      <c r="P741" s="357"/>
      <c r="Q741" s="357"/>
      <c r="R741" s="357"/>
      <c r="S741" s="357"/>
      <c r="T741" s="357"/>
      <c r="U741" s="357"/>
      <c r="V741" s="357"/>
      <c r="W741" s="357"/>
      <c r="X741" s="357"/>
      <c r="Y741" s="357"/>
      <c r="Z741" s="357"/>
    </row>
    <row r="742" ht="15.75" customHeight="1">
      <c r="A742" s="466" t="s">
        <v>8304</v>
      </c>
      <c r="B742" s="466">
        <v>2024.0</v>
      </c>
      <c r="C742" s="466">
        <v>6.0</v>
      </c>
      <c r="D742" s="466">
        <v>45462.0</v>
      </c>
      <c r="E742" s="466" t="s">
        <v>8333</v>
      </c>
      <c r="F742" s="466" t="s">
        <v>8334</v>
      </c>
      <c r="G742" s="466" t="s">
        <v>7611</v>
      </c>
      <c r="H742" s="466" t="s">
        <v>8293</v>
      </c>
      <c r="I742" s="466">
        <v>1.0</v>
      </c>
      <c r="J742" s="503"/>
      <c r="K742" s="466" t="s">
        <v>7393</v>
      </c>
      <c r="L742" s="466">
        <v>80.0</v>
      </c>
      <c r="M742" s="466"/>
      <c r="N742" s="466"/>
      <c r="O742" s="466"/>
      <c r="P742" s="357"/>
      <c r="Q742" s="357"/>
      <c r="R742" s="357"/>
      <c r="S742" s="357"/>
      <c r="T742" s="357"/>
      <c r="U742" s="357"/>
      <c r="V742" s="357"/>
      <c r="W742" s="357"/>
      <c r="X742" s="357"/>
      <c r="Y742" s="357"/>
      <c r="Z742" s="357"/>
    </row>
    <row r="743" ht="15.75" customHeight="1">
      <c r="A743" s="466" t="s">
        <v>8304</v>
      </c>
      <c r="B743" s="466">
        <v>2024.0</v>
      </c>
      <c r="C743" s="466">
        <v>6.0</v>
      </c>
      <c r="D743" s="466">
        <v>45462.0</v>
      </c>
      <c r="E743" s="466" t="s">
        <v>8335</v>
      </c>
      <c r="F743" s="466" t="s">
        <v>8336</v>
      </c>
      <c r="G743" s="466" t="s">
        <v>7075</v>
      </c>
      <c r="H743" s="466" t="s">
        <v>8332</v>
      </c>
      <c r="I743" s="466">
        <v>1.0</v>
      </c>
      <c r="J743" s="503"/>
      <c r="K743" s="466" t="s">
        <v>2511</v>
      </c>
      <c r="L743" s="466">
        <v>90.0</v>
      </c>
      <c r="M743" s="466"/>
      <c r="N743" s="466"/>
      <c r="O743" s="466"/>
      <c r="P743" s="357"/>
      <c r="Q743" s="357"/>
      <c r="R743" s="357"/>
      <c r="S743" s="357"/>
      <c r="T743" s="357"/>
      <c r="U743" s="357"/>
      <c r="V743" s="357"/>
      <c r="W743" s="357"/>
      <c r="X743" s="357"/>
      <c r="Y743" s="357"/>
      <c r="Z743" s="357"/>
    </row>
    <row r="744" ht="15.75" customHeight="1">
      <c r="A744" s="466" t="s">
        <v>8304</v>
      </c>
      <c r="B744" s="466">
        <v>2024.0</v>
      </c>
      <c r="C744" s="466">
        <v>6.0</v>
      </c>
      <c r="D744" s="466">
        <v>45462.0</v>
      </c>
      <c r="E744" s="466" t="s">
        <v>2582</v>
      </c>
      <c r="F744" s="466"/>
      <c r="G744" s="466" t="s">
        <v>7059</v>
      </c>
      <c r="H744" s="466" t="s">
        <v>8337</v>
      </c>
      <c r="I744" s="466">
        <v>1.0</v>
      </c>
      <c r="J744" s="503"/>
      <c r="K744" s="466" t="s">
        <v>2511</v>
      </c>
      <c r="L744" s="466">
        <v>80.0</v>
      </c>
      <c r="M744" s="466"/>
      <c r="N744" s="466"/>
      <c r="O744" s="466"/>
      <c r="P744" s="357"/>
      <c r="Q744" s="357"/>
      <c r="R744" s="357"/>
      <c r="S744" s="357"/>
      <c r="T744" s="357"/>
      <c r="U744" s="357"/>
      <c r="V744" s="357"/>
      <c r="W744" s="357"/>
      <c r="X744" s="357"/>
      <c r="Y744" s="357"/>
      <c r="Z744" s="357"/>
    </row>
    <row r="745" ht="15.75" customHeight="1">
      <c r="A745" s="466" t="s">
        <v>8304</v>
      </c>
      <c r="B745" s="466">
        <v>2024.0</v>
      </c>
      <c r="C745" s="466">
        <v>6.0</v>
      </c>
      <c r="D745" s="466" t="s">
        <v>8338</v>
      </c>
      <c r="E745" s="466" t="s">
        <v>8339</v>
      </c>
      <c r="F745" s="466">
        <v>3.485665322E9</v>
      </c>
      <c r="G745" s="466"/>
      <c r="H745" s="466"/>
      <c r="I745" s="466"/>
      <c r="J745" s="503"/>
      <c r="K745" s="466"/>
      <c r="L745" s="466"/>
      <c r="M745" s="466"/>
      <c r="N745" s="466"/>
      <c r="O745" s="466"/>
      <c r="P745" s="357"/>
      <c r="Q745" s="357"/>
      <c r="R745" s="357"/>
      <c r="S745" s="357"/>
      <c r="T745" s="357"/>
      <c r="U745" s="357"/>
      <c r="V745" s="357"/>
      <c r="W745" s="357"/>
      <c r="X745" s="357"/>
      <c r="Y745" s="357"/>
      <c r="Z745" s="357"/>
    </row>
    <row r="746" ht="15.75" customHeight="1">
      <c r="A746" s="466" t="s">
        <v>8304</v>
      </c>
      <c r="B746" s="466">
        <v>2024.0</v>
      </c>
      <c r="C746" s="466">
        <v>6.0</v>
      </c>
      <c r="D746" s="466">
        <v>45462.0</v>
      </c>
      <c r="E746" s="466" t="s">
        <v>8340</v>
      </c>
      <c r="F746" s="466" t="s">
        <v>7592</v>
      </c>
      <c r="G746" s="466" t="s">
        <v>7100</v>
      </c>
      <c r="H746" s="466" t="s">
        <v>248</v>
      </c>
      <c r="I746" s="466">
        <v>1.0</v>
      </c>
      <c r="J746" s="466"/>
      <c r="K746" s="466" t="s">
        <v>2584</v>
      </c>
      <c r="L746" s="466"/>
      <c r="M746" s="466"/>
      <c r="N746" s="466"/>
      <c r="O746" s="466"/>
      <c r="P746" s="357"/>
      <c r="Q746" s="357"/>
      <c r="R746" s="357"/>
      <c r="S746" s="357"/>
      <c r="T746" s="357"/>
      <c r="U746" s="357"/>
      <c r="V746" s="357"/>
      <c r="W746" s="357"/>
      <c r="X746" s="357"/>
      <c r="Y746" s="357"/>
      <c r="Z746" s="357"/>
    </row>
    <row r="747" ht="15.75" customHeight="1">
      <c r="A747" s="466" t="s">
        <v>8304</v>
      </c>
      <c r="B747" s="466">
        <v>2024.0</v>
      </c>
      <c r="C747" s="466">
        <v>6.0</v>
      </c>
      <c r="D747" s="466">
        <v>45462.0</v>
      </c>
      <c r="E747" s="466" t="s">
        <v>2566</v>
      </c>
      <c r="F747" s="466" t="s">
        <v>8341</v>
      </c>
      <c r="G747" s="466" t="s">
        <v>7075</v>
      </c>
      <c r="H747" s="466" t="s">
        <v>8342</v>
      </c>
      <c r="I747" s="466">
        <v>1.0</v>
      </c>
      <c r="J747" s="466"/>
      <c r="K747" s="466" t="s">
        <v>8211</v>
      </c>
      <c r="L747" s="466">
        <v>115.0</v>
      </c>
      <c r="M747" s="466"/>
      <c r="N747" s="466"/>
      <c r="O747" s="466"/>
      <c r="P747" s="357"/>
      <c r="Q747" s="357"/>
      <c r="R747" s="357"/>
      <c r="S747" s="357"/>
      <c r="T747" s="357"/>
      <c r="U747" s="357"/>
      <c r="V747" s="357"/>
      <c r="W747" s="357"/>
      <c r="X747" s="357"/>
      <c r="Y747" s="357"/>
      <c r="Z747" s="357"/>
    </row>
    <row r="748" ht="15.75" customHeight="1">
      <c r="A748" s="466" t="s">
        <v>8304</v>
      </c>
      <c r="B748" s="466">
        <v>2024.0</v>
      </c>
      <c r="C748" s="466">
        <v>6.0</v>
      </c>
      <c r="D748" s="466">
        <v>45462.0</v>
      </c>
      <c r="E748" s="466" t="s">
        <v>8343</v>
      </c>
      <c r="F748" s="466" t="s">
        <v>8344</v>
      </c>
      <c r="G748" s="466" t="s">
        <v>7100</v>
      </c>
      <c r="H748" s="466" t="s">
        <v>248</v>
      </c>
      <c r="I748" s="466">
        <v>1.0</v>
      </c>
      <c r="J748" s="466"/>
      <c r="K748" s="466" t="s">
        <v>7393</v>
      </c>
      <c r="L748" s="466">
        <v>170.0</v>
      </c>
      <c r="M748" s="466"/>
      <c r="N748" s="466"/>
      <c r="O748" s="466"/>
      <c r="P748" s="357"/>
      <c r="Q748" s="357"/>
      <c r="R748" s="357"/>
      <c r="S748" s="357"/>
      <c r="T748" s="357"/>
      <c r="U748" s="357"/>
      <c r="V748" s="357"/>
      <c r="W748" s="357"/>
      <c r="X748" s="357"/>
      <c r="Y748" s="357"/>
      <c r="Z748" s="357"/>
    </row>
    <row r="749" ht="15.75" customHeight="1">
      <c r="A749" s="466" t="s">
        <v>8304</v>
      </c>
      <c r="B749" s="466">
        <v>2024.0</v>
      </c>
      <c r="C749" s="466">
        <v>6.0</v>
      </c>
      <c r="D749" s="466">
        <v>45462.0</v>
      </c>
      <c r="E749" s="466" t="s">
        <v>7429</v>
      </c>
      <c r="F749" s="466" t="s">
        <v>8345</v>
      </c>
      <c r="G749" s="466" t="s">
        <v>7075</v>
      </c>
      <c r="H749" s="466" t="s">
        <v>8346</v>
      </c>
      <c r="I749" s="466">
        <v>1.0</v>
      </c>
      <c r="J749" s="466"/>
      <c r="K749" s="466" t="s">
        <v>7393</v>
      </c>
      <c r="L749" s="466">
        <v>110.0</v>
      </c>
      <c r="M749" s="466"/>
      <c r="N749" s="466"/>
      <c r="O749" s="466"/>
      <c r="P749" s="357"/>
      <c r="Q749" s="357"/>
      <c r="R749" s="357"/>
      <c r="S749" s="357"/>
      <c r="T749" s="357"/>
      <c r="U749" s="357"/>
      <c r="V749" s="357"/>
      <c r="W749" s="357"/>
      <c r="X749" s="357"/>
      <c r="Y749" s="357"/>
      <c r="Z749" s="357"/>
    </row>
    <row r="750" ht="15.75" customHeight="1">
      <c r="A750" s="466" t="s">
        <v>8304</v>
      </c>
      <c r="B750" s="466">
        <v>2024.0</v>
      </c>
      <c r="C750" s="466">
        <v>6.0</v>
      </c>
      <c r="D750" s="466">
        <v>45462.0</v>
      </c>
      <c r="E750" s="466" t="s">
        <v>2772</v>
      </c>
      <c r="F750" s="466" t="s">
        <v>7696</v>
      </c>
      <c r="G750" s="466" t="s">
        <v>7611</v>
      </c>
      <c r="H750" s="466" t="s">
        <v>8347</v>
      </c>
      <c r="I750" s="466">
        <v>1.0</v>
      </c>
      <c r="J750" s="466"/>
      <c r="K750" s="466" t="s">
        <v>7393</v>
      </c>
      <c r="L750" s="466">
        <v>90.0</v>
      </c>
      <c r="M750" s="466"/>
      <c r="N750" s="466"/>
      <c r="O750" s="466"/>
      <c r="P750" s="357"/>
      <c r="Q750" s="357"/>
      <c r="R750" s="357"/>
      <c r="S750" s="357"/>
      <c r="T750" s="357"/>
      <c r="U750" s="357"/>
      <c r="V750" s="357"/>
      <c r="W750" s="357"/>
      <c r="X750" s="357"/>
      <c r="Y750" s="357"/>
      <c r="Z750" s="357"/>
    </row>
    <row r="751" ht="15.75" customHeight="1">
      <c r="A751" s="466" t="s">
        <v>8304</v>
      </c>
      <c r="B751" s="466">
        <v>2024.0</v>
      </c>
      <c r="C751" s="466">
        <v>6.0</v>
      </c>
      <c r="D751" s="466">
        <v>45462.0</v>
      </c>
      <c r="E751" s="466" t="s">
        <v>8348</v>
      </c>
      <c r="F751" s="466" t="s">
        <v>8349</v>
      </c>
      <c r="G751" s="466" t="s">
        <v>7075</v>
      </c>
      <c r="H751" s="466" t="s">
        <v>8332</v>
      </c>
      <c r="I751" s="466">
        <v>1.0</v>
      </c>
      <c r="J751" s="466"/>
      <c r="K751" s="466" t="s">
        <v>7393</v>
      </c>
      <c r="L751" s="466">
        <v>100.0</v>
      </c>
      <c r="M751" s="466"/>
      <c r="N751" s="466"/>
      <c r="O751" s="466"/>
      <c r="P751" s="357"/>
      <c r="Q751" s="357"/>
      <c r="R751" s="357"/>
      <c r="S751" s="357"/>
      <c r="T751" s="357"/>
      <c r="U751" s="357"/>
      <c r="V751" s="357"/>
      <c r="W751" s="357"/>
      <c r="X751" s="357"/>
      <c r="Y751" s="357"/>
      <c r="Z751" s="357"/>
    </row>
    <row r="752" ht="15.75" customHeight="1">
      <c r="A752" s="466" t="s">
        <v>8304</v>
      </c>
      <c r="B752" s="466">
        <v>2024.0</v>
      </c>
      <c r="C752" s="466">
        <v>6.0</v>
      </c>
      <c r="D752" s="466">
        <v>45462.0</v>
      </c>
      <c r="E752" s="466" t="s">
        <v>7583</v>
      </c>
      <c r="F752" s="466" t="s">
        <v>8350</v>
      </c>
      <c r="G752" s="466" t="s">
        <v>8320</v>
      </c>
      <c r="H752" s="466" t="s">
        <v>8321</v>
      </c>
      <c r="I752" s="466">
        <v>1.0</v>
      </c>
      <c r="J752" s="466"/>
      <c r="K752" s="466" t="s">
        <v>7393</v>
      </c>
      <c r="L752" s="466">
        <v>60.0</v>
      </c>
      <c r="M752" s="466"/>
      <c r="N752" s="466"/>
      <c r="O752" s="466"/>
      <c r="P752" s="357"/>
      <c r="Q752" s="357"/>
      <c r="R752" s="357"/>
      <c r="S752" s="357"/>
      <c r="T752" s="357"/>
      <c r="U752" s="357"/>
      <c r="V752" s="357"/>
      <c r="W752" s="357"/>
      <c r="X752" s="357"/>
      <c r="Y752" s="357"/>
      <c r="Z752" s="357"/>
    </row>
    <row r="753" ht="15.75" customHeight="1">
      <c r="A753" s="466" t="s">
        <v>8304</v>
      </c>
      <c r="B753" s="466">
        <v>2024.0</v>
      </c>
      <c r="C753" s="466">
        <v>6.0</v>
      </c>
      <c r="D753" s="466">
        <v>45462.0</v>
      </c>
      <c r="E753" s="466" t="s">
        <v>7687</v>
      </c>
      <c r="F753" s="466" t="s">
        <v>8351</v>
      </c>
      <c r="G753" s="466" t="s">
        <v>7106</v>
      </c>
      <c r="H753" s="466" t="s">
        <v>8352</v>
      </c>
      <c r="I753" s="466">
        <v>1.0</v>
      </c>
      <c r="J753" s="466"/>
      <c r="K753" s="466" t="s">
        <v>7393</v>
      </c>
      <c r="L753" s="466">
        <v>75.0</v>
      </c>
      <c r="M753" s="466"/>
      <c r="N753" s="466"/>
      <c r="O753" s="466"/>
      <c r="P753" s="357"/>
      <c r="Q753" s="357"/>
      <c r="R753" s="357"/>
      <c r="S753" s="357"/>
      <c r="T753" s="357"/>
      <c r="U753" s="357"/>
      <c r="V753" s="357"/>
      <c r="W753" s="357"/>
      <c r="X753" s="357"/>
      <c r="Y753" s="357"/>
      <c r="Z753" s="357"/>
    </row>
    <row r="754" ht="15.75" customHeight="1">
      <c r="A754" s="466" t="s">
        <v>8304</v>
      </c>
      <c r="B754" s="466">
        <v>2024.0</v>
      </c>
      <c r="C754" s="466">
        <v>6.0</v>
      </c>
      <c r="D754" s="466">
        <v>45463.0</v>
      </c>
      <c r="E754" s="466" t="s">
        <v>8353</v>
      </c>
      <c r="F754" s="466" t="s">
        <v>8354</v>
      </c>
      <c r="G754" s="466" t="s">
        <v>7106</v>
      </c>
      <c r="H754" s="466" t="s">
        <v>8355</v>
      </c>
      <c r="I754" s="466">
        <v>1.0</v>
      </c>
      <c r="J754" s="466"/>
      <c r="K754" s="466" t="s">
        <v>7393</v>
      </c>
      <c r="L754" s="466">
        <v>75.0</v>
      </c>
      <c r="M754" s="466"/>
      <c r="N754" s="466"/>
      <c r="O754" s="466"/>
      <c r="P754" s="357"/>
      <c r="Q754" s="357"/>
      <c r="R754" s="357"/>
      <c r="S754" s="357"/>
      <c r="T754" s="357"/>
      <c r="U754" s="357"/>
      <c r="V754" s="357"/>
      <c r="W754" s="357"/>
      <c r="X754" s="357"/>
      <c r="Y754" s="357"/>
      <c r="Z754" s="357"/>
    </row>
    <row r="755" ht="15.75" customHeight="1">
      <c r="A755" s="466" t="s">
        <v>8304</v>
      </c>
      <c r="B755" s="466">
        <v>2024.0</v>
      </c>
      <c r="C755" s="466">
        <v>6.0</v>
      </c>
      <c r="D755" s="466">
        <v>45463.0</v>
      </c>
      <c r="E755" s="466" t="s">
        <v>8356</v>
      </c>
      <c r="F755" s="466" t="s">
        <v>8357</v>
      </c>
      <c r="G755" s="466" t="s">
        <v>7075</v>
      </c>
      <c r="H755" s="466" t="s">
        <v>8217</v>
      </c>
      <c r="I755" s="466">
        <v>1.0</v>
      </c>
      <c r="J755" s="466"/>
      <c r="K755" s="466" t="s">
        <v>7393</v>
      </c>
      <c r="L755" s="466">
        <v>110.0</v>
      </c>
      <c r="M755" s="466"/>
      <c r="N755" s="466"/>
      <c r="O755" s="466"/>
      <c r="P755" s="357"/>
      <c r="Q755" s="357"/>
      <c r="R755" s="357"/>
      <c r="S755" s="357"/>
      <c r="T755" s="357"/>
      <c r="U755" s="357"/>
      <c r="V755" s="357"/>
      <c r="W755" s="357"/>
      <c r="X755" s="357"/>
      <c r="Y755" s="357"/>
      <c r="Z755" s="357"/>
    </row>
    <row r="756" ht="15.75" customHeight="1">
      <c r="A756" s="466" t="s">
        <v>8304</v>
      </c>
      <c r="B756" s="466">
        <v>2024.0</v>
      </c>
      <c r="C756" s="466">
        <v>6.0</v>
      </c>
      <c r="D756" s="466">
        <v>45463.0</v>
      </c>
      <c r="E756" s="466" t="s">
        <v>2668</v>
      </c>
      <c r="F756" s="466" t="s">
        <v>8358</v>
      </c>
      <c r="G756" s="466" t="s">
        <v>7106</v>
      </c>
      <c r="H756" s="466" t="s">
        <v>8359</v>
      </c>
      <c r="I756" s="466">
        <v>1.0</v>
      </c>
      <c r="J756" s="466"/>
      <c r="K756" s="466" t="s">
        <v>7393</v>
      </c>
      <c r="L756" s="466">
        <v>75.0</v>
      </c>
      <c r="M756" s="466"/>
      <c r="N756" s="466"/>
      <c r="O756" s="466"/>
      <c r="P756" s="357"/>
      <c r="Q756" s="357"/>
      <c r="R756" s="357"/>
      <c r="S756" s="357"/>
      <c r="T756" s="357"/>
      <c r="U756" s="357"/>
      <c r="V756" s="357"/>
      <c r="W756" s="357"/>
      <c r="X756" s="357"/>
      <c r="Y756" s="357"/>
      <c r="Z756" s="357"/>
    </row>
    <row r="757" ht="15.75" customHeight="1">
      <c r="A757" s="466" t="s">
        <v>8304</v>
      </c>
      <c r="B757" s="466">
        <v>2024.0</v>
      </c>
      <c r="C757" s="466">
        <v>6.0</v>
      </c>
      <c r="D757" s="466">
        <v>45463.0</v>
      </c>
      <c r="E757" s="466" t="s">
        <v>8187</v>
      </c>
      <c r="F757" s="466" t="s">
        <v>8360</v>
      </c>
      <c r="G757" s="466" t="s">
        <v>7611</v>
      </c>
      <c r="H757" s="466" t="s">
        <v>8361</v>
      </c>
      <c r="I757" s="466">
        <v>1.0</v>
      </c>
      <c r="J757" s="466"/>
      <c r="K757" s="466" t="s">
        <v>7393</v>
      </c>
      <c r="L757" s="466">
        <v>80.0</v>
      </c>
      <c r="M757" s="466"/>
      <c r="N757" s="466"/>
      <c r="O757" s="466"/>
      <c r="P757" s="357"/>
      <c r="Q757" s="357"/>
      <c r="R757" s="357"/>
      <c r="S757" s="357"/>
      <c r="T757" s="357"/>
      <c r="U757" s="357"/>
      <c r="V757" s="357"/>
      <c r="W757" s="357"/>
      <c r="X757" s="357"/>
      <c r="Y757" s="357"/>
      <c r="Z757" s="357"/>
    </row>
    <row r="758" ht="15.75" customHeight="1">
      <c r="A758" s="466" t="s">
        <v>8304</v>
      </c>
      <c r="B758" s="466">
        <v>2024.0</v>
      </c>
      <c r="C758" s="466">
        <v>6.0</v>
      </c>
      <c r="D758" s="466">
        <v>45463.0</v>
      </c>
      <c r="E758" s="466" t="s">
        <v>7436</v>
      </c>
      <c r="F758" s="466" t="s">
        <v>8362</v>
      </c>
      <c r="G758" s="466" t="s">
        <v>7100</v>
      </c>
      <c r="H758" s="466" t="s">
        <v>248</v>
      </c>
      <c r="I758" s="466">
        <v>1.0</v>
      </c>
      <c r="J758" s="466"/>
      <c r="K758" s="466" t="s">
        <v>7393</v>
      </c>
      <c r="L758" s="466">
        <v>170.0</v>
      </c>
      <c r="M758" s="466"/>
      <c r="N758" s="466"/>
      <c r="O758" s="466"/>
      <c r="P758" s="357"/>
      <c r="Q758" s="357"/>
      <c r="R758" s="357"/>
      <c r="S758" s="357"/>
      <c r="T758" s="357"/>
      <c r="U758" s="357"/>
      <c r="V758" s="357"/>
      <c r="W758" s="357"/>
      <c r="X758" s="357"/>
      <c r="Y758" s="357"/>
      <c r="Z758" s="357"/>
    </row>
    <row r="759" ht="15.75" customHeight="1">
      <c r="A759" s="466" t="s">
        <v>8304</v>
      </c>
      <c r="B759" s="466">
        <v>2024.0</v>
      </c>
      <c r="C759" s="466">
        <v>6.0</v>
      </c>
      <c r="D759" s="466">
        <v>45463.0</v>
      </c>
      <c r="E759" s="466" t="s">
        <v>7417</v>
      </c>
      <c r="F759" s="466" t="s">
        <v>8363</v>
      </c>
      <c r="G759" s="466" t="s">
        <v>7106</v>
      </c>
      <c r="H759" s="466" t="s">
        <v>8359</v>
      </c>
      <c r="I759" s="466">
        <v>1.0</v>
      </c>
      <c r="J759" s="466"/>
      <c r="K759" s="466" t="s">
        <v>7393</v>
      </c>
      <c r="L759" s="466">
        <v>75.0</v>
      </c>
      <c r="M759" s="466"/>
      <c r="N759" s="466"/>
      <c r="O759" s="466"/>
      <c r="P759" s="357"/>
      <c r="Q759" s="357"/>
      <c r="R759" s="357"/>
      <c r="S759" s="357"/>
      <c r="T759" s="357"/>
      <c r="U759" s="357"/>
      <c r="V759" s="357"/>
      <c r="W759" s="357"/>
      <c r="X759" s="357"/>
      <c r="Y759" s="357"/>
      <c r="Z759" s="357"/>
    </row>
    <row r="760" ht="15.75" customHeight="1">
      <c r="A760" s="466" t="s">
        <v>8304</v>
      </c>
      <c r="B760" s="466">
        <v>2024.0</v>
      </c>
      <c r="C760" s="466">
        <v>6.0</v>
      </c>
      <c r="D760" s="466">
        <v>45464.0</v>
      </c>
      <c r="E760" s="466" t="s">
        <v>7414</v>
      </c>
      <c r="F760" s="466" t="s">
        <v>8364</v>
      </c>
      <c r="G760" s="466" t="s">
        <v>7100</v>
      </c>
      <c r="H760" s="466" t="s">
        <v>8365</v>
      </c>
      <c r="I760" s="466">
        <v>1.0</v>
      </c>
      <c r="J760" s="466"/>
      <c r="K760" s="466" t="s">
        <v>7393</v>
      </c>
      <c r="L760" s="466">
        <v>170.0</v>
      </c>
      <c r="M760" s="466"/>
      <c r="N760" s="466"/>
      <c r="O760" s="466"/>
      <c r="P760" s="357"/>
      <c r="Q760" s="357"/>
      <c r="R760" s="357"/>
      <c r="S760" s="357"/>
      <c r="T760" s="357"/>
      <c r="U760" s="357"/>
      <c r="V760" s="357"/>
      <c r="W760" s="357"/>
      <c r="X760" s="357"/>
      <c r="Y760" s="357"/>
      <c r="Z760" s="357"/>
    </row>
    <row r="761" ht="15.75" customHeight="1">
      <c r="A761" s="466" t="s">
        <v>8304</v>
      </c>
      <c r="B761" s="466">
        <v>2024.0</v>
      </c>
      <c r="C761" s="466">
        <v>6.0</v>
      </c>
      <c r="D761" s="466">
        <v>45464.0</v>
      </c>
      <c r="E761" s="466" t="s">
        <v>7429</v>
      </c>
      <c r="F761" s="466" t="s">
        <v>8366</v>
      </c>
      <c r="G761" s="466" t="s">
        <v>7611</v>
      </c>
      <c r="H761" s="466" t="s">
        <v>7643</v>
      </c>
      <c r="I761" s="466">
        <v>1.0</v>
      </c>
      <c r="J761" s="466"/>
      <c r="K761" s="466" t="s">
        <v>7393</v>
      </c>
      <c r="L761" s="466">
        <v>80.0</v>
      </c>
      <c r="M761" s="466"/>
      <c r="N761" s="466"/>
      <c r="O761" s="466"/>
      <c r="P761" s="357"/>
      <c r="Q761" s="357"/>
      <c r="R761" s="357"/>
      <c r="S761" s="357"/>
      <c r="T761" s="357"/>
      <c r="U761" s="357"/>
      <c r="V761" s="357"/>
      <c r="W761" s="357"/>
      <c r="X761" s="357"/>
      <c r="Y761" s="357"/>
      <c r="Z761" s="357"/>
    </row>
    <row r="762" ht="15.75" customHeight="1">
      <c r="A762" s="466" t="s">
        <v>8304</v>
      </c>
      <c r="B762" s="466">
        <v>2024.0</v>
      </c>
      <c r="C762" s="466">
        <v>6.0</v>
      </c>
      <c r="D762" s="466">
        <v>45464.0</v>
      </c>
      <c r="E762" s="466" t="s">
        <v>7429</v>
      </c>
      <c r="F762" s="466" t="s">
        <v>8366</v>
      </c>
      <c r="G762" s="466" t="s">
        <v>7106</v>
      </c>
      <c r="H762" s="466" t="s">
        <v>8352</v>
      </c>
      <c r="I762" s="466">
        <v>1.0</v>
      </c>
      <c r="J762" s="466"/>
      <c r="K762" s="466" t="s">
        <v>7393</v>
      </c>
      <c r="L762" s="466">
        <v>75.0</v>
      </c>
      <c r="M762" s="466"/>
      <c r="N762" s="466"/>
      <c r="O762" s="466"/>
      <c r="P762" s="357"/>
      <c r="Q762" s="357"/>
      <c r="R762" s="357"/>
      <c r="S762" s="357"/>
      <c r="T762" s="357"/>
      <c r="U762" s="357"/>
      <c r="V762" s="357"/>
      <c r="W762" s="357"/>
      <c r="X762" s="357"/>
      <c r="Y762" s="357"/>
      <c r="Z762" s="357"/>
    </row>
    <row r="763" ht="15.75" customHeight="1">
      <c r="A763" s="466" t="s">
        <v>8304</v>
      </c>
      <c r="B763" s="466">
        <v>2024.0</v>
      </c>
      <c r="C763" s="466">
        <v>6.0</v>
      </c>
      <c r="D763" s="466">
        <v>45464.0</v>
      </c>
      <c r="E763" s="466" t="s">
        <v>8329</v>
      </c>
      <c r="F763" s="466"/>
      <c r="G763" s="466" t="s">
        <v>7075</v>
      </c>
      <c r="H763" s="466" t="s">
        <v>8367</v>
      </c>
      <c r="I763" s="466">
        <v>1.0</v>
      </c>
      <c r="J763" s="466"/>
      <c r="K763" s="466" t="s">
        <v>2511</v>
      </c>
      <c r="L763" s="466">
        <v>100.0</v>
      </c>
      <c r="M763" s="466"/>
      <c r="N763" s="466"/>
      <c r="O763" s="466"/>
      <c r="P763" s="357"/>
      <c r="Q763" s="357"/>
      <c r="R763" s="357"/>
      <c r="S763" s="357"/>
      <c r="T763" s="357"/>
      <c r="U763" s="357"/>
      <c r="V763" s="357"/>
      <c r="W763" s="357"/>
      <c r="X763" s="357"/>
      <c r="Y763" s="357"/>
      <c r="Z763" s="357"/>
    </row>
    <row r="764" ht="15.75" customHeight="1">
      <c r="A764" s="466" t="s">
        <v>8304</v>
      </c>
      <c r="B764" s="466">
        <v>2024.0</v>
      </c>
      <c r="C764" s="466">
        <v>6.0</v>
      </c>
      <c r="D764" s="466">
        <v>45464.0</v>
      </c>
      <c r="E764" s="466" t="s">
        <v>8368</v>
      </c>
      <c r="F764" s="466"/>
      <c r="G764" s="466" t="s">
        <v>7106</v>
      </c>
      <c r="H764" s="466" t="s">
        <v>8369</v>
      </c>
      <c r="I764" s="466">
        <v>1.0</v>
      </c>
      <c r="J764" s="466"/>
      <c r="K764" s="466" t="s">
        <v>7393</v>
      </c>
      <c r="L764" s="466">
        <v>75.0</v>
      </c>
      <c r="M764" s="466"/>
      <c r="N764" s="466"/>
      <c r="O764" s="466"/>
      <c r="P764" s="357"/>
      <c r="Q764" s="357"/>
      <c r="R764" s="357"/>
      <c r="S764" s="357"/>
      <c r="T764" s="357"/>
      <c r="U764" s="357"/>
      <c r="V764" s="357"/>
      <c r="W764" s="357"/>
      <c r="X764" s="357"/>
      <c r="Y764" s="357"/>
      <c r="Z764" s="357"/>
    </row>
    <row r="765" ht="15.75" customHeight="1">
      <c r="A765" s="466" t="s">
        <v>8304</v>
      </c>
      <c r="B765" s="466">
        <v>2024.0</v>
      </c>
      <c r="C765" s="466">
        <v>6.0</v>
      </c>
      <c r="D765" s="466">
        <v>45464.0</v>
      </c>
      <c r="E765" s="466" t="s">
        <v>2772</v>
      </c>
      <c r="F765" s="466" t="s">
        <v>2773</v>
      </c>
      <c r="G765" s="466" t="s">
        <v>7106</v>
      </c>
      <c r="H765" s="466" t="s">
        <v>8370</v>
      </c>
      <c r="I765" s="466">
        <v>1.0</v>
      </c>
      <c r="J765" s="466"/>
      <c r="K765" s="466" t="s">
        <v>2511</v>
      </c>
      <c r="L765" s="466">
        <v>65.0</v>
      </c>
      <c r="M765" s="466"/>
      <c r="N765" s="466"/>
      <c r="O765" s="466"/>
      <c r="P765" s="357"/>
      <c r="Q765" s="357"/>
      <c r="R765" s="357"/>
      <c r="S765" s="357"/>
      <c r="T765" s="357"/>
      <c r="U765" s="357"/>
      <c r="V765" s="357"/>
      <c r="W765" s="357"/>
      <c r="X765" s="357"/>
      <c r="Y765" s="357"/>
      <c r="Z765" s="357"/>
    </row>
    <row r="766" ht="15.75" customHeight="1">
      <c r="A766" s="466" t="s">
        <v>8304</v>
      </c>
      <c r="B766" s="466">
        <v>2024.0</v>
      </c>
      <c r="C766" s="466">
        <v>6.0</v>
      </c>
      <c r="D766" s="466">
        <v>45464.0</v>
      </c>
      <c r="E766" s="466" t="s">
        <v>7805</v>
      </c>
      <c r="F766" s="466" t="s">
        <v>8371</v>
      </c>
      <c r="G766" s="466" t="s">
        <v>7611</v>
      </c>
      <c r="H766" s="466" t="s">
        <v>7643</v>
      </c>
      <c r="I766" s="466">
        <v>1.0</v>
      </c>
      <c r="J766" s="466"/>
      <c r="K766" s="466" t="s">
        <v>7393</v>
      </c>
      <c r="L766" s="466">
        <v>80.0</v>
      </c>
      <c r="M766" s="466"/>
      <c r="N766" s="466"/>
      <c r="O766" s="466"/>
      <c r="P766" s="357"/>
      <c r="Q766" s="357"/>
      <c r="R766" s="357"/>
      <c r="S766" s="357"/>
      <c r="T766" s="357"/>
      <c r="U766" s="357"/>
      <c r="V766" s="357"/>
      <c r="W766" s="357"/>
      <c r="X766" s="357"/>
      <c r="Y766" s="357"/>
      <c r="Z766" s="357"/>
    </row>
    <row r="767" ht="15.75" customHeight="1">
      <c r="A767" s="466" t="s">
        <v>8304</v>
      </c>
      <c r="B767" s="466">
        <v>2024.0</v>
      </c>
      <c r="C767" s="466">
        <v>6.0</v>
      </c>
      <c r="D767" s="466">
        <v>45465.0</v>
      </c>
      <c r="E767" s="466"/>
      <c r="F767" s="466"/>
      <c r="G767" s="466" t="s">
        <v>7075</v>
      </c>
      <c r="H767" s="466" t="s">
        <v>8372</v>
      </c>
      <c r="I767" s="466">
        <v>1.0</v>
      </c>
      <c r="J767" s="466"/>
      <c r="K767" s="466" t="s">
        <v>7393</v>
      </c>
      <c r="L767" s="466">
        <v>110.0</v>
      </c>
      <c r="M767" s="466"/>
      <c r="N767" s="466"/>
      <c r="O767" s="466"/>
      <c r="P767" s="357"/>
      <c r="Q767" s="357"/>
      <c r="R767" s="357"/>
      <c r="S767" s="357"/>
      <c r="T767" s="357"/>
      <c r="U767" s="357"/>
      <c r="V767" s="357"/>
      <c r="W767" s="357"/>
      <c r="X767" s="357"/>
      <c r="Y767" s="357"/>
      <c r="Z767" s="357"/>
    </row>
    <row r="768" ht="15.75" customHeight="1">
      <c r="A768" s="466" t="s">
        <v>8304</v>
      </c>
      <c r="B768" s="466">
        <v>2024.0</v>
      </c>
      <c r="C768" s="466">
        <v>6.0</v>
      </c>
      <c r="D768" s="466">
        <v>45465.0</v>
      </c>
      <c r="E768" s="466" t="s">
        <v>7600</v>
      </c>
      <c r="F768" s="466" t="s">
        <v>8373</v>
      </c>
      <c r="G768" s="466" t="s">
        <v>7611</v>
      </c>
      <c r="H768" s="466" t="s">
        <v>7643</v>
      </c>
      <c r="I768" s="466">
        <v>1.0</v>
      </c>
      <c r="J768" s="466"/>
      <c r="K768" s="466" t="s">
        <v>7393</v>
      </c>
      <c r="L768" s="466">
        <v>80.0</v>
      </c>
      <c r="M768" s="466"/>
      <c r="N768" s="466"/>
      <c r="O768" s="466"/>
      <c r="P768" s="357"/>
      <c r="Q768" s="357"/>
      <c r="R768" s="357"/>
      <c r="S768" s="357"/>
      <c r="T768" s="357"/>
      <c r="U768" s="357"/>
      <c r="V768" s="357"/>
      <c r="W768" s="357"/>
      <c r="X768" s="357"/>
      <c r="Y768" s="357"/>
      <c r="Z768" s="357"/>
    </row>
    <row r="769" ht="15.75" customHeight="1">
      <c r="A769" s="466" t="s">
        <v>8304</v>
      </c>
      <c r="B769" s="466">
        <v>2024.0</v>
      </c>
      <c r="C769" s="466">
        <v>6.0</v>
      </c>
      <c r="D769" s="466">
        <v>45465.0</v>
      </c>
      <c r="E769" s="466" t="s">
        <v>7881</v>
      </c>
      <c r="F769" s="466" t="s">
        <v>8374</v>
      </c>
      <c r="G769" s="466" t="s">
        <v>7106</v>
      </c>
      <c r="H769" s="466" t="s">
        <v>8287</v>
      </c>
      <c r="I769" s="466">
        <v>1.0</v>
      </c>
      <c r="J769" s="466"/>
      <c r="K769" s="466" t="s">
        <v>7393</v>
      </c>
      <c r="L769" s="466">
        <v>50.0</v>
      </c>
      <c r="M769" s="466"/>
      <c r="N769" s="466"/>
      <c r="O769" s="466"/>
      <c r="P769" s="357"/>
      <c r="Q769" s="357"/>
      <c r="R769" s="357"/>
      <c r="S769" s="357"/>
      <c r="T769" s="357"/>
      <c r="U769" s="357"/>
      <c r="V769" s="357"/>
      <c r="W769" s="357"/>
      <c r="X769" s="357"/>
      <c r="Y769" s="357"/>
      <c r="Z769" s="357"/>
    </row>
    <row r="770" ht="15.75" customHeight="1">
      <c r="A770" s="466" t="s">
        <v>8304</v>
      </c>
      <c r="B770" s="466">
        <v>2024.0</v>
      </c>
      <c r="C770" s="466">
        <v>6.0</v>
      </c>
      <c r="D770" s="466">
        <v>45465.0</v>
      </c>
      <c r="E770" s="466" t="s">
        <v>8375</v>
      </c>
      <c r="F770" s="466"/>
      <c r="G770" s="466" t="s">
        <v>7100</v>
      </c>
      <c r="H770" s="466" t="s">
        <v>248</v>
      </c>
      <c r="I770" s="466">
        <v>1.0</v>
      </c>
      <c r="J770" s="466"/>
      <c r="K770" s="466" t="s">
        <v>7393</v>
      </c>
      <c r="L770" s="466">
        <v>170.0</v>
      </c>
      <c r="M770" s="466"/>
      <c r="N770" s="466"/>
      <c r="O770" s="466"/>
      <c r="P770" s="357"/>
      <c r="Q770" s="357"/>
      <c r="R770" s="357"/>
      <c r="S770" s="357"/>
      <c r="T770" s="357"/>
      <c r="U770" s="357"/>
      <c r="V770" s="357"/>
      <c r="W770" s="357"/>
      <c r="X770" s="357"/>
      <c r="Y770" s="357"/>
      <c r="Z770" s="357"/>
    </row>
    <row r="771" ht="15.75" customHeight="1">
      <c r="A771" s="466" t="s">
        <v>8304</v>
      </c>
      <c r="B771" s="466">
        <v>2024.0</v>
      </c>
      <c r="C771" s="466">
        <v>6.0</v>
      </c>
      <c r="D771" s="466">
        <v>45466.0</v>
      </c>
      <c r="E771" s="466"/>
      <c r="F771" s="466"/>
      <c r="G771" s="466" t="s">
        <v>7075</v>
      </c>
      <c r="H771" s="466" t="s">
        <v>8365</v>
      </c>
      <c r="I771" s="466">
        <v>1.0</v>
      </c>
      <c r="J771" s="466"/>
      <c r="K771" s="466" t="s">
        <v>7393</v>
      </c>
      <c r="L771" s="466">
        <v>110.0</v>
      </c>
      <c r="M771" s="466"/>
      <c r="N771" s="466"/>
      <c r="O771" s="466"/>
      <c r="P771" s="357"/>
      <c r="Q771" s="357"/>
      <c r="R771" s="357"/>
      <c r="S771" s="357"/>
      <c r="T771" s="357"/>
      <c r="U771" s="357"/>
      <c r="V771" s="357"/>
      <c r="W771" s="357"/>
      <c r="X771" s="357"/>
      <c r="Y771" s="357"/>
      <c r="Z771" s="357"/>
    </row>
    <row r="772" ht="15.75" customHeight="1">
      <c r="A772" s="466" t="s">
        <v>8304</v>
      </c>
      <c r="B772" s="466">
        <v>2024.0</v>
      </c>
      <c r="C772" s="466">
        <v>6.0</v>
      </c>
      <c r="D772" s="466">
        <v>45466.0</v>
      </c>
      <c r="E772" s="466" t="s">
        <v>7408</v>
      </c>
      <c r="F772" s="466" t="s">
        <v>7409</v>
      </c>
      <c r="G772" s="466" t="s">
        <v>7075</v>
      </c>
      <c r="H772" s="466" t="s">
        <v>8332</v>
      </c>
      <c r="I772" s="466">
        <v>1.0</v>
      </c>
      <c r="J772" s="466"/>
      <c r="K772" s="466" t="s">
        <v>2511</v>
      </c>
      <c r="L772" s="466">
        <v>90.0</v>
      </c>
      <c r="M772" s="466"/>
      <c r="N772" s="466"/>
      <c r="O772" s="466"/>
      <c r="P772" s="357"/>
      <c r="Q772" s="357"/>
      <c r="R772" s="357"/>
      <c r="S772" s="357"/>
      <c r="T772" s="357"/>
      <c r="U772" s="357"/>
      <c r="V772" s="357"/>
      <c r="W772" s="357"/>
      <c r="X772" s="357"/>
      <c r="Y772" s="357"/>
      <c r="Z772" s="357"/>
    </row>
    <row r="773" ht="15.75" customHeight="1">
      <c r="A773" s="466" t="s">
        <v>8304</v>
      </c>
      <c r="B773" s="466">
        <v>2024.0</v>
      </c>
      <c r="C773" s="466">
        <v>6.0</v>
      </c>
      <c r="D773" s="466">
        <v>45466.0</v>
      </c>
      <c r="E773" s="466" t="s">
        <v>7408</v>
      </c>
      <c r="F773" s="466" t="s">
        <v>7409</v>
      </c>
      <c r="G773" s="466" t="s">
        <v>7395</v>
      </c>
      <c r="H773" s="466" t="s">
        <v>2699</v>
      </c>
      <c r="I773" s="466">
        <v>1.0</v>
      </c>
      <c r="J773" s="466"/>
      <c r="K773" s="466" t="s">
        <v>2511</v>
      </c>
      <c r="L773" s="466">
        <v>40.0</v>
      </c>
      <c r="M773" s="466"/>
      <c r="N773" s="466"/>
      <c r="O773" s="466"/>
      <c r="P773" s="357"/>
      <c r="Q773" s="357"/>
      <c r="R773" s="357"/>
      <c r="S773" s="357"/>
      <c r="T773" s="357"/>
      <c r="U773" s="357"/>
      <c r="V773" s="357"/>
      <c r="W773" s="357"/>
      <c r="X773" s="357"/>
      <c r="Y773" s="357"/>
      <c r="Z773" s="357"/>
    </row>
    <row r="774" ht="15.75" customHeight="1">
      <c r="A774" s="466" t="s">
        <v>8304</v>
      </c>
      <c r="B774" s="466">
        <v>2024.0</v>
      </c>
      <c r="C774" s="466">
        <v>6.0</v>
      </c>
      <c r="D774" s="466">
        <v>45466.0</v>
      </c>
      <c r="E774" s="466" t="s">
        <v>7637</v>
      </c>
      <c r="F774" s="466" t="s">
        <v>8376</v>
      </c>
      <c r="G774" s="466" t="s">
        <v>7075</v>
      </c>
      <c r="H774" s="466" t="s">
        <v>8377</v>
      </c>
      <c r="I774" s="466">
        <v>1.0</v>
      </c>
      <c r="J774" s="466"/>
      <c r="K774" s="466" t="s">
        <v>7393</v>
      </c>
      <c r="L774" s="466">
        <v>80.0</v>
      </c>
      <c r="M774" s="466"/>
      <c r="N774" s="466"/>
      <c r="O774" s="466"/>
      <c r="P774" s="357"/>
      <c r="Q774" s="357"/>
      <c r="R774" s="357"/>
      <c r="S774" s="357"/>
      <c r="T774" s="357"/>
      <c r="U774" s="357"/>
      <c r="V774" s="357"/>
      <c r="W774" s="357"/>
      <c r="X774" s="357"/>
      <c r="Y774" s="357"/>
      <c r="Z774" s="357"/>
    </row>
    <row r="775" ht="15.75" customHeight="1">
      <c r="A775" s="466" t="s">
        <v>8304</v>
      </c>
      <c r="B775" s="466">
        <v>2024.0</v>
      </c>
      <c r="C775" s="466">
        <v>6.0</v>
      </c>
      <c r="D775" s="466">
        <v>45467.0</v>
      </c>
      <c r="E775" s="466" t="s">
        <v>2685</v>
      </c>
      <c r="F775" s="466" t="s">
        <v>8378</v>
      </c>
      <c r="G775" s="466" t="s">
        <v>7100</v>
      </c>
      <c r="H775" s="466" t="s">
        <v>248</v>
      </c>
      <c r="I775" s="466">
        <v>1.0</v>
      </c>
      <c r="J775" s="466"/>
      <c r="K775" s="466" t="s">
        <v>8168</v>
      </c>
      <c r="L775" s="466">
        <v>170.0</v>
      </c>
      <c r="M775" s="466"/>
      <c r="N775" s="466"/>
      <c r="O775" s="466"/>
      <c r="P775" s="357"/>
      <c r="Q775" s="357"/>
      <c r="R775" s="357"/>
      <c r="S775" s="357"/>
      <c r="T775" s="357"/>
      <c r="U775" s="357"/>
      <c r="V775" s="357"/>
      <c r="W775" s="357"/>
      <c r="X775" s="357"/>
      <c r="Y775" s="357"/>
      <c r="Z775" s="357"/>
    </row>
    <row r="776" ht="15.75" customHeight="1">
      <c r="A776" s="466" t="s">
        <v>8304</v>
      </c>
      <c r="B776" s="466">
        <v>2024.0</v>
      </c>
      <c r="C776" s="466">
        <v>6.0</v>
      </c>
      <c r="D776" s="466">
        <v>45467.0</v>
      </c>
      <c r="E776" s="466" t="s">
        <v>7883</v>
      </c>
      <c r="F776" s="466" t="s">
        <v>8034</v>
      </c>
      <c r="G776" s="466" t="s">
        <v>7611</v>
      </c>
      <c r="H776" s="466" t="s">
        <v>7643</v>
      </c>
      <c r="I776" s="466">
        <v>1.0</v>
      </c>
      <c r="J776" s="466"/>
      <c r="K776" s="466" t="s">
        <v>7393</v>
      </c>
      <c r="L776" s="466">
        <v>80.0</v>
      </c>
      <c r="M776" s="466"/>
      <c r="N776" s="466"/>
      <c r="O776" s="466"/>
      <c r="P776" s="357"/>
      <c r="Q776" s="357"/>
      <c r="R776" s="357"/>
      <c r="S776" s="357"/>
      <c r="T776" s="357"/>
      <c r="U776" s="357"/>
      <c r="V776" s="357"/>
      <c r="W776" s="357"/>
      <c r="X776" s="357"/>
      <c r="Y776" s="357"/>
      <c r="Z776" s="357"/>
    </row>
    <row r="777" ht="15.75" customHeight="1">
      <c r="A777" s="466" t="s">
        <v>8304</v>
      </c>
      <c r="B777" s="466">
        <v>2024.0</v>
      </c>
      <c r="C777" s="466">
        <v>6.0</v>
      </c>
      <c r="D777" s="466"/>
      <c r="E777" s="466" t="s">
        <v>2561</v>
      </c>
      <c r="F777" s="466" t="s">
        <v>8214</v>
      </c>
      <c r="G777" s="466" t="s">
        <v>7395</v>
      </c>
      <c r="H777" s="466" t="s">
        <v>8379</v>
      </c>
      <c r="I777" s="466">
        <v>1.0</v>
      </c>
      <c r="J777" s="466"/>
      <c r="K777" s="466" t="s">
        <v>8380</v>
      </c>
      <c r="L777" s="466">
        <v>45.0</v>
      </c>
      <c r="M777" s="466"/>
      <c r="N777" s="466"/>
      <c r="O777" s="466"/>
      <c r="P777" s="357"/>
      <c r="Q777" s="357"/>
      <c r="R777" s="357"/>
      <c r="S777" s="357"/>
      <c r="T777" s="357"/>
      <c r="U777" s="357"/>
      <c r="V777" s="357"/>
      <c r="W777" s="357"/>
      <c r="X777" s="357"/>
      <c r="Y777" s="357"/>
      <c r="Z777" s="357"/>
    </row>
    <row r="778" ht="15.75" customHeight="1">
      <c r="A778" s="466" t="s">
        <v>8304</v>
      </c>
      <c r="B778" s="466">
        <v>2024.0</v>
      </c>
      <c r="C778" s="466">
        <v>6.0</v>
      </c>
      <c r="D778" s="466">
        <v>45468.0</v>
      </c>
      <c r="E778" s="466" t="s">
        <v>8381</v>
      </c>
      <c r="F778" s="466" t="s">
        <v>8382</v>
      </c>
      <c r="G778" s="466" t="s">
        <v>7611</v>
      </c>
      <c r="H778" s="466" t="s">
        <v>8383</v>
      </c>
      <c r="I778" s="466">
        <v>1.0</v>
      </c>
      <c r="J778" s="466"/>
      <c r="K778" s="466" t="s">
        <v>8384</v>
      </c>
      <c r="L778" s="466">
        <v>75.0</v>
      </c>
      <c r="M778" s="466"/>
      <c r="N778" s="466"/>
      <c r="O778" s="466"/>
      <c r="P778" s="357"/>
      <c r="Q778" s="357"/>
      <c r="R778" s="357"/>
      <c r="S778" s="357"/>
      <c r="T778" s="357"/>
      <c r="U778" s="357"/>
      <c r="V778" s="357"/>
      <c r="W778" s="357"/>
      <c r="X778" s="357"/>
      <c r="Y778" s="357"/>
      <c r="Z778" s="357"/>
    </row>
    <row r="779" ht="15.75" customHeight="1">
      <c r="A779" s="466" t="s">
        <v>8304</v>
      </c>
      <c r="B779" s="466">
        <v>2024.0</v>
      </c>
      <c r="C779" s="466">
        <v>6.0</v>
      </c>
      <c r="D779" s="466">
        <v>45470.0</v>
      </c>
      <c r="E779" s="466" t="s">
        <v>8307</v>
      </c>
      <c r="F779" s="466" t="s">
        <v>8308</v>
      </c>
      <c r="G779" s="466" t="s">
        <v>7100</v>
      </c>
      <c r="H779" s="466" t="s">
        <v>2853</v>
      </c>
      <c r="I779" s="466">
        <v>1.0</v>
      </c>
      <c r="J779" s="466"/>
      <c r="K779" s="466" t="s">
        <v>7393</v>
      </c>
      <c r="L779" s="466">
        <v>160.0</v>
      </c>
      <c r="M779" s="466"/>
      <c r="N779" s="466"/>
      <c r="O779" s="466"/>
      <c r="P779" s="357"/>
      <c r="Q779" s="357"/>
      <c r="R779" s="357"/>
      <c r="S779" s="357"/>
      <c r="T779" s="357"/>
      <c r="U779" s="357"/>
      <c r="V779" s="357"/>
      <c r="W779" s="357"/>
      <c r="X779" s="357"/>
      <c r="Y779" s="357"/>
      <c r="Z779" s="357"/>
    </row>
    <row r="780" ht="15.75" customHeight="1">
      <c r="A780" s="466" t="s">
        <v>8304</v>
      </c>
      <c r="B780" s="466">
        <v>2024.0</v>
      </c>
      <c r="C780" s="466">
        <v>6.0</v>
      </c>
      <c r="D780" s="466">
        <v>45470.0</v>
      </c>
      <c r="E780" s="466" t="s">
        <v>7848</v>
      </c>
      <c r="F780" s="466" t="s">
        <v>8385</v>
      </c>
      <c r="G780" s="466" t="s">
        <v>7100</v>
      </c>
      <c r="H780" s="466" t="s">
        <v>248</v>
      </c>
      <c r="I780" s="466">
        <v>1.0</v>
      </c>
      <c r="J780" s="466"/>
      <c r="K780" s="466" t="s">
        <v>2511</v>
      </c>
      <c r="L780" s="466">
        <v>140.0</v>
      </c>
      <c r="M780" s="466"/>
      <c r="N780" s="466"/>
      <c r="O780" s="466"/>
      <c r="P780" s="357"/>
      <c r="Q780" s="357"/>
      <c r="R780" s="357"/>
      <c r="S780" s="357"/>
      <c r="T780" s="357"/>
      <c r="U780" s="357"/>
      <c r="V780" s="357"/>
      <c r="W780" s="357"/>
      <c r="X780" s="357"/>
      <c r="Y780" s="357"/>
      <c r="Z780" s="357"/>
    </row>
    <row r="781" ht="15.75" customHeight="1">
      <c r="A781" s="466" t="s">
        <v>8304</v>
      </c>
      <c r="B781" s="466">
        <v>2024.0</v>
      </c>
      <c r="C781" s="466">
        <v>6.0</v>
      </c>
      <c r="D781" s="466">
        <v>45471.0</v>
      </c>
      <c r="E781" s="466" t="s">
        <v>8386</v>
      </c>
      <c r="F781" s="466" t="s">
        <v>8387</v>
      </c>
      <c r="G781" s="466" t="s">
        <v>7100</v>
      </c>
      <c r="H781" s="466" t="s">
        <v>248</v>
      </c>
      <c r="I781" s="466">
        <v>1.0</v>
      </c>
      <c r="J781" s="466"/>
      <c r="K781" s="466" t="s">
        <v>7393</v>
      </c>
      <c r="L781" s="466">
        <v>170.0</v>
      </c>
      <c r="M781" s="466"/>
      <c r="N781" s="466"/>
      <c r="O781" s="466"/>
      <c r="P781" s="357"/>
      <c r="Q781" s="357"/>
      <c r="R781" s="357"/>
      <c r="S781" s="357"/>
      <c r="T781" s="357"/>
      <c r="U781" s="357"/>
      <c r="V781" s="357"/>
      <c r="W781" s="357"/>
      <c r="X781" s="357"/>
      <c r="Y781" s="357"/>
      <c r="Z781" s="357"/>
    </row>
    <row r="782" ht="15.75" customHeight="1">
      <c r="A782" s="466" t="s">
        <v>8304</v>
      </c>
      <c r="B782" s="466">
        <v>2024.0</v>
      </c>
      <c r="C782" s="466">
        <v>6.0</v>
      </c>
      <c r="D782" s="466"/>
      <c r="E782" s="466" t="s">
        <v>8388</v>
      </c>
      <c r="F782" s="466" t="s">
        <v>8389</v>
      </c>
      <c r="G782" s="466" t="s">
        <v>7106</v>
      </c>
      <c r="H782" s="466" t="s">
        <v>2619</v>
      </c>
      <c r="I782" s="466">
        <v>1.0</v>
      </c>
      <c r="J782" s="466"/>
      <c r="K782" s="466" t="s">
        <v>1947</v>
      </c>
      <c r="L782" s="466">
        <v>60.0</v>
      </c>
      <c r="M782" s="466"/>
      <c r="N782" s="466"/>
      <c r="O782" s="466"/>
      <c r="P782" s="357"/>
      <c r="Q782" s="357"/>
      <c r="R782" s="357"/>
      <c r="S782" s="357"/>
      <c r="T782" s="357"/>
      <c r="U782" s="357"/>
      <c r="V782" s="357"/>
      <c r="W782" s="357"/>
      <c r="X782" s="357"/>
      <c r="Y782" s="357"/>
      <c r="Z782" s="357"/>
    </row>
    <row r="783" ht="15.75" customHeight="1">
      <c r="A783" s="466" t="s">
        <v>8160</v>
      </c>
      <c r="B783" s="466">
        <v>2024.0</v>
      </c>
      <c r="C783" s="466">
        <v>7.0</v>
      </c>
      <c r="D783" s="466">
        <v>45475.0</v>
      </c>
      <c r="E783" s="466" t="s">
        <v>2547</v>
      </c>
      <c r="F783" s="466" t="s">
        <v>7892</v>
      </c>
      <c r="G783" s="466" t="s">
        <v>7100</v>
      </c>
      <c r="H783" s="466" t="s">
        <v>248</v>
      </c>
      <c r="I783" s="466">
        <v>1.0</v>
      </c>
      <c r="J783" s="466"/>
      <c r="K783" s="466" t="s">
        <v>8168</v>
      </c>
      <c r="L783" s="466">
        <v>170.0</v>
      </c>
      <c r="M783" s="466"/>
      <c r="N783" s="466"/>
      <c r="O783" s="466"/>
      <c r="P783" s="357"/>
      <c r="Q783" s="357"/>
      <c r="R783" s="357"/>
      <c r="S783" s="357"/>
      <c r="T783" s="357"/>
      <c r="U783" s="357"/>
      <c r="V783" s="357"/>
      <c r="W783" s="357"/>
      <c r="X783" s="357"/>
      <c r="Y783" s="357"/>
      <c r="Z783" s="357"/>
    </row>
    <row r="784" ht="15.75" customHeight="1">
      <c r="A784" s="466" t="s">
        <v>8160</v>
      </c>
      <c r="B784" s="466">
        <v>2024.0</v>
      </c>
      <c r="C784" s="466">
        <v>7.0</v>
      </c>
      <c r="D784" s="466">
        <v>45476.0</v>
      </c>
      <c r="E784" s="466" t="s">
        <v>8390</v>
      </c>
      <c r="F784" s="466" t="s">
        <v>8391</v>
      </c>
      <c r="G784" s="466" t="s">
        <v>7106</v>
      </c>
      <c r="H784" s="466" t="s">
        <v>7812</v>
      </c>
      <c r="I784" s="466">
        <v>1.0</v>
      </c>
      <c r="J784" s="466"/>
      <c r="K784" s="466" t="s">
        <v>8168</v>
      </c>
      <c r="L784" s="466">
        <v>85.0</v>
      </c>
      <c r="M784" s="466"/>
      <c r="N784" s="466"/>
      <c r="O784" s="466"/>
      <c r="P784" s="357"/>
      <c r="Q784" s="357"/>
      <c r="R784" s="357"/>
      <c r="S784" s="357"/>
      <c r="T784" s="357"/>
      <c r="U784" s="357"/>
      <c r="V784" s="357"/>
      <c r="W784" s="357"/>
      <c r="X784" s="357"/>
      <c r="Y784" s="357"/>
      <c r="Z784" s="357"/>
    </row>
    <row r="785" ht="15.75" customHeight="1">
      <c r="A785" s="466" t="s">
        <v>8160</v>
      </c>
      <c r="B785" s="466">
        <v>2024.0</v>
      </c>
      <c r="C785" s="466">
        <v>7.0</v>
      </c>
      <c r="D785" s="466"/>
      <c r="E785" s="466" t="s">
        <v>7809</v>
      </c>
      <c r="F785" s="466" t="s">
        <v>8392</v>
      </c>
      <c r="G785" s="466" t="s">
        <v>7075</v>
      </c>
      <c r="H785" s="466" t="s">
        <v>8393</v>
      </c>
      <c r="I785" s="466">
        <v>1.0</v>
      </c>
      <c r="J785" s="466"/>
      <c r="K785" s="466"/>
      <c r="L785" s="466">
        <v>130.0</v>
      </c>
      <c r="M785" s="466"/>
      <c r="N785" s="466"/>
      <c r="O785" s="466"/>
      <c r="P785" s="357"/>
      <c r="Q785" s="357"/>
      <c r="R785" s="357"/>
      <c r="S785" s="357"/>
      <c r="T785" s="357"/>
      <c r="U785" s="357"/>
      <c r="V785" s="357"/>
      <c r="W785" s="357"/>
      <c r="X785" s="357"/>
      <c r="Y785" s="357"/>
      <c r="Z785" s="357"/>
    </row>
    <row r="786" ht="15.75" customHeight="1">
      <c r="A786" s="466" t="s">
        <v>8160</v>
      </c>
      <c r="B786" s="466">
        <v>2024.0</v>
      </c>
      <c r="C786" s="466">
        <v>7.0</v>
      </c>
      <c r="D786" s="466" t="s">
        <v>8394</v>
      </c>
      <c r="E786" s="466" t="s">
        <v>8395</v>
      </c>
      <c r="F786" s="466"/>
      <c r="G786" s="466" t="s">
        <v>7611</v>
      </c>
      <c r="H786" s="466" t="s">
        <v>8396</v>
      </c>
      <c r="I786" s="466">
        <v>1.0</v>
      </c>
      <c r="J786" s="466"/>
      <c r="K786" s="466"/>
      <c r="L786" s="466">
        <v>80.0</v>
      </c>
      <c r="M786" s="466"/>
      <c r="N786" s="466"/>
      <c r="O786" s="466"/>
      <c r="P786" s="357"/>
      <c r="Q786" s="357"/>
      <c r="R786" s="357"/>
      <c r="S786" s="357"/>
      <c r="T786" s="357"/>
      <c r="U786" s="357"/>
      <c r="V786" s="357"/>
      <c r="W786" s="357"/>
      <c r="X786" s="357"/>
      <c r="Y786" s="357"/>
      <c r="Z786" s="357"/>
    </row>
    <row r="787" ht="15.75" customHeight="1">
      <c r="A787" s="466" t="s">
        <v>8160</v>
      </c>
      <c r="B787" s="466">
        <v>2024.0</v>
      </c>
      <c r="C787" s="466">
        <v>7.0</v>
      </c>
      <c r="D787" s="466" t="s">
        <v>8394</v>
      </c>
      <c r="E787" s="466" t="s">
        <v>8397</v>
      </c>
      <c r="F787" s="466"/>
      <c r="G787" s="466" t="s">
        <v>7611</v>
      </c>
      <c r="H787" s="466" t="s">
        <v>8396</v>
      </c>
      <c r="I787" s="466">
        <v>1.0</v>
      </c>
      <c r="J787" s="466"/>
      <c r="K787" s="466"/>
      <c r="L787" s="466">
        <v>80.0</v>
      </c>
      <c r="M787" s="466"/>
      <c r="N787" s="466"/>
      <c r="O787" s="466"/>
      <c r="P787" s="357"/>
      <c r="Q787" s="357"/>
      <c r="R787" s="357"/>
      <c r="S787" s="357"/>
      <c r="T787" s="357"/>
      <c r="U787" s="357"/>
      <c r="V787" s="357"/>
      <c r="W787" s="357"/>
      <c r="X787" s="357"/>
      <c r="Y787" s="357"/>
      <c r="Z787" s="357"/>
    </row>
    <row r="788" ht="15.75" customHeight="1">
      <c r="A788" s="466" t="s">
        <v>8160</v>
      </c>
      <c r="B788" s="466">
        <v>2024.0</v>
      </c>
      <c r="C788" s="466">
        <v>7.0</v>
      </c>
      <c r="D788" s="466" t="s">
        <v>8394</v>
      </c>
      <c r="E788" s="466" t="s">
        <v>8398</v>
      </c>
      <c r="F788" s="466"/>
      <c r="G788" s="466" t="s">
        <v>7611</v>
      </c>
      <c r="H788" s="466" t="s">
        <v>8396</v>
      </c>
      <c r="I788" s="466">
        <v>1.0</v>
      </c>
      <c r="J788" s="466"/>
      <c r="K788" s="466"/>
      <c r="L788" s="466">
        <v>80.0</v>
      </c>
      <c r="M788" s="466"/>
      <c r="N788" s="466"/>
      <c r="O788" s="466"/>
      <c r="P788" s="357"/>
      <c r="Q788" s="357"/>
      <c r="R788" s="357"/>
      <c r="S788" s="357"/>
      <c r="T788" s="357"/>
      <c r="U788" s="357"/>
      <c r="V788" s="357"/>
      <c r="W788" s="357"/>
      <c r="X788" s="357"/>
      <c r="Y788" s="357"/>
      <c r="Z788" s="357"/>
    </row>
    <row r="789" ht="15.75" customHeight="1">
      <c r="A789" s="466" t="s">
        <v>8160</v>
      </c>
      <c r="B789" s="466">
        <v>2024.0</v>
      </c>
      <c r="C789" s="466">
        <v>7.0</v>
      </c>
      <c r="D789" s="466">
        <v>45478.0</v>
      </c>
      <c r="E789" s="466" t="s">
        <v>8399</v>
      </c>
      <c r="F789" s="466" t="s">
        <v>8400</v>
      </c>
      <c r="G789" s="466" t="s">
        <v>7075</v>
      </c>
      <c r="H789" s="466" t="s">
        <v>8401</v>
      </c>
      <c r="I789" s="466">
        <v>1.0</v>
      </c>
      <c r="J789" s="466"/>
      <c r="K789" s="466" t="s">
        <v>2511</v>
      </c>
      <c r="L789" s="466">
        <v>110.0</v>
      </c>
      <c r="M789" s="466"/>
      <c r="N789" s="466"/>
      <c r="O789" s="466"/>
      <c r="P789" s="357"/>
      <c r="Q789" s="357"/>
      <c r="R789" s="357"/>
      <c r="S789" s="357"/>
      <c r="T789" s="357"/>
      <c r="U789" s="357"/>
      <c r="V789" s="357"/>
      <c r="W789" s="357"/>
      <c r="X789" s="357"/>
      <c r="Y789" s="357"/>
      <c r="Z789" s="357"/>
    </row>
    <row r="790" ht="15.75" customHeight="1">
      <c r="A790" s="466" t="s">
        <v>8160</v>
      </c>
      <c r="B790" s="466">
        <v>2024.0</v>
      </c>
      <c r="C790" s="466">
        <v>7.0</v>
      </c>
      <c r="D790" s="466">
        <v>45478.0</v>
      </c>
      <c r="E790" s="466" t="s">
        <v>2780</v>
      </c>
      <c r="F790" s="466" t="s">
        <v>2781</v>
      </c>
      <c r="G790" s="466" t="s">
        <v>7075</v>
      </c>
      <c r="H790" s="466" t="s">
        <v>8402</v>
      </c>
      <c r="I790" s="466">
        <v>1.0</v>
      </c>
      <c r="J790" s="466"/>
      <c r="K790" s="466" t="s">
        <v>3009</v>
      </c>
      <c r="L790" s="466">
        <v>100.0</v>
      </c>
      <c r="M790" s="466"/>
      <c r="N790" s="466"/>
      <c r="O790" s="466"/>
      <c r="P790" s="357"/>
      <c r="Q790" s="357"/>
      <c r="R790" s="357"/>
      <c r="S790" s="357"/>
      <c r="T790" s="357"/>
      <c r="U790" s="357"/>
      <c r="V790" s="357"/>
      <c r="W790" s="357"/>
      <c r="X790" s="357"/>
      <c r="Y790" s="357"/>
      <c r="Z790" s="357"/>
    </row>
    <row r="791" ht="15.75" customHeight="1">
      <c r="A791" s="466" t="s">
        <v>8160</v>
      </c>
      <c r="B791" s="466">
        <v>2024.0</v>
      </c>
      <c r="C791" s="466">
        <v>7.0</v>
      </c>
      <c r="D791" s="466">
        <v>45483.0</v>
      </c>
      <c r="E791" s="466" t="s">
        <v>7766</v>
      </c>
      <c r="F791" s="466" t="s">
        <v>8403</v>
      </c>
      <c r="G791" s="466" t="s">
        <v>7075</v>
      </c>
      <c r="H791" s="466" t="s">
        <v>6939</v>
      </c>
      <c r="I791" s="466">
        <v>1.0</v>
      </c>
      <c r="J791" s="466"/>
      <c r="K791" s="466" t="s">
        <v>7393</v>
      </c>
      <c r="L791" s="466">
        <v>110.0</v>
      </c>
      <c r="M791" s="466"/>
      <c r="N791" s="466"/>
      <c r="O791" s="466"/>
      <c r="P791" s="357"/>
      <c r="Q791" s="357"/>
      <c r="R791" s="357"/>
      <c r="S791" s="357"/>
      <c r="T791" s="357"/>
      <c r="U791" s="357"/>
      <c r="V791" s="357"/>
      <c r="W791" s="357"/>
      <c r="X791" s="357"/>
      <c r="Y791" s="357"/>
      <c r="Z791" s="357"/>
    </row>
    <row r="792" ht="15.75" customHeight="1">
      <c r="A792" s="466" t="s">
        <v>8160</v>
      </c>
      <c r="B792" s="466">
        <v>2024.0</v>
      </c>
      <c r="C792" s="466">
        <v>7.0</v>
      </c>
      <c r="D792" s="466">
        <v>45483.0</v>
      </c>
      <c r="E792" s="466" t="s">
        <v>8327</v>
      </c>
      <c r="F792" s="466" t="s">
        <v>8404</v>
      </c>
      <c r="G792" s="466" t="s">
        <v>7075</v>
      </c>
      <c r="H792" s="466" t="s">
        <v>8402</v>
      </c>
      <c r="I792" s="466">
        <v>1.0</v>
      </c>
      <c r="J792" s="466"/>
      <c r="K792" s="466" t="s">
        <v>8168</v>
      </c>
      <c r="L792" s="466">
        <v>115.0</v>
      </c>
      <c r="M792" s="466"/>
      <c r="N792" s="466"/>
      <c r="O792" s="466"/>
      <c r="P792" s="357"/>
      <c r="Q792" s="357"/>
      <c r="R792" s="357"/>
      <c r="S792" s="357"/>
      <c r="T792" s="357"/>
      <c r="U792" s="357"/>
      <c r="V792" s="357"/>
      <c r="W792" s="357"/>
      <c r="X792" s="357"/>
      <c r="Y792" s="357"/>
      <c r="Z792" s="357"/>
    </row>
    <row r="793" ht="15.75" customHeight="1">
      <c r="A793" s="466" t="s">
        <v>8160</v>
      </c>
      <c r="B793" s="466">
        <v>2024.0</v>
      </c>
      <c r="C793" s="466">
        <v>7.0</v>
      </c>
      <c r="D793" s="466">
        <v>45483.0</v>
      </c>
      <c r="E793" s="466" t="s">
        <v>2780</v>
      </c>
      <c r="F793" s="466" t="s">
        <v>8405</v>
      </c>
      <c r="G793" s="466" t="s">
        <v>7106</v>
      </c>
      <c r="H793" s="466" t="s">
        <v>788</v>
      </c>
      <c r="I793" s="466">
        <v>1.0</v>
      </c>
      <c r="J793" s="466"/>
      <c r="K793" s="466" t="s">
        <v>7393</v>
      </c>
      <c r="L793" s="466">
        <v>90.0</v>
      </c>
      <c r="M793" s="466"/>
      <c r="N793" s="466"/>
      <c r="O793" s="466"/>
      <c r="P793" s="357"/>
      <c r="Q793" s="357"/>
      <c r="R793" s="357"/>
      <c r="S793" s="357"/>
      <c r="T793" s="357"/>
      <c r="U793" s="357"/>
      <c r="V793" s="357"/>
      <c r="W793" s="357"/>
      <c r="X793" s="357"/>
      <c r="Y793" s="357"/>
      <c r="Z793" s="357"/>
    </row>
    <row r="794" ht="15.75" customHeight="1">
      <c r="A794" s="466" t="s">
        <v>8160</v>
      </c>
      <c r="B794" s="466">
        <v>2024.0</v>
      </c>
      <c r="C794" s="466">
        <v>7.0</v>
      </c>
      <c r="D794" s="466"/>
      <c r="E794" s="466" t="s">
        <v>2566</v>
      </c>
      <c r="F794" s="466" t="s">
        <v>2551</v>
      </c>
      <c r="G794" s="466" t="s">
        <v>7075</v>
      </c>
      <c r="H794" s="466" t="s">
        <v>8402</v>
      </c>
      <c r="I794" s="466">
        <v>1.0</v>
      </c>
      <c r="J794" s="466"/>
      <c r="K794" s="466" t="s">
        <v>8164</v>
      </c>
      <c r="L794" s="466">
        <v>80.0</v>
      </c>
      <c r="M794" s="466"/>
      <c r="N794" s="466"/>
      <c r="O794" s="466"/>
      <c r="P794" s="357"/>
      <c r="Q794" s="357"/>
      <c r="R794" s="357"/>
      <c r="S794" s="357"/>
      <c r="T794" s="357"/>
      <c r="U794" s="357"/>
      <c r="V794" s="357"/>
      <c r="W794" s="357"/>
      <c r="X794" s="357"/>
      <c r="Y794" s="357"/>
      <c r="Z794" s="357"/>
    </row>
    <row r="795" ht="15.75" customHeight="1">
      <c r="A795" s="466" t="s">
        <v>8160</v>
      </c>
      <c r="B795" s="466">
        <v>2024.0</v>
      </c>
      <c r="C795" s="466">
        <v>7.0</v>
      </c>
      <c r="D795" s="466">
        <v>45488.0</v>
      </c>
      <c r="E795" s="466" t="s">
        <v>2193</v>
      </c>
      <c r="F795" s="466" t="s">
        <v>8406</v>
      </c>
      <c r="G795" s="466" t="s">
        <v>7611</v>
      </c>
      <c r="H795" s="466" t="s">
        <v>8215</v>
      </c>
      <c r="I795" s="466">
        <v>1.0</v>
      </c>
      <c r="J795" s="466"/>
      <c r="K795" s="466" t="s">
        <v>3009</v>
      </c>
      <c r="L795" s="466">
        <v>80.0</v>
      </c>
      <c r="M795" s="466"/>
      <c r="N795" s="466"/>
      <c r="O795" s="466"/>
      <c r="P795" s="357"/>
      <c r="Q795" s="357"/>
      <c r="R795" s="357"/>
      <c r="S795" s="357"/>
      <c r="T795" s="357"/>
      <c r="U795" s="357"/>
      <c r="V795" s="357"/>
      <c r="W795" s="357"/>
      <c r="X795" s="357"/>
      <c r="Y795" s="357"/>
      <c r="Z795" s="357"/>
    </row>
    <row r="796" ht="15.75" customHeight="1">
      <c r="A796" s="466" t="s">
        <v>8160</v>
      </c>
      <c r="B796" s="466">
        <v>2024.0</v>
      </c>
      <c r="C796" s="466">
        <v>7.0</v>
      </c>
      <c r="D796" s="466">
        <v>45488.0</v>
      </c>
      <c r="E796" s="466" t="s">
        <v>8407</v>
      </c>
      <c r="F796" s="466"/>
      <c r="G796" s="466" t="s">
        <v>7059</v>
      </c>
      <c r="H796" s="466"/>
      <c r="I796" s="466">
        <v>1.0</v>
      </c>
      <c r="J796" s="466"/>
      <c r="K796" s="466" t="s">
        <v>8257</v>
      </c>
      <c r="L796" s="466">
        <v>80.0</v>
      </c>
      <c r="M796" s="466"/>
      <c r="N796" s="466"/>
      <c r="O796" s="466"/>
      <c r="P796" s="357"/>
      <c r="Q796" s="357"/>
      <c r="R796" s="357"/>
      <c r="S796" s="357"/>
      <c r="T796" s="357"/>
      <c r="U796" s="357"/>
      <c r="V796" s="357"/>
      <c r="W796" s="357"/>
      <c r="X796" s="357"/>
      <c r="Y796" s="357"/>
      <c r="Z796" s="357"/>
    </row>
    <row r="797" ht="15.75" customHeight="1">
      <c r="A797" s="466" t="s">
        <v>8160</v>
      </c>
      <c r="B797" s="466">
        <v>2024.0</v>
      </c>
      <c r="C797" s="466">
        <v>7.0</v>
      </c>
      <c r="D797" s="466">
        <v>45478.0</v>
      </c>
      <c r="E797" s="466" t="s">
        <v>8408</v>
      </c>
      <c r="F797" s="466" t="s">
        <v>8409</v>
      </c>
      <c r="G797" s="466" t="s">
        <v>7100</v>
      </c>
      <c r="H797" s="466" t="s">
        <v>2853</v>
      </c>
      <c r="I797" s="466">
        <v>1.0</v>
      </c>
      <c r="J797" s="466"/>
      <c r="K797" s="466" t="s">
        <v>8410</v>
      </c>
      <c r="L797" s="466">
        <v>100.0</v>
      </c>
      <c r="M797" s="466"/>
      <c r="N797" s="466"/>
      <c r="O797" s="466"/>
      <c r="P797" s="357"/>
      <c r="Q797" s="357"/>
      <c r="R797" s="357"/>
      <c r="S797" s="357"/>
      <c r="T797" s="357"/>
      <c r="U797" s="357"/>
      <c r="V797" s="357"/>
      <c r="W797" s="357"/>
      <c r="X797" s="357"/>
      <c r="Y797" s="357"/>
      <c r="Z797" s="357"/>
    </row>
    <row r="798" ht="15.75" customHeight="1">
      <c r="A798" s="466" t="s">
        <v>8160</v>
      </c>
      <c r="B798" s="466">
        <v>2024.0</v>
      </c>
      <c r="C798" s="466">
        <v>7.0</v>
      </c>
      <c r="D798" s="466">
        <v>45496.0</v>
      </c>
      <c r="E798" s="466" t="s">
        <v>8411</v>
      </c>
      <c r="F798" s="466" t="s">
        <v>8412</v>
      </c>
      <c r="G798" s="466" t="s">
        <v>7075</v>
      </c>
      <c r="H798" s="466"/>
      <c r="I798" s="466">
        <v>1.0</v>
      </c>
      <c r="J798" s="466"/>
      <c r="K798" s="466" t="s">
        <v>3009</v>
      </c>
      <c r="L798" s="466">
        <v>80.0</v>
      </c>
      <c r="M798" s="466"/>
      <c r="N798" s="466"/>
      <c r="O798" s="466"/>
      <c r="P798" s="357"/>
      <c r="Q798" s="357"/>
      <c r="R798" s="357"/>
      <c r="S798" s="357"/>
      <c r="T798" s="357"/>
      <c r="U798" s="357"/>
      <c r="V798" s="357"/>
      <c r="W798" s="357"/>
      <c r="X798" s="357"/>
      <c r="Y798" s="357"/>
      <c r="Z798" s="357"/>
    </row>
    <row r="799" ht="15.75" customHeight="1">
      <c r="A799" s="466" t="s">
        <v>8160</v>
      </c>
      <c r="B799" s="466">
        <v>2024.0</v>
      </c>
      <c r="C799" s="466">
        <v>7.0</v>
      </c>
      <c r="D799" s="466">
        <v>45497.0</v>
      </c>
      <c r="E799" s="466" t="s">
        <v>7417</v>
      </c>
      <c r="F799" s="466" t="s">
        <v>8277</v>
      </c>
      <c r="G799" s="466" t="s">
        <v>7611</v>
      </c>
      <c r="H799" s="466" t="s">
        <v>8228</v>
      </c>
      <c r="I799" s="466">
        <v>1.0</v>
      </c>
      <c r="J799" s="466"/>
      <c r="K799" s="466" t="s">
        <v>2511</v>
      </c>
      <c r="L799" s="466">
        <v>65.0</v>
      </c>
      <c r="M799" s="466"/>
      <c r="N799" s="466"/>
      <c r="O799" s="466"/>
      <c r="P799" s="357"/>
      <c r="Q799" s="357"/>
      <c r="R799" s="357"/>
      <c r="S799" s="357"/>
      <c r="T799" s="357"/>
      <c r="U799" s="357"/>
      <c r="V799" s="357"/>
      <c r="W799" s="357"/>
      <c r="X799" s="357"/>
      <c r="Y799" s="357"/>
      <c r="Z799" s="357"/>
    </row>
    <row r="800" ht="15.75" customHeight="1">
      <c r="A800" s="466" t="s">
        <v>8160</v>
      </c>
      <c r="B800" s="466">
        <v>2024.0</v>
      </c>
      <c r="C800" s="466">
        <v>7.0</v>
      </c>
      <c r="D800" s="466">
        <v>45497.0</v>
      </c>
      <c r="E800" s="466" t="s">
        <v>8413</v>
      </c>
      <c r="F800" s="466" t="s">
        <v>8414</v>
      </c>
      <c r="G800" s="466" t="s">
        <v>7075</v>
      </c>
      <c r="H800" s="466" t="s">
        <v>8377</v>
      </c>
      <c r="I800" s="466">
        <v>1.0</v>
      </c>
      <c r="J800" s="466"/>
      <c r="K800" s="466"/>
      <c r="L800" s="466">
        <v>88.2</v>
      </c>
      <c r="M800" s="466"/>
      <c r="N800" s="466"/>
      <c r="O800" s="466"/>
      <c r="P800" s="357"/>
      <c r="Q800" s="357"/>
      <c r="R800" s="357"/>
      <c r="S800" s="357"/>
      <c r="T800" s="357"/>
      <c r="U800" s="357"/>
      <c r="V800" s="357"/>
      <c r="W800" s="357"/>
      <c r="X800" s="357"/>
      <c r="Y800" s="357"/>
      <c r="Z800" s="357"/>
    </row>
    <row r="801" ht="15.75" customHeight="1">
      <c r="A801" s="466" t="s">
        <v>8160</v>
      </c>
      <c r="B801" s="466">
        <v>2024.0</v>
      </c>
      <c r="C801" s="466">
        <v>7.0</v>
      </c>
      <c r="D801" s="466">
        <v>45497.0</v>
      </c>
      <c r="E801" s="466" t="s">
        <v>8413</v>
      </c>
      <c r="F801" s="466" t="s">
        <v>8414</v>
      </c>
      <c r="G801" s="466" t="s">
        <v>7075</v>
      </c>
      <c r="H801" s="466" t="s">
        <v>8393</v>
      </c>
      <c r="I801" s="466">
        <v>1.0</v>
      </c>
      <c r="J801" s="466"/>
      <c r="K801" s="466"/>
      <c r="L801" s="466">
        <v>88.0</v>
      </c>
      <c r="M801" s="466"/>
      <c r="N801" s="466"/>
      <c r="O801" s="466"/>
      <c r="P801" s="357"/>
      <c r="Q801" s="357"/>
      <c r="R801" s="357"/>
      <c r="S801" s="357"/>
      <c r="T801" s="357"/>
      <c r="U801" s="357"/>
      <c r="V801" s="357"/>
      <c r="W801" s="357"/>
      <c r="X801" s="357"/>
      <c r="Y801" s="357"/>
      <c r="Z801" s="357"/>
    </row>
    <row r="802" ht="15.75" customHeight="1">
      <c r="A802" s="466" t="s">
        <v>8160</v>
      </c>
      <c r="B802" s="466">
        <v>2024.0</v>
      </c>
      <c r="C802" s="466">
        <v>7.0</v>
      </c>
      <c r="D802" s="466">
        <v>45497.0</v>
      </c>
      <c r="E802" s="466" t="s">
        <v>8413</v>
      </c>
      <c r="F802" s="466" t="s">
        <v>8414</v>
      </c>
      <c r="G802" s="466" t="s">
        <v>7100</v>
      </c>
      <c r="H802" s="466" t="s">
        <v>248</v>
      </c>
      <c r="I802" s="466">
        <v>1.0</v>
      </c>
      <c r="J802" s="466"/>
      <c r="K802" s="466"/>
      <c r="L802" s="466">
        <v>136.0</v>
      </c>
      <c r="M802" s="466"/>
      <c r="N802" s="466"/>
      <c r="O802" s="466"/>
      <c r="P802" s="357"/>
      <c r="Q802" s="357"/>
      <c r="R802" s="357"/>
      <c r="S802" s="357"/>
      <c r="T802" s="357"/>
      <c r="U802" s="357"/>
      <c r="V802" s="357"/>
      <c r="W802" s="357"/>
      <c r="X802" s="357"/>
      <c r="Y802" s="357"/>
      <c r="Z802" s="357"/>
    </row>
    <row r="803" ht="15.75" customHeight="1">
      <c r="A803" s="466" t="s">
        <v>8160</v>
      </c>
      <c r="B803" s="466">
        <v>2024.0</v>
      </c>
      <c r="C803" s="466">
        <v>7.0</v>
      </c>
      <c r="D803" s="466">
        <v>45497.0</v>
      </c>
      <c r="E803" s="466" t="s">
        <v>8413</v>
      </c>
      <c r="F803" s="466" t="s">
        <v>8414</v>
      </c>
      <c r="G803" s="466" t="s">
        <v>7075</v>
      </c>
      <c r="H803" s="466" t="s">
        <v>2121</v>
      </c>
      <c r="I803" s="466">
        <v>1.0</v>
      </c>
      <c r="J803" s="466"/>
      <c r="K803" s="466"/>
      <c r="L803" s="466">
        <v>87.2</v>
      </c>
      <c r="M803" s="466"/>
      <c r="N803" s="466"/>
      <c r="O803" s="466"/>
      <c r="P803" s="357"/>
      <c r="Q803" s="357"/>
      <c r="R803" s="357"/>
      <c r="S803" s="357"/>
      <c r="T803" s="357"/>
      <c r="U803" s="357"/>
      <c r="V803" s="357"/>
      <c r="W803" s="357"/>
      <c r="X803" s="357"/>
      <c r="Y803" s="357"/>
      <c r="Z803" s="357"/>
    </row>
    <row r="804" ht="15.75" customHeight="1">
      <c r="A804" s="466" t="s">
        <v>8160</v>
      </c>
      <c r="B804" s="466">
        <v>2024.0</v>
      </c>
      <c r="C804" s="466">
        <v>7.0</v>
      </c>
      <c r="D804" s="466">
        <v>45497.0</v>
      </c>
      <c r="E804" s="466" t="s">
        <v>8413</v>
      </c>
      <c r="F804" s="466" t="s">
        <v>8414</v>
      </c>
      <c r="G804" s="466" t="s">
        <v>7106</v>
      </c>
      <c r="H804" s="466" t="s">
        <v>8415</v>
      </c>
      <c r="I804" s="466">
        <v>1.0</v>
      </c>
      <c r="J804" s="466"/>
      <c r="K804" s="466"/>
      <c r="L804" s="466">
        <v>68.0</v>
      </c>
      <c r="M804" s="466"/>
      <c r="N804" s="466"/>
      <c r="O804" s="466"/>
      <c r="P804" s="357"/>
      <c r="Q804" s="357"/>
      <c r="R804" s="357"/>
      <c r="S804" s="357"/>
      <c r="T804" s="357"/>
      <c r="U804" s="357"/>
      <c r="V804" s="357"/>
      <c r="W804" s="357"/>
      <c r="X804" s="357"/>
      <c r="Y804" s="357"/>
      <c r="Z804" s="357"/>
    </row>
    <row r="805" ht="15.75" customHeight="1">
      <c r="A805" s="466" t="s">
        <v>8160</v>
      </c>
      <c r="B805" s="466">
        <v>2024.0</v>
      </c>
      <c r="C805" s="466">
        <v>7.0</v>
      </c>
      <c r="D805" s="466">
        <v>45502.0</v>
      </c>
      <c r="E805" s="466" t="s">
        <v>2635</v>
      </c>
      <c r="F805" s="466" t="s">
        <v>7797</v>
      </c>
      <c r="G805" s="466" t="s">
        <v>7059</v>
      </c>
      <c r="H805" s="466"/>
      <c r="I805" s="466">
        <v>1.0</v>
      </c>
      <c r="J805" s="466"/>
      <c r="K805" s="466" t="s">
        <v>8274</v>
      </c>
      <c r="L805" s="466">
        <v>63.0</v>
      </c>
      <c r="M805" s="466"/>
      <c r="N805" s="466"/>
      <c r="O805" s="466"/>
      <c r="P805" s="357"/>
      <c r="Q805" s="357"/>
      <c r="R805" s="357"/>
      <c r="S805" s="357"/>
      <c r="T805" s="357"/>
      <c r="U805" s="357"/>
      <c r="V805" s="357"/>
      <c r="W805" s="357"/>
      <c r="X805" s="357"/>
      <c r="Y805" s="357"/>
      <c r="Z805" s="357"/>
    </row>
    <row r="806" ht="15.75" customHeight="1">
      <c r="A806" s="466" t="s">
        <v>8160</v>
      </c>
      <c r="B806" s="466">
        <v>2024.0</v>
      </c>
      <c r="C806" s="466">
        <v>7.0</v>
      </c>
      <c r="D806" s="466">
        <v>45502.0</v>
      </c>
      <c r="E806" s="466" t="s">
        <v>2550</v>
      </c>
      <c r="F806" s="466" t="s">
        <v>2551</v>
      </c>
      <c r="G806" s="466" t="s">
        <v>7059</v>
      </c>
      <c r="H806" s="466"/>
      <c r="I806" s="466">
        <v>1.0</v>
      </c>
      <c r="J806" s="466"/>
      <c r="K806" s="466" t="s">
        <v>8416</v>
      </c>
      <c r="L806" s="466">
        <v>63.0</v>
      </c>
      <c r="M806" s="466"/>
      <c r="N806" s="466"/>
      <c r="O806" s="466"/>
      <c r="P806" s="357"/>
      <c r="Q806" s="357"/>
      <c r="R806" s="357"/>
      <c r="S806" s="357"/>
      <c r="T806" s="357"/>
      <c r="U806" s="357"/>
      <c r="V806" s="357"/>
      <c r="W806" s="357"/>
      <c r="X806" s="357"/>
      <c r="Y806" s="357"/>
      <c r="Z806" s="357"/>
    </row>
    <row r="807" ht="15.75" customHeight="1">
      <c r="A807" s="466" t="s">
        <v>8160</v>
      </c>
      <c r="B807" s="466">
        <v>2024.0</v>
      </c>
      <c r="C807" s="466">
        <v>8.0</v>
      </c>
      <c r="D807" s="466">
        <v>45506.0</v>
      </c>
      <c r="E807" s="466" t="s">
        <v>7408</v>
      </c>
      <c r="F807" s="466" t="s">
        <v>7592</v>
      </c>
      <c r="G807" s="466" t="s">
        <v>7106</v>
      </c>
      <c r="H807" s="466" t="s">
        <v>788</v>
      </c>
      <c r="I807" s="466">
        <v>1.0</v>
      </c>
      <c r="J807" s="466"/>
      <c r="K807" s="466" t="s">
        <v>8168</v>
      </c>
      <c r="L807" s="466">
        <v>85.0</v>
      </c>
      <c r="M807" s="466"/>
      <c r="N807" s="466"/>
      <c r="O807" s="466"/>
      <c r="P807" s="357"/>
      <c r="Q807" s="357"/>
      <c r="R807" s="357"/>
      <c r="S807" s="357"/>
      <c r="T807" s="357"/>
      <c r="U807" s="357"/>
      <c r="V807" s="357"/>
      <c r="W807" s="357"/>
      <c r="X807" s="357"/>
      <c r="Y807" s="357"/>
      <c r="Z807" s="357"/>
    </row>
    <row r="808" ht="15.75" customHeight="1">
      <c r="A808" s="466" t="s">
        <v>8160</v>
      </c>
      <c r="B808" s="466">
        <v>2024.0</v>
      </c>
      <c r="C808" s="466">
        <v>9.0</v>
      </c>
      <c r="D808" s="466">
        <v>45539.0</v>
      </c>
      <c r="E808" s="466" t="s">
        <v>8417</v>
      </c>
      <c r="F808" s="466" t="s">
        <v>8418</v>
      </c>
      <c r="G808" s="466" t="s">
        <v>8320</v>
      </c>
      <c r="H808" s="466" t="s">
        <v>8419</v>
      </c>
      <c r="I808" s="466">
        <v>1.0</v>
      </c>
      <c r="J808" s="466"/>
      <c r="K808" s="466" t="s">
        <v>2511</v>
      </c>
      <c r="L808" s="466">
        <v>50.0</v>
      </c>
      <c r="M808" s="466"/>
      <c r="N808" s="466"/>
      <c r="O808" s="466"/>
      <c r="P808" s="357"/>
      <c r="Q808" s="357"/>
      <c r="R808" s="357"/>
      <c r="S808" s="357"/>
      <c r="T808" s="357"/>
      <c r="U808" s="357"/>
      <c r="V808" s="357"/>
      <c r="W808" s="357"/>
      <c r="X808" s="357"/>
      <c r="Y808" s="357"/>
      <c r="Z808" s="357"/>
    </row>
    <row r="809" ht="15.75" customHeight="1">
      <c r="A809" s="466" t="s">
        <v>8160</v>
      </c>
      <c r="B809" s="466">
        <v>2024.0</v>
      </c>
      <c r="C809" s="466">
        <v>9.0</v>
      </c>
      <c r="D809" s="466">
        <v>45539.0</v>
      </c>
      <c r="E809" s="466" t="s">
        <v>7619</v>
      </c>
      <c r="F809" s="466" t="s">
        <v>8420</v>
      </c>
      <c r="G809" s="466" t="s">
        <v>7075</v>
      </c>
      <c r="H809" s="466" t="s">
        <v>8421</v>
      </c>
      <c r="I809" s="466">
        <v>1.0</v>
      </c>
      <c r="J809" s="466"/>
      <c r="K809" s="466" t="s">
        <v>8168</v>
      </c>
      <c r="L809" s="466">
        <v>100.0</v>
      </c>
      <c r="M809" s="466"/>
      <c r="N809" s="466"/>
      <c r="O809" s="466"/>
      <c r="P809" s="357"/>
      <c r="Q809" s="357"/>
      <c r="R809" s="357"/>
      <c r="S809" s="357"/>
      <c r="T809" s="357"/>
      <c r="U809" s="357"/>
      <c r="V809" s="357"/>
      <c r="W809" s="357"/>
      <c r="X809" s="357"/>
      <c r="Y809" s="357"/>
      <c r="Z809" s="357"/>
    </row>
    <row r="810" ht="15.75" customHeight="1">
      <c r="A810" s="466" t="s">
        <v>8160</v>
      </c>
      <c r="B810" s="466">
        <v>2024.0</v>
      </c>
      <c r="C810" s="466">
        <v>9.0</v>
      </c>
      <c r="D810" s="466">
        <v>45551.0</v>
      </c>
      <c r="E810" s="466" t="s">
        <v>8422</v>
      </c>
      <c r="F810" s="466" t="s">
        <v>8423</v>
      </c>
      <c r="G810" s="466" t="s">
        <v>7106</v>
      </c>
      <c r="H810" s="466" t="s">
        <v>2082</v>
      </c>
      <c r="I810" s="466">
        <v>1.0</v>
      </c>
      <c r="J810" s="466"/>
      <c r="K810" s="466"/>
      <c r="L810" s="466">
        <v>95.0</v>
      </c>
      <c r="M810" s="466"/>
      <c r="N810" s="466"/>
      <c r="O810" s="466"/>
      <c r="P810" s="357"/>
      <c r="Q810" s="357"/>
      <c r="R810" s="357"/>
      <c r="S810" s="357"/>
      <c r="T810" s="357"/>
      <c r="U810" s="357"/>
      <c r="V810" s="357"/>
      <c r="W810" s="357"/>
      <c r="X810" s="357"/>
      <c r="Y810" s="357"/>
      <c r="Z810" s="357"/>
    </row>
    <row r="811" ht="15.75" customHeight="1">
      <c r="A811" s="466" t="s">
        <v>8160</v>
      </c>
      <c r="B811" s="466">
        <v>2024.0</v>
      </c>
      <c r="C811" s="466">
        <v>9.0</v>
      </c>
      <c r="D811" s="466">
        <v>45551.0</v>
      </c>
      <c r="E811" s="466" t="s">
        <v>8422</v>
      </c>
      <c r="F811" s="466" t="s">
        <v>8423</v>
      </c>
      <c r="G811" s="466" t="s">
        <v>7106</v>
      </c>
      <c r="H811" s="466" t="s">
        <v>2082</v>
      </c>
      <c r="I811" s="466">
        <v>1.0</v>
      </c>
      <c r="J811" s="466"/>
      <c r="K811" s="466"/>
      <c r="L811" s="466">
        <v>95.0</v>
      </c>
      <c r="M811" s="466"/>
      <c r="N811" s="466"/>
      <c r="O811" s="466"/>
      <c r="P811" s="357"/>
      <c r="Q811" s="357"/>
      <c r="R811" s="357"/>
      <c r="S811" s="357"/>
      <c r="T811" s="357"/>
      <c r="U811" s="357"/>
      <c r="V811" s="357"/>
      <c r="W811" s="357"/>
      <c r="X811" s="357"/>
      <c r="Y811" s="357"/>
      <c r="Z811" s="357"/>
    </row>
    <row r="812" ht="15.75" customHeight="1">
      <c r="A812" s="466" t="s">
        <v>8160</v>
      </c>
      <c r="B812" s="466">
        <v>2024.0</v>
      </c>
      <c r="C812" s="466">
        <v>9.0</v>
      </c>
      <c r="D812" s="466">
        <v>45551.0</v>
      </c>
      <c r="E812" s="466" t="s">
        <v>8422</v>
      </c>
      <c r="F812" s="466" t="s">
        <v>8423</v>
      </c>
      <c r="G812" s="466" t="s">
        <v>7106</v>
      </c>
      <c r="H812" s="466" t="s">
        <v>2082</v>
      </c>
      <c r="I812" s="466">
        <v>1.0</v>
      </c>
      <c r="J812" s="466"/>
      <c r="K812" s="466"/>
      <c r="L812" s="466">
        <v>95.0</v>
      </c>
      <c r="M812" s="466"/>
      <c r="N812" s="466"/>
      <c r="O812" s="466"/>
      <c r="P812" s="357"/>
      <c r="Q812" s="357"/>
      <c r="R812" s="357"/>
      <c r="S812" s="357"/>
      <c r="T812" s="357"/>
      <c r="U812" s="357"/>
      <c r="V812" s="357"/>
      <c r="W812" s="357"/>
      <c r="X812" s="357"/>
      <c r="Y812" s="357"/>
      <c r="Z812" s="357"/>
    </row>
    <row r="813" ht="15.75" customHeight="1">
      <c r="A813" s="466" t="s">
        <v>8160</v>
      </c>
      <c r="B813" s="466">
        <v>2024.0</v>
      </c>
      <c r="C813" s="466">
        <v>9.0</v>
      </c>
      <c r="D813" s="466">
        <v>45551.0</v>
      </c>
      <c r="E813" s="466" t="s">
        <v>8422</v>
      </c>
      <c r="F813" s="466" t="s">
        <v>8423</v>
      </c>
      <c r="G813" s="466" t="s">
        <v>7106</v>
      </c>
      <c r="H813" s="466" t="s">
        <v>2082</v>
      </c>
      <c r="I813" s="466">
        <v>1.0</v>
      </c>
      <c r="J813" s="466"/>
      <c r="K813" s="466"/>
      <c r="L813" s="466">
        <v>95.0</v>
      </c>
      <c r="M813" s="466"/>
      <c r="N813" s="466"/>
      <c r="O813" s="466"/>
      <c r="P813" s="357"/>
      <c r="Q813" s="357"/>
      <c r="R813" s="357"/>
      <c r="S813" s="357"/>
      <c r="T813" s="357"/>
      <c r="U813" s="357"/>
      <c r="V813" s="357"/>
      <c r="W813" s="357"/>
      <c r="X813" s="357"/>
      <c r="Y813" s="357"/>
      <c r="Z813" s="357"/>
    </row>
    <row r="814" ht="15.75" customHeight="1">
      <c r="A814" s="466" t="s">
        <v>8160</v>
      </c>
      <c r="B814" s="466">
        <v>2024.0</v>
      </c>
      <c r="C814" s="466">
        <v>9.0</v>
      </c>
      <c r="D814" s="466"/>
      <c r="E814" s="466" t="s">
        <v>8424</v>
      </c>
      <c r="F814" s="466"/>
      <c r="G814" s="466" t="s">
        <v>7106</v>
      </c>
      <c r="H814" s="466" t="s">
        <v>2082</v>
      </c>
      <c r="I814" s="466">
        <v>1.0</v>
      </c>
      <c r="J814" s="466"/>
      <c r="K814" s="466"/>
      <c r="L814" s="466">
        <v>85.0</v>
      </c>
      <c r="M814" s="466"/>
      <c r="N814" s="466"/>
      <c r="O814" s="466"/>
      <c r="P814" s="357"/>
      <c r="Q814" s="357"/>
      <c r="R814" s="357"/>
      <c r="S814" s="357"/>
      <c r="T814" s="357"/>
      <c r="U814" s="357"/>
      <c r="V814" s="357"/>
      <c r="W814" s="357"/>
      <c r="X814" s="357"/>
      <c r="Y814" s="357"/>
      <c r="Z814" s="357"/>
    </row>
    <row r="815" ht="15.75" customHeight="1">
      <c r="A815" s="466" t="s">
        <v>8160</v>
      </c>
      <c r="B815" s="466">
        <v>2024.0</v>
      </c>
      <c r="C815" s="466">
        <v>9.0</v>
      </c>
      <c r="D815" s="466"/>
      <c r="E815" s="466" t="s">
        <v>8424</v>
      </c>
      <c r="F815" s="466"/>
      <c r="G815" s="466" t="s">
        <v>7106</v>
      </c>
      <c r="H815" s="466" t="s">
        <v>2082</v>
      </c>
      <c r="I815" s="466">
        <v>1.0</v>
      </c>
      <c r="J815" s="466"/>
      <c r="K815" s="466"/>
      <c r="L815" s="466">
        <v>85.0</v>
      </c>
      <c r="M815" s="466"/>
      <c r="N815" s="466"/>
      <c r="O815" s="466"/>
      <c r="P815" s="357"/>
      <c r="Q815" s="357"/>
      <c r="R815" s="357"/>
      <c r="S815" s="357"/>
      <c r="T815" s="357"/>
      <c r="U815" s="357"/>
      <c r="V815" s="357"/>
      <c r="W815" s="357"/>
      <c r="X815" s="357"/>
      <c r="Y815" s="357"/>
      <c r="Z815" s="357"/>
    </row>
    <row r="816" ht="15.75" customHeight="1">
      <c r="A816" s="466" t="s">
        <v>8160</v>
      </c>
      <c r="B816" s="466">
        <v>2024.0</v>
      </c>
      <c r="C816" s="466">
        <v>9.0</v>
      </c>
      <c r="D816" s="466"/>
      <c r="E816" s="466" t="s">
        <v>8424</v>
      </c>
      <c r="F816" s="466"/>
      <c r="G816" s="466" t="s">
        <v>7106</v>
      </c>
      <c r="H816" s="466" t="s">
        <v>2082</v>
      </c>
      <c r="I816" s="466">
        <v>1.0</v>
      </c>
      <c r="J816" s="466"/>
      <c r="K816" s="466"/>
      <c r="L816" s="466">
        <v>85.0</v>
      </c>
      <c r="M816" s="466"/>
      <c r="N816" s="466"/>
      <c r="O816" s="466"/>
      <c r="P816" s="357"/>
      <c r="Q816" s="357"/>
      <c r="R816" s="357"/>
      <c r="S816" s="357"/>
      <c r="T816" s="357"/>
      <c r="U816" s="357"/>
      <c r="V816" s="357"/>
      <c r="W816" s="357"/>
      <c r="X816" s="357"/>
      <c r="Y816" s="357"/>
      <c r="Z816" s="357"/>
    </row>
    <row r="817" ht="15.75" customHeight="1">
      <c r="A817" s="466" t="s">
        <v>8160</v>
      </c>
      <c r="B817" s="466">
        <v>2024.0</v>
      </c>
      <c r="C817" s="466">
        <v>9.0</v>
      </c>
      <c r="D817" s="466"/>
      <c r="E817" s="466" t="s">
        <v>8424</v>
      </c>
      <c r="F817" s="466"/>
      <c r="G817" s="466" t="s">
        <v>7106</v>
      </c>
      <c r="H817" s="466" t="s">
        <v>2082</v>
      </c>
      <c r="I817" s="466">
        <v>1.0</v>
      </c>
      <c r="J817" s="466"/>
      <c r="K817" s="466"/>
      <c r="L817" s="466">
        <v>85.0</v>
      </c>
      <c r="M817" s="466"/>
      <c r="N817" s="466"/>
      <c r="O817" s="466"/>
      <c r="P817" s="357"/>
      <c r="Q817" s="357"/>
      <c r="R817" s="357"/>
      <c r="S817" s="357"/>
      <c r="T817" s="357"/>
      <c r="U817" s="357"/>
      <c r="V817" s="357"/>
      <c r="W817" s="357"/>
      <c r="X817" s="357"/>
      <c r="Y817" s="357"/>
      <c r="Z817" s="357"/>
    </row>
    <row r="818" ht="15.75" customHeight="1">
      <c r="A818" s="466" t="s">
        <v>8160</v>
      </c>
      <c r="B818" s="466">
        <v>2024.0</v>
      </c>
      <c r="C818" s="466">
        <v>9.0</v>
      </c>
      <c r="D818" s="466"/>
      <c r="E818" s="466" t="s">
        <v>8424</v>
      </c>
      <c r="F818" s="466"/>
      <c r="G818" s="466" t="s">
        <v>7106</v>
      </c>
      <c r="H818" s="466" t="s">
        <v>2082</v>
      </c>
      <c r="I818" s="466">
        <v>1.0</v>
      </c>
      <c r="J818" s="466"/>
      <c r="K818" s="466"/>
      <c r="L818" s="466">
        <v>85.0</v>
      </c>
      <c r="M818" s="466"/>
      <c r="N818" s="466"/>
      <c r="O818" s="466"/>
      <c r="P818" s="357"/>
      <c r="Q818" s="357"/>
      <c r="R818" s="357"/>
      <c r="S818" s="357"/>
      <c r="T818" s="357"/>
      <c r="U818" s="357"/>
      <c r="V818" s="357"/>
      <c r="W818" s="357"/>
      <c r="X818" s="357"/>
      <c r="Y818" s="357"/>
      <c r="Z818" s="357"/>
    </row>
    <row r="819" ht="15.75" customHeight="1">
      <c r="A819" s="466" t="s">
        <v>8160</v>
      </c>
      <c r="B819" s="466">
        <v>2024.0</v>
      </c>
      <c r="C819" s="466">
        <v>9.0</v>
      </c>
      <c r="D819" s="466"/>
      <c r="E819" s="466" t="s">
        <v>8424</v>
      </c>
      <c r="F819" s="466"/>
      <c r="G819" s="466" t="s">
        <v>7106</v>
      </c>
      <c r="H819" s="466" t="s">
        <v>2082</v>
      </c>
      <c r="I819" s="466">
        <v>1.0</v>
      </c>
      <c r="J819" s="466"/>
      <c r="K819" s="466"/>
      <c r="L819" s="466">
        <v>85.0</v>
      </c>
      <c r="M819" s="466"/>
      <c r="N819" s="466"/>
      <c r="O819" s="466"/>
      <c r="P819" s="357"/>
      <c r="Q819" s="357"/>
      <c r="R819" s="357"/>
      <c r="S819" s="357"/>
      <c r="T819" s="357"/>
      <c r="U819" s="357"/>
      <c r="V819" s="357"/>
      <c r="W819" s="357"/>
      <c r="X819" s="357"/>
      <c r="Y819" s="357"/>
      <c r="Z819" s="357"/>
    </row>
    <row r="820" ht="15.75" customHeight="1">
      <c r="A820" s="466" t="s">
        <v>8160</v>
      </c>
      <c r="B820" s="466">
        <v>2024.0</v>
      </c>
      <c r="C820" s="466">
        <v>9.0</v>
      </c>
      <c r="D820" s="466"/>
      <c r="E820" s="466" t="s">
        <v>8424</v>
      </c>
      <c r="F820" s="466"/>
      <c r="G820" s="466" t="s">
        <v>7106</v>
      </c>
      <c r="H820" s="466" t="s">
        <v>2082</v>
      </c>
      <c r="I820" s="466">
        <v>1.0</v>
      </c>
      <c r="J820" s="466"/>
      <c r="K820" s="466"/>
      <c r="L820" s="466">
        <v>85.0</v>
      </c>
      <c r="M820" s="466"/>
      <c r="N820" s="466"/>
      <c r="O820" s="466"/>
      <c r="P820" s="357"/>
      <c r="Q820" s="357"/>
      <c r="R820" s="357"/>
      <c r="S820" s="357"/>
      <c r="T820" s="357"/>
      <c r="U820" s="357"/>
      <c r="V820" s="357"/>
      <c r="W820" s="357"/>
      <c r="X820" s="357"/>
      <c r="Y820" s="357"/>
      <c r="Z820" s="357"/>
    </row>
    <row r="821" ht="15.75" customHeight="1">
      <c r="A821" s="466" t="s">
        <v>8160</v>
      </c>
      <c r="B821" s="466">
        <v>2024.0</v>
      </c>
      <c r="C821" s="466">
        <v>9.0</v>
      </c>
      <c r="D821" s="466"/>
      <c r="E821" s="466" t="s">
        <v>8424</v>
      </c>
      <c r="F821" s="466"/>
      <c r="G821" s="466" t="s">
        <v>7106</v>
      </c>
      <c r="H821" s="466" t="s">
        <v>2082</v>
      </c>
      <c r="I821" s="466">
        <v>1.0</v>
      </c>
      <c r="J821" s="466"/>
      <c r="K821" s="466"/>
      <c r="L821" s="466">
        <v>85.0</v>
      </c>
      <c r="M821" s="466"/>
      <c r="N821" s="466"/>
      <c r="O821" s="466"/>
      <c r="P821" s="357"/>
      <c r="Q821" s="357"/>
      <c r="R821" s="357"/>
      <c r="S821" s="357"/>
      <c r="T821" s="357"/>
      <c r="U821" s="357"/>
      <c r="V821" s="357"/>
      <c r="W821" s="357"/>
      <c r="X821" s="357"/>
      <c r="Y821" s="357"/>
      <c r="Z821" s="357"/>
    </row>
    <row r="822" ht="15.75" customHeight="1">
      <c r="A822" s="466" t="s">
        <v>8160</v>
      </c>
      <c r="B822" s="466">
        <v>2024.0</v>
      </c>
      <c r="C822" s="466">
        <v>9.0</v>
      </c>
      <c r="D822" s="466"/>
      <c r="E822" s="466" t="s">
        <v>8424</v>
      </c>
      <c r="F822" s="466"/>
      <c r="G822" s="466" t="s">
        <v>7106</v>
      </c>
      <c r="H822" s="466" t="s">
        <v>2082</v>
      </c>
      <c r="I822" s="466">
        <v>1.0</v>
      </c>
      <c r="J822" s="466"/>
      <c r="K822" s="466"/>
      <c r="L822" s="466">
        <v>85.0</v>
      </c>
      <c r="M822" s="466"/>
      <c r="N822" s="466"/>
      <c r="O822" s="466"/>
      <c r="P822" s="357"/>
      <c r="Q822" s="357"/>
      <c r="R822" s="357"/>
      <c r="S822" s="357"/>
      <c r="T822" s="357"/>
      <c r="U822" s="357"/>
      <c r="V822" s="357"/>
      <c r="W822" s="357"/>
      <c r="X822" s="357"/>
      <c r="Y822" s="357"/>
      <c r="Z822" s="357"/>
    </row>
    <row r="823" ht="15.75" customHeight="1">
      <c r="A823" s="466" t="s">
        <v>8160</v>
      </c>
      <c r="B823" s="466">
        <v>2024.0</v>
      </c>
      <c r="C823" s="466">
        <v>9.0</v>
      </c>
      <c r="D823" s="466">
        <v>45547.0</v>
      </c>
      <c r="E823" s="466" t="s">
        <v>7657</v>
      </c>
      <c r="F823" s="466" t="s">
        <v>8391</v>
      </c>
      <c r="G823" s="466" t="s">
        <v>7075</v>
      </c>
      <c r="H823" s="466" t="s">
        <v>8421</v>
      </c>
      <c r="I823" s="466">
        <v>1.0</v>
      </c>
      <c r="J823" s="466"/>
      <c r="K823" s="466"/>
      <c r="L823" s="466">
        <v>100.0</v>
      </c>
      <c r="M823" s="466"/>
      <c r="N823" s="466"/>
      <c r="O823" s="466"/>
      <c r="P823" s="357"/>
      <c r="Q823" s="357"/>
      <c r="R823" s="357"/>
      <c r="S823" s="357"/>
      <c r="T823" s="357"/>
      <c r="U823" s="357"/>
      <c r="V823" s="357"/>
      <c r="W823" s="357"/>
      <c r="X823" s="357"/>
      <c r="Y823" s="357"/>
      <c r="Z823" s="357"/>
    </row>
    <row r="824" ht="15.75" customHeight="1">
      <c r="A824" s="466" t="s">
        <v>8160</v>
      </c>
      <c r="B824" s="466">
        <v>2024.0</v>
      </c>
      <c r="C824" s="466">
        <v>9.0</v>
      </c>
      <c r="D824" s="466">
        <v>45554.0</v>
      </c>
      <c r="E824" s="466" t="s">
        <v>2600</v>
      </c>
      <c r="F824" s="466" t="s">
        <v>8425</v>
      </c>
      <c r="G824" s="466" t="s">
        <v>7106</v>
      </c>
      <c r="H824" s="466" t="s">
        <v>788</v>
      </c>
      <c r="I824" s="466">
        <v>1.0</v>
      </c>
      <c r="J824" s="466"/>
      <c r="K824" s="466"/>
      <c r="L824" s="466">
        <v>75.0</v>
      </c>
      <c r="M824" s="466"/>
      <c r="N824" s="466"/>
      <c r="O824" s="466"/>
      <c r="P824" s="357"/>
      <c r="Q824" s="357"/>
      <c r="R824" s="357"/>
      <c r="S824" s="357"/>
      <c r="T824" s="357"/>
      <c r="U824" s="357"/>
      <c r="V824" s="357"/>
      <c r="W824" s="357"/>
      <c r="X824" s="357"/>
      <c r="Y824" s="357"/>
      <c r="Z824" s="357"/>
    </row>
    <row r="825" ht="15.75" customHeight="1">
      <c r="A825" s="466" t="s">
        <v>8426</v>
      </c>
      <c r="B825" s="466">
        <v>2024.0</v>
      </c>
      <c r="C825" s="466">
        <v>9.0</v>
      </c>
      <c r="D825" s="466">
        <v>45559.0</v>
      </c>
      <c r="E825" s="466" t="s">
        <v>8327</v>
      </c>
      <c r="F825" s="466" t="s">
        <v>8159</v>
      </c>
      <c r="G825" s="466" t="s">
        <v>7075</v>
      </c>
      <c r="H825" s="466" t="s">
        <v>8427</v>
      </c>
      <c r="I825" s="466">
        <v>1.0</v>
      </c>
      <c r="J825" s="466"/>
      <c r="K825" s="466" t="s">
        <v>7393</v>
      </c>
      <c r="L825" s="466">
        <v>100.0</v>
      </c>
      <c r="M825" s="466"/>
      <c r="N825" s="466"/>
      <c r="O825" s="466"/>
      <c r="P825" s="357"/>
      <c r="Q825" s="357"/>
      <c r="R825" s="357"/>
      <c r="S825" s="357"/>
      <c r="T825" s="357"/>
      <c r="U825" s="357"/>
      <c r="V825" s="357"/>
      <c r="W825" s="357"/>
      <c r="X825" s="357"/>
      <c r="Y825" s="357"/>
      <c r="Z825" s="357"/>
    </row>
    <row r="826" ht="15.75" customHeight="1">
      <c r="A826" s="466" t="s">
        <v>8426</v>
      </c>
      <c r="B826" s="466">
        <v>2024.0</v>
      </c>
      <c r="C826" s="466">
        <v>9.0</v>
      </c>
      <c r="D826" s="466">
        <v>45559.0</v>
      </c>
      <c r="E826" s="466" t="s">
        <v>7559</v>
      </c>
      <c r="F826" s="466" t="s">
        <v>8428</v>
      </c>
      <c r="G826" s="466" t="s">
        <v>7075</v>
      </c>
      <c r="H826" s="466" t="s">
        <v>2153</v>
      </c>
      <c r="I826" s="466">
        <v>1.0</v>
      </c>
      <c r="J826" s="466"/>
      <c r="K826" s="466" t="s">
        <v>7393</v>
      </c>
      <c r="L826" s="466">
        <v>120.0</v>
      </c>
      <c r="M826" s="466"/>
      <c r="N826" s="466"/>
      <c r="O826" s="466"/>
      <c r="P826" s="357"/>
      <c r="Q826" s="357"/>
      <c r="R826" s="357"/>
      <c r="S826" s="357"/>
      <c r="T826" s="357"/>
      <c r="U826" s="357"/>
      <c r="V826" s="357"/>
      <c r="W826" s="357"/>
      <c r="X826" s="357"/>
      <c r="Y826" s="357"/>
      <c r="Z826" s="357"/>
    </row>
    <row r="827" ht="15.75" customHeight="1">
      <c r="A827" s="466" t="s">
        <v>8426</v>
      </c>
      <c r="B827" s="466">
        <v>2024.0</v>
      </c>
      <c r="C827" s="466">
        <v>9.0</v>
      </c>
      <c r="D827" s="466">
        <v>45559.0</v>
      </c>
      <c r="E827" s="466" t="s">
        <v>2615</v>
      </c>
      <c r="F827" s="466" t="s">
        <v>8429</v>
      </c>
      <c r="G827" s="466" t="s">
        <v>7075</v>
      </c>
      <c r="H827" s="466" t="s">
        <v>8377</v>
      </c>
      <c r="I827" s="466">
        <v>1.0</v>
      </c>
      <c r="J827" s="466"/>
      <c r="K827" s="466" t="s">
        <v>7393</v>
      </c>
      <c r="L827" s="466">
        <v>100.0</v>
      </c>
      <c r="M827" s="466"/>
      <c r="N827" s="466"/>
      <c r="O827" s="466"/>
      <c r="P827" s="357"/>
      <c r="Q827" s="357"/>
      <c r="R827" s="357"/>
      <c r="S827" s="357"/>
      <c r="T827" s="357"/>
      <c r="U827" s="357"/>
      <c r="V827" s="357"/>
      <c r="W827" s="357"/>
      <c r="X827" s="357"/>
      <c r="Y827" s="357"/>
      <c r="Z827" s="357"/>
    </row>
    <row r="828" ht="15.75" customHeight="1">
      <c r="A828" s="466" t="s">
        <v>8426</v>
      </c>
      <c r="B828" s="466">
        <v>2024.0</v>
      </c>
      <c r="C828" s="466">
        <v>9.0</v>
      </c>
      <c r="D828" s="466">
        <v>45559.0</v>
      </c>
      <c r="E828" s="466" t="s">
        <v>7598</v>
      </c>
      <c r="F828" s="466" t="s">
        <v>8430</v>
      </c>
      <c r="G828" s="466" t="s">
        <v>6613</v>
      </c>
      <c r="H828" s="466"/>
      <c r="I828" s="466">
        <v>1.0</v>
      </c>
      <c r="J828" s="466"/>
      <c r="K828" s="466" t="s">
        <v>7393</v>
      </c>
      <c r="L828" s="466">
        <v>70.0</v>
      </c>
      <c r="M828" s="466"/>
      <c r="N828" s="466"/>
      <c r="O828" s="466"/>
      <c r="P828" s="357"/>
      <c r="Q828" s="357"/>
      <c r="R828" s="357"/>
      <c r="S828" s="357"/>
      <c r="T828" s="357"/>
      <c r="U828" s="357"/>
      <c r="V828" s="357"/>
      <c r="W828" s="357"/>
      <c r="X828" s="357"/>
      <c r="Y828" s="357"/>
      <c r="Z828" s="357"/>
    </row>
    <row r="829" ht="15.75" customHeight="1">
      <c r="A829" s="466" t="s">
        <v>8426</v>
      </c>
      <c r="B829" s="466">
        <v>2024.0</v>
      </c>
      <c r="C829" s="466">
        <v>9.0</v>
      </c>
      <c r="D829" s="466">
        <v>45559.0</v>
      </c>
      <c r="E829" s="466" t="s">
        <v>7861</v>
      </c>
      <c r="F829" s="466" t="s">
        <v>8431</v>
      </c>
      <c r="G829" s="466" t="s">
        <v>7075</v>
      </c>
      <c r="H829" s="466" t="s">
        <v>2153</v>
      </c>
      <c r="I829" s="466">
        <v>1.0</v>
      </c>
      <c r="J829" s="466"/>
      <c r="K829" s="466" t="s">
        <v>7393</v>
      </c>
      <c r="L829" s="466">
        <v>120.0</v>
      </c>
      <c r="M829" s="466"/>
      <c r="N829" s="466"/>
      <c r="O829" s="466"/>
      <c r="P829" s="357"/>
      <c r="Q829" s="357"/>
      <c r="R829" s="357"/>
      <c r="S829" s="357"/>
      <c r="T829" s="357"/>
      <c r="U829" s="357"/>
      <c r="V829" s="357"/>
      <c r="W829" s="357"/>
      <c r="X829" s="357"/>
      <c r="Y829" s="357"/>
      <c r="Z829" s="357"/>
    </row>
    <row r="830" ht="15.75" customHeight="1">
      <c r="A830" s="466" t="s">
        <v>8426</v>
      </c>
      <c r="B830" s="466">
        <v>2024.0</v>
      </c>
      <c r="C830" s="466">
        <v>9.0</v>
      </c>
      <c r="D830" s="466">
        <v>45559.0</v>
      </c>
      <c r="E830" s="466" t="s">
        <v>2638</v>
      </c>
      <c r="F830" s="466" t="s">
        <v>8432</v>
      </c>
      <c r="G830" s="466" t="s">
        <v>7075</v>
      </c>
      <c r="H830" s="466" t="s">
        <v>2153</v>
      </c>
      <c r="I830" s="466">
        <v>1.0</v>
      </c>
      <c r="J830" s="466"/>
      <c r="K830" s="466" t="s">
        <v>2511</v>
      </c>
      <c r="L830" s="466">
        <v>120.0</v>
      </c>
      <c r="M830" s="466"/>
      <c r="N830" s="466"/>
      <c r="O830" s="466"/>
      <c r="P830" s="357"/>
      <c r="Q830" s="357"/>
      <c r="R830" s="357"/>
      <c r="S830" s="357"/>
      <c r="T830" s="357"/>
      <c r="U830" s="357"/>
      <c r="V830" s="357"/>
      <c r="W830" s="357"/>
      <c r="X830" s="357"/>
      <c r="Y830" s="357"/>
      <c r="Z830" s="357"/>
    </row>
    <row r="831" ht="15.75" customHeight="1">
      <c r="A831" s="466" t="s">
        <v>8426</v>
      </c>
      <c r="B831" s="466">
        <v>2024.0</v>
      </c>
      <c r="C831" s="466">
        <v>9.0</v>
      </c>
      <c r="D831" s="466">
        <v>45560.0</v>
      </c>
      <c r="E831" s="466" t="s">
        <v>2441</v>
      </c>
      <c r="F831" s="466" t="s">
        <v>8433</v>
      </c>
      <c r="G831" s="466" t="s">
        <v>7075</v>
      </c>
      <c r="H831" s="466" t="s">
        <v>8434</v>
      </c>
      <c r="I831" s="466">
        <v>1.0</v>
      </c>
      <c r="J831" s="466"/>
      <c r="K831" s="466" t="s">
        <v>3009</v>
      </c>
      <c r="L831" s="466">
        <v>120.0</v>
      </c>
      <c r="M831" s="466"/>
      <c r="N831" s="466"/>
      <c r="O831" s="466"/>
      <c r="P831" s="357"/>
      <c r="Q831" s="357"/>
      <c r="R831" s="357"/>
      <c r="S831" s="357"/>
      <c r="T831" s="357"/>
      <c r="U831" s="357"/>
      <c r="V831" s="357"/>
      <c r="W831" s="357"/>
      <c r="X831" s="357"/>
      <c r="Y831" s="357"/>
      <c r="Z831" s="357"/>
    </row>
    <row r="832" ht="15.75" customHeight="1">
      <c r="A832" s="466" t="s">
        <v>8426</v>
      </c>
      <c r="B832" s="466">
        <v>2024.0</v>
      </c>
      <c r="C832" s="466">
        <v>9.0</v>
      </c>
      <c r="D832" s="466">
        <v>45560.0</v>
      </c>
      <c r="E832" s="466" t="s">
        <v>7434</v>
      </c>
      <c r="F832" s="466" t="s">
        <v>8013</v>
      </c>
      <c r="G832" s="466" t="s">
        <v>7100</v>
      </c>
      <c r="H832" s="466" t="s">
        <v>2853</v>
      </c>
      <c r="I832" s="466">
        <v>1.0</v>
      </c>
      <c r="J832" s="466"/>
      <c r="K832" s="466" t="s">
        <v>7393</v>
      </c>
      <c r="L832" s="466">
        <v>145.0</v>
      </c>
      <c r="M832" s="466"/>
      <c r="N832" s="466"/>
      <c r="O832" s="466"/>
      <c r="P832" s="357"/>
      <c r="Q832" s="357"/>
      <c r="R832" s="357"/>
      <c r="S832" s="357"/>
      <c r="T832" s="357"/>
      <c r="U832" s="357"/>
      <c r="V832" s="357"/>
      <c r="W832" s="357"/>
      <c r="X832" s="357"/>
      <c r="Y832" s="357"/>
      <c r="Z832" s="357"/>
    </row>
    <row r="833" ht="15.75" customHeight="1">
      <c r="A833" s="466" t="s">
        <v>8426</v>
      </c>
      <c r="B833" s="466">
        <v>2024.0</v>
      </c>
      <c r="C833" s="466">
        <v>9.0</v>
      </c>
      <c r="D833" s="466">
        <v>45560.0</v>
      </c>
      <c r="E833" s="466" t="s">
        <v>2441</v>
      </c>
      <c r="F833" s="466" t="s">
        <v>2612</v>
      </c>
      <c r="G833" s="466" t="s">
        <v>7075</v>
      </c>
      <c r="H833" s="466" t="s">
        <v>8435</v>
      </c>
      <c r="I833" s="466">
        <v>1.0</v>
      </c>
      <c r="J833" s="466"/>
      <c r="K833" s="466" t="s">
        <v>7393</v>
      </c>
      <c r="L833" s="466">
        <v>120.0</v>
      </c>
      <c r="M833" s="466"/>
      <c r="N833" s="466"/>
      <c r="O833" s="466"/>
      <c r="P833" s="357"/>
      <c r="Q833" s="357"/>
      <c r="R833" s="357"/>
      <c r="S833" s="357"/>
      <c r="T833" s="357"/>
      <c r="U833" s="357"/>
      <c r="V833" s="357"/>
      <c r="W833" s="357"/>
      <c r="X833" s="357"/>
      <c r="Y833" s="357"/>
      <c r="Z833" s="357"/>
    </row>
    <row r="834" ht="15.75" customHeight="1">
      <c r="A834" s="466" t="s">
        <v>8426</v>
      </c>
      <c r="B834" s="466">
        <v>2024.0</v>
      </c>
      <c r="C834" s="466">
        <v>9.0</v>
      </c>
      <c r="D834" s="466">
        <v>45560.0</v>
      </c>
      <c r="E834" s="466" t="s">
        <v>7417</v>
      </c>
      <c r="F834" s="466" t="s">
        <v>8436</v>
      </c>
      <c r="G834" s="466" t="s">
        <v>7100</v>
      </c>
      <c r="H834" s="466" t="s">
        <v>259</v>
      </c>
      <c r="I834" s="466">
        <v>1.0</v>
      </c>
      <c r="J834" s="466"/>
      <c r="K834" s="466" t="s">
        <v>7393</v>
      </c>
      <c r="L834" s="466">
        <v>145.0</v>
      </c>
      <c r="M834" s="466"/>
      <c r="N834" s="466"/>
      <c r="O834" s="466"/>
      <c r="P834" s="357"/>
      <c r="Q834" s="357"/>
      <c r="R834" s="357"/>
      <c r="S834" s="357"/>
      <c r="T834" s="357"/>
      <c r="U834" s="357"/>
      <c r="V834" s="357"/>
      <c r="W834" s="357"/>
      <c r="X834" s="357"/>
      <c r="Y834" s="357"/>
      <c r="Z834" s="357"/>
    </row>
    <row r="835" ht="15.75" customHeight="1">
      <c r="A835" s="466" t="s">
        <v>8426</v>
      </c>
      <c r="B835" s="466">
        <v>2024.0</v>
      </c>
      <c r="C835" s="466">
        <v>9.0</v>
      </c>
      <c r="D835" s="466">
        <v>45560.0</v>
      </c>
      <c r="E835" s="466" t="s">
        <v>2600</v>
      </c>
      <c r="F835" s="466" t="s">
        <v>8437</v>
      </c>
      <c r="G835" s="466" t="s">
        <v>7100</v>
      </c>
      <c r="H835" s="466" t="s">
        <v>248</v>
      </c>
      <c r="I835" s="466">
        <v>1.0</v>
      </c>
      <c r="J835" s="466"/>
      <c r="K835" s="466" t="s">
        <v>7393</v>
      </c>
      <c r="L835" s="466">
        <v>170.0</v>
      </c>
      <c r="M835" s="466"/>
      <c r="N835" s="466"/>
      <c r="O835" s="466"/>
      <c r="P835" s="357"/>
      <c r="Q835" s="357"/>
      <c r="R835" s="357"/>
      <c r="S835" s="357"/>
      <c r="T835" s="357"/>
      <c r="U835" s="357"/>
      <c r="V835" s="357"/>
      <c r="W835" s="357"/>
      <c r="X835" s="357"/>
      <c r="Y835" s="357"/>
      <c r="Z835" s="357"/>
    </row>
    <row r="836" ht="15.75" customHeight="1">
      <c r="A836" s="466" t="s">
        <v>8426</v>
      </c>
      <c r="B836" s="466">
        <v>2024.0</v>
      </c>
      <c r="C836" s="466">
        <v>9.0</v>
      </c>
      <c r="D836" s="466">
        <v>45560.0</v>
      </c>
      <c r="E836" s="466" t="s">
        <v>8408</v>
      </c>
      <c r="F836" s="466" t="s">
        <v>8438</v>
      </c>
      <c r="G836" s="466" t="s">
        <v>7075</v>
      </c>
      <c r="H836" s="466" t="s">
        <v>6633</v>
      </c>
      <c r="I836" s="466">
        <v>1.0</v>
      </c>
      <c r="J836" s="466"/>
      <c r="K836" s="466" t="s">
        <v>7393</v>
      </c>
      <c r="L836" s="466">
        <v>100.0</v>
      </c>
      <c r="M836" s="466"/>
      <c r="N836" s="466"/>
      <c r="O836" s="466"/>
      <c r="P836" s="357"/>
      <c r="Q836" s="357"/>
      <c r="R836" s="357"/>
      <c r="S836" s="357"/>
      <c r="T836" s="357"/>
      <c r="U836" s="357"/>
      <c r="V836" s="357"/>
      <c r="W836" s="357"/>
      <c r="X836" s="357"/>
      <c r="Y836" s="357"/>
      <c r="Z836" s="357"/>
    </row>
    <row r="837" ht="15.75" customHeight="1">
      <c r="A837" s="466" t="s">
        <v>8426</v>
      </c>
      <c r="B837" s="466">
        <v>2024.0</v>
      </c>
      <c r="C837" s="466">
        <v>9.0</v>
      </c>
      <c r="D837" s="466">
        <v>45560.0</v>
      </c>
      <c r="E837" s="466" t="s">
        <v>8082</v>
      </c>
      <c r="F837" s="466" t="s">
        <v>8439</v>
      </c>
      <c r="G837" s="466" t="s">
        <v>7075</v>
      </c>
      <c r="H837" s="466" t="s">
        <v>2121</v>
      </c>
      <c r="I837" s="466">
        <v>1.0</v>
      </c>
      <c r="J837" s="466"/>
      <c r="K837" s="466" t="s">
        <v>7393</v>
      </c>
      <c r="L837" s="466">
        <v>100.0</v>
      </c>
      <c r="M837" s="466"/>
      <c r="N837" s="466"/>
      <c r="O837" s="466"/>
      <c r="P837" s="357"/>
      <c r="Q837" s="357"/>
      <c r="R837" s="357"/>
      <c r="S837" s="357"/>
      <c r="T837" s="357"/>
      <c r="U837" s="357"/>
      <c r="V837" s="357"/>
      <c r="W837" s="357"/>
      <c r="X837" s="357"/>
      <c r="Y837" s="357"/>
      <c r="Z837" s="357"/>
    </row>
    <row r="838" ht="15.75" customHeight="1">
      <c r="A838" s="466" t="s">
        <v>8426</v>
      </c>
      <c r="B838" s="466">
        <v>2024.0</v>
      </c>
      <c r="C838" s="466">
        <v>9.0</v>
      </c>
      <c r="D838" s="466">
        <v>45560.0</v>
      </c>
      <c r="E838" s="466" t="s">
        <v>7396</v>
      </c>
      <c r="F838" s="466" t="s">
        <v>8440</v>
      </c>
      <c r="G838" s="466"/>
      <c r="H838" s="466"/>
      <c r="I838" s="466">
        <v>1.0</v>
      </c>
      <c r="J838" s="466"/>
      <c r="K838" s="466" t="s">
        <v>2558</v>
      </c>
      <c r="L838" s="466"/>
      <c r="M838" s="466"/>
      <c r="N838" s="466"/>
      <c r="O838" s="466"/>
      <c r="P838" s="357"/>
      <c r="Q838" s="357"/>
      <c r="R838" s="357"/>
      <c r="S838" s="357"/>
      <c r="T838" s="357"/>
      <c r="U838" s="357"/>
      <c r="V838" s="357"/>
      <c r="W838" s="357"/>
      <c r="X838" s="357"/>
      <c r="Y838" s="357"/>
      <c r="Z838" s="357"/>
    </row>
    <row r="839" ht="15.75" customHeight="1">
      <c r="A839" s="466" t="s">
        <v>8426</v>
      </c>
      <c r="B839" s="466">
        <v>2024.0</v>
      </c>
      <c r="C839" s="466">
        <v>9.0</v>
      </c>
      <c r="D839" s="466">
        <v>45560.0</v>
      </c>
      <c r="E839" s="466" t="s">
        <v>2600</v>
      </c>
      <c r="F839" s="466" t="s">
        <v>8441</v>
      </c>
      <c r="G839" s="466" t="s">
        <v>7075</v>
      </c>
      <c r="H839" s="466" t="s">
        <v>8442</v>
      </c>
      <c r="I839" s="466">
        <v>1.0</v>
      </c>
      <c r="J839" s="466"/>
      <c r="K839" s="466"/>
      <c r="L839" s="466">
        <v>100.0</v>
      </c>
      <c r="M839" s="466"/>
      <c r="N839" s="466"/>
      <c r="O839" s="466"/>
      <c r="P839" s="357"/>
      <c r="Q839" s="357"/>
      <c r="R839" s="357"/>
      <c r="S839" s="357"/>
      <c r="T839" s="357"/>
      <c r="U839" s="357"/>
      <c r="V839" s="357"/>
      <c r="W839" s="357"/>
      <c r="X839" s="357"/>
      <c r="Y839" s="357"/>
      <c r="Z839" s="357"/>
    </row>
    <row r="840" ht="15.75" customHeight="1">
      <c r="A840" s="466" t="s">
        <v>8426</v>
      </c>
      <c r="B840" s="466">
        <v>2024.0</v>
      </c>
      <c r="C840" s="466">
        <v>9.0</v>
      </c>
      <c r="D840" s="466">
        <v>45561.0</v>
      </c>
      <c r="E840" s="466" t="s">
        <v>2597</v>
      </c>
      <c r="F840" s="466" t="s">
        <v>8443</v>
      </c>
      <c r="G840" s="466" t="s">
        <v>7075</v>
      </c>
      <c r="H840" s="466" t="s">
        <v>2121</v>
      </c>
      <c r="I840" s="466">
        <v>1.0</v>
      </c>
      <c r="J840" s="466"/>
      <c r="K840" s="466" t="s">
        <v>2511</v>
      </c>
      <c r="L840" s="466">
        <v>100.0</v>
      </c>
      <c r="M840" s="466"/>
      <c r="N840" s="466"/>
      <c r="O840" s="466"/>
      <c r="P840" s="357"/>
      <c r="Q840" s="357"/>
      <c r="R840" s="357"/>
      <c r="S840" s="357"/>
      <c r="T840" s="357"/>
      <c r="U840" s="357"/>
      <c r="V840" s="357"/>
      <c r="W840" s="357"/>
      <c r="X840" s="357"/>
      <c r="Y840" s="357"/>
      <c r="Z840" s="357"/>
    </row>
    <row r="841" ht="15.75" customHeight="1">
      <c r="A841" s="466" t="s">
        <v>8426</v>
      </c>
      <c r="B841" s="466">
        <v>2024.0</v>
      </c>
      <c r="C841" s="466">
        <v>9.0</v>
      </c>
      <c r="D841" s="466">
        <v>45561.0</v>
      </c>
      <c r="E841" s="466" t="s">
        <v>8444</v>
      </c>
      <c r="F841" s="466" t="s">
        <v>8445</v>
      </c>
      <c r="G841" s="466" t="s">
        <v>7075</v>
      </c>
      <c r="H841" s="466" t="s">
        <v>2153</v>
      </c>
      <c r="I841" s="466">
        <v>1.0</v>
      </c>
      <c r="J841" s="466"/>
      <c r="K841" s="466" t="s">
        <v>7393</v>
      </c>
      <c r="L841" s="466">
        <v>120.0</v>
      </c>
      <c r="M841" s="466"/>
      <c r="N841" s="466"/>
      <c r="O841" s="466"/>
      <c r="P841" s="357"/>
      <c r="Q841" s="357"/>
      <c r="R841" s="357"/>
      <c r="S841" s="357"/>
      <c r="T841" s="357"/>
      <c r="U841" s="357"/>
      <c r="V841" s="357"/>
      <c r="W841" s="357"/>
      <c r="X841" s="357"/>
      <c r="Y841" s="357"/>
      <c r="Z841" s="357"/>
    </row>
    <row r="842" ht="15.75" customHeight="1">
      <c r="A842" s="466" t="s">
        <v>8426</v>
      </c>
      <c r="B842" s="466">
        <v>2024.0</v>
      </c>
      <c r="C842" s="466">
        <v>9.0</v>
      </c>
      <c r="D842" s="466">
        <v>45562.0</v>
      </c>
      <c r="E842" s="466" t="s">
        <v>8446</v>
      </c>
      <c r="F842" s="466"/>
      <c r="G842" s="466" t="s">
        <v>7075</v>
      </c>
      <c r="H842" s="466" t="s">
        <v>8434</v>
      </c>
      <c r="I842" s="466">
        <v>1.0</v>
      </c>
      <c r="J842" s="466"/>
      <c r="K842" s="466" t="s">
        <v>2511</v>
      </c>
      <c r="L842" s="466">
        <v>120.0</v>
      </c>
      <c r="M842" s="466"/>
      <c r="N842" s="466"/>
      <c r="O842" s="466"/>
      <c r="P842" s="357"/>
      <c r="Q842" s="357"/>
      <c r="R842" s="357"/>
      <c r="S842" s="357"/>
      <c r="T842" s="357"/>
      <c r="U842" s="357"/>
      <c r="V842" s="357"/>
      <c r="W842" s="357"/>
      <c r="X842" s="357"/>
      <c r="Y842" s="357"/>
      <c r="Z842" s="357"/>
    </row>
    <row r="843" ht="15.75" customHeight="1">
      <c r="A843" s="466" t="s">
        <v>8426</v>
      </c>
      <c r="B843" s="466">
        <v>2024.0</v>
      </c>
      <c r="C843" s="466">
        <v>9.0</v>
      </c>
      <c r="D843" s="466">
        <v>45561.0</v>
      </c>
      <c r="E843" s="466" t="s">
        <v>2623</v>
      </c>
      <c r="F843" s="466" t="s">
        <v>8447</v>
      </c>
      <c r="G843" s="466" t="s">
        <v>7100</v>
      </c>
      <c r="H843" s="466" t="s">
        <v>248</v>
      </c>
      <c r="I843" s="466">
        <v>1.0</v>
      </c>
      <c r="J843" s="466"/>
      <c r="K843" s="466" t="s">
        <v>7393</v>
      </c>
      <c r="L843" s="466">
        <v>170.0</v>
      </c>
      <c r="M843" s="466"/>
      <c r="N843" s="466"/>
      <c r="O843" s="466"/>
      <c r="P843" s="357"/>
      <c r="Q843" s="357"/>
      <c r="R843" s="357"/>
      <c r="S843" s="357"/>
      <c r="T843" s="357"/>
      <c r="U843" s="357"/>
      <c r="V843" s="357"/>
      <c r="W843" s="357"/>
      <c r="X843" s="357"/>
      <c r="Y843" s="357"/>
      <c r="Z843" s="357"/>
    </row>
    <row r="844" ht="15.75" customHeight="1">
      <c r="A844" s="466" t="s">
        <v>8426</v>
      </c>
      <c r="B844" s="466">
        <v>2024.0</v>
      </c>
      <c r="C844" s="466">
        <v>9.0</v>
      </c>
      <c r="D844" s="466">
        <v>45562.0</v>
      </c>
      <c r="E844" s="466" t="s">
        <v>2594</v>
      </c>
      <c r="F844" s="466" t="s">
        <v>8448</v>
      </c>
      <c r="G844" s="466" t="s">
        <v>7075</v>
      </c>
      <c r="H844" s="466" t="s">
        <v>8449</v>
      </c>
      <c r="I844" s="466">
        <v>1.0</v>
      </c>
      <c r="J844" s="466"/>
      <c r="K844" s="466" t="s">
        <v>7393</v>
      </c>
      <c r="L844" s="466">
        <v>120.0</v>
      </c>
      <c r="M844" s="466"/>
      <c r="N844" s="466"/>
      <c r="O844" s="466"/>
      <c r="P844" s="357"/>
      <c r="Q844" s="357"/>
      <c r="R844" s="357"/>
      <c r="S844" s="357"/>
      <c r="T844" s="357"/>
      <c r="U844" s="357"/>
      <c r="V844" s="357"/>
      <c r="W844" s="357"/>
      <c r="X844" s="357"/>
      <c r="Y844" s="357"/>
      <c r="Z844" s="357"/>
    </row>
    <row r="845" ht="15.75" customHeight="1">
      <c r="A845" s="466" t="s">
        <v>8426</v>
      </c>
      <c r="B845" s="466">
        <v>2024.0</v>
      </c>
      <c r="C845" s="466">
        <v>9.0</v>
      </c>
      <c r="D845" s="466">
        <v>45562.0</v>
      </c>
      <c r="E845" s="466" t="s">
        <v>2594</v>
      </c>
      <c r="F845" s="466" t="s">
        <v>8448</v>
      </c>
      <c r="G845" s="466" t="s">
        <v>7075</v>
      </c>
      <c r="H845" s="466" t="s">
        <v>201</v>
      </c>
      <c r="I845" s="466">
        <v>1.0</v>
      </c>
      <c r="J845" s="466"/>
      <c r="K845" s="466" t="s">
        <v>7393</v>
      </c>
      <c r="L845" s="466">
        <v>95.0</v>
      </c>
      <c r="M845" s="466"/>
      <c r="N845" s="466"/>
      <c r="O845" s="466"/>
      <c r="P845" s="357"/>
      <c r="Q845" s="357"/>
      <c r="R845" s="357"/>
      <c r="S845" s="357"/>
      <c r="T845" s="357"/>
      <c r="U845" s="357"/>
      <c r="V845" s="357"/>
      <c r="W845" s="357"/>
      <c r="X845" s="357"/>
      <c r="Y845" s="357"/>
      <c r="Z845" s="357"/>
    </row>
    <row r="846" ht="15.75" customHeight="1">
      <c r="A846" s="466" t="s">
        <v>8426</v>
      </c>
      <c r="B846" s="466">
        <v>2024.0</v>
      </c>
      <c r="C846" s="466">
        <v>9.0</v>
      </c>
      <c r="D846" s="466">
        <v>45562.0</v>
      </c>
      <c r="E846" s="466" t="s">
        <v>7760</v>
      </c>
      <c r="F846" s="466" t="s">
        <v>8450</v>
      </c>
      <c r="G846" s="466" t="s">
        <v>7100</v>
      </c>
      <c r="H846" s="466" t="s">
        <v>248</v>
      </c>
      <c r="I846" s="466">
        <v>1.0</v>
      </c>
      <c r="J846" s="466"/>
      <c r="K846" s="466" t="s">
        <v>7393</v>
      </c>
      <c r="L846" s="466">
        <v>170.0</v>
      </c>
      <c r="M846" s="466"/>
      <c r="N846" s="466"/>
      <c r="O846" s="466"/>
      <c r="P846" s="357"/>
      <c r="Q846" s="357"/>
      <c r="R846" s="357"/>
      <c r="S846" s="357"/>
      <c r="T846" s="357"/>
      <c r="U846" s="357"/>
      <c r="V846" s="357"/>
      <c r="W846" s="357"/>
      <c r="X846" s="357"/>
      <c r="Y846" s="357"/>
      <c r="Z846" s="357"/>
    </row>
    <row r="847" ht="15.75" customHeight="1">
      <c r="A847" s="466" t="s">
        <v>8426</v>
      </c>
      <c r="B847" s="466">
        <v>2024.0</v>
      </c>
      <c r="C847" s="466">
        <v>9.0</v>
      </c>
      <c r="D847" s="466">
        <v>45562.0</v>
      </c>
      <c r="E847" s="466" t="s">
        <v>2780</v>
      </c>
      <c r="F847" s="466" t="s">
        <v>2781</v>
      </c>
      <c r="G847" s="466" t="s">
        <v>7611</v>
      </c>
      <c r="H847" s="466" t="s">
        <v>8293</v>
      </c>
      <c r="I847" s="466">
        <v>1.0</v>
      </c>
      <c r="J847" s="466"/>
      <c r="K847" s="466" t="s">
        <v>3009</v>
      </c>
      <c r="L847" s="466">
        <v>68.0</v>
      </c>
      <c r="M847" s="466"/>
      <c r="N847" s="466"/>
      <c r="O847" s="466"/>
      <c r="P847" s="357"/>
      <c r="Q847" s="357"/>
      <c r="R847" s="357"/>
      <c r="S847" s="357"/>
      <c r="T847" s="357"/>
      <c r="U847" s="357"/>
      <c r="V847" s="357"/>
      <c r="W847" s="357"/>
      <c r="X847" s="357"/>
      <c r="Y847" s="357"/>
      <c r="Z847" s="357"/>
    </row>
    <row r="848" ht="15.75" customHeight="1">
      <c r="A848" s="466" t="s">
        <v>8426</v>
      </c>
      <c r="B848" s="466">
        <v>2024.0</v>
      </c>
      <c r="C848" s="466">
        <v>9.0</v>
      </c>
      <c r="D848" s="466">
        <v>45562.0</v>
      </c>
      <c r="E848" s="466" t="s">
        <v>7406</v>
      </c>
      <c r="F848" s="466" t="s">
        <v>8451</v>
      </c>
      <c r="G848" s="466" t="s">
        <v>7075</v>
      </c>
      <c r="H848" s="466" t="s">
        <v>8452</v>
      </c>
      <c r="I848" s="466">
        <v>1.0</v>
      </c>
      <c r="J848" s="466"/>
      <c r="K848" s="466" t="s">
        <v>7393</v>
      </c>
      <c r="L848" s="466">
        <v>120.0</v>
      </c>
      <c r="M848" s="466"/>
      <c r="N848" s="466"/>
      <c r="O848" s="466"/>
      <c r="P848" s="357"/>
      <c r="Q848" s="357"/>
      <c r="R848" s="357"/>
      <c r="S848" s="357"/>
      <c r="T848" s="357"/>
      <c r="U848" s="357"/>
      <c r="V848" s="357"/>
      <c r="W848" s="357"/>
      <c r="X848" s="357"/>
      <c r="Y848" s="357"/>
      <c r="Z848" s="357"/>
    </row>
    <row r="849" ht="15.75" customHeight="1">
      <c r="A849" s="466" t="s">
        <v>8426</v>
      </c>
      <c r="B849" s="466">
        <v>2024.0</v>
      </c>
      <c r="C849" s="466">
        <v>9.0</v>
      </c>
      <c r="D849" s="466">
        <v>45562.0</v>
      </c>
      <c r="E849" s="466" t="s">
        <v>7489</v>
      </c>
      <c r="F849" s="466" t="s">
        <v>8453</v>
      </c>
      <c r="G849" s="466" t="s">
        <v>7075</v>
      </c>
      <c r="H849" s="466" t="s">
        <v>8449</v>
      </c>
      <c r="I849" s="466">
        <v>1.0</v>
      </c>
      <c r="J849" s="466"/>
      <c r="K849" s="466" t="s">
        <v>7393</v>
      </c>
      <c r="L849" s="466">
        <v>120.0</v>
      </c>
      <c r="M849" s="466"/>
      <c r="N849" s="466"/>
      <c r="O849" s="466"/>
      <c r="P849" s="357"/>
      <c r="Q849" s="357"/>
      <c r="R849" s="357"/>
      <c r="S849" s="357"/>
      <c r="T849" s="357"/>
      <c r="U849" s="357"/>
      <c r="V849" s="357"/>
      <c r="W849" s="357"/>
      <c r="X849" s="357"/>
      <c r="Y849" s="357"/>
      <c r="Z849" s="357"/>
    </row>
    <row r="850" ht="15.75" customHeight="1">
      <c r="A850" s="466" t="s">
        <v>8426</v>
      </c>
      <c r="B850" s="466">
        <v>2024.0</v>
      </c>
      <c r="C850" s="466">
        <v>9.0</v>
      </c>
      <c r="D850" s="466">
        <v>45562.0</v>
      </c>
      <c r="E850" s="466" t="s">
        <v>7419</v>
      </c>
      <c r="F850" s="466" t="s">
        <v>2784</v>
      </c>
      <c r="G850" s="466" t="s">
        <v>7075</v>
      </c>
      <c r="H850" s="466" t="s">
        <v>8449</v>
      </c>
      <c r="I850" s="466">
        <v>1.0</v>
      </c>
      <c r="J850" s="466"/>
      <c r="K850" s="466" t="s">
        <v>7393</v>
      </c>
      <c r="L850" s="466">
        <v>120.0</v>
      </c>
      <c r="M850" s="466"/>
      <c r="N850" s="466"/>
      <c r="O850" s="466"/>
      <c r="P850" s="357"/>
      <c r="Q850" s="357"/>
      <c r="R850" s="357"/>
      <c r="S850" s="357"/>
      <c r="T850" s="357"/>
      <c r="U850" s="357"/>
      <c r="V850" s="357"/>
      <c r="W850" s="357"/>
      <c r="X850" s="357"/>
      <c r="Y850" s="357"/>
      <c r="Z850" s="357"/>
    </row>
    <row r="851" ht="15.75" customHeight="1">
      <c r="A851" s="466" t="s">
        <v>8426</v>
      </c>
      <c r="B851" s="466">
        <v>2024.0</v>
      </c>
      <c r="C851" s="466">
        <v>9.0</v>
      </c>
      <c r="D851" s="466">
        <v>45562.0</v>
      </c>
      <c r="E851" s="466" t="s">
        <v>7419</v>
      </c>
      <c r="F851" s="466" t="s">
        <v>2784</v>
      </c>
      <c r="G851" s="466" t="s">
        <v>7395</v>
      </c>
      <c r="H851" s="466"/>
      <c r="I851" s="466">
        <v>2.0</v>
      </c>
      <c r="J851" s="466"/>
      <c r="K851" s="466" t="s">
        <v>7393</v>
      </c>
      <c r="L851" s="466">
        <v>55.0</v>
      </c>
      <c r="M851" s="466"/>
      <c r="N851" s="466"/>
      <c r="O851" s="466"/>
      <c r="P851" s="357"/>
      <c r="Q851" s="357"/>
      <c r="R851" s="357"/>
      <c r="S851" s="357"/>
      <c r="T851" s="357"/>
      <c r="U851" s="357"/>
      <c r="V851" s="357"/>
      <c r="W851" s="357"/>
      <c r="X851" s="357"/>
      <c r="Y851" s="357"/>
      <c r="Z851" s="357"/>
    </row>
    <row r="852" ht="15.75" customHeight="1">
      <c r="A852" s="466" t="s">
        <v>8426</v>
      </c>
      <c r="B852" s="466">
        <v>2024.0</v>
      </c>
      <c r="C852" s="466">
        <v>9.0</v>
      </c>
      <c r="D852" s="466">
        <v>45562.0</v>
      </c>
      <c r="E852" s="466" t="s">
        <v>2768</v>
      </c>
      <c r="F852" s="466" t="s">
        <v>2769</v>
      </c>
      <c r="G852" s="466" t="s">
        <v>7075</v>
      </c>
      <c r="H852" s="466" t="s">
        <v>8449</v>
      </c>
      <c r="I852" s="466">
        <v>1.0</v>
      </c>
      <c r="J852" s="466"/>
      <c r="K852" s="466" t="s">
        <v>7393</v>
      </c>
      <c r="L852" s="466">
        <v>120.0</v>
      </c>
      <c r="M852" s="466"/>
      <c r="N852" s="466"/>
      <c r="O852" s="466"/>
      <c r="P852" s="357"/>
      <c r="Q852" s="357"/>
      <c r="R852" s="357"/>
      <c r="S852" s="357"/>
      <c r="T852" s="357"/>
      <c r="U852" s="357"/>
      <c r="V852" s="357"/>
      <c r="W852" s="357"/>
      <c r="X852" s="357"/>
      <c r="Y852" s="357"/>
      <c r="Z852" s="357"/>
    </row>
    <row r="853" ht="15.75" customHeight="1">
      <c r="A853" s="466" t="s">
        <v>8426</v>
      </c>
      <c r="B853" s="466">
        <v>2024.0</v>
      </c>
      <c r="C853" s="466">
        <v>9.0</v>
      </c>
      <c r="D853" s="466">
        <v>45562.0</v>
      </c>
      <c r="E853" s="466" t="s">
        <v>7408</v>
      </c>
      <c r="F853" s="466" t="s">
        <v>8454</v>
      </c>
      <c r="G853" s="466" t="s">
        <v>7075</v>
      </c>
      <c r="H853" s="466" t="s">
        <v>2121</v>
      </c>
      <c r="I853" s="466">
        <v>1.0</v>
      </c>
      <c r="J853" s="466"/>
      <c r="K853" s="466" t="s">
        <v>7393</v>
      </c>
      <c r="L853" s="466">
        <v>100.0</v>
      </c>
      <c r="M853" s="466"/>
      <c r="N853" s="466"/>
      <c r="O853" s="466"/>
      <c r="P853" s="357"/>
      <c r="Q853" s="357"/>
      <c r="R853" s="357"/>
      <c r="S853" s="357"/>
      <c r="T853" s="357"/>
      <c r="U853" s="357"/>
      <c r="V853" s="357"/>
      <c r="W853" s="357"/>
      <c r="X853" s="357"/>
      <c r="Y853" s="357"/>
      <c r="Z853" s="357"/>
    </row>
    <row r="854" ht="15.75" customHeight="1">
      <c r="A854" s="466" t="s">
        <v>8426</v>
      </c>
      <c r="B854" s="466">
        <v>2024.0</v>
      </c>
      <c r="C854" s="466">
        <v>9.0</v>
      </c>
      <c r="D854" s="466">
        <v>45563.0</v>
      </c>
      <c r="E854" s="466" t="s">
        <v>2607</v>
      </c>
      <c r="F854" s="466" t="s">
        <v>8455</v>
      </c>
      <c r="G854" s="466" t="s">
        <v>7075</v>
      </c>
      <c r="H854" s="466" t="s">
        <v>8456</v>
      </c>
      <c r="I854" s="466">
        <v>1.0</v>
      </c>
      <c r="J854" s="466"/>
      <c r="K854" s="466" t="s">
        <v>7393</v>
      </c>
      <c r="L854" s="466">
        <v>110.0</v>
      </c>
      <c r="M854" s="466"/>
      <c r="N854" s="466"/>
      <c r="O854" s="466"/>
      <c r="P854" s="357"/>
      <c r="Q854" s="357"/>
      <c r="R854" s="357"/>
      <c r="S854" s="357"/>
      <c r="T854" s="357"/>
      <c r="U854" s="357"/>
      <c r="V854" s="357"/>
      <c r="W854" s="357"/>
      <c r="X854" s="357"/>
      <c r="Y854" s="357"/>
      <c r="Z854" s="357"/>
    </row>
    <row r="855" ht="15.75" customHeight="1">
      <c r="A855" s="466" t="s">
        <v>8426</v>
      </c>
      <c r="B855" s="466">
        <v>2024.0</v>
      </c>
      <c r="C855" s="466">
        <v>9.0</v>
      </c>
      <c r="D855" s="466">
        <v>45563.0</v>
      </c>
      <c r="E855" s="466" t="s">
        <v>2193</v>
      </c>
      <c r="F855" s="466" t="s">
        <v>8457</v>
      </c>
      <c r="G855" s="466" t="s">
        <v>7075</v>
      </c>
      <c r="H855" s="466" t="s">
        <v>7092</v>
      </c>
      <c r="I855" s="466">
        <v>1.0</v>
      </c>
      <c r="J855" s="466"/>
      <c r="K855" s="466" t="s">
        <v>7393</v>
      </c>
      <c r="L855" s="466">
        <v>100.0</v>
      </c>
      <c r="M855" s="466"/>
      <c r="N855" s="466"/>
      <c r="O855" s="466"/>
      <c r="P855" s="357"/>
      <c r="Q855" s="357"/>
      <c r="R855" s="357"/>
      <c r="S855" s="357"/>
      <c r="T855" s="357"/>
      <c r="U855" s="357"/>
      <c r="V855" s="357"/>
      <c r="W855" s="357"/>
      <c r="X855" s="357"/>
      <c r="Y855" s="357"/>
      <c r="Z855" s="357"/>
    </row>
    <row r="856" ht="15.75" customHeight="1">
      <c r="A856" s="466" t="s">
        <v>8426</v>
      </c>
      <c r="B856" s="466">
        <v>2024.0</v>
      </c>
      <c r="C856" s="466">
        <v>9.0</v>
      </c>
      <c r="D856" s="466">
        <v>45563.0</v>
      </c>
      <c r="E856" s="466" t="s">
        <v>2780</v>
      </c>
      <c r="F856" s="466" t="s">
        <v>8458</v>
      </c>
      <c r="G856" s="466" t="s">
        <v>6613</v>
      </c>
      <c r="H856" s="466"/>
      <c r="I856" s="466">
        <v>1.0</v>
      </c>
      <c r="J856" s="466"/>
      <c r="K856" s="466" t="s">
        <v>2511</v>
      </c>
      <c r="L856" s="466">
        <v>70.0</v>
      </c>
      <c r="M856" s="466"/>
      <c r="N856" s="466"/>
      <c r="O856" s="466"/>
      <c r="P856" s="357"/>
      <c r="Q856" s="357"/>
      <c r="R856" s="357"/>
      <c r="S856" s="357"/>
      <c r="T856" s="357"/>
      <c r="U856" s="357"/>
      <c r="V856" s="357"/>
      <c r="W856" s="357"/>
      <c r="X856" s="357"/>
      <c r="Y856" s="357"/>
      <c r="Z856" s="357"/>
    </row>
    <row r="857" ht="15.75" customHeight="1">
      <c r="A857" s="466" t="s">
        <v>8426</v>
      </c>
      <c r="B857" s="466">
        <v>2024.0</v>
      </c>
      <c r="C857" s="466">
        <v>9.0</v>
      </c>
      <c r="D857" s="466">
        <v>45563.0</v>
      </c>
      <c r="E857" s="466" t="s">
        <v>2638</v>
      </c>
      <c r="F857" s="466" t="s">
        <v>8459</v>
      </c>
      <c r="G857" s="466" t="s">
        <v>7100</v>
      </c>
      <c r="H857" s="466" t="s">
        <v>248</v>
      </c>
      <c r="I857" s="466">
        <v>1.0</v>
      </c>
      <c r="J857" s="466"/>
      <c r="K857" s="466" t="s">
        <v>7393</v>
      </c>
      <c r="L857" s="466">
        <v>170.0</v>
      </c>
      <c r="M857" s="466"/>
      <c r="N857" s="466"/>
      <c r="O857" s="466"/>
      <c r="P857" s="357"/>
      <c r="Q857" s="357"/>
      <c r="R857" s="357"/>
      <c r="S857" s="357"/>
      <c r="T857" s="357"/>
      <c r="U857" s="357"/>
      <c r="V857" s="357"/>
      <c r="W857" s="357"/>
      <c r="X857" s="357"/>
      <c r="Y857" s="357"/>
      <c r="Z857" s="357"/>
    </row>
    <row r="858" ht="15.75" customHeight="1">
      <c r="A858" s="466" t="s">
        <v>8426</v>
      </c>
      <c r="B858" s="466">
        <v>2024.0</v>
      </c>
      <c r="C858" s="466">
        <v>9.0</v>
      </c>
      <c r="D858" s="466">
        <v>45563.0</v>
      </c>
      <c r="E858" s="466" t="s">
        <v>2607</v>
      </c>
      <c r="F858" s="466" t="s">
        <v>8460</v>
      </c>
      <c r="G858" s="466" t="s">
        <v>7075</v>
      </c>
      <c r="H858" s="466" t="s">
        <v>8461</v>
      </c>
      <c r="I858" s="466">
        <v>1.0</v>
      </c>
      <c r="J858" s="466"/>
      <c r="K858" s="466" t="s">
        <v>7393</v>
      </c>
      <c r="L858" s="466">
        <v>120.0</v>
      </c>
      <c r="M858" s="466"/>
      <c r="N858" s="466"/>
      <c r="O858" s="466"/>
      <c r="P858" s="357"/>
      <c r="Q858" s="357"/>
      <c r="R858" s="357"/>
      <c r="S858" s="357"/>
      <c r="T858" s="357"/>
      <c r="U858" s="357"/>
      <c r="V858" s="357"/>
      <c r="W858" s="357"/>
      <c r="X858" s="357"/>
      <c r="Y858" s="357"/>
      <c r="Z858" s="357"/>
    </row>
    <row r="859" ht="15.75" customHeight="1">
      <c r="A859" s="466" t="s">
        <v>8426</v>
      </c>
      <c r="B859" s="466">
        <v>2024.0</v>
      </c>
      <c r="C859" s="466">
        <v>9.0</v>
      </c>
      <c r="D859" s="466">
        <v>45563.0</v>
      </c>
      <c r="E859" s="466" t="s">
        <v>8462</v>
      </c>
      <c r="F859" s="466" t="s">
        <v>8463</v>
      </c>
      <c r="G859" s="466" t="s">
        <v>7075</v>
      </c>
      <c r="H859" s="466" t="s">
        <v>2121</v>
      </c>
      <c r="I859" s="466">
        <v>1.0</v>
      </c>
      <c r="J859" s="466"/>
      <c r="K859" s="466" t="s">
        <v>7393</v>
      </c>
      <c r="L859" s="466">
        <v>100.0</v>
      </c>
      <c r="M859" s="466"/>
      <c r="N859" s="466"/>
      <c r="O859" s="466"/>
      <c r="P859" s="357"/>
      <c r="Q859" s="357"/>
      <c r="R859" s="357"/>
      <c r="S859" s="357"/>
      <c r="T859" s="357"/>
      <c r="U859" s="357"/>
      <c r="V859" s="357"/>
      <c r="W859" s="357"/>
      <c r="X859" s="357"/>
      <c r="Y859" s="357"/>
      <c r="Z859" s="357"/>
    </row>
    <row r="860" ht="15.75" customHeight="1">
      <c r="A860" s="466" t="s">
        <v>8426</v>
      </c>
      <c r="B860" s="466">
        <v>2024.0</v>
      </c>
      <c r="C860" s="466">
        <v>9.0</v>
      </c>
      <c r="D860" s="466">
        <v>45564.0</v>
      </c>
      <c r="E860" s="466" t="s">
        <v>7678</v>
      </c>
      <c r="F860" s="466" t="s">
        <v>8464</v>
      </c>
      <c r="G860" s="466" t="s">
        <v>7100</v>
      </c>
      <c r="H860" s="466" t="s">
        <v>248</v>
      </c>
      <c r="I860" s="466">
        <v>1.0</v>
      </c>
      <c r="J860" s="466"/>
      <c r="K860" s="466" t="s">
        <v>7393</v>
      </c>
      <c r="L860" s="466">
        <v>170.0</v>
      </c>
      <c r="M860" s="466"/>
      <c r="N860" s="466"/>
      <c r="O860" s="466"/>
      <c r="P860" s="357"/>
      <c r="Q860" s="357"/>
      <c r="R860" s="357"/>
      <c r="S860" s="357"/>
      <c r="T860" s="357"/>
      <c r="U860" s="357"/>
      <c r="V860" s="357"/>
      <c r="W860" s="357"/>
      <c r="X860" s="357"/>
      <c r="Y860" s="357"/>
      <c r="Z860" s="357"/>
    </row>
    <row r="861" ht="15.75" customHeight="1">
      <c r="A861" s="466" t="s">
        <v>8426</v>
      </c>
      <c r="B861" s="466">
        <v>2024.0</v>
      </c>
      <c r="C861" s="466">
        <v>9.0</v>
      </c>
      <c r="D861" s="466">
        <v>45564.0</v>
      </c>
      <c r="E861" s="466" t="s">
        <v>7554</v>
      </c>
      <c r="F861" s="466" t="s">
        <v>8465</v>
      </c>
      <c r="G861" s="466" t="s">
        <v>7075</v>
      </c>
      <c r="H861" s="466" t="s">
        <v>8461</v>
      </c>
      <c r="I861" s="466">
        <v>1.0</v>
      </c>
      <c r="J861" s="466"/>
      <c r="K861" s="466" t="s">
        <v>7393</v>
      </c>
      <c r="L861" s="466">
        <v>120.0</v>
      </c>
      <c r="M861" s="466"/>
      <c r="N861" s="466"/>
      <c r="O861" s="466"/>
      <c r="P861" s="357"/>
      <c r="Q861" s="357"/>
      <c r="R861" s="357"/>
      <c r="S861" s="357"/>
      <c r="T861" s="357"/>
      <c r="U861" s="357"/>
      <c r="V861" s="357"/>
      <c r="W861" s="357"/>
      <c r="X861" s="357"/>
      <c r="Y861" s="357"/>
      <c r="Z861" s="357"/>
    </row>
    <row r="862" ht="15.75" customHeight="1">
      <c r="A862" s="466" t="s">
        <v>8426</v>
      </c>
      <c r="B862" s="466">
        <v>2024.0</v>
      </c>
      <c r="C862" s="466">
        <v>9.0</v>
      </c>
      <c r="D862" s="466">
        <v>45564.0</v>
      </c>
      <c r="E862" s="466" t="s">
        <v>8466</v>
      </c>
      <c r="F862" s="466"/>
      <c r="G862" s="466" t="s">
        <v>7075</v>
      </c>
      <c r="H862" s="466" t="s">
        <v>8332</v>
      </c>
      <c r="I862" s="466">
        <v>1.0</v>
      </c>
      <c r="J862" s="466"/>
      <c r="K862" s="466" t="s">
        <v>2511</v>
      </c>
      <c r="L862" s="466">
        <v>90.0</v>
      </c>
      <c r="M862" s="466"/>
      <c r="N862" s="466"/>
      <c r="O862" s="466"/>
      <c r="P862" s="357"/>
      <c r="Q862" s="357"/>
      <c r="R862" s="357"/>
      <c r="S862" s="357"/>
      <c r="T862" s="357"/>
      <c r="U862" s="357"/>
      <c r="V862" s="357"/>
      <c r="W862" s="357"/>
      <c r="X862" s="357"/>
      <c r="Y862" s="357"/>
      <c r="Z862" s="357"/>
    </row>
    <row r="863" ht="15.75" customHeight="1">
      <c r="A863" s="466" t="s">
        <v>8160</v>
      </c>
      <c r="B863" s="466">
        <v>2024.0</v>
      </c>
      <c r="C863" s="466">
        <v>9.0</v>
      </c>
      <c r="D863" s="466">
        <v>45565.0</v>
      </c>
      <c r="E863" s="466" t="s">
        <v>7515</v>
      </c>
      <c r="F863" s="466" t="s">
        <v>7910</v>
      </c>
      <c r="G863" s="466" t="s">
        <v>7075</v>
      </c>
      <c r="H863" s="466" t="s">
        <v>8467</v>
      </c>
      <c r="I863" s="466">
        <v>1.0</v>
      </c>
      <c r="J863" s="466"/>
      <c r="K863" s="466" t="s">
        <v>3009</v>
      </c>
      <c r="L863" s="466">
        <v>120.0</v>
      </c>
      <c r="M863" s="466"/>
      <c r="N863" s="466"/>
      <c r="O863" s="466"/>
      <c r="P863" s="357"/>
      <c r="Q863" s="357"/>
      <c r="R863" s="357"/>
      <c r="S863" s="357"/>
      <c r="T863" s="357"/>
      <c r="U863" s="357"/>
      <c r="V863" s="357"/>
      <c r="W863" s="357"/>
      <c r="X863" s="357"/>
      <c r="Y863" s="357"/>
      <c r="Z863" s="357"/>
    </row>
    <row r="864" ht="15.75" customHeight="1">
      <c r="A864" s="466" t="s">
        <v>8160</v>
      </c>
      <c r="B864" s="466">
        <v>2024.0</v>
      </c>
      <c r="C864" s="466">
        <v>9.0</v>
      </c>
      <c r="D864" s="466">
        <v>45565.0</v>
      </c>
      <c r="E864" s="466" t="s">
        <v>2193</v>
      </c>
      <c r="F864" s="466" t="s">
        <v>8468</v>
      </c>
      <c r="G864" s="466" t="s">
        <v>7075</v>
      </c>
      <c r="H864" s="466" t="s">
        <v>8469</v>
      </c>
      <c r="I864" s="466">
        <v>1.0</v>
      </c>
      <c r="J864" s="466"/>
      <c r="K864" s="466" t="s">
        <v>3009</v>
      </c>
      <c r="L864" s="466">
        <v>120.0</v>
      </c>
      <c r="M864" s="466"/>
      <c r="N864" s="466"/>
      <c r="O864" s="466"/>
      <c r="P864" s="357"/>
      <c r="Q864" s="357"/>
      <c r="R864" s="357"/>
      <c r="S864" s="357"/>
      <c r="T864" s="357"/>
      <c r="U864" s="357"/>
      <c r="V864" s="357"/>
      <c r="W864" s="357"/>
      <c r="X864" s="357"/>
      <c r="Y864" s="357"/>
      <c r="Z864" s="357"/>
    </row>
    <row r="865" ht="15.75" customHeight="1">
      <c r="A865" s="466" t="s">
        <v>8160</v>
      </c>
      <c r="B865" s="466">
        <v>2024.0</v>
      </c>
      <c r="C865" s="466">
        <v>10.0</v>
      </c>
      <c r="D865" s="466">
        <v>45566.0</v>
      </c>
      <c r="E865" s="466" t="s">
        <v>2594</v>
      </c>
      <c r="F865" s="466" t="s">
        <v>8448</v>
      </c>
      <c r="G865" s="466" t="s">
        <v>7075</v>
      </c>
      <c r="H865" s="466" t="s">
        <v>6939</v>
      </c>
      <c r="I865" s="466">
        <v>1.0</v>
      </c>
      <c r="J865" s="466"/>
      <c r="K865" s="466"/>
      <c r="L865" s="466">
        <v>120.0</v>
      </c>
      <c r="M865" s="466"/>
      <c r="N865" s="466"/>
      <c r="O865" s="466"/>
      <c r="P865" s="357"/>
      <c r="Q865" s="357"/>
      <c r="R865" s="357"/>
      <c r="S865" s="357"/>
      <c r="T865" s="357"/>
      <c r="U865" s="357"/>
      <c r="V865" s="357"/>
      <c r="W865" s="357"/>
      <c r="X865" s="357"/>
      <c r="Y865" s="357"/>
      <c r="Z865" s="357"/>
    </row>
    <row r="866" ht="15.75" customHeight="1">
      <c r="A866" s="466" t="s">
        <v>8160</v>
      </c>
      <c r="B866" s="466">
        <v>2024.0</v>
      </c>
      <c r="C866" s="466">
        <v>10.0</v>
      </c>
      <c r="D866" s="466">
        <v>45566.0</v>
      </c>
      <c r="E866" s="466" t="s">
        <v>7766</v>
      </c>
      <c r="F866" s="466"/>
      <c r="G866" s="466" t="s">
        <v>7075</v>
      </c>
      <c r="H866" s="466" t="s">
        <v>6633</v>
      </c>
      <c r="I866" s="466">
        <v>1.0</v>
      </c>
      <c r="J866" s="466"/>
      <c r="K866" s="466" t="s">
        <v>8274</v>
      </c>
      <c r="L866" s="466">
        <v>80.0</v>
      </c>
      <c r="M866" s="466"/>
      <c r="N866" s="466"/>
      <c r="O866" s="466"/>
      <c r="P866" s="357"/>
      <c r="Q866" s="357"/>
      <c r="R866" s="357"/>
      <c r="S866" s="357"/>
      <c r="T866" s="357"/>
      <c r="U866" s="357"/>
      <c r="V866" s="357"/>
      <c r="W866" s="357"/>
      <c r="X866" s="357"/>
      <c r="Y866" s="357"/>
      <c r="Z866" s="357"/>
    </row>
    <row r="867" ht="15.75" customHeight="1">
      <c r="A867" s="466" t="s">
        <v>8160</v>
      </c>
      <c r="B867" s="466">
        <v>2024.0</v>
      </c>
      <c r="C867" s="466">
        <v>10.0</v>
      </c>
      <c r="D867" s="466">
        <v>45568.0</v>
      </c>
      <c r="E867" s="466" t="s">
        <v>8252</v>
      </c>
      <c r="F867" s="466"/>
      <c r="G867" s="466" t="s">
        <v>7075</v>
      </c>
      <c r="H867" s="466" t="s">
        <v>8401</v>
      </c>
      <c r="I867" s="466">
        <v>1.0</v>
      </c>
      <c r="J867" s="466"/>
      <c r="K867" s="466" t="s">
        <v>2511</v>
      </c>
      <c r="L867" s="466">
        <v>120.0</v>
      </c>
      <c r="M867" s="466"/>
      <c r="N867" s="466"/>
      <c r="O867" s="466"/>
      <c r="P867" s="357"/>
      <c r="Q867" s="357"/>
      <c r="R867" s="357"/>
      <c r="S867" s="357"/>
      <c r="T867" s="357"/>
      <c r="U867" s="357"/>
      <c r="V867" s="357"/>
      <c r="W867" s="357"/>
      <c r="X867" s="357"/>
      <c r="Y867" s="357"/>
      <c r="Z867" s="357"/>
    </row>
    <row r="868" ht="15.75" customHeight="1">
      <c r="A868" s="466" t="s">
        <v>8160</v>
      </c>
      <c r="B868" s="466">
        <v>2024.0</v>
      </c>
      <c r="C868" s="466">
        <v>10.0</v>
      </c>
      <c r="D868" s="466">
        <v>45569.0</v>
      </c>
      <c r="E868" s="466" t="s">
        <v>7657</v>
      </c>
      <c r="F868" s="466" t="s">
        <v>8470</v>
      </c>
      <c r="G868" s="466" t="s">
        <v>7075</v>
      </c>
      <c r="H868" s="466" t="s">
        <v>8393</v>
      </c>
      <c r="I868" s="466">
        <v>1.0</v>
      </c>
      <c r="J868" s="466"/>
      <c r="K868" s="466"/>
      <c r="L868" s="466">
        <v>80.0</v>
      </c>
      <c r="M868" s="466"/>
      <c r="N868" s="466"/>
      <c r="O868" s="466"/>
      <c r="P868" s="357"/>
      <c r="Q868" s="357"/>
      <c r="R868" s="357"/>
      <c r="S868" s="357"/>
      <c r="T868" s="357"/>
      <c r="U868" s="357"/>
      <c r="V868" s="357"/>
      <c r="W868" s="357"/>
      <c r="X868" s="357"/>
      <c r="Y868" s="357"/>
      <c r="Z868" s="357"/>
    </row>
    <row r="869" ht="15.75" customHeight="1">
      <c r="A869" s="466" t="s">
        <v>8160</v>
      </c>
      <c r="B869" s="466">
        <v>2024.0</v>
      </c>
      <c r="C869" s="466">
        <v>10.0</v>
      </c>
      <c r="D869" s="466">
        <v>45569.0</v>
      </c>
      <c r="E869" s="466" t="s">
        <v>2547</v>
      </c>
      <c r="F869" s="466" t="s">
        <v>2548</v>
      </c>
      <c r="G869" s="466" t="s">
        <v>7075</v>
      </c>
      <c r="H869" s="466" t="s">
        <v>8393</v>
      </c>
      <c r="I869" s="466">
        <v>1.0</v>
      </c>
      <c r="J869" s="466"/>
      <c r="K869" s="466"/>
      <c r="L869" s="466">
        <v>120.0</v>
      </c>
      <c r="M869" s="466"/>
      <c r="N869" s="466"/>
      <c r="O869" s="466"/>
      <c r="P869" s="357"/>
      <c r="Q869" s="357"/>
      <c r="R869" s="357"/>
      <c r="S869" s="357"/>
      <c r="T869" s="357"/>
      <c r="U869" s="357"/>
      <c r="V869" s="357"/>
      <c r="W869" s="357"/>
      <c r="X869" s="357"/>
      <c r="Y869" s="357"/>
      <c r="Z869" s="357"/>
    </row>
    <row r="870" ht="15.75" customHeight="1">
      <c r="A870" s="466" t="s">
        <v>8160</v>
      </c>
      <c r="B870" s="466">
        <v>2024.0</v>
      </c>
      <c r="C870" s="466">
        <v>10.0</v>
      </c>
      <c r="D870" s="466"/>
      <c r="E870" s="466" t="s">
        <v>8471</v>
      </c>
      <c r="F870" s="466" t="s">
        <v>8472</v>
      </c>
      <c r="G870" s="466" t="s">
        <v>7100</v>
      </c>
      <c r="H870" s="466" t="s">
        <v>2853</v>
      </c>
      <c r="I870" s="466">
        <v>1.0</v>
      </c>
      <c r="J870" s="466"/>
      <c r="K870" s="466"/>
      <c r="L870" s="466">
        <v>60.0</v>
      </c>
      <c r="M870" s="466"/>
      <c r="N870" s="466"/>
      <c r="O870" s="466"/>
      <c r="P870" s="357"/>
      <c r="Q870" s="357"/>
      <c r="R870" s="357"/>
      <c r="S870" s="357"/>
      <c r="T870" s="357"/>
      <c r="U870" s="357"/>
      <c r="V870" s="357"/>
      <c r="W870" s="357"/>
      <c r="X870" s="357"/>
      <c r="Y870" s="357"/>
      <c r="Z870" s="357"/>
    </row>
    <row r="871" ht="15.75" customHeight="1">
      <c r="A871" s="466" t="s">
        <v>8160</v>
      </c>
      <c r="B871" s="466">
        <v>2024.0</v>
      </c>
      <c r="C871" s="466">
        <v>10.0</v>
      </c>
      <c r="D871" s="466"/>
      <c r="E871" s="466" t="s">
        <v>2578</v>
      </c>
      <c r="F871" s="466" t="s">
        <v>2579</v>
      </c>
      <c r="G871" s="466" t="s">
        <v>7100</v>
      </c>
      <c r="H871" s="466" t="s">
        <v>248</v>
      </c>
      <c r="I871" s="466">
        <v>1.0</v>
      </c>
      <c r="J871" s="466"/>
      <c r="K871" s="466" t="s">
        <v>8473</v>
      </c>
      <c r="L871" s="466">
        <v>170.0</v>
      </c>
      <c r="M871" s="466"/>
      <c r="N871" s="466"/>
      <c r="O871" s="466"/>
      <c r="P871" s="357"/>
      <c r="Q871" s="357"/>
      <c r="R871" s="357"/>
      <c r="S871" s="357"/>
      <c r="T871" s="357"/>
      <c r="U871" s="357"/>
      <c r="V871" s="357"/>
      <c r="W871" s="357"/>
      <c r="X871" s="357"/>
      <c r="Y871" s="357"/>
      <c r="Z871" s="357"/>
    </row>
    <row r="872" ht="15.75" customHeight="1">
      <c r="A872" s="466" t="s">
        <v>8160</v>
      </c>
      <c r="B872" s="466">
        <v>2024.0</v>
      </c>
      <c r="C872" s="466">
        <v>10.0</v>
      </c>
      <c r="D872" s="466"/>
      <c r="E872" s="466" t="s">
        <v>2561</v>
      </c>
      <c r="F872" s="466" t="s">
        <v>7797</v>
      </c>
      <c r="G872" s="466" t="s">
        <v>7075</v>
      </c>
      <c r="H872" s="466" t="s">
        <v>6638</v>
      </c>
      <c r="I872" s="466">
        <v>1.0</v>
      </c>
      <c r="J872" s="466"/>
      <c r="K872" s="466" t="s">
        <v>8474</v>
      </c>
      <c r="L872" s="466">
        <v>96.0</v>
      </c>
      <c r="M872" s="466"/>
      <c r="N872" s="466"/>
      <c r="O872" s="466"/>
      <c r="P872" s="357"/>
      <c r="Q872" s="357"/>
      <c r="R872" s="357"/>
      <c r="S872" s="357"/>
      <c r="T872" s="357"/>
      <c r="U872" s="357"/>
      <c r="V872" s="357"/>
      <c r="W872" s="357"/>
      <c r="X872" s="357"/>
      <c r="Y872" s="357"/>
      <c r="Z872" s="357"/>
    </row>
    <row r="873" ht="15.75" customHeight="1">
      <c r="A873" s="466" t="s">
        <v>8160</v>
      </c>
      <c r="B873" s="466">
        <v>2024.0</v>
      </c>
      <c r="C873" s="466">
        <v>10.0</v>
      </c>
      <c r="D873" s="466"/>
      <c r="E873" s="466" t="s">
        <v>7515</v>
      </c>
      <c r="F873" s="466" t="s">
        <v>7797</v>
      </c>
      <c r="G873" s="466" t="s">
        <v>7395</v>
      </c>
      <c r="H873" s="466"/>
      <c r="I873" s="466">
        <v>1.0</v>
      </c>
      <c r="J873" s="466"/>
      <c r="K873" s="466" t="s">
        <v>8475</v>
      </c>
      <c r="L873" s="466">
        <v>40.0</v>
      </c>
      <c r="M873" s="466"/>
      <c r="N873" s="466"/>
      <c r="O873" s="466"/>
      <c r="P873" s="357"/>
      <c r="Q873" s="357"/>
      <c r="R873" s="357"/>
      <c r="S873" s="357"/>
      <c r="T873" s="357"/>
      <c r="U873" s="357"/>
      <c r="V873" s="357"/>
      <c r="W873" s="357"/>
      <c r="X873" s="357"/>
      <c r="Y873" s="357"/>
      <c r="Z873" s="357"/>
    </row>
    <row r="874" ht="15.75" customHeight="1">
      <c r="A874" s="466" t="s">
        <v>8160</v>
      </c>
      <c r="B874" s="466">
        <v>2024.0</v>
      </c>
      <c r="C874" s="466">
        <v>10.0</v>
      </c>
      <c r="D874" s="466"/>
      <c r="E874" s="466" t="s">
        <v>7515</v>
      </c>
      <c r="F874" s="466" t="s">
        <v>7797</v>
      </c>
      <c r="G874" s="466" t="s">
        <v>7395</v>
      </c>
      <c r="H874" s="466"/>
      <c r="I874" s="466">
        <v>1.0</v>
      </c>
      <c r="J874" s="466"/>
      <c r="K874" s="466" t="s">
        <v>8475</v>
      </c>
      <c r="L874" s="466">
        <v>40.0</v>
      </c>
      <c r="M874" s="466"/>
      <c r="N874" s="466"/>
      <c r="O874" s="466"/>
      <c r="P874" s="357"/>
      <c r="Q874" s="357"/>
      <c r="R874" s="357"/>
      <c r="S874" s="357"/>
      <c r="T874" s="357"/>
      <c r="U874" s="357"/>
      <c r="V874" s="357"/>
      <c r="W874" s="357"/>
      <c r="X874" s="357"/>
      <c r="Y874" s="357"/>
      <c r="Z874" s="357"/>
    </row>
    <row r="875" ht="15.75" customHeight="1">
      <c r="A875" s="466" t="s">
        <v>8160</v>
      </c>
      <c r="B875" s="466">
        <v>2024.0</v>
      </c>
      <c r="C875" s="466">
        <v>10.0</v>
      </c>
      <c r="D875" s="466"/>
      <c r="E875" s="466" t="s">
        <v>2638</v>
      </c>
      <c r="F875" s="466" t="s">
        <v>8476</v>
      </c>
      <c r="G875" s="466" t="s">
        <v>7075</v>
      </c>
      <c r="H875" s="466" t="s">
        <v>8393</v>
      </c>
      <c r="I875" s="466">
        <v>1.0</v>
      </c>
      <c r="J875" s="466"/>
      <c r="K875" s="466" t="s">
        <v>2511</v>
      </c>
      <c r="L875" s="466">
        <v>90.0</v>
      </c>
      <c r="M875" s="466"/>
      <c r="N875" s="466"/>
      <c r="O875" s="466"/>
      <c r="P875" s="357"/>
      <c r="Q875" s="357"/>
      <c r="R875" s="357"/>
      <c r="S875" s="357"/>
      <c r="T875" s="357"/>
      <c r="U875" s="357"/>
      <c r="V875" s="357"/>
      <c r="W875" s="357"/>
      <c r="X875" s="357"/>
      <c r="Y875" s="357"/>
      <c r="Z875" s="357"/>
    </row>
    <row r="876" ht="15.75" customHeight="1">
      <c r="A876" s="466" t="s">
        <v>8160</v>
      </c>
      <c r="B876" s="466">
        <v>2024.0</v>
      </c>
      <c r="C876" s="466">
        <v>11.0</v>
      </c>
      <c r="D876" s="466">
        <v>45600.0</v>
      </c>
      <c r="E876" s="466" t="s">
        <v>8477</v>
      </c>
      <c r="F876" s="466"/>
      <c r="G876" s="466" t="s">
        <v>7100</v>
      </c>
      <c r="H876" s="466" t="s">
        <v>248</v>
      </c>
      <c r="I876" s="466">
        <v>1.0</v>
      </c>
      <c r="J876" s="466"/>
      <c r="K876" s="466" t="s">
        <v>8478</v>
      </c>
      <c r="L876" s="466">
        <v>119.0</v>
      </c>
      <c r="M876" s="466"/>
      <c r="N876" s="466"/>
      <c r="O876" s="466"/>
      <c r="P876" s="357"/>
      <c r="Q876" s="357"/>
      <c r="R876" s="357"/>
      <c r="S876" s="357"/>
      <c r="T876" s="357"/>
      <c r="U876" s="357"/>
      <c r="V876" s="357"/>
      <c r="W876" s="357"/>
      <c r="X876" s="357"/>
      <c r="Y876" s="357"/>
      <c r="Z876" s="357"/>
    </row>
    <row r="877" ht="15.75" customHeight="1">
      <c r="A877" s="466" t="s">
        <v>8160</v>
      </c>
      <c r="B877" s="466">
        <v>2024.0</v>
      </c>
      <c r="C877" s="466">
        <v>11.0</v>
      </c>
      <c r="D877" s="466">
        <v>45601.0</v>
      </c>
      <c r="E877" s="466" t="s">
        <v>8479</v>
      </c>
      <c r="F877" s="466" t="s">
        <v>7412</v>
      </c>
      <c r="G877" s="466" t="s">
        <v>7075</v>
      </c>
      <c r="H877" s="466" t="s">
        <v>8480</v>
      </c>
      <c r="I877" s="466">
        <v>1.0</v>
      </c>
      <c r="J877" s="466"/>
      <c r="K877" s="466" t="s">
        <v>7393</v>
      </c>
      <c r="L877" s="466">
        <v>100.0</v>
      </c>
      <c r="M877" s="466"/>
      <c r="N877" s="466"/>
      <c r="O877" s="466"/>
      <c r="P877" s="357"/>
      <c r="Q877" s="357"/>
      <c r="R877" s="357"/>
      <c r="S877" s="357"/>
      <c r="T877" s="357"/>
      <c r="U877" s="357"/>
      <c r="V877" s="357"/>
      <c r="W877" s="357"/>
      <c r="X877" s="357"/>
      <c r="Y877" s="357"/>
      <c r="Z877" s="357"/>
    </row>
    <row r="878" ht="15.75" customHeight="1">
      <c r="A878" s="466" t="s">
        <v>8160</v>
      </c>
      <c r="B878" s="466">
        <v>2024.0</v>
      </c>
      <c r="C878" s="466">
        <v>11.0</v>
      </c>
      <c r="D878" s="466">
        <v>45601.0</v>
      </c>
      <c r="E878" s="466" t="s">
        <v>7396</v>
      </c>
      <c r="F878" s="466" t="s">
        <v>8132</v>
      </c>
      <c r="G878" s="466" t="s">
        <v>7075</v>
      </c>
      <c r="H878" s="466" t="s">
        <v>8481</v>
      </c>
      <c r="I878" s="466">
        <v>1.0</v>
      </c>
      <c r="J878" s="466"/>
      <c r="K878" s="466" t="s">
        <v>7393</v>
      </c>
      <c r="L878" s="466">
        <v>96.0</v>
      </c>
      <c r="M878" s="466"/>
      <c r="N878" s="466"/>
      <c r="O878" s="466"/>
      <c r="P878" s="357"/>
      <c r="Q878" s="357"/>
      <c r="R878" s="357"/>
      <c r="S878" s="357"/>
      <c r="T878" s="357"/>
      <c r="U878" s="357"/>
      <c r="V878" s="357"/>
      <c r="W878" s="357"/>
      <c r="X878" s="357"/>
      <c r="Y878" s="357"/>
      <c r="Z878" s="357"/>
    </row>
    <row r="879" ht="15.75" customHeight="1">
      <c r="A879" s="466" t="s">
        <v>8160</v>
      </c>
      <c r="B879" s="466">
        <v>2024.0</v>
      </c>
      <c r="C879" s="466">
        <v>11.0</v>
      </c>
      <c r="D879" s="466">
        <v>45601.0</v>
      </c>
      <c r="E879" s="466" t="s">
        <v>2780</v>
      </c>
      <c r="F879" s="466" t="s">
        <v>8482</v>
      </c>
      <c r="G879" s="466" t="s">
        <v>7075</v>
      </c>
      <c r="H879" s="466" t="s">
        <v>6938</v>
      </c>
      <c r="I879" s="466">
        <v>1.0</v>
      </c>
      <c r="J879" s="466"/>
      <c r="K879" s="466" t="s">
        <v>7393</v>
      </c>
      <c r="L879" s="466">
        <v>110.0</v>
      </c>
      <c r="M879" s="466"/>
      <c r="N879" s="466"/>
      <c r="O879" s="466"/>
      <c r="P879" s="357"/>
      <c r="Q879" s="357"/>
      <c r="R879" s="357"/>
      <c r="S879" s="357"/>
      <c r="T879" s="357"/>
      <c r="U879" s="357"/>
      <c r="V879" s="357"/>
      <c r="W879" s="357"/>
      <c r="X879" s="357"/>
      <c r="Y879" s="357"/>
      <c r="Z879" s="357"/>
    </row>
    <row r="880" ht="15.75" customHeight="1">
      <c r="A880" s="466" t="s">
        <v>8160</v>
      </c>
      <c r="B880" s="466">
        <v>2024.0</v>
      </c>
      <c r="C880" s="466">
        <v>11.0</v>
      </c>
      <c r="D880" s="466">
        <v>45601.0</v>
      </c>
      <c r="E880" s="466" t="s">
        <v>7869</v>
      </c>
      <c r="F880" s="466" t="s">
        <v>8483</v>
      </c>
      <c r="G880" s="466" t="s">
        <v>7075</v>
      </c>
      <c r="H880" s="466" t="s">
        <v>6939</v>
      </c>
      <c r="I880" s="466">
        <v>1.0</v>
      </c>
      <c r="J880" s="466"/>
      <c r="K880" s="466" t="s">
        <v>7393</v>
      </c>
      <c r="L880" s="466">
        <v>120.0</v>
      </c>
      <c r="M880" s="466"/>
      <c r="N880" s="466"/>
      <c r="O880" s="466"/>
      <c r="P880" s="357"/>
      <c r="Q880" s="357"/>
      <c r="R880" s="357"/>
      <c r="S880" s="357"/>
      <c r="T880" s="357"/>
      <c r="U880" s="357"/>
      <c r="V880" s="357"/>
      <c r="W880" s="357"/>
      <c r="X880" s="357"/>
      <c r="Y880" s="357"/>
      <c r="Z880" s="357"/>
    </row>
    <row r="881" ht="15.75" customHeight="1">
      <c r="A881" s="466" t="s">
        <v>8160</v>
      </c>
      <c r="B881" s="466">
        <v>2024.0</v>
      </c>
      <c r="C881" s="466">
        <v>11.0</v>
      </c>
      <c r="D881" s="466">
        <v>45601.0</v>
      </c>
      <c r="E881" s="466" t="s">
        <v>8484</v>
      </c>
      <c r="F881" s="466"/>
      <c r="G881" s="466" t="s">
        <v>7075</v>
      </c>
      <c r="H881" s="466" t="s">
        <v>8485</v>
      </c>
      <c r="I881" s="466">
        <v>1.0</v>
      </c>
      <c r="J881" s="466"/>
      <c r="K881" s="466" t="s">
        <v>8380</v>
      </c>
      <c r="L881" s="466">
        <v>50.0</v>
      </c>
      <c r="M881" s="466"/>
      <c r="N881" s="466"/>
      <c r="O881" s="466"/>
      <c r="P881" s="357"/>
      <c r="Q881" s="357"/>
      <c r="R881" s="357"/>
      <c r="S881" s="357"/>
      <c r="T881" s="357"/>
      <c r="U881" s="357"/>
      <c r="V881" s="357"/>
      <c r="W881" s="357"/>
      <c r="X881" s="357"/>
      <c r="Y881" s="357"/>
      <c r="Z881" s="357"/>
    </row>
    <row r="882" ht="15.75" customHeight="1">
      <c r="A882" s="466" t="s">
        <v>8160</v>
      </c>
      <c r="B882" s="466">
        <v>2024.0</v>
      </c>
      <c r="C882" s="466">
        <v>11.0</v>
      </c>
      <c r="D882" s="466">
        <v>45601.0</v>
      </c>
      <c r="E882" s="466" t="s">
        <v>8486</v>
      </c>
      <c r="F882" s="466" t="s">
        <v>8487</v>
      </c>
      <c r="G882" s="466" t="s">
        <v>7611</v>
      </c>
      <c r="H882" s="466" t="s">
        <v>8488</v>
      </c>
      <c r="I882" s="466">
        <v>1.0</v>
      </c>
      <c r="J882" s="466"/>
      <c r="K882" s="466" t="s">
        <v>8489</v>
      </c>
      <c r="L882" s="466">
        <v>95.0</v>
      </c>
      <c r="M882" s="466"/>
      <c r="N882" s="466"/>
      <c r="O882" s="466"/>
      <c r="P882" s="357"/>
      <c r="Q882" s="357"/>
      <c r="R882" s="357"/>
      <c r="S882" s="357"/>
      <c r="T882" s="357"/>
      <c r="U882" s="357"/>
      <c r="V882" s="357"/>
      <c r="W882" s="357"/>
      <c r="X882" s="357"/>
      <c r="Y882" s="357"/>
      <c r="Z882" s="357"/>
    </row>
    <row r="883" ht="15.75" customHeight="1">
      <c r="A883" s="466" t="s">
        <v>8160</v>
      </c>
      <c r="B883" s="466">
        <v>2024.0</v>
      </c>
      <c r="C883" s="466">
        <v>11.0</v>
      </c>
      <c r="D883" s="466">
        <v>45601.0</v>
      </c>
      <c r="E883" s="466" t="s">
        <v>8490</v>
      </c>
      <c r="F883" s="466" t="s">
        <v>8491</v>
      </c>
      <c r="G883" s="466" t="s">
        <v>7075</v>
      </c>
      <c r="H883" s="466" t="s">
        <v>8492</v>
      </c>
      <c r="I883" s="466">
        <v>3.0</v>
      </c>
      <c r="J883" s="466"/>
      <c r="K883" s="466" t="s">
        <v>2807</v>
      </c>
      <c r="L883" s="466">
        <v>360.0</v>
      </c>
      <c r="M883" s="466"/>
      <c r="N883" s="466"/>
      <c r="O883" s="466"/>
      <c r="P883" s="357"/>
      <c r="Q883" s="357"/>
      <c r="R883" s="357"/>
      <c r="S883" s="357"/>
      <c r="T883" s="357"/>
      <c r="U883" s="357"/>
      <c r="V883" s="357"/>
      <c r="W883" s="357"/>
      <c r="X883" s="357"/>
      <c r="Y883" s="357"/>
      <c r="Z883" s="357"/>
    </row>
    <row r="884" ht="15.75" customHeight="1">
      <c r="A884" s="466" t="s">
        <v>8160</v>
      </c>
      <c r="B884" s="466">
        <v>2024.0</v>
      </c>
      <c r="C884" s="466">
        <v>11.0</v>
      </c>
      <c r="D884" s="466">
        <v>45601.0</v>
      </c>
      <c r="E884" s="466" t="s">
        <v>8490</v>
      </c>
      <c r="F884" s="466" t="s">
        <v>8491</v>
      </c>
      <c r="G884" s="466" t="s">
        <v>7075</v>
      </c>
      <c r="H884" s="466" t="s">
        <v>8493</v>
      </c>
      <c r="I884" s="466">
        <v>1.0</v>
      </c>
      <c r="J884" s="466"/>
      <c r="K884" s="466" t="s">
        <v>2807</v>
      </c>
      <c r="L884" s="466">
        <v>100.0</v>
      </c>
      <c r="M884" s="466"/>
      <c r="N884" s="466"/>
      <c r="O884" s="466"/>
      <c r="P884" s="357"/>
      <c r="Q884" s="357"/>
      <c r="R884" s="357"/>
      <c r="S884" s="357"/>
      <c r="T884" s="357"/>
      <c r="U884" s="357"/>
      <c r="V884" s="357"/>
      <c r="W884" s="357"/>
      <c r="X884" s="357"/>
      <c r="Y884" s="357"/>
      <c r="Z884" s="357"/>
    </row>
    <row r="885" ht="15.75" customHeight="1">
      <c r="A885" s="466" t="s">
        <v>8160</v>
      </c>
      <c r="B885" s="466">
        <v>2024.0</v>
      </c>
      <c r="C885" s="466">
        <v>11.0</v>
      </c>
      <c r="D885" s="466"/>
      <c r="E885" s="466" t="s">
        <v>2578</v>
      </c>
      <c r="F885" s="466" t="s">
        <v>2579</v>
      </c>
      <c r="G885" s="466" t="s">
        <v>7100</v>
      </c>
      <c r="H885" s="466" t="s">
        <v>248</v>
      </c>
      <c r="I885" s="466">
        <v>1.0</v>
      </c>
      <c r="J885" s="466"/>
      <c r="K885" s="466" t="s">
        <v>2511</v>
      </c>
      <c r="L885" s="466">
        <v>130.0</v>
      </c>
      <c r="M885" s="466"/>
      <c r="N885" s="466"/>
      <c r="O885" s="466"/>
      <c r="P885" s="357"/>
      <c r="Q885" s="357"/>
      <c r="R885" s="357"/>
      <c r="S885" s="357"/>
      <c r="T885" s="357"/>
      <c r="U885" s="357"/>
      <c r="V885" s="357"/>
      <c r="W885" s="357"/>
      <c r="X885" s="357"/>
      <c r="Y885" s="357"/>
      <c r="Z885" s="357"/>
    </row>
    <row r="886" ht="15.75" customHeight="1">
      <c r="A886" s="466" t="s">
        <v>8160</v>
      </c>
      <c r="B886" s="466">
        <v>2024.0</v>
      </c>
      <c r="C886" s="466">
        <v>11.0</v>
      </c>
      <c r="D886" s="466">
        <v>45607.0</v>
      </c>
      <c r="E886" s="466" t="s">
        <v>2776</v>
      </c>
      <c r="F886" s="466"/>
      <c r="G886" s="466" t="s">
        <v>7075</v>
      </c>
      <c r="H886" s="466" t="s">
        <v>8401</v>
      </c>
      <c r="I886" s="466">
        <v>1.0</v>
      </c>
      <c r="J886" s="466"/>
      <c r="K886" s="466" t="s">
        <v>2511</v>
      </c>
      <c r="L886" s="466">
        <v>100.0</v>
      </c>
      <c r="M886" s="466"/>
      <c r="N886" s="466"/>
      <c r="O886" s="466"/>
      <c r="P886" s="357"/>
      <c r="Q886" s="357"/>
      <c r="R886" s="357"/>
      <c r="S886" s="357"/>
      <c r="T886" s="357"/>
      <c r="U886" s="357"/>
      <c r="V886" s="357"/>
      <c r="W886" s="357"/>
      <c r="X886" s="357"/>
      <c r="Y886" s="357"/>
      <c r="Z886" s="357"/>
    </row>
    <row r="887" ht="15.75" customHeight="1">
      <c r="A887" s="466" t="s">
        <v>8494</v>
      </c>
      <c r="B887" s="466">
        <v>2024.0</v>
      </c>
      <c r="C887" s="466">
        <v>11.0</v>
      </c>
      <c r="D887" s="466">
        <v>45607.0</v>
      </c>
      <c r="E887" s="466" t="s">
        <v>7760</v>
      </c>
      <c r="F887" s="466" t="s">
        <v>8495</v>
      </c>
      <c r="G887" s="466" t="s">
        <v>7073</v>
      </c>
      <c r="H887" s="466" t="s">
        <v>8182</v>
      </c>
      <c r="I887" s="466">
        <v>1.0</v>
      </c>
      <c r="J887" s="466"/>
      <c r="K887" s="466" t="s">
        <v>7393</v>
      </c>
      <c r="L887" s="466">
        <v>115.0</v>
      </c>
      <c r="M887" s="466"/>
      <c r="N887" s="466"/>
      <c r="O887" s="466"/>
      <c r="P887" s="357"/>
      <c r="Q887" s="357"/>
      <c r="R887" s="357"/>
      <c r="S887" s="357"/>
      <c r="T887" s="357"/>
      <c r="U887" s="357"/>
      <c r="V887" s="357"/>
      <c r="W887" s="357"/>
      <c r="X887" s="357"/>
      <c r="Y887" s="357"/>
      <c r="Z887" s="357"/>
    </row>
    <row r="888" ht="15.75" customHeight="1">
      <c r="A888" s="466" t="s">
        <v>8494</v>
      </c>
      <c r="B888" s="466">
        <v>2024.0</v>
      </c>
      <c r="C888" s="466">
        <v>11.0</v>
      </c>
      <c r="D888" s="466">
        <v>45608.0</v>
      </c>
      <c r="E888" s="466" t="s">
        <v>7396</v>
      </c>
      <c r="F888" s="466" t="s">
        <v>8496</v>
      </c>
      <c r="G888" s="466" t="s">
        <v>7611</v>
      </c>
      <c r="H888" s="466" t="s">
        <v>8280</v>
      </c>
      <c r="I888" s="466">
        <v>1.0</v>
      </c>
      <c r="J888" s="466"/>
      <c r="K888" s="466" t="s">
        <v>7393</v>
      </c>
      <c r="L888" s="466">
        <v>95.0</v>
      </c>
      <c r="M888" s="466"/>
      <c r="N888" s="466"/>
      <c r="O888" s="466"/>
      <c r="P888" s="357"/>
      <c r="Q888" s="357"/>
      <c r="R888" s="357"/>
      <c r="S888" s="357"/>
      <c r="T888" s="357"/>
      <c r="U888" s="357"/>
      <c r="V888" s="357"/>
      <c r="W888" s="357"/>
      <c r="X888" s="357"/>
      <c r="Y888" s="357"/>
      <c r="Z888" s="357"/>
    </row>
    <row r="889" ht="15.75" customHeight="1">
      <c r="A889" s="466" t="s">
        <v>8494</v>
      </c>
      <c r="B889" s="466">
        <v>2024.0</v>
      </c>
      <c r="C889" s="466">
        <v>11.0</v>
      </c>
      <c r="D889" s="466">
        <v>45608.0</v>
      </c>
      <c r="E889" s="466" t="s">
        <v>2597</v>
      </c>
      <c r="F889" s="466" t="s">
        <v>8497</v>
      </c>
      <c r="G889" s="466" t="s">
        <v>7075</v>
      </c>
      <c r="H889" s="466" t="s">
        <v>8498</v>
      </c>
      <c r="I889" s="466">
        <v>1.0</v>
      </c>
      <c r="J889" s="466"/>
      <c r="K889" s="466" t="s">
        <v>7393</v>
      </c>
      <c r="L889" s="466">
        <v>120.0</v>
      </c>
      <c r="M889" s="466"/>
      <c r="N889" s="466"/>
      <c r="O889" s="466"/>
      <c r="P889" s="357"/>
      <c r="Q889" s="357"/>
      <c r="R889" s="357"/>
      <c r="S889" s="357"/>
      <c r="T889" s="357"/>
      <c r="U889" s="357"/>
      <c r="V889" s="357"/>
      <c r="W889" s="357"/>
      <c r="X889" s="357"/>
      <c r="Y889" s="357"/>
      <c r="Z889" s="357"/>
    </row>
    <row r="890" ht="15.75" customHeight="1">
      <c r="A890" s="466" t="s">
        <v>8494</v>
      </c>
      <c r="B890" s="466">
        <v>2024.0</v>
      </c>
      <c r="C890" s="466">
        <v>11.0</v>
      </c>
      <c r="D890" s="466">
        <v>45608.0</v>
      </c>
      <c r="E890" s="466" t="s">
        <v>8499</v>
      </c>
      <c r="F890" s="466" t="s">
        <v>8500</v>
      </c>
      <c r="G890" s="466" t="s">
        <v>8501</v>
      </c>
      <c r="H890" s="466" t="s">
        <v>7685</v>
      </c>
      <c r="I890" s="466">
        <v>1.0</v>
      </c>
      <c r="J890" s="466"/>
      <c r="K890" s="466" t="s">
        <v>7393</v>
      </c>
      <c r="L890" s="466">
        <v>25.0</v>
      </c>
      <c r="M890" s="466"/>
      <c r="N890" s="466"/>
      <c r="O890" s="466"/>
      <c r="P890" s="357"/>
      <c r="Q890" s="357"/>
      <c r="R890" s="357"/>
      <c r="S890" s="357"/>
      <c r="T890" s="357"/>
      <c r="U890" s="357"/>
      <c r="V890" s="357"/>
      <c r="W890" s="357"/>
      <c r="X890" s="357"/>
      <c r="Y890" s="357"/>
      <c r="Z890" s="357"/>
    </row>
    <row r="891" ht="15.75" customHeight="1">
      <c r="A891" s="466" t="s">
        <v>8494</v>
      </c>
      <c r="B891" s="466">
        <v>2024.0</v>
      </c>
      <c r="C891" s="466">
        <v>11.0</v>
      </c>
      <c r="D891" s="466">
        <v>45609.0</v>
      </c>
      <c r="E891" s="466" t="s">
        <v>7406</v>
      </c>
      <c r="F891" s="466" t="s">
        <v>8451</v>
      </c>
      <c r="G891" s="466" t="s">
        <v>7075</v>
      </c>
      <c r="H891" s="466"/>
      <c r="I891" s="466">
        <v>1.0</v>
      </c>
      <c r="J891" s="466"/>
      <c r="K891" s="466" t="s">
        <v>7393</v>
      </c>
      <c r="L891" s="466">
        <v>120.0</v>
      </c>
      <c r="M891" s="466"/>
      <c r="N891" s="466"/>
      <c r="O891" s="466"/>
      <c r="P891" s="357"/>
      <c r="Q891" s="357"/>
      <c r="R891" s="357"/>
      <c r="S891" s="357"/>
      <c r="T891" s="357"/>
      <c r="U891" s="357"/>
      <c r="V891" s="357"/>
      <c r="W891" s="357"/>
      <c r="X891" s="357"/>
      <c r="Y891" s="357"/>
      <c r="Z891" s="357"/>
    </row>
    <row r="892" ht="15.75" customHeight="1">
      <c r="A892" s="466" t="s">
        <v>8494</v>
      </c>
      <c r="B892" s="466">
        <v>2024.0</v>
      </c>
      <c r="C892" s="466">
        <v>11.0</v>
      </c>
      <c r="D892" s="466">
        <v>45609.0</v>
      </c>
      <c r="E892" s="466" t="s">
        <v>8502</v>
      </c>
      <c r="F892" s="466" t="s">
        <v>7917</v>
      </c>
      <c r="G892" s="466" t="s">
        <v>6613</v>
      </c>
      <c r="H892" s="466" t="s">
        <v>8503</v>
      </c>
      <c r="I892" s="466">
        <v>1.0</v>
      </c>
      <c r="J892" s="466"/>
      <c r="K892" s="466" t="s">
        <v>7393</v>
      </c>
      <c r="L892" s="466">
        <v>75.0</v>
      </c>
      <c r="M892" s="466"/>
      <c r="N892" s="466"/>
      <c r="O892" s="466"/>
      <c r="P892" s="357"/>
      <c r="Q892" s="357"/>
      <c r="R892" s="357"/>
      <c r="S892" s="357"/>
      <c r="T892" s="357"/>
      <c r="U892" s="357"/>
      <c r="V892" s="357"/>
      <c r="W892" s="357"/>
      <c r="X892" s="357"/>
      <c r="Y892" s="357"/>
      <c r="Z892" s="357"/>
    </row>
    <row r="893" ht="15.75" customHeight="1">
      <c r="A893" s="466" t="s">
        <v>8494</v>
      </c>
      <c r="B893" s="466">
        <v>2024.0</v>
      </c>
      <c r="C893" s="466">
        <v>11.0</v>
      </c>
      <c r="D893" s="466">
        <v>45609.0</v>
      </c>
      <c r="E893" s="466" t="s">
        <v>8502</v>
      </c>
      <c r="F893" s="466" t="s">
        <v>7917</v>
      </c>
      <c r="G893" s="466" t="s">
        <v>8501</v>
      </c>
      <c r="H893" s="466" t="s">
        <v>7685</v>
      </c>
      <c r="I893" s="466">
        <v>1.0</v>
      </c>
      <c r="J893" s="466"/>
      <c r="K893" s="466" t="s">
        <v>7393</v>
      </c>
      <c r="L893" s="466">
        <v>25.0</v>
      </c>
      <c r="M893" s="466"/>
      <c r="N893" s="466"/>
      <c r="O893" s="466"/>
      <c r="P893" s="357"/>
      <c r="Q893" s="357"/>
      <c r="R893" s="357"/>
      <c r="S893" s="357"/>
      <c r="T893" s="357"/>
      <c r="U893" s="357"/>
      <c r="V893" s="357"/>
      <c r="W893" s="357"/>
      <c r="X893" s="357"/>
      <c r="Y893" s="357"/>
      <c r="Z893" s="357"/>
    </row>
    <row r="894" ht="15.75" customHeight="1">
      <c r="A894" s="466" t="s">
        <v>8494</v>
      </c>
      <c r="B894" s="466">
        <v>2024.0</v>
      </c>
      <c r="C894" s="466">
        <v>11.0</v>
      </c>
      <c r="D894" s="466">
        <v>45609.0</v>
      </c>
      <c r="E894" s="466" t="s">
        <v>2597</v>
      </c>
      <c r="F894" s="466" t="s">
        <v>8504</v>
      </c>
      <c r="G894" s="466" t="s">
        <v>8501</v>
      </c>
      <c r="H894" s="466" t="s">
        <v>6867</v>
      </c>
      <c r="I894" s="466">
        <v>1.0</v>
      </c>
      <c r="J894" s="466"/>
      <c r="K894" s="466" t="s">
        <v>7393</v>
      </c>
      <c r="L894" s="466">
        <v>26.0</v>
      </c>
      <c r="M894" s="466"/>
      <c r="N894" s="466"/>
      <c r="O894" s="466"/>
      <c r="P894" s="357"/>
      <c r="Q894" s="357"/>
      <c r="R894" s="357"/>
      <c r="S894" s="357"/>
      <c r="T894" s="357"/>
      <c r="U894" s="357"/>
      <c r="V894" s="357"/>
      <c r="W894" s="357"/>
      <c r="X894" s="357"/>
      <c r="Y894" s="357"/>
      <c r="Z894" s="357"/>
    </row>
    <row r="895" ht="15.75" customHeight="1">
      <c r="A895" s="466" t="s">
        <v>8494</v>
      </c>
      <c r="B895" s="466">
        <v>2024.0</v>
      </c>
      <c r="C895" s="466">
        <v>11.0</v>
      </c>
      <c r="D895" s="466">
        <v>45609.0</v>
      </c>
      <c r="E895" s="466" t="s">
        <v>7434</v>
      </c>
      <c r="F895" s="466" t="s">
        <v>8505</v>
      </c>
      <c r="G895" s="466" t="s">
        <v>8501</v>
      </c>
      <c r="H895" s="466" t="s">
        <v>7685</v>
      </c>
      <c r="I895" s="466">
        <v>1.0</v>
      </c>
      <c r="J895" s="466"/>
      <c r="K895" s="466" t="s">
        <v>7393</v>
      </c>
      <c r="L895" s="466">
        <v>25.0</v>
      </c>
      <c r="M895" s="466"/>
      <c r="N895" s="466"/>
      <c r="O895" s="466"/>
      <c r="P895" s="357"/>
      <c r="Q895" s="357"/>
      <c r="R895" s="357"/>
      <c r="S895" s="357"/>
      <c r="T895" s="357"/>
      <c r="U895" s="357"/>
      <c r="V895" s="357"/>
      <c r="W895" s="357"/>
      <c r="X895" s="357"/>
      <c r="Y895" s="357"/>
      <c r="Z895" s="357"/>
    </row>
    <row r="896" ht="15.75" customHeight="1">
      <c r="A896" s="466" t="s">
        <v>8494</v>
      </c>
      <c r="B896" s="466">
        <v>2024.0</v>
      </c>
      <c r="C896" s="466">
        <v>11.0</v>
      </c>
      <c r="D896" s="466">
        <v>45609.0</v>
      </c>
      <c r="E896" s="466" t="s">
        <v>7396</v>
      </c>
      <c r="F896" s="466" t="s">
        <v>8132</v>
      </c>
      <c r="G896" s="466" t="s">
        <v>8501</v>
      </c>
      <c r="H896" s="466" t="s">
        <v>8087</v>
      </c>
      <c r="I896" s="466">
        <v>1.0</v>
      </c>
      <c r="J896" s="466"/>
      <c r="K896" s="466" t="s">
        <v>7393</v>
      </c>
      <c r="L896" s="466">
        <v>90.0</v>
      </c>
      <c r="M896" s="466"/>
      <c r="N896" s="466"/>
      <c r="O896" s="466"/>
      <c r="P896" s="357"/>
      <c r="Q896" s="357"/>
      <c r="R896" s="357"/>
      <c r="S896" s="357"/>
      <c r="T896" s="357"/>
      <c r="U896" s="357"/>
      <c r="V896" s="357"/>
      <c r="W896" s="357"/>
      <c r="X896" s="357"/>
      <c r="Y896" s="357"/>
      <c r="Z896" s="357"/>
    </row>
    <row r="897" ht="15.75" customHeight="1">
      <c r="A897" s="466" t="s">
        <v>8494</v>
      </c>
      <c r="B897" s="466">
        <v>2024.0</v>
      </c>
      <c r="C897" s="466">
        <v>11.0</v>
      </c>
      <c r="D897" s="466">
        <v>45609.0</v>
      </c>
      <c r="E897" s="466" t="s">
        <v>8506</v>
      </c>
      <c r="F897" s="466" t="s">
        <v>8507</v>
      </c>
      <c r="G897" s="466" t="s">
        <v>8501</v>
      </c>
      <c r="H897" s="466" t="s">
        <v>8087</v>
      </c>
      <c r="I897" s="466">
        <v>1.0</v>
      </c>
      <c r="J897" s="466"/>
      <c r="K897" s="466" t="s">
        <v>7393</v>
      </c>
      <c r="L897" s="466">
        <v>27.0</v>
      </c>
      <c r="M897" s="466"/>
      <c r="N897" s="466"/>
      <c r="O897" s="466"/>
      <c r="P897" s="357"/>
      <c r="Q897" s="357"/>
      <c r="R897" s="357"/>
      <c r="S897" s="357"/>
      <c r="T897" s="357"/>
      <c r="U897" s="357"/>
      <c r="V897" s="357"/>
      <c r="W897" s="357"/>
      <c r="X897" s="357"/>
      <c r="Y897" s="357"/>
      <c r="Z897" s="357"/>
    </row>
    <row r="898" ht="15.75" customHeight="1">
      <c r="A898" s="466" t="s">
        <v>8494</v>
      </c>
      <c r="B898" s="466">
        <v>2024.0</v>
      </c>
      <c r="C898" s="466">
        <v>11.0</v>
      </c>
      <c r="D898" s="466">
        <v>45609.0</v>
      </c>
      <c r="E898" s="466" t="s">
        <v>2566</v>
      </c>
      <c r="F898" s="466" t="s">
        <v>8508</v>
      </c>
      <c r="G898" s="466" t="s">
        <v>8509</v>
      </c>
      <c r="H898" s="466" t="s">
        <v>6939</v>
      </c>
      <c r="I898" s="466">
        <v>1.0</v>
      </c>
      <c r="J898" s="466"/>
      <c r="K898" s="466" t="s">
        <v>7393</v>
      </c>
      <c r="L898" s="466">
        <v>28.0</v>
      </c>
      <c r="M898" s="466"/>
      <c r="N898" s="466"/>
      <c r="O898" s="466"/>
      <c r="P898" s="357"/>
      <c r="Q898" s="357"/>
      <c r="R898" s="357"/>
      <c r="S898" s="357"/>
      <c r="T898" s="357"/>
      <c r="U898" s="357"/>
      <c r="V898" s="357"/>
      <c r="W898" s="357"/>
      <c r="X898" s="357"/>
      <c r="Y898" s="357"/>
      <c r="Z898" s="357"/>
    </row>
    <row r="899" ht="15.75" customHeight="1">
      <c r="A899" s="466" t="s">
        <v>8494</v>
      </c>
      <c r="B899" s="466">
        <v>2024.0</v>
      </c>
      <c r="C899" s="466">
        <v>11.0</v>
      </c>
      <c r="D899" s="466">
        <v>45609.0</v>
      </c>
      <c r="E899" s="466" t="s">
        <v>8242</v>
      </c>
      <c r="F899" s="466" t="s">
        <v>8243</v>
      </c>
      <c r="G899" s="466" t="s">
        <v>8510</v>
      </c>
      <c r="H899" s="466"/>
      <c r="I899" s="466">
        <v>1.0</v>
      </c>
      <c r="J899" s="466"/>
      <c r="K899" s="466" t="s">
        <v>2511</v>
      </c>
      <c r="L899" s="466">
        <v>20.0</v>
      </c>
      <c r="M899" s="466"/>
      <c r="N899" s="466"/>
      <c r="O899" s="466"/>
      <c r="P899" s="357"/>
      <c r="Q899" s="357"/>
      <c r="R899" s="357"/>
      <c r="S899" s="357"/>
      <c r="T899" s="357"/>
      <c r="U899" s="357"/>
      <c r="V899" s="357"/>
      <c r="W899" s="357"/>
      <c r="X899" s="357"/>
      <c r="Y899" s="357"/>
      <c r="Z899" s="357"/>
    </row>
    <row r="900" ht="15.75" customHeight="1">
      <c r="A900" s="466" t="s">
        <v>8494</v>
      </c>
      <c r="B900" s="466">
        <v>2024.0</v>
      </c>
      <c r="C900" s="466">
        <v>11.0</v>
      </c>
      <c r="D900" s="466">
        <v>45609.0</v>
      </c>
      <c r="E900" s="466" t="s">
        <v>8511</v>
      </c>
      <c r="F900" s="466" t="s">
        <v>8512</v>
      </c>
      <c r="G900" s="466" t="s">
        <v>8510</v>
      </c>
      <c r="H900" s="466"/>
      <c r="I900" s="466">
        <v>1.0</v>
      </c>
      <c r="J900" s="466"/>
      <c r="K900" s="466" t="s">
        <v>8513</v>
      </c>
      <c r="L900" s="466">
        <v>20.0</v>
      </c>
      <c r="M900" s="466"/>
      <c r="N900" s="466"/>
      <c r="O900" s="466"/>
      <c r="P900" s="357"/>
      <c r="Q900" s="357"/>
      <c r="R900" s="357"/>
      <c r="S900" s="357"/>
      <c r="T900" s="357"/>
      <c r="U900" s="357"/>
      <c r="V900" s="357"/>
      <c r="W900" s="357"/>
      <c r="X900" s="357"/>
      <c r="Y900" s="357"/>
      <c r="Z900" s="357"/>
    </row>
    <row r="901" ht="15.75" customHeight="1">
      <c r="A901" s="466" t="s">
        <v>8494</v>
      </c>
      <c r="B901" s="466">
        <v>2024.0</v>
      </c>
      <c r="C901" s="466">
        <v>11.0</v>
      </c>
      <c r="D901" s="466">
        <v>45609.0</v>
      </c>
      <c r="E901" s="466" t="s">
        <v>7554</v>
      </c>
      <c r="F901" s="466" t="s">
        <v>7403</v>
      </c>
      <c r="G901" s="466" t="s">
        <v>8509</v>
      </c>
      <c r="H901" s="466" t="s">
        <v>6939</v>
      </c>
      <c r="I901" s="466">
        <v>1.0</v>
      </c>
      <c r="J901" s="466"/>
      <c r="K901" s="466" t="s">
        <v>7393</v>
      </c>
      <c r="L901" s="466">
        <v>28.0</v>
      </c>
      <c r="M901" s="466"/>
      <c r="N901" s="466"/>
      <c r="O901" s="466"/>
      <c r="P901" s="357"/>
      <c r="Q901" s="357"/>
      <c r="R901" s="357"/>
      <c r="S901" s="357"/>
      <c r="T901" s="357"/>
      <c r="U901" s="357"/>
      <c r="V901" s="357"/>
      <c r="W901" s="357"/>
      <c r="X901" s="357"/>
      <c r="Y901" s="357"/>
      <c r="Z901" s="357"/>
    </row>
    <row r="902" ht="15.75" customHeight="1">
      <c r="A902" s="466" t="s">
        <v>8494</v>
      </c>
      <c r="B902" s="466">
        <v>2024.0</v>
      </c>
      <c r="C902" s="466">
        <v>11.0</v>
      </c>
      <c r="D902" s="466">
        <v>45609.0</v>
      </c>
      <c r="E902" s="466" t="s">
        <v>7554</v>
      </c>
      <c r="F902" s="466" t="s">
        <v>7403</v>
      </c>
      <c r="G902" s="466" t="s">
        <v>7075</v>
      </c>
      <c r="H902" s="466" t="s">
        <v>8467</v>
      </c>
      <c r="I902" s="466">
        <v>1.0</v>
      </c>
      <c r="J902" s="466"/>
      <c r="K902" s="466" t="s">
        <v>2584</v>
      </c>
      <c r="L902" s="466" t="s">
        <v>7246</v>
      </c>
      <c r="M902" s="466"/>
      <c r="N902" s="466"/>
      <c r="O902" s="466"/>
      <c r="P902" s="357"/>
      <c r="Q902" s="357"/>
      <c r="R902" s="357"/>
      <c r="S902" s="357"/>
      <c r="T902" s="357"/>
      <c r="U902" s="357"/>
      <c r="V902" s="357"/>
      <c r="W902" s="357"/>
      <c r="X902" s="357"/>
      <c r="Y902" s="357"/>
      <c r="Z902" s="357"/>
    </row>
    <row r="903" ht="15.75" customHeight="1">
      <c r="A903" s="466" t="s">
        <v>8494</v>
      </c>
      <c r="B903" s="466">
        <v>2024.0</v>
      </c>
      <c r="C903" s="466">
        <v>11.0</v>
      </c>
      <c r="D903" s="466">
        <v>45609.0</v>
      </c>
      <c r="E903" s="466" t="s">
        <v>7406</v>
      </c>
      <c r="F903" s="466" t="s">
        <v>8451</v>
      </c>
      <c r="G903" s="466" t="s">
        <v>8501</v>
      </c>
      <c r="H903" s="466" t="s">
        <v>6867</v>
      </c>
      <c r="I903" s="466">
        <v>1.0</v>
      </c>
      <c r="J903" s="466"/>
      <c r="K903" s="466" t="s">
        <v>2774</v>
      </c>
      <c r="L903" s="466">
        <v>25.0</v>
      </c>
      <c r="M903" s="466"/>
      <c r="N903" s="466"/>
      <c r="O903" s="466"/>
      <c r="P903" s="357"/>
      <c r="Q903" s="357"/>
      <c r="R903" s="357"/>
      <c r="S903" s="357"/>
      <c r="T903" s="357"/>
      <c r="U903" s="357"/>
      <c r="V903" s="357"/>
      <c r="W903" s="357"/>
      <c r="X903" s="357"/>
      <c r="Y903" s="357"/>
      <c r="Z903" s="357"/>
    </row>
    <row r="904" ht="15.75" customHeight="1">
      <c r="A904" s="466" t="s">
        <v>8494</v>
      </c>
      <c r="B904" s="466">
        <v>2024.0</v>
      </c>
      <c r="C904" s="466">
        <v>11.0</v>
      </c>
      <c r="D904" s="466">
        <v>45609.0</v>
      </c>
      <c r="E904" s="466" t="s">
        <v>8187</v>
      </c>
      <c r="F904" s="466" t="s">
        <v>8514</v>
      </c>
      <c r="G904" s="466" t="s">
        <v>7075</v>
      </c>
      <c r="H904" s="466" t="s">
        <v>8401</v>
      </c>
      <c r="I904" s="466">
        <v>1.0</v>
      </c>
      <c r="J904" s="466"/>
      <c r="K904" s="466" t="s">
        <v>2584</v>
      </c>
      <c r="L904" s="466" t="s">
        <v>7246</v>
      </c>
      <c r="M904" s="466"/>
      <c r="N904" s="466"/>
      <c r="O904" s="466"/>
      <c r="P904" s="357"/>
      <c r="Q904" s="357"/>
      <c r="R904" s="357"/>
      <c r="S904" s="357"/>
      <c r="T904" s="357"/>
      <c r="U904" s="357"/>
      <c r="V904" s="357"/>
      <c r="W904" s="357"/>
      <c r="X904" s="357"/>
      <c r="Y904" s="357"/>
      <c r="Z904" s="357"/>
    </row>
    <row r="905" ht="15.75" customHeight="1">
      <c r="A905" s="466" t="s">
        <v>8494</v>
      </c>
      <c r="B905" s="466">
        <v>2024.0</v>
      </c>
      <c r="C905" s="466">
        <v>11.0</v>
      </c>
      <c r="D905" s="466">
        <v>45610.0</v>
      </c>
      <c r="E905" s="466" t="s">
        <v>2607</v>
      </c>
      <c r="F905" s="466" t="s">
        <v>8515</v>
      </c>
      <c r="G905" s="466" t="s">
        <v>7075</v>
      </c>
      <c r="H905" s="466" t="s">
        <v>8516</v>
      </c>
      <c r="I905" s="466">
        <v>1.0</v>
      </c>
      <c r="J905" s="466"/>
      <c r="K905" s="466" t="s">
        <v>7393</v>
      </c>
      <c r="L905" s="466">
        <v>120.0</v>
      </c>
      <c r="M905" s="466"/>
      <c r="N905" s="466"/>
      <c r="O905" s="466"/>
      <c r="P905" s="357"/>
      <c r="Q905" s="357"/>
      <c r="R905" s="357"/>
      <c r="S905" s="357"/>
      <c r="T905" s="357"/>
      <c r="U905" s="357"/>
      <c r="V905" s="357"/>
      <c r="W905" s="357"/>
      <c r="X905" s="357"/>
      <c r="Y905" s="357"/>
      <c r="Z905" s="357"/>
    </row>
    <row r="906" ht="15.75" customHeight="1">
      <c r="A906" s="466" t="s">
        <v>8494</v>
      </c>
      <c r="B906" s="466">
        <v>2024.0</v>
      </c>
      <c r="C906" s="466">
        <v>11.0</v>
      </c>
      <c r="D906" s="466">
        <v>45610.0</v>
      </c>
      <c r="E906" s="466" t="s">
        <v>7672</v>
      </c>
      <c r="F906" s="466" t="s">
        <v>8517</v>
      </c>
      <c r="G906" s="466" t="s">
        <v>8509</v>
      </c>
      <c r="H906" s="466"/>
      <c r="I906" s="466">
        <v>1.0</v>
      </c>
      <c r="J906" s="466"/>
      <c r="K906" s="466" t="s">
        <v>7393</v>
      </c>
      <c r="L906" s="466">
        <v>30.0</v>
      </c>
      <c r="M906" s="466"/>
      <c r="N906" s="466"/>
      <c r="O906" s="466"/>
      <c r="P906" s="357"/>
      <c r="Q906" s="357"/>
      <c r="R906" s="357"/>
      <c r="S906" s="357"/>
      <c r="T906" s="357"/>
      <c r="U906" s="357"/>
      <c r="V906" s="357"/>
      <c r="W906" s="357"/>
      <c r="X906" s="357"/>
      <c r="Y906" s="357"/>
      <c r="Z906" s="357"/>
    </row>
    <row r="907" ht="15.75" customHeight="1">
      <c r="A907" s="466" t="s">
        <v>8494</v>
      </c>
      <c r="B907" s="466">
        <v>2024.0</v>
      </c>
      <c r="C907" s="466">
        <v>11.0</v>
      </c>
      <c r="D907" s="466">
        <v>45610.0</v>
      </c>
      <c r="E907" s="466" t="s">
        <v>7747</v>
      </c>
      <c r="F907" s="466" t="s">
        <v>8518</v>
      </c>
      <c r="G907" s="466" t="s">
        <v>8509</v>
      </c>
      <c r="H907" s="466"/>
      <c r="I907" s="466">
        <v>1.0</v>
      </c>
      <c r="J907" s="466"/>
      <c r="K907" s="466" t="s">
        <v>7393</v>
      </c>
      <c r="L907" s="466">
        <v>30.0</v>
      </c>
      <c r="M907" s="466"/>
      <c r="N907" s="466"/>
      <c r="O907" s="466"/>
      <c r="P907" s="357"/>
      <c r="Q907" s="357"/>
      <c r="R907" s="357"/>
      <c r="S907" s="357"/>
      <c r="T907" s="357"/>
      <c r="U907" s="357"/>
      <c r="V907" s="357"/>
      <c r="W907" s="357"/>
      <c r="X907" s="357"/>
      <c r="Y907" s="357"/>
      <c r="Z907" s="357"/>
    </row>
    <row r="908" ht="15.75" customHeight="1">
      <c r="A908" s="466" t="s">
        <v>8494</v>
      </c>
      <c r="B908" s="466">
        <v>2024.0</v>
      </c>
      <c r="C908" s="466">
        <v>11.0</v>
      </c>
      <c r="D908" s="466">
        <v>45611.0</v>
      </c>
      <c r="E908" s="466" t="s">
        <v>8519</v>
      </c>
      <c r="F908" s="466"/>
      <c r="G908" s="466" t="s">
        <v>7075</v>
      </c>
      <c r="H908" s="466" t="s">
        <v>6638</v>
      </c>
      <c r="I908" s="466">
        <v>1.0</v>
      </c>
      <c r="J908" s="466"/>
      <c r="K908" s="466" t="s">
        <v>7393</v>
      </c>
      <c r="L908" s="466">
        <v>120.0</v>
      </c>
      <c r="M908" s="466"/>
      <c r="N908" s="466"/>
      <c r="O908" s="466"/>
      <c r="P908" s="357"/>
      <c r="Q908" s="357"/>
      <c r="R908" s="357"/>
      <c r="S908" s="357"/>
      <c r="T908" s="357"/>
      <c r="U908" s="357"/>
      <c r="V908" s="357"/>
      <c r="W908" s="357"/>
      <c r="X908" s="357"/>
      <c r="Y908" s="357"/>
      <c r="Z908" s="357"/>
    </row>
    <row r="909" ht="15.75" customHeight="1">
      <c r="A909" s="466" t="s">
        <v>8494</v>
      </c>
      <c r="B909" s="466">
        <v>2024.0</v>
      </c>
      <c r="C909" s="466">
        <v>11.0</v>
      </c>
      <c r="D909" s="466">
        <v>45611.0</v>
      </c>
      <c r="E909" s="466" t="s">
        <v>8520</v>
      </c>
      <c r="F909" s="466"/>
      <c r="G909" s="466" t="s">
        <v>8509</v>
      </c>
      <c r="H909" s="466" t="s">
        <v>6939</v>
      </c>
      <c r="I909" s="466">
        <v>1.0</v>
      </c>
      <c r="J909" s="466"/>
      <c r="K909" s="466" t="s">
        <v>7393</v>
      </c>
      <c r="L909" s="466">
        <v>30.0</v>
      </c>
      <c r="M909" s="466"/>
      <c r="N909" s="466"/>
      <c r="O909" s="466"/>
      <c r="P909" s="357"/>
      <c r="Q909" s="357"/>
      <c r="R909" s="357"/>
      <c r="S909" s="357"/>
      <c r="T909" s="357"/>
      <c r="U909" s="357"/>
      <c r="V909" s="357"/>
      <c r="W909" s="357"/>
      <c r="X909" s="357"/>
      <c r="Y909" s="357"/>
      <c r="Z909" s="357"/>
    </row>
    <row r="910" ht="15.75" customHeight="1">
      <c r="A910" s="466" t="s">
        <v>8494</v>
      </c>
      <c r="B910" s="466">
        <v>2024.0</v>
      </c>
      <c r="C910" s="466">
        <v>11.0</v>
      </c>
      <c r="D910" s="466">
        <v>45611.0</v>
      </c>
      <c r="E910" s="466" t="s">
        <v>7687</v>
      </c>
      <c r="F910" s="466" t="s">
        <v>8521</v>
      </c>
      <c r="G910" s="466" t="s">
        <v>7395</v>
      </c>
      <c r="H910" s="466" t="s">
        <v>8522</v>
      </c>
      <c r="I910" s="466">
        <v>1.0</v>
      </c>
      <c r="J910" s="466"/>
      <c r="K910" s="466" t="s">
        <v>7393</v>
      </c>
      <c r="L910" s="466">
        <v>40.0</v>
      </c>
      <c r="M910" s="466"/>
      <c r="N910" s="466"/>
      <c r="O910" s="466"/>
      <c r="P910" s="357"/>
      <c r="Q910" s="357"/>
      <c r="R910" s="357"/>
      <c r="S910" s="357"/>
      <c r="T910" s="357"/>
      <c r="U910" s="357"/>
      <c r="V910" s="357"/>
      <c r="W910" s="357"/>
      <c r="X910" s="357"/>
      <c r="Y910" s="357"/>
      <c r="Z910" s="357"/>
    </row>
    <row r="911" ht="15.75" customHeight="1">
      <c r="A911" s="466" t="s">
        <v>8494</v>
      </c>
      <c r="B911" s="466">
        <v>2024.0</v>
      </c>
      <c r="C911" s="466">
        <v>11.0</v>
      </c>
      <c r="D911" s="466">
        <v>45612.0</v>
      </c>
      <c r="E911" s="466" t="s">
        <v>8499</v>
      </c>
      <c r="F911" s="466"/>
      <c r="G911" s="466" t="s">
        <v>8320</v>
      </c>
      <c r="H911" s="466" t="s">
        <v>8523</v>
      </c>
      <c r="I911" s="466">
        <v>1.0</v>
      </c>
      <c r="J911" s="466"/>
      <c r="K911" s="466" t="s">
        <v>2511</v>
      </c>
      <c r="L911" s="466">
        <v>68.0</v>
      </c>
      <c r="M911" s="466"/>
      <c r="N911" s="466"/>
      <c r="O911" s="466"/>
      <c r="P911" s="357"/>
      <c r="Q911" s="357"/>
      <c r="R911" s="357"/>
      <c r="S911" s="357"/>
      <c r="T911" s="357"/>
      <c r="U911" s="357"/>
      <c r="V911" s="357"/>
      <c r="W911" s="357"/>
      <c r="X911" s="357"/>
      <c r="Y911" s="357"/>
      <c r="Z911" s="357"/>
    </row>
    <row r="912" ht="15.75" customHeight="1">
      <c r="A912" s="466" t="s">
        <v>8494</v>
      </c>
      <c r="B912" s="466">
        <v>2024.0</v>
      </c>
      <c r="C912" s="466">
        <v>11.0</v>
      </c>
      <c r="D912" s="466">
        <v>45612.0</v>
      </c>
      <c r="E912" s="466" t="s">
        <v>7406</v>
      </c>
      <c r="F912" s="466" t="s">
        <v>8524</v>
      </c>
      <c r="G912" s="466" t="s">
        <v>8509</v>
      </c>
      <c r="H912" s="466"/>
      <c r="I912" s="466">
        <v>1.0</v>
      </c>
      <c r="J912" s="466"/>
      <c r="K912" s="466" t="s">
        <v>7393</v>
      </c>
      <c r="L912" s="466">
        <v>30.0</v>
      </c>
      <c r="M912" s="466"/>
      <c r="N912" s="466"/>
      <c r="O912" s="466"/>
      <c r="P912" s="357"/>
      <c r="Q912" s="357"/>
      <c r="R912" s="357"/>
      <c r="S912" s="357"/>
      <c r="T912" s="357"/>
      <c r="U912" s="357"/>
      <c r="V912" s="357"/>
      <c r="W912" s="357"/>
      <c r="X912" s="357"/>
      <c r="Y912" s="357"/>
      <c r="Z912" s="357"/>
    </row>
    <row r="913" ht="15.75" customHeight="1">
      <c r="A913" s="466" t="s">
        <v>8494</v>
      </c>
      <c r="B913" s="466">
        <v>2024.0</v>
      </c>
      <c r="C913" s="466">
        <v>11.0</v>
      </c>
      <c r="D913" s="466">
        <v>45612.0</v>
      </c>
      <c r="E913" s="466" t="s">
        <v>2685</v>
      </c>
      <c r="F913" s="466" t="s">
        <v>8525</v>
      </c>
      <c r="G913" s="466" t="s">
        <v>8509</v>
      </c>
      <c r="H913" s="466" t="s">
        <v>8449</v>
      </c>
      <c r="I913" s="466">
        <v>1.0</v>
      </c>
      <c r="J913" s="466"/>
      <c r="K913" s="466" t="s">
        <v>7393</v>
      </c>
      <c r="L913" s="466">
        <v>25.0</v>
      </c>
      <c r="M913" s="466"/>
      <c r="N913" s="466"/>
      <c r="O913" s="466"/>
      <c r="P913" s="357"/>
      <c r="Q913" s="357"/>
      <c r="R913" s="357"/>
      <c r="S913" s="357"/>
      <c r="T913" s="357"/>
      <c r="U913" s="357"/>
      <c r="V913" s="357"/>
      <c r="W913" s="357"/>
      <c r="X913" s="357"/>
      <c r="Y913" s="357"/>
      <c r="Z913" s="357"/>
    </row>
    <row r="914" ht="15.75" customHeight="1">
      <c r="A914" s="466" t="s">
        <v>8494</v>
      </c>
      <c r="B914" s="466">
        <v>2024.0</v>
      </c>
      <c r="C914" s="466">
        <v>11.0</v>
      </c>
      <c r="D914" s="466">
        <v>45612.0</v>
      </c>
      <c r="E914" s="466" t="s">
        <v>2685</v>
      </c>
      <c r="F914" s="466" t="s">
        <v>8525</v>
      </c>
      <c r="G914" s="466" t="s">
        <v>8526</v>
      </c>
      <c r="H914" s="466" t="s">
        <v>7812</v>
      </c>
      <c r="I914" s="466">
        <v>1.0</v>
      </c>
      <c r="J914" s="466"/>
      <c r="K914" s="466" t="s">
        <v>7393</v>
      </c>
      <c r="L914" s="466">
        <v>25.0</v>
      </c>
      <c r="M914" s="466"/>
      <c r="N914" s="466"/>
      <c r="O914" s="466"/>
      <c r="P914" s="357"/>
      <c r="Q914" s="357"/>
      <c r="R914" s="357"/>
      <c r="S914" s="357"/>
      <c r="T914" s="357"/>
      <c r="U914" s="357"/>
      <c r="V914" s="357"/>
      <c r="W914" s="357"/>
      <c r="X914" s="357"/>
      <c r="Y914" s="357"/>
      <c r="Z914" s="357"/>
    </row>
    <row r="915" ht="15.75" customHeight="1">
      <c r="A915" s="466" t="s">
        <v>8494</v>
      </c>
      <c r="B915" s="466">
        <v>2024.0</v>
      </c>
      <c r="C915" s="466">
        <v>11.0</v>
      </c>
      <c r="D915" s="466">
        <v>45612.0</v>
      </c>
      <c r="E915" s="466" t="s">
        <v>2685</v>
      </c>
      <c r="F915" s="466" t="s">
        <v>8525</v>
      </c>
      <c r="G915" s="466" t="s">
        <v>8501</v>
      </c>
      <c r="H915" s="466" t="s">
        <v>7685</v>
      </c>
      <c r="I915" s="466">
        <v>1.0</v>
      </c>
      <c r="J915" s="466"/>
      <c r="K915" s="466" t="s">
        <v>7393</v>
      </c>
      <c r="L915" s="466">
        <v>25.0</v>
      </c>
      <c r="M915" s="466"/>
      <c r="N915" s="466"/>
      <c r="O915" s="466"/>
      <c r="P915" s="357"/>
      <c r="Q915" s="357"/>
      <c r="R915" s="357"/>
      <c r="S915" s="357"/>
      <c r="T915" s="357"/>
      <c r="U915" s="357"/>
      <c r="V915" s="357"/>
      <c r="W915" s="357"/>
      <c r="X915" s="357"/>
      <c r="Y915" s="357"/>
      <c r="Z915" s="357"/>
    </row>
    <row r="916" ht="15.75" customHeight="1">
      <c r="A916" s="466" t="s">
        <v>8494</v>
      </c>
      <c r="B916" s="466">
        <v>2024.0</v>
      </c>
      <c r="C916" s="466">
        <v>11.0</v>
      </c>
      <c r="D916" s="466">
        <v>45612.0</v>
      </c>
      <c r="E916" s="466" t="s">
        <v>2685</v>
      </c>
      <c r="F916" s="466" t="s">
        <v>8525</v>
      </c>
      <c r="G916" s="466" t="s">
        <v>8526</v>
      </c>
      <c r="H916" s="466" t="s">
        <v>6867</v>
      </c>
      <c r="I916" s="466">
        <v>1.0</v>
      </c>
      <c r="J916" s="466"/>
      <c r="K916" s="466" t="s">
        <v>7393</v>
      </c>
      <c r="L916" s="466">
        <v>25.0</v>
      </c>
      <c r="M916" s="466"/>
      <c r="N916" s="466"/>
      <c r="O916" s="466"/>
      <c r="P916" s="357"/>
      <c r="Q916" s="357"/>
      <c r="R916" s="357"/>
      <c r="S916" s="357"/>
      <c r="T916" s="357"/>
      <c r="U916" s="357"/>
      <c r="V916" s="357"/>
      <c r="W916" s="357"/>
      <c r="X916" s="357"/>
      <c r="Y916" s="357"/>
      <c r="Z916" s="357"/>
    </row>
    <row r="917" ht="15.75" customHeight="1">
      <c r="A917" s="466" t="s">
        <v>8494</v>
      </c>
      <c r="B917" s="466">
        <v>2024.0</v>
      </c>
      <c r="C917" s="466">
        <v>11.0</v>
      </c>
      <c r="D917" s="466">
        <v>45612.0</v>
      </c>
      <c r="E917" s="466" t="s">
        <v>8527</v>
      </c>
      <c r="F917" s="466"/>
      <c r="G917" s="466" t="s">
        <v>8526</v>
      </c>
      <c r="H917" s="466" t="s">
        <v>7751</v>
      </c>
      <c r="I917" s="466">
        <v>1.0</v>
      </c>
      <c r="J917" s="466"/>
      <c r="K917" s="466" t="s">
        <v>7393</v>
      </c>
      <c r="L917" s="466">
        <v>25.0</v>
      </c>
      <c r="M917" s="466"/>
      <c r="N917" s="466"/>
      <c r="O917" s="466"/>
      <c r="P917" s="357"/>
      <c r="Q917" s="357"/>
      <c r="R917" s="357"/>
      <c r="S917" s="357"/>
      <c r="T917" s="357"/>
      <c r="U917" s="357"/>
      <c r="V917" s="357"/>
      <c r="W917" s="357"/>
      <c r="X917" s="357"/>
      <c r="Y917" s="357"/>
      <c r="Z917" s="357"/>
    </row>
    <row r="918" ht="15.75" customHeight="1">
      <c r="A918" s="466" t="s">
        <v>8494</v>
      </c>
      <c r="B918" s="466">
        <v>2024.0</v>
      </c>
      <c r="C918" s="466">
        <v>11.0</v>
      </c>
      <c r="D918" s="466">
        <v>45612.0</v>
      </c>
      <c r="E918" s="466" t="s">
        <v>8166</v>
      </c>
      <c r="F918" s="466"/>
      <c r="G918" s="466" t="s">
        <v>8509</v>
      </c>
      <c r="H918" s="466"/>
      <c r="I918" s="466">
        <v>1.0</v>
      </c>
      <c r="J918" s="466"/>
      <c r="K918" s="466" t="s">
        <v>2511</v>
      </c>
      <c r="L918" s="466">
        <v>30.0</v>
      </c>
      <c r="M918" s="466"/>
      <c r="N918" s="466"/>
      <c r="O918" s="466"/>
      <c r="P918" s="357"/>
      <c r="Q918" s="357"/>
      <c r="R918" s="357"/>
      <c r="S918" s="357"/>
      <c r="T918" s="357"/>
      <c r="U918" s="357"/>
      <c r="V918" s="357"/>
      <c r="W918" s="357"/>
      <c r="X918" s="357"/>
      <c r="Y918" s="357"/>
      <c r="Z918" s="357"/>
    </row>
    <row r="919" ht="15.75" customHeight="1">
      <c r="A919" s="466" t="s">
        <v>8494</v>
      </c>
      <c r="B919" s="466">
        <v>2024.0</v>
      </c>
      <c r="C919" s="466">
        <v>11.0</v>
      </c>
      <c r="D919" s="466">
        <v>45612.0</v>
      </c>
      <c r="E919" s="466" t="s">
        <v>8528</v>
      </c>
      <c r="F919" s="466"/>
      <c r="G919" s="466" t="s">
        <v>7395</v>
      </c>
      <c r="H919" s="466"/>
      <c r="I919" s="466">
        <v>2.0</v>
      </c>
      <c r="J919" s="466"/>
      <c r="K919" s="466"/>
      <c r="L919" s="466">
        <v>80.0</v>
      </c>
      <c r="M919" s="466"/>
      <c r="N919" s="466"/>
      <c r="O919" s="466"/>
      <c r="P919" s="357"/>
      <c r="Q919" s="357"/>
      <c r="R919" s="357"/>
      <c r="S919" s="357"/>
      <c r="T919" s="357"/>
      <c r="U919" s="357"/>
      <c r="V919" s="357"/>
      <c r="W919" s="357"/>
      <c r="X919" s="357"/>
      <c r="Y919" s="357"/>
      <c r="Z919" s="357"/>
    </row>
    <row r="920" ht="15.75" customHeight="1">
      <c r="A920" s="466" t="s">
        <v>8494</v>
      </c>
      <c r="B920" s="466">
        <v>2024.0</v>
      </c>
      <c r="C920" s="466">
        <v>11.0</v>
      </c>
      <c r="D920" s="466">
        <v>45612.0</v>
      </c>
      <c r="E920" s="466" t="s">
        <v>7760</v>
      </c>
      <c r="F920" s="466" t="s">
        <v>8270</v>
      </c>
      <c r="G920" s="466" t="s">
        <v>8526</v>
      </c>
      <c r="H920" s="466" t="s">
        <v>8529</v>
      </c>
      <c r="I920" s="466">
        <v>1.0</v>
      </c>
      <c r="J920" s="466"/>
      <c r="K920" s="466" t="s">
        <v>8530</v>
      </c>
      <c r="L920" s="466">
        <v>25.0</v>
      </c>
      <c r="M920" s="466"/>
      <c r="N920" s="466"/>
      <c r="O920" s="466"/>
      <c r="P920" s="357"/>
      <c r="Q920" s="357"/>
      <c r="R920" s="357"/>
      <c r="S920" s="357"/>
      <c r="T920" s="357"/>
      <c r="U920" s="357"/>
      <c r="V920" s="357"/>
      <c r="W920" s="357"/>
      <c r="X920" s="357"/>
      <c r="Y920" s="357"/>
      <c r="Z920" s="357"/>
    </row>
    <row r="921" ht="15.75" customHeight="1">
      <c r="A921" s="466" t="s">
        <v>8494</v>
      </c>
      <c r="B921" s="466">
        <v>2024.0</v>
      </c>
      <c r="C921" s="466">
        <v>11.0</v>
      </c>
      <c r="D921" s="466">
        <v>45612.0</v>
      </c>
      <c r="E921" s="466" t="s">
        <v>7489</v>
      </c>
      <c r="F921" s="466" t="s">
        <v>8270</v>
      </c>
      <c r="G921" s="466" t="s">
        <v>8526</v>
      </c>
      <c r="H921" s="466" t="s">
        <v>6867</v>
      </c>
      <c r="I921" s="466">
        <v>1.0</v>
      </c>
      <c r="J921" s="466"/>
      <c r="K921" s="466" t="s">
        <v>8530</v>
      </c>
      <c r="L921" s="466">
        <v>27.0</v>
      </c>
      <c r="M921" s="466"/>
      <c r="N921" s="466"/>
      <c r="O921" s="466"/>
      <c r="P921" s="357"/>
      <c r="Q921" s="357"/>
      <c r="R921" s="357"/>
      <c r="S921" s="357"/>
      <c r="T921" s="357"/>
      <c r="U921" s="357"/>
      <c r="V921" s="357"/>
      <c r="W921" s="357"/>
      <c r="X921" s="357"/>
      <c r="Y921" s="357"/>
      <c r="Z921" s="357"/>
    </row>
    <row r="922" ht="15.75" customHeight="1">
      <c r="A922" s="466" t="s">
        <v>8494</v>
      </c>
      <c r="B922" s="466">
        <v>2024.0</v>
      </c>
      <c r="C922" s="466">
        <v>11.0</v>
      </c>
      <c r="D922" s="466">
        <v>45612.0</v>
      </c>
      <c r="E922" s="466" t="s">
        <v>7489</v>
      </c>
      <c r="F922" s="466" t="s">
        <v>8270</v>
      </c>
      <c r="G922" s="466" t="s">
        <v>8509</v>
      </c>
      <c r="H922" s="466" t="s">
        <v>8449</v>
      </c>
      <c r="I922" s="466">
        <v>1.0</v>
      </c>
      <c r="J922" s="466"/>
      <c r="K922" s="466" t="s">
        <v>8530</v>
      </c>
      <c r="L922" s="466">
        <v>28.0</v>
      </c>
      <c r="M922" s="466"/>
      <c r="N922" s="466"/>
      <c r="O922" s="466"/>
      <c r="P922" s="357"/>
      <c r="Q922" s="357"/>
      <c r="R922" s="357"/>
      <c r="S922" s="357"/>
      <c r="T922" s="357"/>
      <c r="U922" s="357"/>
      <c r="V922" s="357"/>
      <c r="W922" s="357"/>
      <c r="X922" s="357"/>
      <c r="Y922" s="357"/>
      <c r="Z922" s="357"/>
    </row>
    <row r="923" ht="15.75" customHeight="1">
      <c r="A923" s="466" t="s">
        <v>8494</v>
      </c>
      <c r="B923" s="466">
        <v>2024.0</v>
      </c>
      <c r="C923" s="466">
        <v>11.0</v>
      </c>
      <c r="D923" s="466">
        <v>45612.0</v>
      </c>
      <c r="E923" s="466" t="s">
        <v>7515</v>
      </c>
      <c r="F923" s="466" t="s">
        <v>8531</v>
      </c>
      <c r="G923" s="466" t="s">
        <v>7075</v>
      </c>
      <c r="H923" s="466" t="s">
        <v>6939</v>
      </c>
      <c r="I923" s="466">
        <v>1.0</v>
      </c>
      <c r="J923" s="466"/>
      <c r="K923" s="466" t="s">
        <v>8530</v>
      </c>
      <c r="L923" s="466">
        <v>120.0</v>
      </c>
      <c r="M923" s="466"/>
      <c r="N923" s="466"/>
      <c r="O923" s="466"/>
      <c r="P923" s="357"/>
      <c r="Q923" s="357"/>
      <c r="R923" s="357"/>
      <c r="S923" s="357"/>
      <c r="T923" s="357"/>
      <c r="U923" s="357"/>
      <c r="V923" s="357"/>
      <c r="W923" s="357"/>
      <c r="X923" s="357"/>
      <c r="Y923" s="357"/>
      <c r="Z923" s="357"/>
    </row>
    <row r="924" ht="15.75" customHeight="1">
      <c r="A924" s="466" t="s">
        <v>8494</v>
      </c>
      <c r="B924" s="466">
        <v>2024.0</v>
      </c>
      <c r="C924" s="466">
        <v>11.0</v>
      </c>
      <c r="D924" s="466">
        <v>45613.0</v>
      </c>
      <c r="E924" s="466" t="s">
        <v>7657</v>
      </c>
      <c r="F924" s="466" t="s">
        <v>8532</v>
      </c>
      <c r="G924" s="466" t="s">
        <v>7611</v>
      </c>
      <c r="H924" s="466" t="s">
        <v>8533</v>
      </c>
      <c r="I924" s="466">
        <v>1.0</v>
      </c>
      <c r="J924" s="466"/>
      <c r="K924" s="466" t="s">
        <v>8530</v>
      </c>
      <c r="L924" s="466">
        <v>85.0</v>
      </c>
      <c r="M924" s="466"/>
      <c r="N924" s="466"/>
      <c r="O924" s="466"/>
      <c r="P924" s="357"/>
      <c r="Q924" s="357"/>
      <c r="R924" s="357"/>
      <c r="S924" s="357"/>
      <c r="T924" s="357"/>
      <c r="U924" s="357"/>
      <c r="V924" s="357"/>
      <c r="W924" s="357"/>
      <c r="X924" s="357"/>
      <c r="Y924" s="357"/>
      <c r="Z924" s="357"/>
    </row>
    <row r="925" ht="15.75" customHeight="1">
      <c r="A925" s="466" t="s">
        <v>8494</v>
      </c>
      <c r="B925" s="466">
        <v>2024.0</v>
      </c>
      <c r="C925" s="466">
        <v>11.0</v>
      </c>
      <c r="D925" s="466">
        <v>45613.0</v>
      </c>
      <c r="E925" s="466" t="s">
        <v>2547</v>
      </c>
      <c r="F925" s="466" t="s">
        <v>2548</v>
      </c>
      <c r="G925" s="466" t="s">
        <v>8526</v>
      </c>
      <c r="H925" s="466"/>
      <c r="I925" s="466">
        <v>1.0</v>
      </c>
      <c r="J925" s="466"/>
      <c r="K925" s="466" t="s">
        <v>8530</v>
      </c>
      <c r="L925" s="466">
        <v>25.0</v>
      </c>
      <c r="M925" s="466"/>
      <c r="N925" s="466"/>
      <c r="O925" s="466"/>
      <c r="P925" s="357"/>
      <c r="Q925" s="357"/>
      <c r="R925" s="357"/>
      <c r="S925" s="357"/>
      <c r="T925" s="357"/>
      <c r="U925" s="357"/>
      <c r="V925" s="357"/>
      <c r="W925" s="357"/>
      <c r="X925" s="357"/>
      <c r="Y925" s="357"/>
      <c r="Z925" s="357"/>
    </row>
    <row r="926" ht="15.75" customHeight="1">
      <c r="A926" s="466" t="s">
        <v>8494</v>
      </c>
      <c r="B926" s="466">
        <v>2024.0</v>
      </c>
      <c r="C926" s="466">
        <v>11.0</v>
      </c>
      <c r="D926" s="466">
        <v>45613.0</v>
      </c>
      <c r="E926" s="466" t="s">
        <v>8534</v>
      </c>
      <c r="F926" s="466"/>
      <c r="G926" s="466" t="s">
        <v>7106</v>
      </c>
      <c r="H926" s="466" t="s">
        <v>8535</v>
      </c>
      <c r="I926" s="466">
        <v>1.0</v>
      </c>
      <c r="J926" s="466"/>
      <c r="K926" s="466" t="s">
        <v>2511</v>
      </c>
      <c r="L926" s="466">
        <v>85.0</v>
      </c>
      <c r="M926" s="466"/>
      <c r="N926" s="466"/>
      <c r="O926" s="466"/>
      <c r="P926" s="357"/>
      <c r="Q926" s="357"/>
      <c r="R926" s="357"/>
      <c r="S926" s="357"/>
      <c r="T926" s="357"/>
      <c r="U926" s="357"/>
      <c r="V926" s="357"/>
      <c r="W926" s="357"/>
      <c r="X926" s="357"/>
      <c r="Y926" s="357"/>
      <c r="Z926" s="357"/>
    </row>
    <row r="927" ht="15.75" customHeight="1">
      <c r="A927" s="466" t="s">
        <v>8494</v>
      </c>
      <c r="B927" s="466">
        <v>2024.0</v>
      </c>
      <c r="C927" s="466">
        <v>11.0</v>
      </c>
      <c r="D927" s="466">
        <v>45613.0</v>
      </c>
      <c r="E927" s="466" t="s">
        <v>8536</v>
      </c>
      <c r="F927" s="466" t="s">
        <v>8537</v>
      </c>
      <c r="G927" s="466" t="s">
        <v>7611</v>
      </c>
      <c r="H927" s="466" t="s">
        <v>8104</v>
      </c>
      <c r="I927" s="466">
        <v>1.0</v>
      </c>
      <c r="J927" s="466"/>
      <c r="K927" s="466" t="s">
        <v>8530</v>
      </c>
      <c r="L927" s="466">
        <v>85.0</v>
      </c>
      <c r="M927" s="466"/>
      <c r="N927" s="466"/>
      <c r="O927" s="466"/>
      <c r="P927" s="357"/>
      <c r="Q927" s="357"/>
      <c r="R927" s="357"/>
      <c r="S927" s="357"/>
      <c r="T927" s="357"/>
      <c r="U927" s="357"/>
      <c r="V927" s="357"/>
      <c r="W927" s="357"/>
      <c r="X927" s="357"/>
      <c r="Y927" s="357"/>
      <c r="Z927" s="357"/>
    </row>
    <row r="928" ht="15.75" customHeight="1">
      <c r="A928" s="466" t="s">
        <v>8494</v>
      </c>
      <c r="B928" s="466">
        <v>2024.0</v>
      </c>
      <c r="C928" s="466">
        <v>11.0</v>
      </c>
      <c r="D928" s="466">
        <v>45613.0</v>
      </c>
      <c r="E928" s="466" t="s">
        <v>8226</v>
      </c>
      <c r="F928" s="466" t="s">
        <v>8227</v>
      </c>
      <c r="G928" s="466" t="s">
        <v>8509</v>
      </c>
      <c r="H928" s="466" t="s">
        <v>6939</v>
      </c>
      <c r="I928" s="466">
        <v>1.0</v>
      </c>
      <c r="J928" s="466"/>
      <c r="K928" s="466" t="s">
        <v>8530</v>
      </c>
      <c r="L928" s="466">
        <v>10.0</v>
      </c>
      <c r="M928" s="466"/>
      <c r="N928" s="466"/>
      <c r="O928" s="466"/>
      <c r="P928" s="357"/>
      <c r="Q928" s="357"/>
      <c r="R928" s="357"/>
      <c r="S928" s="357"/>
      <c r="T928" s="357"/>
      <c r="U928" s="357"/>
      <c r="V928" s="357"/>
      <c r="W928" s="357"/>
      <c r="X928" s="357"/>
      <c r="Y928" s="357"/>
      <c r="Z928" s="357"/>
    </row>
    <row r="929" ht="15.75" customHeight="1">
      <c r="A929" s="466" t="s">
        <v>8494</v>
      </c>
      <c r="B929" s="466">
        <v>2024.0</v>
      </c>
      <c r="C929" s="466">
        <v>11.0</v>
      </c>
      <c r="D929" s="466">
        <v>45613.0</v>
      </c>
      <c r="E929" s="466" t="s">
        <v>8226</v>
      </c>
      <c r="F929" s="466" t="s">
        <v>8227</v>
      </c>
      <c r="G929" s="466" t="s">
        <v>6613</v>
      </c>
      <c r="H929" s="466" t="s">
        <v>8538</v>
      </c>
      <c r="I929" s="466">
        <v>1.0</v>
      </c>
      <c r="J929" s="466"/>
      <c r="K929" s="466" t="s">
        <v>8530</v>
      </c>
      <c r="L929" s="466">
        <v>70.0</v>
      </c>
      <c r="M929" s="466"/>
      <c r="N929" s="466"/>
      <c r="O929" s="466"/>
      <c r="P929" s="357"/>
      <c r="Q929" s="357"/>
      <c r="R929" s="357"/>
      <c r="S929" s="357"/>
      <c r="T929" s="357"/>
      <c r="U929" s="357"/>
      <c r="V929" s="357"/>
      <c r="W929" s="357"/>
      <c r="X929" s="357"/>
      <c r="Y929" s="357"/>
      <c r="Z929" s="357"/>
    </row>
    <row r="930" ht="15.75" customHeight="1">
      <c r="A930" s="466" t="s">
        <v>8494</v>
      </c>
      <c r="B930" s="466">
        <v>2024.0</v>
      </c>
      <c r="C930" s="466">
        <v>11.0</v>
      </c>
      <c r="D930" s="466">
        <v>45613.0</v>
      </c>
      <c r="E930" s="466" t="s">
        <v>8226</v>
      </c>
      <c r="F930" s="466" t="s">
        <v>8227</v>
      </c>
      <c r="G930" s="466" t="s">
        <v>7075</v>
      </c>
      <c r="H930" s="466" t="s">
        <v>2175</v>
      </c>
      <c r="I930" s="466">
        <v>1.0</v>
      </c>
      <c r="J930" s="466"/>
      <c r="K930" s="466" t="s">
        <v>8530</v>
      </c>
      <c r="L930" s="466">
        <v>120.0</v>
      </c>
      <c r="M930" s="466"/>
      <c r="N930" s="466"/>
      <c r="O930" s="466"/>
      <c r="P930" s="357"/>
      <c r="Q930" s="357"/>
      <c r="R930" s="357"/>
      <c r="S930" s="357"/>
      <c r="T930" s="357"/>
      <c r="U930" s="357"/>
      <c r="V930" s="357"/>
      <c r="W930" s="357"/>
      <c r="X930" s="357"/>
      <c r="Y930" s="357"/>
      <c r="Z930" s="357"/>
    </row>
    <row r="931" ht="15.75" customHeight="1">
      <c r="A931" s="466" t="s">
        <v>8160</v>
      </c>
      <c r="B931" s="466">
        <v>2024.0</v>
      </c>
      <c r="C931" s="466">
        <v>11.0</v>
      </c>
      <c r="D931" s="466">
        <v>45614.0</v>
      </c>
      <c r="E931" s="466" t="s">
        <v>8539</v>
      </c>
      <c r="F931" s="466" t="s">
        <v>7797</v>
      </c>
      <c r="G931" s="466" t="s">
        <v>7073</v>
      </c>
      <c r="H931" s="466" t="s">
        <v>6669</v>
      </c>
      <c r="I931" s="466">
        <v>1.0</v>
      </c>
      <c r="J931" s="466"/>
      <c r="K931" s="466" t="s">
        <v>2511</v>
      </c>
      <c r="L931" s="466">
        <v>100.0</v>
      </c>
      <c r="M931" s="466"/>
      <c r="N931" s="466"/>
      <c r="O931" s="466"/>
      <c r="P931" s="357"/>
      <c r="Q931" s="357"/>
      <c r="R931" s="357"/>
      <c r="S931" s="357"/>
      <c r="T931" s="357"/>
      <c r="U931" s="357"/>
      <c r="V931" s="357"/>
      <c r="W931" s="357"/>
      <c r="X931" s="357"/>
      <c r="Y931" s="357"/>
      <c r="Z931" s="357"/>
    </row>
    <row r="932" ht="15.75" customHeight="1">
      <c r="A932" s="466" t="s">
        <v>8160</v>
      </c>
      <c r="B932" s="466">
        <v>2024.0</v>
      </c>
      <c r="C932" s="466">
        <v>11.0</v>
      </c>
      <c r="D932" s="466">
        <v>45614.0</v>
      </c>
      <c r="E932" s="466" t="s">
        <v>8539</v>
      </c>
      <c r="F932" s="466" t="s">
        <v>7797</v>
      </c>
      <c r="G932" s="466" t="s">
        <v>7073</v>
      </c>
      <c r="H932" s="466" t="s">
        <v>201</v>
      </c>
      <c r="I932" s="466">
        <v>1.0</v>
      </c>
      <c r="J932" s="466"/>
      <c r="K932" s="466" t="s">
        <v>2511</v>
      </c>
      <c r="L932" s="466">
        <v>100.0</v>
      </c>
      <c r="M932" s="466"/>
      <c r="N932" s="466"/>
      <c r="O932" s="466"/>
      <c r="P932" s="357"/>
      <c r="Q932" s="357"/>
      <c r="R932" s="357"/>
      <c r="S932" s="357"/>
      <c r="T932" s="357"/>
      <c r="U932" s="357"/>
      <c r="V932" s="357"/>
      <c r="W932" s="357"/>
      <c r="X932" s="357"/>
      <c r="Y932" s="357"/>
      <c r="Z932" s="357"/>
    </row>
    <row r="933" ht="15.75" customHeight="1">
      <c r="A933" s="466" t="s">
        <v>8160</v>
      </c>
      <c r="B933" s="466">
        <v>2024.0</v>
      </c>
      <c r="C933" s="466">
        <v>11.0</v>
      </c>
      <c r="D933" s="466">
        <v>45614.0</v>
      </c>
      <c r="E933" s="466" t="s">
        <v>8540</v>
      </c>
      <c r="F933" s="466" t="s">
        <v>8540</v>
      </c>
      <c r="G933" s="466" t="s">
        <v>7075</v>
      </c>
      <c r="H933" s="466" t="s">
        <v>2153</v>
      </c>
      <c r="I933" s="466">
        <v>1.0</v>
      </c>
      <c r="J933" s="466"/>
      <c r="K933" s="466" t="s">
        <v>7262</v>
      </c>
      <c r="L933" s="466">
        <v>120.0</v>
      </c>
      <c r="M933" s="466"/>
      <c r="N933" s="466"/>
      <c r="O933" s="466"/>
      <c r="P933" s="357"/>
      <c r="Q933" s="357"/>
      <c r="R933" s="357"/>
      <c r="S933" s="357"/>
      <c r="T933" s="357"/>
      <c r="U933" s="357"/>
      <c r="V933" s="357"/>
      <c r="W933" s="357"/>
      <c r="X933" s="357"/>
      <c r="Y933" s="357"/>
      <c r="Z933" s="357"/>
    </row>
    <row r="934" ht="15.75" customHeight="1">
      <c r="A934" s="466" t="s">
        <v>8160</v>
      </c>
      <c r="B934" s="466">
        <v>2024.0</v>
      </c>
      <c r="C934" s="466">
        <v>11.0</v>
      </c>
      <c r="D934" s="466">
        <v>45615.0</v>
      </c>
      <c r="E934" s="466" t="s">
        <v>8175</v>
      </c>
      <c r="F934" s="466" t="s">
        <v>2551</v>
      </c>
      <c r="G934" s="466" t="s">
        <v>7106</v>
      </c>
      <c r="H934" s="466" t="s">
        <v>8541</v>
      </c>
      <c r="I934" s="466">
        <v>1.0</v>
      </c>
      <c r="J934" s="466"/>
      <c r="K934" s="466" t="s">
        <v>8274</v>
      </c>
      <c r="L934" s="466">
        <v>65.0</v>
      </c>
      <c r="M934" s="466"/>
      <c r="N934" s="466"/>
      <c r="O934" s="466"/>
      <c r="P934" s="357"/>
      <c r="Q934" s="357"/>
      <c r="R934" s="357"/>
      <c r="S934" s="357"/>
      <c r="T934" s="357"/>
      <c r="U934" s="357"/>
      <c r="V934" s="357"/>
      <c r="W934" s="357"/>
      <c r="X934" s="357"/>
      <c r="Y934" s="357"/>
      <c r="Z934" s="357"/>
    </row>
    <row r="935" ht="15.75" customHeight="1">
      <c r="A935" s="466" t="s">
        <v>8160</v>
      </c>
      <c r="B935" s="466">
        <v>2024.0</v>
      </c>
      <c r="C935" s="466">
        <v>11.0</v>
      </c>
      <c r="D935" s="466">
        <v>45615.0</v>
      </c>
      <c r="E935" s="466" t="s">
        <v>8175</v>
      </c>
      <c r="F935" s="466" t="s">
        <v>2551</v>
      </c>
      <c r="G935" s="466" t="s">
        <v>7611</v>
      </c>
      <c r="H935" s="466" t="s">
        <v>8104</v>
      </c>
      <c r="I935" s="466">
        <v>1.0</v>
      </c>
      <c r="J935" s="466"/>
      <c r="K935" s="466" t="s">
        <v>8274</v>
      </c>
      <c r="L935" s="466">
        <v>75.0</v>
      </c>
      <c r="M935" s="466"/>
      <c r="N935" s="466"/>
      <c r="O935" s="466"/>
      <c r="P935" s="357"/>
      <c r="Q935" s="357"/>
      <c r="R935" s="357"/>
      <c r="S935" s="357"/>
      <c r="T935" s="357"/>
      <c r="U935" s="357"/>
      <c r="V935" s="357"/>
      <c r="W935" s="357"/>
      <c r="X935" s="357"/>
      <c r="Y935" s="357"/>
      <c r="Z935" s="357"/>
    </row>
    <row r="936" ht="15.75" customHeight="1">
      <c r="A936" s="466" t="s">
        <v>8160</v>
      </c>
      <c r="B936" s="466">
        <v>2024.0</v>
      </c>
      <c r="C936" s="466">
        <v>11.0</v>
      </c>
      <c r="D936" s="466">
        <v>45615.0</v>
      </c>
      <c r="E936" s="466" t="s">
        <v>8175</v>
      </c>
      <c r="F936" s="466" t="s">
        <v>2551</v>
      </c>
      <c r="G936" s="466" t="s">
        <v>8526</v>
      </c>
      <c r="H936" s="466" t="s">
        <v>8542</v>
      </c>
      <c r="I936" s="466">
        <v>1.0</v>
      </c>
      <c r="J936" s="466"/>
      <c r="K936" s="466" t="s">
        <v>2584</v>
      </c>
      <c r="L936" s="466" t="s">
        <v>7246</v>
      </c>
      <c r="M936" s="466"/>
      <c r="N936" s="466"/>
      <c r="O936" s="466"/>
      <c r="P936" s="357"/>
      <c r="Q936" s="357"/>
      <c r="R936" s="357"/>
      <c r="S936" s="357"/>
      <c r="T936" s="357"/>
      <c r="U936" s="357"/>
      <c r="V936" s="357"/>
      <c r="W936" s="357"/>
      <c r="X936" s="357"/>
      <c r="Y936" s="357"/>
      <c r="Z936" s="357"/>
    </row>
    <row r="937" ht="15.75" customHeight="1">
      <c r="A937" s="466" t="s">
        <v>8160</v>
      </c>
      <c r="B937" s="466">
        <v>2024.0</v>
      </c>
      <c r="C937" s="466">
        <v>11.0</v>
      </c>
      <c r="D937" s="466">
        <v>45616.0</v>
      </c>
      <c r="E937" s="466" t="s">
        <v>8543</v>
      </c>
      <c r="F937" s="466"/>
      <c r="G937" s="466" t="s">
        <v>7075</v>
      </c>
      <c r="H937" s="466" t="s">
        <v>2153</v>
      </c>
      <c r="I937" s="466">
        <v>1.0</v>
      </c>
      <c r="J937" s="466"/>
      <c r="K937" s="466" t="s">
        <v>2511</v>
      </c>
      <c r="L937" s="466">
        <v>110.0</v>
      </c>
      <c r="M937" s="466"/>
      <c r="N937" s="466"/>
      <c r="O937" s="466"/>
      <c r="P937" s="357"/>
      <c r="Q937" s="357"/>
      <c r="R937" s="357"/>
      <c r="S937" s="357"/>
      <c r="T937" s="357"/>
      <c r="U937" s="357"/>
      <c r="V937" s="357"/>
      <c r="W937" s="357"/>
      <c r="X937" s="357"/>
      <c r="Y937" s="357"/>
      <c r="Z937" s="357"/>
    </row>
    <row r="938" ht="15.75" customHeight="1">
      <c r="A938" s="466" t="s">
        <v>8544</v>
      </c>
      <c r="B938" s="466">
        <v>2024.0</v>
      </c>
      <c r="C938" s="466">
        <v>11.0</v>
      </c>
      <c r="D938" s="466">
        <v>45617.0</v>
      </c>
      <c r="E938" s="466" t="s">
        <v>8545</v>
      </c>
      <c r="F938" s="466" t="s">
        <v>2669</v>
      </c>
      <c r="G938" s="466" t="s">
        <v>7075</v>
      </c>
      <c r="H938" s="466" t="s">
        <v>201</v>
      </c>
      <c r="I938" s="466">
        <v>1.0</v>
      </c>
      <c r="J938" s="466"/>
      <c r="K938" s="466" t="s">
        <v>7393</v>
      </c>
      <c r="L938" s="466">
        <v>100.0</v>
      </c>
      <c r="M938" s="466"/>
      <c r="N938" s="466"/>
      <c r="O938" s="466"/>
      <c r="P938" s="357"/>
      <c r="Q938" s="357"/>
      <c r="R938" s="357"/>
      <c r="S938" s="357"/>
      <c r="T938" s="357"/>
      <c r="U938" s="357"/>
      <c r="V938" s="357"/>
      <c r="W938" s="357"/>
      <c r="X938" s="357"/>
      <c r="Y938" s="357"/>
      <c r="Z938" s="357"/>
    </row>
    <row r="939" ht="15.75" customHeight="1">
      <c r="A939" s="466" t="s">
        <v>8544</v>
      </c>
      <c r="B939" s="466">
        <v>2024.0</v>
      </c>
      <c r="C939" s="466">
        <v>11.0</v>
      </c>
      <c r="D939" s="466">
        <v>45617.0</v>
      </c>
      <c r="E939" s="466" t="s">
        <v>8545</v>
      </c>
      <c r="F939" s="466" t="s">
        <v>2669</v>
      </c>
      <c r="G939" s="466" t="s">
        <v>8526</v>
      </c>
      <c r="H939" s="466"/>
      <c r="I939" s="466">
        <v>1.0</v>
      </c>
      <c r="J939" s="466"/>
      <c r="K939" s="466" t="s">
        <v>7393</v>
      </c>
      <c r="L939" s="466">
        <v>25.0</v>
      </c>
      <c r="M939" s="466"/>
      <c r="N939" s="466"/>
      <c r="O939" s="466"/>
      <c r="P939" s="357"/>
      <c r="Q939" s="357"/>
      <c r="R939" s="357"/>
      <c r="S939" s="357"/>
      <c r="T939" s="357"/>
      <c r="U939" s="357"/>
      <c r="V939" s="357"/>
      <c r="W939" s="357"/>
      <c r="X939" s="357"/>
      <c r="Y939" s="357"/>
      <c r="Z939" s="357"/>
    </row>
    <row r="940" ht="15.75" customHeight="1">
      <c r="A940" s="466" t="s">
        <v>8544</v>
      </c>
      <c r="B940" s="466">
        <v>2024.0</v>
      </c>
      <c r="C940" s="466">
        <v>11.0</v>
      </c>
      <c r="D940" s="466">
        <v>45617.0</v>
      </c>
      <c r="E940" s="466" t="s">
        <v>8545</v>
      </c>
      <c r="F940" s="466" t="s">
        <v>2669</v>
      </c>
      <c r="G940" s="466" t="s">
        <v>8501</v>
      </c>
      <c r="H940" s="466" t="s">
        <v>8546</v>
      </c>
      <c r="I940" s="466">
        <v>1.0</v>
      </c>
      <c r="J940" s="466"/>
      <c r="K940" s="466" t="s">
        <v>7393</v>
      </c>
      <c r="L940" s="466">
        <v>27.0</v>
      </c>
      <c r="M940" s="466"/>
      <c r="N940" s="466"/>
      <c r="O940" s="466"/>
      <c r="P940" s="357"/>
      <c r="Q940" s="357"/>
      <c r="R940" s="357"/>
      <c r="S940" s="357"/>
      <c r="T940" s="357"/>
      <c r="U940" s="357"/>
      <c r="V940" s="357"/>
      <c r="W940" s="357"/>
      <c r="X940" s="357"/>
      <c r="Y940" s="357"/>
      <c r="Z940" s="357"/>
    </row>
    <row r="941" ht="15.75" customHeight="1">
      <c r="A941" s="466" t="s">
        <v>8544</v>
      </c>
      <c r="B941" s="466">
        <v>2024.0</v>
      </c>
      <c r="C941" s="466">
        <v>11.0</v>
      </c>
      <c r="D941" s="466">
        <v>45617.0</v>
      </c>
      <c r="E941" s="466" t="s">
        <v>8547</v>
      </c>
      <c r="F941" s="466"/>
      <c r="G941" s="466" t="s">
        <v>8526</v>
      </c>
      <c r="H941" s="466"/>
      <c r="I941" s="466">
        <v>1.0</v>
      </c>
      <c r="J941" s="466"/>
      <c r="K941" s="466" t="s">
        <v>2511</v>
      </c>
      <c r="L941" s="466">
        <v>25.0</v>
      </c>
      <c r="M941" s="466"/>
      <c r="N941" s="466"/>
      <c r="O941" s="466"/>
      <c r="P941" s="357"/>
      <c r="Q941" s="357"/>
      <c r="R941" s="357"/>
      <c r="S941" s="357"/>
      <c r="T941" s="357"/>
      <c r="U941" s="357"/>
      <c r="V941" s="357"/>
      <c r="W941" s="357"/>
      <c r="X941" s="357"/>
      <c r="Y941" s="357"/>
      <c r="Z941" s="357"/>
    </row>
    <row r="942" ht="15.75" customHeight="1">
      <c r="A942" s="466" t="s">
        <v>8544</v>
      </c>
      <c r="B942" s="466">
        <v>2024.0</v>
      </c>
      <c r="C942" s="466">
        <v>11.0</v>
      </c>
      <c r="D942" s="466">
        <v>45618.0</v>
      </c>
      <c r="E942" s="466" t="s">
        <v>8548</v>
      </c>
      <c r="F942" s="466" t="s">
        <v>8549</v>
      </c>
      <c r="G942" s="466" t="s">
        <v>7075</v>
      </c>
      <c r="H942" s="466" t="s">
        <v>6643</v>
      </c>
      <c r="I942" s="466">
        <v>1.0</v>
      </c>
      <c r="J942" s="466"/>
      <c r="K942" s="466" t="s">
        <v>7393</v>
      </c>
      <c r="L942" s="466">
        <v>267.0</v>
      </c>
      <c r="M942" s="466"/>
      <c r="N942" s="466"/>
      <c r="O942" s="466"/>
      <c r="P942" s="357"/>
      <c r="Q942" s="357"/>
      <c r="R942" s="357"/>
      <c r="S942" s="357"/>
      <c r="T942" s="357"/>
      <c r="U942" s="357"/>
      <c r="V942" s="357"/>
      <c r="W942" s="357"/>
      <c r="X942" s="357"/>
      <c r="Y942" s="357"/>
      <c r="Z942" s="357"/>
    </row>
    <row r="943" ht="15.75" customHeight="1">
      <c r="A943" s="466" t="s">
        <v>8544</v>
      </c>
      <c r="B943" s="466">
        <v>2024.0</v>
      </c>
      <c r="C943" s="466">
        <v>11.0</v>
      </c>
      <c r="D943" s="466">
        <v>45618.0</v>
      </c>
      <c r="E943" s="466"/>
      <c r="F943" s="466"/>
      <c r="G943" s="466" t="s">
        <v>7075</v>
      </c>
      <c r="H943" s="466" t="s">
        <v>2153</v>
      </c>
      <c r="I943" s="466">
        <v>1.0</v>
      </c>
      <c r="J943" s="466"/>
      <c r="K943" s="466" t="s">
        <v>7393</v>
      </c>
      <c r="L943" s="466"/>
      <c r="M943" s="466"/>
      <c r="N943" s="466"/>
      <c r="O943" s="466"/>
      <c r="P943" s="357"/>
      <c r="Q943" s="357"/>
      <c r="R943" s="357"/>
      <c r="S943" s="357"/>
      <c r="T943" s="357"/>
      <c r="U943" s="357"/>
      <c r="V943" s="357"/>
      <c r="W943" s="357"/>
      <c r="X943" s="357"/>
      <c r="Y943" s="357"/>
      <c r="Z943" s="357"/>
    </row>
    <row r="944" ht="15.75" customHeight="1">
      <c r="A944" s="466" t="s">
        <v>8544</v>
      </c>
      <c r="B944" s="466">
        <v>2024.0</v>
      </c>
      <c r="C944" s="466">
        <v>11.0</v>
      </c>
      <c r="D944" s="466">
        <v>45618.0</v>
      </c>
      <c r="E944" s="466"/>
      <c r="F944" s="466"/>
      <c r="G944" s="466" t="s">
        <v>8501</v>
      </c>
      <c r="H944" s="466" t="s">
        <v>6867</v>
      </c>
      <c r="I944" s="466">
        <v>1.0</v>
      </c>
      <c r="J944" s="466"/>
      <c r="K944" s="466" t="s">
        <v>7393</v>
      </c>
      <c r="L944" s="466"/>
      <c r="M944" s="466"/>
      <c r="N944" s="466"/>
      <c r="O944" s="466"/>
      <c r="P944" s="357"/>
      <c r="Q944" s="357"/>
      <c r="R944" s="357"/>
      <c r="S944" s="357"/>
      <c r="T944" s="357"/>
      <c r="U944" s="357"/>
      <c r="V944" s="357"/>
      <c r="W944" s="357"/>
      <c r="X944" s="357"/>
      <c r="Y944" s="357"/>
      <c r="Z944" s="357"/>
    </row>
    <row r="945" ht="15.75" customHeight="1">
      <c r="A945" s="466" t="s">
        <v>8544</v>
      </c>
      <c r="B945" s="466">
        <v>2024.0</v>
      </c>
      <c r="C945" s="466">
        <v>11.0</v>
      </c>
      <c r="D945" s="466">
        <v>45618.0</v>
      </c>
      <c r="E945" s="466"/>
      <c r="F945" s="466"/>
      <c r="G945" s="466" t="s">
        <v>8526</v>
      </c>
      <c r="H945" s="466" t="s">
        <v>7751</v>
      </c>
      <c r="I945" s="466">
        <v>1.0</v>
      </c>
      <c r="J945" s="466"/>
      <c r="K945" s="466" t="s">
        <v>7393</v>
      </c>
      <c r="L945" s="466"/>
      <c r="M945" s="466"/>
      <c r="N945" s="466"/>
      <c r="O945" s="466"/>
      <c r="P945" s="357"/>
      <c r="Q945" s="357"/>
      <c r="R945" s="357"/>
      <c r="S945" s="357"/>
      <c r="T945" s="357"/>
      <c r="U945" s="357"/>
      <c r="V945" s="357"/>
      <c r="W945" s="357"/>
      <c r="X945" s="357"/>
      <c r="Y945" s="357"/>
      <c r="Z945" s="357"/>
    </row>
    <row r="946" ht="15.75" customHeight="1">
      <c r="A946" s="466" t="s">
        <v>8544</v>
      </c>
      <c r="B946" s="466">
        <v>2024.0</v>
      </c>
      <c r="C946" s="466">
        <v>11.0</v>
      </c>
      <c r="D946" s="466">
        <v>45618.0</v>
      </c>
      <c r="E946" s="466" t="s">
        <v>8550</v>
      </c>
      <c r="F946" s="466" t="s">
        <v>8313</v>
      </c>
      <c r="G946" s="466" t="s">
        <v>8501</v>
      </c>
      <c r="H946" s="466" t="s">
        <v>6867</v>
      </c>
      <c r="I946" s="466">
        <v>1.0</v>
      </c>
      <c r="J946" s="466"/>
      <c r="K946" s="466" t="s">
        <v>7393</v>
      </c>
      <c r="L946" s="466">
        <v>25.0</v>
      </c>
      <c r="M946" s="466"/>
      <c r="N946" s="466"/>
      <c r="O946" s="466"/>
      <c r="P946" s="357"/>
      <c r="Q946" s="357"/>
      <c r="R946" s="357"/>
      <c r="S946" s="357"/>
      <c r="T946" s="357"/>
      <c r="U946" s="357"/>
      <c r="V946" s="357"/>
      <c r="W946" s="357"/>
      <c r="X946" s="357"/>
      <c r="Y946" s="357"/>
      <c r="Z946" s="357"/>
    </row>
    <row r="947" ht="15.75" customHeight="1">
      <c r="A947" s="466" t="s">
        <v>8544</v>
      </c>
      <c r="B947" s="466">
        <v>2024.0</v>
      </c>
      <c r="C947" s="466">
        <v>11.0</v>
      </c>
      <c r="D947" s="466">
        <v>45618.0</v>
      </c>
      <c r="E947" s="466" t="s">
        <v>8551</v>
      </c>
      <c r="F947" s="466" t="s">
        <v>8552</v>
      </c>
      <c r="G947" s="466" t="s">
        <v>7075</v>
      </c>
      <c r="H947" s="466"/>
      <c r="I947" s="466">
        <v>1.0</v>
      </c>
      <c r="J947" s="466"/>
      <c r="K947" s="466" t="s">
        <v>7393</v>
      </c>
      <c r="L947" s="466">
        <v>120.0</v>
      </c>
      <c r="M947" s="466"/>
      <c r="N947" s="466"/>
      <c r="O947" s="466"/>
      <c r="P947" s="357"/>
      <c r="Q947" s="357"/>
      <c r="R947" s="357"/>
      <c r="S947" s="357"/>
      <c r="T947" s="357"/>
      <c r="U947" s="357"/>
      <c r="V947" s="357"/>
      <c r="W947" s="357"/>
      <c r="X947" s="357"/>
      <c r="Y947" s="357"/>
      <c r="Z947" s="357"/>
    </row>
    <row r="948" ht="15.75" customHeight="1">
      <c r="A948" s="466" t="s">
        <v>8544</v>
      </c>
      <c r="B948" s="466">
        <v>2024.0</v>
      </c>
      <c r="C948" s="466">
        <v>11.0</v>
      </c>
      <c r="D948" s="466">
        <v>45618.0</v>
      </c>
      <c r="E948" s="466" t="s">
        <v>8246</v>
      </c>
      <c r="F948" s="466" t="s">
        <v>8247</v>
      </c>
      <c r="G948" s="466" t="s">
        <v>7075</v>
      </c>
      <c r="H948" s="466"/>
      <c r="I948" s="466">
        <v>1.0</v>
      </c>
      <c r="J948" s="466"/>
      <c r="K948" s="466" t="s">
        <v>7393</v>
      </c>
      <c r="L948" s="466">
        <v>120.0</v>
      </c>
      <c r="M948" s="466"/>
      <c r="N948" s="466"/>
      <c r="O948" s="466"/>
      <c r="P948" s="357"/>
      <c r="Q948" s="357"/>
      <c r="R948" s="357"/>
      <c r="S948" s="357"/>
      <c r="T948" s="357"/>
      <c r="U948" s="357"/>
      <c r="V948" s="357"/>
      <c r="W948" s="357"/>
      <c r="X948" s="357"/>
      <c r="Y948" s="357"/>
      <c r="Z948" s="357"/>
    </row>
    <row r="949" ht="15.75" customHeight="1">
      <c r="A949" s="466" t="s">
        <v>8544</v>
      </c>
      <c r="B949" s="466">
        <v>2024.0</v>
      </c>
      <c r="C949" s="466">
        <v>11.0</v>
      </c>
      <c r="D949" s="466">
        <v>45619.0</v>
      </c>
      <c r="E949" s="466" t="s">
        <v>7678</v>
      </c>
      <c r="F949" s="466" t="s">
        <v>2778</v>
      </c>
      <c r="G949" s="466" t="s">
        <v>7075</v>
      </c>
      <c r="H949" s="466" t="s">
        <v>8452</v>
      </c>
      <c r="I949" s="466">
        <v>1.0</v>
      </c>
      <c r="J949" s="466"/>
      <c r="K949" s="466" t="s">
        <v>7393</v>
      </c>
      <c r="L949" s="466">
        <v>120.0</v>
      </c>
      <c r="M949" s="466"/>
      <c r="N949" s="466"/>
      <c r="O949" s="466"/>
      <c r="P949" s="357"/>
      <c r="Q949" s="357"/>
      <c r="R949" s="357"/>
      <c r="S949" s="357"/>
      <c r="T949" s="357"/>
      <c r="U949" s="357"/>
      <c r="V949" s="357"/>
      <c r="W949" s="357"/>
      <c r="X949" s="357"/>
      <c r="Y949" s="357"/>
      <c r="Z949" s="357"/>
    </row>
    <row r="950" ht="15.75" customHeight="1">
      <c r="A950" s="466" t="s">
        <v>8544</v>
      </c>
      <c r="B950" s="466">
        <v>2024.0</v>
      </c>
      <c r="C950" s="466">
        <v>11.0</v>
      </c>
      <c r="D950" s="466">
        <v>45619.0</v>
      </c>
      <c r="E950" s="466" t="s">
        <v>2597</v>
      </c>
      <c r="F950" s="466" t="s">
        <v>8553</v>
      </c>
      <c r="G950" s="466" t="s">
        <v>7075</v>
      </c>
      <c r="H950" s="466" t="s">
        <v>8554</v>
      </c>
      <c r="I950" s="466">
        <v>1.0</v>
      </c>
      <c r="J950" s="466"/>
      <c r="K950" s="466" t="s">
        <v>7393</v>
      </c>
      <c r="L950" s="466">
        <v>100.0</v>
      </c>
      <c r="M950" s="466"/>
      <c r="N950" s="466"/>
      <c r="O950" s="466"/>
      <c r="P950" s="357"/>
      <c r="Q950" s="357"/>
      <c r="R950" s="357"/>
      <c r="S950" s="357"/>
      <c r="T950" s="357"/>
      <c r="U950" s="357"/>
      <c r="V950" s="357"/>
      <c r="W950" s="357"/>
      <c r="X950" s="357"/>
      <c r="Y950" s="357"/>
      <c r="Z950" s="357"/>
    </row>
    <row r="951" ht="15.75" customHeight="1">
      <c r="A951" s="466" t="s">
        <v>8544</v>
      </c>
      <c r="B951" s="466">
        <v>2024.0</v>
      </c>
      <c r="C951" s="466">
        <v>11.0</v>
      </c>
      <c r="D951" s="466">
        <v>45619.0</v>
      </c>
      <c r="E951" s="466" t="s">
        <v>2547</v>
      </c>
      <c r="F951" s="466"/>
      <c r="G951" s="466" t="s">
        <v>7075</v>
      </c>
      <c r="H951" s="466" t="s">
        <v>8332</v>
      </c>
      <c r="I951" s="466">
        <v>1.0</v>
      </c>
      <c r="J951" s="466"/>
      <c r="K951" s="466" t="s">
        <v>7393</v>
      </c>
      <c r="L951" s="466">
        <v>95.0</v>
      </c>
      <c r="M951" s="466"/>
      <c r="N951" s="466"/>
      <c r="O951" s="466"/>
      <c r="P951" s="357"/>
      <c r="Q951" s="357"/>
      <c r="R951" s="357"/>
      <c r="S951" s="357"/>
      <c r="T951" s="357"/>
      <c r="U951" s="357"/>
      <c r="V951" s="357"/>
      <c r="W951" s="357"/>
      <c r="X951" s="357"/>
      <c r="Y951" s="357"/>
      <c r="Z951" s="357"/>
    </row>
    <row r="952" ht="15.75" customHeight="1">
      <c r="A952" s="466" t="s">
        <v>8544</v>
      </c>
      <c r="B952" s="466">
        <v>2024.0</v>
      </c>
      <c r="C952" s="466">
        <v>11.0</v>
      </c>
      <c r="D952" s="466">
        <v>45619.0</v>
      </c>
      <c r="E952" s="466" t="s">
        <v>2561</v>
      </c>
      <c r="F952" s="466" t="s">
        <v>8214</v>
      </c>
      <c r="G952" s="466" t="s">
        <v>6613</v>
      </c>
      <c r="H952" s="466"/>
      <c r="I952" s="466">
        <v>1.0</v>
      </c>
      <c r="J952" s="466"/>
      <c r="K952" s="466" t="s">
        <v>7393</v>
      </c>
      <c r="L952" s="466">
        <v>70.0</v>
      </c>
      <c r="M952" s="466"/>
      <c r="N952" s="466"/>
      <c r="O952" s="466"/>
      <c r="P952" s="357"/>
      <c r="Q952" s="357"/>
      <c r="R952" s="357"/>
      <c r="S952" s="357"/>
      <c r="T952" s="357"/>
      <c r="U952" s="357"/>
      <c r="V952" s="357"/>
      <c r="W952" s="357"/>
      <c r="X952" s="357"/>
      <c r="Y952" s="357"/>
      <c r="Z952" s="357"/>
    </row>
    <row r="953" ht="15.75" customHeight="1">
      <c r="A953" s="466" t="s">
        <v>8544</v>
      </c>
      <c r="B953" s="466">
        <v>2024.0</v>
      </c>
      <c r="C953" s="466">
        <v>11.0</v>
      </c>
      <c r="D953" s="466">
        <v>45619.0</v>
      </c>
      <c r="E953" s="466" t="s">
        <v>8555</v>
      </c>
      <c r="F953" s="466" t="s">
        <v>8556</v>
      </c>
      <c r="G953" s="466" t="s">
        <v>7106</v>
      </c>
      <c r="H953" s="466" t="s">
        <v>2459</v>
      </c>
      <c r="I953" s="466">
        <v>1.0</v>
      </c>
      <c r="J953" s="466"/>
      <c r="K953" s="466" t="s">
        <v>7393</v>
      </c>
      <c r="L953" s="466">
        <v>85.0</v>
      </c>
      <c r="M953" s="466"/>
      <c r="N953" s="466"/>
      <c r="O953" s="466"/>
      <c r="P953" s="357"/>
      <c r="Q953" s="357"/>
      <c r="R953" s="357"/>
      <c r="S953" s="357"/>
      <c r="T953" s="357"/>
      <c r="U953" s="357"/>
      <c r="V953" s="357"/>
      <c r="W953" s="357"/>
      <c r="X953" s="357"/>
      <c r="Y953" s="357"/>
      <c r="Z953" s="357"/>
    </row>
    <row r="954" ht="15.75" customHeight="1">
      <c r="A954" s="466" t="s">
        <v>8544</v>
      </c>
      <c r="B954" s="466">
        <v>2024.0</v>
      </c>
      <c r="C954" s="466">
        <v>11.0</v>
      </c>
      <c r="D954" s="466">
        <v>45619.0</v>
      </c>
      <c r="E954" s="466" t="s">
        <v>2547</v>
      </c>
      <c r="F954" s="466"/>
      <c r="G954" s="466" t="s">
        <v>8526</v>
      </c>
      <c r="H954" s="466"/>
      <c r="I954" s="466">
        <v>1.0</v>
      </c>
      <c r="J954" s="466"/>
      <c r="K954" s="466" t="s">
        <v>7393</v>
      </c>
      <c r="L954" s="466">
        <v>25.0</v>
      </c>
      <c r="M954" s="466"/>
      <c r="N954" s="466"/>
      <c r="O954" s="466"/>
      <c r="P954" s="357"/>
      <c r="Q954" s="357"/>
      <c r="R954" s="357"/>
      <c r="S954" s="357"/>
      <c r="T954" s="357"/>
      <c r="U954" s="357"/>
      <c r="V954" s="357"/>
      <c r="W954" s="357"/>
      <c r="X954" s="357"/>
      <c r="Y954" s="357"/>
      <c r="Z954" s="357"/>
    </row>
    <row r="955" ht="15.75" customHeight="1">
      <c r="A955" s="466" t="s">
        <v>8544</v>
      </c>
      <c r="B955" s="466">
        <v>2024.0</v>
      </c>
      <c r="C955" s="466">
        <v>11.0</v>
      </c>
      <c r="D955" s="466">
        <v>45619.0</v>
      </c>
      <c r="E955" s="466" t="s">
        <v>8557</v>
      </c>
      <c r="F955" s="466" t="s">
        <v>8558</v>
      </c>
      <c r="G955" s="466" t="s">
        <v>7075</v>
      </c>
      <c r="H955" s="466" t="s">
        <v>2818</v>
      </c>
      <c r="I955" s="466">
        <v>1.0</v>
      </c>
      <c r="J955" s="466"/>
      <c r="K955" s="466" t="s">
        <v>7393</v>
      </c>
      <c r="L955" s="466">
        <v>120.0</v>
      </c>
      <c r="M955" s="466"/>
      <c r="N955" s="466"/>
      <c r="O955" s="466"/>
      <c r="P955" s="357"/>
      <c r="Q955" s="357"/>
      <c r="R955" s="357"/>
      <c r="S955" s="357"/>
      <c r="T955" s="357"/>
      <c r="U955" s="357"/>
      <c r="V955" s="357"/>
      <c r="W955" s="357"/>
      <c r="X955" s="357"/>
      <c r="Y955" s="357"/>
      <c r="Z955" s="357"/>
    </row>
    <row r="956" ht="15.75" customHeight="1">
      <c r="A956" s="466" t="s">
        <v>8544</v>
      </c>
      <c r="B956" s="466">
        <v>2024.0</v>
      </c>
      <c r="C956" s="466">
        <v>11.0</v>
      </c>
      <c r="D956" s="466">
        <v>45619.0</v>
      </c>
      <c r="E956" s="466" t="s">
        <v>8559</v>
      </c>
      <c r="F956" s="466"/>
      <c r="G956" s="466" t="s">
        <v>7100</v>
      </c>
      <c r="H956" s="466" t="s">
        <v>8560</v>
      </c>
      <c r="I956" s="466">
        <v>1.0</v>
      </c>
      <c r="J956" s="466"/>
      <c r="K956" s="466" t="s">
        <v>2511</v>
      </c>
      <c r="L956" s="466">
        <v>135.0</v>
      </c>
      <c r="M956" s="466"/>
      <c r="N956" s="466"/>
      <c r="O956" s="466"/>
      <c r="P956" s="357"/>
      <c r="Q956" s="357"/>
      <c r="R956" s="357"/>
      <c r="S956" s="357"/>
      <c r="T956" s="357"/>
      <c r="U956" s="357"/>
      <c r="V956" s="357"/>
      <c r="W956" s="357"/>
      <c r="X956" s="357"/>
      <c r="Y956" s="357"/>
      <c r="Z956" s="357"/>
    </row>
    <row r="957" ht="15.75" customHeight="1">
      <c r="A957" s="466" t="s">
        <v>8544</v>
      </c>
      <c r="B957" s="466">
        <v>2024.0</v>
      </c>
      <c r="C957" s="466">
        <v>11.0</v>
      </c>
      <c r="D957" s="466">
        <v>45619.0</v>
      </c>
      <c r="E957" s="466" t="s">
        <v>8471</v>
      </c>
      <c r="F957" s="466" t="s">
        <v>8561</v>
      </c>
      <c r="G957" s="466" t="s">
        <v>7075</v>
      </c>
      <c r="H957" s="466" t="s">
        <v>7104</v>
      </c>
      <c r="I957" s="466">
        <v>1.0</v>
      </c>
      <c r="J957" s="466"/>
      <c r="K957" s="466" t="s">
        <v>7393</v>
      </c>
      <c r="L957" s="466">
        <v>110.0</v>
      </c>
      <c r="M957" s="466"/>
      <c r="N957" s="466"/>
      <c r="O957" s="466"/>
      <c r="P957" s="357"/>
      <c r="Q957" s="357"/>
      <c r="R957" s="357"/>
      <c r="S957" s="357"/>
      <c r="T957" s="357"/>
      <c r="U957" s="357"/>
      <c r="V957" s="357"/>
      <c r="W957" s="357"/>
      <c r="X957" s="357"/>
      <c r="Y957" s="357"/>
      <c r="Z957" s="357"/>
    </row>
    <row r="958" ht="15.75" customHeight="1">
      <c r="A958" s="466" t="s">
        <v>8160</v>
      </c>
      <c r="B958" s="466">
        <v>2024.0</v>
      </c>
      <c r="C958" s="466">
        <v>11.0</v>
      </c>
      <c r="D958" s="466">
        <v>45621.0</v>
      </c>
      <c r="E958" s="466" t="s">
        <v>2566</v>
      </c>
      <c r="F958" s="466" t="s">
        <v>2551</v>
      </c>
      <c r="G958" s="466" t="s">
        <v>7075</v>
      </c>
      <c r="H958" s="466" t="s">
        <v>2818</v>
      </c>
      <c r="I958" s="466">
        <v>1.0</v>
      </c>
      <c r="J958" s="466"/>
      <c r="K958" s="466" t="s">
        <v>8562</v>
      </c>
      <c r="L958" s="466">
        <v>96.0</v>
      </c>
      <c r="M958" s="466"/>
      <c r="N958" s="466"/>
      <c r="O958" s="466"/>
      <c r="P958" s="357"/>
      <c r="Q958" s="357"/>
      <c r="R958" s="357"/>
      <c r="S958" s="357"/>
      <c r="T958" s="357"/>
      <c r="U958" s="357"/>
      <c r="V958" s="357"/>
      <c r="W958" s="357"/>
      <c r="X958" s="357"/>
      <c r="Y958" s="357"/>
      <c r="Z958" s="357"/>
    </row>
    <row r="959" ht="15.75" customHeight="1">
      <c r="A959" s="466" t="s">
        <v>8160</v>
      </c>
      <c r="B959" s="466">
        <v>2024.0</v>
      </c>
      <c r="C959" s="466">
        <v>11.0</v>
      </c>
      <c r="D959" s="466">
        <v>45623.0</v>
      </c>
      <c r="E959" s="466" t="s">
        <v>7820</v>
      </c>
      <c r="F959" s="466" t="s">
        <v>8563</v>
      </c>
      <c r="G959" s="466" t="s">
        <v>7075</v>
      </c>
      <c r="H959" s="466" t="s">
        <v>8467</v>
      </c>
      <c r="I959" s="466">
        <v>1.0</v>
      </c>
      <c r="J959" s="466"/>
      <c r="K959" s="466" t="s">
        <v>8168</v>
      </c>
      <c r="L959" s="466">
        <v>120.0</v>
      </c>
      <c r="M959" s="466"/>
      <c r="N959" s="466"/>
      <c r="O959" s="466"/>
      <c r="P959" s="357"/>
      <c r="Q959" s="357"/>
      <c r="R959" s="357"/>
      <c r="S959" s="357"/>
      <c r="T959" s="357"/>
      <c r="U959" s="357"/>
      <c r="V959" s="357"/>
      <c r="W959" s="357"/>
      <c r="X959" s="357"/>
      <c r="Y959" s="357"/>
      <c r="Z959" s="357"/>
    </row>
    <row r="960" ht="15.75" customHeight="1">
      <c r="A960" s="466" t="s">
        <v>8160</v>
      </c>
      <c r="B960" s="466">
        <v>2024.0</v>
      </c>
      <c r="C960" s="466">
        <v>11.0</v>
      </c>
      <c r="D960" s="466">
        <v>45624.0</v>
      </c>
      <c r="E960" s="466" t="s">
        <v>2561</v>
      </c>
      <c r="F960" s="466" t="s">
        <v>8564</v>
      </c>
      <c r="G960" s="466" t="s">
        <v>8501</v>
      </c>
      <c r="H960" s="466" t="s">
        <v>8565</v>
      </c>
      <c r="I960" s="466">
        <v>1.0</v>
      </c>
      <c r="J960" s="466"/>
      <c r="K960" s="466" t="s">
        <v>8168</v>
      </c>
      <c r="L960" s="466">
        <v>28.0</v>
      </c>
      <c r="M960" s="466"/>
      <c r="N960" s="466"/>
      <c r="O960" s="466"/>
      <c r="P960" s="357"/>
      <c r="Q960" s="357"/>
      <c r="R960" s="357"/>
      <c r="S960" s="357"/>
      <c r="T960" s="357"/>
      <c r="U960" s="357"/>
      <c r="V960" s="357"/>
      <c r="W960" s="357"/>
      <c r="X960" s="357"/>
      <c r="Y960" s="357"/>
      <c r="Z960" s="357"/>
    </row>
    <row r="961" ht="15.75" customHeight="1">
      <c r="A961" s="466" t="s">
        <v>8160</v>
      </c>
      <c r="B961" s="466">
        <v>2024.0</v>
      </c>
      <c r="C961" s="466">
        <v>11.0</v>
      </c>
      <c r="D961" s="466">
        <v>45626.0</v>
      </c>
      <c r="E961" s="466" t="s">
        <v>8566</v>
      </c>
      <c r="F961" s="466" t="s">
        <v>8567</v>
      </c>
      <c r="G961" s="466" t="s">
        <v>7075</v>
      </c>
      <c r="H961" s="466" t="s">
        <v>8568</v>
      </c>
      <c r="I961" s="466">
        <v>1.0</v>
      </c>
      <c r="J961" s="466"/>
      <c r="K961" s="466" t="s">
        <v>7393</v>
      </c>
      <c r="L961" s="466">
        <v>100.0</v>
      </c>
      <c r="M961" s="466"/>
      <c r="N961" s="466"/>
      <c r="O961" s="466"/>
      <c r="P961" s="357"/>
      <c r="Q961" s="357"/>
      <c r="R961" s="357"/>
      <c r="S961" s="357"/>
      <c r="T961" s="357"/>
      <c r="U961" s="357"/>
      <c r="V961" s="357"/>
      <c r="W961" s="357"/>
      <c r="X961" s="357"/>
      <c r="Y961" s="357"/>
      <c r="Z961" s="357"/>
    </row>
    <row r="962" ht="15.75" customHeight="1">
      <c r="A962" s="466" t="s">
        <v>8160</v>
      </c>
      <c r="B962" s="466">
        <v>2024.0</v>
      </c>
      <c r="C962" s="466">
        <v>11.0</v>
      </c>
      <c r="D962" s="466">
        <v>45626.0</v>
      </c>
      <c r="E962" s="466" t="s">
        <v>8566</v>
      </c>
      <c r="F962" s="466" t="s">
        <v>8567</v>
      </c>
      <c r="G962" s="466" t="s">
        <v>8526</v>
      </c>
      <c r="H962" s="466" t="s">
        <v>8569</v>
      </c>
      <c r="I962" s="466">
        <v>1.0</v>
      </c>
      <c r="J962" s="466"/>
      <c r="K962" s="466" t="s">
        <v>7393</v>
      </c>
      <c r="L962" s="466">
        <v>27.0</v>
      </c>
      <c r="M962" s="466"/>
      <c r="N962" s="466"/>
      <c r="O962" s="466"/>
      <c r="P962" s="357"/>
      <c r="Q962" s="357"/>
      <c r="R962" s="357"/>
      <c r="S962" s="357"/>
      <c r="T962" s="357"/>
      <c r="U962" s="357"/>
      <c r="V962" s="357"/>
      <c r="W962" s="357"/>
      <c r="X962" s="357"/>
      <c r="Y962" s="357"/>
      <c r="Z962" s="357"/>
    </row>
    <row r="963" ht="15.75" customHeight="1">
      <c r="A963" s="466" t="s">
        <v>8160</v>
      </c>
      <c r="B963" s="466">
        <v>2024.0</v>
      </c>
      <c r="C963" s="466">
        <v>11.0</v>
      </c>
      <c r="D963" s="466">
        <v>45626.0</v>
      </c>
      <c r="E963" s="466" t="s">
        <v>2586</v>
      </c>
      <c r="F963" s="466" t="s">
        <v>8570</v>
      </c>
      <c r="G963" s="466" t="s">
        <v>7075</v>
      </c>
      <c r="H963" s="466" t="s">
        <v>8571</v>
      </c>
      <c r="I963" s="466">
        <v>1.0</v>
      </c>
      <c r="J963" s="466"/>
      <c r="K963" s="466" t="s">
        <v>7393</v>
      </c>
      <c r="L963" s="466">
        <v>120.0</v>
      </c>
      <c r="M963" s="466"/>
      <c r="N963" s="466"/>
      <c r="O963" s="466"/>
      <c r="P963" s="357"/>
      <c r="Q963" s="357"/>
      <c r="R963" s="357"/>
      <c r="S963" s="357"/>
      <c r="T963" s="357"/>
      <c r="U963" s="357"/>
      <c r="V963" s="357"/>
      <c r="W963" s="357"/>
      <c r="X963" s="357"/>
      <c r="Y963" s="357"/>
      <c r="Z963" s="357"/>
    </row>
    <row r="964" ht="15.75" customHeight="1">
      <c r="A964" s="466" t="s">
        <v>8160</v>
      </c>
      <c r="B964" s="466">
        <v>2024.0</v>
      </c>
      <c r="C964" s="466">
        <v>11.0</v>
      </c>
      <c r="D964" s="466">
        <v>45626.0</v>
      </c>
      <c r="E964" s="466" t="s">
        <v>2647</v>
      </c>
      <c r="F964" s="466" t="s">
        <v>8572</v>
      </c>
      <c r="G964" s="466" t="s">
        <v>7611</v>
      </c>
      <c r="H964" s="466" t="s">
        <v>8573</v>
      </c>
      <c r="I964" s="466">
        <v>1.0</v>
      </c>
      <c r="J964" s="466"/>
      <c r="K964" s="466" t="s">
        <v>7393</v>
      </c>
      <c r="L964" s="466">
        <v>130.0</v>
      </c>
      <c r="M964" s="466"/>
      <c r="N964" s="466"/>
      <c r="O964" s="466"/>
      <c r="P964" s="357"/>
      <c r="Q964" s="357"/>
      <c r="R964" s="357"/>
      <c r="S964" s="357"/>
      <c r="T964" s="357"/>
      <c r="U964" s="357"/>
      <c r="V964" s="357"/>
      <c r="W964" s="357"/>
      <c r="X964" s="357"/>
      <c r="Y964" s="357"/>
      <c r="Z964" s="357"/>
    </row>
    <row r="965" ht="15.75" customHeight="1">
      <c r="A965" s="466" t="s">
        <v>8160</v>
      </c>
      <c r="B965" s="466">
        <v>2024.0</v>
      </c>
      <c r="C965" s="466">
        <v>11.0</v>
      </c>
      <c r="D965" s="466">
        <v>45626.0</v>
      </c>
      <c r="E965" s="466" t="s">
        <v>2647</v>
      </c>
      <c r="F965" s="466" t="s">
        <v>8572</v>
      </c>
      <c r="G965" s="466" t="s">
        <v>8501</v>
      </c>
      <c r="H965" s="466" t="s">
        <v>8574</v>
      </c>
      <c r="I965" s="466">
        <v>1.0</v>
      </c>
      <c r="J965" s="466"/>
      <c r="K965" s="466" t="s">
        <v>7393</v>
      </c>
      <c r="L965" s="466"/>
      <c r="M965" s="466"/>
      <c r="N965" s="466"/>
      <c r="O965" s="466"/>
      <c r="P965" s="357"/>
      <c r="Q965" s="357"/>
      <c r="R965" s="357"/>
      <c r="S965" s="357"/>
      <c r="T965" s="357"/>
      <c r="U965" s="357"/>
      <c r="V965" s="357"/>
      <c r="W965" s="357"/>
      <c r="X965" s="357"/>
      <c r="Y965" s="357"/>
      <c r="Z965" s="357"/>
    </row>
    <row r="966" ht="15.75" customHeight="1">
      <c r="A966" s="466" t="s">
        <v>8160</v>
      </c>
      <c r="B966" s="466">
        <v>2024.0</v>
      </c>
      <c r="C966" s="466">
        <v>11.0</v>
      </c>
      <c r="D966" s="466">
        <v>45626.0</v>
      </c>
      <c r="E966" s="466" t="s">
        <v>2647</v>
      </c>
      <c r="F966" s="466" t="s">
        <v>8572</v>
      </c>
      <c r="G966" s="466" t="s">
        <v>8501</v>
      </c>
      <c r="H966" s="466" t="s">
        <v>8574</v>
      </c>
      <c r="I966" s="466">
        <v>1.0</v>
      </c>
      <c r="J966" s="466"/>
      <c r="K966" s="466" t="s">
        <v>7393</v>
      </c>
      <c r="L966" s="466"/>
      <c r="M966" s="466"/>
      <c r="N966" s="466"/>
      <c r="O966" s="466"/>
      <c r="P966" s="357"/>
      <c r="Q966" s="357"/>
      <c r="R966" s="357"/>
      <c r="S966" s="357"/>
      <c r="T966" s="357"/>
      <c r="U966" s="357"/>
      <c r="V966" s="357"/>
      <c r="W966" s="357"/>
      <c r="X966" s="357"/>
      <c r="Y966" s="357"/>
      <c r="Z966" s="357"/>
    </row>
    <row r="967" ht="15.75" customHeight="1">
      <c r="A967" s="466" t="s">
        <v>8160</v>
      </c>
      <c r="B967" s="466">
        <v>2024.0</v>
      </c>
      <c r="C967" s="466">
        <v>11.0</v>
      </c>
      <c r="D967" s="466">
        <v>45626.0</v>
      </c>
      <c r="E967" s="466" t="s">
        <v>7530</v>
      </c>
      <c r="F967" s="466" t="s">
        <v>8319</v>
      </c>
      <c r="G967" s="466" t="s">
        <v>7075</v>
      </c>
      <c r="H967" s="466" t="s">
        <v>8467</v>
      </c>
      <c r="I967" s="466">
        <v>1.0</v>
      </c>
      <c r="J967" s="466"/>
      <c r="K967" s="466" t="s">
        <v>2511</v>
      </c>
      <c r="L967" s="466">
        <v>120.0</v>
      </c>
      <c r="M967" s="466"/>
      <c r="N967" s="466"/>
      <c r="O967" s="466"/>
      <c r="P967" s="357"/>
      <c r="Q967" s="357"/>
      <c r="R967" s="357"/>
      <c r="S967" s="357"/>
      <c r="T967" s="357"/>
      <c r="U967" s="357"/>
      <c r="V967" s="357"/>
      <c r="W967" s="357"/>
      <c r="X967" s="357"/>
      <c r="Y967" s="357"/>
      <c r="Z967" s="357"/>
    </row>
    <row r="968" ht="15.75" customHeight="1">
      <c r="A968" s="466" t="s">
        <v>8160</v>
      </c>
      <c r="B968" s="466">
        <v>2024.0</v>
      </c>
      <c r="C968" s="466">
        <v>11.0</v>
      </c>
      <c r="D968" s="466">
        <v>45626.0</v>
      </c>
      <c r="E968" s="466" t="s">
        <v>7530</v>
      </c>
      <c r="F968" s="466" t="s">
        <v>8319</v>
      </c>
      <c r="G968" s="466" t="s">
        <v>8501</v>
      </c>
      <c r="H968" s="466" t="s">
        <v>8574</v>
      </c>
      <c r="I968" s="466">
        <v>1.0</v>
      </c>
      <c r="J968" s="466"/>
      <c r="K968" s="466"/>
      <c r="L968" s="466"/>
      <c r="M968" s="466"/>
      <c r="N968" s="466"/>
      <c r="O968" s="466"/>
      <c r="P968" s="357"/>
      <c r="Q968" s="357"/>
      <c r="R968" s="357"/>
      <c r="S968" s="357"/>
      <c r="T968" s="357"/>
      <c r="U968" s="357"/>
      <c r="V968" s="357"/>
      <c r="W968" s="357"/>
      <c r="X968" s="357"/>
      <c r="Y968" s="357"/>
      <c r="Z968" s="357"/>
    </row>
    <row r="969" ht="15.75" customHeight="1">
      <c r="A969" s="466" t="s">
        <v>8160</v>
      </c>
      <c r="B969" s="466">
        <v>2024.0</v>
      </c>
      <c r="C969" s="466">
        <v>11.0</v>
      </c>
      <c r="D969" s="466">
        <v>45626.0</v>
      </c>
      <c r="E969" s="466" t="s">
        <v>8575</v>
      </c>
      <c r="F969" s="466"/>
      <c r="G969" s="466" t="s">
        <v>6613</v>
      </c>
      <c r="H969" s="466" t="s">
        <v>8576</v>
      </c>
      <c r="I969" s="466">
        <v>1.0</v>
      </c>
      <c r="J969" s="466"/>
      <c r="K969" s="466" t="s">
        <v>2511</v>
      </c>
      <c r="L969" s="466">
        <v>65.0</v>
      </c>
      <c r="M969" s="466"/>
      <c r="N969" s="466"/>
      <c r="O969" s="466"/>
      <c r="P969" s="357"/>
      <c r="Q969" s="357"/>
      <c r="R969" s="357"/>
      <c r="S969" s="357"/>
      <c r="T969" s="357"/>
      <c r="U969" s="357"/>
      <c r="V969" s="357"/>
      <c r="W969" s="357"/>
      <c r="X969" s="357"/>
      <c r="Y969" s="357"/>
      <c r="Z969" s="357"/>
    </row>
    <row r="970" ht="15.75" customHeight="1">
      <c r="A970" s="466" t="s">
        <v>8160</v>
      </c>
      <c r="B970" s="466">
        <v>2024.0</v>
      </c>
      <c r="C970" s="466">
        <v>11.0</v>
      </c>
      <c r="D970" s="466">
        <v>45626.0</v>
      </c>
      <c r="E970" s="466" t="s">
        <v>2561</v>
      </c>
      <c r="F970" s="466" t="s">
        <v>8577</v>
      </c>
      <c r="G970" s="466" t="s">
        <v>7611</v>
      </c>
      <c r="H970" s="466" t="s">
        <v>8533</v>
      </c>
      <c r="I970" s="466">
        <v>1.0</v>
      </c>
      <c r="J970" s="466"/>
      <c r="K970" s="466" t="s">
        <v>7393</v>
      </c>
      <c r="L970" s="466">
        <v>95.0</v>
      </c>
      <c r="M970" s="466"/>
      <c r="N970" s="466"/>
      <c r="O970" s="466"/>
      <c r="P970" s="357"/>
      <c r="Q970" s="357"/>
      <c r="R970" s="357"/>
      <c r="S970" s="357"/>
      <c r="T970" s="357"/>
      <c r="U970" s="357"/>
      <c r="V970" s="357"/>
      <c r="W970" s="357"/>
      <c r="X970" s="357"/>
      <c r="Y970" s="357"/>
      <c r="Z970" s="357"/>
    </row>
    <row r="971" ht="15.75" customHeight="1">
      <c r="A971" s="466" t="s">
        <v>8160</v>
      </c>
      <c r="B971" s="466">
        <v>2024.0</v>
      </c>
      <c r="C971" s="466">
        <v>11.0</v>
      </c>
      <c r="D971" s="466">
        <v>45626.0</v>
      </c>
      <c r="E971" s="466" t="s">
        <v>7805</v>
      </c>
      <c r="F971" s="466" t="s">
        <v>8578</v>
      </c>
      <c r="G971" s="466" t="s">
        <v>7075</v>
      </c>
      <c r="H971" s="466" t="s">
        <v>8579</v>
      </c>
      <c r="I971" s="466">
        <v>1.0</v>
      </c>
      <c r="J971" s="466"/>
      <c r="K971" s="466" t="s">
        <v>7393</v>
      </c>
      <c r="L971" s="466">
        <v>120.0</v>
      </c>
      <c r="M971" s="466"/>
      <c r="N971" s="466"/>
      <c r="O971" s="466"/>
      <c r="P971" s="357"/>
      <c r="Q971" s="357"/>
      <c r="R971" s="357"/>
      <c r="S971" s="357"/>
      <c r="T971" s="357"/>
      <c r="U971" s="357"/>
      <c r="V971" s="357"/>
      <c r="W971" s="357"/>
      <c r="X971" s="357"/>
      <c r="Y971" s="357"/>
      <c r="Z971" s="357"/>
    </row>
    <row r="972" ht="15.75" customHeight="1">
      <c r="A972" s="466" t="s">
        <v>8160</v>
      </c>
      <c r="B972" s="466">
        <v>2024.0</v>
      </c>
      <c r="C972" s="466">
        <v>11.0</v>
      </c>
      <c r="D972" s="466">
        <v>45626.0</v>
      </c>
      <c r="E972" s="466" t="s">
        <v>7805</v>
      </c>
      <c r="F972" s="466" t="s">
        <v>8578</v>
      </c>
      <c r="G972" s="466" t="s">
        <v>7075</v>
      </c>
      <c r="H972" s="466" t="s">
        <v>8580</v>
      </c>
      <c r="I972" s="466">
        <v>1.0</v>
      </c>
      <c r="J972" s="466"/>
      <c r="K972" s="466" t="s">
        <v>7393</v>
      </c>
      <c r="L972" s="466">
        <v>120.0</v>
      </c>
      <c r="M972" s="466"/>
      <c r="N972" s="466"/>
      <c r="O972" s="466"/>
      <c r="P972" s="357"/>
      <c r="Q972" s="357"/>
      <c r="R972" s="357"/>
      <c r="S972" s="357"/>
      <c r="T972" s="357"/>
      <c r="U972" s="357"/>
      <c r="V972" s="357"/>
      <c r="W972" s="357"/>
      <c r="X972" s="357"/>
      <c r="Y972" s="357"/>
      <c r="Z972" s="357"/>
    </row>
    <row r="973" ht="15.75" customHeight="1">
      <c r="A973" s="466" t="s">
        <v>8160</v>
      </c>
      <c r="B973" s="466">
        <v>2024.0</v>
      </c>
      <c r="C973" s="466">
        <v>12.0</v>
      </c>
      <c r="D973" s="466">
        <v>45627.0</v>
      </c>
      <c r="E973" s="466" t="s">
        <v>8581</v>
      </c>
      <c r="F973" s="466" t="s">
        <v>8582</v>
      </c>
      <c r="G973" s="466" t="s">
        <v>7075</v>
      </c>
      <c r="H973" s="466" t="s">
        <v>2153</v>
      </c>
      <c r="I973" s="466">
        <v>1.0</v>
      </c>
      <c r="J973" s="466"/>
      <c r="K973" s="466" t="s">
        <v>8583</v>
      </c>
      <c r="L973" s="466">
        <v>120.0</v>
      </c>
      <c r="M973" s="466"/>
      <c r="N973" s="466"/>
      <c r="O973" s="466"/>
      <c r="P973" s="357"/>
      <c r="Q973" s="357"/>
      <c r="R973" s="357"/>
      <c r="S973" s="357"/>
      <c r="T973" s="357"/>
      <c r="U973" s="357"/>
      <c r="V973" s="357"/>
      <c r="W973" s="357"/>
      <c r="X973" s="357"/>
      <c r="Y973" s="357"/>
      <c r="Z973" s="357"/>
    </row>
    <row r="974" ht="15.75" customHeight="1">
      <c r="A974" s="466" t="s">
        <v>8160</v>
      </c>
      <c r="B974" s="466">
        <v>2024.0</v>
      </c>
      <c r="C974" s="466">
        <v>12.0</v>
      </c>
      <c r="D974" s="466">
        <v>45628.0</v>
      </c>
      <c r="E974" s="466" t="s">
        <v>8584</v>
      </c>
      <c r="F974" s="466" t="s">
        <v>8585</v>
      </c>
      <c r="G974" s="466" t="s">
        <v>7075</v>
      </c>
      <c r="H974" s="466" t="s">
        <v>8467</v>
      </c>
      <c r="I974" s="466">
        <v>1.0</v>
      </c>
      <c r="J974" s="466"/>
      <c r="K974" s="466" t="s">
        <v>8168</v>
      </c>
      <c r="L974" s="466">
        <v>126.9</v>
      </c>
      <c r="M974" s="466"/>
      <c r="N974" s="466"/>
      <c r="O974" s="466"/>
      <c r="P974" s="357"/>
      <c r="Q974" s="357"/>
      <c r="R974" s="357"/>
      <c r="S974" s="357"/>
      <c r="T974" s="357"/>
      <c r="U974" s="357"/>
      <c r="V974" s="357"/>
      <c r="W974" s="357"/>
      <c r="X974" s="357"/>
      <c r="Y974" s="357"/>
      <c r="Z974" s="357"/>
    </row>
    <row r="975" ht="15.75" customHeight="1">
      <c r="A975" s="466" t="s">
        <v>8160</v>
      </c>
      <c r="B975" s="466">
        <v>2024.0</v>
      </c>
      <c r="C975" s="466">
        <v>12.0</v>
      </c>
      <c r="D975" s="466">
        <v>45627.0</v>
      </c>
      <c r="E975" s="466" t="s">
        <v>8586</v>
      </c>
      <c r="F975" s="466" t="s">
        <v>2562</v>
      </c>
      <c r="G975" s="466" t="s">
        <v>7106</v>
      </c>
      <c r="H975" s="466" t="s">
        <v>8587</v>
      </c>
      <c r="I975" s="466">
        <v>1.0</v>
      </c>
      <c r="J975" s="466"/>
      <c r="K975" s="466" t="s">
        <v>8588</v>
      </c>
      <c r="L975" s="466">
        <v>60.0</v>
      </c>
      <c r="M975" s="466"/>
      <c r="N975" s="466"/>
      <c r="O975" s="466"/>
      <c r="P975" s="357"/>
      <c r="Q975" s="357"/>
      <c r="R975" s="357"/>
      <c r="S975" s="357"/>
      <c r="T975" s="357"/>
      <c r="U975" s="357"/>
      <c r="V975" s="357"/>
      <c r="W975" s="357"/>
      <c r="X975" s="357"/>
      <c r="Y975" s="357"/>
      <c r="Z975" s="357"/>
    </row>
    <row r="976" ht="15.75" customHeight="1">
      <c r="A976" s="466" t="s">
        <v>8160</v>
      </c>
      <c r="B976" s="466">
        <v>2024.0</v>
      </c>
      <c r="C976" s="466">
        <v>12.0</v>
      </c>
      <c r="D976" s="466">
        <v>45629.0</v>
      </c>
      <c r="E976" s="466" t="s">
        <v>8589</v>
      </c>
      <c r="F976" s="466"/>
      <c r="G976" s="466" t="s">
        <v>7100</v>
      </c>
      <c r="H976" s="466" t="s">
        <v>248</v>
      </c>
      <c r="I976" s="466">
        <v>1.0</v>
      </c>
      <c r="J976" s="466"/>
      <c r="K976" s="466" t="s">
        <v>2511</v>
      </c>
      <c r="L976" s="466">
        <v>136.0</v>
      </c>
      <c r="M976" s="466"/>
      <c r="N976" s="466"/>
      <c r="O976" s="466"/>
      <c r="P976" s="357"/>
      <c r="Q976" s="357"/>
      <c r="R976" s="357"/>
      <c r="S976" s="357"/>
      <c r="T976" s="357"/>
      <c r="U976" s="357"/>
      <c r="V976" s="357"/>
      <c r="W976" s="357"/>
      <c r="X976" s="357"/>
      <c r="Y976" s="357"/>
      <c r="Z976" s="357"/>
    </row>
    <row r="977" ht="15.75" customHeight="1">
      <c r="A977" s="466" t="s">
        <v>8160</v>
      </c>
      <c r="B977" s="466">
        <v>2024.0</v>
      </c>
      <c r="C977" s="466">
        <v>12.0</v>
      </c>
      <c r="D977" s="466">
        <v>45629.0</v>
      </c>
      <c r="E977" s="466" t="s">
        <v>8590</v>
      </c>
      <c r="F977" s="466" t="s">
        <v>8591</v>
      </c>
      <c r="G977" s="466" t="s">
        <v>8509</v>
      </c>
      <c r="H977" s="466" t="s">
        <v>201</v>
      </c>
      <c r="I977" s="466">
        <v>1.0</v>
      </c>
      <c r="J977" s="466"/>
      <c r="K977" s="466" t="s">
        <v>2511</v>
      </c>
      <c r="L977" s="466">
        <v>28.0</v>
      </c>
      <c r="M977" s="466"/>
      <c r="N977" s="466"/>
      <c r="O977" s="466"/>
      <c r="P977" s="357"/>
      <c r="Q977" s="357"/>
      <c r="R977" s="357"/>
      <c r="S977" s="357"/>
      <c r="T977" s="357"/>
      <c r="U977" s="357"/>
      <c r="V977" s="357"/>
      <c r="W977" s="357"/>
      <c r="X977" s="357"/>
      <c r="Y977" s="357"/>
      <c r="Z977" s="357"/>
    </row>
    <row r="978" ht="15.75" customHeight="1">
      <c r="A978" s="466" t="s">
        <v>8160</v>
      </c>
      <c r="B978" s="466">
        <v>2024.0</v>
      </c>
      <c r="C978" s="466">
        <v>12.0</v>
      </c>
      <c r="D978" s="466">
        <v>45631.0</v>
      </c>
      <c r="E978" s="466" t="s">
        <v>8592</v>
      </c>
      <c r="F978" s="466" t="s">
        <v>8593</v>
      </c>
      <c r="G978" s="466" t="s">
        <v>7075</v>
      </c>
      <c r="H978" s="466"/>
      <c r="I978" s="466">
        <v>1.0</v>
      </c>
      <c r="J978" s="466"/>
      <c r="K978" s="466" t="s">
        <v>8594</v>
      </c>
      <c r="L978" s="466">
        <v>91.9</v>
      </c>
      <c r="M978" s="466"/>
      <c r="N978" s="466"/>
      <c r="O978" s="466"/>
      <c r="P978" s="357"/>
      <c r="Q978" s="357"/>
      <c r="R978" s="357"/>
      <c r="S978" s="357"/>
      <c r="T978" s="357"/>
      <c r="U978" s="357"/>
      <c r="V978" s="357"/>
      <c r="W978" s="357"/>
      <c r="X978" s="357"/>
      <c r="Y978" s="357"/>
      <c r="Z978" s="357"/>
    </row>
    <row r="979" ht="15.75" customHeight="1">
      <c r="A979" s="466" t="s">
        <v>8595</v>
      </c>
      <c r="B979" s="466">
        <v>2024.0</v>
      </c>
      <c r="C979" s="466">
        <v>12.0</v>
      </c>
      <c r="D979" s="466">
        <v>45635.0</v>
      </c>
      <c r="E979" s="466" t="s">
        <v>2623</v>
      </c>
      <c r="F979" s="466" t="s">
        <v>8596</v>
      </c>
      <c r="G979" s="466" t="s">
        <v>7611</v>
      </c>
      <c r="H979" s="466" t="s">
        <v>8597</v>
      </c>
      <c r="I979" s="466">
        <v>1.0</v>
      </c>
      <c r="J979" s="466"/>
      <c r="K979" s="466" t="s">
        <v>7393</v>
      </c>
      <c r="L979" s="466">
        <v>85.0</v>
      </c>
      <c r="M979" s="466"/>
      <c r="N979" s="466"/>
      <c r="O979" s="466"/>
      <c r="P979" s="357"/>
      <c r="Q979" s="357"/>
      <c r="R979" s="357"/>
      <c r="S979" s="357"/>
      <c r="T979" s="357"/>
      <c r="U979" s="357"/>
      <c r="V979" s="357"/>
      <c r="W979" s="357"/>
      <c r="X979" s="357"/>
      <c r="Y979" s="357"/>
      <c r="Z979" s="357"/>
    </row>
    <row r="980" ht="15.75" customHeight="1">
      <c r="A980" s="466" t="s">
        <v>8595</v>
      </c>
      <c r="B980" s="466">
        <v>2024.0</v>
      </c>
      <c r="C980" s="466">
        <v>12.0</v>
      </c>
      <c r="D980" s="466">
        <v>45635.0</v>
      </c>
      <c r="E980" s="466" t="s">
        <v>8471</v>
      </c>
      <c r="F980" s="466" t="s">
        <v>8472</v>
      </c>
      <c r="G980" s="466" t="s">
        <v>6613</v>
      </c>
      <c r="H980" s="466" t="s">
        <v>8598</v>
      </c>
      <c r="I980" s="466">
        <v>1.0</v>
      </c>
      <c r="J980" s="466"/>
      <c r="K980" s="466" t="s">
        <v>2511</v>
      </c>
      <c r="L980" s="466">
        <v>60.0</v>
      </c>
      <c r="M980" s="466"/>
      <c r="N980" s="466"/>
      <c r="O980" s="466"/>
      <c r="P980" s="357"/>
      <c r="Q980" s="357"/>
      <c r="R980" s="357"/>
      <c r="S980" s="357"/>
      <c r="T980" s="357"/>
      <c r="U980" s="357"/>
      <c r="V980" s="357"/>
      <c r="W980" s="357"/>
      <c r="X980" s="357"/>
      <c r="Y980" s="357"/>
      <c r="Z980" s="357"/>
    </row>
    <row r="981" ht="15.75" customHeight="1">
      <c r="A981" s="466" t="s">
        <v>8595</v>
      </c>
      <c r="B981" s="466">
        <v>2024.0</v>
      </c>
      <c r="C981" s="466">
        <v>12.0</v>
      </c>
      <c r="D981" s="466">
        <v>45635.0</v>
      </c>
      <c r="E981" s="466" t="s">
        <v>8599</v>
      </c>
      <c r="F981" s="466"/>
      <c r="G981" s="466" t="s">
        <v>7100</v>
      </c>
      <c r="H981" s="466" t="s">
        <v>248</v>
      </c>
      <c r="I981" s="466">
        <v>1.0</v>
      </c>
      <c r="J981" s="466"/>
      <c r="K981" s="466" t="s">
        <v>2511</v>
      </c>
      <c r="L981" s="466">
        <v>150.0</v>
      </c>
      <c r="M981" s="466"/>
      <c r="N981" s="466"/>
      <c r="O981" s="466"/>
      <c r="P981" s="357"/>
      <c r="Q981" s="357"/>
      <c r="R981" s="357"/>
      <c r="S981" s="357"/>
      <c r="T981" s="357"/>
      <c r="U981" s="357"/>
      <c r="V981" s="357"/>
      <c r="W981" s="357"/>
      <c r="X981" s="357"/>
      <c r="Y981" s="357"/>
      <c r="Z981" s="357"/>
    </row>
    <row r="982" ht="15.75" customHeight="1">
      <c r="A982" s="466" t="s">
        <v>8595</v>
      </c>
      <c r="B982" s="466">
        <v>2024.0</v>
      </c>
      <c r="C982" s="466">
        <v>12.0</v>
      </c>
      <c r="D982" s="466">
        <v>45635.0</v>
      </c>
      <c r="E982" s="466" t="s">
        <v>8599</v>
      </c>
      <c r="F982" s="466"/>
      <c r="G982" s="466" t="s">
        <v>8526</v>
      </c>
      <c r="H982" s="466" t="s">
        <v>7647</v>
      </c>
      <c r="I982" s="466">
        <v>1.0</v>
      </c>
      <c r="J982" s="466"/>
      <c r="K982" s="466" t="s">
        <v>2511</v>
      </c>
      <c r="L982" s="466">
        <v>25.0</v>
      </c>
      <c r="M982" s="466"/>
      <c r="N982" s="466"/>
      <c r="O982" s="466"/>
      <c r="P982" s="357"/>
      <c r="Q982" s="357"/>
      <c r="R982" s="357"/>
      <c r="S982" s="357"/>
      <c r="T982" s="357"/>
      <c r="U982" s="357"/>
      <c r="V982" s="357"/>
      <c r="W982" s="357"/>
      <c r="X982" s="357"/>
      <c r="Y982" s="357"/>
      <c r="Z982" s="357"/>
    </row>
    <row r="983" ht="15.75" customHeight="1">
      <c r="A983" s="466" t="s">
        <v>8595</v>
      </c>
      <c r="B983" s="466">
        <v>2024.0</v>
      </c>
      <c r="C983" s="466">
        <v>12.0</v>
      </c>
      <c r="D983" s="466">
        <v>45635.0</v>
      </c>
      <c r="E983" s="466" t="s">
        <v>8600</v>
      </c>
      <c r="F983" s="466"/>
      <c r="G983" s="466" t="s">
        <v>7075</v>
      </c>
      <c r="H983" s="466"/>
      <c r="I983" s="466">
        <v>1.0</v>
      </c>
      <c r="J983" s="466"/>
      <c r="K983" s="466" t="s">
        <v>2511</v>
      </c>
      <c r="L983" s="466">
        <v>120.0</v>
      </c>
      <c r="M983" s="466"/>
      <c r="N983" s="466"/>
      <c r="O983" s="466"/>
      <c r="P983" s="357"/>
      <c r="Q983" s="357"/>
      <c r="R983" s="357"/>
      <c r="S983" s="357"/>
      <c r="T983" s="357"/>
      <c r="U983" s="357"/>
      <c r="V983" s="357"/>
      <c r="W983" s="357"/>
      <c r="X983" s="357"/>
      <c r="Y983" s="357"/>
      <c r="Z983" s="357"/>
    </row>
    <row r="984" ht="15.75" customHeight="1">
      <c r="A984" s="466" t="s">
        <v>8595</v>
      </c>
      <c r="B984" s="466">
        <v>2024.0</v>
      </c>
      <c r="C984" s="466">
        <v>12.0</v>
      </c>
      <c r="D984" s="466">
        <v>45636.0</v>
      </c>
      <c r="E984" s="466" t="s">
        <v>8601</v>
      </c>
      <c r="F984" s="466"/>
      <c r="G984" s="466" t="s">
        <v>7073</v>
      </c>
      <c r="H984" s="466" t="s">
        <v>201</v>
      </c>
      <c r="I984" s="466">
        <v>1.0</v>
      </c>
      <c r="J984" s="466"/>
      <c r="K984" s="466" t="s">
        <v>2511</v>
      </c>
      <c r="L984" s="466">
        <v>195.0</v>
      </c>
      <c r="M984" s="466"/>
      <c r="N984" s="466"/>
      <c r="O984" s="466"/>
      <c r="P984" s="357"/>
      <c r="Q984" s="357"/>
      <c r="R984" s="357"/>
      <c r="S984" s="357"/>
      <c r="T984" s="357"/>
      <c r="U984" s="357"/>
      <c r="V984" s="357"/>
      <c r="W984" s="357"/>
      <c r="X984" s="357"/>
      <c r="Y984" s="357"/>
      <c r="Z984" s="357"/>
    </row>
    <row r="985" ht="15.75" customHeight="1">
      <c r="A985" s="466" t="s">
        <v>8595</v>
      </c>
      <c r="B985" s="466">
        <v>2024.0</v>
      </c>
      <c r="C985" s="466">
        <v>12.0</v>
      </c>
      <c r="D985" s="466">
        <v>45636.0</v>
      </c>
      <c r="E985" s="466" t="s">
        <v>8601</v>
      </c>
      <c r="F985" s="466"/>
      <c r="G985" s="466" t="s">
        <v>7073</v>
      </c>
      <c r="H985" s="466" t="s">
        <v>6669</v>
      </c>
      <c r="I985" s="466">
        <v>1.0</v>
      </c>
      <c r="J985" s="466"/>
      <c r="K985" s="466" t="s">
        <v>2511</v>
      </c>
      <c r="L985" s="466"/>
      <c r="M985" s="466"/>
      <c r="N985" s="466"/>
      <c r="O985" s="466"/>
      <c r="P985" s="357"/>
      <c r="Q985" s="357"/>
      <c r="R985" s="357"/>
      <c r="S985" s="357"/>
      <c r="T985" s="357"/>
      <c r="U985" s="357"/>
      <c r="V985" s="357"/>
      <c r="W985" s="357"/>
      <c r="X985" s="357"/>
      <c r="Y985" s="357"/>
      <c r="Z985" s="357"/>
    </row>
    <row r="986" ht="15.75" customHeight="1">
      <c r="A986" s="466" t="s">
        <v>8595</v>
      </c>
      <c r="B986" s="466">
        <v>2024.0</v>
      </c>
      <c r="C986" s="466">
        <v>12.0</v>
      </c>
      <c r="D986" s="466">
        <v>45636.0</v>
      </c>
      <c r="E986" s="466" t="s">
        <v>2600</v>
      </c>
      <c r="F986" s="466" t="s">
        <v>8602</v>
      </c>
      <c r="G986" s="466" t="s">
        <v>7075</v>
      </c>
      <c r="H986" s="466" t="s">
        <v>6938</v>
      </c>
      <c r="I986" s="466">
        <v>1.0</v>
      </c>
      <c r="J986" s="466"/>
      <c r="K986" s="466" t="s">
        <v>7393</v>
      </c>
      <c r="L986" s="466">
        <v>120.0</v>
      </c>
      <c r="M986" s="466"/>
      <c r="N986" s="466"/>
      <c r="O986" s="466"/>
      <c r="P986" s="357"/>
      <c r="Q986" s="357"/>
      <c r="R986" s="357"/>
      <c r="S986" s="357"/>
      <c r="T986" s="357"/>
      <c r="U986" s="357"/>
      <c r="V986" s="357"/>
      <c r="W986" s="357"/>
      <c r="X986" s="357"/>
      <c r="Y986" s="357"/>
      <c r="Z986" s="357"/>
    </row>
    <row r="987" ht="15.75" customHeight="1">
      <c r="A987" s="466" t="s">
        <v>8595</v>
      </c>
      <c r="B987" s="466">
        <v>2024.0</v>
      </c>
      <c r="C987" s="466">
        <v>12.0</v>
      </c>
      <c r="D987" s="466">
        <v>45637.0</v>
      </c>
      <c r="E987" s="466" t="s">
        <v>2561</v>
      </c>
      <c r="F987" s="466" t="s">
        <v>8603</v>
      </c>
      <c r="G987" s="466" t="s">
        <v>7075</v>
      </c>
      <c r="H987" s="466" t="s">
        <v>8580</v>
      </c>
      <c r="I987" s="466">
        <v>1.0</v>
      </c>
      <c r="J987" s="466"/>
      <c r="K987" s="466" t="s">
        <v>7393</v>
      </c>
      <c r="L987" s="466">
        <v>120.0</v>
      </c>
      <c r="M987" s="466"/>
      <c r="N987" s="466"/>
      <c r="O987" s="466"/>
      <c r="P987" s="357"/>
      <c r="Q987" s="357"/>
      <c r="R987" s="357"/>
      <c r="S987" s="357"/>
      <c r="T987" s="357"/>
      <c r="U987" s="357"/>
      <c r="V987" s="357"/>
      <c r="W987" s="357"/>
      <c r="X987" s="357"/>
      <c r="Y987" s="357"/>
      <c r="Z987" s="357"/>
    </row>
    <row r="988" ht="15.75" customHeight="1">
      <c r="A988" s="466" t="s">
        <v>8595</v>
      </c>
      <c r="B988" s="466">
        <v>2024.0</v>
      </c>
      <c r="C988" s="466">
        <v>12.0</v>
      </c>
      <c r="D988" s="466">
        <v>45637.0</v>
      </c>
      <c r="E988" s="466" t="s">
        <v>2561</v>
      </c>
      <c r="F988" s="466" t="s">
        <v>8604</v>
      </c>
      <c r="G988" s="466" t="s">
        <v>8509</v>
      </c>
      <c r="H988" s="466" t="s">
        <v>7647</v>
      </c>
      <c r="I988" s="466">
        <v>1.0</v>
      </c>
      <c r="J988" s="466"/>
      <c r="K988" s="466" t="s">
        <v>7393</v>
      </c>
      <c r="L988" s="466">
        <v>28.0</v>
      </c>
      <c r="M988" s="466"/>
      <c r="N988" s="466"/>
      <c r="O988" s="466"/>
      <c r="P988" s="357"/>
      <c r="Q988" s="357"/>
      <c r="R988" s="357"/>
      <c r="S988" s="357"/>
      <c r="T988" s="357"/>
      <c r="U988" s="357"/>
      <c r="V988" s="357"/>
      <c r="W988" s="357"/>
      <c r="X988" s="357"/>
      <c r="Y988" s="357"/>
      <c r="Z988" s="357"/>
    </row>
    <row r="989" ht="15.75" customHeight="1">
      <c r="A989" s="466" t="s">
        <v>8595</v>
      </c>
      <c r="B989" s="466">
        <v>2024.0</v>
      </c>
      <c r="C989" s="466">
        <v>12.0</v>
      </c>
      <c r="D989" s="466">
        <v>45637.0</v>
      </c>
      <c r="E989" s="466" t="s">
        <v>8605</v>
      </c>
      <c r="F989" s="466" t="s">
        <v>8606</v>
      </c>
      <c r="G989" s="466" t="s">
        <v>7611</v>
      </c>
      <c r="H989" s="466" t="s">
        <v>8607</v>
      </c>
      <c r="I989" s="466">
        <v>1.0</v>
      </c>
      <c r="J989" s="466"/>
      <c r="K989" s="466" t="s">
        <v>2511</v>
      </c>
      <c r="L989" s="466">
        <v>60.0</v>
      </c>
      <c r="M989" s="466"/>
      <c r="N989" s="466"/>
      <c r="O989" s="466"/>
      <c r="P989" s="357"/>
      <c r="Q989" s="357"/>
      <c r="R989" s="357"/>
      <c r="S989" s="357"/>
      <c r="T989" s="357"/>
      <c r="U989" s="357"/>
      <c r="V989" s="357"/>
      <c r="W989" s="357"/>
      <c r="X989" s="357"/>
      <c r="Y989" s="357"/>
      <c r="Z989" s="357"/>
    </row>
    <row r="990" ht="15.75" customHeight="1">
      <c r="A990" s="466" t="s">
        <v>8595</v>
      </c>
      <c r="B990" s="466">
        <v>2024.0</v>
      </c>
      <c r="C990" s="466">
        <v>12.0</v>
      </c>
      <c r="D990" s="466">
        <v>45637.0</v>
      </c>
      <c r="E990" s="466" t="s">
        <v>8608</v>
      </c>
      <c r="F990" s="466"/>
      <c r="G990" s="466" t="s">
        <v>7075</v>
      </c>
      <c r="H990" s="466" t="s">
        <v>6643</v>
      </c>
      <c r="I990" s="466">
        <v>1.0</v>
      </c>
      <c r="J990" s="466"/>
      <c r="K990" s="466" t="s">
        <v>2511</v>
      </c>
      <c r="L990" s="466">
        <v>80.0</v>
      </c>
      <c r="M990" s="466"/>
      <c r="N990" s="466"/>
      <c r="O990" s="466"/>
      <c r="P990" s="357"/>
      <c r="Q990" s="357"/>
      <c r="R990" s="357"/>
      <c r="S990" s="357"/>
      <c r="T990" s="357"/>
      <c r="U990" s="357"/>
      <c r="V990" s="357"/>
      <c r="W990" s="357"/>
      <c r="X990" s="357"/>
      <c r="Y990" s="357"/>
      <c r="Z990" s="357"/>
    </row>
    <row r="991" ht="15.75" customHeight="1">
      <c r="A991" s="466" t="s">
        <v>8595</v>
      </c>
      <c r="B991" s="466">
        <v>2024.0</v>
      </c>
      <c r="C991" s="466">
        <v>12.0</v>
      </c>
      <c r="D991" s="466">
        <v>45637.0</v>
      </c>
      <c r="E991" s="466" t="s">
        <v>2550</v>
      </c>
      <c r="F991" s="466" t="s">
        <v>2551</v>
      </c>
      <c r="G991" s="466" t="s">
        <v>7075</v>
      </c>
      <c r="H991" s="466" t="s">
        <v>8235</v>
      </c>
      <c r="I991" s="466">
        <v>1.0</v>
      </c>
      <c r="J991" s="466"/>
      <c r="K991" s="466" t="s">
        <v>3009</v>
      </c>
      <c r="L991" s="466">
        <v>98.0</v>
      </c>
      <c r="M991" s="466"/>
      <c r="N991" s="466"/>
      <c r="O991" s="466"/>
      <c r="P991" s="357"/>
      <c r="Q991" s="357"/>
      <c r="R991" s="357"/>
      <c r="S991" s="357"/>
      <c r="T991" s="357"/>
      <c r="U991" s="357"/>
      <c r="V991" s="357"/>
      <c r="W991" s="357"/>
      <c r="X991" s="357"/>
      <c r="Y991" s="357"/>
      <c r="Z991" s="357"/>
    </row>
    <row r="992" ht="15.75" customHeight="1">
      <c r="A992" s="466" t="s">
        <v>8595</v>
      </c>
      <c r="B992" s="466">
        <v>2024.0</v>
      </c>
      <c r="C992" s="466">
        <v>12.0</v>
      </c>
      <c r="D992" s="466">
        <v>45637.0</v>
      </c>
      <c r="E992" s="466" t="s">
        <v>7600</v>
      </c>
      <c r="F992" s="466" t="s">
        <v>8609</v>
      </c>
      <c r="G992" s="466" t="s">
        <v>7075</v>
      </c>
      <c r="H992" s="466" t="s">
        <v>8235</v>
      </c>
      <c r="I992" s="466">
        <v>1.0</v>
      </c>
      <c r="J992" s="466"/>
      <c r="K992" s="466" t="s">
        <v>3009</v>
      </c>
      <c r="L992" s="466">
        <v>120.0</v>
      </c>
      <c r="M992" s="466"/>
      <c r="N992" s="466"/>
      <c r="O992" s="466"/>
      <c r="P992" s="357"/>
      <c r="Q992" s="357"/>
      <c r="R992" s="357"/>
      <c r="S992" s="357"/>
      <c r="T992" s="357"/>
      <c r="U992" s="357"/>
      <c r="V992" s="357"/>
      <c r="W992" s="357"/>
      <c r="X992" s="357"/>
      <c r="Y992" s="357"/>
      <c r="Z992" s="357"/>
    </row>
    <row r="993" ht="15.75" customHeight="1">
      <c r="A993" s="466" t="s">
        <v>8595</v>
      </c>
      <c r="B993" s="466">
        <v>2024.0</v>
      </c>
      <c r="C993" s="466">
        <v>12.0</v>
      </c>
      <c r="D993" s="466">
        <v>45637.0</v>
      </c>
      <c r="E993" s="466" t="s">
        <v>8610</v>
      </c>
      <c r="F993" s="466" t="s">
        <v>8611</v>
      </c>
      <c r="G993" s="466" t="s">
        <v>6613</v>
      </c>
      <c r="H993" s="466" t="s">
        <v>7957</v>
      </c>
      <c r="I993" s="466">
        <v>1.0</v>
      </c>
      <c r="J993" s="466"/>
      <c r="K993" s="466" t="s">
        <v>2511</v>
      </c>
      <c r="L993" s="466">
        <v>70.0</v>
      </c>
      <c r="M993" s="466"/>
      <c r="N993" s="466"/>
      <c r="O993" s="466"/>
      <c r="P993" s="357"/>
      <c r="Q993" s="357"/>
      <c r="R993" s="357"/>
      <c r="S993" s="357"/>
      <c r="T993" s="357"/>
      <c r="U993" s="357"/>
      <c r="V993" s="357"/>
      <c r="W993" s="357"/>
      <c r="X993" s="357"/>
      <c r="Y993" s="357"/>
      <c r="Z993" s="357"/>
    </row>
    <row r="994" ht="15.75" customHeight="1">
      <c r="A994" s="466" t="s">
        <v>8595</v>
      </c>
      <c r="B994" s="466">
        <v>2024.0</v>
      </c>
      <c r="C994" s="466">
        <v>12.0</v>
      </c>
      <c r="D994" s="466">
        <v>45637.0</v>
      </c>
      <c r="E994" s="466" t="s">
        <v>2566</v>
      </c>
      <c r="F994" s="466" t="s">
        <v>8612</v>
      </c>
      <c r="G994" s="466" t="s">
        <v>7100</v>
      </c>
      <c r="H994" s="466" t="s">
        <v>8613</v>
      </c>
      <c r="I994" s="466">
        <v>1.0</v>
      </c>
      <c r="J994" s="466"/>
      <c r="K994" s="466" t="s">
        <v>2511</v>
      </c>
      <c r="L994" s="466">
        <v>136.0</v>
      </c>
      <c r="M994" s="466"/>
      <c r="N994" s="466"/>
      <c r="O994" s="466"/>
      <c r="P994" s="357"/>
      <c r="Q994" s="357"/>
      <c r="R994" s="357"/>
      <c r="S994" s="357"/>
      <c r="T994" s="357"/>
      <c r="U994" s="357"/>
      <c r="V994" s="357"/>
      <c r="W994" s="357"/>
      <c r="X994" s="357"/>
      <c r="Y994" s="357"/>
      <c r="Z994" s="357"/>
    </row>
    <row r="995" ht="15.75" customHeight="1">
      <c r="A995" s="466" t="s">
        <v>8595</v>
      </c>
      <c r="B995" s="466">
        <v>2024.0</v>
      </c>
      <c r="C995" s="466">
        <v>12.0</v>
      </c>
      <c r="D995" s="466">
        <v>45637.0</v>
      </c>
      <c r="E995" s="466" t="s">
        <v>2566</v>
      </c>
      <c r="F995" s="466" t="s">
        <v>8612</v>
      </c>
      <c r="G995" s="466" t="s">
        <v>8510</v>
      </c>
      <c r="H995" s="466"/>
      <c r="I995" s="466">
        <v>1.0</v>
      </c>
      <c r="J995" s="466"/>
      <c r="K995" s="466" t="s">
        <v>2511</v>
      </c>
      <c r="L995" s="466">
        <v>20.0</v>
      </c>
      <c r="M995" s="466"/>
      <c r="N995" s="466"/>
      <c r="O995" s="466"/>
      <c r="P995" s="357"/>
      <c r="Q995" s="357"/>
      <c r="R995" s="357"/>
      <c r="S995" s="357"/>
      <c r="T995" s="357"/>
      <c r="U995" s="357"/>
      <c r="V995" s="357"/>
      <c r="W995" s="357"/>
      <c r="X995" s="357"/>
      <c r="Y995" s="357"/>
      <c r="Z995" s="357"/>
    </row>
    <row r="996" ht="15.75" customHeight="1">
      <c r="A996" s="466" t="s">
        <v>8595</v>
      </c>
      <c r="B996" s="466">
        <v>2024.0</v>
      </c>
      <c r="C996" s="466">
        <v>12.0</v>
      </c>
      <c r="D996" s="466">
        <v>45637.0</v>
      </c>
      <c r="E996" s="466" t="s">
        <v>2550</v>
      </c>
      <c r="F996" s="466" t="s">
        <v>4614</v>
      </c>
      <c r="G996" s="466" t="s">
        <v>7075</v>
      </c>
      <c r="H996" s="466" t="s">
        <v>8614</v>
      </c>
      <c r="I996" s="466">
        <v>1.0</v>
      </c>
      <c r="J996" s="466"/>
      <c r="K996" s="466" t="s">
        <v>2511</v>
      </c>
      <c r="L996" s="466">
        <v>187.0</v>
      </c>
      <c r="M996" s="466"/>
      <c r="N996" s="466"/>
      <c r="O996" s="466"/>
      <c r="P996" s="357"/>
      <c r="Q996" s="357"/>
      <c r="R996" s="357"/>
      <c r="S996" s="357"/>
      <c r="T996" s="357"/>
      <c r="U996" s="357"/>
      <c r="V996" s="357"/>
      <c r="W996" s="357"/>
      <c r="X996" s="357"/>
      <c r="Y996" s="357"/>
      <c r="Z996" s="357"/>
    </row>
    <row r="997" ht="15.75" customHeight="1">
      <c r="A997" s="466" t="s">
        <v>8595</v>
      </c>
      <c r="B997" s="466">
        <v>2024.0</v>
      </c>
      <c r="C997" s="466">
        <v>12.0</v>
      </c>
      <c r="D997" s="466">
        <v>45637.0</v>
      </c>
      <c r="E997" s="466" t="s">
        <v>2550</v>
      </c>
      <c r="F997" s="466" t="s">
        <v>4614</v>
      </c>
      <c r="G997" s="466" t="s">
        <v>7075</v>
      </c>
      <c r="H997" s="466" t="s">
        <v>8467</v>
      </c>
      <c r="I997" s="466">
        <v>1.0</v>
      </c>
      <c r="J997" s="466"/>
      <c r="K997" s="466" t="s">
        <v>2511</v>
      </c>
      <c r="L997" s="466"/>
      <c r="M997" s="466"/>
      <c r="N997" s="466"/>
      <c r="O997" s="466"/>
      <c r="P997" s="357"/>
      <c r="Q997" s="357"/>
      <c r="R997" s="357"/>
      <c r="S997" s="357"/>
      <c r="T997" s="357"/>
      <c r="U997" s="357"/>
      <c r="V997" s="357"/>
      <c r="W997" s="357"/>
      <c r="X997" s="357"/>
      <c r="Y997" s="357"/>
      <c r="Z997" s="357"/>
    </row>
    <row r="998" ht="15.75" customHeight="1">
      <c r="A998" s="466" t="s">
        <v>8595</v>
      </c>
      <c r="B998" s="466">
        <v>2024.0</v>
      </c>
      <c r="C998" s="466">
        <v>12.0</v>
      </c>
      <c r="D998" s="466">
        <v>45637.0</v>
      </c>
      <c r="E998" s="466" t="s">
        <v>7417</v>
      </c>
      <c r="F998" s="466" t="s">
        <v>8615</v>
      </c>
      <c r="G998" s="466" t="s">
        <v>8501</v>
      </c>
      <c r="H998" s="466" t="s">
        <v>8616</v>
      </c>
      <c r="I998" s="466">
        <v>1.0</v>
      </c>
      <c r="J998" s="466"/>
      <c r="K998" s="466" t="s">
        <v>7393</v>
      </c>
      <c r="L998" s="466">
        <v>28.0</v>
      </c>
      <c r="M998" s="466"/>
      <c r="N998" s="466"/>
      <c r="O998" s="466"/>
      <c r="P998" s="357"/>
      <c r="Q998" s="357"/>
      <c r="R998" s="357"/>
      <c r="S998" s="357"/>
      <c r="T998" s="357"/>
      <c r="U998" s="357"/>
      <c r="V998" s="357"/>
      <c r="W998" s="357"/>
      <c r="X998" s="357"/>
      <c r="Y998" s="357"/>
      <c r="Z998" s="357"/>
    </row>
    <row r="999" ht="15.75" customHeight="1">
      <c r="A999" s="466" t="s">
        <v>8595</v>
      </c>
      <c r="B999" s="466">
        <v>2024.0</v>
      </c>
      <c r="C999" s="466">
        <v>12.0</v>
      </c>
      <c r="D999" s="466">
        <v>45637.0</v>
      </c>
      <c r="E999" s="466" t="s">
        <v>2783</v>
      </c>
      <c r="F999" s="466" t="s">
        <v>8617</v>
      </c>
      <c r="G999" s="466" t="s">
        <v>6613</v>
      </c>
      <c r="H999" s="466" t="s">
        <v>8618</v>
      </c>
      <c r="I999" s="466">
        <v>1.0</v>
      </c>
      <c r="J999" s="466"/>
      <c r="K999" s="466" t="s">
        <v>7393</v>
      </c>
      <c r="L999" s="466">
        <v>70.0</v>
      </c>
      <c r="M999" s="466"/>
      <c r="N999" s="466"/>
      <c r="O999" s="466"/>
      <c r="P999" s="357"/>
      <c r="Q999" s="357"/>
      <c r="R999" s="357"/>
      <c r="S999" s="357"/>
      <c r="T999" s="357"/>
      <c r="U999" s="357"/>
      <c r="V999" s="357"/>
      <c r="W999" s="357"/>
      <c r="X999" s="357"/>
      <c r="Y999" s="357"/>
      <c r="Z999" s="357"/>
    </row>
    <row r="1000" ht="15.75" customHeight="1">
      <c r="A1000" s="466" t="s">
        <v>8595</v>
      </c>
      <c r="B1000" s="466">
        <v>2024.0</v>
      </c>
      <c r="C1000" s="466">
        <v>12.0</v>
      </c>
      <c r="D1000" s="466">
        <v>45637.0</v>
      </c>
      <c r="E1000" s="466" t="s">
        <v>7396</v>
      </c>
      <c r="F1000" s="466" t="s">
        <v>8132</v>
      </c>
      <c r="G1000" s="466" t="s">
        <v>8619</v>
      </c>
      <c r="H1000" s="466"/>
      <c r="I1000" s="466">
        <v>1.0</v>
      </c>
      <c r="J1000" s="466"/>
      <c r="K1000" s="466" t="s">
        <v>7393</v>
      </c>
      <c r="L1000" s="466">
        <v>38.0</v>
      </c>
      <c r="M1000" s="466"/>
      <c r="N1000" s="466"/>
      <c r="O1000" s="466"/>
      <c r="P1000" s="357"/>
      <c r="Q1000" s="357"/>
      <c r="R1000" s="357"/>
      <c r="S1000" s="357"/>
      <c r="T1000" s="357"/>
      <c r="U1000" s="357"/>
      <c r="V1000" s="357"/>
      <c r="W1000" s="357"/>
      <c r="X1000" s="357"/>
      <c r="Y1000" s="357"/>
      <c r="Z1000" s="357"/>
    </row>
    <row r="1001" ht="15.75" customHeight="1">
      <c r="A1001" s="466" t="s">
        <v>8595</v>
      </c>
      <c r="B1001" s="466">
        <v>2024.0</v>
      </c>
      <c r="C1001" s="466">
        <v>12.0</v>
      </c>
      <c r="D1001" s="466">
        <v>45637.0</v>
      </c>
      <c r="E1001" s="466" t="s">
        <v>8620</v>
      </c>
      <c r="F1001" s="466" t="s">
        <v>8621</v>
      </c>
      <c r="G1001" s="466" t="s">
        <v>7075</v>
      </c>
      <c r="H1001" s="466" t="s">
        <v>6938</v>
      </c>
      <c r="I1001" s="466">
        <v>1.0</v>
      </c>
      <c r="J1001" s="466"/>
      <c r="K1001" s="466" t="s">
        <v>7393</v>
      </c>
      <c r="L1001" s="466">
        <v>120.0</v>
      </c>
      <c r="M1001" s="466"/>
      <c r="N1001" s="466"/>
      <c r="O1001" s="466"/>
      <c r="P1001" s="357"/>
      <c r="Q1001" s="357"/>
      <c r="R1001" s="357"/>
      <c r="S1001" s="357"/>
      <c r="T1001" s="357"/>
      <c r="U1001" s="357"/>
      <c r="V1001" s="357"/>
      <c r="W1001" s="357"/>
      <c r="X1001" s="357"/>
      <c r="Y1001" s="357"/>
      <c r="Z1001" s="357"/>
    </row>
    <row r="1002" ht="15.75" customHeight="1">
      <c r="A1002" s="466" t="s">
        <v>8595</v>
      </c>
      <c r="B1002" s="466">
        <v>2024.0</v>
      </c>
      <c r="C1002" s="466">
        <v>12.0</v>
      </c>
      <c r="D1002" s="466">
        <v>45638.0</v>
      </c>
      <c r="E1002" s="466" t="s">
        <v>8622</v>
      </c>
      <c r="F1002" s="466" t="s">
        <v>8623</v>
      </c>
      <c r="G1002" s="466" t="s">
        <v>7075</v>
      </c>
      <c r="H1002" s="466" t="s">
        <v>8624</v>
      </c>
      <c r="I1002" s="466">
        <v>1.0</v>
      </c>
      <c r="J1002" s="466"/>
      <c r="K1002" s="466" t="s">
        <v>8168</v>
      </c>
      <c r="L1002" s="466">
        <v>126.0</v>
      </c>
      <c r="M1002" s="466"/>
      <c r="N1002" s="466"/>
      <c r="O1002" s="466"/>
      <c r="P1002" s="357"/>
      <c r="Q1002" s="357"/>
      <c r="R1002" s="357"/>
      <c r="S1002" s="357"/>
      <c r="T1002" s="357"/>
      <c r="U1002" s="357"/>
      <c r="V1002" s="357"/>
      <c r="W1002" s="357"/>
      <c r="X1002" s="357"/>
      <c r="Y1002" s="357"/>
      <c r="Z1002" s="357"/>
    </row>
    <row r="1003" ht="15.75" customHeight="1">
      <c r="A1003" s="466" t="s">
        <v>8595</v>
      </c>
      <c r="B1003" s="466">
        <v>2024.0</v>
      </c>
      <c r="C1003" s="466">
        <v>12.0</v>
      </c>
      <c r="D1003" s="466">
        <v>45638.0</v>
      </c>
      <c r="E1003" s="466" t="s">
        <v>2586</v>
      </c>
      <c r="F1003" s="466" t="s">
        <v>8625</v>
      </c>
      <c r="G1003" s="466" t="s">
        <v>8526</v>
      </c>
      <c r="H1003" s="466"/>
      <c r="I1003" s="466">
        <v>1.0</v>
      </c>
      <c r="J1003" s="466"/>
      <c r="K1003" s="466" t="s">
        <v>7393</v>
      </c>
      <c r="L1003" s="466">
        <v>25.0</v>
      </c>
      <c r="M1003" s="466"/>
      <c r="N1003" s="466"/>
      <c r="O1003" s="466"/>
      <c r="P1003" s="357"/>
      <c r="Q1003" s="357"/>
      <c r="R1003" s="357"/>
      <c r="S1003" s="357"/>
      <c r="T1003" s="357"/>
      <c r="U1003" s="357"/>
      <c r="V1003" s="357"/>
      <c r="W1003" s="357"/>
      <c r="X1003" s="357"/>
      <c r="Y1003" s="357"/>
      <c r="Z1003" s="357"/>
    </row>
    <row r="1004" ht="15.75" customHeight="1">
      <c r="A1004" s="466" t="s">
        <v>8595</v>
      </c>
      <c r="B1004" s="466">
        <v>2024.0</v>
      </c>
      <c r="C1004" s="466">
        <v>12.0</v>
      </c>
      <c r="D1004" s="466">
        <v>45638.0</v>
      </c>
      <c r="E1004" s="466" t="s">
        <v>2547</v>
      </c>
      <c r="F1004" s="466" t="s">
        <v>8626</v>
      </c>
      <c r="G1004" s="466" t="s">
        <v>7075</v>
      </c>
      <c r="H1004" s="466" t="s">
        <v>8205</v>
      </c>
      <c r="I1004" s="466">
        <v>1.0</v>
      </c>
      <c r="J1004" s="466"/>
      <c r="K1004" s="466" t="s">
        <v>7393</v>
      </c>
      <c r="L1004" s="466">
        <v>150.0</v>
      </c>
      <c r="M1004" s="466"/>
      <c r="N1004" s="466"/>
      <c r="O1004" s="466"/>
      <c r="P1004" s="357"/>
      <c r="Q1004" s="357"/>
      <c r="R1004" s="357"/>
      <c r="S1004" s="357"/>
      <c r="T1004" s="357"/>
      <c r="U1004" s="357"/>
      <c r="V1004" s="357"/>
      <c r="W1004" s="357"/>
      <c r="X1004" s="357"/>
      <c r="Y1004" s="357"/>
      <c r="Z1004" s="357"/>
    </row>
    <row r="1005" ht="15.75" customHeight="1">
      <c r="A1005" s="466" t="s">
        <v>8595</v>
      </c>
      <c r="B1005" s="466">
        <v>2024.0</v>
      </c>
      <c r="C1005" s="466">
        <v>12.0</v>
      </c>
      <c r="D1005" s="466">
        <v>45638.0</v>
      </c>
      <c r="E1005" s="466" t="s">
        <v>8408</v>
      </c>
      <c r="F1005" s="466" t="s">
        <v>8627</v>
      </c>
      <c r="G1005" s="466" t="s">
        <v>7075</v>
      </c>
      <c r="H1005" s="466" t="s">
        <v>8205</v>
      </c>
      <c r="I1005" s="466">
        <v>1.0</v>
      </c>
      <c r="J1005" s="466"/>
      <c r="K1005" s="466" t="s">
        <v>8274</v>
      </c>
      <c r="L1005" s="466">
        <v>180.0</v>
      </c>
      <c r="M1005" s="466"/>
      <c r="N1005" s="466"/>
      <c r="O1005" s="466"/>
      <c r="P1005" s="357"/>
      <c r="Q1005" s="357"/>
      <c r="R1005" s="357"/>
      <c r="S1005" s="357"/>
      <c r="T1005" s="357"/>
      <c r="U1005" s="357"/>
      <c r="V1005" s="357"/>
      <c r="W1005" s="357"/>
      <c r="X1005" s="357"/>
      <c r="Y1005" s="357"/>
      <c r="Z1005" s="357"/>
    </row>
    <row r="1006" ht="15.75" customHeight="1">
      <c r="A1006" s="466" t="s">
        <v>8595</v>
      </c>
      <c r="B1006" s="466">
        <v>2024.0</v>
      </c>
      <c r="C1006" s="466">
        <v>12.0</v>
      </c>
      <c r="D1006" s="466">
        <v>45638.0</v>
      </c>
      <c r="E1006" s="466" t="s">
        <v>8408</v>
      </c>
      <c r="F1006" s="466" t="s">
        <v>8627</v>
      </c>
      <c r="G1006" s="466" t="s">
        <v>8501</v>
      </c>
      <c r="H1006" s="466" t="s">
        <v>8628</v>
      </c>
      <c r="I1006" s="466">
        <v>1.0</v>
      </c>
      <c r="J1006" s="466"/>
      <c r="K1006" s="466"/>
      <c r="L1006" s="466"/>
      <c r="M1006" s="466"/>
      <c r="N1006" s="466"/>
      <c r="O1006" s="466"/>
      <c r="P1006" s="357"/>
      <c r="Q1006" s="357"/>
      <c r="R1006" s="357"/>
      <c r="S1006" s="357"/>
      <c r="T1006" s="357"/>
      <c r="U1006" s="357"/>
      <c r="V1006" s="357"/>
      <c r="W1006" s="357"/>
      <c r="X1006" s="357"/>
      <c r="Y1006" s="357"/>
      <c r="Z1006" s="357"/>
    </row>
    <row r="1007" ht="15.75" customHeight="1">
      <c r="A1007" s="466" t="s">
        <v>8595</v>
      </c>
      <c r="B1007" s="466">
        <v>2024.0</v>
      </c>
      <c r="C1007" s="466">
        <v>12.0</v>
      </c>
      <c r="D1007" s="466">
        <v>45638.0</v>
      </c>
      <c r="E1007" s="466" t="s">
        <v>8408</v>
      </c>
      <c r="F1007" s="466" t="s">
        <v>8627</v>
      </c>
      <c r="G1007" s="466" t="s">
        <v>8526</v>
      </c>
      <c r="H1007" s="466" t="s">
        <v>7751</v>
      </c>
      <c r="I1007" s="466">
        <v>1.0</v>
      </c>
      <c r="J1007" s="466"/>
      <c r="K1007" s="466"/>
      <c r="L1007" s="466"/>
      <c r="M1007" s="466"/>
      <c r="N1007" s="466"/>
      <c r="O1007" s="466"/>
      <c r="P1007" s="357"/>
      <c r="Q1007" s="357"/>
      <c r="R1007" s="357"/>
      <c r="S1007" s="357"/>
      <c r="T1007" s="357"/>
      <c r="U1007" s="357"/>
      <c r="V1007" s="357"/>
      <c r="W1007" s="357"/>
      <c r="X1007" s="357"/>
      <c r="Y1007" s="357"/>
      <c r="Z1007" s="357"/>
    </row>
    <row r="1008" ht="15.75" customHeight="1">
      <c r="A1008" s="466" t="s">
        <v>8595</v>
      </c>
      <c r="B1008" s="466">
        <v>2024.0</v>
      </c>
      <c r="C1008" s="466">
        <v>12.0</v>
      </c>
      <c r="D1008" s="466">
        <v>45638.0</v>
      </c>
      <c r="E1008" s="466" t="s">
        <v>8408</v>
      </c>
      <c r="F1008" s="466" t="s">
        <v>8629</v>
      </c>
      <c r="G1008" s="466" t="s">
        <v>8526</v>
      </c>
      <c r="H1008" s="466" t="s">
        <v>8630</v>
      </c>
      <c r="I1008" s="466">
        <v>1.0</v>
      </c>
      <c r="J1008" s="466"/>
      <c r="K1008" s="466"/>
      <c r="L1008" s="466"/>
      <c r="M1008" s="466"/>
      <c r="N1008" s="466"/>
      <c r="O1008" s="466"/>
      <c r="P1008" s="357"/>
      <c r="Q1008" s="357"/>
      <c r="R1008" s="357"/>
      <c r="S1008" s="357"/>
      <c r="T1008" s="357"/>
      <c r="U1008" s="357"/>
      <c r="V1008" s="357"/>
      <c r="W1008" s="357"/>
      <c r="X1008" s="357"/>
      <c r="Y1008" s="357"/>
      <c r="Z1008" s="357"/>
    </row>
    <row r="1009" ht="15.75" customHeight="1">
      <c r="A1009" s="466" t="s">
        <v>8631</v>
      </c>
      <c r="B1009" s="466">
        <v>2024.0</v>
      </c>
      <c r="C1009" s="466">
        <v>12.0</v>
      </c>
      <c r="D1009" s="466">
        <v>45640.0</v>
      </c>
      <c r="E1009" s="466" t="s">
        <v>8632</v>
      </c>
      <c r="F1009" s="466" t="s">
        <v>8633</v>
      </c>
      <c r="G1009" s="466" t="s">
        <v>8501</v>
      </c>
      <c r="H1009" s="466" t="s">
        <v>8634</v>
      </c>
      <c r="I1009" s="466">
        <v>1.0</v>
      </c>
      <c r="J1009" s="466"/>
      <c r="K1009" s="466"/>
      <c r="L1009" s="466">
        <v>27.0</v>
      </c>
      <c r="M1009" s="466"/>
      <c r="N1009" s="466"/>
      <c r="O1009" s="466"/>
      <c r="P1009" s="357"/>
      <c r="Q1009" s="357"/>
      <c r="R1009" s="357"/>
      <c r="S1009" s="357"/>
      <c r="T1009" s="357"/>
      <c r="U1009" s="357"/>
      <c r="V1009" s="357"/>
      <c r="W1009" s="357"/>
      <c r="X1009" s="357"/>
      <c r="Y1009" s="357"/>
      <c r="Z1009" s="357"/>
    </row>
    <row r="1010" ht="15.75" customHeight="1">
      <c r="A1010" s="466" t="s">
        <v>8631</v>
      </c>
      <c r="B1010" s="466">
        <v>2024.0</v>
      </c>
      <c r="C1010" s="466">
        <v>12.0</v>
      </c>
      <c r="D1010" s="466">
        <v>45640.0</v>
      </c>
      <c r="E1010" s="466" t="s">
        <v>8054</v>
      </c>
      <c r="F1010" s="466" t="s">
        <v>7327</v>
      </c>
      <c r="G1010" s="466" t="s">
        <v>7075</v>
      </c>
      <c r="H1010" s="466" t="s">
        <v>2853</v>
      </c>
      <c r="I1010" s="466">
        <v>1.0</v>
      </c>
      <c r="J1010" s="466"/>
      <c r="K1010" s="466"/>
      <c r="L1010" s="466">
        <v>100.0</v>
      </c>
      <c r="M1010" s="466"/>
      <c r="N1010" s="466"/>
      <c r="O1010" s="466"/>
      <c r="P1010" s="357"/>
      <c r="Q1010" s="357"/>
      <c r="R1010" s="357"/>
      <c r="S1010" s="357"/>
      <c r="T1010" s="357"/>
      <c r="U1010" s="357"/>
      <c r="V1010" s="357"/>
      <c r="W1010" s="357"/>
      <c r="X1010" s="357"/>
      <c r="Y1010" s="357"/>
      <c r="Z1010" s="357"/>
    </row>
    <row r="1011" ht="15.75" customHeight="1">
      <c r="A1011" s="466" t="s">
        <v>8631</v>
      </c>
      <c r="B1011" s="466">
        <v>2024.0</v>
      </c>
      <c r="C1011" s="466">
        <v>12.0</v>
      </c>
      <c r="D1011" s="466">
        <v>45640.0</v>
      </c>
      <c r="E1011" s="466" t="s">
        <v>7569</v>
      </c>
      <c r="F1011" s="466" t="s">
        <v>8635</v>
      </c>
      <c r="G1011" s="466" t="s">
        <v>7100</v>
      </c>
      <c r="H1011" s="466" t="s">
        <v>248</v>
      </c>
      <c r="I1011" s="466">
        <v>1.0</v>
      </c>
      <c r="J1011" s="466"/>
      <c r="K1011" s="466"/>
      <c r="L1011" s="466">
        <v>170.0</v>
      </c>
      <c r="M1011" s="466"/>
      <c r="N1011" s="466"/>
      <c r="O1011" s="466"/>
      <c r="P1011" s="357"/>
      <c r="Q1011" s="357"/>
      <c r="R1011" s="357"/>
      <c r="S1011" s="357"/>
      <c r="T1011" s="357"/>
      <c r="U1011" s="357"/>
      <c r="V1011" s="357"/>
      <c r="W1011" s="357"/>
      <c r="X1011" s="357"/>
      <c r="Y1011" s="357"/>
      <c r="Z1011" s="357"/>
    </row>
    <row r="1012" ht="15.75" customHeight="1">
      <c r="A1012" s="466" t="s">
        <v>8631</v>
      </c>
      <c r="B1012" s="466">
        <v>2024.0</v>
      </c>
      <c r="C1012" s="466">
        <v>12.0</v>
      </c>
      <c r="D1012" s="466">
        <v>45640.0</v>
      </c>
      <c r="E1012" s="466" t="s">
        <v>8636</v>
      </c>
      <c r="F1012" s="466" t="s">
        <v>8406</v>
      </c>
      <c r="G1012" s="466" t="s">
        <v>7106</v>
      </c>
      <c r="H1012" s="466" t="s">
        <v>8637</v>
      </c>
      <c r="I1012" s="466">
        <v>1.0</v>
      </c>
      <c r="J1012" s="466"/>
      <c r="K1012" s="466"/>
      <c r="L1012" s="466">
        <v>95.0</v>
      </c>
      <c r="M1012" s="466"/>
      <c r="N1012" s="466"/>
      <c r="O1012" s="466"/>
      <c r="P1012" s="357"/>
      <c r="Q1012" s="357"/>
      <c r="R1012" s="357"/>
      <c r="S1012" s="357"/>
      <c r="T1012" s="357"/>
      <c r="U1012" s="357"/>
      <c r="V1012" s="357"/>
      <c r="W1012" s="357"/>
      <c r="X1012" s="357"/>
      <c r="Y1012" s="357"/>
      <c r="Z1012" s="357"/>
    </row>
    <row r="1013" ht="15.75" customHeight="1">
      <c r="A1013" s="466" t="s">
        <v>8631</v>
      </c>
      <c r="B1013" s="466">
        <v>2024.0</v>
      </c>
      <c r="C1013" s="466">
        <v>12.0</v>
      </c>
      <c r="D1013" s="466">
        <v>45640.0</v>
      </c>
      <c r="E1013" s="466" t="s">
        <v>2647</v>
      </c>
      <c r="F1013" s="466" t="s">
        <v>8638</v>
      </c>
      <c r="G1013" s="466" t="s">
        <v>7075</v>
      </c>
      <c r="H1013" s="466" t="s">
        <v>8377</v>
      </c>
      <c r="I1013" s="466">
        <v>1.0</v>
      </c>
      <c r="J1013" s="466"/>
      <c r="K1013" s="466"/>
      <c r="L1013" s="466">
        <v>100.0</v>
      </c>
      <c r="M1013" s="466"/>
      <c r="N1013" s="466"/>
      <c r="O1013" s="466"/>
      <c r="P1013" s="357"/>
      <c r="Q1013" s="357"/>
      <c r="R1013" s="357"/>
      <c r="S1013" s="357"/>
      <c r="T1013" s="357"/>
      <c r="U1013" s="357"/>
      <c r="V1013" s="357"/>
      <c r="W1013" s="357"/>
      <c r="X1013" s="357"/>
      <c r="Y1013" s="357"/>
      <c r="Z1013" s="357"/>
    </row>
    <row r="1014" ht="15.75" customHeight="1">
      <c r="A1014" s="466" t="s">
        <v>8631</v>
      </c>
      <c r="B1014" s="466">
        <v>2024.0</v>
      </c>
      <c r="C1014" s="466">
        <v>12.0</v>
      </c>
      <c r="D1014" s="466">
        <v>45640.0</v>
      </c>
      <c r="E1014" s="466" t="s">
        <v>8146</v>
      </c>
      <c r="F1014" s="466" t="s">
        <v>8639</v>
      </c>
      <c r="G1014" s="466" t="s">
        <v>7075</v>
      </c>
      <c r="H1014" s="466" t="s">
        <v>6946</v>
      </c>
      <c r="I1014" s="466">
        <v>1.0</v>
      </c>
      <c r="J1014" s="466"/>
      <c r="K1014" s="466"/>
      <c r="L1014" s="466">
        <v>150.0</v>
      </c>
      <c r="M1014" s="466"/>
      <c r="N1014" s="466"/>
      <c r="O1014" s="466"/>
      <c r="P1014" s="357"/>
      <c r="Q1014" s="357"/>
      <c r="R1014" s="357"/>
      <c r="S1014" s="357"/>
      <c r="T1014" s="357"/>
      <c r="U1014" s="357"/>
      <c r="V1014" s="357"/>
      <c r="W1014" s="357"/>
      <c r="X1014" s="357"/>
      <c r="Y1014" s="357"/>
      <c r="Z1014" s="357"/>
    </row>
    <row r="1015" ht="15.75" customHeight="1">
      <c r="A1015" s="466" t="s">
        <v>8631</v>
      </c>
      <c r="B1015" s="466">
        <v>2024.0</v>
      </c>
      <c r="C1015" s="466">
        <v>12.0</v>
      </c>
      <c r="D1015" s="466">
        <v>45640.0</v>
      </c>
      <c r="E1015" s="466" t="s">
        <v>2547</v>
      </c>
      <c r="F1015" s="466" t="s">
        <v>8640</v>
      </c>
      <c r="G1015" s="466" t="s">
        <v>7106</v>
      </c>
      <c r="H1015" s="466"/>
      <c r="I1015" s="466">
        <v>1.0</v>
      </c>
      <c r="J1015" s="466"/>
      <c r="K1015" s="466"/>
      <c r="L1015" s="466">
        <v>90.0</v>
      </c>
      <c r="M1015" s="466"/>
      <c r="N1015" s="466"/>
      <c r="O1015" s="466"/>
      <c r="P1015" s="357"/>
      <c r="Q1015" s="357"/>
      <c r="R1015" s="357"/>
      <c r="S1015" s="357"/>
      <c r="T1015" s="357"/>
      <c r="U1015" s="357"/>
      <c r="V1015" s="357"/>
      <c r="W1015" s="357"/>
      <c r="X1015" s="357"/>
      <c r="Y1015" s="357"/>
      <c r="Z1015" s="357"/>
    </row>
    <row r="1016" ht="15.75" customHeight="1">
      <c r="A1016" s="466" t="s">
        <v>8631</v>
      </c>
      <c r="B1016" s="466">
        <v>2024.0</v>
      </c>
      <c r="C1016" s="466">
        <v>12.0</v>
      </c>
      <c r="D1016" s="466">
        <v>45640.0</v>
      </c>
      <c r="E1016" s="466" t="s">
        <v>8641</v>
      </c>
      <c r="F1016" s="466" t="s">
        <v>8642</v>
      </c>
      <c r="G1016" s="466" t="s">
        <v>8501</v>
      </c>
      <c r="H1016" s="466" t="s">
        <v>6867</v>
      </c>
      <c r="I1016" s="466">
        <v>1.0</v>
      </c>
      <c r="J1016" s="466"/>
      <c r="K1016" s="466"/>
      <c r="L1016" s="466">
        <v>25.0</v>
      </c>
      <c r="M1016" s="466"/>
      <c r="N1016" s="466"/>
      <c r="O1016" s="466"/>
      <c r="P1016" s="357"/>
      <c r="Q1016" s="357"/>
      <c r="R1016" s="357"/>
      <c r="S1016" s="357"/>
      <c r="T1016" s="357"/>
      <c r="U1016" s="357"/>
      <c r="V1016" s="357"/>
      <c r="W1016" s="357"/>
      <c r="X1016" s="357"/>
      <c r="Y1016" s="357"/>
      <c r="Z1016" s="357"/>
    </row>
    <row r="1017" ht="15.75" customHeight="1">
      <c r="A1017" s="466" t="s">
        <v>8631</v>
      </c>
      <c r="B1017" s="466">
        <v>2024.0</v>
      </c>
      <c r="C1017" s="466">
        <v>12.0</v>
      </c>
      <c r="D1017" s="466">
        <v>45640.0</v>
      </c>
      <c r="E1017" s="466" t="s">
        <v>8641</v>
      </c>
      <c r="F1017" s="466" t="s">
        <v>8642</v>
      </c>
      <c r="G1017" s="466" t="s">
        <v>8501</v>
      </c>
      <c r="H1017" s="466" t="s">
        <v>8643</v>
      </c>
      <c r="I1017" s="466">
        <v>1.0</v>
      </c>
      <c r="J1017" s="466"/>
      <c r="K1017" s="466"/>
      <c r="L1017" s="466">
        <v>25.0</v>
      </c>
      <c r="M1017" s="466"/>
      <c r="N1017" s="466"/>
      <c r="O1017" s="466"/>
      <c r="P1017" s="357"/>
      <c r="Q1017" s="357"/>
      <c r="R1017" s="357"/>
      <c r="S1017" s="357"/>
      <c r="T1017" s="357"/>
      <c r="U1017" s="357"/>
      <c r="V1017" s="357"/>
      <c r="W1017" s="357"/>
      <c r="X1017" s="357"/>
      <c r="Y1017" s="357"/>
      <c r="Z1017" s="357"/>
    </row>
    <row r="1018" ht="15.75" customHeight="1">
      <c r="A1018" s="466" t="s">
        <v>8631</v>
      </c>
      <c r="B1018" s="466">
        <v>2024.0</v>
      </c>
      <c r="C1018" s="466">
        <v>12.0</v>
      </c>
      <c r="D1018" s="466">
        <v>45640.0</v>
      </c>
      <c r="E1018" s="466" t="s">
        <v>2823</v>
      </c>
      <c r="F1018" s="466" t="s">
        <v>8644</v>
      </c>
      <c r="G1018" s="466" t="s">
        <v>7100</v>
      </c>
      <c r="H1018" s="466" t="s">
        <v>248</v>
      </c>
      <c r="I1018" s="466">
        <v>1.0</v>
      </c>
      <c r="J1018" s="466"/>
      <c r="K1018" s="466"/>
      <c r="L1018" s="466">
        <v>170.0</v>
      </c>
      <c r="M1018" s="466"/>
      <c r="N1018" s="466"/>
      <c r="O1018" s="466"/>
      <c r="P1018" s="357"/>
      <c r="Q1018" s="357"/>
      <c r="R1018" s="357"/>
      <c r="S1018" s="357"/>
      <c r="T1018" s="357"/>
      <c r="U1018" s="357"/>
      <c r="V1018" s="357"/>
      <c r="W1018" s="357"/>
      <c r="X1018" s="357"/>
      <c r="Y1018" s="357"/>
      <c r="Z1018" s="357"/>
    </row>
    <row r="1019" ht="15.75" customHeight="1">
      <c r="A1019" s="466" t="s">
        <v>8631</v>
      </c>
      <c r="B1019" s="466">
        <v>2024.0</v>
      </c>
      <c r="C1019" s="466">
        <v>12.0</v>
      </c>
      <c r="D1019" s="466">
        <v>45640.0</v>
      </c>
      <c r="E1019" s="466" t="s">
        <v>8242</v>
      </c>
      <c r="F1019" s="466" t="s">
        <v>8243</v>
      </c>
      <c r="G1019" s="466" t="s">
        <v>7075</v>
      </c>
      <c r="H1019" s="466"/>
      <c r="I1019" s="466">
        <v>1.0</v>
      </c>
      <c r="J1019" s="466"/>
      <c r="K1019" s="466" t="s">
        <v>8645</v>
      </c>
      <c r="L1019" s="466">
        <v>216.0</v>
      </c>
      <c r="M1019" s="466"/>
      <c r="N1019" s="466"/>
      <c r="O1019" s="466"/>
      <c r="P1019" s="357"/>
      <c r="Q1019" s="357"/>
      <c r="R1019" s="357"/>
      <c r="S1019" s="357"/>
      <c r="T1019" s="357"/>
      <c r="U1019" s="357"/>
      <c r="V1019" s="357"/>
      <c r="W1019" s="357"/>
      <c r="X1019" s="357"/>
      <c r="Y1019" s="357"/>
      <c r="Z1019" s="357"/>
    </row>
    <row r="1020" ht="15.75" customHeight="1">
      <c r="A1020" s="466" t="s">
        <v>8631</v>
      </c>
      <c r="B1020" s="466">
        <v>2024.0</v>
      </c>
      <c r="C1020" s="466">
        <v>12.0</v>
      </c>
      <c r="D1020" s="466">
        <v>45640.0</v>
      </c>
      <c r="E1020" s="466" t="s">
        <v>8242</v>
      </c>
      <c r="F1020" s="466" t="s">
        <v>8243</v>
      </c>
      <c r="G1020" s="466" t="s">
        <v>7075</v>
      </c>
      <c r="H1020" s="466"/>
      <c r="I1020" s="466">
        <v>1.0</v>
      </c>
      <c r="J1020" s="466"/>
      <c r="K1020" s="466" t="s">
        <v>8645</v>
      </c>
      <c r="L1020" s="466"/>
      <c r="M1020" s="466"/>
      <c r="N1020" s="466"/>
      <c r="O1020" s="466"/>
      <c r="P1020" s="357"/>
      <c r="Q1020" s="357"/>
      <c r="R1020" s="357"/>
      <c r="S1020" s="357"/>
      <c r="T1020" s="357"/>
      <c r="U1020" s="357"/>
      <c r="V1020" s="357"/>
      <c r="W1020" s="357"/>
      <c r="X1020" s="357"/>
      <c r="Y1020" s="357"/>
      <c r="Z1020" s="357"/>
    </row>
    <row r="1021" ht="15.75" customHeight="1">
      <c r="A1021" s="466" t="s">
        <v>8631</v>
      </c>
      <c r="B1021" s="466">
        <v>2024.0</v>
      </c>
      <c r="C1021" s="466">
        <v>12.0</v>
      </c>
      <c r="D1021" s="466">
        <v>45641.0</v>
      </c>
      <c r="E1021" s="466" t="s">
        <v>2600</v>
      </c>
      <c r="F1021" s="466" t="s">
        <v>8646</v>
      </c>
      <c r="G1021" s="466" t="s">
        <v>8647</v>
      </c>
      <c r="H1021" s="466"/>
      <c r="I1021" s="466">
        <v>1.0</v>
      </c>
      <c r="J1021" s="466"/>
      <c r="K1021" s="466" t="s">
        <v>7393</v>
      </c>
      <c r="L1021" s="466">
        <v>10.0</v>
      </c>
      <c r="M1021" s="466"/>
      <c r="N1021" s="466"/>
      <c r="O1021" s="466"/>
      <c r="P1021" s="357"/>
      <c r="Q1021" s="357"/>
      <c r="R1021" s="357"/>
      <c r="S1021" s="357"/>
      <c r="T1021" s="357"/>
      <c r="U1021" s="357"/>
      <c r="V1021" s="357"/>
      <c r="W1021" s="357"/>
      <c r="X1021" s="357"/>
      <c r="Y1021" s="357"/>
      <c r="Z1021" s="357"/>
    </row>
    <row r="1022" ht="15.75" customHeight="1">
      <c r="A1022" s="466" t="s">
        <v>8631</v>
      </c>
      <c r="B1022" s="466">
        <v>2024.0</v>
      </c>
      <c r="C1022" s="466">
        <v>12.0</v>
      </c>
      <c r="D1022" s="466">
        <v>45641.0</v>
      </c>
      <c r="E1022" s="466" t="s">
        <v>2600</v>
      </c>
      <c r="F1022" s="466" t="s">
        <v>2769</v>
      </c>
      <c r="G1022" s="466" t="s">
        <v>8647</v>
      </c>
      <c r="H1022" s="466"/>
      <c r="I1022" s="466">
        <v>1.0</v>
      </c>
      <c r="J1022" s="466"/>
      <c r="K1022" s="466" t="s">
        <v>7393</v>
      </c>
      <c r="L1022" s="466">
        <v>10.0</v>
      </c>
      <c r="M1022" s="466"/>
      <c r="N1022" s="466"/>
      <c r="O1022" s="466"/>
      <c r="P1022" s="357"/>
      <c r="Q1022" s="357"/>
      <c r="R1022" s="357"/>
      <c r="S1022" s="357"/>
      <c r="T1022" s="357"/>
      <c r="U1022" s="357"/>
      <c r="V1022" s="357"/>
      <c r="W1022" s="357"/>
      <c r="X1022" s="357"/>
      <c r="Y1022" s="357"/>
      <c r="Z1022" s="357"/>
    </row>
    <row r="1023" ht="15.75" customHeight="1">
      <c r="A1023" s="466" t="s">
        <v>8631</v>
      </c>
      <c r="B1023" s="466">
        <v>2024.0</v>
      </c>
      <c r="C1023" s="466">
        <v>12.0</v>
      </c>
      <c r="D1023" s="466">
        <v>45641.0</v>
      </c>
      <c r="E1023" s="466" t="s">
        <v>7489</v>
      </c>
      <c r="F1023" s="466" t="s">
        <v>8648</v>
      </c>
      <c r="G1023" s="466" t="s">
        <v>8647</v>
      </c>
      <c r="H1023" s="466"/>
      <c r="I1023" s="466">
        <v>1.0</v>
      </c>
      <c r="J1023" s="466"/>
      <c r="K1023" s="466" t="s">
        <v>7393</v>
      </c>
      <c r="L1023" s="466">
        <v>10.0</v>
      </c>
      <c r="M1023" s="466"/>
      <c r="N1023" s="466"/>
      <c r="O1023" s="466"/>
      <c r="P1023" s="357"/>
      <c r="Q1023" s="357"/>
      <c r="R1023" s="357"/>
      <c r="S1023" s="357"/>
      <c r="T1023" s="357"/>
      <c r="U1023" s="357"/>
      <c r="V1023" s="357"/>
      <c r="W1023" s="357"/>
      <c r="X1023" s="357"/>
      <c r="Y1023" s="357"/>
      <c r="Z1023" s="357"/>
    </row>
    <row r="1024" ht="15.75" customHeight="1">
      <c r="A1024" s="466" t="s">
        <v>8631</v>
      </c>
      <c r="B1024" s="466">
        <v>2024.0</v>
      </c>
      <c r="C1024" s="466">
        <v>12.0</v>
      </c>
      <c r="D1024" s="466">
        <v>45641.0</v>
      </c>
      <c r="E1024" s="466" t="s">
        <v>7489</v>
      </c>
      <c r="F1024" s="466" t="s">
        <v>8648</v>
      </c>
      <c r="G1024" s="466" t="s">
        <v>8647</v>
      </c>
      <c r="H1024" s="466"/>
      <c r="I1024" s="466">
        <v>1.0</v>
      </c>
      <c r="J1024" s="466"/>
      <c r="K1024" s="466" t="s">
        <v>7393</v>
      </c>
      <c r="L1024" s="466">
        <v>10.0</v>
      </c>
      <c r="M1024" s="466"/>
      <c r="N1024" s="466"/>
      <c r="O1024" s="466"/>
      <c r="P1024" s="357"/>
      <c r="Q1024" s="357"/>
      <c r="R1024" s="357"/>
      <c r="S1024" s="357"/>
      <c r="T1024" s="357"/>
      <c r="U1024" s="357"/>
      <c r="V1024" s="357"/>
      <c r="W1024" s="357"/>
      <c r="X1024" s="357"/>
      <c r="Y1024" s="357"/>
      <c r="Z1024" s="357"/>
    </row>
    <row r="1025" ht="15.75" customHeight="1">
      <c r="A1025" s="466" t="s">
        <v>8631</v>
      </c>
      <c r="B1025" s="466">
        <v>2024.0</v>
      </c>
      <c r="C1025" s="466">
        <v>12.0</v>
      </c>
      <c r="D1025" s="466">
        <v>45641.0</v>
      </c>
      <c r="E1025" s="466" t="s">
        <v>7489</v>
      </c>
      <c r="F1025" s="466" t="s">
        <v>8648</v>
      </c>
      <c r="G1025" s="466" t="s">
        <v>8526</v>
      </c>
      <c r="H1025" s="466" t="s">
        <v>7751</v>
      </c>
      <c r="I1025" s="466">
        <v>1.0</v>
      </c>
      <c r="J1025" s="466"/>
      <c r="K1025" s="466" t="s">
        <v>7393</v>
      </c>
      <c r="L1025" s="466">
        <v>25.0</v>
      </c>
      <c r="M1025" s="466"/>
      <c r="N1025" s="466"/>
      <c r="O1025" s="466"/>
      <c r="P1025" s="357"/>
      <c r="Q1025" s="357"/>
      <c r="R1025" s="357"/>
      <c r="S1025" s="357"/>
      <c r="T1025" s="357"/>
      <c r="U1025" s="357"/>
      <c r="V1025" s="357"/>
      <c r="W1025" s="357"/>
      <c r="X1025" s="357"/>
      <c r="Y1025" s="357"/>
      <c r="Z1025" s="357"/>
    </row>
    <row r="1026" ht="15.75" customHeight="1">
      <c r="A1026" s="466" t="s">
        <v>8631</v>
      </c>
      <c r="B1026" s="466">
        <v>2024.0</v>
      </c>
      <c r="C1026" s="466">
        <v>12.0</v>
      </c>
      <c r="D1026" s="466">
        <v>45641.0</v>
      </c>
      <c r="E1026" s="466" t="s">
        <v>8649</v>
      </c>
      <c r="F1026" s="466" t="s">
        <v>8650</v>
      </c>
      <c r="G1026" s="466" t="s">
        <v>7075</v>
      </c>
      <c r="H1026" s="466" t="s">
        <v>6939</v>
      </c>
      <c r="I1026" s="466">
        <v>1.0</v>
      </c>
      <c r="J1026" s="466"/>
      <c r="K1026" s="466" t="s">
        <v>7393</v>
      </c>
      <c r="L1026" s="466">
        <v>120.0</v>
      </c>
      <c r="M1026" s="466"/>
      <c r="N1026" s="466"/>
      <c r="O1026" s="466"/>
      <c r="P1026" s="357"/>
      <c r="Q1026" s="357"/>
      <c r="R1026" s="357"/>
      <c r="S1026" s="357"/>
      <c r="T1026" s="357"/>
      <c r="U1026" s="357"/>
      <c r="V1026" s="357"/>
      <c r="W1026" s="357"/>
      <c r="X1026" s="357"/>
      <c r="Y1026" s="357"/>
      <c r="Z1026" s="357"/>
    </row>
    <row r="1027" ht="15.75" customHeight="1">
      <c r="A1027" s="466" t="s">
        <v>8631</v>
      </c>
      <c r="B1027" s="466">
        <v>2024.0</v>
      </c>
      <c r="C1027" s="466">
        <v>12.0</v>
      </c>
      <c r="D1027" s="466">
        <v>45641.0</v>
      </c>
      <c r="E1027" s="466" t="s">
        <v>8649</v>
      </c>
      <c r="F1027" s="466" t="s">
        <v>8650</v>
      </c>
      <c r="G1027" s="466" t="s">
        <v>8509</v>
      </c>
      <c r="H1027" s="466"/>
      <c r="I1027" s="466">
        <v>1.0</v>
      </c>
      <c r="J1027" s="466"/>
      <c r="K1027" s="466" t="s">
        <v>7393</v>
      </c>
      <c r="L1027" s="466">
        <v>28.0</v>
      </c>
      <c r="M1027" s="466"/>
      <c r="N1027" s="466"/>
      <c r="O1027" s="466"/>
      <c r="P1027" s="357"/>
      <c r="Q1027" s="357"/>
      <c r="R1027" s="357"/>
      <c r="S1027" s="357"/>
      <c r="T1027" s="357"/>
      <c r="U1027" s="357"/>
      <c r="V1027" s="357"/>
      <c r="W1027" s="357"/>
      <c r="X1027" s="357"/>
      <c r="Y1027" s="357"/>
      <c r="Z1027" s="357"/>
    </row>
    <row r="1028" ht="15.75" customHeight="1">
      <c r="A1028" s="466" t="s">
        <v>8631</v>
      </c>
      <c r="B1028" s="466">
        <v>2024.0</v>
      </c>
      <c r="C1028" s="466">
        <v>12.0</v>
      </c>
      <c r="D1028" s="466">
        <v>45641.0</v>
      </c>
      <c r="E1028" s="466" t="s">
        <v>7406</v>
      </c>
      <c r="F1028" s="466" t="s">
        <v>8651</v>
      </c>
      <c r="G1028" s="466" t="s">
        <v>7075</v>
      </c>
      <c r="H1028" s="466" t="s">
        <v>6939</v>
      </c>
      <c r="I1028" s="466">
        <v>1.0</v>
      </c>
      <c r="J1028" s="466"/>
      <c r="K1028" s="466" t="s">
        <v>7393</v>
      </c>
      <c r="L1028" s="466">
        <v>120.0</v>
      </c>
      <c r="M1028" s="466"/>
      <c r="N1028" s="466"/>
      <c r="O1028" s="466"/>
      <c r="P1028" s="357"/>
      <c r="Q1028" s="357"/>
      <c r="R1028" s="357"/>
      <c r="S1028" s="357"/>
      <c r="T1028" s="357"/>
      <c r="U1028" s="357"/>
      <c r="V1028" s="357"/>
      <c r="W1028" s="357"/>
      <c r="X1028" s="357"/>
      <c r="Y1028" s="357"/>
      <c r="Z1028" s="357"/>
    </row>
    <row r="1029" ht="15.75" customHeight="1">
      <c r="A1029" s="466" t="s">
        <v>8631</v>
      </c>
      <c r="B1029" s="466">
        <v>2024.0</v>
      </c>
      <c r="C1029" s="466">
        <v>12.0</v>
      </c>
      <c r="D1029" s="466">
        <v>45641.0</v>
      </c>
      <c r="E1029" s="466" t="s">
        <v>7396</v>
      </c>
      <c r="F1029" s="466" t="s">
        <v>8652</v>
      </c>
      <c r="G1029" s="466" t="s">
        <v>7075</v>
      </c>
      <c r="H1029" s="466" t="s">
        <v>8205</v>
      </c>
      <c r="I1029" s="466">
        <v>1.0</v>
      </c>
      <c r="J1029" s="466"/>
      <c r="K1029" s="466" t="s">
        <v>7393</v>
      </c>
      <c r="L1029" s="466">
        <v>150.0</v>
      </c>
      <c r="M1029" s="466"/>
      <c r="N1029" s="466"/>
      <c r="O1029" s="466"/>
      <c r="P1029" s="357"/>
      <c r="Q1029" s="357"/>
      <c r="R1029" s="357"/>
      <c r="S1029" s="357"/>
      <c r="T1029" s="357"/>
      <c r="U1029" s="357"/>
      <c r="V1029" s="357"/>
      <c r="W1029" s="357"/>
      <c r="X1029" s="357"/>
      <c r="Y1029" s="357"/>
      <c r="Z1029" s="357"/>
    </row>
    <row r="1030" ht="15.75" customHeight="1">
      <c r="A1030" s="466" t="s">
        <v>8631</v>
      </c>
      <c r="B1030" s="466">
        <v>2024.0</v>
      </c>
      <c r="C1030" s="466">
        <v>12.0</v>
      </c>
      <c r="D1030" s="466">
        <v>45641.0</v>
      </c>
      <c r="E1030" s="466" t="s">
        <v>7396</v>
      </c>
      <c r="F1030" s="466" t="s">
        <v>8652</v>
      </c>
      <c r="G1030" s="466" t="s">
        <v>8526</v>
      </c>
      <c r="H1030" s="466" t="s">
        <v>7647</v>
      </c>
      <c r="I1030" s="466">
        <v>1.0</v>
      </c>
      <c r="J1030" s="466"/>
      <c r="K1030" s="466" t="s">
        <v>7393</v>
      </c>
      <c r="L1030" s="466">
        <v>25.0</v>
      </c>
      <c r="M1030" s="466"/>
      <c r="N1030" s="466"/>
      <c r="O1030" s="466"/>
      <c r="P1030" s="357"/>
      <c r="Q1030" s="357"/>
      <c r="R1030" s="357"/>
      <c r="S1030" s="357"/>
      <c r="T1030" s="357"/>
      <c r="U1030" s="357"/>
      <c r="V1030" s="357"/>
      <c r="W1030" s="357"/>
      <c r="X1030" s="357"/>
      <c r="Y1030" s="357"/>
      <c r="Z1030" s="357"/>
    </row>
    <row r="1031" ht="15.75" customHeight="1">
      <c r="A1031" s="466" t="s">
        <v>8631</v>
      </c>
      <c r="B1031" s="466">
        <v>2024.0</v>
      </c>
      <c r="C1031" s="466">
        <v>12.0</v>
      </c>
      <c r="D1031" s="466">
        <v>45641.0</v>
      </c>
      <c r="E1031" s="466" t="s">
        <v>7396</v>
      </c>
      <c r="F1031" s="466" t="s">
        <v>8652</v>
      </c>
      <c r="G1031" s="466" t="s">
        <v>8501</v>
      </c>
      <c r="H1031" s="466" t="s">
        <v>7647</v>
      </c>
      <c r="I1031" s="466">
        <v>1.0</v>
      </c>
      <c r="J1031" s="466"/>
      <c r="K1031" s="466" t="s">
        <v>7393</v>
      </c>
      <c r="L1031" s="466">
        <v>25.0</v>
      </c>
      <c r="M1031" s="466"/>
      <c r="N1031" s="466"/>
      <c r="O1031" s="466"/>
      <c r="P1031" s="357"/>
      <c r="Q1031" s="357"/>
      <c r="R1031" s="357"/>
      <c r="S1031" s="357"/>
      <c r="T1031" s="357"/>
      <c r="U1031" s="357"/>
      <c r="V1031" s="357"/>
      <c r="W1031" s="357"/>
      <c r="X1031" s="357"/>
      <c r="Y1031" s="357"/>
      <c r="Z1031" s="357"/>
    </row>
    <row r="1032" ht="15.75" customHeight="1">
      <c r="A1032" s="466" t="s">
        <v>8631</v>
      </c>
      <c r="B1032" s="466">
        <v>2024.0</v>
      </c>
      <c r="C1032" s="466">
        <v>12.0</v>
      </c>
      <c r="D1032" s="466">
        <v>45641.0</v>
      </c>
      <c r="E1032" s="466" t="s">
        <v>2607</v>
      </c>
      <c r="F1032" s="466" t="s">
        <v>8653</v>
      </c>
      <c r="G1032" s="466" t="s">
        <v>7106</v>
      </c>
      <c r="H1032" s="466" t="s">
        <v>8654</v>
      </c>
      <c r="I1032" s="466">
        <v>1.0</v>
      </c>
      <c r="J1032" s="466"/>
      <c r="K1032" s="466" t="s">
        <v>7393</v>
      </c>
      <c r="L1032" s="466">
        <v>85.0</v>
      </c>
      <c r="M1032" s="466"/>
      <c r="N1032" s="466"/>
      <c r="O1032" s="466"/>
      <c r="P1032" s="357"/>
      <c r="Q1032" s="357"/>
      <c r="R1032" s="357"/>
      <c r="S1032" s="357"/>
      <c r="T1032" s="357"/>
      <c r="U1032" s="357"/>
      <c r="V1032" s="357"/>
      <c r="W1032" s="357"/>
      <c r="X1032" s="357"/>
      <c r="Y1032" s="357"/>
      <c r="Z1032" s="357"/>
    </row>
    <row r="1033" ht="15.75" customHeight="1">
      <c r="A1033" s="466" t="s">
        <v>8631</v>
      </c>
      <c r="B1033" s="466">
        <v>2024.0</v>
      </c>
      <c r="C1033" s="466">
        <v>12.0</v>
      </c>
      <c r="D1033" s="466">
        <v>45641.0</v>
      </c>
      <c r="E1033" s="466" t="s">
        <v>7396</v>
      </c>
      <c r="F1033" s="466" t="s">
        <v>8655</v>
      </c>
      <c r="G1033" s="466" t="s">
        <v>8656</v>
      </c>
      <c r="H1033" s="466"/>
      <c r="I1033" s="466">
        <v>1.0</v>
      </c>
      <c r="J1033" s="466"/>
      <c r="K1033" s="466" t="s">
        <v>7393</v>
      </c>
      <c r="L1033" s="466">
        <v>100.0</v>
      </c>
      <c r="M1033" s="466"/>
      <c r="N1033" s="466"/>
      <c r="O1033" s="466"/>
      <c r="P1033" s="357"/>
      <c r="Q1033" s="357"/>
      <c r="R1033" s="357"/>
      <c r="S1033" s="357"/>
      <c r="T1033" s="357"/>
      <c r="U1033" s="357"/>
      <c r="V1033" s="357"/>
      <c r="W1033" s="357"/>
      <c r="X1033" s="357"/>
      <c r="Y1033" s="357"/>
      <c r="Z1033" s="357"/>
    </row>
    <row r="1034" ht="15.75" customHeight="1">
      <c r="A1034" s="466" t="s">
        <v>8160</v>
      </c>
      <c r="B1034" s="466">
        <v>2024.0</v>
      </c>
      <c r="C1034" s="466">
        <v>12.0</v>
      </c>
      <c r="D1034" s="466">
        <v>45642.0</v>
      </c>
      <c r="E1034" s="466" t="s">
        <v>8486</v>
      </c>
      <c r="F1034" s="466" t="s">
        <v>8487</v>
      </c>
      <c r="G1034" s="466" t="s">
        <v>7611</v>
      </c>
      <c r="H1034" s="466" t="s">
        <v>8657</v>
      </c>
      <c r="I1034" s="466">
        <v>1.0</v>
      </c>
      <c r="J1034" s="466"/>
      <c r="K1034" s="466" t="s">
        <v>7393</v>
      </c>
      <c r="L1034" s="466">
        <v>85.0</v>
      </c>
      <c r="M1034" s="466"/>
      <c r="N1034" s="466"/>
      <c r="O1034" s="466"/>
      <c r="P1034" s="357"/>
      <c r="Q1034" s="357"/>
      <c r="R1034" s="357"/>
      <c r="S1034" s="357"/>
      <c r="T1034" s="357"/>
      <c r="U1034" s="357"/>
      <c r="V1034" s="357"/>
      <c r="W1034" s="357"/>
      <c r="X1034" s="357"/>
      <c r="Y1034" s="357"/>
      <c r="Z1034" s="357"/>
    </row>
    <row r="1035" ht="15.75" customHeight="1">
      <c r="A1035" s="466" t="s">
        <v>8160</v>
      </c>
      <c r="B1035" s="466">
        <v>2024.0</v>
      </c>
      <c r="C1035" s="466">
        <v>12.0</v>
      </c>
      <c r="D1035" s="466">
        <v>45642.0</v>
      </c>
      <c r="E1035" s="466" t="s">
        <v>2600</v>
      </c>
      <c r="F1035" s="466" t="s">
        <v>8374</v>
      </c>
      <c r="G1035" s="466" t="s">
        <v>7075</v>
      </c>
      <c r="H1035" s="466" t="s">
        <v>8571</v>
      </c>
      <c r="I1035" s="466">
        <v>1.0</v>
      </c>
      <c r="J1035" s="466"/>
      <c r="K1035" s="466" t="s">
        <v>8658</v>
      </c>
      <c r="L1035" s="466">
        <v>96.0</v>
      </c>
      <c r="M1035" s="466"/>
      <c r="N1035" s="466"/>
      <c r="O1035" s="466"/>
      <c r="P1035" s="357"/>
      <c r="Q1035" s="357"/>
      <c r="R1035" s="357"/>
      <c r="S1035" s="357"/>
      <c r="T1035" s="357"/>
      <c r="U1035" s="357"/>
      <c r="V1035" s="357"/>
      <c r="W1035" s="357"/>
      <c r="X1035" s="357"/>
      <c r="Y1035" s="357"/>
      <c r="Z1035" s="357"/>
    </row>
    <row r="1036" ht="15.75" customHeight="1">
      <c r="A1036" s="466" t="s">
        <v>8160</v>
      </c>
      <c r="B1036" s="466">
        <v>2024.0</v>
      </c>
      <c r="C1036" s="466">
        <v>12.0</v>
      </c>
      <c r="D1036" s="466">
        <v>45644.0</v>
      </c>
      <c r="E1036" s="466" t="s">
        <v>8659</v>
      </c>
      <c r="F1036" s="466" t="s">
        <v>2769</v>
      </c>
      <c r="G1036" s="466" t="s">
        <v>8501</v>
      </c>
      <c r="H1036" s="466"/>
      <c r="I1036" s="466">
        <v>4.0</v>
      </c>
      <c r="J1036" s="466"/>
      <c r="K1036" s="466" t="s">
        <v>2511</v>
      </c>
      <c r="L1036" s="466">
        <v>190.0</v>
      </c>
      <c r="M1036" s="466"/>
      <c r="N1036" s="466"/>
      <c r="O1036" s="466"/>
      <c r="P1036" s="357"/>
      <c r="Q1036" s="357"/>
      <c r="R1036" s="357"/>
      <c r="S1036" s="357"/>
      <c r="T1036" s="357"/>
      <c r="U1036" s="357"/>
      <c r="V1036" s="357"/>
      <c r="W1036" s="357"/>
      <c r="X1036" s="357"/>
      <c r="Y1036" s="357"/>
      <c r="Z1036" s="357"/>
    </row>
    <row r="1037" ht="15.75" customHeight="1">
      <c r="A1037" s="466" t="s">
        <v>8160</v>
      </c>
      <c r="B1037" s="466">
        <v>2024.0</v>
      </c>
      <c r="C1037" s="466">
        <v>12.0</v>
      </c>
      <c r="D1037" s="466">
        <v>45644.0</v>
      </c>
      <c r="E1037" s="466" t="s">
        <v>8659</v>
      </c>
      <c r="F1037" s="466" t="s">
        <v>2769</v>
      </c>
      <c r="G1037" s="466" t="s">
        <v>8526</v>
      </c>
      <c r="H1037" s="466"/>
      <c r="I1037" s="466">
        <v>4.0</v>
      </c>
      <c r="J1037" s="466"/>
      <c r="K1037" s="466" t="s">
        <v>2511</v>
      </c>
      <c r="L1037" s="466"/>
      <c r="M1037" s="466"/>
      <c r="N1037" s="466"/>
      <c r="O1037" s="466"/>
      <c r="P1037" s="357"/>
      <c r="Q1037" s="357"/>
      <c r="R1037" s="357"/>
      <c r="S1037" s="357"/>
      <c r="T1037" s="357"/>
      <c r="U1037" s="357"/>
      <c r="V1037" s="357"/>
      <c r="W1037" s="357"/>
      <c r="X1037" s="357"/>
      <c r="Y1037" s="357"/>
      <c r="Z1037" s="357"/>
    </row>
    <row r="1038" ht="15.75" customHeight="1">
      <c r="A1038" s="466" t="s">
        <v>8160</v>
      </c>
      <c r="B1038" s="466">
        <v>2024.0</v>
      </c>
      <c r="C1038" s="466">
        <v>12.0</v>
      </c>
      <c r="D1038" s="466">
        <v>45645.0</v>
      </c>
      <c r="E1038" s="466" t="s">
        <v>8550</v>
      </c>
      <c r="F1038" s="466" t="s">
        <v>8660</v>
      </c>
      <c r="G1038" s="466" t="s">
        <v>7075</v>
      </c>
      <c r="H1038" s="466" t="s">
        <v>6939</v>
      </c>
      <c r="I1038" s="466">
        <v>1.0</v>
      </c>
      <c r="J1038" s="466"/>
      <c r="K1038" s="466" t="s">
        <v>8661</v>
      </c>
      <c r="L1038" s="466">
        <v>120.0</v>
      </c>
      <c r="M1038" s="466"/>
      <c r="N1038" s="466"/>
      <c r="O1038" s="466"/>
      <c r="P1038" s="357"/>
      <c r="Q1038" s="357"/>
      <c r="R1038" s="357"/>
      <c r="S1038" s="357"/>
      <c r="T1038" s="357"/>
      <c r="U1038" s="357"/>
      <c r="V1038" s="357"/>
      <c r="W1038" s="357"/>
      <c r="X1038" s="357"/>
      <c r="Y1038" s="357"/>
      <c r="Z1038" s="357"/>
    </row>
    <row r="1039" ht="15.75" customHeight="1">
      <c r="A1039" s="466" t="s">
        <v>8160</v>
      </c>
      <c r="B1039" s="466">
        <v>2024.0</v>
      </c>
      <c r="C1039" s="466">
        <v>12.0</v>
      </c>
      <c r="D1039" s="466">
        <v>45645.0</v>
      </c>
      <c r="E1039" s="466" t="s">
        <v>8662</v>
      </c>
      <c r="F1039" s="466" t="s">
        <v>8663</v>
      </c>
      <c r="G1039" s="466" t="s">
        <v>7100</v>
      </c>
      <c r="H1039" s="466" t="s">
        <v>8664</v>
      </c>
      <c r="I1039" s="466">
        <v>1.0</v>
      </c>
      <c r="J1039" s="466"/>
      <c r="K1039" s="466" t="s">
        <v>8661</v>
      </c>
      <c r="L1039" s="466">
        <v>135.0</v>
      </c>
      <c r="M1039" s="466"/>
      <c r="N1039" s="466"/>
      <c r="O1039" s="466"/>
      <c r="P1039" s="357"/>
      <c r="Q1039" s="357"/>
      <c r="R1039" s="357"/>
      <c r="S1039" s="357"/>
      <c r="T1039" s="357"/>
      <c r="U1039" s="357"/>
      <c r="V1039" s="357"/>
      <c r="W1039" s="357"/>
      <c r="X1039" s="357"/>
      <c r="Y1039" s="357"/>
      <c r="Z1039" s="357"/>
    </row>
    <row r="1040" ht="15.75" customHeight="1">
      <c r="A1040" s="466" t="s">
        <v>8665</v>
      </c>
      <c r="B1040" s="466">
        <v>2024.0</v>
      </c>
      <c r="C1040" s="466">
        <v>12.0</v>
      </c>
      <c r="D1040" s="466">
        <v>45647.0</v>
      </c>
      <c r="E1040" s="466"/>
      <c r="F1040" s="466"/>
      <c r="G1040" s="466" t="s">
        <v>7100</v>
      </c>
      <c r="H1040" s="466" t="s">
        <v>248</v>
      </c>
      <c r="I1040" s="466">
        <v>1.0</v>
      </c>
      <c r="J1040" s="466"/>
      <c r="K1040" s="466" t="s">
        <v>2558</v>
      </c>
      <c r="L1040" s="466">
        <v>170.0</v>
      </c>
      <c r="M1040" s="466"/>
      <c r="N1040" s="466"/>
      <c r="O1040" s="466"/>
      <c r="P1040" s="357"/>
      <c r="Q1040" s="357"/>
      <c r="R1040" s="357"/>
      <c r="S1040" s="357"/>
      <c r="T1040" s="357"/>
      <c r="U1040" s="357"/>
      <c r="V1040" s="357"/>
      <c r="W1040" s="357"/>
      <c r="X1040" s="357"/>
      <c r="Y1040" s="357"/>
      <c r="Z1040" s="357"/>
    </row>
    <row r="1041" ht="15.75" customHeight="1">
      <c r="A1041" s="466" t="s">
        <v>8665</v>
      </c>
      <c r="B1041" s="466">
        <v>2024.0</v>
      </c>
      <c r="C1041" s="466">
        <v>12.0</v>
      </c>
      <c r="D1041" s="466">
        <v>45647.0</v>
      </c>
      <c r="E1041" s="466" t="s">
        <v>2638</v>
      </c>
      <c r="F1041" s="466" t="s">
        <v>8666</v>
      </c>
      <c r="G1041" s="466" t="s">
        <v>7611</v>
      </c>
      <c r="H1041" s="466" t="s">
        <v>8667</v>
      </c>
      <c r="I1041" s="466">
        <v>1.0</v>
      </c>
      <c r="J1041" s="466"/>
      <c r="K1041" s="466" t="s">
        <v>7393</v>
      </c>
      <c r="L1041" s="466">
        <v>85.0</v>
      </c>
      <c r="M1041" s="466"/>
      <c r="N1041" s="466"/>
      <c r="O1041" s="466"/>
      <c r="P1041" s="357"/>
      <c r="Q1041" s="357"/>
      <c r="R1041" s="357"/>
      <c r="S1041" s="357"/>
      <c r="T1041" s="357"/>
      <c r="U1041" s="357"/>
      <c r="V1041" s="357"/>
      <c r="W1041" s="357"/>
      <c r="X1041" s="357"/>
      <c r="Y1041" s="357"/>
      <c r="Z1041" s="357"/>
    </row>
    <row r="1042" ht="15.75" customHeight="1">
      <c r="A1042" s="466" t="s">
        <v>8665</v>
      </c>
      <c r="B1042" s="466">
        <v>2024.0</v>
      </c>
      <c r="C1042" s="466">
        <v>12.0</v>
      </c>
      <c r="D1042" s="466">
        <v>45647.0</v>
      </c>
      <c r="E1042" s="466" t="s">
        <v>7672</v>
      </c>
      <c r="F1042" s="466" t="s">
        <v>8668</v>
      </c>
      <c r="G1042" s="466" t="s">
        <v>8501</v>
      </c>
      <c r="H1042" s="466" t="s">
        <v>7647</v>
      </c>
      <c r="I1042" s="466">
        <v>1.0</v>
      </c>
      <c r="J1042" s="466"/>
      <c r="K1042" s="466" t="s">
        <v>7393</v>
      </c>
      <c r="L1042" s="466">
        <v>22.0</v>
      </c>
      <c r="M1042" s="466"/>
      <c r="N1042" s="466"/>
      <c r="O1042" s="466"/>
      <c r="P1042" s="357"/>
      <c r="Q1042" s="357"/>
      <c r="R1042" s="357"/>
      <c r="S1042" s="357"/>
      <c r="T1042" s="357"/>
      <c r="U1042" s="357"/>
      <c r="V1042" s="357"/>
      <c r="W1042" s="357"/>
      <c r="X1042" s="357"/>
      <c r="Y1042" s="357"/>
      <c r="Z1042" s="357"/>
    </row>
    <row r="1043" ht="15.75" customHeight="1">
      <c r="A1043" s="466" t="s">
        <v>8665</v>
      </c>
      <c r="B1043" s="466">
        <v>2024.0</v>
      </c>
      <c r="C1043" s="466">
        <v>12.0</v>
      </c>
      <c r="D1043" s="466">
        <v>45647.0</v>
      </c>
      <c r="E1043" s="466" t="s">
        <v>2783</v>
      </c>
      <c r="F1043" s="466" t="s">
        <v>8669</v>
      </c>
      <c r="G1043" s="466" t="s">
        <v>6613</v>
      </c>
      <c r="H1043" s="466"/>
      <c r="I1043" s="466">
        <v>1.0</v>
      </c>
      <c r="J1043" s="466"/>
      <c r="K1043" s="466" t="s">
        <v>7393</v>
      </c>
      <c r="L1043" s="466">
        <v>70.0</v>
      </c>
      <c r="M1043" s="466"/>
      <c r="N1043" s="466"/>
      <c r="O1043" s="466"/>
      <c r="P1043" s="357"/>
      <c r="Q1043" s="357"/>
      <c r="R1043" s="357"/>
      <c r="S1043" s="357"/>
      <c r="T1043" s="357"/>
      <c r="U1043" s="357"/>
      <c r="V1043" s="357"/>
      <c r="W1043" s="357"/>
      <c r="X1043" s="357"/>
      <c r="Y1043" s="357"/>
      <c r="Z1043" s="357"/>
    </row>
    <row r="1044" ht="15.75" customHeight="1">
      <c r="A1044" s="466" t="s">
        <v>8665</v>
      </c>
      <c r="B1044" s="466">
        <v>2024.0</v>
      </c>
      <c r="C1044" s="466">
        <v>12.0</v>
      </c>
      <c r="D1044" s="466">
        <v>45647.0</v>
      </c>
      <c r="E1044" s="466" t="s">
        <v>7434</v>
      </c>
      <c r="F1044" s="466" t="s">
        <v>8670</v>
      </c>
      <c r="G1044" s="466" t="s">
        <v>8509</v>
      </c>
      <c r="H1044" s="466" t="s">
        <v>6939</v>
      </c>
      <c r="I1044" s="466">
        <v>1.0</v>
      </c>
      <c r="J1044" s="466"/>
      <c r="K1044" s="466" t="s">
        <v>7393</v>
      </c>
      <c r="L1044" s="466">
        <v>31.0</v>
      </c>
      <c r="M1044" s="466"/>
      <c r="N1044" s="466"/>
      <c r="O1044" s="466"/>
      <c r="P1044" s="357"/>
      <c r="Q1044" s="357"/>
      <c r="R1044" s="357"/>
      <c r="S1044" s="357"/>
      <c r="T1044" s="357"/>
      <c r="U1044" s="357"/>
      <c r="V1044" s="357"/>
      <c r="W1044" s="357"/>
      <c r="X1044" s="357"/>
      <c r="Y1044" s="357"/>
      <c r="Z1044" s="357"/>
    </row>
    <row r="1045" ht="15.75" customHeight="1">
      <c r="A1045" s="466" t="s">
        <v>8665</v>
      </c>
      <c r="B1045" s="466">
        <v>2024.0</v>
      </c>
      <c r="C1045" s="466">
        <v>12.0</v>
      </c>
      <c r="D1045" s="466">
        <v>45647.0</v>
      </c>
      <c r="E1045" s="466" t="s">
        <v>2572</v>
      </c>
      <c r="F1045" s="466" t="s">
        <v>8671</v>
      </c>
      <c r="G1045" s="466" t="s">
        <v>7611</v>
      </c>
      <c r="H1045" s="466" t="s">
        <v>8667</v>
      </c>
      <c r="I1045" s="466">
        <v>1.0</v>
      </c>
      <c r="J1045" s="466"/>
      <c r="K1045" s="466" t="s">
        <v>7393</v>
      </c>
      <c r="L1045" s="466">
        <v>85.0</v>
      </c>
      <c r="M1045" s="466"/>
      <c r="N1045" s="466"/>
      <c r="O1045" s="466"/>
      <c r="P1045" s="357"/>
      <c r="Q1045" s="357"/>
      <c r="R1045" s="357"/>
      <c r="S1045" s="357"/>
      <c r="T1045" s="357"/>
      <c r="U1045" s="357"/>
      <c r="V1045" s="357"/>
      <c r="W1045" s="357"/>
      <c r="X1045" s="357"/>
      <c r="Y1045" s="357"/>
      <c r="Z1045" s="357"/>
    </row>
    <row r="1046" ht="15.75" customHeight="1">
      <c r="A1046" s="466" t="s">
        <v>8665</v>
      </c>
      <c r="B1046" s="466">
        <v>2024.0</v>
      </c>
      <c r="C1046" s="466">
        <v>12.0</v>
      </c>
      <c r="D1046" s="466">
        <v>45647.0</v>
      </c>
      <c r="E1046" s="466" t="s">
        <v>2578</v>
      </c>
      <c r="F1046" s="466" t="s">
        <v>2579</v>
      </c>
      <c r="G1046" s="466" t="s">
        <v>8501</v>
      </c>
      <c r="H1046" s="466" t="s">
        <v>7647</v>
      </c>
      <c r="I1046" s="466">
        <v>2.0</v>
      </c>
      <c r="J1046" s="466"/>
      <c r="K1046" s="466" t="s">
        <v>8661</v>
      </c>
      <c r="L1046" s="466">
        <v>54.0</v>
      </c>
      <c r="M1046" s="466"/>
      <c r="N1046" s="466"/>
      <c r="O1046" s="466"/>
      <c r="P1046" s="357"/>
      <c r="Q1046" s="357"/>
      <c r="R1046" s="357"/>
      <c r="S1046" s="357"/>
      <c r="T1046" s="357"/>
      <c r="U1046" s="357"/>
      <c r="V1046" s="357"/>
      <c r="W1046" s="357"/>
      <c r="X1046" s="357"/>
      <c r="Y1046" s="357"/>
      <c r="Z1046" s="357"/>
    </row>
    <row r="1047" ht="15.75" customHeight="1">
      <c r="A1047" s="466" t="s">
        <v>8665</v>
      </c>
      <c r="B1047" s="466">
        <v>2024.0</v>
      </c>
      <c r="C1047" s="466">
        <v>12.0</v>
      </c>
      <c r="D1047" s="466">
        <v>45647.0</v>
      </c>
      <c r="E1047" s="466" t="s">
        <v>8589</v>
      </c>
      <c r="F1047" s="466"/>
      <c r="G1047" s="466" t="s">
        <v>6613</v>
      </c>
      <c r="H1047" s="466" t="s">
        <v>8672</v>
      </c>
      <c r="I1047" s="466">
        <v>1.0</v>
      </c>
      <c r="J1047" s="466"/>
      <c r="K1047" s="466" t="s">
        <v>8661</v>
      </c>
      <c r="L1047" s="466">
        <v>70.0</v>
      </c>
      <c r="M1047" s="466"/>
      <c r="N1047" s="466"/>
      <c r="O1047" s="466"/>
      <c r="P1047" s="357"/>
      <c r="Q1047" s="357"/>
      <c r="R1047" s="357"/>
      <c r="S1047" s="357"/>
      <c r="T1047" s="357"/>
      <c r="U1047" s="357"/>
      <c r="V1047" s="357"/>
      <c r="W1047" s="357"/>
      <c r="X1047" s="357"/>
      <c r="Y1047" s="357"/>
      <c r="Z1047" s="357"/>
    </row>
    <row r="1048" ht="15.75" customHeight="1">
      <c r="A1048" s="466" t="s">
        <v>8665</v>
      </c>
      <c r="B1048" s="466">
        <v>2024.0</v>
      </c>
      <c r="C1048" s="466">
        <v>12.0</v>
      </c>
      <c r="D1048" s="466">
        <v>45647.0</v>
      </c>
      <c r="E1048" s="466" t="s">
        <v>8252</v>
      </c>
      <c r="F1048" s="466" t="s">
        <v>8673</v>
      </c>
      <c r="G1048" s="466" t="s">
        <v>8526</v>
      </c>
      <c r="H1048" s="466"/>
      <c r="I1048" s="466">
        <v>1.0</v>
      </c>
      <c r="J1048" s="466"/>
      <c r="K1048" s="466" t="s">
        <v>7393</v>
      </c>
      <c r="L1048" s="466">
        <v>25.0</v>
      </c>
      <c r="M1048" s="466"/>
      <c r="N1048" s="466"/>
      <c r="O1048" s="466"/>
      <c r="P1048" s="357"/>
      <c r="Q1048" s="357"/>
      <c r="R1048" s="357"/>
      <c r="S1048" s="357"/>
      <c r="T1048" s="357"/>
      <c r="U1048" s="357"/>
      <c r="V1048" s="357"/>
      <c r="W1048" s="357"/>
      <c r="X1048" s="357"/>
      <c r="Y1048" s="357"/>
      <c r="Z1048" s="357"/>
    </row>
    <row r="1049" ht="15.75" customHeight="1">
      <c r="A1049" s="466" t="s">
        <v>8665</v>
      </c>
      <c r="B1049" s="466">
        <v>2024.0</v>
      </c>
      <c r="C1049" s="466">
        <v>12.0</v>
      </c>
      <c r="D1049" s="466">
        <v>45647.0</v>
      </c>
      <c r="E1049" s="466" t="s">
        <v>7805</v>
      </c>
      <c r="F1049" s="466" t="s">
        <v>8674</v>
      </c>
      <c r="G1049" s="466" t="s">
        <v>7075</v>
      </c>
      <c r="H1049" s="466" t="s">
        <v>8205</v>
      </c>
      <c r="I1049" s="466">
        <v>1.0</v>
      </c>
      <c r="J1049" s="466"/>
      <c r="K1049" s="466" t="s">
        <v>7393</v>
      </c>
      <c r="L1049" s="466">
        <v>150.0</v>
      </c>
      <c r="M1049" s="466"/>
      <c r="N1049" s="466"/>
      <c r="O1049" s="466"/>
      <c r="P1049" s="357"/>
      <c r="Q1049" s="357"/>
      <c r="R1049" s="357"/>
      <c r="S1049" s="357"/>
      <c r="T1049" s="357"/>
      <c r="U1049" s="357"/>
      <c r="V1049" s="357"/>
      <c r="W1049" s="357"/>
      <c r="X1049" s="357"/>
      <c r="Y1049" s="357"/>
      <c r="Z1049" s="357"/>
    </row>
    <row r="1050" ht="15.75" customHeight="1">
      <c r="A1050" s="466" t="s">
        <v>8665</v>
      </c>
      <c r="B1050" s="466">
        <v>2024.0</v>
      </c>
      <c r="C1050" s="466">
        <v>12.0</v>
      </c>
      <c r="D1050" s="466">
        <v>45647.0</v>
      </c>
      <c r="E1050" s="466" t="s">
        <v>7848</v>
      </c>
      <c r="F1050" s="466" t="s">
        <v>8675</v>
      </c>
      <c r="G1050" s="466" t="s">
        <v>7075</v>
      </c>
      <c r="H1050" s="466" t="s">
        <v>8205</v>
      </c>
      <c r="I1050" s="466">
        <v>1.0</v>
      </c>
      <c r="J1050" s="466"/>
      <c r="K1050" s="466" t="s">
        <v>7393</v>
      </c>
      <c r="L1050" s="466">
        <v>120.0</v>
      </c>
      <c r="M1050" s="466"/>
      <c r="N1050" s="466"/>
      <c r="O1050" s="466"/>
      <c r="P1050" s="357"/>
      <c r="Q1050" s="357"/>
      <c r="R1050" s="357"/>
      <c r="S1050" s="357"/>
      <c r="T1050" s="357"/>
      <c r="U1050" s="357"/>
      <c r="V1050" s="357"/>
      <c r="W1050" s="357"/>
      <c r="X1050" s="357"/>
      <c r="Y1050" s="357"/>
      <c r="Z1050" s="357"/>
    </row>
    <row r="1051" ht="15.75" customHeight="1">
      <c r="A1051" s="466" t="s">
        <v>8665</v>
      </c>
      <c r="B1051" s="466">
        <v>2024.0</v>
      </c>
      <c r="C1051" s="466">
        <v>12.0</v>
      </c>
      <c r="D1051" s="466">
        <v>45647.0</v>
      </c>
      <c r="E1051" s="466" t="s">
        <v>2561</v>
      </c>
      <c r="F1051" s="466" t="s">
        <v>8016</v>
      </c>
      <c r="G1051" s="466" t="s">
        <v>7611</v>
      </c>
      <c r="H1051" s="466" t="s">
        <v>8657</v>
      </c>
      <c r="I1051" s="466">
        <v>1.0</v>
      </c>
      <c r="J1051" s="466"/>
      <c r="K1051" s="466" t="s">
        <v>7393</v>
      </c>
      <c r="L1051" s="466">
        <v>85.0</v>
      </c>
      <c r="M1051" s="466"/>
      <c r="N1051" s="466"/>
      <c r="O1051" s="466"/>
      <c r="P1051" s="357"/>
      <c r="Q1051" s="357"/>
      <c r="R1051" s="357"/>
      <c r="S1051" s="357"/>
      <c r="T1051" s="357"/>
      <c r="U1051" s="357"/>
      <c r="V1051" s="357"/>
      <c r="W1051" s="357"/>
      <c r="X1051" s="357"/>
      <c r="Y1051" s="357"/>
      <c r="Z1051" s="357"/>
    </row>
    <row r="1052" ht="15.75" customHeight="1">
      <c r="A1052" s="466" t="s">
        <v>8665</v>
      </c>
      <c r="B1052" s="466">
        <v>2024.0</v>
      </c>
      <c r="C1052" s="466">
        <v>12.0</v>
      </c>
      <c r="D1052" s="466">
        <v>45647.0</v>
      </c>
      <c r="E1052" s="466" t="s">
        <v>2561</v>
      </c>
      <c r="F1052" s="466" t="s">
        <v>8016</v>
      </c>
      <c r="G1052" s="466" t="s">
        <v>8676</v>
      </c>
      <c r="H1052" s="466"/>
      <c r="I1052" s="466">
        <v>1.0</v>
      </c>
      <c r="J1052" s="466"/>
      <c r="K1052" s="466" t="s">
        <v>7393</v>
      </c>
      <c r="L1052" s="466">
        <v>38.0</v>
      </c>
      <c r="M1052" s="466"/>
      <c r="N1052" s="466"/>
      <c r="O1052" s="466"/>
      <c r="P1052" s="357"/>
      <c r="Q1052" s="357"/>
      <c r="R1052" s="357"/>
      <c r="S1052" s="357"/>
      <c r="T1052" s="357"/>
      <c r="U1052" s="357"/>
      <c r="V1052" s="357"/>
      <c r="W1052" s="357"/>
      <c r="X1052" s="357"/>
      <c r="Y1052" s="357"/>
      <c r="Z1052" s="357"/>
    </row>
    <row r="1053" ht="15.75" customHeight="1">
      <c r="A1053" s="466" t="s">
        <v>8665</v>
      </c>
      <c r="B1053" s="466">
        <v>2024.0</v>
      </c>
      <c r="C1053" s="466">
        <v>12.0</v>
      </c>
      <c r="D1053" s="466">
        <v>45647.0</v>
      </c>
      <c r="E1053" s="466" t="s">
        <v>2627</v>
      </c>
      <c r="F1053" s="466" t="s">
        <v>2628</v>
      </c>
      <c r="G1053" s="466" t="s">
        <v>8501</v>
      </c>
      <c r="H1053" s="466" t="s">
        <v>8677</v>
      </c>
      <c r="I1053" s="466">
        <v>2.0</v>
      </c>
      <c r="J1053" s="466"/>
      <c r="K1053" s="466" t="s">
        <v>2511</v>
      </c>
      <c r="L1053" s="466">
        <v>45.0</v>
      </c>
      <c r="M1053" s="466"/>
      <c r="N1053" s="466"/>
      <c r="O1053" s="466"/>
      <c r="P1053" s="357"/>
      <c r="Q1053" s="357"/>
      <c r="R1053" s="357"/>
      <c r="S1053" s="357"/>
      <c r="T1053" s="357"/>
      <c r="U1053" s="357"/>
      <c r="V1053" s="357"/>
      <c r="W1053" s="357"/>
      <c r="X1053" s="357"/>
      <c r="Y1053" s="357"/>
      <c r="Z1053" s="357"/>
    </row>
    <row r="1054" ht="15.75" customHeight="1">
      <c r="A1054" s="466" t="s">
        <v>8665</v>
      </c>
      <c r="B1054" s="466">
        <v>2024.0</v>
      </c>
      <c r="C1054" s="466">
        <v>12.0</v>
      </c>
      <c r="D1054" s="466">
        <v>45647.0</v>
      </c>
      <c r="E1054" s="466" t="s">
        <v>8678</v>
      </c>
      <c r="F1054" s="466"/>
      <c r="G1054" s="466" t="s">
        <v>7073</v>
      </c>
      <c r="H1054" s="466" t="s">
        <v>6669</v>
      </c>
      <c r="I1054" s="466">
        <v>1.0</v>
      </c>
      <c r="J1054" s="466"/>
      <c r="K1054" s="466" t="s">
        <v>2511</v>
      </c>
      <c r="L1054" s="466">
        <v>115.0</v>
      </c>
      <c r="M1054" s="466"/>
      <c r="N1054" s="466"/>
      <c r="O1054" s="466"/>
      <c r="P1054" s="357"/>
      <c r="Q1054" s="357"/>
      <c r="R1054" s="357"/>
      <c r="S1054" s="357"/>
      <c r="T1054" s="357"/>
      <c r="U1054" s="357"/>
      <c r="V1054" s="357"/>
      <c r="W1054" s="357"/>
      <c r="X1054" s="357"/>
      <c r="Y1054" s="357"/>
      <c r="Z1054" s="357"/>
    </row>
    <row r="1055" ht="15.75" customHeight="1">
      <c r="A1055" s="466" t="s">
        <v>8665</v>
      </c>
      <c r="B1055" s="466">
        <v>2024.0</v>
      </c>
      <c r="C1055" s="466">
        <v>12.0</v>
      </c>
      <c r="D1055" s="466">
        <v>45647.0</v>
      </c>
      <c r="E1055" s="466" t="s">
        <v>8678</v>
      </c>
      <c r="F1055" s="466"/>
      <c r="G1055" s="466" t="s">
        <v>7073</v>
      </c>
      <c r="H1055" s="466" t="s">
        <v>6669</v>
      </c>
      <c r="I1055" s="466">
        <v>1.0</v>
      </c>
      <c r="J1055" s="466"/>
      <c r="K1055" s="466" t="s">
        <v>2511</v>
      </c>
      <c r="L1055" s="466">
        <v>115.0</v>
      </c>
      <c r="M1055" s="466"/>
      <c r="N1055" s="466"/>
      <c r="O1055" s="466"/>
      <c r="P1055" s="357"/>
      <c r="Q1055" s="357"/>
      <c r="R1055" s="357"/>
      <c r="S1055" s="357"/>
      <c r="T1055" s="357"/>
      <c r="U1055" s="357"/>
      <c r="V1055" s="357"/>
      <c r="W1055" s="357"/>
      <c r="X1055" s="357"/>
      <c r="Y1055" s="357"/>
      <c r="Z1055" s="357"/>
    </row>
    <row r="1056" ht="15.75" customHeight="1">
      <c r="A1056" s="466" t="s">
        <v>8665</v>
      </c>
      <c r="B1056" s="466">
        <v>2024.0</v>
      </c>
      <c r="C1056" s="466">
        <v>12.0</v>
      </c>
      <c r="D1056" s="466">
        <v>45647.0</v>
      </c>
      <c r="E1056" s="466" t="s">
        <v>2600</v>
      </c>
      <c r="F1056" s="466" t="s">
        <v>8679</v>
      </c>
      <c r="G1056" s="466" t="s">
        <v>6613</v>
      </c>
      <c r="H1056" s="466" t="s">
        <v>204</v>
      </c>
      <c r="I1056" s="466">
        <v>1.0</v>
      </c>
      <c r="J1056" s="466"/>
      <c r="K1056" s="466" t="s">
        <v>3009</v>
      </c>
      <c r="L1056" s="466">
        <v>60.0</v>
      </c>
      <c r="M1056" s="466"/>
      <c r="N1056" s="466"/>
      <c r="O1056" s="466"/>
      <c r="P1056" s="357"/>
      <c r="Q1056" s="357"/>
      <c r="R1056" s="357"/>
      <c r="S1056" s="357"/>
      <c r="T1056" s="357"/>
      <c r="U1056" s="357"/>
      <c r="V1056" s="357"/>
      <c r="W1056" s="357"/>
      <c r="X1056" s="357"/>
      <c r="Y1056" s="357"/>
      <c r="Z1056" s="357"/>
    </row>
    <row r="1057" ht="15.75" customHeight="1">
      <c r="A1057" s="466" t="s">
        <v>8665</v>
      </c>
      <c r="B1057" s="466">
        <v>2024.0</v>
      </c>
      <c r="C1057" s="466">
        <v>12.0</v>
      </c>
      <c r="D1057" s="466">
        <v>45647.0</v>
      </c>
      <c r="E1057" s="466" t="s">
        <v>8680</v>
      </c>
      <c r="F1057" s="466" t="s">
        <v>8681</v>
      </c>
      <c r="G1057" s="466" t="s">
        <v>7075</v>
      </c>
      <c r="H1057" s="466" t="s">
        <v>8682</v>
      </c>
      <c r="I1057" s="466">
        <v>1.0</v>
      </c>
      <c r="J1057" s="466"/>
      <c r="K1057" s="466" t="s">
        <v>7393</v>
      </c>
      <c r="L1057" s="466">
        <v>215.0</v>
      </c>
      <c r="M1057" s="466"/>
      <c r="N1057" s="466"/>
      <c r="O1057" s="466"/>
      <c r="P1057" s="357"/>
      <c r="Q1057" s="357"/>
      <c r="R1057" s="357"/>
      <c r="S1057" s="357"/>
      <c r="T1057" s="357"/>
      <c r="U1057" s="357"/>
      <c r="V1057" s="357"/>
      <c r="W1057" s="357"/>
      <c r="X1057" s="357"/>
      <c r="Y1057" s="357"/>
      <c r="Z1057" s="357"/>
    </row>
    <row r="1058" ht="15.75" customHeight="1">
      <c r="A1058" s="466" t="s">
        <v>8665</v>
      </c>
      <c r="B1058" s="466">
        <v>2024.0</v>
      </c>
      <c r="C1058" s="466">
        <v>12.0</v>
      </c>
      <c r="D1058" s="466">
        <v>45647.0</v>
      </c>
      <c r="E1058" s="466" t="s">
        <v>8683</v>
      </c>
      <c r="F1058" s="466" t="s">
        <v>8681</v>
      </c>
      <c r="G1058" s="466" t="s">
        <v>7075</v>
      </c>
      <c r="H1058" s="466" t="s">
        <v>8205</v>
      </c>
      <c r="I1058" s="466">
        <v>1.0</v>
      </c>
      <c r="J1058" s="466"/>
      <c r="K1058" s="466" t="s">
        <v>7393</v>
      </c>
      <c r="L1058" s="466"/>
      <c r="M1058" s="466"/>
      <c r="N1058" s="466"/>
      <c r="O1058" s="466"/>
      <c r="P1058" s="357"/>
      <c r="Q1058" s="357"/>
      <c r="R1058" s="357"/>
      <c r="S1058" s="357"/>
      <c r="T1058" s="357"/>
      <c r="U1058" s="357"/>
      <c r="V1058" s="357"/>
      <c r="W1058" s="357"/>
      <c r="X1058" s="357"/>
      <c r="Y1058" s="357"/>
      <c r="Z1058" s="357"/>
    </row>
    <row r="1059" ht="15.75" customHeight="1">
      <c r="A1059" s="466" t="s">
        <v>8665</v>
      </c>
      <c r="B1059" s="466">
        <v>2024.0</v>
      </c>
      <c r="C1059" s="466">
        <v>12.0</v>
      </c>
      <c r="D1059" s="466">
        <v>45647.0</v>
      </c>
      <c r="E1059" s="466" t="s">
        <v>8684</v>
      </c>
      <c r="F1059" s="466" t="s">
        <v>8685</v>
      </c>
      <c r="G1059" s="466" t="s">
        <v>6613</v>
      </c>
      <c r="H1059" s="466" t="s">
        <v>6851</v>
      </c>
      <c r="I1059" s="466">
        <v>1.0</v>
      </c>
      <c r="J1059" s="466"/>
      <c r="K1059" s="466" t="s">
        <v>2511</v>
      </c>
      <c r="L1059" s="466">
        <v>60.0</v>
      </c>
      <c r="M1059" s="466"/>
      <c r="N1059" s="466"/>
      <c r="O1059" s="466"/>
      <c r="P1059" s="357"/>
      <c r="Q1059" s="357"/>
      <c r="R1059" s="357"/>
      <c r="S1059" s="357"/>
      <c r="T1059" s="357"/>
      <c r="U1059" s="357"/>
      <c r="V1059" s="357"/>
      <c r="W1059" s="357"/>
      <c r="X1059" s="357"/>
      <c r="Y1059" s="357"/>
      <c r="Z1059" s="357"/>
    </row>
    <row r="1060" ht="15.75" customHeight="1">
      <c r="A1060" s="466" t="s">
        <v>8160</v>
      </c>
      <c r="B1060" s="466">
        <v>2024.0</v>
      </c>
      <c r="C1060" s="466">
        <v>12.0</v>
      </c>
      <c r="D1060" s="466">
        <v>45648.0</v>
      </c>
      <c r="E1060" s="466" t="s">
        <v>2768</v>
      </c>
      <c r="F1060" s="466" t="s">
        <v>2769</v>
      </c>
      <c r="G1060" s="466" t="s">
        <v>8686</v>
      </c>
      <c r="H1060" s="466"/>
      <c r="I1060" s="466">
        <v>1.0</v>
      </c>
      <c r="J1060" s="466"/>
      <c r="K1060" s="466" t="s">
        <v>2511</v>
      </c>
      <c r="L1060" s="466">
        <v>10.0</v>
      </c>
      <c r="M1060" s="466"/>
      <c r="N1060" s="466"/>
      <c r="O1060" s="466"/>
      <c r="P1060" s="357"/>
      <c r="Q1060" s="357"/>
      <c r="R1060" s="357"/>
      <c r="S1060" s="357"/>
      <c r="T1060" s="357"/>
      <c r="U1060" s="357"/>
      <c r="V1060" s="357"/>
      <c r="W1060" s="357"/>
      <c r="X1060" s="357"/>
      <c r="Y1060" s="357"/>
      <c r="Z1060" s="357"/>
    </row>
    <row r="1061" ht="15.75" customHeight="1">
      <c r="A1061" s="466" t="s">
        <v>8160</v>
      </c>
      <c r="B1061" s="466">
        <v>2024.0</v>
      </c>
      <c r="C1061" s="466">
        <v>12.0</v>
      </c>
      <c r="D1061" s="466">
        <v>45648.0</v>
      </c>
      <c r="E1061" s="466" t="s">
        <v>8687</v>
      </c>
      <c r="F1061" s="466" t="s">
        <v>8688</v>
      </c>
      <c r="G1061" s="466" t="s">
        <v>7106</v>
      </c>
      <c r="H1061" s="466" t="s">
        <v>8689</v>
      </c>
      <c r="I1061" s="466">
        <v>1.0</v>
      </c>
      <c r="J1061" s="466"/>
      <c r="K1061" s="466" t="s">
        <v>2511</v>
      </c>
      <c r="L1061" s="466">
        <v>50.0</v>
      </c>
      <c r="M1061" s="466"/>
      <c r="N1061" s="466"/>
      <c r="O1061" s="466"/>
      <c r="P1061" s="357"/>
      <c r="Q1061" s="357"/>
      <c r="R1061" s="357"/>
      <c r="S1061" s="357"/>
      <c r="T1061" s="357"/>
      <c r="U1061" s="357"/>
      <c r="V1061" s="357"/>
      <c r="W1061" s="357"/>
      <c r="X1061" s="357"/>
      <c r="Y1061" s="357"/>
      <c r="Z1061" s="357"/>
    </row>
    <row r="1062" ht="15.75" customHeight="1">
      <c r="A1062" s="466" t="s">
        <v>8160</v>
      </c>
      <c r="B1062" s="466">
        <v>2024.0</v>
      </c>
      <c r="C1062" s="466">
        <v>12.0</v>
      </c>
      <c r="D1062" s="466">
        <v>45649.0</v>
      </c>
      <c r="E1062" s="466" t="s">
        <v>8586</v>
      </c>
      <c r="F1062" s="466" t="s">
        <v>8690</v>
      </c>
      <c r="G1062" s="466" t="s">
        <v>8676</v>
      </c>
      <c r="H1062" s="466"/>
      <c r="I1062" s="466">
        <v>1.0</v>
      </c>
      <c r="J1062" s="466"/>
      <c r="K1062" s="466" t="s">
        <v>2511</v>
      </c>
      <c r="L1062" s="466">
        <v>102.0</v>
      </c>
      <c r="M1062" s="466"/>
      <c r="N1062" s="466"/>
      <c r="O1062" s="466"/>
      <c r="P1062" s="357"/>
      <c r="Q1062" s="357"/>
      <c r="R1062" s="357"/>
      <c r="S1062" s="357"/>
      <c r="T1062" s="357"/>
      <c r="U1062" s="357"/>
      <c r="V1062" s="357"/>
      <c r="W1062" s="357"/>
      <c r="X1062" s="357"/>
      <c r="Y1062" s="357"/>
      <c r="Z1062" s="357"/>
    </row>
    <row r="1063" ht="15.75" customHeight="1">
      <c r="A1063" s="466" t="s">
        <v>8160</v>
      </c>
      <c r="B1063" s="466">
        <v>2024.0</v>
      </c>
      <c r="C1063" s="466">
        <v>12.0</v>
      </c>
      <c r="D1063" s="466">
        <v>45649.0</v>
      </c>
      <c r="E1063" s="466" t="s">
        <v>8586</v>
      </c>
      <c r="F1063" s="466" t="s">
        <v>8690</v>
      </c>
      <c r="G1063" s="466" t="s">
        <v>8691</v>
      </c>
      <c r="H1063" s="466"/>
      <c r="I1063" s="466">
        <v>1.0</v>
      </c>
      <c r="J1063" s="466"/>
      <c r="K1063" s="466" t="s">
        <v>2511</v>
      </c>
      <c r="L1063" s="466"/>
      <c r="M1063" s="466"/>
      <c r="N1063" s="466"/>
      <c r="O1063" s="466"/>
      <c r="P1063" s="357"/>
      <c r="Q1063" s="357"/>
      <c r="R1063" s="357"/>
      <c r="S1063" s="357"/>
      <c r="T1063" s="357"/>
      <c r="U1063" s="357"/>
      <c r="V1063" s="357"/>
      <c r="W1063" s="357"/>
      <c r="X1063" s="357"/>
      <c r="Y1063" s="357"/>
      <c r="Z1063" s="357"/>
    </row>
    <row r="1064" ht="15.75" customHeight="1">
      <c r="A1064" s="466" t="s">
        <v>8160</v>
      </c>
      <c r="B1064" s="466">
        <v>2024.0</v>
      </c>
      <c r="C1064" s="466">
        <v>12.0</v>
      </c>
      <c r="D1064" s="466">
        <v>45649.0</v>
      </c>
      <c r="E1064" s="466" t="s">
        <v>8586</v>
      </c>
      <c r="F1064" s="466" t="s">
        <v>8690</v>
      </c>
      <c r="G1064" s="466" t="s">
        <v>8692</v>
      </c>
      <c r="H1064" s="466"/>
      <c r="I1064" s="466">
        <v>1.0</v>
      </c>
      <c r="J1064" s="466"/>
      <c r="K1064" s="466" t="s">
        <v>2511</v>
      </c>
      <c r="L1064" s="466"/>
      <c r="M1064" s="466"/>
      <c r="N1064" s="466"/>
      <c r="O1064" s="466"/>
      <c r="P1064" s="357"/>
      <c r="Q1064" s="357"/>
      <c r="R1064" s="357"/>
      <c r="S1064" s="357"/>
      <c r="T1064" s="357"/>
      <c r="U1064" s="357"/>
      <c r="V1064" s="357"/>
      <c r="W1064" s="357"/>
      <c r="X1064" s="357"/>
      <c r="Y1064" s="357"/>
      <c r="Z1064" s="357"/>
    </row>
    <row r="1065" ht="15.75" customHeight="1">
      <c r="A1065" s="466" t="s">
        <v>8160</v>
      </c>
      <c r="B1065" s="466">
        <v>2024.0</v>
      </c>
      <c r="C1065" s="466">
        <v>12.0</v>
      </c>
      <c r="D1065" s="466">
        <v>45649.0</v>
      </c>
      <c r="E1065" s="466" t="s">
        <v>8693</v>
      </c>
      <c r="F1065" s="466" t="s">
        <v>8694</v>
      </c>
      <c r="G1065" s="466" t="s">
        <v>7075</v>
      </c>
      <c r="H1065" s="466" t="s">
        <v>8695</v>
      </c>
      <c r="I1065" s="466">
        <v>1.0</v>
      </c>
      <c r="J1065" s="466"/>
      <c r="K1065" s="466" t="s">
        <v>2511</v>
      </c>
      <c r="L1065" s="466">
        <v>150.0</v>
      </c>
      <c r="M1065" s="466"/>
      <c r="N1065" s="466"/>
      <c r="O1065" s="466"/>
      <c r="P1065" s="357"/>
      <c r="Q1065" s="357"/>
      <c r="R1065" s="357"/>
      <c r="S1065" s="357"/>
      <c r="T1065" s="357"/>
      <c r="U1065" s="357"/>
      <c r="V1065" s="357"/>
      <c r="W1065" s="357"/>
      <c r="X1065" s="357"/>
      <c r="Y1065" s="357"/>
      <c r="Z1065" s="357"/>
    </row>
    <row r="1066" ht="15.75" customHeight="1">
      <c r="A1066" s="466" t="s">
        <v>8160</v>
      </c>
      <c r="B1066" s="466">
        <v>2024.0</v>
      </c>
      <c r="C1066" s="466">
        <v>12.0</v>
      </c>
      <c r="D1066" s="466">
        <v>45649.0</v>
      </c>
      <c r="E1066" s="466" t="s">
        <v>8696</v>
      </c>
      <c r="F1066" s="466" t="s">
        <v>8697</v>
      </c>
      <c r="G1066" s="466" t="s">
        <v>7075</v>
      </c>
      <c r="H1066" s="466" t="s">
        <v>8449</v>
      </c>
      <c r="I1066" s="466">
        <v>1.0</v>
      </c>
      <c r="J1066" s="466"/>
      <c r="K1066" s="466" t="s">
        <v>8168</v>
      </c>
      <c r="L1066" s="466">
        <v>120.0</v>
      </c>
      <c r="M1066" s="466"/>
      <c r="N1066" s="466"/>
      <c r="O1066" s="466"/>
      <c r="P1066" s="357"/>
      <c r="Q1066" s="357"/>
      <c r="R1066" s="357"/>
      <c r="S1066" s="357"/>
      <c r="T1066" s="357"/>
      <c r="U1066" s="357"/>
      <c r="V1066" s="357"/>
      <c r="W1066" s="357"/>
      <c r="X1066" s="357"/>
      <c r="Y1066" s="357"/>
      <c r="Z1066" s="357"/>
    </row>
    <row r="1067" ht="15.75" customHeight="1">
      <c r="A1067" s="466" t="s">
        <v>8160</v>
      </c>
      <c r="B1067" s="466">
        <v>2024.0</v>
      </c>
      <c r="C1067" s="466">
        <v>12.0</v>
      </c>
      <c r="D1067" s="466">
        <v>45649.0</v>
      </c>
      <c r="E1067" s="466" t="s">
        <v>8696</v>
      </c>
      <c r="F1067" s="466" t="s">
        <v>8697</v>
      </c>
      <c r="G1067" s="466" t="s">
        <v>7075</v>
      </c>
      <c r="H1067" s="466" t="s">
        <v>8235</v>
      </c>
      <c r="I1067" s="466">
        <v>1.0</v>
      </c>
      <c r="J1067" s="466"/>
      <c r="K1067" s="466" t="s">
        <v>8168</v>
      </c>
      <c r="L1067" s="466">
        <v>120.0</v>
      </c>
      <c r="M1067" s="466"/>
      <c r="N1067" s="466"/>
      <c r="O1067" s="466"/>
      <c r="P1067" s="357"/>
      <c r="Q1067" s="357"/>
      <c r="R1067" s="357"/>
      <c r="S1067" s="357"/>
      <c r="T1067" s="357"/>
      <c r="U1067" s="357"/>
      <c r="V1067" s="357"/>
      <c r="W1067" s="357"/>
      <c r="X1067" s="357"/>
      <c r="Y1067" s="357"/>
      <c r="Z1067" s="357"/>
    </row>
    <row r="1068" ht="15.75" customHeight="1">
      <c r="A1068" s="466" t="s">
        <v>8160</v>
      </c>
      <c r="B1068" s="466">
        <v>2024.0</v>
      </c>
      <c r="C1068" s="466">
        <v>12.0</v>
      </c>
      <c r="D1068" s="466">
        <v>45649.0</v>
      </c>
      <c r="E1068" s="466" t="s">
        <v>8698</v>
      </c>
      <c r="F1068" s="466" t="s">
        <v>8590</v>
      </c>
      <c r="G1068" s="466" t="s">
        <v>8510</v>
      </c>
      <c r="H1068" s="466"/>
      <c r="I1068" s="466">
        <v>1.0</v>
      </c>
      <c r="J1068" s="466"/>
      <c r="K1068" s="466" t="s">
        <v>8661</v>
      </c>
      <c r="L1068" s="466">
        <v>25.0</v>
      </c>
      <c r="M1068" s="466"/>
      <c r="N1068" s="466"/>
      <c r="O1068" s="466"/>
      <c r="P1068" s="357"/>
      <c r="Q1068" s="357"/>
      <c r="R1068" s="357"/>
      <c r="S1068" s="357"/>
      <c r="T1068" s="357"/>
      <c r="U1068" s="357"/>
      <c r="V1068" s="357"/>
      <c r="W1068" s="357"/>
      <c r="X1068" s="357"/>
      <c r="Y1068" s="357"/>
      <c r="Z1068" s="357"/>
    </row>
    <row r="1069" ht="15.75" customHeight="1">
      <c r="A1069" s="466" t="s">
        <v>8160</v>
      </c>
      <c r="B1069" s="466">
        <v>2024.0</v>
      </c>
      <c r="C1069" s="466">
        <v>12.0</v>
      </c>
      <c r="D1069" s="466">
        <v>45649.0</v>
      </c>
      <c r="E1069" s="466" t="s">
        <v>8698</v>
      </c>
      <c r="F1069" s="466" t="s">
        <v>8590</v>
      </c>
      <c r="G1069" s="466" t="s">
        <v>8510</v>
      </c>
      <c r="H1069" s="466"/>
      <c r="I1069" s="466">
        <v>1.0</v>
      </c>
      <c r="J1069" s="466"/>
      <c r="K1069" s="466" t="s">
        <v>8661</v>
      </c>
      <c r="L1069" s="466">
        <v>25.0</v>
      </c>
      <c r="M1069" s="466"/>
      <c r="N1069" s="466"/>
      <c r="O1069" s="466"/>
      <c r="P1069" s="357"/>
      <c r="Q1069" s="357"/>
      <c r="R1069" s="357"/>
      <c r="S1069" s="357"/>
      <c r="T1069" s="357"/>
      <c r="U1069" s="357"/>
      <c r="V1069" s="357"/>
      <c r="W1069" s="357"/>
      <c r="X1069" s="357"/>
      <c r="Y1069" s="357"/>
      <c r="Z1069" s="357"/>
    </row>
  </sheetData>
  <autoFilter ref="$A$2:$O$618"/>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2.63" defaultRowHeight="15.0"/>
  <cols>
    <col customWidth="1" min="2" max="2" width="16.63"/>
    <col customWidth="1" min="4" max="4" width="24.25"/>
    <col customWidth="1" min="5" max="5" width="19.0"/>
    <col customWidth="1" min="7" max="7" width="22.25"/>
    <col customWidth="1" min="9" max="11" width="8.63"/>
    <col customWidth="1" min="12" max="12" width="29.5"/>
    <col customWidth="1" min="13" max="13" width="14.88"/>
  </cols>
  <sheetData>
    <row r="1" ht="14.25" customHeight="1">
      <c r="A1" s="505" t="s">
        <v>8699</v>
      </c>
      <c r="B1" s="506" t="s">
        <v>11</v>
      </c>
      <c r="C1" s="506" t="s">
        <v>2503</v>
      </c>
      <c r="D1" s="506" t="s">
        <v>34</v>
      </c>
      <c r="E1" s="506" t="s">
        <v>7385</v>
      </c>
      <c r="F1" s="506" t="s">
        <v>33</v>
      </c>
      <c r="G1" s="506" t="s">
        <v>8700</v>
      </c>
      <c r="H1" s="507" t="s">
        <v>2507</v>
      </c>
    </row>
    <row r="2" ht="14.25" customHeight="1">
      <c r="A2" s="508">
        <v>45294.0</v>
      </c>
      <c r="B2" s="509" t="s">
        <v>2685</v>
      </c>
      <c r="C2" s="509" t="s">
        <v>7392</v>
      </c>
      <c r="D2" s="509" t="s">
        <v>8701</v>
      </c>
      <c r="E2" s="510"/>
      <c r="F2" s="510">
        <v>1.0</v>
      </c>
      <c r="G2" s="509" t="s">
        <v>7393</v>
      </c>
      <c r="H2" s="510">
        <v>75.0</v>
      </c>
    </row>
    <row r="3" ht="14.25" customHeight="1">
      <c r="A3" s="508">
        <v>45301.0</v>
      </c>
      <c r="B3" s="509" t="s">
        <v>2561</v>
      </c>
      <c r="C3" s="509" t="s">
        <v>7394</v>
      </c>
      <c r="D3" s="509" t="s">
        <v>8703</v>
      </c>
      <c r="E3" s="510"/>
      <c r="F3" s="510">
        <v>1.0</v>
      </c>
      <c r="G3" s="509" t="s">
        <v>7393</v>
      </c>
      <c r="H3" s="510">
        <v>55.0</v>
      </c>
    </row>
    <row r="4" ht="14.25" customHeight="1">
      <c r="A4" s="508">
        <v>45305.0</v>
      </c>
      <c r="B4" s="509" t="s">
        <v>7396</v>
      </c>
      <c r="C4" s="509" t="s">
        <v>7397</v>
      </c>
      <c r="D4" s="509" t="s">
        <v>8704</v>
      </c>
      <c r="E4" s="510"/>
      <c r="F4" s="510">
        <v>1.0</v>
      </c>
      <c r="G4" s="509" t="s">
        <v>7393</v>
      </c>
      <c r="H4" s="510">
        <v>75.0</v>
      </c>
    </row>
    <row r="5" ht="14.25" customHeight="1">
      <c r="A5" s="508">
        <v>45306.0</v>
      </c>
      <c r="B5" s="509" t="s">
        <v>7398</v>
      </c>
      <c r="C5" s="509" t="s">
        <v>7399</v>
      </c>
      <c r="D5" s="509" t="s">
        <v>8704</v>
      </c>
      <c r="E5" s="510"/>
      <c r="F5" s="510">
        <v>1.0</v>
      </c>
      <c r="G5" s="509" t="s">
        <v>7393</v>
      </c>
      <c r="H5" s="510">
        <v>73.0</v>
      </c>
    </row>
    <row r="6" ht="14.25" customHeight="1">
      <c r="A6" s="508">
        <v>45308.0</v>
      </c>
      <c r="B6" s="509" t="s">
        <v>7400</v>
      </c>
      <c r="C6" s="509" t="s">
        <v>7401</v>
      </c>
      <c r="D6" s="509" t="s">
        <v>8701</v>
      </c>
      <c r="E6" s="510"/>
      <c r="F6" s="510">
        <v>1.0</v>
      </c>
      <c r="G6" s="509" t="s">
        <v>7393</v>
      </c>
      <c r="H6" s="510">
        <v>75.0</v>
      </c>
    </row>
    <row r="7" ht="14.25" customHeight="1">
      <c r="A7" s="508">
        <v>45308.0</v>
      </c>
      <c r="B7" s="509" t="s">
        <v>7402</v>
      </c>
      <c r="C7" s="509" t="s">
        <v>7403</v>
      </c>
      <c r="D7" s="509" t="s">
        <v>8704</v>
      </c>
      <c r="E7" s="510"/>
      <c r="F7" s="510">
        <v>1.0</v>
      </c>
      <c r="G7" s="509" t="s">
        <v>7393</v>
      </c>
      <c r="H7" s="510">
        <v>85.0</v>
      </c>
    </row>
    <row r="8" ht="14.25" customHeight="1">
      <c r="A8" s="508">
        <v>45320.0</v>
      </c>
      <c r="B8" s="509" t="s">
        <v>7396</v>
      </c>
      <c r="C8" s="509" t="s">
        <v>7404</v>
      </c>
      <c r="D8" s="509" t="s">
        <v>8701</v>
      </c>
      <c r="E8" s="510"/>
      <c r="F8" s="510">
        <v>1.0</v>
      </c>
      <c r="G8" s="509" t="s">
        <v>7393</v>
      </c>
      <c r="H8" s="510">
        <v>70.0</v>
      </c>
    </row>
    <row r="9" ht="14.25" customHeight="1">
      <c r="A9" s="505" t="s">
        <v>8708</v>
      </c>
      <c r="B9" s="511"/>
      <c r="C9" s="511"/>
      <c r="D9" s="511"/>
      <c r="E9" s="512"/>
      <c r="F9" s="512">
        <f>SUM(F10:F32)</f>
        <v>25</v>
      </c>
      <c r="G9" s="511"/>
      <c r="H9" s="512">
        <f>SUM(H10:H32)</f>
        <v>1753.5</v>
      </c>
    </row>
    <row r="10" ht="14.25" customHeight="1">
      <c r="A10" s="508">
        <v>45336.0</v>
      </c>
      <c r="B10" s="509" t="s">
        <v>2772</v>
      </c>
      <c r="C10" s="509" t="s">
        <v>7405</v>
      </c>
      <c r="D10" s="509" t="s">
        <v>8704</v>
      </c>
      <c r="E10" s="510"/>
      <c r="F10" s="510">
        <v>1.0</v>
      </c>
      <c r="G10" s="509" t="s">
        <v>7393</v>
      </c>
      <c r="H10" s="510">
        <v>73.0</v>
      </c>
    </row>
    <row r="11" ht="14.25" customHeight="1">
      <c r="A11" s="508">
        <v>45336.0</v>
      </c>
      <c r="B11" s="509" t="s">
        <v>7406</v>
      </c>
      <c r="C11" s="509" t="s">
        <v>7407</v>
      </c>
      <c r="D11" s="509" t="s">
        <v>8703</v>
      </c>
      <c r="E11" s="510"/>
      <c r="F11" s="510">
        <v>1.0</v>
      </c>
      <c r="G11" s="509" t="s">
        <v>7393</v>
      </c>
      <c r="H11" s="510">
        <v>47.5</v>
      </c>
    </row>
    <row r="12" ht="14.25" customHeight="1">
      <c r="A12" s="508">
        <v>45337.0</v>
      </c>
      <c r="B12" s="509" t="s">
        <v>7408</v>
      </c>
      <c r="C12" s="513" t="s">
        <v>7409</v>
      </c>
      <c r="D12" s="509" t="s">
        <v>8704</v>
      </c>
      <c r="E12" s="510"/>
      <c r="F12" s="510">
        <v>1.0</v>
      </c>
      <c r="G12" s="509" t="s">
        <v>7393</v>
      </c>
      <c r="H12" s="510">
        <v>73.0</v>
      </c>
    </row>
    <row r="13" ht="14.25" customHeight="1">
      <c r="A13" s="508">
        <v>45338.0</v>
      </c>
      <c r="B13" s="509" t="s">
        <v>2561</v>
      </c>
      <c r="C13" s="509" t="s">
        <v>7410</v>
      </c>
      <c r="D13" s="509" t="s">
        <v>8704</v>
      </c>
      <c r="E13" s="510"/>
      <c r="F13" s="510">
        <v>1.0</v>
      </c>
      <c r="G13" s="509" t="s">
        <v>7393</v>
      </c>
      <c r="H13" s="510">
        <v>85.0</v>
      </c>
    </row>
    <row r="14" ht="14.25" customHeight="1">
      <c r="A14" s="508">
        <v>45338.0</v>
      </c>
      <c r="B14" s="509" t="s">
        <v>7411</v>
      </c>
      <c r="C14" s="509" t="s">
        <v>7412</v>
      </c>
      <c r="D14" s="509" t="s">
        <v>8704</v>
      </c>
      <c r="E14" s="510"/>
      <c r="F14" s="510">
        <v>1.0</v>
      </c>
      <c r="G14" s="509" t="s">
        <v>7393</v>
      </c>
      <c r="H14" s="510">
        <v>95.0</v>
      </c>
    </row>
    <row r="15" ht="14.25" customHeight="1">
      <c r="A15" s="508">
        <v>45338.0</v>
      </c>
      <c r="B15" s="509" t="s">
        <v>2772</v>
      </c>
      <c r="C15" s="509" t="s">
        <v>7413</v>
      </c>
      <c r="D15" s="509" t="s">
        <v>8701</v>
      </c>
      <c r="E15" s="510"/>
      <c r="F15" s="510">
        <v>1.0</v>
      </c>
      <c r="G15" s="509" t="s">
        <v>7393</v>
      </c>
      <c r="H15" s="510">
        <v>75.0</v>
      </c>
    </row>
    <row r="16" ht="14.25" customHeight="1">
      <c r="A16" s="508">
        <v>45338.0</v>
      </c>
      <c r="B16" s="509" t="s">
        <v>7414</v>
      </c>
      <c r="C16" s="509" t="s">
        <v>7415</v>
      </c>
      <c r="D16" s="509" t="s">
        <v>8701</v>
      </c>
      <c r="E16" s="510"/>
      <c r="F16" s="510">
        <v>1.0</v>
      </c>
      <c r="G16" s="509" t="s">
        <v>7393</v>
      </c>
      <c r="H16" s="510">
        <v>75.0</v>
      </c>
    </row>
    <row r="17" ht="14.25" customHeight="1">
      <c r="A17" s="508">
        <v>45338.0</v>
      </c>
      <c r="B17" s="509" t="s">
        <v>2582</v>
      </c>
      <c r="C17" s="509" t="s">
        <v>7416</v>
      </c>
      <c r="D17" s="509" t="s">
        <v>8701</v>
      </c>
      <c r="E17" s="514"/>
      <c r="F17" s="510">
        <v>1.0</v>
      </c>
      <c r="G17" s="509" t="s">
        <v>7393</v>
      </c>
      <c r="H17" s="510">
        <v>70.0</v>
      </c>
    </row>
    <row r="18" ht="14.25" customHeight="1">
      <c r="A18" s="508">
        <v>45338.0</v>
      </c>
      <c r="B18" s="509" t="s">
        <v>7417</v>
      </c>
      <c r="C18" s="509" t="s">
        <v>7418</v>
      </c>
      <c r="D18" s="509" t="s">
        <v>8716</v>
      </c>
      <c r="E18" s="510"/>
      <c r="F18" s="510">
        <v>2.0</v>
      </c>
      <c r="G18" s="509" t="s">
        <v>7393</v>
      </c>
      <c r="H18" s="510">
        <v>105.0</v>
      </c>
    </row>
    <row r="19" ht="14.25" customHeight="1">
      <c r="A19" s="508">
        <v>45338.0</v>
      </c>
      <c r="B19" s="509" t="s">
        <v>7419</v>
      </c>
      <c r="C19" s="509" t="s">
        <v>7420</v>
      </c>
      <c r="D19" s="509" t="s">
        <v>8701</v>
      </c>
      <c r="E19" s="510"/>
      <c r="F19" s="510">
        <v>1.0</v>
      </c>
      <c r="G19" s="509" t="s">
        <v>7393</v>
      </c>
      <c r="H19" s="510">
        <v>75.0</v>
      </c>
    </row>
    <row r="20" ht="14.25" customHeight="1">
      <c r="A20" s="508">
        <v>45338.0</v>
      </c>
      <c r="B20" s="509" t="s">
        <v>2441</v>
      </c>
      <c r="C20" s="509" t="s">
        <v>7421</v>
      </c>
      <c r="D20" s="509" t="s">
        <v>8701</v>
      </c>
      <c r="E20" s="510"/>
      <c r="F20" s="510">
        <v>1.0</v>
      </c>
      <c r="G20" s="509" t="s">
        <v>7393</v>
      </c>
      <c r="H20" s="510">
        <v>75.0</v>
      </c>
    </row>
    <row r="21" ht="14.25" customHeight="1">
      <c r="A21" s="508">
        <v>45338.0</v>
      </c>
      <c r="B21" s="509" t="s">
        <v>7396</v>
      </c>
      <c r="C21" s="509" t="s">
        <v>7422</v>
      </c>
      <c r="D21" s="509" t="s">
        <v>8703</v>
      </c>
      <c r="E21" s="510"/>
      <c r="F21" s="510">
        <v>1.0</v>
      </c>
      <c r="G21" s="509" t="s">
        <v>7393</v>
      </c>
      <c r="H21" s="510">
        <v>55.0</v>
      </c>
    </row>
    <row r="22" ht="14.25" customHeight="1">
      <c r="A22" s="508">
        <v>45338.0</v>
      </c>
      <c r="B22" s="509" t="s">
        <v>7423</v>
      </c>
      <c r="C22" s="509" t="s">
        <v>7424</v>
      </c>
      <c r="D22" s="509" t="s">
        <v>8716</v>
      </c>
      <c r="E22" s="510"/>
      <c r="F22" s="510">
        <v>2.0</v>
      </c>
      <c r="G22" s="509" t="s">
        <v>7393</v>
      </c>
      <c r="H22" s="510">
        <v>105.0</v>
      </c>
    </row>
    <row r="23" ht="14.25" customHeight="1">
      <c r="A23" s="508">
        <v>45339.0</v>
      </c>
      <c r="B23" s="509" t="s">
        <v>2561</v>
      </c>
      <c r="C23" s="509" t="s">
        <v>7425</v>
      </c>
      <c r="D23" s="509" t="s">
        <v>8701</v>
      </c>
      <c r="E23" s="510"/>
      <c r="F23" s="510">
        <v>1.0</v>
      </c>
      <c r="G23" s="509" t="s">
        <v>7393</v>
      </c>
      <c r="H23" s="510">
        <v>75.0</v>
      </c>
    </row>
    <row r="24" ht="14.25" customHeight="1">
      <c r="A24" s="508">
        <v>45342.0</v>
      </c>
      <c r="B24" s="509" t="s">
        <v>2547</v>
      </c>
      <c r="C24" s="509" t="s">
        <v>7426</v>
      </c>
      <c r="D24" s="509" t="s">
        <v>8701</v>
      </c>
      <c r="E24" s="510"/>
      <c r="F24" s="510">
        <v>1.0</v>
      </c>
      <c r="G24" s="509" t="s">
        <v>7393</v>
      </c>
      <c r="H24" s="510">
        <v>75.0</v>
      </c>
    </row>
    <row r="25" ht="14.25" customHeight="1">
      <c r="A25" s="508">
        <v>45342.0</v>
      </c>
      <c r="B25" s="509" t="s">
        <v>2615</v>
      </c>
      <c r="C25" s="509" t="s">
        <v>7427</v>
      </c>
      <c r="D25" s="509" t="s">
        <v>8703</v>
      </c>
      <c r="E25" s="509"/>
      <c r="F25" s="515">
        <v>1.0</v>
      </c>
      <c r="G25" s="509" t="s">
        <v>7393</v>
      </c>
      <c r="H25" s="509">
        <v>55.0</v>
      </c>
    </row>
    <row r="26" ht="14.25" customHeight="1">
      <c r="A26" s="508">
        <v>45343.0</v>
      </c>
      <c r="B26" s="509" t="s">
        <v>2623</v>
      </c>
      <c r="C26" s="509" t="s">
        <v>7428</v>
      </c>
      <c r="D26" s="509" t="s">
        <v>8704</v>
      </c>
      <c r="E26" s="509"/>
      <c r="F26" s="516">
        <v>1.0</v>
      </c>
      <c r="G26" s="509" t="s">
        <v>7393</v>
      </c>
      <c r="H26" s="509">
        <v>95.0</v>
      </c>
    </row>
    <row r="27" ht="14.25" customHeight="1">
      <c r="A27" s="508">
        <v>45344.0</v>
      </c>
      <c r="B27" s="509" t="s">
        <v>7429</v>
      </c>
      <c r="C27" s="509" t="s">
        <v>7430</v>
      </c>
      <c r="D27" s="509" t="s">
        <v>8704</v>
      </c>
      <c r="E27" s="509"/>
      <c r="F27" s="516">
        <v>1.0</v>
      </c>
      <c r="G27" s="509" t="s">
        <v>7393</v>
      </c>
      <c r="H27" s="509">
        <v>80.0</v>
      </c>
    </row>
    <row r="28" ht="14.25" customHeight="1">
      <c r="A28" s="508">
        <v>45346.0</v>
      </c>
      <c r="B28" s="509" t="s">
        <v>2582</v>
      </c>
      <c r="C28" s="509" t="s">
        <v>7431</v>
      </c>
      <c r="D28" s="509" t="s">
        <v>8701</v>
      </c>
      <c r="E28" s="514"/>
      <c r="F28" s="516">
        <v>1.0</v>
      </c>
      <c r="G28" s="509" t="s">
        <v>7393</v>
      </c>
      <c r="H28" s="509">
        <v>70.0</v>
      </c>
    </row>
    <row r="29" ht="14.25" customHeight="1">
      <c r="A29" s="508">
        <v>45346.0</v>
      </c>
      <c r="B29" s="509" t="s">
        <v>7432</v>
      </c>
      <c r="C29" s="513" t="s">
        <v>7433</v>
      </c>
      <c r="D29" s="509" t="s">
        <v>8704</v>
      </c>
      <c r="E29" s="510"/>
      <c r="F29" s="510">
        <v>1.0</v>
      </c>
      <c r="G29" s="509" t="s">
        <v>7393</v>
      </c>
      <c r="H29" s="509">
        <v>95.0</v>
      </c>
    </row>
    <row r="30" ht="14.25" customHeight="1">
      <c r="A30" s="508">
        <v>45348.0</v>
      </c>
      <c r="B30" s="509" t="s">
        <v>7434</v>
      </c>
      <c r="C30" s="509" t="s">
        <v>7435</v>
      </c>
      <c r="D30" s="509" t="s">
        <v>8701</v>
      </c>
      <c r="E30" s="510"/>
      <c r="F30" s="510">
        <v>1.0</v>
      </c>
      <c r="G30" s="509" t="s">
        <v>7393</v>
      </c>
      <c r="H30" s="509">
        <v>75.0</v>
      </c>
    </row>
    <row r="31" ht="14.25" customHeight="1">
      <c r="A31" s="508">
        <v>45349.0</v>
      </c>
      <c r="B31" s="509" t="s">
        <v>7436</v>
      </c>
      <c r="C31" s="513" t="s">
        <v>7437</v>
      </c>
      <c r="D31" s="509" t="s">
        <v>8703</v>
      </c>
      <c r="E31" s="510"/>
      <c r="F31" s="510">
        <v>1.0</v>
      </c>
      <c r="G31" s="509" t="s">
        <v>7393</v>
      </c>
      <c r="H31" s="509">
        <v>55.0</v>
      </c>
    </row>
    <row r="32" ht="14.25" customHeight="1">
      <c r="A32" s="508">
        <v>45350.0</v>
      </c>
      <c r="B32" s="509" t="s">
        <v>7396</v>
      </c>
      <c r="C32" s="509" t="s">
        <v>7438</v>
      </c>
      <c r="D32" s="509" t="s">
        <v>8701</v>
      </c>
      <c r="E32" s="510"/>
      <c r="F32" s="510">
        <v>1.0</v>
      </c>
      <c r="G32" s="509" t="s">
        <v>7393</v>
      </c>
      <c r="H32" s="509">
        <v>70.0</v>
      </c>
    </row>
    <row r="33" ht="14.25" customHeight="1">
      <c r="A33" s="505" t="s">
        <v>8729</v>
      </c>
      <c r="B33" s="511"/>
      <c r="C33" s="511"/>
      <c r="D33" s="511"/>
      <c r="E33" s="512"/>
      <c r="F33" s="512">
        <f>SUM(F34:F68)</f>
        <v>35</v>
      </c>
      <c r="G33" s="511"/>
      <c r="H33" s="512">
        <f>SUM(H34:H68)</f>
        <v>3374</v>
      </c>
    </row>
    <row r="34" ht="14.25" customHeight="1">
      <c r="A34" s="508">
        <v>45353.0</v>
      </c>
      <c r="B34" s="509" t="s">
        <v>2772</v>
      </c>
      <c r="C34" s="509" t="s">
        <v>7439</v>
      </c>
      <c r="D34" s="509" t="s">
        <v>8704</v>
      </c>
      <c r="E34" s="510"/>
      <c r="F34" s="510">
        <v>1.0</v>
      </c>
      <c r="G34" s="509" t="s">
        <v>7393</v>
      </c>
      <c r="H34" s="510">
        <v>90.0</v>
      </c>
    </row>
    <row r="35" ht="14.25" customHeight="1">
      <c r="A35" s="508">
        <v>45355.0</v>
      </c>
      <c r="B35" s="509" t="s">
        <v>7440</v>
      </c>
      <c r="C35" s="509" t="s">
        <v>7441</v>
      </c>
      <c r="D35" s="509" t="s">
        <v>8703</v>
      </c>
      <c r="E35" s="510"/>
      <c r="F35" s="510">
        <v>1.0</v>
      </c>
      <c r="G35" s="509" t="s">
        <v>7393</v>
      </c>
      <c r="H35" s="510">
        <v>55.0</v>
      </c>
    </row>
    <row r="36" ht="14.25" customHeight="1">
      <c r="A36" s="517">
        <v>45356.0</v>
      </c>
      <c r="B36" s="509" t="s">
        <v>7442</v>
      </c>
      <c r="C36" s="509" t="s">
        <v>7443</v>
      </c>
      <c r="D36" s="509" t="s">
        <v>8704</v>
      </c>
      <c r="E36" s="510"/>
      <c r="F36" s="510">
        <v>1.0</v>
      </c>
      <c r="G36" s="509" t="s">
        <v>7393</v>
      </c>
      <c r="H36" s="510">
        <v>90.0</v>
      </c>
    </row>
    <row r="37" ht="14.25" customHeight="1">
      <c r="A37" s="517">
        <v>45357.0</v>
      </c>
      <c r="B37" s="518" t="s">
        <v>2597</v>
      </c>
      <c r="C37" s="518" t="s">
        <v>7444</v>
      </c>
      <c r="D37" s="509" t="s">
        <v>8701</v>
      </c>
      <c r="E37" s="510"/>
      <c r="F37" s="510">
        <v>1.0</v>
      </c>
      <c r="G37" s="509" t="s">
        <v>7393</v>
      </c>
      <c r="H37" s="510">
        <v>75.0</v>
      </c>
    </row>
    <row r="38" ht="14.25" customHeight="1">
      <c r="A38" s="517">
        <v>45359.0</v>
      </c>
      <c r="B38" s="509" t="s">
        <v>2623</v>
      </c>
      <c r="C38" s="509" t="s">
        <v>7445</v>
      </c>
      <c r="D38" s="509" t="s">
        <v>8703</v>
      </c>
      <c r="E38" s="510"/>
      <c r="F38" s="510">
        <v>1.0</v>
      </c>
      <c r="G38" s="509" t="s">
        <v>7393</v>
      </c>
      <c r="H38" s="510">
        <v>55.0</v>
      </c>
    </row>
    <row r="39" ht="14.25" customHeight="1">
      <c r="A39" s="517">
        <v>45359.0</v>
      </c>
      <c r="B39" s="509" t="s">
        <v>7446</v>
      </c>
      <c r="C39" s="509" t="s">
        <v>7447</v>
      </c>
      <c r="D39" s="509" t="s">
        <v>8704</v>
      </c>
      <c r="E39" s="510"/>
      <c r="F39" s="510">
        <v>1.0</v>
      </c>
      <c r="G39" s="509" t="s">
        <v>7393</v>
      </c>
      <c r="H39" s="510" t="s">
        <v>7448</v>
      </c>
    </row>
    <row r="40" ht="14.25" customHeight="1">
      <c r="A40" s="517">
        <v>45366.0</v>
      </c>
      <c r="B40" s="509" t="s">
        <v>7449</v>
      </c>
      <c r="C40" s="509" t="s">
        <v>7450</v>
      </c>
      <c r="D40" s="509" t="s">
        <v>8723</v>
      </c>
      <c r="E40" s="510"/>
      <c r="F40" s="510">
        <v>1.0</v>
      </c>
      <c r="G40" s="509" t="s">
        <v>7393</v>
      </c>
      <c r="H40" s="510">
        <v>110.0</v>
      </c>
    </row>
    <row r="41" ht="14.25" customHeight="1">
      <c r="A41" s="517">
        <v>45366.0</v>
      </c>
      <c r="B41" s="509" t="s">
        <v>7451</v>
      </c>
      <c r="C41" s="509" t="s">
        <v>7452</v>
      </c>
      <c r="D41" s="509" t="s">
        <v>8723</v>
      </c>
      <c r="E41" s="510"/>
      <c r="F41" s="510">
        <v>1.0</v>
      </c>
      <c r="G41" s="509" t="s">
        <v>7393</v>
      </c>
      <c r="H41" s="510">
        <v>110.0</v>
      </c>
    </row>
    <row r="42" ht="14.25" customHeight="1">
      <c r="A42" s="517">
        <v>45366.0</v>
      </c>
      <c r="B42" s="509" t="s">
        <v>7453</v>
      </c>
      <c r="C42" s="509" t="s">
        <v>7454</v>
      </c>
      <c r="D42" s="509" t="s">
        <v>8723</v>
      </c>
      <c r="E42" s="510"/>
      <c r="F42" s="510">
        <v>1.0</v>
      </c>
      <c r="G42" s="509" t="s">
        <v>7393</v>
      </c>
      <c r="H42" s="510">
        <v>103.0</v>
      </c>
    </row>
    <row r="43" ht="14.25" customHeight="1">
      <c r="A43" s="517">
        <v>45366.0</v>
      </c>
      <c r="B43" s="509" t="s">
        <v>7455</v>
      </c>
      <c r="C43" s="509" t="s">
        <v>7456</v>
      </c>
      <c r="D43" s="509" t="s">
        <v>8723</v>
      </c>
      <c r="E43" s="510"/>
      <c r="F43" s="510">
        <v>1.0</v>
      </c>
      <c r="G43" s="509" t="s">
        <v>7393</v>
      </c>
      <c r="H43" s="510">
        <v>98.0</v>
      </c>
    </row>
    <row r="44" ht="14.25" customHeight="1">
      <c r="A44" s="517">
        <v>45366.0</v>
      </c>
      <c r="B44" s="509" t="s">
        <v>7457</v>
      </c>
      <c r="C44" s="509" t="s">
        <v>7458</v>
      </c>
      <c r="D44" s="509" t="s">
        <v>8723</v>
      </c>
      <c r="E44" s="510"/>
      <c r="F44" s="510">
        <v>1.0</v>
      </c>
      <c r="G44" s="509" t="s">
        <v>7393</v>
      </c>
      <c r="H44" s="510">
        <v>109.0</v>
      </c>
    </row>
    <row r="45" ht="14.25" customHeight="1">
      <c r="A45" s="517">
        <v>45366.0</v>
      </c>
      <c r="B45" s="509" t="s">
        <v>7459</v>
      </c>
      <c r="C45" s="509" t="s">
        <v>7460</v>
      </c>
      <c r="D45" s="509" t="s">
        <v>8723</v>
      </c>
      <c r="E45" s="510"/>
      <c r="F45" s="510">
        <v>1.0</v>
      </c>
      <c r="G45" s="509" t="s">
        <v>7393</v>
      </c>
      <c r="H45" s="510">
        <v>114.0</v>
      </c>
    </row>
    <row r="46" ht="14.25" customHeight="1">
      <c r="A46" s="517">
        <v>45366.0</v>
      </c>
      <c r="B46" s="509" t="s">
        <v>7461</v>
      </c>
      <c r="C46" s="509" t="s">
        <v>7462</v>
      </c>
      <c r="D46" s="509" t="s">
        <v>8723</v>
      </c>
      <c r="E46" s="510"/>
      <c r="F46" s="510">
        <v>1.0</v>
      </c>
      <c r="G46" s="509" t="s">
        <v>7393</v>
      </c>
      <c r="H46" s="510">
        <v>103.0</v>
      </c>
    </row>
    <row r="47" ht="14.25" customHeight="1">
      <c r="A47" s="517">
        <v>45366.0</v>
      </c>
      <c r="B47" s="509" t="s">
        <v>7463</v>
      </c>
      <c r="C47" s="509" t="s">
        <v>7464</v>
      </c>
      <c r="D47" s="509" t="s">
        <v>8723</v>
      </c>
      <c r="E47" s="510"/>
      <c r="F47" s="510">
        <v>1.0</v>
      </c>
      <c r="G47" s="509" t="s">
        <v>7393</v>
      </c>
      <c r="H47" s="510">
        <v>98.0</v>
      </c>
    </row>
    <row r="48" ht="14.25" customHeight="1">
      <c r="A48" s="517">
        <v>45366.0</v>
      </c>
      <c r="B48" s="509" t="s">
        <v>7465</v>
      </c>
      <c r="C48" s="509" t="s">
        <v>7466</v>
      </c>
      <c r="D48" s="509" t="s">
        <v>8723</v>
      </c>
      <c r="E48" s="514"/>
      <c r="F48" s="510">
        <v>1.0</v>
      </c>
      <c r="G48" s="509" t="s">
        <v>7393</v>
      </c>
      <c r="H48" s="510">
        <v>110.0</v>
      </c>
    </row>
    <row r="49" ht="14.25" customHeight="1">
      <c r="A49" s="517">
        <v>45368.0</v>
      </c>
      <c r="B49" s="509" t="s">
        <v>7467</v>
      </c>
      <c r="C49" s="509" t="s">
        <v>7468</v>
      </c>
      <c r="D49" s="509" t="s">
        <v>8701</v>
      </c>
      <c r="E49" s="510"/>
      <c r="F49" s="510">
        <v>1.0</v>
      </c>
      <c r="G49" s="509" t="s">
        <v>7393</v>
      </c>
      <c r="H49" s="510">
        <v>75.0</v>
      </c>
    </row>
    <row r="50" ht="14.25" customHeight="1">
      <c r="A50" s="517">
        <v>45368.0</v>
      </c>
      <c r="B50" s="509" t="s">
        <v>7469</v>
      </c>
      <c r="C50" s="509" t="s">
        <v>7470</v>
      </c>
      <c r="D50" s="509" t="s">
        <v>8723</v>
      </c>
      <c r="E50" s="510"/>
      <c r="F50" s="510">
        <v>1.0</v>
      </c>
      <c r="G50" s="509" t="s">
        <v>7393</v>
      </c>
      <c r="H50" s="510">
        <v>103.0</v>
      </c>
    </row>
    <row r="51" ht="14.25" customHeight="1">
      <c r="A51" s="517">
        <v>45369.0</v>
      </c>
      <c r="B51" s="509" t="s">
        <v>7471</v>
      </c>
      <c r="C51" s="509" t="s">
        <v>7472</v>
      </c>
      <c r="D51" s="509" t="s">
        <v>8723</v>
      </c>
      <c r="E51" s="510"/>
      <c r="F51" s="510">
        <v>1.0</v>
      </c>
      <c r="G51" s="509" t="s">
        <v>7393</v>
      </c>
      <c r="H51" s="510">
        <v>95.0</v>
      </c>
    </row>
    <row r="52" ht="14.25" customHeight="1">
      <c r="A52" s="517">
        <v>45369.0</v>
      </c>
      <c r="B52" s="509" t="s">
        <v>7473</v>
      </c>
      <c r="C52" s="509" t="s">
        <v>7474</v>
      </c>
      <c r="D52" s="509" t="s">
        <v>8723</v>
      </c>
      <c r="E52" s="510"/>
      <c r="F52" s="510">
        <v>1.0</v>
      </c>
      <c r="G52" s="509" t="s">
        <v>7393</v>
      </c>
      <c r="H52" s="510">
        <v>103.0</v>
      </c>
    </row>
    <row r="53" ht="14.25" customHeight="1">
      <c r="A53" s="517">
        <v>45370.0</v>
      </c>
      <c r="B53" s="509" t="s">
        <v>7475</v>
      </c>
      <c r="C53" s="509" t="s">
        <v>7476</v>
      </c>
      <c r="D53" s="509" t="s">
        <v>8723</v>
      </c>
      <c r="E53" s="510"/>
      <c r="F53" s="510">
        <v>1.0</v>
      </c>
      <c r="G53" s="509" t="s">
        <v>7393</v>
      </c>
      <c r="H53" s="510">
        <v>114.0</v>
      </c>
    </row>
    <row r="54" ht="14.25" customHeight="1">
      <c r="A54" s="517">
        <v>45370.0</v>
      </c>
      <c r="B54" s="509" t="s">
        <v>7477</v>
      </c>
      <c r="C54" s="509" t="s">
        <v>7478</v>
      </c>
      <c r="D54" s="509" t="s">
        <v>8722</v>
      </c>
      <c r="E54" s="510"/>
      <c r="F54" s="510">
        <v>1.0</v>
      </c>
      <c r="G54" s="509" t="s">
        <v>7393</v>
      </c>
      <c r="H54" s="510">
        <v>114.0</v>
      </c>
    </row>
    <row r="55" ht="14.25" customHeight="1">
      <c r="A55" s="517">
        <v>45371.0</v>
      </c>
      <c r="B55" s="509" t="s">
        <v>7479</v>
      </c>
      <c r="C55" s="509"/>
      <c r="D55" s="509" t="s">
        <v>8723</v>
      </c>
      <c r="E55" s="510"/>
      <c r="F55" s="510">
        <v>1.0</v>
      </c>
      <c r="G55" s="509" t="s">
        <v>7393</v>
      </c>
      <c r="H55" s="510">
        <v>109.0</v>
      </c>
    </row>
    <row r="56" ht="14.25" customHeight="1">
      <c r="A56" s="517">
        <v>45371.0</v>
      </c>
      <c r="B56" s="509" t="s">
        <v>7479</v>
      </c>
      <c r="C56" s="509"/>
      <c r="D56" s="509" t="s">
        <v>8723</v>
      </c>
      <c r="E56" s="510" t="s">
        <v>7480</v>
      </c>
      <c r="F56" s="510">
        <v>1.0</v>
      </c>
      <c r="G56" s="509" t="s">
        <v>7393</v>
      </c>
      <c r="H56" s="510">
        <v>105.0</v>
      </c>
    </row>
    <row r="57" ht="14.25" customHeight="1">
      <c r="A57" s="517">
        <v>45374.0</v>
      </c>
      <c r="B57" s="509" t="s">
        <v>7481</v>
      </c>
      <c r="C57" s="509" t="s">
        <v>7482</v>
      </c>
      <c r="D57" s="509" t="s">
        <v>8722</v>
      </c>
      <c r="E57" s="510" t="s">
        <v>7483</v>
      </c>
      <c r="F57" s="510">
        <v>1.0</v>
      </c>
      <c r="G57" s="509" t="s">
        <v>7393</v>
      </c>
      <c r="H57" s="510">
        <v>114.0</v>
      </c>
    </row>
    <row r="58" ht="14.25" customHeight="1">
      <c r="A58" s="517">
        <v>45375.0</v>
      </c>
      <c r="B58" s="509" t="s">
        <v>7484</v>
      </c>
      <c r="C58" s="509" t="s">
        <v>7485</v>
      </c>
      <c r="D58" s="509" t="s">
        <v>8704</v>
      </c>
      <c r="E58" s="520" t="s">
        <v>7486</v>
      </c>
      <c r="F58" s="510">
        <v>1.0</v>
      </c>
      <c r="G58" s="509" t="s">
        <v>7393</v>
      </c>
      <c r="H58" s="510">
        <v>85.0</v>
      </c>
    </row>
    <row r="59" ht="14.25" customHeight="1">
      <c r="A59" s="517">
        <v>45376.0</v>
      </c>
      <c r="B59" s="509" t="s">
        <v>7442</v>
      </c>
      <c r="C59" s="509" t="s">
        <v>7487</v>
      </c>
      <c r="D59" s="509" t="s">
        <v>8723</v>
      </c>
      <c r="E59" s="510" t="s">
        <v>7488</v>
      </c>
      <c r="F59" s="510">
        <v>1.0</v>
      </c>
      <c r="G59" s="509" t="s">
        <v>7393</v>
      </c>
      <c r="H59" s="510">
        <v>114.0</v>
      </c>
    </row>
    <row r="60" ht="14.25" customHeight="1">
      <c r="A60" s="517">
        <v>45376.0</v>
      </c>
      <c r="B60" s="509" t="s">
        <v>7489</v>
      </c>
      <c r="C60" s="509" t="s">
        <v>7490</v>
      </c>
      <c r="D60" s="509" t="s">
        <v>8723</v>
      </c>
      <c r="E60" s="510" t="s">
        <v>7488</v>
      </c>
      <c r="F60" s="510">
        <v>1.0</v>
      </c>
      <c r="G60" s="509" t="s">
        <v>7393</v>
      </c>
      <c r="H60" s="510">
        <v>114.0</v>
      </c>
    </row>
    <row r="61" ht="14.25" customHeight="1">
      <c r="A61" s="517">
        <v>45376.0</v>
      </c>
      <c r="B61" s="509"/>
      <c r="C61" s="509"/>
      <c r="D61" s="509" t="s">
        <v>8722</v>
      </c>
      <c r="E61" s="510"/>
      <c r="F61" s="510">
        <v>1.0</v>
      </c>
      <c r="G61" s="509" t="s">
        <v>7393</v>
      </c>
      <c r="H61" s="510">
        <v>114.0</v>
      </c>
    </row>
    <row r="62" ht="14.25" customHeight="1">
      <c r="A62" s="517">
        <v>45378.0</v>
      </c>
      <c r="B62" s="509"/>
      <c r="C62" s="509"/>
      <c r="D62" s="509" t="s">
        <v>8722</v>
      </c>
      <c r="E62" s="510"/>
      <c r="F62" s="510">
        <v>1.0</v>
      </c>
      <c r="G62" s="509" t="s">
        <v>7393</v>
      </c>
      <c r="H62" s="510">
        <v>114.0</v>
      </c>
    </row>
    <row r="63" ht="14.25" customHeight="1">
      <c r="A63" s="517">
        <v>45378.0</v>
      </c>
      <c r="B63" s="509"/>
      <c r="C63" s="509"/>
      <c r="D63" s="509" t="s">
        <v>8703</v>
      </c>
      <c r="E63" s="510"/>
      <c r="F63" s="510">
        <v>1.0</v>
      </c>
      <c r="G63" s="509" t="s">
        <v>7393</v>
      </c>
      <c r="H63" s="510">
        <v>55.0</v>
      </c>
    </row>
    <row r="64" ht="14.25" customHeight="1">
      <c r="A64" s="517">
        <v>45378.0</v>
      </c>
      <c r="B64" s="509"/>
      <c r="C64" s="509"/>
      <c r="D64" s="509" t="s">
        <v>8722</v>
      </c>
      <c r="E64" s="510"/>
      <c r="F64" s="510">
        <v>1.0</v>
      </c>
      <c r="G64" s="509" t="s">
        <v>7393</v>
      </c>
      <c r="H64" s="510">
        <v>114.0</v>
      </c>
    </row>
    <row r="65" ht="14.25" customHeight="1">
      <c r="A65" s="517">
        <v>45378.0</v>
      </c>
      <c r="B65" s="509" t="s">
        <v>7396</v>
      </c>
      <c r="C65" s="509" t="s">
        <v>7491</v>
      </c>
      <c r="D65" s="509" t="s">
        <v>8722</v>
      </c>
      <c r="E65" s="510"/>
      <c r="F65" s="510">
        <v>1.0</v>
      </c>
      <c r="G65" s="509" t="s">
        <v>7393</v>
      </c>
      <c r="H65" s="510">
        <v>114.0</v>
      </c>
    </row>
    <row r="66" ht="14.25" customHeight="1">
      <c r="A66" s="517">
        <v>45378.0</v>
      </c>
      <c r="B66" s="509" t="s">
        <v>7396</v>
      </c>
      <c r="C66" s="509" t="s">
        <v>7491</v>
      </c>
      <c r="D66" s="509" t="s">
        <v>8701</v>
      </c>
      <c r="E66" s="510"/>
      <c r="F66" s="510">
        <v>1.0</v>
      </c>
      <c r="G66" s="509" t="s">
        <v>7393</v>
      </c>
      <c r="H66" s="510">
        <v>70.0</v>
      </c>
    </row>
    <row r="67" ht="14.25" customHeight="1">
      <c r="A67" s="517">
        <v>45380.0</v>
      </c>
      <c r="B67" s="509" t="s">
        <v>7492</v>
      </c>
      <c r="C67" s="509" t="s">
        <v>7493</v>
      </c>
      <c r="D67" s="509" t="s">
        <v>8722</v>
      </c>
      <c r="E67" s="510"/>
      <c r="F67" s="510">
        <v>1.0</v>
      </c>
      <c r="G67" s="509" t="s">
        <v>7393</v>
      </c>
      <c r="H67" s="510">
        <v>114.0</v>
      </c>
    </row>
    <row r="68" ht="14.25" customHeight="1">
      <c r="A68" s="517">
        <v>45380.0</v>
      </c>
      <c r="B68" s="509" t="s">
        <v>2582</v>
      </c>
      <c r="C68" s="509" t="s">
        <v>7494</v>
      </c>
      <c r="D68" s="509" t="s">
        <v>8722</v>
      </c>
      <c r="E68" s="510"/>
      <c r="F68" s="510">
        <v>1.0</v>
      </c>
      <c r="G68" s="509" t="s">
        <v>7393</v>
      </c>
      <c r="H68" s="510">
        <v>114.0</v>
      </c>
    </row>
    <row r="69" ht="14.25" customHeight="1">
      <c r="A69" s="505" t="s">
        <v>8759</v>
      </c>
      <c r="B69" s="511"/>
      <c r="C69" s="511"/>
      <c r="D69" s="511"/>
      <c r="E69" s="512"/>
      <c r="F69" s="512">
        <f>SUM(F70:F132)</f>
        <v>76</v>
      </c>
      <c r="G69" s="511"/>
      <c r="H69" s="512">
        <f>SUM(H70:H132)</f>
        <v>10111.5</v>
      </c>
    </row>
    <row r="70" ht="14.25" customHeight="1">
      <c r="A70" s="508"/>
      <c r="B70" s="509" t="s">
        <v>7495</v>
      </c>
      <c r="C70" s="509" t="s">
        <v>7496</v>
      </c>
      <c r="D70" s="509" t="s">
        <v>8722</v>
      </c>
      <c r="E70" s="510"/>
      <c r="F70" s="510">
        <v>1.0</v>
      </c>
      <c r="G70" s="509" t="s">
        <v>7393</v>
      </c>
      <c r="H70" s="510">
        <v>114.0</v>
      </c>
    </row>
    <row r="71" ht="14.25" customHeight="1">
      <c r="A71" s="521"/>
      <c r="B71" s="522" t="s">
        <v>8762</v>
      </c>
      <c r="C71" s="522"/>
      <c r="D71" s="522"/>
      <c r="E71" s="523"/>
      <c r="F71" s="523"/>
      <c r="G71" s="522"/>
      <c r="H71" s="510"/>
    </row>
    <row r="72" ht="14.25" customHeight="1">
      <c r="A72" s="521"/>
      <c r="B72" s="522"/>
      <c r="C72" s="522"/>
      <c r="D72" s="522" t="s">
        <v>8701</v>
      </c>
      <c r="E72" s="523"/>
      <c r="F72" s="524">
        <v>7.0</v>
      </c>
      <c r="G72" s="522"/>
      <c r="H72" s="510">
        <v>321.3</v>
      </c>
    </row>
    <row r="73" ht="14.25" customHeight="1">
      <c r="A73" s="521"/>
      <c r="B73" s="522"/>
      <c r="C73" s="522"/>
      <c r="D73" s="522" t="s">
        <v>8704</v>
      </c>
      <c r="E73" s="523"/>
      <c r="F73" s="524">
        <v>4.0</v>
      </c>
      <c r="G73" s="522"/>
      <c r="H73" s="510">
        <v>213.0</v>
      </c>
    </row>
    <row r="74" ht="14.25" customHeight="1">
      <c r="A74" s="521"/>
      <c r="B74" s="522"/>
      <c r="C74" s="522"/>
      <c r="D74" s="522" t="s">
        <v>8703</v>
      </c>
      <c r="E74" s="523"/>
      <c r="F74" s="524">
        <v>6.0</v>
      </c>
      <c r="G74" s="522"/>
      <c r="H74" s="510">
        <v>196.7</v>
      </c>
    </row>
    <row r="75" ht="14.25" customHeight="1">
      <c r="A75" s="517">
        <v>45386.0</v>
      </c>
      <c r="B75" s="509" t="s">
        <v>7498</v>
      </c>
      <c r="C75" s="509" t="s">
        <v>7499</v>
      </c>
      <c r="D75" s="509" t="s">
        <v>8756</v>
      </c>
      <c r="E75" s="525" t="s">
        <v>8765</v>
      </c>
      <c r="F75" s="510">
        <v>1.0</v>
      </c>
      <c r="G75" s="509" t="s">
        <v>7393</v>
      </c>
      <c r="H75" s="510">
        <v>175.0</v>
      </c>
    </row>
    <row r="76" ht="14.25" customHeight="1">
      <c r="A76" s="517">
        <v>45386.0</v>
      </c>
      <c r="B76" s="526" t="s">
        <v>7500</v>
      </c>
      <c r="C76" s="526" t="s">
        <v>7501</v>
      </c>
      <c r="D76" s="509" t="s">
        <v>8756</v>
      </c>
      <c r="E76" s="525" t="s">
        <v>8765</v>
      </c>
      <c r="F76" s="510">
        <v>1.0</v>
      </c>
      <c r="G76" s="509" t="s">
        <v>7393</v>
      </c>
      <c r="H76" s="510">
        <v>175.0</v>
      </c>
    </row>
    <row r="77" ht="14.25" customHeight="1">
      <c r="A77" s="517">
        <v>45386.0</v>
      </c>
      <c r="B77" s="509" t="s">
        <v>2623</v>
      </c>
      <c r="C77" s="509" t="s">
        <v>7502</v>
      </c>
      <c r="D77" s="509" t="s">
        <v>8756</v>
      </c>
      <c r="E77" s="525" t="s">
        <v>8765</v>
      </c>
      <c r="F77" s="510">
        <v>1.0</v>
      </c>
      <c r="G77" s="509" t="s">
        <v>7393</v>
      </c>
      <c r="H77" s="510">
        <v>175.0</v>
      </c>
    </row>
    <row r="78" ht="14.25" customHeight="1">
      <c r="A78" s="517">
        <v>45386.0</v>
      </c>
      <c r="B78" s="509" t="s">
        <v>7429</v>
      </c>
      <c r="C78" s="509" t="s">
        <v>7503</v>
      </c>
      <c r="D78" s="509" t="s">
        <v>8756</v>
      </c>
      <c r="E78" s="525" t="s">
        <v>8765</v>
      </c>
      <c r="F78" s="510">
        <v>1.0</v>
      </c>
      <c r="G78" s="509" t="s">
        <v>7393</v>
      </c>
      <c r="H78" s="510">
        <v>175.0</v>
      </c>
    </row>
    <row r="79" ht="14.25" customHeight="1">
      <c r="A79" s="517">
        <v>45386.0</v>
      </c>
      <c r="B79" s="509" t="s">
        <v>7504</v>
      </c>
      <c r="C79" s="509" t="s">
        <v>7505</v>
      </c>
      <c r="D79" s="509" t="s">
        <v>8756</v>
      </c>
      <c r="E79" s="525" t="s">
        <v>8765</v>
      </c>
      <c r="F79" s="510">
        <v>1.0</v>
      </c>
      <c r="G79" s="509" t="s">
        <v>7393</v>
      </c>
      <c r="H79" s="510">
        <v>175.0</v>
      </c>
    </row>
    <row r="80" ht="14.25" customHeight="1">
      <c r="A80" s="517">
        <v>45386.0</v>
      </c>
      <c r="B80" s="509" t="s">
        <v>7396</v>
      </c>
      <c r="C80" s="509" t="s">
        <v>7506</v>
      </c>
      <c r="D80" s="509" t="s">
        <v>8756</v>
      </c>
      <c r="E80" s="525" t="s">
        <v>8765</v>
      </c>
      <c r="F80" s="510">
        <v>1.0</v>
      </c>
      <c r="G80" s="509" t="s">
        <v>7393</v>
      </c>
      <c r="H80" s="510">
        <v>175.0</v>
      </c>
    </row>
    <row r="81" ht="14.25" customHeight="1">
      <c r="A81" s="517">
        <v>45386.0</v>
      </c>
      <c r="B81" s="509" t="s">
        <v>7507</v>
      </c>
      <c r="C81" s="509" t="s">
        <v>7508</v>
      </c>
      <c r="D81" s="509" t="s">
        <v>8756</v>
      </c>
      <c r="E81" s="525" t="s">
        <v>8765</v>
      </c>
      <c r="F81" s="510">
        <v>1.0</v>
      </c>
      <c r="G81" s="509" t="s">
        <v>7393</v>
      </c>
      <c r="H81" s="510">
        <v>175.0</v>
      </c>
    </row>
    <row r="82" ht="14.25" customHeight="1">
      <c r="A82" s="517">
        <v>45386.0</v>
      </c>
      <c r="B82" s="509" t="s">
        <v>7509</v>
      </c>
      <c r="C82" s="509" t="s">
        <v>7510</v>
      </c>
      <c r="D82" s="509" t="s">
        <v>8756</v>
      </c>
      <c r="E82" s="525" t="s">
        <v>8765</v>
      </c>
      <c r="F82" s="510">
        <v>1.0</v>
      </c>
      <c r="G82" s="509" t="s">
        <v>7393</v>
      </c>
      <c r="H82" s="510">
        <v>175.0</v>
      </c>
    </row>
    <row r="83" ht="14.25" customHeight="1">
      <c r="A83" s="517">
        <v>45386.0</v>
      </c>
      <c r="B83" s="509" t="s">
        <v>2665</v>
      </c>
      <c r="C83" s="509" t="s">
        <v>7511</v>
      </c>
      <c r="D83" s="509" t="s">
        <v>8756</v>
      </c>
      <c r="E83" s="525" t="s">
        <v>8765</v>
      </c>
      <c r="F83" s="510">
        <v>1.0</v>
      </c>
      <c r="G83" s="509" t="s">
        <v>7393</v>
      </c>
      <c r="H83" s="510">
        <v>175.0</v>
      </c>
    </row>
    <row r="84" ht="14.25" customHeight="1">
      <c r="A84" s="517">
        <v>45386.0</v>
      </c>
      <c r="B84" s="509" t="s">
        <v>2638</v>
      </c>
      <c r="C84" s="509" t="s">
        <v>7512</v>
      </c>
      <c r="D84" s="509" t="s">
        <v>8756</v>
      </c>
      <c r="E84" s="525" t="s">
        <v>8765</v>
      </c>
      <c r="F84" s="510">
        <v>1.0</v>
      </c>
      <c r="G84" s="509" t="s">
        <v>7393</v>
      </c>
      <c r="H84" s="510">
        <v>175.0</v>
      </c>
    </row>
    <row r="85" ht="14.25" customHeight="1">
      <c r="A85" s="517">
        <v>45386.0</v>
      </c>
      <c r="B85" s="509" t="s">
        <v>2627</v>
      </c>
      <c r="C85" s="509" t="s">
        <v>7513</v>
      </c>
      <c r="D85" s="509" t="s">
        <v>8756</v>
      </c>
      <c r="E85" s="525" t="s">
        <v>8765</v>
      </c>
      <c r="F85" s="510">
        <v>1.0</v>
      </c>
      <c r="G85" s="509" t="s">
        <v>7393</v>
      </c>
      <c r="H85" s="510">
        <v>175.0</v>
      </c>
    </row>
    <row r="86" ht="14.25" customHeight="1">
      <c r="A86" s="517">
        <v>45387.0</v>
      </c>
      <c r="B86" s="526" t="s">
        <v>2623</v>
      </c>
      <c r="C86" s="526" t="s">
        <v>7514</v>
      </c>
      <c r="D86" s="509" t="s">
        <v>8756</v>
      </c>
      <c r="E86" s="525" t="s">
        <v>8765</v>
      </c>
      <c r="F86" s="510">
        <v>1.0</v>
      </c>
      <c r="G86" s="509" t="s">
        <v>7393</v>
      </c>
      <c r="H86" s="510">
        <v>175.0</v>
      </c>
    </row>
    <row r="87" ht="14.25" customHeight="1">
      <c r="A87" s="517">
        <v>45387.0</v>
      </c>
      <c r="B87" s="526" t="s">
        <v>7515</v>
      </c>
      <c r="C87" s="526" t="s">
        <v>7516</v>
      </c>
      <c r="D87" s="509" t="s">
        <v>8756</v>
      </c>
      <c r="E87" s="525" t="s">
        <v>8765</v>
      </c>
      <c r="F87" s="510">
        <v>1.0</v>
      </c>
      <c r="G87" s="509" t="s">
        <v>7393</v>
      </c>
      <c r="H87" s="510">
        <v>175.0</v>
      </c>
    </row>
    <row r="88" ht="14.25" customHeight="1">
      <c r="A88" s="517">
        <v>45387.0</v>
      </c>
      <c r="B88" s="526" t="s">
        <v>7517</v>
      </c>
      <c r="C88" s="526" t="s">
        <v>7518</v>
      </c>
      <c r="D88" s="509" t="s">
        <v>8756</v>
      </c>
      <c r="E88" s="525" t="s">
        <v>8765</v>
      </c>
      <c r="F88" s="509">
        <v>1.0</v>
      </c>
      <c r="G88" s="509" t="s">
        <v>7393</v>
      </c>
      <c r="H88" s="509">
        <v>175.0</v>
      </c>
    </row>
    <row r="89" ht="14.25" customHeight="1">
      <c r="A89" s="517">
        <v>45387.0</v>
      </c>
      <c r="B89" s="526" t="s">
        <v>7519</v>
      </c>
      <c r="C89" s="526" t="s">
        <v>7520</v>
      </c>
      <c r="D89" s="526" t="s">
        <v>8756</v>
      </c>
      <c r="E89" s="509" t="s">
        <v>8765</v>
      </c>
      <c r="F89" s="509">
        <v>1.0</v>
      </c>
      <c r="G89" s="509" t="s">
        <v>7393</v>
      </c>
      <c r="H89" s="509">
        <v>175.0</v>
      </c>
    </row>
    <row r="90" ht="14.25" customHeight="1">
      <c r="A90" s="517">
        <v>45387.0</v>
      </c>
      <c r="B90" s="526" t="s">
        <v>7521</v>
      </c>
      <c r="C90" s="526" t="s">
        <v>7522</v>
      </c>
      <c r="D90" s="526" t="s">
        <v>8756</v>
      </c>
      <c r="E90" s="509" t="s">
        <v>8765</v>
      </c>
      <c r="F90" s="509">
        <v>1.0</v>
      </c>
      <c r="G90" s="509" t="s">
        <v>7393</v>
      </c>
      <c r="H90" s="509">
        <v>175.0</v>
      </c>
    </row>
    <row r="91" ht="14.25" customHeight="1">
      <c r="A91" s="517">
        <v>45387.0</v>
      </c>
      <c r="B91" s="526" t="s">
        <v>7523</v>
      </c>
      <c r="C91" s="526" t="s">
        <v>7524</v>
      </c>
      <c r="D91" s="526" t="s">
        <v>8756</v>
      </c>
      <c r="E91" s="509" t="s">
        <v>8765</v>
      </c>
      <c r="F91" s="509">
        <v>1.0</v>
      </c>
      <c r="G91" s="509" t="s">
        <v>7393</v>
      </c>
      <c r="H91" s="509">
        <v>55.0</v>
      </c>
    </row>
    <row r="92" ht="14.25" customHeight="1">
      <c r="A92" s="517">
        <v>45387.0</v>
      </c>
      <c r="B92" s="526" t="s">
        <v>2635</v>
      </c>
      <c r="C92" s="526" t="s">
        <v>7525</v>
      </c>
      <c r="D92" s="526" t="s">
        <v>8756</v>
      </c>
      <c r="E92" s="509" t="s">
        <v>8765</v>
      </c>
      <c r="F92" s="509">
        <v>1.0</v>
      </c>
      <c r="G92" s="509" t="s">
        <v>7393</v>
      </c>
      <c r="H92" s="509">
        <v>175.0</v>
      </c>
    </row>
    <row r="93" ht="14.25" customHeight="1">
      <c r="A93" s="517">
        <v>45387.0</v>
      </c>
      <c r="B93" s="526" t="s">
        <v>7434</v>
      </c>
      <c r="C93" s="526" t="s">
        <v>7526</v>
      </c>
      <c r="D93" s="526" t="s">
        <v>8756</v>
      </c>
      <c r="E93" s="509" t="s">
        <v>8765</v>
      </c>
      <c r="F93" s="509">
        <v>1.0</v>
      </c>
      <c r="G93" s="509" t="s">
        <v>7393</v>
      </c>
      <c r="H93" s="509">
        <v>175.0</v>
      </c>
    </row>
    <row r="94" ht="14.25" customHeight="1">
      <c r="A94" s="517">
        <v>45387.0</v>
      </c>
      <c r="B94" s="526" t="s">
        <v>2623</v>
      </c>
      <c r="C94" s="526" t="s">
        <v>7527</v>
      </c>
      <c r="D94" s="526" t="s">
        <v>8756</v>
      </c>
      <c r="E94" s="509" t="s">
        <v>8765</v>
      </c>
      <c r="F94" s="509">
        <v>1.0</v>
      </c>
      <c r="G94" s="509" t="s">
        <v>7393</v>
      </c>
      <c r="H94" s="509">
        <v>175.0</v>
      </c>
    </row>
    <row r="95" ht="14.25" customHeight="1">
      <c r="A95" s="517">
        <v>45388.0</v>
      </c>
      <c r="B95" s="526" t="s">
        <v>7528</v>
      </c>
      <c r="C95" s="526" t="s">
        <v>7529</v>
      </c>
      <c r="D95" s="526" t="s">
        <v>8756</v>
      </c>
      <c r="E95" s="509" t="s">
        <v>8765</v>
      </c>
      <c r="F95" s="509">
        <v>1.0</v>
      </c>
      <c r="G95" s="509" t="s">
        <v>7393</v>
      </c>
      <c r="H95" s="509">
        <v>175.0</v>
      </c>
    </row>
    <row r="96" ht="14.25" customHeight="1">
      <c r="A96" s="517">
        <v>45388.0</v>
      </c>
      <c r="B96" s="526" t="s">
        <v>7530</v>
      </c>
      <c r="C96" s="526" t="s">
        <v>7531</v>
      </c>
      <c r="D96" s="526" t="s">
        <v>8756</v>
      </c>
      <c r="E96" s="509" t="s">
        <v>8765</v>
      </c>
      <c r="F96" s="509">
        <v>1.0</v>
      </c>
      <c r="G96" s="509" t="s">
        <v>7393</v>
      </c>
      <c r="H96" s="509">
        <v>175.0</v>
      </c>
    </row>
    <row r="97" ht="14.25" customHeight="1">
      <c r="A97" s="517">
        <v>45388.0</v>
      </c>
      <c r="B97" s="526" t="s">
        <v>7532</v>
      </c>
      <c r="C97" s="526" t="s">
        <v>7533</v>
      </c>
      <c r="D97" s="526" t="s">
        <v>8756</v>
      </c>
      <c r="E97" s="509" t="s">
        <v>8765</v>
      </c>
      <c r="F97" s="509">
        <v>1.0</v>
      </c>
      <c r="G97" s="509" t="s">
        <v>7393</v>
      </c>
      <c r="H97" s="509">
        <v>175.0</v>
      </c>
    </row>
    <row r="98" ht="14.25" customHeight="1">
      <c r="A98" s="517">
        <v>45388.0</v>
      </c>
      <c r="B98" s="526" t="s">
        <v>7534</v>
      </c>
      <c r="C98" s="527" t="s">
        <v>7535</v>
      </c>
      <c r="D98" s="526" t="s">
        <v>8756</v>
      </c>
      <c r="E98" s="509" t="s">
        <v>8765</v>
      </c>
      <c r="F98" s="509">
        <v>1.0</v>
      </c>
      <c r="G98" s="509" t="s">
        <v>7393</v>
      </c>
      <c r="H98" s="509">
        <v>175.0</v>
      </c>
    </row>
    <row r="99" ht="14.25" customHeight="1">
      <c r="A99" s="517">
        <v>45390.0</v>
      </c>
      <c r="B99" s="526" t="s">
        <v>2441</v>
      </c>
      <c r="C99" s="526" t="s">
        <v>7536</v>
      </c>
      <c r="D99" s="526" t="s">
        <v>162</v>
      </c>
      <c r="E99" s="509" t="s">
        <v>7537</v>
      </c>
      <c r="F99" s="509">
        <v>1.0</v>
      </c>
      <c r="G99" s="509" t="s">
        <v>7393</v>
      </c>
      <c r="H99" s="509">
        <v>114.0</v>
      </c>
    </row>
    <row r="100" ht="14.25" customHeight="1">
      <c r="A100" s="517">
        <v>45390.0</v>
      </c>
      <c r="B100" s="526" t="s">
        <v>7538</v>
      </c>
      <c r="C100" s="526" t="s">
        <v>7539</v>
      </c>
      <c r="D100" s="526" t="s">
        <v>162</v>
      </c>
      <c r="E100" s="509" t="s">
        <v>7540</v>
      </c>
      <c r="F100" s="509">
        <v>1.0</v>
      </c>
      <c r="G100" s="509" t="s">
        <v>7393</v>
      </c>
      <c r="H100" s="509">
        <v>100.0</v>
      </c>
    </row>
    <row r="101" ht="14.25" customHeight="1">
      <c r="A101" s="517">
        <v>45390.0</v>
      </c>
      <c r="B101" s="526" t="s">
        <v>2561</v>
      </c>
      <c r="C101" s="526" t="s">
        <v>7541</v>
      </c>
      <c r="D101" s="526" t="s">
        <v>8766</v>
      </c>
      <c r="E101" s="509" t="s">
        <v>7542</v>
      </c>
      <c r="F101" s="509">
        <v>1.0</v>
      </c>
      <c r="G101" s="509" t="s">
        <v>7393</v>
      </c>
      <c r="H101" s="509">
        <v>80.0</v>
      </c>
    </row>
    <row r="102" ht="14.25" customHeight="1">
      <c r="A102" s="517">
        <v>45390.0</v>
      </c>
      <c r="B102" s="526" t="s">
        <v>2638</v>
      </c>
      <c r="C102" s="526" t="s">
        <v>7543</v>
      </c>
      <c r="D102" s="526" t="s">
        <v>8767</v>
      </c>
      <c r="E102" s="509" t="s">
        <v>7544</v>
      </c>
      <c r="F102" s="509">
        <v>1.0</v>
      </c>
      <c r="G102" s="509" t="s">
        <v>7393</v>
      </c>
      <c r="H102" s="509">
        <v>110.0</v>
      </c>
    </row>
    <row r="103" ht="14.25" customHeight="1">
      <c r="A103" s="517">
        <v>45395.0</v>
      </c>
      <c r="B103" s="526" t="s">
        <v>7545</v>
      </c>
      <c r="C103" s="526" t="s">
        <v>7546</v>
      </c>
      <c r="D103" s="526" t="s">
        <v>8767</v>
      </c>
      <c r="E103" s="509" t="s">
        <v>7544</v>
      </c>
      <c r="F103" s="509">
        <v>1.0</v>
      </c>
      <c r="G103" s="509" t="s">
        <v>7393</v>
      </c>
      <c r="H103" s="509">
        <v>52.5</v>
      </c>
    </row>
    <row r="104" ht="14.25" customHeight="1">
      <c r="A104" s="508"/>
      <c r="B104" s="526" t="s">
        <v>7547</v>
      </c>
      <c r="C104" s="526"/>
      <c r="D104" s="526" t="s">
        <v>8756</v>
      </c>
      <c r="E104" s="509"/>
      <c r="F104" s="509">
        <v>1.0</v>
      </c>
      <c r="G104" s="509" t="s">
        <v>7393</v>
      </c>
      <c r="H104" s="509">
        <v>175.0</v>
      </c>
    </row>
    <row r="105" ht="14.25" customHeight="1">
      <c r="A105" s="508"/>
      <c r="B105" s="526" t="s">
        <v>7548</v>
      </c>
      <c r="C105" s="526"/>
      <c r="D105" s="526" t="s">
        <v>8756</v>
      </c>
      <c r="E105" s="509"/>
      <c r="F105" s="509">
        <v>1.0</v>
      </c>
      <c r="G105" s="509" t="s">
        <v>7393</v>
      </c>
      <c r="H105" s="509">
        <v>175.0</v>
      </c>
    </row>
    <row r="106" ht="14.25" customHeight="1">
      <c r="A106" s="508"/>
      <c r="B106" s="526" t="s">
        <v>2547</v>
      </c>
      <c r="C106" s="526"/>
      <c r="D106" s="526" t="s">
        <v>8756</v>
      </c>
      <c r="E106" s="509"/>
      <c r="F106" s="509">
        <v>1.0</v>
      </c>
      <c r="G106" s="509" t="s">
        <v>7393</v>
      </c>
      <c r="H106" s="509">
        <v>175.0</v>
      </c>
    </row>
    <row r="107" ht="14.25" customHeight="1">
      <c r="A107" s="508"/>
      <c r="B107" s="526" t="s">
        <v>7549</v>
      </c>
      <c r="C107" s="526" t="s">
        <v>7550</v>
      </c>
      <c r="D107" s="526" t="s">
        <v>8703</v>
      </c>
      <c r="E107" s="509"/>
      <c r="F107" s="509">
        <v>1.0</v>
      </c>
      <c r="G107" s="509" t="s">
        <v>7393</v>
      </c>
      <c r="H107" s="509">
        <v>55.0</v>
      </c>
    </row>
    <row r="108" ht="14.25" customHeight="1">
      <c r="A108" s="508"/>
      <c r="B108" s="526" t="s">
        <v>2647</v>
      </c>
      <c r="C108" s="526" t="s">
        <v>7551</v>
      </c>
      <c r="D108" s="509" t="s">
        <v>8756</v>
      </c>
      <c r="E108" s="509"/>
      <c r="F108" s="509">
        <v>1.0</v>
      </c>
      <c r="G108" s="509" t="s">
        <v>7393</v>
      </c>
      <c r="H108" s="509">
        <v>175.0</v>
      </c>
    </row>
    <row r="109" ht="14.25" customHeight="1">
      <c r="A109" s="517">
        <v>45397.0</v>
      </c>
      <c r="B109" s="526" t="s">
        <v>7552</v>
      </c>
      <c r="C109" s="526"/>
      <c r="D109" s="509" t="s">
        <v>8756</v>
      </c>
      <c r="E109" s="509"/>
      <c r="F109" s="509">
        <v>1.0</v>
      </c>
      <c r="G109" s="509" t="s">
        <v>7393</v>
      </c>
      <c r="H109" s="509">
        <v>175.0</v>
      </c>
    </row>
    <row r="110" ht="14.25" customHeight="1">
      <c r="A110" s="517">
        <v>45397.0</v>
      </c>
      <c r="B110" s="526" t="s">
        <v>7434</v>
      </c>
      <c r="C110" s="526" t="s">
        <v>7553</v>
      </c>
      <c r="D110" s="509" t="s">
        <v>8756</v>
      </c>
      <c r="E110" s="509"/>
      <c r="F110" s="509">
        <v>1.0</v>
      </c>
      <c r="G110" s="509" t="s">
        <v>7393</v>
      </c>
      <c r="H110" s="509">
        <v>175.0</v>
      </c>
    </row>
    <row r="111" ht="14.25" customHeight="1">
      <c r="A111" s="517">
        <v>45397.0</v>
      </c>
      <c r="B111" s="526" t="s">
        <v>7554</v>
      </c>
      <c r="C111" s="526"/>
      <c r="D111" s="509" t="s">
        <v>8756</v>
      </c>
      <c r="E111" s="528"/>
      <c r="F111" s="509">
        <v>1.0</v>
      </c>
      <c r="G111" s="509" t="s">
        <v>7393</v>
      </c>
      <c r="H111" s="509">
        <v>175.0</v>
      </c>
    </row>
    <row r="112" ht="14.25" customHeight="1">
      <c r="A112" s="517">
        <v>45397.0</v>
      </c>
      <c r="B112" s="526" t="s">
        <v>7555</v>
      </c>
      <c r="C112" s="526" t="s">
        <v>7556</v>
      </c>
      <c r="D112" s="509" t="s">
        <v>8756</v>
      </c>
      <c r="E112" s="526"/>
      <c r="F112" s="526">
        <v>1.0</v>
      </c>
      <c r="G112" s="526" t="s">
        <v>7393</v>
      </c>
      <c r="H112" s="526">
        <v>175.0</v>
      </c>
    </row>
    <row r="113" ht="14.25" customHeight="1">
      <c r="A113" s="517">
        <v>45397.0</v>
      </c>
      <c r="B113" s="529" t="s">
        <v>7557</v>
      </c>
      <c r="C113" s="529" t="s">
        <v>7558</v>
      </c>
      <c r="D113" s="529" t="s">
        <v>8756</v>
      </c>
      <c r="E113" s="529" t="s">
        <v>204</v>
      </c>
      <c r="F113" s="515">
        <v>1.0</v>
      </c>
      <c r="G113" s="529" t="s">
        <v>7393</v>
      </c>
      <c r="H113" s="515">
        <v>175.0</v>
      </c>
    </row>
    <row r="114" ht="14.25" customHeight="1">
      <c r="A114" s="517">
        <v>45397.0</v>
      </c>
      <c r="B114" s="526" t="s">
        <v>7559</v>
      </c>
      <c r="C114" s="526" t="s">
        <v>7560</v>
      </c>
      <c r="D114" s="529" t="s">
        <v>8756</v>
      </c>
      <c r="E114" s="529" t="s">
        <v>204</v>
      </c>
      <c r="F114" s="526">
        <v>1.0</v>
      </c>
      <c r="G114" s="529" t="s">
        <v>7393</v>
      </c>
      <c r="H114" s="526">
        <v>175.0</v>
      </c>
    </row>
    <row r="115" ht="14.25" customHeight="1">
      <c r="A115" s="517">
        <v>45397.0</v>
      </c>
      <c r="B115" s="526" t="s">
        <v>7434</v>
      </c>
      <c r="C115" s="526" t="s">
        <v>7553</v>
      </c>
      <c r="D115" s="529" t="s">
        <v>8756</v>
      </c>
      <c r="E115" s="529" t="s">
        <v>204</v>
      </c>
      <c r="F115" s="526">
        <v>1.0</v>
      </c>
      <c r="G115" s="529" t="s">
        <v>7393</v>
      </c>
      <c r="H115" s="526">
        <v>170.0</v>
      </c>
    </row>
    <row r="116" ht="14.25" customHeight="1">
      <c r="A116" s="517">
        <v>45397.0</v>
      </c>
      <c r="B116" s="526" t="s">
        <v>2665</v>
      </c>
      <c r="C116" s="526" t="s">
        <v>7561</v>
      </c>
      <c r="D116" s="529" t="s">
        <v>8756</v>
      </c>
      <c r="E116" s="529" t="s">
        <v>204</v>
      </c>
      <c r="F116" s="526">
        <v>1.0</v>
      </c>
      <c r="G116" s="529" t="s">
        <v>7393</v>
      </c>
      <c r="H116" s="526">
        <v>175.0</v>
      </c>
    </row>
    <row r="117" ht="14.25" customHeight="1">
      <c r="A117" s="517">
        <v>45397.0</v>
      </c>
      <c r="B117" s="526" t="s">
        <v>7562</v>
      </c>
      <c r="C117" s="526" t="s">
        <v>7563</v>
      </c>
      <c r="D117" s="529" t="s">
        <v>8756</v>
      </c>
      <c r="E117" s="529" t="s">
        <v>204</v>
      </c>
      <c r="F117" s="526">
        <v>1.0</v>
      </c>
      <c r="G117" s="529" t="s">
        <v>7393</v>
      </c>
      <c r="H117" s="526">
        <v>175.0</v>
      </c>
    </row>
    <row r="118" ht="14.25" customHeight="1">
      <c r="A118" s="517">
        <v>45398.0</v>
      </c>
      <c r="B118" s="526" t="s">
        <v>7554</v>
      </c>
      <c r="C118" s="526"/>
      <c r="D118" s="529" t="s">
        <v>8756</v>
      </c>
      <c r="E118" s="529" t="s">
        <v>204</v>
      </c>
      <c r="F118" s="526">
        <v>1.0</v>
      </c>
      <c r="G118" s="529" t="s">
        <v>7393</v>
      </c>
      <c r="H118" s="526">
        <v>175.0</v>
      </c>
    </row>
    <row r="119" ht="14.25" customHeight="1">
      <c r="A119" s="517">
        <v>45398.0</v>
      </c>
      <c r="B119" s="526" t="s">
        <v>7423</v>
      </c>
      <c r="C119" s="526"/>
      <c r="D119" s="529" t="s">
        <v>8756</v>
      </c>
      <c r="E119" s="526" t="s">
        <v>7564</v>
      </c>
      <c r="F119" s="526">
        <v>1.0</v>
      </c>
      <c r="G119" s="529" t="s">
        <v>7393</v>
      </c>
      <c r="H119" s="526">
        <v>175.0</v>
      </c>
    </row>
    <row r="120" ht="14.25" customHeight="1">
      <c r="A120" s="517">
        <v>45398.0</v>
      </c>
      <c r="B120" s="526" t="s">
        <v>7565</v>
      </c>
      <c r="C120" s="526"/>
      <c r="D120" s="526" t="s">
        <v>8703</v>
      </c>
      <c r="E120" s="526"/>
      <c r="F120" s="526">
        <v>1.0</v>
      </c>
      <c r="G120" s="529" t="s">
        <v>7393</v>
      </c>
      <c r="H120" s="526">
        <v>55.0</v>
      </c>
    </row>
    <row r="121" ht="14.25" customHeight="1">
      <c r="A121" s="517">
        <v>45398.0</v>
      </c>
      <c r="B121" s="526" t="s">
        <v>2561</v>
      </c>
      <c r="C121" s="526"/>
      <c r="D121" s="526" t="s">
        <v>8756</v>
      </c>
      <c r="E121" s="526" t="s">
        <v>6906</v>
      </c>
      <c r="F121" s="526">
        <v>1.0</v>
      </c>
      <c r="G121" s="529" t="s">
        <v>7393</v>
      </c>
      <c r="H121" s="526">
        <v>175.0</v>
      </c>
    </row>
    <row r="122" ht="14.25" customHeight="1">
      <c r="A122" s="517">
        <v>45399.0</v>
      </c>
      <c r="B122" s="526" t="s">
        <v>2665</v>
      </c>
      <c r="C122" s="526" t="s">
        <v>7566</v>
      </c>
      <c r="D122" s="526" t="s">
        <v>8756</v>
      </c>
      <c r="E122" s="526" t="s">
        <v>6906</v>
      </c>
      <c r="F122" s="526">
        <v>1.0</v>
      </c>
      <c r="G122" s="526" t="s">
        <v>7393</v>
      </c>
      <c r="H122" s="526">
        <v>175.0</v>
      </c>
    </row>
    <row r="123" ht="14.25" customHeight="1">
      <c r="A123" s="517">
        <v>45399.0</v>
      </c>
      <c r="B123" s="526" t="s">
        <v>2638</v>
      </c>
      <c r="C123" s="526" t="s">
        <v>7567</v>
      </c>
      <c r="D123" s="526" t="s">
        <v>8701</v>
      </c>
      <c r="E123" s="526" t="s">
        <v>7568</v>
      </c>
      <c r="F123" s="526">
        <v>1.0</v>
      </c>
      <c r="G123" s="526" t="s">
        <v>7393</v>
      </c>
      <c r="H123" s="526">
        <v>75.0</v>
      </c>
    </row>
    <row r="124" ht="14.25" customHeight="1">
      <c r="A124" s="530"/>
      <c r="B124" s="526"/>
      <c r="C124" s="526"/>
      <c r="D124" s="526" t="s">
        <v>8756</v>
      </c>
      <c r="E124" s="528"/>
      <c r="F124" s="526">
        <v>1.0</v>
      </c>
      <c r="G124" s="526" t="s">
        <v>7393</v>
      </c>
      <c r="H124" s="526">
        <v>175.0</v>
      </c>
    </row>
    <row r="125" ht="14.25" customHeight="1">
      <c r="A125" s="531"/>
      <c r="B125" s="526"/>
      <c r="C125" s="526"/>
      <c r="D125" s="526" t="s">
        <v>8756</v>
      </c>
      <c r="E125" s="526"/>
      <c r="F125" s="526">
        <v>1.0</v>
      </c>
      <c r="G125" s="526" t="s">
        <v>7393</v>
      </c>
      <c r="H125" s="526">
        <v>175.0</v>
      </c>
    </row>
    <row r="126" ht="14.25" customHeight="1">
      <c r="A126" s="531"/>
      <c r="B126" s="526"/>
      <c r="C126" s="526"/>
      <c r="D126" s="526" t="s">
        <v>8756</v>
      </c>
      <c r="E126" s="526"/>
      <c r="F126" s="526">
        <v>1.0</v>
      </c>
      <c r="G126" s="526" t="s">
        <v>7393</v>
      </c>
      <c r="H126" s="526">
        <v>175.0</v>
      </c>
    </row>
    <row r="127" ht="14.25" customHeight="1">
      <c r="A127" s="530"/>
      <c r="B127" s="532"/>
      <c r="C127" s="532"/>
      <c r="D127" s="526" t="s">
        <v>8756</v>
      </c>
      <c r="E127" s="532"/>
      <c r="F127" s="532">
        <v>1.0</v>
      </c>
      <c r="G127" s="526" t="s">
        <v>7393</v>
      </c>
      <c r="H127" s="532">
        <v>175.0</v>
      </c>
    </row>
    <row r="128" ht="14.25" customHeight="1">
      <c r="A128" s="533"/>
      <c r="B128" s="526"/>
      <c r="C128" s="526"/>
      <c r="D128" s="526" t="s">
        <v>8756</v>
      </c>
      <c r="E128" s="526"/>
      <c r="F128" s="526">
        <v>1.0</v>
      </c>
      <c r="G128" s="526" t="s">
        <v>7393</v>
      </c>
      <c r="H128" s="526">
        <v>175.0</v>
      </c>
    </row>
    <row r="129" ht="14.25" customHeight="1">
      <c r="A129" s="533"/>
      <c r="B129" s="526"/>
      <c r="C129" s="526"/>
      <c r="D129" s="526" t="s">
        <v>8756</v>
      </c>
      <c r="E129" s="526"/>
      <c r="F129" s="526">
        <v>1.0</v>
      </c>
      <c r="G129" s="526" t="s">
        <v>7393</v>
      </c>
      <c r="H129" s="526">
        <v>175.0</v>
      </c>
    </row>
    <row r="130" ht="14.25" customHeight="1">
      <c r="A130" s="533"/>
      <c r="B130" s="526"/>
      <c r="C130" s="526"/>
      <c r="D130" s="526" t="s">
        <v>8756</v>
      </c>
      <c r="E130" s="526"/>
      <c r="F130" s="526">
        <v>1.0</v>
      </c>
      <c r="G130" s="526" t="s">
        <v>7393</v>
      </c>
      <c r="H130" s="526">
        <v>175.0</v>
      </c>
    </row>
    <row r="131" ht="14.25" customHeight="1">
      <c r="A131" s="533"/>
      <c r="B131" s="526"/>
      <c r="C131" s="526"/>
      <c r="D131" s="526" t="s">
        <v>8756</v>
      </c>
      <c r="E131" s="526"/>
      <c r="F131" s="526">
        <v>1.0</v>
      </c>
      <c r="G131" s="526" t="s">
        <v>7393</v>
      </c>
      <c r="H131" s="526">
        <v>175.0</v>
      </c>
    </row>
    <row r="132" ht="14.25" customHeight="1">
      <c r="A132" s="533"/>
      <c r="B132" s="526"/>
      <c r="C132" s="526"/>
      <c r="D132" s="526" t="s">
        <v>208</v>
      </c>
      <c r="E132" s="526"/>
      <c r="F132" s="526">
        <v>1.0</v>
      </c>
      <c r="G132" s="526" t="s">
        <v>7393</v>
      </c>
      <c r="H132" s="526">
        <v>175.0</v>
      </c>
    </row>
    <row r="133" ht="14.25" customHeight="1">
      <c r="A133" s="505" t="s">
        <v>8768</v>
      </c>
      <c r="B133" s="511"/>
      <c r="C133" s="511"/>
      <c r="D133" s="511"/>
      <c r="E133" s="512"/>
      <c r="F133" s="512">
        <f>SUM(F134:F194)</f>
        <v>62</v>
      </c>
      <c r="G133" s="511"/>
      <c r="H133" s="512">
        <f>SUM(H134:H194)</f>
        <v>8819.3</v>
      </c>
    </row>
    <row r="134" ht="14.25" customHeight="1">
      <c r="A134" s="517">
        <v>45414.0</v>
      </c>
      <c r="B134" s="526" t="s">
        <v>7569</v>
      </c>
      <c r="C134" s="526" t="s">
        <v>7570</v>
      </c>
      <c r="D134" s="526" t="s">
        <v>208</v>
      </c>
      <c r="E134" s="526"/>
      <c r="F134" s="526">
        <v>1.0</v>
      </c>
      <c r="G134" s="526" t="s">
        <v>7393</v>
      </c>
      <c r="H134" s="526">
        <v>175.0</v>
      </c>
    </row>
    <row r="135" ht="14.25" customHeight="1">
      <c r="A135" s="517">
        <v>45416.0</v>
      </c>
      <c r="B135" s="526" t="s">
        <v>7509</v>
      </c>
      <c r="C135" s="526" t="s">
        <v>7510</v>
      </c>
      <c r="D135" s="526" t="s">
        <v>208</v>
      </c>
      <c r="E135" s="526"/>
      <c r="F135" s="526">
        <v>1.0</v>
      </c>
      <c r="G135" s="526" t="s">
        <v>7393</v>
      </c>
      <c r="H135" s="526">
        <v>175.0</v>
      </c>
    </row>
    <row r="136" ht="14.25" customHeight="1">
      <c r="A136" s="517">
        <v>45416.0</v>
      </c>
      <c r="B136" s="526" t="s">
        <v>7571</v>
      </c>
      <c r="C136" s="526" t="s">
        <v>7572</v>
      </c>
      <c r="D136" s="526" t="s">
        <v>8769</v>
      </c>
      <c r="E136" s="526"/>
      <c r="F136" s="526">
        <v>1.0</v>
      </c>
      <c r="G136" s="526" t="s">
        <v>7393</v>
      </c>
      <c r="H136" s="526">
        <v>55.0</v>
      </c>
    </row>
    <row r="137" ht="14.25" customHeight="1">
      <c r="A137" s="517">
        <v>45416.0</v>
      </c>
      <c r="B137" s="532" t="s">
        <v>2772</v>
      </c>
      <c r="C137" s="532" t="s">
        <v>7439</v>
      </c>
      <c r="D137" s="532" t="s">
        <v>252</v>
      </c>
      <c r="E137" s="532"/>
      <c r="F137" s="532">
        <v>1.0</v>
      </c>
      <c r="G137" s="526" t="s">
        <v>7393</v>
      </c>
      <c r="H137" s="532">
        <v>90.0</v>
      </c>
    </row>
    <row r="138" ht="14.25" customHeight="1">
      <c r="A138" s="517">
        <v>45420.0</v>
      </c>
      <c r="B138" s="526" t="s">
        <v>7417</v>
      </c>
      <c r="C138" s="526" t="s">
        <v>7441</v>
      </c>
      <c r="D138" s="526" t="s">
        <v>208</v>
      </c>
      <c r="E138" s="526"/>
      <c r="F138" s="526">
        <v>1.0</v>
      </c>
      <c r="G138" s="526" t="s">
        <v>7393</v>
      </c>
      <c r="H138" s="526">
        <v>175.0</v>
      </c>
    </row>
    <row r="139" ht="14.25" customHeight="1">
      <c r="A139" s="517">
        <v>45422.0</v>
      </c>
      <c r="B139" s="526" t="s">
        <v>2665</v>
      </c>
      <c r="C139" s="526" t="s">
        <v>7573</v>
      </c>
      <c r="D139" s="526" t="s">
        <v>162</v>
      </c>
      <c r="E139" s="526"/>
      <c r="F139" s="526">
        <v>1.0</v>
      </c>
      <c r="G139" s="526" t="s">
        <v>7393</v>
      </c>
      <c r="H139" s="526">
        <v>114.0</v>
      </c>
    </row>
    <row r="140" ht="14.25" customHeight="1">
      <c r="A140" s="517">
        <v>45422.0</v>
      </c>
      <c r="B140" s="526" t="s">
        <v>7574</v>
      </c>
      <c r="C140" s="526" t="s">
        <v>7575</v>
      </c>
      <c r="D140" s="526" t="s">
        <v>162</v>
      </c>
      <c r="E140" s="526"/>
      <c r="F140" s="526">
        <v>1.0</v>
      </c>
      <c r="G140" s="526" t="s">
        <v>7393</v>
      </c>
      <c r="H140" s="526">
        <v>114.0</v>
      </c>
    </row>
    <row r="141" ht="14.25" customHeight="1">
      <c r="A141" s="517">
        <v>45422.0</v>
      </c>
      <c r="B141" s="526" t="s">
        <v>2627</v>
      </c>
      <c r="C141" s="526" t="s">
        <v>7513</v>
      </c>
      <c r="D141" s="526" t="s">
        <v>162</v>
      </c>
      <c r="E141" s="526"/>
      <c r="F141" s="526">
        <v>1.0</v>
      </c>
      <c r="G141" s="526" t="s">
        <v>7393</v>
      </c>
      <c r="H141" s="526">
        <v>114.0</v>
      </c>
    </row>
    <row r="142" ht="14.25" customHeight="1">
      <c r="A142" s="517">
        <v>45422.0</v>
      </c>
      <c r="B142" s="526" t="s">
        <v>7576</v>
      </c>
      <c r="C142" s="526" t="s">
        <v>7577</v>
      </c>
      <c r="D142" s="526" t="s">
        <v>162</v>
      </c>
      <c r="E142" s="526"/>
      <c r="F142" s="526">
        <v>1.0</v>
      </c>
      <c r="G142" s="526" t="s">
        <v>7393</v>
      </c>
      <c r="H142" s="526">
        <v>114.0</v>
      </c>
    </row>
    <row r="143" ht="14.25" customHeight="1">
      <c r="A143" s="517">
        <v>45423.0</v>
      </c>
      <c r="B143" s="526" t="s">
        <v>7408</v>
      </c>
      <c r="C143" s="526" t="s">
        <v>7578</v>
      </c>
      <c r="D143" s="526" t="s">
        <v>8769</v>
      </c>
      <c r="E143" s="526"/>
      <c r="F143" s="526">
        <v>1.0</v>
      </c>
      <c r="G143" s="526" t="s">
        <v>7393</v>
      </c>
      <c r="H143" s="526">
        <v>45.0</v>
      </c>
    </row>
    <row r="144" ht="14.25" customHeight="1">
      <c r="A144" s="517">
        <v>45423.0</v>
      </c>
      <c r="B144" s="526" t="s">
        <v>7579</v>
      </c>
      <c r="C144" s="526" t="s">
        <v>7580</v>
      </c>
      <c r="D144" s="526" t="s">
        <v>8757</v>
      </c>
      <c r="E144" s="526" t="s">
        <v>7564</v>
      </c>
      <c r="F144" s="526">
        <v>1.0</v>
      </c>
      <c r="G144" s="526" t="s">
        <v>7393</v>
      </c>
      <c r="H144" s="526">
        <v>141.0</v>
      </c>
    </row>
    <row r="145" ht="14.25" customHeight="1">
      <c r="A145" s="517">
        <v>45423.0</v>
      </c>
      <c r="B145" s="526" t="s">
        <v>7581</v>
      </c>
      <c r="C145" s="526" t="s">
        <v>7582</v>
      </c>
      <c r="D145" s="526" t="s">
        <v>208</v>
      </c>
      <c r="E145" s="526" t="s">
        <v>7564</v>
      </c>
      <c r="F145" s="526">
        <v>1.0</v>
      </c>
      <c r="G145" s="526" t="s">
        <v>7393</v>
      </c>
      <c r="H145" s="526">
        <v>141.0</v>
      </c>
    </row>
    <row r="146" ht="14.25" customHeight="1">
      <c r="A146" s="517">
        <v>45423.0</v>
      </c>
      <c r="B146" s="526" t="s">
        <v>7583</v>
      </c>
      <c r="C146" s="526" t="s">
        <v>7584</v>
      </c>
      <c r="D146" s="526" t="s">
        <v>208</v>
      </c>
      <c r="E146" s="526" t="s">
        <v>6906</v>
      </c>
      <c r="F146" s="526">
        <v>1.0</v>
      </c>
      <c r="G146" s="526" t="s">
        <v>7393</v>
      </c>
      <c r="H146" s="526">
        <v>141.0</v>
      </c>
    </row>
    <row r="147" ht="14.25" customHeight="1">
      <c r="A147" s="517">
        <v>45426.0</v>
      </c>
      <c r="B147" s="526"/>
      <c r="C147" s="526"/>
      <c r="D147" s="526" t="s">
        <v>208</v>
      </c>
      <c r="E147" s="526" t="s">
        <v>204</v>
      </c>
      <c r="F147" s="526">
        <v>1.0</v>
      </c>
      <c r="G147" s="526" t="s">
        <v>7393</v>
      </c>
      <c r="H147" s="526">
        <v>175.0</v>
      </c>
    </row>
    <row r="148" ht="14.25" customHeight="1">
      <c r="A148" s="517">
        <v>45426.0</v>
      </c>
      <c r="B148" s="526"/>
      <c r="C148" s="526"/>
      <c r="D148" s="526" t="s">
        <v>208</v>
      </c>
      <c r="E148" s="526" t="s">
        <v>204</v>
      </c>
      <c r="F148" s="526">
        <v>1.0</v>
      </c>
      <c r="G148" s="526" t="s">
        <v>7393</v>
      </c>
      <c r="H148" s="526">
        <v>175.0</v>
      </c>
    </row>
    <row r="149" ht="14.25" customHeight="1">
      <c r="A149" s="517">
        <v>45426.0</v>
      </c>
      <c r="B149" s="526"/>
      <c r="C149" s="526"/>
      <c r="D149" s="526" t="s">
        <v>208</v>
      </c>
      <c r="E149" s="526" t="s">
        <v>204</v>
      </c>
      <c r="F149" s="526">
        <v>1.0</v>
      </c>
      <c r="G149" s="526" t="s">
        <v>7393</v>
      </c>
      <c r="H149" s="526">
        <v>175.0</v>
      </c>
    </row>
    <row r="150" ht="14.25" customHeight="1">
      <c r="A150" s="517">
        <v>45426.0</v>
      </c>
      <c r="B150" s="526"/>
      <c r="C150" s="526"/>
      <c r="D150" s="526" t="s">
        <v>208</v>
      </c>
      <c r="E150" s="526" t="s">
        <v>204</v>
      </c>
      <c r="F150" s="526">
        <v>1.0</v>
      </c>
      <c r="G150" s="526" t="s">
        <v>7393</v>
      </c>
      <c r="H150" s="526">
        <v>175.0</v>
      </c>
    </row>
    <row r="151" ht="14.25" customHeight="1">
      <c r="A151" s="517">
        <v>45426.0</v>
      </c>
      <c r="B151" s="526"/>
      <c r="C151" s="526"/>
      <c r="D151" s="526" t="s">
        <v>208</v>
      </c>
      <c r="E151" s="526" t="s">
        <v>204</v>
      </c>
      <c r="F151" s="526">
        <v>1.0</v>
      </c>
      <c r="G151" s="526" t="s">
        <v>7393</v>
      </c>
      <c r="H151" s="526">
        <v>175.0</v>
      </c>
    </row>
    <row r="152" ht="14.25" customHeight="1">
      <c r="A152" s="517">
        <v>45426.0</v>
      </c>
      <c r="B152" s="526"/>
      <c r="C152" s="526"/>
      <c r="D152" s="526" t="s">
        <v>208</v>
      </c>
      <c r="E152" s="526" t="s">
        <v>204</v>
      </c>
      <c r="F152" s="526">
        <v>1.0</v>
      </c>
      <c r="G152" s="526" t="s">
        <v>7393</v>
      </c>
      <c r="H152" s="526">
        <v>175.0</v>
      </c>
    </row>
    <row r="153" ht="14.25" customHeight="1">
      <c r="A153" s="517">
        <v>45426.0</v>
      </c>
      <c r="B153" s="526"/>
      <c r="C153" s="526"/>
      <c r="D153" s="526" t="s">
        <v>208</v>
      </c>
      <c r="E153" s="526" t="s">
        <v>204</v>
      </c>
      <c r="F153" s="526">
        <v>1.0</v>
      </c>
      <c r="G153" s="526" t="s">
        <v>7393</v>
      </c>
      <c r="H153" s="526">
        <v>175.0</v>
      </c>
    </row>
    <row r="154" ht="14.25" customHeight="1">
      <c r="A154" s="517">
        <v>45426.0</v>
      </c>
      <c r="B154" s="526"/>
      <c r="C154" s="526"/>
      <c r="D154" s="526" t="s">
        <v>208</v>
      </c>
      <c r="E154" s="526" t="s">
        <v>204</v>
      </c>
      <c r="F154" s="526">
        <v>1.0</v>
      </c>
      <c r="G154" s="526" t="s">
        <v>7393</v>
      </c>
      <c r="H154" s="526">
        <v>175.0</v>
      </c>
    </row>
    <row r="155" ht="14.25" customHeight="1">
      <c r="A155" s="517">
        <v>45427.0</v>
      </c>
      <c r="B155" s="532"/>
      <c r="C155" s="532"/>
      <c r="D155" s="526" t="s">
        <v>208</v>
      </c>
      <c r="E155" s="526" t="s">
        <v>204</v>
      </c>
      <c r="F155" s="532">
        <v>1.0</v>
      </c>
      <c r="G155" s="532" t="s">
        <v>7393</v>
      </c>
      <c r="H155" s="532">
        <v>175.0</v>
      </c>
    </row>
    <row r="156" ht="14.25" customHeight="1">
      <c r="A156" s="517">
        <v>45427.0</v>
      </c>
      <c r="B156" s="526"/>
      <c r="C156" s="526"/>
      <c r="D156" s="526" t="s">
        <v>208</v>
      </c>
      <c r="E156" s="526" t="s">
        <v>204</v>
      </c>
      <c r="F156" s="526">
        <v>1.0</v>
      </c>
      <c r="G156" s="526" t="s">
        <v>7393</v>
      </c>
      <c r="H156" s="526">
        <v>175.0</v>
      </c>
    </row>
    <row r="157" ht="14.25" customHeight="1">
      <c r="A157" s="517">
        <v>45427.0</v>
      </c>
      <c r="B157" s="526"/>
      <c r="C157" s="526"/>
      <c r="D157" s="526" t="s">
        <v>208</v>
      </c>
      <c r="E157" s="526" t="s">
        <v>204</v>
      </c>
      <c r="F157" s="526">
        <v>1.0</v>
      </c>
      <c r="G157" s="526" t="s">
        <v>7393</v>
      </c>
      <c r="H157" s="526">
        <v>175.0</v>
      </c>
    </row>
    <row r="158" ht="14.25" customHeight="1">
      <c r="A158" s="517">
        <v>45428.0</v>
      </c>
      <c r="B158" s="526"/>
      <c r="C158" s="526"/>
      <c r="D158" s="526" t="s">
        <v>208</v>
      </c>
      <c r="E158" s="526" t="s">
        <v>204</v>
      </c>
      <c r="F158" s="526">
        <v>1.0</v>
      </c>
      <c r="G158" s="526" t="s">
        <v>7393</v>
      </c>
      <c r="H158" s="526">
        <v>175.0</v>
      </c>
    </row>
    <row r="159" ht="14.25" customHeight="1">
      <c r="A159" s="517">
        <v>45428.0</v>
      </c>
      <c r="B159" s="526"/>
      <c r="C159" s="526"/>
      <c r="D159" s="526" t="s">
        <v>208</v>
      </c>
      <c r="E159" s="526" t="s">
        <v>204</v>
      </c>
      <c r="F159" s="526">
        <v>1.0</v>
      </c>
      <c r="G159" s="526" t="s">
        <v>7393</v>
      </c>
      <c r="H159" s="526">
        <v>175.0</v>
      </c>
    </row>
    <row r="160" ht="14.25" customHeight="1">
      <c r="A160" s="517">
        <v>45430.0</v>
      </c>
      <c r="B160" s="534" t="s">
        <v>7554</v>
      </c>
      <c r="C160" s="529" t="s">
        <v>7585</v>
      </c>
      <c r="D160" s="529" t="s">
        <v>208</v>
      </c>
      <c r="E160" s="526" t="s">
        <v>6906</v>
      </c>
      <c r="F160" s="526">
        <v>1.0</v>
      </c>
      <c r="G160" s="526" t="s">
        <v>7393</v>
      </c>
      <c r="H160" s="526">
        <v>175.0</v>
      </c>
    </row>
    <row r="161" ht="14.25" customHeight="1">
      <c r="A161" s="517">
        <v>45431.0</v>
      </c>
      <c r="B161" s="534" t="s">
        <v>7586</v>
      </c>
      <c r="C161" s="534" t="s">
        <v>7587</v>
      </c>
      <c r="D161" s="529" t="s">
        <v>208</v>
      </c>
      <c r="E161" s="526" t="s">
        <v>204</v>
      </c>
      <c r="F161" s="526">
        <v>1.0</v>
      </c>
      <c r="G161" s="526" t="s">
        <v>7393</v>
      </c>
      <c r="H161" s="526">
        <v>175.0</v>
      </c>
    </row>
    <row r="162" ht="14.25" customHeight="1">
      <c r="A162" s="517">
        <v>45432.0</v>
      </c>
      <c r="B162" s="526" t="s">
        <v>2772</v>
      </c>
      <c r="C162" s="526" t="s">
        <v>7588</v>
      </c>
      <c r="D162" s="529" t="s">
        <v>208</v>
      </c>
      <c r="E162" s="526" t="s">
        <v>204</v>
      </c>
      <c r="F162" s="526">
        <v>1.0</v>
      </c>
      <c r="G162" s="526" t="s">
        <v>7393</v>
      </c>
      <c r="H162" s="526">
        <v>175.0</v>
      </c>
    </row>
    <row r="163" ht="14.25" customHeight="1">
      <c r="A163" s="517">
        <v>45433.0</v>
      </c>
      <c r="B163" s="526" t="s">
        <v>2623</v>
      </c>
      <c r="C163" s="526" t="s">
        <v>7589</v>
      </c>
      <c r="D163" s="529" t="s">
        <v>208</v>
      </c>
      <c r="E163" s="526" t="s">
        <v>204</v>
      </c>
      <c r="F163" s="526">
        <v>1.0</v>
      </c>
      <c r="G163" s="526" t="s">
        <v>7393</v>
      </c>
      <c r="H163" s="526">
        <v>175.0</v>
      </c>
    </row>
    <row r="164" ht="14.25" customHeight="1">
      <c r="A164" s="517">
        <v>45433.0</v>
      </c>
      <c r="B164" s="526" t="s">
        <v>2561</v>
      </c>
      <c r="C164" s="526" t="s">
        <v>7590</v>
      </c>
      <c r="D164" s="529" t="s">
        <v>208</v>
      </c>
      <c r="E164" s="526" t="s">
        <v>204</v>
      </c>
      <c r="F164" s="526">
        <v>1.0</v>
      </c>
      <c r="G164" s="526" t="s">
        <v>7393</v>
      </c>
      <c r="H164" s="526">
        <v>175.0</v>
      </c>
    </row>
    <row r="165" ht="14.25" customHeight="1">
      <c r="A165" s="517">
        <v>45433.0</v>
      </c>
      <c r="B165" s="526" t="s">
        <v>7591</v>
      </c>
      <c r="C165" s="526" t="s">
        <v>7592</v>
      </c>
      <c r="D165" s="529" t="s">
        <v>162</v>
      </c>
      <c r="E165" s="526" t="s">
        <v>7593</v>
      </c>
      <c r="F165" s="526">
        <v>1.0</v>
      </c>
      <c r="G165" s="526" t="s">
        <v>7393</v>
      </c>
      <c r="H165" s="526">
        <v>114.0</v>
      </c>
    </row>
    <row r="166" ht="14.25" customHeight="1">
      <c r="A166" s="517">
        <v>45433.0</v>
      </c>
      <c r="B166" s="526" t="s">
        <v>7594</v>
      </c>
      <c r="C166" s="526" t="s">
        <v>7595</v>
      </c>
      <c r="D166" s="529" t="s">
        <v>162</v>
      </c>
      <c r="E166" s="526" t="s">
        <v>7596</v>
      </c>
      <c r="F166" s="526">
        <v>1.0</v>
      </c>
      <c r="G166" s="526" t="s">
        <v>7393</v>
      </c>
      <c r="H166" s="526">
        <v>114.0</v>
      </c>
    </row>
    <row r="167" ht="14.25" customHeight="1">
      <c r="A167" s="517">
        <v>45433.0</v>
      </c>
      <c r="B167" s="526" t="s">
        <v>7571</v>
      </c>
      <c r="C167" s="526" t="s">
        <v>7597</v>
      </c>
      <c r="D167" s="529" t="s">
        <v>162</v>
      </c>
      <c r="E167" s="526" t="s">
        <v>7596</v>
      </c>
      <c r="F167" s="526">
        <v>1.0</v>
      </c>
      <c r="G167" s="526" t="s">
        <v>7393</v>
      </c>
      <c r="H167" s="526">
        <v>114.0</v>
      </c>
    </row>
    <row r="168" ht="14.25" customHeight="1">
      <c r="A168" s="517">
        <v>45433.0</v>
      </c>
      <c r="B168" s="535" t="s">
        <v>7598</v>
      </c>
      <c r="C168" s="536" t="s">
        <v>7599</v>
      </c>
      <c r="D168" s="529" t="s">
        <v>162</v>
      </c>
      <c r="E168" s="526" t="s">
        <v>7593</v>
      </c>
      <c r="F168" s="526">
        <v>1.0</v>
      </c>
      <c r="G168" s="526" t="s">
        <v>7393</v>
      </c>
      <c r="H168" s="526">
        <v>114.0</v>
      </c>
    </row>
    <row r="169" ht="14.25" customHeight="1">
      <c r="A169" s="517">
        <v>45434.0</v>
      </c>
      <c r="B169" s="526" t="s">
        <v>7600</v>
      </c>
      <c r="C169" s="526"/>
      <c r="D169" s="526" t="s">
        <v>208</v>
      </c>
      <c r="E169" s="526" t="s">
        <v>7564</v>
      </c>
      <c r="F169" s="526">
        <v>1.0</v>
      </c>
      <c r="G169" s="526" t="s">
        <v>7393</v>
      </c>
      <c r="H169" s="526">
        <v>175.0</v>
      </c>
    </row>
    <row r="170" ht="14.25" customHeight="1">
      <c r="A170" s="517">
        <v>45434.0</v>
      </c>
      <c r="B170" s="526" t="s">
        <v>7601</v>
      </c>
      <c r="C170" s="526"/>
      <c r="D170" s="526" t="s">
        <v>208</v>
      </c>
      <c r="E170" s="526" t="s">
        <v>7602</v>
      </c>
      <c r="F170" s="526">
        <v>1.0</v>
      </c>
      <c r="G170" s="526" t="s">
        <v>7393</v>
      </c>
      <c r="H170" s="526">
        <v>175.0</v>
      </c>
    </row>
    <row r="171" ht="14.25" customHeight="1">
      <c r="A171" s="517">
        <v>45434.0</v>
      </c>
      <c r="B171" s="526" t="s">
        <v>2635</v>
      </c>
      <c r="C171" s="526" t="s">
        <v>7603</v>
      </c>
      <c r="D171" s="526" t="s">
        <v>162</v>
      </c>
      <c r="E171" s="526" t="s">
        <v>7596</v>
      </c>
      <c r="F171" s="526">
        <v>1.0</v>
      </c>
      <c r="G171" s="526" t="s">
        <v>7393</v>
      </c>
      <c r="H171" s="526">
        <v>114.0</v>
      </c>
    </row>
    <row r="172" ht="14.25" customHeight="1">
      <c r="A172" s="517">
        <v>45436.0</v>
      </c>
      <c r="B172" s="526" t="s">
        <v>2550</v>
      </c>
      <c r="C172" s="526" t="s">
        <v>7604</v>
      </c>
      <c r="D172" s="526" t="s">
        <v>208</v>
      </c>
      <c r="E172" s="526" t="s">
        <v>7602</v>
      </c>
      <c r="F172" s="526">
        <v>1.0</v>
      </c>
      <c r="G172" s="526" t="s">
        <v>7393</v>
      </c>
      <c r="H172" s="526">
        <v>175.0</v>
      </c>
    </row>
    <row r="173" ht="14.25" customHeight="1">
      <c r="A173" s="517">
        <v>45436.0</v>
      </c>
      <c r="B173" s="526" t="s">
        <v>2768</v>
      </c>
      <c r="C173" s="526" t="s">
        <v>7605</v>
      </c>
      <c r="D173" s="537" t="s">
        <v>208</v>
      </c>
      <c r="E173" s="526" t="s">
        <v>7602</v>
      </c>
      <c r="F173" s="526">
        <v>1.0</v>
      </c>
      <c r="G173" s="526" t="s">
        <v>7393</v>
      </c>
      <c r="H173" s="526">
        <v>175.0</v>
      </c>
    </row>
    <row r="174" ht="14.25" customHeight="1">
      <c r="A174" s="517">
        <v>45438.0</v>
      </c>
      <c r="B174" s="526" t="s">
        <v>7554</v>
      </c>
      <c r="C174" s="526" t="s">
        <v>7606</v>
      </c>
      <c r="D174" s="537" t="s">
        <v>162</v>
      </c>
      <c r="E174" s="526"/>
      <c r="F174" s="526">
        <v>1.0</v>
      </c>
      <c r="G174" s="526" t="s">
        <v>7393</v>
      </c>
      <c r="H174" s="526">
        <v>114.0</v>
      </c>
    </row>
    <row r="175" ht="14.25" customHeight="1">
      <c r="A175" s="517">
        <v>45438.0</v>
      </c>
      <c r="B175" s="526" t="s">
        <v>7429</v>
      </c>
      <c r="C175" s="526" t="s">
        <v>7607</v>
      </c>
      <c r="D175" s="526" t="s">
        <v>8732</v>
      </c>
      <c r="E175" s="526"/>
      <c r="F175" s="526">
        <v>1.0</v>
      </c>
      <c r="G175" s="526" t="s">
        <v>7393</v>
      </c>
      <c r="H175" s="526">
        <v>115.0</v>
      </c>
    </row>
    <row r="176" ht="14.25" customHeight="1">
      <c r="A176" s="517">
        <v>45438.0</v>
      </c>
      <c r="B176" s="526" t="s">
        <v>7608</v>
      </c>
      <c r="C176" s="526" t="s">
        <v>7609</v>
      </c>
      <c r="D176" s="537" t="s">
        <v>208</v>
      </c>
      <c r="E176" s="526" t="s">
        <v>7602</v>
      </c>
      <c r="F176" s="526">
        <v>1.0</v>
      </c>
      <c r="G176" s="526" t="s">
        <v>7393</v>
      </c>
      <c r="H176" s="526">
        <v>175.0</v>
      </c>
    </row>
    <row r="177" ht="14.25" customHeight="1">
      <c r="A177" s="517">
        <v>45438.0</v>
      </c>
      <c r="B177" s="538" t="s">
        <v>2561</v>
      </c>
      <c r="C177" s="526" t="s">
        <v>7610</v>
      </c>
      <c r="D177" s="526" t="s">
        <v>8711</v>
      </c>
      <c r="E177" s="526"/>
      <c r="F177" s="526">
        <v>1.0</v>
      </c>
      <c r="G177" s="526" t="s">
        <v>7393</v>
      </c>
      <c r="H177" s="526">
        <v>85.0</v>
      </c>
    </row>
    <row r="178" ht="14.25" customHeight="1">
      <c r="A178" s="517">
        <v>45438.0</v>
      </c>
      <c r="B178" s="526" t="s">
        <v>7612</v>
      </c>
      <c r="C178" s="526" t="s">
        <v>7613</v>
      </c>
      <c r="D178" s="526" t="s">
        <v>8747</v>
      </c>
      <c r="E178" s="526"/>
      <c r="F178" s="526">
        <v>1.0</v>
      </c>
      <c r="G178" s="526" t="s">
        <v>7393</v>
      </c>
      <c r="H178" s="526">
        <v>115.0</v>
      </c>
    </row>
    <row r="179" ht="14.25" customHeight="1">
      <c r="A179" s="517">
        <v>45438.0</v>
      </c>
      <c r="B179" s="526" t="s">
        <v>2566</v>
      </c>
      <c r="C179" s="526" t="s">
        <v>7614</v>
      </c>
      <c r="D179" s="526" t="s">
        <v>8736</v>
      </c>
      <c r="E179" s="526"/>
      <c r="F179" s="526">
        <v>1.0</v>
      </c>
      <c r="G179" s="526" t="s">
        <v>7393</v>
      </c>
      <c r="H179" s="526">
        <v>114.0</v>
      </c>
    </row>
    <row r="180" ht="14.25" customHeight="1">
      <c r="A180" s="517">
        <v>45438.0</v>
      </c>
      <c r="B180" s="526" t="s">
        <v>7417</v>
      </c>
      <c r="C180" s="526" t="s">
        <v>7615</v>
      </c>
      <c r="D180" s="526" t="s">
        <v>8736</v>
      </c>
      <c r="E180" s="526"/>
      <c r="F180" s="526">
        <v>1.0</v>
      </c>
      <c r="G180" s="526" t="s">
        <v>7393</v>
      </c>
      <c r="H180" s="526">
        <v>115.0</v>
      </c>
    </row>
    <row r="181" ht="14.25" customHeight="1">
      <c r="A181" s="517">
        <v>45439.0</v>
      </c>
      <c r="B181" s="526" t="s">
        <v>7616</v>
      </c>
      <c r="C181" s="526" t="s">
        <v>7617</v>
      </c>
      <c r="D181" s="526" t="s">
        <v>8761</v>
      </c>
      <c r="E181" s="526"/>
      <c r="F181" s="526">
        <v>1.0</v>
      </c>
      <c r="G181" s="526" t="s">
        <v>7393</v>
      </c>
      <c r="H181" s="526">
        <v>175.0</v>
      </c>
    </row>
    <row r="182" ht="14.25" customHeight="1">
      <c r="A182" s="517">
        <v>45439.0</v>
      </c>
      <c r="B182" s="529" t="s">
        <v>2845</v>
      </c>
      <c r="C182" s="529" t="s">
        <v>7618</v>
      </c>
      <c r="D182" s="529" t="s">
        <v>8770</v>
      </c>
      <c r="E182" s="529"/>
      <c r="F182" s="515">
        <v>1.0</v>
      </c>
      <c r="G182" s="529" t="s">
        <v>7393</v>
      </c>
      <c r="H182" s="515">
        <v>109.0</v>
      </c>
    </row>
    <row r="183" ht="14.25" customHeight="1">
      <c r="A183" s="539">
        <v>45439.0</v>
      </c>
      <c r="B183" s="540" t="s">
        <v>7619</v>
      </c>
      <c r="C183" s="540" t="s">
        <v>7620</v>
      </c>
      <c r="D183" s="540" t="s">
        <v>8761</v>
      </c>
      <c r="E183" s="540"/>
      <c r="F183" s="516">
        <v>1.0</v>
      </c>
      <c r="G183" s="540" t="s">
        <v>7393</v>
      </c>
      <c r="H183" s="516">
        <v>175.0</v>
      </c>
    </row>
    <row r="184" ht="14.25" customHeight="1">
      <c r="A184" s="539">
        <v>45439.0</v>
      </c>
      <c r="B184" s="540" t="s">
        <v>7621</v>
      </c>
      <c r="C184" s="540" t="s">
        <v>7622</v>
      </c>
      <c r="D184" s="540" t="s">
        <v>8761</v>
      </c>
      <c r="E184" s="540"/>
      <c r="F184" s="516">
        <v>1.0</v>
      </c>
      <c r="G184" s="540" t="s">
        <v>7393</v>
      </c>
      <c r="H184" s="516">
        <v>175.0</v>
      </c>
    </row>
    <row r="185" ht="14.25" customHeight="1">
      <c r="A185" s="539">
        <v>45439.0</v>
      </c>
      <c r="B185" s="540" t="s">
        <v>2566</v>
      </c>
      <c r="C185" s="540" t="s">
        <v>7623</v>
      </c>
      <c r="D185" s="540" t="s">
        <v>8761</v>
      </c>
      <c r="E185" s="540"/>
      <c r="F185" s="516">
        <v>1.0</v>
      </c>
      <c r="G185" s="540" t="s">
        <v>7393</v>
      </c>
      <c r="H185" s="516">
        <v>175.0</v>
      </c>
    </row>
    <row r="186" ht="14.25" customHeight="1">
      <c r="A186" s="539">
        <v>45439.0</v>
      </c>
      <c r="B186" s="540" t="s">
        <v>2193</v>
      </c>
      <c r="C186" s="540" t="s">
        <v>7624</v>
      </c>
      <c r="D186" s="540" t="s">
        <v>8771</v>
      </c>
      <c r="E186" s="540"/>
      <c r="F186" s="516">
        <v>1.0</v>
      </c>
      <c r="G186" s="540" t="s">
        <v>7393</v>
      </c>
      <c r="H186" s="516">
        <v>175.0</v>
      </c>
    </row>
    <row r="187" ht="14.25" customHeight="1">
      <c r="A187" s="539">
        <v>45440.0</v>
      </c>
      <c r="B187" s="540" t="s">
        <v>7625</v>
      </c>
      <c r="C187" s="540" t="s">
        <v>7626</v>
      </c>
      <c r="D187" s="540" t="s">
        <v>8771</v>
      </c>
      <c r="E187" s="540"/>
      <c r="F187" s="516">
        <v>1.0</v>
      </c>
      <c r="G187" s="540" t="s">
        <v>7393</v>
      </c>
      <c r="H187" s="516">
        <v>175.0</v>
      </c>
    </row>
    <row r="188" ht="14.25" customHeight="1">
      <c r="A188" s="539">
        <v>45440.0</v>
      </c>
      <c r="B188" s="540" t="s">
        <v>7429</v>
      </c>
      <c r="C188" s="540" t="s">
        <v>7627</v>
      </c>
      <c r="D188" s="540" t="s">
        <v>162</v>
      </c>
      <c r="E188" s="540" t="s">
        <v>7628</v>
      </c>
      <c r="F188" s="516">
        <v>1.0</v>
      </c>
      <c r="G188" s="540" t="s">
        <v>7393</v>
      </c>
      <c r="H188" s="516">
        <v>81.3</v>
      </c>
    </row>
    <row r="189" ht="14.25" customHeight="1">
      <c r="A189" s="539">
        <v>45440.0</v>
      </c>
      <c r="B189" s="540" t="s">
        <v>7515</v>
      </c>
      <c r="C189" s="540" t="s">
        <v>7629</v>
      </c>
      <c r="D189" s="540" t="s">
        <v>162</v>
      </c>
      <c r="E189" s="540" t="s">
        <v>7630</v>
      </c>
      <c r="F189" s="516">
        <v>1.0</v>
      </c>
      <c r="G189" s="540" t="s">
        <v>7393</v>
      </c>
      <c r="H189" s="516">
        <v>115.0</v>
      </c>
    </row>
    <row r="190" ht="14.25" customHeight="1">
      <c r="A190" s="539">
        <v>45441.0</v>
      </c>
      <c r="B190" s="540" t="s">
        <v>7621</v>
      </c>
      <c r="C190" s="540" t="s">
        <v>7631</v>
      </c>
      <c r="D190" s="540" t="s">
        <v>8769</v>
      </c>
      <c r="E190" s="540"/>
      <c r="F190" s="516">
        <v>1.0</v>
      </c>
      <c r="G190" s="540" t="s">
        <v>7393</v>
      </c>
      <c r="H190" s="516">
        <v>55.0</v>
      </c>
    </row>
    <row r="191" ht="14.25" customHeight="1">
      <c r="A191" s="539">
        <v>45441.0</v>
      </c>
      <c r="B191" s="540" t="s">
        <v>2823</v>
      </c>
      <c r="C191" s="540" t="s">
        <v>7632</v>
      </c>
      <c r="D191" s="540" t="s">
        <v>8763</v>
      </c>
      <c r="E191" s="540"/>
      <c r="F191" s="516">
        <v>2.0</v>
      </c>
      <c r="G191" s="540" t="s">
        <v>7393</v>
      </c>
      <c r="H191" s="516">
        <v>225.0</v>
      </c>
    </row>
    <row r="192" ht="14.25" customHeight="1">
      <c r="A192" s="539">
        <v>45442.0</v>
      </c>
      <c r="B192" s="540" t="s">
        <v>7396</v>
      </c>
      <c r="C192" s="540" t="s">
        <v>7634</v>
      </c>
      <c r="D192" s="540" t="s">
        <v>162</v>
      </c>
      <c r="E192" s="540" t="s">
        <v>7596</v>
      </c>
      <c r="F192" s="516">
        <v>1.0</v>
      </c>
      <c r="G192" s="540" t="s">
        <v>7393</v>
      </c>
      <c r="H192" s="516">
        <v>114.0</v>
      </c>
    </row>
    <row r="193" ht="14.25" customHeight="1">
      <c r="A193" s="539">
        <v>45443.0</v>
      </c>
      <c r="B193" s="540" t="s">
        <v>7635</v>
      </c>
      <c r="C193" s="540" t="s">
        <v>7636</v>
      </c>
      <c r="D193" s="540" t="s">
        <v>162</v>
      </c>
      <c r="E193" s="540" t="s">
        <v>7596</v>
      </c>
      <c r="F193" s="516">
        <v>1.0</v>
      </c>
      <c r="G193" s="540" t="s">
        <v>7393</v>
      </c>
      <c r="H193" s="516">
        <v>114.0</v>
      </c>
    </row>
    <row r="194" ht="14.25" customHeight="1">
      <c r="A194" s="539">
        <v>45443.0</v>
      </c>
      <c r="B194" s="540" t="s">
        <v>7637</v>
      </c>
      <c r="C194" s="540" t="s">
        <v>7638</v>
      </c>
      <c r="D194" s="540" t="s">
        <v>162</v>
      </c>
      <c r="E194" s="540" t="s">
        <v>7596</v>
      </c>
      <c r="F194" s="516">
        <v>1.0</v>
      </c>
      <c r="G194" s="540" t="s">
        <v>7393</v>
      </c>
      <c r="H194" s="516">
        <v>109.0</v>
      </c>
    </row>
    <row r="195" ht="14.25" customHeight="1">
      <c r="A195" s="505" t="s">
        <v>8772</v>
      </c>
      <c r="B195" s="511"/>
      <c r="C195" s="511"/>
      <c r="D195" s="511"/>
      <c r="E195" s="512"/>
      <c r="F195" s="512">
        <f>SUM(F196:F254)</f>
        <v>62</v>
      </c>
      <c r="G195" s="511"/>
      <c r="H195" s="512">
        <f>SUM(H196:H254)</f>
        <v>7814.5</v>
      </c>
    </row>
    <row r="196" ht="14.25" customHeight="1">
      <c r="A196" s="517">
        <v>45444.0</v>
      </c>
      <c r="B196" s="534" t="s">
        <v>2561</v>
      </c>
      <c r="C196" s="529" t="s">
        <v>7639</v>
      </c>
      <c r="D196" s="526" t="s">
        <v>162</v>
      </c>
      <c r="E196" s="526" t="s">
        <v>7640</v>
      </c>
      <c r="F196" s="526">
        <v>1.0</v>
      </c>
      <c r="G196" s="526" t="s">
        <v>7393</v>
      </c>
      <c r="H196" s="526">
        <v>114.0</v>
      </c>
    </row>
    <row r="197" ht="14.25" customHeight="1">
      <c r="A197" s="517">
        <v>45444.0</v>
      </c>
      <c r="B197" s="541" t="s">
        <v>2623</v>
      </c>
      <c r="C197" s="540" t="s">
        <v>7641</v>
      </c>
      <c r="D197" s="526" t="s">
        <v>208</v>
      </c>
      <c r="E197" s="526" t="s">
        <v>204</v>
      </c>
      <c r="F197" s="526">
        <v>1.0</v>
      </c>
      <c r="G197" s="526" t="s">
        <v>7393</v>
      </c>
      <c r="H197" s="526">
        <v>170.0</v>
      </c>
    </row>
    <row r="198" ht="14.25" customHeight="1">
      <c r="A198" s="517">
        <v>45445.0</v>
      </c>
      <c r="B198" s="541" t="s">
        <v>2607</v>
      </c>
      <c r="C198" s="540" t="s">
        <v>7642</v>
      </c>
      <c r="D198" s="526" t="s">
        <v>252</v>
      </c>
      <c r="E198" s="526" t="s">
        <v>7643</v>
      </c>
      <c r="F198" s="526">
        <v>1.0</v>
      </c>
      <c r="G198" s="526" t="s">
        <v>7393</v>
      </c>
      <c r="H198" s="526">
        <v>90.0</v>
      </c>
    </row>
    <row r="199" ht="14.25" customHeight="1">
      <c r="A199" s="517">
        <v>45445.0</v>
      </c>
      <c r="B199" s="541" t="s">
        <v>2594</v>
      </c>
      <c r="C199" s="540" t="s">
        <v>7644</v>
      </c>
      <c r="D199" s="526" t="s">
        <v>208</v>
      </c>
      <c r="E199" s="526" t="s">
        <v>204</v>
      </c>
      <c r="F199" s="526">
        <v>1.0</v>
      </c>
      <c r="G199" s="526" t="s">
        <v>7393</v>
      </c>
      <c r="H199" s="526">
        <v>170.0</v>
      </c>
    </row>
    <row r="200" ht="14.25" customHeight="1">
      <c r="A200" s="517">
        <v>45447.0</v>
      </c>
      <c r="B200" s="526" t="s">
        <v>7645</v>
      </c>
      <c r="C200" s="526" t="s">
        <v>7646</v>
      </c>
      <c r="D200" s="526" t="s">
        <v>162</v>
      </c>
      <c r="E200" s="526" t="s">
        <v>7647</v>
      </c>
      <c r="F200" s="526">
        <v>1.0</v>
      </c>
      <c r="G200" s="526" t="s">
        <v>7393</v>
      </c>
      <c r="H200" s="526">
        <v>115.0</v>
      </c>
    </row>
    <row r="201" ht="14.25" customHeight="1">
      <c r="A201" s="517">
        <v>45447.0</v>
      </c>
      <c r="B201" s="526" t="s">
        <v>2665</v>
      </c>
      <c r="C201" s="526" t="s">
        <v>7648</v>
      </c>
      <c r="D201" s="526" t="s">
        <v>162</v>
      </c>
      <c r="E201" s="526" t="s">
        <v>7649</v>
      </c>
      <c r="F201" s="526">
        <v>1.0</v>
      </c>
      <c r="G201" s="526" t="s">
        <v>7393</v>
      </c>
      <c r="H201" s="526">
        <v>115.0</v>
      </c>
    </row>
    <row r="202" ht="14.25" customHeight="1">
      <c r="A202" s="517">
        <v>45447.0</v>
      </c>
      <c r="B202" s="526" t="s">
        <v>7650</v>
      </c>
      <c r="C202" s="526" t="s">
        <v>7651</v>
      </c>
      <c r="D202" s="526" t="s">
        <v>162</v>
      </c>
      <c r="E202" s="526" t="s">
        <v>7649</v>
      </c>
      <c r="F202" s="526">
        <v>1.0</v>
      </c>
      <c r="G202" s="526" t="s">
        <v>7393</v>
      </c>
      <c r="H202" s="526">
        <v>115.0</v>
      </c>
    </row>
    <row r="203" ht="14.25" customHeight="1">
      <c r="A203" s="517">
        <v>45447.0</v>
      </c>
      <c r="B203" s="526" t="s">
        <v>7559</v>
      </c>
      <c r="C203" s="526" t="s">
        <v>7652</v>
      </c>
      <c r="D203" s="526" t="s">
        <v>162</v>
      </c>
      <c r="E203" s="526" t="s">
        <v>7640</v>
      </c>
      <c r="F203" s="526">
        <v>1.0</v>
      </c>
      <c r="G203" s="526" t="s">
        <v>7393</v>
      </c>
      <c r="H203" s="526">
        <v>114.0</v>
      </c>
    </row>
    <row r="204" ht="14.25" customHeight="1">
      <c r="A204" s="517">
        <v>45448.0</v>
      </c>
      <c r="B204" s="526" t="s">
        <v>2561</v>
      </c>
      <c r="C204" s="526" t="s">
        <v>7410</v>
      </c>
      <c r="D204" s="526" t="s">
        <v>162</v>
      </c>
      <c r="E204" s="526" t="s">
        <v>7649</v>
      </c>
      <c r="F204" s="526">
        <v>1.0</v>
      </c>
      <c r="G204" s="526" t="s">
        <v>7393</v>
      </c>
      <c r="H204" s="526">
        <v>115.0</v>
      </c>
    </row>
    <row r="205" ht="14.25" customHeight="1">
      <c r="A205" s="517">
        <v>45448.0</v>
      </c>
      <c r="B205" s="526" t="s">
        <v>7653</v>
      </c>
      <c r="C205" s="526" t="s">
        <v>7654</v>
      </c>
      <c r="D205" s="526" t="s">
        <v>208</v>
      </c>
      <c r="E205" s="526" t="s">
        <v>204</v>
      </c>
      <c r="F205" s="526">
        <v>1.0</v>
      </c>
      <c r="G205" s="526" t="s">
        <v>7393</v>
      </c>
      <c r="H205" s="526">
        <v>175.0</v>
      </c>
    </row>
    <row r="206" ht="14.25" customHeight="1">
      <c r="A206" s="517">
        <v>45448.0</v>
      </c>
      <c r="B206" s="526" t="s">
        <v>7655</v>
      </c>
      <c r="C206" s="526" t="s">
        <v>7656</v>
      </c>
      <c r="D206" s="526" t="s">
        <v>162</v>
      </c>
      <c r="E206" s="526" t="s">
        <v>7647</v>
      </c>
      <c r="F206" s="526">
        <v>1.0</v>
      </c>
      <c r="G206" s="526" t="s">
        <v>7393</v>
      </c>
      <c r="H206" s="526">
        <v>115.0</v>
      </c>
    </row>
    <row r="207" ht="14.25" customHeight="1">
      <c r="A207" s="517">
        <v>45449.0</v>
      </c>
      <c r="B207" s="526" t="s">
        <v>7657</v>
      </c>
      <c r="C207" s="526" t="s">
        <v>7658</v>
      </c>
      <c r="D207" s="526" t="s">
        <v>162</v>
      </c>
      <c r="E207" s="526" t="s">
        <v>7647</v>
      </c>
      <c r="F207" s="526">
        <v>1.0</v>
      </c>
      <c r="G207" s="526" t="s">
        <v>7393</v>
      </c>
      <c r="H207" s="526">
        <v>115.0</v>
      </c>
    </row>
    <row r="208" ht="14.25" customHeight="1">
      <c r="A208" s="517">
        <v>45449.0</v>
      </c>
      <c r="B208" s="526" t="s">
        <v>7659</v>
      </c>
      <c r="C208" s="526" t="s">
        <v>7660</v>
      </c>
      <c r="D208" s="526" t="s">
        <v>8725</v>
      </c>
      <c r="E208" s="526"/>
      <c r="F208" s="526">
        <v>2.0</v>
      </c>
      <c r="G208" s="526" t="s">
        <v>7393</v>
      </c>
      <c r="H208" s="526">
        <v>200.0</v>
      </c>
    </row>
    <row r="209" ht="14.25" customHeight="1">
      <c r="A209" s="517">
        <v>45449.0</v>
      </c>
      <c r="B209" s="526" t="s">
        <v>7661</v>
      </c>
      <c r="C209" s="526" t="s">
        <v>7662</v>
      </c>
      <c r="D209" s="526" t="s">
        <v>8724</v>
      </c>
      <c r="E209" s="526"/>
      <c r="F209" s="526">
        <v>2.0</v>
      </c>
      <c r="G209" s="526" t="s">
        <v>7393</v>
      </c>
      <c r="H209" s="526">
        <v>200.0</v>
      </c>
    </row>
    <row r="210" ht="14.25" customHeight="1">
      <c r="A210" s="517">
        <v>45450.0</v>
      </c>
      <c r="B210" s="526" t="s">
        <v>7663</v>
      </c>
      <c r="C210" s="526" t="s">
        <v>7664</v>
      </c>
      <c r="D210" s="526" t="s">
        <v>208</v>
      </c>
      <c r="E210" s="526" t="s">
        <v>204</v>
      </c>
      <c r="F210" s="526">
        <v>1.0</v>
      </c>
      <c r="G210" s="526" t="s">
        <v>7393</v>
      </c>
      <c r="H210" s="526">
        <v>175.0</v>
      </c>
    </row>
    <row r="211" ht="14.25" customHeight="1">
      <c r="A211" s="517">
        <v>45450.0</v>
      </c>
      <c r="B211" s="526" t="s">
        <v>7446</v>
      </c>
      <c r="C211" s="526" t="s">
        <v>7665</v>
      </c>
      <c r="D211" s="526" t="s">
        <v>162</v>
      </c>
      <c r="E211" s="526" t="s">
        <v>7666</v>
      </c>
      <c r="F211" s="526">
        <v>1.0</v>
      </c>
      <c r="G211" s="526" t="s">
        <v>7393</v>
      </c>
      <c r="H211" s="526">
        <v>114.0</v>
      </c>
    </row>
    <row r="212" ht="14.25" customHeight="1">
      <c r="A212" s="517">
        <v>45450.0</v>
      </c>
      <c r="B212" s="526" t="s">
        <v>2441</v>
      </c>
      <c r="C212" s="526" t="s">
        <v>7667</v>
      </c>
      <c r="D212" s="526" t="s">
        <v>162</v>
      </c>
      <c r="E212" s="526" t="s">
        <v>7668</v>
      </c>
      <c r="F212" s="526">
        <v>1.0</v>
      </c>
      <c r="G212" s="526" t="s">
        <v>7393</v>
      </c>
      <c r="H212" s="526">
        <v>115.0</v>
      </c>
    </row>
    <row r="213" ht="14.25" customHeight="1">
      <c r="A213" s="517">
        <v>45450.0</v>
      </c>
      <c r="B213" s="526" t="s">
        <v>2685</v>
      </c>
      <c r="C213" s="526" t="s">
        <v>7669</v>
      </c>
      <c r="D213" s="526" t="s">
        <v>208</v>
      </c>
      <c r="E213" s="526" t="s">
        <v>6906</v>
      </c>
      <c r="F213" s="526">
        <v>1.0</v>
      </c>
      <c r="G213" s="526" t="s">
        <v>7393</v>
      </c>
      <c r="H213" s="526">
        <v>175.0</v>
      </c>
    </row>
    <row r="214" ht="14.25" customHeight="1">
      <c r="A214" s="517">
        <v>45451.0</v>
      </c>
      <c r="B214" s="526" t="s">
        <v>7396</v>
      </c>
      <c r="C214" s="526" t="s">
        <v>7670</v>
      </c>
      <c r="D214" s="526" t="s">
        <v>208</v>
      </c>
      <c r="E214" s="526" t="s">
        <v>204</v>
      </c>
      <c r="F214" s="526">
        <v>1.0</v>
      </c>
      <c r="G214" s="526" t="s">
        <v>7393</v>
      </c>
      <c r="H214" s="526">
        <v>175.0</v>
      </c>
    </row>
    <row r="215" ht="14.25" customHeight="1">
      <c r="A215" s="517">
        <v>45452.0</v>
      </c>
      <c r="B215" s="526" t="s">
        <v>7671</v>
      </c>
      <c r="C215" s="526"/>
      <c r="D215" s="526" t="s">
        <v>162</v>
      </c>
      <c r="E215" s="526" t="s">
        <v>7647</v>
      </c>
      <c r="F215" s="526">
        <v>1.0</v>
      </c>
      <c r="G215" s="526" t="s">
        <v>7393</v>
      </c>
      <c r="H215" s="526">
        <v>115.0</v>
      </c>
    </row>
    <row r="216" ht="14.25" customHeight="1">
      <c r="A216" s="517">
        <v>45453.0</v>
      </c>
      <c r="B216" s="526" t="s">
        <v>7657</v>
      </c>
      <c r="C216" s="526" t="s">
        <v>7658</v>
      </c>
      <c r="D216" s="526" t="s">
        <v>162</v>
      </c>
      <c r="E216" s="526" t="s">
        <v>7668</v>
      </c>
      <c r="F216" s="526">
        <v>1.0</v>
      </c>
      <c r="G216" s="526" t="s">
        <v>7393</v>
      </c>
      <c r="H216" s="526">
        <v>115.0</v>
      </c>
    </row>
    <row r="217" ht="14.25" customHeight="1">
      <c r="A217" s="517">
        <v>45454.0</v>
      </c>
      <c r="B217" s="526" t="s">
        <v>7672</v>
      </c>
      <c r="C217" s="526" t="s">
        <v>7673</v>
      </c>
      <c r="D217" s="526" t="s">
        <v>162</v>
      </c>
      <c r="E217" s="526" t="s">
        <v>7647</v>
      </c>
      <c r="F217" s="526">
        <v>1.0</v>
      </c>
      <c r="G217" s="526" t="s">
        <v>7393</v>
      </c>
      <c r="H217" s="526">
        <v>110.0</v>
      </c>
    </row>
    <row r="218" ht="14.25" customHeight="1">
      <c r="A218" s="517">
        <v>45455.0</v>
      </c>
      <c r="B218" s="526" t="s">
        <v>2547</v>
      </c>
      <c r="C218" s="526" t="s">
        <v>7674</v>
      </c>
      <c r="D218" s="526" t="s">
        <v>162</v>
      </c>
      <c r="E218" s="526" t="s">
        <v>7675</v>
      </c>
      <c r="F218" s="526">
        <v>1.0</v>
      </c>
      <c r="G218" s="526" t="s">
        <v>7393</v>
      </c>
      <c r="H218" s="526">
        <v>100.0</v>
      </c>
    </row>
    <row r="219" ht="14.25" customHeight="1">
      <c r="A219" s="517">
        <v>45455.0</v>
      </c>
      <c r="B219" s="526" t="s">
        <v>7676</v>
      </c>
      <c r="C219" s="526" t="s">
        <v>7677</v>
      </c>
      <c r="D219" s="526" t="s">
        <v>208</v>
      </c>
      <c r="E219" s="526" t="s">
        <v>204</v>
      </c>
      <c r="F219" s="526">
        <v>1.0</v>
      </c>
      <c r="G219" s="526" t="s">
        <v>7393</v>
      </c>
      <c r="H219" s="526">
        <v>175.0</v>
      </c>
    </row>
    <row r="220" ht="14.25" customHeight="1">
      <c r="A220" s="517">
        <v>45455.0</v>
      </c>
      <c r="B220" s="526" t="s">
        <v>7678</v>
      </c>
      <c r="C220" s="526" t="s">
        <v>7679</v>
      </c>
      <c r="D220" s="526" t="s">
        <v>2563</v>
      </c>
      <c r="E220" s="526" t="s">
        <v>7680</v>
      </c>
      <c r="F220" s="526">
        <v>1.0</v>
      </c>
      <c r="G220" s="526" t="s">
        <v>7393</v>
      </c>
      <c r="H220" s="526">
        <v>75.0</v>
      </c>
    </row>
    <row r="221" ht="14.25" customHeight="1">
      <c r="A221" s="517">
        <v>45455.0</v>
      </c>
      <c r="B221" s="526" t="s">
        <v>7681</v>
      </c>
      <c r="C221" s="526" t="s">
        <v>7682</v>
      </c>
      <c r="D221" s="526" t="s">
        <v>208</v>
      </c>
      <c r="E221" s="526" t="s">
        <v>204</v>
      </c>
      <c r="F221" s="526">
        <v>1.0</v>
      </c>
      <c r="G221" s="526" t="s">
        <v>7393</v>
      </c>
      <c r="H221" s="526">
        <v>175.0</v>
      </c>
    </row>
    <row r="222" ht="14.25" customHeight="1">
      <c r="A222" s="517">
        <v>45455.0</v>
      </c>
      <c r="B222" s="526" t="s">
        <v>7683</v>
      </c>
      <c r="C222" s="526" t="s">
        <v>7684</v>
      </c>
      <c r="D222" s="526" t="s">
        <v>162</v>
      </c>
      <c r="E222" s="526" t="s">
        <v>7685</v>
      </c>
      <c r="F222" s="526">
        <v>1.0</v>
      </c>
      <c r="G222" s="526" t="s">
        <v>7393</v>
      </c>
      <c r="H222" s="526">
        <v>115.0</v>
      </c>
    </row>
    <row r="223" ht="14.25" customHeight="1">
      <c r="A223" s="517">
        <v>45455.0</v>
      </c>
      <c r="B223" s="526" t="s">
        <v>2572</v>
      </c>
      <c r="C223" s="526" t="s">
        <v>7686</v>
      </c>
      <c r="D223" s="526" t="s">
        <v>8757</v>
      </c>
      <c r="E223" s="526" t="s">
        <v>204</v>
      </c>
      <c r="F223" s="526">
        <v>1.0</v>
      </c>
      <c r="G223" s="526" t="s">
        <v>7393</v>
      </c>
      <c r="H223" s="526">
        <v>175.0</v>
      </c>
    </row>
    <row r="224" ht="14.25" customHeight="1">
      <c r="A224" s="517">
        <v>45456.0</v>
      </c>
      <c r="B224" s="526" t="s">
        <v>7687</v>
      </c>
      <c r="C224" s="526" t="s">
        <v>7688</v>
      </c>
      <c r="D224" s="526" t="s">
        <v>8757</v>
      </c>
      <c r="E224" s="526" t="s">
        <v>204</v>
      </c>
      <c r="F224" s="526">
        <v>1.0</v>
      </c>
      <c r="G224" s="526" t="s">
        <v>7393</v>
      </c>
      <c r="H224" s="526">
        <v>175.0</v>
      </c>
    </row>
    <row r="225" ht="14.25" customHeight="1">
      <c r="A225" s="517">
        <v>45456.0</v>
      </c>
      <c r="B225" s="526" t="s">
        <v>7689</v>
      </c>
      <c r="C225" s="526" t="s">
        <v>7690</v>
      </c>
      <c r="D225" s="526" t="s">
        <v>162</v>
      </c>
      <c r="E225" s="526" t="s">
        <v>7685</v>
      </c>
      <c r="F225" s="526">
        <v>1.0</v>
      </c>
      <c r="G225" s="526" t="s">
        <v>7393</v>
      </c>
      <c r="H225" s="526">
        <v>115.0</v>
      </c>
    </row>
    <row r="226" ht="14.25" customHeight="1">
      <c r="A226" s="517">
        <v>45457.0</v>
      </c>
      <c r="B226" s="526" t="s">
        <v>7691</v>
      </c>
      <c r="C226" s="526" t="s">
        <v>7692</v>
      </c>
      <c r="D226" s="526" t="s">
        <v>162</v>
      </c>
      <c r="E226" s="526" t="s">
        <v>7685</v>
      </c>
      <c r="F226" s="526">
        <v>1.0</v>
      </c>
      <c r="G226" s="526" t="s">
        <v>7393</v>
      </c>
      <c r="H226" s="526">
        <v>105.0</v>
      </c>
    </row>
    <row r="227" ht="14.25" customHeight="1">
      <c r="A227" s="517">
        <v>45458.0</v>
      </c>
      <c r="B227" s="526" t="s">
        <v>2665</v>
      </c>
      <c r="C227" s="526" t="s">
        <v>7693</v>
      </c>
      <c r="D227" s="526" t="s">
        <v>252</v>
      </c>
      <c r="E227" s="526" t="s">
        <v>7694</v>
      </c>
      <c r="F227" s="526">
        <v>1.0</v>
      </c>
      <c r="G227" s="526" t="s">
        <v>7393</v>
      </c>
      <c r="H227" s="526">
        <v>85.0</v>
      </c>
    </row>
    <row r="228" ht="14.25" customHeight="1">
      <c r="A228" s="517">
        <v>45461.0</v>
      </c>
      <c r="B228" s="526" t="s">
        <v>2604</v>
      </c>
      <c r="C228" s="526" t="s">
        <v>7695</v>
      </c>
      <c r="D228" s="526" t="s">
        <v>8757</v>
      </c>
      <c r="E228" s="526" t="s">
        <v>6906</v>
      </c>
      <c r="F228" s="526">
        <v>1.0</v>
      </c>
      <c r="G228" s="526" t="s">
        <v>7393</v>
      </c>
      <c r="H228" s="526">
        <v>175.0</v>
      </c>
    </row>
    <row r="229" ht="14.25" customHeight="1">
      <c r="A229" s="517">
        <v>45461.0</v>
      </c>
      <c r="B229" s="526" t="s">
        <v>2772</v>
      </c>
      <c r="C229" s="526" t="s">
        <v>7696</v>
      </c>
      <c r="D229" s="526" t="s">
        <v>252</v>
      </c>
      <c r="E229" s="526" t="s">
        <v>2619</v>
      </c>
      <c r="F229" s="526">
        <v>1.0</v>
      </c>
      <c r="G229" s="526" t="s">
        <v>7393</v>
      </c>
      <c r="H229" s="526">
        <v>90.0</v>
      </c>
    </row>
    <row r="230" ht="14.25" customHeight="1">
      <c r="A230" s="517">
        <v>45461.0</v>
      </c>
      <c r="B230" s="526" t="s">
        <v>2823</v>
      </c>
      <c r="C230" s="526" t="s">
        <v>7697</v>
      </c>
      <c r="D230" s="526" t="s">
        <v>8757</v>
      </c>
      <c r="E230" s="526" t="s">
        <v>204</v>
      </c>
      <c r="F230" s="526">
        <v>1.0</v>
      </c>
      <c r="G230" s="526" t="s">
        <v>7393</v>
      </c>
      <c r="H230" s="526">
        <v>175.0</v>
      </c>
    </row>
    <row r="231" ht="14.25" customHeight="1">
      <c r="A231" s="517">
        <v>45462.0</v>
      </c>
      <c r="B231" s="526" t="s">
        <v>7698</v>
      </c>
      <c r="C231" s="526" t="s">
        <v>7699</v>
      </c>
      <c r="D231" s="526" t="s">
        <v>8757</v>
      </c>
      <c r="E231" s="526" t="s">
        <v>204</v>
      </c>
      <c r="F231" s="526">
        <v>1.0</v>
      </c>
      <c r="G231" s="526" t="s">
        <v>7393</v>
      </c>
      <c r="H231" s="526">
        <v>175.0</v>
      </c>
    </row>
    <row r="232" ht="14.25" customHeight="1">
      <c r="A232" s="517">
        <v>45462.0</v>
      </c>
      <c r="B232" s="526" t="s">
        <v>7637</v>
      </c>
      <c r="C232" s="526" t="s">
        <v>7700</v>
      </c>
      <c r="D232" s="526" t="s">
        <v>252</v>
      </c>
      <c r="E232" s="526"/>
      <c r="F232" s="526">
        <v>2.0</v>
      </c>
      <c r="G232" s="526" t="s">
        <v>7393</v>
      </c>
      <c r="H232" s="526">
        <v>175.0</v>
      </c>
    </row>
    <row r="233" ht="14.25" customHeight="1">
      <c r="A233" s="517">
        <v>45463.0</v>
      </c>
      <c r="B233" s="526" t="s">
        <v>7701</v>
      </c>
      <c r="C233" s="526" t="s">
        <v>7702</v>
      </c>
      <c r="D233" s="526" t="s">
        <v>208</v>
      </c>
      <c r="E233" s="526" t="s">
        <v>204</v>
      </c>
      <c r="F233" s="526">
        <v>1.0</v>
      </c>
      <c r="G233" s="526" t="s">
        <v>7393</v>
      </c>
      <c r="H233" s="526">
        <v>175.0</v>
      </c>
    </row>
    <row r="234" ht="14.25" customHeight="1">
      <c r="A234" s="517">
        <v>45464.0</v>
      </c>
      <c r="B234" s="526" t="s">
        <v>7703</v>
      </c>
      <c r="C234" s="526" t="s">
        <v>7704</v>
      </c>
      <c r="D234" s="526" t="s">
        <v>208</v>
      </c>
      <c r="E234" s="526" t="s">
        <v>204</v>
      </c>
      <c r="F234" s="526">
        <v>1.0</v>
      </c>
      <c r="G234" s="526" t="s">
        <v>7393</v>
      </c>
      <c r="H234" s="526">
        <v>175.0</v>
      </c>
    </row>
    <row r="235" ht="14.25" customHeight="1">
      <c r="A235" s="517">
        <v>45465.0</v>
      </c>
      <c r="B235" s="526" t="s">
        <v>2787</v>
      </c>
      <c r="C235" s="526" t="s">
        <v>7705</v>
      </c>
      <c r="D235" s="526" t="s">
        <v>6778</v>
      </c>
      <c r="E235" s="526"/>
      <c r="F235" s="526">
        <v>1.0</v>
      </c>
      <c r="G235" s="526" t="s">
        <v>7393</v>
      </c>
      <c r="H235" s="526">
        <v>95.0</v>
      </c>
    </row>
    <row r="236" ht="14.25" customHeight="1">
      <c r="A236" s="517">
        <v>45465.0</v>
      </c>
      <c r="B236" s="526" t="s">
        <v>2615</v>
      </c>
      <c r="C236" s="526" t="s">
        <v>7706</v>
      </c>
      <c r="D236" s="526" t="s">
        <v>162</v>
      </c>
      <c r="E236" s="526" t="s">
        <v>7707</v>
      </c>
      <c r="F236" s="526">
        <v>1.0</v>
      </c>
      <c r="G236" s="526" t="s">
        <v>7393</v>
      </c>
      <c r="H236" s="526">
        <v>105.0</v>
      </c>
    </row>
    <row r="237" ht="14.25" customHeight="1">
      <c r="A237" s="517">
        <v>45465.0</v>
      </c>
      <c r="B237" s="526" t="s">
        <v>7507</v>
      </c>
      <c r="C237" s="526" t="s">
        <v>7708</v>
      </c>
      <c r="D237" s="526" t="s">
        <v>162</v>
      </c>
      <c r="E237" s="526" t="s">
        <v>7647</v>
      </c>
      <c r="F237" s="526">
        <v>1.0</v>
      </c>
      <c r="G237" s="526" t="s">
        <v>7393</v>
      </c>
      <c r="H237" s="526">
        <v>115.0</v>
      </c>
    </row>
    <row r="238" ht="14.25" customHeight="1">
      <c r="A238" s="517">
        <v>45466.0</v>
      </c>
      <c r="B238" s="526" t="s">
        <v>7709</v>
      </c>
      <c r="C238" s="526" t="s">
        <v>7710</v>
      </c>
      <c r="D238" s="526" t="s">
        <v>8769</v>
      </c>
      <c r="E238" s="526" t="s">
        <v>7711</v>
      </c>
      <c r="F238" s="526">
        <v>1.0</v>
      </c>
      <c r="G238" s="526" t="s">
        <v>7393</v>
      </c>
      <c r="H238" s="526">
        <v>55.0</v>
      </c>
    </row>
    <row r="239" ht="14.25" customHeight="1">
      <c r="A239" s="517">
        <v>45467.0</v>
      </c>
      <c r="B239" s="526" t="s">
        <v>7504</v>
      </c>
      <c r="C239" s="526" t="s">
        <v>7712</v>
      </c>
      <c r="D239" s="526" t="s">
        <v>162</v>
      </c>
      <c r="E239" s="526" t="s">
        <v>7675</v>
      </c>
      <c r="F239" s="526">
        <v>1.0</v>
      </c>
      <c r="G239" s="526" t="s">
        <v>7393</v>
      </c>
      <c r="H239" s="526">
        <v>105.0</v>
      </c>
    </row>
    <row r="240" ht="14.25" customHeight="1">
      <c r="A240" s="517">
        <v>45467.0</v>
      </c>
      <c r="B240" s="534" t="s">
        <v>7396</v>
      </c>
      <c r="C240" s="534" t="s">
        <v>7604</v>
      </c>
      <c r="D240" s="542" t="s">
        <v>252</v>
      </c>
      <c r="E240" s="534" t="s">
        <v>7643</v>
      </c>
      <c r="F240" s="534">
        <v>1.0</v>
      </c>
      <c r="G240" s="534" t="s">
        <v>7393</v>
      </c>
      <c r="H240" s="543">
        <v>85.0</v>
      </c>
    </row>
    <row r="241" ht="14.25" customHeight="1">
      <c r="A241" s="517">
        <v>45468.0</v>
      </c>
      <c r="B241" s="526" t="s">
        <v>7559</v>
      </c>
      <c r="C241" s="526" t="s">
        <v>7713</v>
      </c>
      <c r="D241" s="526" t="s">
        <v>162</v>
      </c>
      <c r="E241" s="526" t="s">
        <v>7685</v>
      </c>
      <c r="F241" s="526">
        <v>1.0</v>
      </c>
      <c r="G241" s="534" t="s">
        <v>7393</v>
      </c>
      <c r="H241" s="526">
        <v>115.0</v>
      </c>
    </row>
    <row r="242" ht="14.25" customHeight="1">
      <c r="A242" s="517">
        <v>45468.0</v>
      </c>
      <c r="B242" s="526" t="s">
        <v>7714</v>
      </c>
      <c r="C242" s="526" t="s">
        <v>7715</v>
      </c>
      <c r="D242" s="526" t="s">
        <v>162</v>
      </c>
      <c r="E242" s="526" t="s">
        <v>7707</v>
      </c>
      <c r="F242" s="526">
        <v>1.0</v>
      </c>
      <c r="G242" s="534" t="s">
        <v>7393</v>
      </c>
      <c r="H242" s="526">
        <v>105.0</v>
      </c>
    </row>
    <row r="243" ht="14.25" customHeight="1">
      <c r="A243" s="517">
        <v>45470.0</v>
      </c>
      <c r="B243" s="526" t="s">
        <v>7716</v>
      </c>
      <c r="C243" s="526" t="s">
        <v>7717</v>
      </c>
      <c r="D243" s="526" t="s">
        <v>208</v>
      </c>
      <c r="E243" s="526" t="s">
        <v>204</v>
      </c>
      <c r="F243" s="526">
        <v>1.0</v>
      </c>
      <c r="G243" s="534" t="s">
        <v>7393</v>
      </c>
      <c r="H243" s="526">
        <v>175.0</v>
      </c>
    </row>
    <row r="244" ht="14.25" customHeight="1">
      <c r="A244" s="517">
        <v>45471.0</v>
      </c>
      <c r="B244" s="526" t="s">
        <v>7619</v>
      </c>
      <c r="C244" s="526" t="s">
        <v>7718</v>
      </c>
      <c r="D244" s="526" t="s">
        <v>162</v>
      </c>
      <c r="E244" s="526" t="s">
        <v>7685</v>
      </c>
      <c r="F244" s="526">
        <v>1.0</v>
      </c>
      <c r="G244" s="534" t="s">
        <v>7393</v>
      </c>
      <c r="H244" s="526">
        <v>115.0</v>
      </c>
    </row>
    <row r="245" ht="14.25" customHeight="1">
      <c r="A245" s="526"/>
      <c r="B245" s="526"/>
      <c r="C245" s="526"/>
      <c r="D245" s="526" t="s">
        <v>208</v>
      </c>
      <c r="E245" s="526" t="s">
        <v>6828</v>
      </c>
      <c r="F245" s="526">
        <v>1.0</v>
      </c>
      <c r="G245" s="534" t="s">
        <v>3009</v>
      </c>
      <c r="H245" s="526">
        <v>175.0</v>
      </c>
    </row>
    <row r="246" ht="14.25" customHeight="1">
      <c r="A246" s="517">
        <v>45471.0</v>
      </c>
      <c r="B246" s="526" t="s">
        <v>2547</v>
      </c>
      <c r="C246" s="526" t="s">
        <v>7719</v>
      </c>
      <c r="D246" s="526" t="s">
        <v>252</v>
      </c>
      <c r="E246" s="526" t="s">
        <v>6968</v>
      </c>
      <c r="F246" s="526">
        <v>1.0</v>
      </c>
      <c r="G246" s="534" t="s">
        <v>7393</v>
      </c>
      <c r="H246" s="526">
        <v>90.0</v>
      </c>
    </row>
    <row r="247" ht="14.25" customHeight="1">
      <c r="A247" s="517">
        <v>45471.0</v>
      </c>
      <c r="B247" s="526" t="s">
        <v>2561</v>
      </c>
      <c r="C247" s="526" t="s">
        <v>7720</v>
      </c>
      <c r="D247" s="526" t="s">
        <v>208</v>
      </c>
      <c r="E247" s="526" t="s">
        <v>6906</v>
      </c>
      <c r="F247" s="526">
        <v>1.0</v>
      </c>
      <c r="G247" s="526" t="s">
        <v>7393</v>
      </c>
      <c r="H247" s="526">
        <v>175.0</v>
      </c>
    </row>
    <row r="248" ht="14.25" customHeight="1">
      <c r="A248" s="517">
        <v>45471.0</v>
      </c>
      <c r="B248" s="526" t="s">
        <v>7721</v>
      </c>
      <c r="C248" s="526" t="s">
        <v>7722</v>
      </c>
      <c r="D248" s="526" t="s">
        <v>162</v>
      </c>
      <c r="E248" s="526" t="s">
        <v>7685</v>
      </c>
      <c r="F248" s="526">
        <v>1.0</v>
      </c>
      <c r="G248" s="526" t="s">
        <v>7393</v>
      </c>
      <c r="H248" s="526">
        <v>115.0</v>
      </c>
    </row>
    <row r="249" ht="14.25" customHeight="1">
      <c r="A249" s="517">
        <v>45472.0</v>
      </c>
      <c r="B249" s="526" t="s">
        <v>7417</v>
      </c>
      <c r="C249" s="526" t="s">
        <v>7723</v>
      </c>
      <c r="D249" s="526" t="s">
        <v>162</v>
      </c>
      <c r="E249" s="526" t="s">
        <v>7685</v>
      </c>
      <c r="F249" s="526">
        <v>1.0</v>
      </c>
      <c r="G249" s="526" t="s">
        <v>7393</v>
      </c>
      <c r="H249" s="526">
        <v>115.0</v>
      </c>
    </row>
    <row r="250" ht="14.25" customHeight="1">
      <c r="A250" s="517">
        <v>45472.0</v>
      </c>
      <c r="B250" s="526" t="s">
        <v>2586</v>
      </c>
      <c r="C250" s="526" t="s">
        <v>7724</v>
      </c>
      <c r="D250" s="526" t="s">
        <v>208</v>
      </c>
      <c r="E250" s="526" t="s">
        <v>204</v>
      </c>
      <c r="F250" s="526">
        <v>1.0</v>
      </c>
      <c r="G250" s="526" t="s">
        <v>7393</v>
      </c>
      <c r="H250" s="526">
        <v>175.0</v>
      </c>
    </row>
    <row r="251" ht="14.25" customHeight="1">
      <c r="A251" s="517">
        <v>45472.0</v>
      </c>
      <c r="B251" s="526" t="s">
        <v>7681</v>
      </c>
      <c r="C251" s="526" t="s">
        <v>7725</v>
      </c>
      <c r="D251" s="526" t="s">
        <v>162</v>
      </c>
      <c r="E251" s="526" t="s">
        <v>7685</v>
      </c>
      <c r="F251" s="526">
        <v>1.0</v>
      </c>
      <c r="G251" s="526" t="s">
        <v>7393</v>
      </c>
      <c r="H251" s="526">
        <v>104.0</v>
      </c>
    </row>
    <row r="252" ht="14.25" customHeight="1">
      <c r="A252" s="517">
        <v>45473.0</v>
      </c>
      <c r="B252" s="526" t="s">
        <v>7406</v>
      </c>
      <c r="C252" s="526" t="s">
        <v>7726</v>
      </c>
      <c r="D252" s="526" t="s">
        <v>252</v>
      </c>
      <c r="E252" s="526"/>
      <c r="F252" s="526">
        <v>1.0</v>
      </c>
      <c r="G252" s="526" t="s">
        <v>7393</v>
      </c>
      <c r="H252" s="526">
        <v>81.5</v>
      </c>
    </row>
    <row r="253" ht="14.25" customHeight="1">
      <c r="A253" s="517">
        <v>45473.0</v>
      </c>
      <c r="B253" s="526" t="s">
        <v>7429</v>
      </c>
      <c r="C253" s="526" t="s">
        <v>7727</v>
      </c>
      <c r="D253" s="526" t="s">
        <v>162</v>
      </c>
      <c r="E253" s="526" t="s">
        <v>7685</v>
      </c>
      <c r="F253" s="526">
        <v>1.0</v>
      </c>
      <c r="G253" s="526" t="s">
        <v>7393</v>
      </c>
      <c r="H253" s="526">
        <v>104.0</v>
      </c>
    </row>
    <row r="254" ht="14.25" customHeight="1">
      <c r="A254" s="517">
        <v>45473.0</v>
      </c>
      <c r="B254" s="526" t="s">
        <v>7637</v>
      </c>
      <c r="C254" s="526" t="s">
        <v>7728</v>
      </c>
      <c r="D254" s="526" t="s">
        <v>208</v>
      </c>
      <c r="E254" s="526" t="s">
        <v>204</v>
      </c>
      <c r="F254" s="526">
        <v>1.0</v>
      </c>
      <c r="G254" s="526" t="s">
        <v>7393</v>
      </c>
      <c r="H254" s="526">
        <v>158.0</v>
      </c>
    </row>
    <row r="255" ht="14.25" customHeight="1">
      <c r="A255" s="505" t="s">
        <v>8773</v>
      </c>
      <c r="B255" s="511"/>
      <c r="C255" s="511"/>
      <c r="D255" s="511"/>
      <c r="E255" s="512"/>
      <c r="F255" s="512">
        <f>SUM(F256:F335)</f>
        <v>81</v>
      </c>
      <c r="G255" s="511"/>
      <c r="H255" s="512">
        <f>SUM(H256:H335)</f>
        <v>9505</v>
      </c>
    </row>
    <row r="256" ht="14.25" customHeight="1">
      <c r="A256" s="517">
        <v>45474.0</v>
      </c>
      <c r="B256" s="526" t="s">
        <v>7729</v>
      </c>
      <c r="C256" s="526" t="s">
        <v>7730</v>
      </c>
      <c r="D256" s="526" t="s">
        <v>208</v>
      </c>
      <c r="E256" s="526" t="s">
        <v>204</v>
      </c>
      <c r="F256" s="526">
        <v>1.0</v>
      </c>
      <c r="G256" s="526" t="s">
        <v>7393</v>
      </c>
      <c r="H256" s="526">
        <v>175.0</v>
      </c>
    </row>
    <row r="257" ht="14.25" customHeight="1">
      <c r="A257" s="517">
        <v>45475.0</v>
      </c>
      <c r="B257" s="526" t="s">
        <v>7731</v>
      </c>
      <c r="C257" s="526" t="s">
        <v>7732</v>
      </c>
      <c r="D257" s="526" t="s">
        <v>162</v>
      </c>
      <c r="E257" s="526" t="s">
        <v>7733</v>
      </c>
      <c r="F257" s="526">
        <v>1.0</v>
      </c>
      <c r="G257" s="526" t="s">
        <v>7393</v>
      </c>
      <c r="H257" s="526">
        <v>105.0</v>
      </c>
    </row>
    <row r="258" ht="14.25" customHeight="1">
      <c r="A258" s="517">
        <v>45475.0</v>
      </c>
      <c r="B258" s="526" t="s">
        <v>2553</v>
      </c>
      <c r="C258" s="526" t="s">
        <v>7734</v>
      </c>
      <c r="D258" s="526" t="s">
        <v>252</v>
      </c>
      <c r="E258" s="526"/>
      <c r="F258" s="526">
        <v>1.0</v>
      </c>
      <c r="G258" s="526" t="s">
        <v>7393</v>
      </c>
      <c r="H258" s="526">
        <v>90.0</v>
      </c>
    </row>
    <row r="259" ht="14.25" customHeight="1">
      <c r="A259" s="517">
        <v>45476.0</v>
      </c>
      <c r="B259" s="526" t="s">
        <v>7735</v>
      </c>
      <c r="C259" s="526" t="s">
        <v>7736</v>
      </c>
      <c r="D259" s="526" t="s">
        <v>208</v>
      </c>
      <c r="E259" s="526" t="s">
        <v>204</v>
      </c>
      <c r="F259" s="526">
        <v>1.0</v>
      </c>
      <c r="G259" s="526" t="s">
        <v>7393</v>
      </c>
      <c r="H259" s="526">
        <v>175.0</v>
      </c>
    </row>
    <row r="260" ht="14.25" customHeight="1">
      <c r="A260" s="517">
        <v>45476.0</v>
      </c>
      <c r="B260" s="526" t="s">
        <v>7737</v>
      </c>
      <c r="C260" s="526" t="s">
        <v>7424</v>
      </c>
      <c r="D260" s="526" t="s">
        <v>208</v>
      </c>
      <c r="E260" s="526" t="s">
        <v>204</v>
      </c>
      <c r="F260" s="526">
        <v>1.0</v>
      </c>
      <c r="G260" s="526" t="s">
        <v>7393</v>
      </c>
      <c r="H260" s="526">
        <v>175.0</v>
      </c>
    </row>
    <row r="261" ht="14.25" customHeight="1">
      <c r="A261" s="544">
        <v>45476.0</v>
      </c>
      <c r="B261" s="526" t="s">
        <v>7616</v>
      </c>
      <c r="C261" s="526" t="s">
        <v>7738</v>
      </c>
      <c r="D261" s="526" t="s">
        <v>208</v>
      </c>
      <c r="E261" s="526" t="s">
        <v>204</v>
      </c>
      <c r="F261" s="526">
        <v>1.0</v>
      </c>
      <c r="G261" s="526" t="s">
        <v>7393</v>
      </c>
      <c r="H261" s="526">
        <v>175.0</v>
      </c>
    </row>
    <row r="262" ht="14.25" customHeight="1">
      <c r="A262" s="544">
        <v>45476.0</v>
      </c>
      <c r="B262" s="526" t="s">
        <v>7637</v>
      </c>
      <c r="C262" s="526" t="s">
        <v>7739</v>
      </c>
      <c r="D262" s="526" t="s">
        <v>252</v>
      </c>
      <c r="E262" s="526"/>
      <c r="F262" s="526">
        <v>1.0</v>
      </c>
      <c r="G262" s="526" t="s">
        <v>7393</v>
      </c>
      <c r="H262" s="526">
        <v>90.0</v>
      </c>
    </row>
    <row r="263" ht="14.25" customHeight="1">
      <c r="A263" s="544">
        <v>45476.0</v>
      </c>
      <c r="B263" s="526" t="s">
        <v>7740</v>
      </c>
      <c r="C263" s="526" t="s">
        <v>7741</v>
      </c>
      <c r="D263" s="526" t="s">
        <v>208</v>
      </c>
      <c r="E263" s="526" t="s">
        <v>204</v>
      </c>
      <c r="F263" s="526">
        <v>1.0</v>
      </c>
      <c r="G263" s="526" t="s">
        <v>7393</v>
      </c>
      <c r="H263" s="526">
        <v>175.0</v>
      </c>
    </row>
    <row r="264" ht="14.25" customHeight="1">
      <c r="A264" s="544">
        <v>45477.0</v>
      </c>
      <c r="B264" s="526" t="s">
        <v>2561</v>
      </c>
      <c r="C264" s="526" t="s">
        <v>7742</v>
      </c>
      <c r="D264" s="526" t="s">
        <v>162</v>
      </c>
      <c r="E264" s="526" t="s">
        <v>7685</v>
      </c>
      <c r="F264" s="526">
        <v>1.0</v>
      </c>
      <c r="G264" s="526" t="s">
        <v>7393</v>
      </c>
      <c r="H264" s="526">
        <v>115.0</v>
      </c>
    </row>
    <row r="265" ht="14.25" customHeight="1">
      <c r="A265" s="544">
        <v>45477.0</v>
      </c>
      <c r="B265" s="526" t="s">
        <v>7743</v>
      </c>
      <c r="C265" s="526" t="s">
        <v>7744</v>
      </c>
      <c r="D265" s="526" t="s">
        <v>208</v>
      </c>
      <c r="E265" s="526" t="s">
        <v>204</v>
      </c>
      <c r="F265" s="526">
        <v>1.0</v>
      </c>
      <c r="G265" s="526" t="s">
        <v>7393</v>
      </c>
      <c r="H265" s="526">
        <v>175.0</v>
      </c>
    </row>
    <row r="266" ht="14.25" customHeight="1">
      <c r="A266" s="544">
        <v>45477.0</v>
      </c>
      <c r="B266" s="526" t="s">
        <v>7554</v>
      </c>
      <c r="C266" s="526" t="s">
        <v>7745</v>
      </c>
      <c r="D266" s="526" t="s">
        <v>208</v>
      </c>
      <c r="E266" s="526" t="s">
        <v>204</v>
      </c>
      <c r="F266" s="526">
        <v>1.0</v>
      </c>
      <c r="G266" s="526" t="s">
        <v>7393</v>
      </c>
      <c r="H266" s="526">
        <v>175.0</v>
      </c>
    </row>
    <row r="267" ht="14.25" customHeight="1">
      <c r="A267" s="544">
        <v>45478.0</v>
      </c>
      <c r="B267" s="526" t="s">
        <v>2561</v>
      </c>
      <c r="C267" s="526" t="s">
        <v>7746</v>
      </c>
      <c r="D267" s="526" t="s">
        <v>162</v>
      </c>
      <c r="E267" s="526" t="s">
        <v>7733</v>
      </c>
      <c r="F267" s="526">
        <v>1.0</v>
      </c>
      <c r="G267" s="526" t="s">
        <v>7393</v>
      </c>
      <c r="H267" s="526">
        <v>105.0</v>
      </c>
    </row>
    <row r="268" ht="14.25" customHeight="1">
      <c r="A268" s="544">
        <v>45480.0</v>
      </c>
      <c r="B268" s="526" t="s">
        <v>7747</v>
      </c>
      <c r="C268" s="526" t="s">
        <v>7748</v>
      </c>
      <c r="D268" s="526" t="s">
        <v>2563</v>
      </c>
      <c r="E268" s="526" t="s">
        <v>7749</v>
      </c>
      <c r="F268" s="526">
        <v>1.0</v>
      </c>
      <c r="G268" s="526" t="s">
        <v>7393</v>
      </c>
      <c r="H268" s="526">
        <v>63.0</v>
      </c>
    </row>
    <row r="269" ht="14.25" customHeight="1">
      <c r="A269" s="544">
        <v>45480.0</v>
      </c>
      <c r="B269" s="526" t="s">
        <v>2193</v>
      </c>
      <c r="C269" s="526" t="s">
        <v>7750</v>
      </c>
      <c r="D269" s="526" t="s">
        <v>252</v>
      </c>
      <c r="E269" s="526" t="s">
        <v>7751</v>
      </c>
      <c r="F269" s="526">
        <v>1.0</v>
      </c>
      <c r="G269" s="526" t="s">
        <v>7393</v>
      </c>
      <c r="H269" s="526">
        <v>72.5</v>
      </c>
    </row>
    <row r="270" ht="14.25" customHeight="1">
      <c r="A270" s="544">
        <v>45480.0</v>
      </c>
      <c r="B270" s="526" t="s">
        <v>2586</v>
      </c>
      <c r="C270" s="526" t="s">
        <v>7752</v>
      </c>
      <c r="D270" s="526" t="s">
        <v>8769</v>
      </c>
      <c r="E270" s="526" t="s">
        <v>7753</v>
      </c>
      <c r="F270" s="526">
        <v>1.0</v>
      </c>
      <c r="G270" s="526" t="s">
        <v>7393</v>
      </c>
      <c r="H270" s="526">
        <v>50.0</v>
      </c>
    </row>
    <row r="271" ht="14.25" customHeight="1">
      <c r="A271" s="544">
        <v>45480.0</v>
      </c>
      <c r="B271" s="526" t="s">
        <v>7554</v>
      </c>
      <c r="C271" s="526" t="s">
        <v>7754</v>
      </c>
      <c r="D271" s="526" t="s">
        <v>208</v>
      </c>
      <c r="E271" s="526" t="s">
        <v>204</v>
      </c>
      <c r="F271" s="526">
        <v>1.0</v>
      </c>
      <c r="G271" s="526" t="s">
        <v>7393</v>
      </c>
      <c r="H271" s="526">
        <v>158.0</v>
      </c>
    </row>
    <row r="272" ht="14.25" customHeight="1">
      <c r="A272" s="544">
        <v>45481.0</v>
      </c>
      <c r="B272" s="526" t="s">
        <v>7755</v>
      </c>
      <c r="C272" s="526" t="s">
        <v>7756</v>
      </c>
      <c r="D272" s="526" t="s">
        <v>208</v>
      </c>
      <c r="E272" s="526" t="s">
        <v>6906</v>
      </c>
      <c r="F272" s="526">
        <v>1.0</v>
      </c>
      <c r="G272" s="526" t="s">
        <v>7393</v>
      </c>
      <c r="H272" s="526">
        <v>175.0</v>
      </c>
    </row>
    <row r="273" ht="14.25" customHeight="1">
      <c r="A273" s="544">
        <v>45481.0</v>
      </c>
      <c r="B273" s="526" t="s">
        <v>7434</v>
      </c>
      <c r="C273" s="526" t="s">
        <v>7757</v>
      </c>
      <c r="D273" s="526" t="s">
        <v>8769</v>
      </c>
      <c r="E273" s="526" t="s">
        <v>7753</v>
      </c>
      <c r="F273" s="526">
        <v>1.0</v>
      </c>
      <c r="G273" s="526" t="s">
        <v>7393</v>
      </c>
      <c r="H273" s="526">
        <v>55.0</v>
      </c>
    </row>
    <row r="274" ht="14.25" customHeight="1">
      <c r="A274" s="544">
        <v>45482.0</v>
      </c>
      <c r="B274" s="526" t="s">
        <v>7758</v>
      </c>
      <c r="C274" s="526" t="s">
        <v>7759</v>
      </c>
      <c r="D274" s="526" t="s">
        <v>208</v>
      </c>
      <c r="E274" s="526" t="s">
        <v>6906</v>
      </c>
      <c r="F274" s="526">
        <v>1.0</v>
      </c>
      <c r="G274" s="526" t="s">
        <v>7393</v>
      </c>
      <c r="H274" s="526">
        <v>158.0</v>
      </c>
    </row>
    <row r="275" ht="14.25" customHeight="1">
      <c r="A275" s="544">
        <v>45482.0</v>
      </c>
      <c r="B275" s="526" t="s">
        <v>7760</v>
      </c>
      <c r="C275" s="526" t="s">
        <v>7761</v>
      </c>
      <c r="D275" s="526" t="s">
        <v>252</v>
      </c>
      <c r="E275" s="526" t="s">
        <v>7751</v>
      </c>
      <c r="F275" s="526">
        <v>1.0</v>
      </c>
      <c r="G275" s="526" t="s">
        <v>7393</v>
      </c>
      <c r="H275" s="526">
        <v>72.5</v>
      </c>
    </row>
    <row r="276" ht="14.25" customHeight="1">
      <c r="A276" s="544">
        <v>45482.0</v>
      </c>
      <c r="B276" s="526" t="s">
        <v>2561</v>
      </c>
      <c r="C276" s="526" t="s">
        <v>7762</v>
      </c>
      <c r="D276" s="526" t="s">
        <v>252</v>
      </c>
      <c r="E276" s="526" t="s">
        <v>7643</v>
      </c>
      <c r="F276" s="526">
        <v>1.0</v>
      </c>
      <c r="G276" s="526" t="s">
        <v>7393</v>
      </c>
      <c r="H276" s="526">
        <v>95.0</v>
      </c>
    </row>
    <row r="277" ht="14.25" customHeight="1">
      <c r="A277" s="544">
        <v>45482.0</v>
      </c>
      <c r="B277" s="526" t="s">
        <v>2623</v>
      </c>
      <c r="C277" s="526" t="s">
        <v>7763</v>
      </c>
      <c r="D277" s="526" t="s">
        <v>208</v>
      </c>
      <c r="E277" s="526" t="s">
        <v>204</v>
      </c>
      <c r="F277" s="526">
        <v>1.0</v>
      </c>
      <c r="G277" s="526" t="s">
        <v>7393</v>
      </c>
      <c r="H277" s="526">
        <v>158.0</v>
      </c>
    </row>
    <row r="278" ht="14.25" customHeight="1">
      <c r="A278" s="544">
        <v>45482.0</v>
      </c>
      <c r="B278" s="526" t="s">
        <v>2547</v>
      </c>
      <c r="C278" s="526" t="s">
        <v>7764</v>
      </c>
      <c r="D278" s="526" t="s">
        <v>252</v>
      </c>
      <c r="E278" s="526" t="s">
        <v>7643</v>
      </c>
      <c r="F278" s="526">
        <v>1.0</v>
      </c>
      <c r="G278" s="526" t="s">
        <v>7393</v>
      </c>
      <c r="H278" s="526">
        <v>85.0</v>
      </c>
    </row>
    <row r="279" ht="14.25" customHeight="1">
      <c r="A279" s="544">
        <v>45482.0</v>
      </c>
      <c r="B279" s="526" t="s">
        <v>7714</v>
      </c>
      <c r="C279" s="526" t="s">
        <v>7765</v>
      </c>
      <c r="D279" s="526" t="s">
        <v>252</v>
      </c>
      <c r="E279" s="526" t="s">
        <v>7751</v>
      </c>
      <c r="F279" s="526">
        <v>1.0</v>
      </c>
      <c r="G279" s="526" t="s">
        <v>7393</v>
      </c>
      <c r="H279" s="526">
        <v>80.0</v>
      </c>
    </row>
    <row r="280" ht="14.25" customHeight="1">
      <c r="A280" s="544">
        <v>45483.0</v>
      </c>
      <c r="B280" s="526" t="s">
        <v>7766</v>
      </c>
      <c r="C280" s="526" t="s">
        <v>7767</v>
      </c>
      <c r="D280" s="526" t="s">
        <v>208</v>
      </c>
      <c r="E280" s="526" t="s">
        <v>204</v>
      </c>
      <c r="F280" s="526">
        <v>1.0</v>
      </c>
      <c r="G280" s="526" t="s">
        <v>7393</v>
      </c>
      <c r="H280" s="526">
        <v>175.0</v>
      </c>
    </row>
    <row r="281" ht="14.25" customHeight="1">
      <c r="A281" s="544">
        <v>45483.0</v>
      </c>
      <c r="B281" s="526" t="s">
        <v>2604</v>
      </c>
      <c r="C281" s="526" t="s">
        <v>7768</v>
      </c>
      <c r="D281" s="526" t="s">
        <v>208</v>
      </c>
      <c r="E281" s="526" t="s">
        <v>6828</v>
      </c>
      <c r="F281" s="526">
        <v>1.0</v>
      </c>
      <c r="G281" s="526" t="s">
        <v>7393</v>
      </c>
      <c r="H281" s="526">
        <v>175.0</v>
      </c>
    </row>
    <row r="282" ht="14.25" customHeight="1">
      <c r="A282" s="544">
        <v>45483.0</v>
      </c>
      <c r="B282" s="526" t="s">
        <v>2668</v>
      </c>
      <c r="C282" s="526" t="s">
        <v>7769</v>
      </c>
      <c r="D282" s="526" t="s">
        <v>6778</v>
      </c>
      <c r="E282" s="526" t="s">
        <v>7770</v>
      </c>
      <c r="F282" s="526">
        <v>1.0</v>
      </c>
      <c r="G282" s="526" t="s">
        <v>7393</v>
      </c>
      <c r="H282" s="526">
        <v>86.0</v>
      </c>
    </row>
    <row r="283" ht="14.25" customHeight="1">
      <c r="A283" s="544">
        <v>45483.0</v>
      </c>
      <c r="B283" s="526" t="s">
        <v>7417</v>
      </c>
      <c r="C283" s="526" t="s">
        <v>7771</v>
      </c>
      <c r="D283" s="526" t="s">
        <v>162</v>
      </c>
      <c r="E283" s="526" t="s">
        <v>7772</v>
      </c>
      <c r="F283" s="526">
        <v>1.0</v>
      </c>
      <c r="G283" s="526" t="s">
        <v>7393</v>
      </c>
      <c r="H283" s="526">
        <v>105.0</v>
      </c>
    </row>
    <row r="284" ht="14.25" customHeight="1">
      <c r="A284" s="544">
        <v>45483.0</v>
      </c>
      <c r="B284" s="526" t="s">
        <v>7417</v>
      </c>
      <c r="C284" s="526" t="s">
        <v>7773</v>
      </c>
      <c r="D284" s="526" t="s">
        <v>252</v>
      </c>
      <c r="E284" s="526" t="s">
        <v>2619</v>
      </c>
      <c r="F284" s="526">
        <v>1.0</v>
      </c>
      <c r="G284" s="526" t="s">
        <v>7393</v>
      </c>
      <c r="H284" s="526">
        <v>80.0</v>
      </c>
    </row>
    <row r="285" ht="14.25" customHeight="1">
      <c r="A285" s="544">
        <v>45483.0</v>
      </c>
      <c r="B285" s="526" t="s">
        <v>7774</v>
      </c>
      <c r="C285" s="526" t="s">
        <v>7775</v>
      </c>
      <c r="D285" s="526" t="s">
        <v>162</v>
      </c>
      <c r="E285" s="526" t="s">
        <v>7776</v>
      </c>
      <c r="F285" s="526">
        <v>1.0</v>
      </c>
      <c r="G285" s="526" t="s">
        <v>7393</v>
      </c>
      <c r="H285" s="526">
        <v>105.0</v>
      </c>
    </row>
    <row r="286" ht="14.25" customHeight="1">
      <c r="A286" s="544">
        <v>45483.0</v>
      </c>
      <c r="B286" s="526" t="s">
        <v>7653</v>
      </c>
      <c r="C286" s="526" t="s">
        <v>7641</v>
      </c>
      <c r="D286" s="526" t="s">
        <v>162</v>
      </c>
      <c r="E286" s="526" t="s">
        <v>7675</v>
      </c>
      <c r="F286" s="526">
        <v>1.0</v>
      </c>
      <c r="G286" s="526" t="s">
        <v>7393</v>
      </c>
      <c r="H286" s="526">
        <v>105.0</v>
      </c>
    </row>
    <row r="287" ht="14.25" customHeight="1">
      <c r="A287" s="544">
        <v>45483.0</v>
      </c>
      <c r="B287" s="526" t="s">
        <v>7681</v>
      </c>
      <c r="C287" s="526" t="s">
        <v>7777</v>
      </c>
      <c r="D287" s="526" t="s">
        <v>162</v>
      </c>
      <c r="E287" s="526" t="s">
        <v>7675</v>
      </c>
      <c r="F287" s="526">
        <v>1.0</v>
      </c>
      <c r="G287" s="526" t="s">
        <v>7393</v>
      </c>
      <c r="H287" s="526">
        <v>105.0</v>
      </c>
    </row>
    <row r="288" ht="14.25" customHeight="1">
      <c r="A288" s="544">
        <v>45483.0</v>
      </c>
      <c r="B288" s="526" t="s">
        <v>2600</v>
      </c>
      <c r="C288" s="526" t="s">
        <v>7778</v>
      </c>
      <c r="D288" s="526" t="s">
        <v>162</v>
      </c>
      <c r="E288" s="526" t="s">
        <v>7772</v>
      </c>
      <c r="F288" s="526">
        <v>1.0</v>
      </c>
      <c r="G288" s="526" t="s">
        <v>7393</v>
      </c>
      <c r="H288" s="526">
        <v>105.0</v>
      </c>
    </row>
    <row r="289" ht="14.25" customHeight="1">
      <c r="A289" s="544">
        <v>45483.0</v>
      </c>
      <c r="B289" s="526" t="s">
        <v>2772</v>
      </c>
      <c r="C289" s="526" t="s">
        <v>7779</v>
      </c>
      <c r="D289" s="526" t="s">
        <v>252</v>
      </c>
      <c r="E289" s="526" t="s">
        <v>7643</v>
      </c>
      <c r="F289" s="526">
        <v>1.0</v>
      </c>
      <c r="G289" s="526" t="s">
        <v>7393</v>
      </c>
      <c r="H289" s="526">
        <v>77.0</v>
      </c>
    </row>
    <row r="290" ht="14.25" customHeight="1">
      <c r="A290" s="544">
        <v>45483.0</v>
      </c>
      <c r="B290" s="526" t="s">
        <v>7780</v>
      </c>
      <c r="C290" s="526" t="s">
        <v>7781</v>
      </c>
      <c r="D290" s="526" t="s">
        <v>252</v>
      </c>
      <c r="E290" s="526" t="s">
        <v>7643</v>
      </c>
      <c r="F290" s="526">
        <v>1.0</v>
      </c>
      <c r="G290" s="526" t="s">
        <v>7393</v>
      </c>
      <c r="H290" s="526">
        <v>95.0</v>
      </c>
    </row>
    <row r="291" ht="14.25" customHeight="1">
      <c r="A291" s="544">
        <v>45483.0</v>
      </c>
      <c r="B291" s="526" t="s">
        <v>7554</v>
      </c>
      <c r="C291" s="526" t="s">
        <v>7782</v>
      </c>
      <c r="D291" s="526" t="s">
        <v>252</v>
      </c>
      <c r="E291" s="526" t="s">
        <v>7643</v>
      </c>
      <c r="F291" s="526">
        <v>1.0</v>
      </c>
      <c r="G291" s="526" t="s">
        <v>7393</v>
      </c>
      <c r="H291" s="526">
        <v>80.0</v>
      </c>
    </row>
    <row r="292" ht="14.25" customHeight="1">
      <c r="A292" s="544">
        <v>45484.0</v>
      </c>
      <c r="B292" s="526" t="s">
        <v>2623</v>
      </c>
      <c r="C292" s="526" t="s">
        <v>7783</v>
      </c>
      <c r="D292" s="526" t="s">
        <v>252</v>
      </c>
      <c r="E292" s="526" t="s">
        <v>7643</v>
      </c>
      <c r="F292" s="526">
        <v>1.0</v>
      </c>
      <c r="G292" s="526" t="s">
        <v>7393</v>
      </c>
      <c r="H292" s="526">
        <v>85.0</v>
      </c>
    </row>
    <row r="293" ht="14.25" customHeight="1">
      <c r="A293" s="544">
        <v>45484.0</v>
      </c>
      <c r="B293" s="526" t="s">
        <v>7784</v>
      </c>
      <c r="C293" s="526" t="s">
        <v>7785</v>
      </c>
      <c r="D293" s="526" t="s">
        <v>252</v>
      </c>
      <c r="E293" s="526" t="s">
        <v>7643</v>
      </c>
      <c r="F293" s="526">
        <v>1.0</v>
      </c>
      <c r="G293" s="526" t="s">
        <v>7393</v>
      </c>
      <c r="H293" s="526">
        <v>95.0</v>
      </c>
    </row>
    <row r="294" ht="14.25" customHeight="1">
      <c r="A294" s="544">
        <v>45484.0</v>
      </c>
      <c r="B294" s="526" t="s">
        <v>7396</v>
      </c>
      <c r="C294" s="526" t="s">
        <v>7786</v>
      </c>
      <c r="D294" s="526" t="s">
        <v>252</v>
      </c>
      <c r="E294" s="526" t="s">
        <v>7643</v>
      </c>
      <c r="F294" s="526">
        <v>1.0</v>
      </c>
      <c r="G294" s="526" t="s">
        <v>7393</v>
      </c>
      <c r="H294" s="526">
        <v>90.0</v>
      </c>
    </row>
    <row r="295" ht="14.25" customHeight="1">
      <c r="A295" s="544">
        <v>45484.0</v>
      </c>
      <c r="B295" s="526" t="s">
        <v>7381</v>
      </c>
      <c r="C295" s="526" t="s">
        <v>7787</v>
      </c>
      <c r="D295" s="526" t="s">
        <v>252</v>
      </c>
      <c r="E295" s="526" t="s">
        <v>7643</v>
      </c>
      <c r="F295" s="526">
        <v>1.0</v>
      </c>
      <c r="G295" s="526" t="s">
        <v>7393</v>
      </c>
      <c r="H295" s="526">
        <v>85.0</v>
      </c>
    </row>
    <row r="296" ht="14.25" customHeight="1">
      <c r="A296" s="544">
        <v>45485.0</v>
      </c>
      <c r="B296" s="526" t="s">
        <v>2193</v>
      </c>
      <c r="C296" s="526" t="s">
        <v>7624</v>
      </c>
      <c r="D296" s="526" t="s">
        <v>252</v>
      </c>
      <c r="E296" s="526" t="s">
        <v>7643</v>
      </c>
      <c r="F296" s="526">
        <v>1.0</v>
      </c>
      <c r="G296" s="526" t="s">
        <v>7393</v>
      </c>
      <c r="H296" s="526">
        <v>85.0</v>
      </c>
    </row>
    <row r="297" ht="14.25" customHeight="1">
      <c r="A297" s="544">
        <v>45485.0</v>
      </c>
      <c r="B297" s="526" t="s">
        <v>2623</v>
      </c>
      <c r="C297" s="526" t="s">
        <v>7788</v>
      </c>
      <c r="D297" s="526" t="s">
        <v>252</v>
      </c>
      <c r="E297" s="526" t="s">
        <v>7643</v>
      </c>
      <c r="F297" s="526">
        <v>1.0</v>
      </c>
      <c r="G297" s="526" t="s">
        <v>7393</v>
      </c>
      <c r="H297" s="526">
        <v>95.0</v>
      </c>
    </row>
    <row r="298" ht="14.25" customHeight="1">
      <c r="A298" s="544">
        <v>45485.0</v>
      </c>
      <c r="B298" s="526" t="s">
        <v>2193</v>
      </c>
      <c r="C298" s="526" t="s">
        <v>7789</v>
      </c>
      <c r="D298" s="526" t="s">
        <v>162</v>
      </c>
      <c r="E298" s="526" t="s">
        <v>7675</v>
      </c>
      <c r="F298" s="526">
        <v>1.0</v>
      </c>
      <c r="G298" s="526" t="s">
        <v>7393</v>
      </c>
      <c r="H298" s="526">
        <v>105.0</v>
      </c>
    </row>
    <row r="299" ht="14.25" customHeight="1">
      <c r="A299" s="544">
        <v>45486.0</v>
      </c>
      <c r="B299" s="526" t="s">
        <v>7790</v>
      </c>
      <c r="C299" s="526" t="s">
        <v>7791</v>
      </c>
      <c r="D299" s="526" t="s">
        <v>208</v>
      </c>
      <c r="E299" s="526" t="s">
        <v>204</v>
      </c>
      <c r="F299" s="526">
        <v>1.0</v>
      </c>
      <c r="G299" s="526" t="s">
        <v>7393</v>
      </c>
      <c r="H299" s="526">
        <v>175.0</v>
      </c>
    </row>
    <row r="300" ht="14.25" customHeight="1">
      <c r="A300" s="544">
        <v>45489.0</v>
      </c>
      <c r="B300" s="526" t="s">
        <v>2193</v>
      </c>
      <c r="C300" s="526" t="s">
        <v>7792</v>
      </c>
      <c r="D300" s="526" t="s">
        <v>208</v>
      </c>
      <c r="E300" s="526" t="s">
        <v>204</v>
      </c>
      <c r="F300" s="526">
        <v>1.0</v>
      </c>
      <c r="G300" s="526" t="s">
        <v>7393</v>
      </c>
      <c r="H300" s="526">
        <v>175.0</v>
      </c>
    </row>
    <row r="301" ht="14.25" customHeight="1">
      <c r="A301" s="544">
        <v>45489.0</v>
      </c>
      <c r="B301" s="526" t="s">
        <v>7760</v>
      </c>
      <c r="C301" s="526" t="s">
        <v>7736</v>
      </c>
      <c r="D301" s="526" t="s">
        <v>162</v>
      </c>
      <c r="E301" s="526" t="s">
        <v>7793</v>
      </c>
      <c r="F301" s="526">
        <v>1.0</v>
      </c>
      <c r="G301" s="526" t="s">
        <v>7393</v>
      </c>
      <c r="H301" s="526">
        <v>93.0</v>
      </c>
    </row>
    <row r="302" ht="14.25" customHeight="1">
      <c r="A302" s="544">
        <v>45489.0</v>
      </c>
      <c r="B302" s="526" t="s">
        <v>2572</v>
      </c>
      <c r="C302" s="526" t="s">
        <v>7794</v>
      </c>
      <c r="D302" s="526" t="s">
        <v>208</v>
      </c>
      <c r="E302" s="526" t="s">
        <v>204</v>
      </c>
      <c r="F302" s="526">
        <v>1.0</v>
      </c>
      <c r="G302" s="526" t="s">
        <v>7393</v>
      </c>
      <c r="H302" s="526">
        <v>141.0</v>
      </c>
    </row>
    <row r="303" ht="14.25" customHeight="1">
      <c r="A303" s="544">
        <v>45489.0</v>
      </c>
      <c r="B303" s="526" t="s">
        <v>2665</v>
      </c>
      <c r="C303" s="526" t="s">
        <v>7795</v>
      </c>
      <c r="D303" s="526" t="s">
        <v>162</v>
      </c>
      <c r="E303" s="526" t="s">
        <v>7733</v>
      </c>
      <c r="F303" s="526">
        <v>1.0</v>
      </c>
      <c r="G303" s="526" t="s">
        <v>7393</v>
      </c>
      <c r="H303" s="526">
        <v>85.0</v>
      </c>
    </row>
    <row r="304" ht="14.25" customHeight="1">
      <c r="A304" s="544">
        <v>45489.0</v>
      </c>
      <c r="B304" s="526" t="s">
        <v>2547</v>
      </c>
      <c r="C304" s="526" t="s">
        <v>7796</v>
      </c>
      <c r="D304" s="526" t="s">
        <v>208</v>
      </c>
      <c r="E304" s="526" t="s">
        <v>204</v>
      </c>
      <c r="F304" s="526">
        <v>1.0</v>
      </c>
      <c r="G304" s="526" t="s">
        <v>7393</v>
      </c>
      <c r="H304" s="526">
        <v>141.0</v>
      </c>
    </row>
    <row r="305" ht="14.25" customHeight="1">
      <c r="A305" s="544">
        <v>45489.0</v>
      </c>
      <c r="B305" s="526" t="s">
        <v>7637</v>
      </c>
      <c r="C305" s="526" t="s">
        <v>7797</v>
      </c>
      <c r="D305" s="526" t="s">
        <v>252</v>
      </c>
      <c r="E305" s="526" t="s">
        <v>7753</v>
      </c>
      <c r="F305" s="526">
        <v>1.0</v>
      </c>
      <c r="G305" s="526" t="s">
        <v>7393</v>
      </c>
      <c r="H305" s="526">
        <v>73.0</v>
      </c>
    </row>
    <row r="306" ht="14.25" customHeight="1">
      <c r="A306" s="544">
        <v>45490.0</v>
      </c>
      <c r="B306" s="526" t="s">
        <v>2594</v>
      </c>
      <c r="C306" s="526" t="s">
        <v>7798</v>
      </c>
      <c r="D306" s="526" t="s">
        <v>208</v>
      </c>
      <c r="E306" s="526" t="s">
        <v>6906</v>
      </c>
      <c r="F306" s="526">
        <v>1.0</v>
      </c>
      <c r="G306" s="526" t="s">
        <v>7393</v>
      </c>
      <c r="H306" s="526">
        <v>141.0</v>
      </c>
    </row>
    <row r="307" ht="14.25" customHeight="1">
      <c r="A307" s="544">
        <v>45490.0</v>
      </c>
      <c r="B307" s="526" t="s">
        <v>2193</v>
      </c>
      <c r="C307" s="526" t="s">
        <v>7799</v>
      </c>
      <c r="D307" s="526" t="s">
        <v>208</v>
      </c>
      <c r="E307" s="526" t="s">
        <v>204</v>
      </c>
      <c r="F307" s="526">
        <v>1.0</v>
      </c>
      <c r="G307" s="526" t="s">
        <v>7393</v>
      </c>
      <c r="H307" s="526">
        <v>175.0</v>
      </c>
    </row>
    <row r="308" ht="14.25" customHeight="1">
      <c r="A308" s="544">
        <v>45490.0</v>
      </c>
      <c r="B308" s="526" t="s">
        <v>7396</v>
      </c>
      <c r="C308" s="526" t="s">
        <v>7800</v>
      </c>
      <c r="D308" s="526" t="s">
        <v>208</v>
      </c>
      <c r="E308" s="526" t="s">
        <v>204</v>
      </c>
      <c r="F308" s="526">
        <v>1.0</v>
      </c>
      <c r="G308" s="526" t="s">
        <v>7393</v>
      </c>
      <c r="H308" s="526">
        <v>141.0</v>
      </c>
    </row>
    <row r="309" ht="14.25" customHeight="1">
      <c r="A309" s="544">
        <v>45490.0</v>
      </c>
      <c r="B309" s="526" t="s">
        <v>7687</v>
      </c>
      <c r="C309" s="526" t="s">
        <v>7688</v>
      </c>
      <c r="D309" s="526" t="s">
        <v>162</v>
      </c>
      <c r="E309" s="526" t="s">
        <v>7801</v>
      </c>
      <c r="F309" s="526">
        <v>1.0</v>
      </c>
      <c r="G309" s="526" t="s">
        <v>7393</v>
      </c>
      <c r="H309" s="526">
        <v>85.0</v>
      </c>
    </row>
    <row r="310" ht="14.25" customHeight="1">
      <c r="A310" s="544">
        <v>45490.0</v>
      </c>
      <c r="B310" s="526" t="s">
        <v>2586</v>
      </c>
      <c r="C310" s="526" t="s">
        <v>7802</v>
      </c>
      <c r="D310" s="526" t="s">
        <v>208</v>
      </c>
      <c r="E310" s="526" t="s">
        <v>6828</v>
      </c>
      <c r="F310" s="526">
        <v>1.0</v>
      </c>
      <c r="G310" s="526" t="s">
        <v>7393</v>
      </c>
      <c r="H310" s="526">
        <v>141.0</v>
      </c>
    </row>
    <row r="311" ht="14.25" customHeight="1">
      <c r="A311" s="544">
        <v>45490.0</v>
      </c>
      <c r="B311" s="526" t="s">
        <v>7803</v>
      </c>
      <c r="C311" s="526" t="s">
        <v>7804</v>
      </c>
      <c r="D311" s="526" t="s">
        <v>208</v>
      </c>
      <c r="E311" s="526" t="s">
        <v>204</v>
      </c>
      <c r="F311" s="526">
        <v>1.0</v>
      </c>
      <c r="G311" s="526" t="s">
        <v>7393</v>
      </c>
      <c r="H311" s="526">
        <v>141.0</v>
      </c>
    </row>
    <row r="312" ht="14.25" customHeight="1">
      <c r="A312" s="544">
        <v>45490.0</v>
      </c>
      <c r="B312" s="526" t="s">
        <v>7805</v>
      </c>
      <c r="C312" s="526" t="s">
        <v>7806</v>
      </c>
      <c r="D312" s="526" t="s">
        <v>162</v>
      </c>
      <c r="E312" s="526" t="s">
        <v>7733</v>
      </c>
      <c r="F312" s="526">
        <v>1.0</v>
      </c>
      <c r="G312" s="526" t="s">
        <v>7393</v>
      </c>
      <c r="H312" s="526">
        <v>85.0</v>
      </c>
    </row>
    <row r="313" ht="14.25" customHeight="1">
      <c r="A313" s="544">
        <v>45491.0</v>
      </c>
      <c r="B313" s="526" t="s">
        <v>2193</v>
      </c>
      <c r="C313" s="526" t="s">
        <v>7807</v>
      </c>
      <c r="D313" s="526" t="s">
        <v>162</v>
      </c>
      <c r="E313" s="526"/>
      <c r="F313" s="526">
        <v>1.0</v>
      </c>
      <c r="G313" s="526" t="s">
        <v>7393</v>
      </c>
      <c r="H313" s="526">
        <v>115.0</v>
      </c>
    </row>
    <row r="314" ht="14.25" customHeight="1">
      <c r="A314" s="544">
        <v>45491.0</v>
      </c>
      <c r="B314" s="526" t="s">
        <v>7434</v>
      </c>
      <c r="C314" s="526" t="s">
        <v>7808</v>
      </c>
      <c r="D314" s="526" t="s">
        <v>162</v>
      </c>
      <c r="E314" s="526"/>
      <c r="F314" s="526">
        <v>1.0</v>
      </c>
      <c r="G314" s="526" t="s">
        <v>7393</v>
      </c>
      <c r="H314" s="526">
        <v>110.0</v>
      </c>
    </row>
    <row r="315" ht="14.25" customHeight="1">
      <c r="A315" s="545">
        <v>45495.0</v>
      </c>
      <c r="B315" s="546" t="s">
        <v>7809</v>
      </c>
      <c r="C315" s="546" t="s">
        <v>7810</v>
      </c>
      <c r="D315" s="546" t="s">
        <v>162</v>
      </c>
      <c r="E315" s="546" t="s">
        <v>7733</v>
      </c>
      <c r="F315" s="546">
        <v>1.0</v>
      </c>
      <c r="G315" s="546" t="s">
        <v>7393</v>
      </c>
      <c r="H315" s="547">
        <v>80.0</v>
      </c>
    </row>
    <row r="316" ht="14.25" customHeight="1">
      <c r="A316" s="548">
        <v>45496.0</v>
      </c>
      <c r="B316" s="526" t="s">
        <v>2607</v>
      </c>
      <c r="C316" s="526" t="s">
        <v>7811</v>
      </c>
      <c r="D316" s="526" t="s">
        <v>162</v>
      </c>
      <c r="E316" s="526" t="s">
        <v>7812</v>
      </c>
      <c r="F316" s="526">
        <v>1.0</v>
      </c>
      <c r="G316" s="526" t="s">
        <v>7393</v>
      </c>
      <c r="H316" s="549">
        <v>85.0</v>
      </c>
    </row>
    <row r="317" ht="14.25" customHeight="1">
      <c r="A317" s="548">
        <v>45496.0</v>
      </c>
      <c r="B317" s="526" t="s">
        <v>2193</v>
      </c>
      <c r="C317" s="526" t="s">
        <v>7813</v>
      </c>
      <c r="D317" s="526" t="s">
        <v>162</v>
      </c>
      <c r="E317" s="526" t="s">
        <v>7801</v>
      </c>
      <c r="F317" s="526">
        <v>1.0</v>
      </c>
      <c r="G317" s="526" t="s">
        <v>7393</v>
      </c>
      <c r="H317" s="549">
        <v>85.0</v>
      </c>
    </row>
    <row r="318" ht="14.25" customHeight="1">
      <c r="A318" s="548">
        <v>45497.0</v>
      </c>
      <c r="B318" s="526" t="s">
        <v>7814</v>
      </c>
      <c r="C318" s="526" t="s">
        <v>7815</v>
      </c>
      <c r="D318" s="526" t="s">
        <v>208</v>
      </c>
      <c r="E318" s="526" t="s">
        <v>6906</v>
      </c>
      <c r="F318" s="526">
        <v>1.0</v>
      </c>
      <c r="G318" s="526" t="s">
        <v>7393</v>
      </c>
      <c r="H318" s="549">
        <v>175.0</v>
      </c>
    </row>
    <row r="319" ht="14.25" customHeight="1">
      <c r="A319" s="548">
        <v>45497.0</v>
      </c>
      <c r="B319" s="526" t="s">
        <v>2193</v>
      </c>
      <c r="C319" s="526" t="s">
        <v>7807</v>
      </c>
      <c r="D319" s="526" t="s">
        <v>208</v>
      </c>
      <c r="E319" s="526" t="s">
        <v>204</v>
      </c>
      <c r="F319" s="526">
        <v>1.0</v>
      </c>
      <c r="G319" s="526" t="s">
        <v>7393</v>
      </c>
      <c r="H319" s="549">
        <v>175.0</v>
      </c>
    </row>
    <row r="320" ht="14.25" customHeight="1">
      <c r="A320" s="548">
        <v>45498.0</v>
      </c>
      <c r="B320" s="526" t="s">
        <v>7816</v>
      </c>
      <c r="C320" s="526" t="s">
        <v>7817</v>
      </c>
      <c r="D320" s="526" t="s">
        <v>208</v>
      </c>
      <c r="E320" s="526" t="s">
        <v>204</v>
      </c>
      <c r="F320" s="526">
        <v>1.0</v>
      </c>
      <c r="G320" s="526" t="s">
        <v>7393</v>
      </c>
      <c r="H320" s="549">
        <v>141.0</v>
      </c>
    </row>
    <row r="321" ht="14.25" customHeight="1">
      <c r="A321" s="548">
        <v>45498.0</v>
      </c>
      <c r="B321" s="526" t="s">
        <v>7818</v>
      </c>
      <c r="C321" s="526" t="s">
        <v>7819</v>
      </c>
      <c r="D321" s="526" t="s">
        <v>208</v>
      </c>
      <c r="E321" s="526" t="s">
        <v>204</v>
      </c>
      <c r="F321" s="526">
        <v>1.0</v>
      </c>
      <c r="G321" s="526" t="s">
        <v>7393</v>
      </c>
      <c r="H321" s="549">
        <v>141.0</v>
      </c>
    </row>
    <row r="322" ht="14.25" customHeight="1">
      <c r="A322" s="548">
        <v>45498.0</v>
      </c>
      <c r="B322" s="526" t="s">
        <v>7820</v>
      </c>
      <c r="C322" s="526" t="s">
        <v>7821</v>
      </c>
      <c r="D322" s="526" t="s">
        <v>162</v>
      </c>
      <c r="E322" s="526" t="s">
        <v>7822</v>
      </c>
      <c r="F322" s="526">
        <v>1.0</v>
      </c>
      <c r="G322" s="526" t="s">
        <v>7393</v>
      </c>
      <c r="H322" s="549">
        <v>85.0</v>
      </c>
    </row>
    <row r="323" ht="14.25" customHeight="1">
      <c r="A323" s="548">
        <v>45498.0</v>
      </c>
      <c r="B323" s="526" t="s">
        <v>2638</v>
      </c>
      <c r="C323" s="526" t="s">
        <v>7823</v>
      </c>
      <c r="D323" s="526" t="s">
        <v>252</v>
      </c>
      <c r="E323" s="526" t="s">
        <v>7824</v>
      </c>
      <c r="F323" s="526">
        <v>1.0</v>
      </c>
      <c r="G323" s="526" t="s">
        <v>7393</v>
      </c>
      <c r="H323" s="549">
        <v>73.0</v>
      </c>
    </row>
    <row r="324" ht="14.25" customHeight="1">
      <c r="A324" s="548">
        <v>45498.0</v>
      </c>
      <c r="B324" s="526" t="s">
        <v>2561</v>
      </c>
      <c r="C324" s="526" t="s">
        <v>7825</v>
      </c>
      <c r="D324" s="526" t="s">
        <v>208</v>
      </c>
      <c r="E324" s="526" t="s">
        <v>204</v>
      </c>
      <c r="F324" s="526">
        <v>1.0</v>
      </c>
      <c r="G324" s="526" t="s">
        <v>7393</v>
      </c>
      <c r="H324" s="549">
        <v>141.0</v>
      </c>
    </row>
    <row r="325" ht="14.25" customHeight="1">
      <c r="A325" s="548">
        <v>45499.0</v>
      </c>
      <c r="B325" s="526" t="s">
        <v>7826</v>
      </c>
      <c r="C325" s="526" t="s">
        <v>7827</v>
      </c>
      <c r="D325" s="526" t="s">
        <v>162</v>
      </c>
      <c r="E325" s="526" t="s">
        <v>7801</v>
      </c>
      <c r="F325" s="526">
        <v>1.0</v>
      </c>
      <c r="G325" s="526" t="s">
        <v>7393</v>
      </c>
      <c r="H325" s="549">
        <v>85.0</v>
      </c>
    </row>
    <row r="326" ht="14.25" customHeight="1">
      <c r="A326" s="548">
        <v>45502.0</v>
      </c>
      <c r="B326" s="526" t="s">
        <v>2547</v>
      </c>
      <c r="C326" s="526" t="s">
        <v>7828</v>
      </c>
      <c r="D326" s="526" t="s">
        <v>208</v>
      </c>
      <c r="E326" s="526" t="s">
        <v>204</v>
      </c>
      <c r="F326" s="526">
        <v>1.0</v>
      </c>
      <c r="G326" s="526" t="s">
        <v>7393</v>
      </c>
      <c r="H326" s="549">
        <v>141.0</v>
      </c>
    </row>
    <row r="327" ht="14.25" customHeight="1">
      <c r="A327" s="548">
        <v>45502.0</v>
      </c>
      <c r="B327" s="526" t="s">
        <v>7417</v>
      </c>
      <c r="C327" s="526" t="s">
        <v>7829</v>
      </c>
      <c r="D327" s="526" t="s">
        <v>208</v>
      </c>
      <c r="E327" s="526" t="s">
        <v>204</v>
      </c>
      <c r="F327" s="526">
        <v>1.0</v>
      </c>
      <c r="G327" s="526" t="s">
        <v>7393</v>
      </c>
      <c r="H327" s="549">
        <v>141.0</v>
      </c>
    </row>
    <row r="328" ht="14.25" customHeight="1">
      <c r="A328" s="548">
        <v>45502.0</v>
      </c>
      <c r="B328" s="526" t="s">
        <v>7760</v>
      </c>
      <c r="C328" s="526" t="s">
        <v>7830</v>
      </c>
      <c r="D328" s="526" t="s">
        <v>208</v>
      </c>
      <c r="E328" s="526" t="s">
        <v>204</v>
      </c>
      <c r="F328" s="526">
        <v>1.0</v>
      </c>
      <c r="G328" s="526" t="s">
        <v>7393</v>
      </c>
      <c r="H328" s="549">
        <v>141.0</v>
      </c>
    </row>
    <row r="329" ht="14.25" customHeight="1">
      <c r="A329" s="548">
        <v>45502.0</v>
      </c>
      <c r="B329" s="526" t="s">
        <v>2193</v>
      </c>
      <c r="C329" s="526" t="s">
        <v>7831</v>
      </c>
      <c r="D329" s="526" t="s">
        <v>208</v>
      </c>
      <c r="E329" s="526" t="s">
        <v>204</v>
      </c>
      <c r="F329" s="526">
        <v>1.0</v>
      </c>
      <c r="G329" s="526" t="s">
        <v>7393</v>
      </c>
      <c r="H329" s="549">
        <v>141.0</v>
      </c>
    </row>
    <row r="330" ht="14.25" customHeight="1">
      <c r="A330" s="548">
        <v>45503.0</v>
      </c>
      <c r="B330" s="526" t="s">
        <v>7832</v>
      </c>
      <c r="C330" s="526" t="s">
        <v>7833</v>
      </c>
      <c r="D330" s="526" t="s">
        <v>252</v>
      </c>
      <c r="E330" s="526" t="s">
        <v>6851</v>
      </c>
      <c r="F330" s="526">
        <v>1.0</v>
      </c>
      <c r="G330" s="526" t="s">
        <v>7393</v>
      </c>
      <c r="H330" s="549">
        <v>61.0</v>
      </c>
    </row>
    <row r="331" ht="14.25" customHeight="1">
      <c r="A331" s="548">
        <v>45503.0</v>
      </c>
      <c r="B331" s="526" t="s">
        <v>2638</v>
      </c>
      <c r="C331" s="526" t="s">
        <v>7834</v>
      </c>
      <c r="D331" s="526" t="s">
        <v>8767</v>
      </c>
      <c r="E331" s="526" t="s">
        <v>7707</v>
      </c>
      <c r="F331" s="526">
        <v>1.0</v>
      </c>
      <c r="G331" s="526" t="s">
        <v>7393</v>
      </c>
      <c r="H331" s="549">
        <v>85.0</v>
      </c>
    </row>
    <row r="332" ht="14.25" customHeight="1">
      <c r="A332" s="548">
        <v>45503.0</v>
      </c>
      <c r="B332" s="526" t="s">
        <v>7406</v>
      </c>
      <c r="C332" s="526" t="s">
        <v>7835</v>
      </c>
      <c r="D332" s="526" t="s">
        <v>208</v>
      </c>
      <c r="E332" s="526" t="s">
        <v>204</v>
      </c>
      <c r="F332" s="526">
        <v>1.0</v>
      </c>
      <c r="G332" s="526" t="s">
        <v>7393</v>
      </c>
      <c r="H332" s="549">
        <v>141.0</v>
      </c>
    </row>
    <row r="333" ht="14.25" customHeight="1">
      <c r="A333" s="548">
        <v>45503.0</v>
      </c>
      <c r="B333" s="526" t="s">
        <v>7805</v>
      </c>
      <c r="C333" s="526" t="s">
        <v>7836</v>
      </c>
      <c r="D333" s="526" t="s">
        <v>208</v>
      </c>
      <c r="E333" s="526" t="s">
        <v>204</v>
      </c>
      <c r="F333" s="526">
        <v>2.0</v>
      </c>
      <c r="G333" s="526" t="s">
        <v>7393</v>
      </c>
      <c r="H333" s="549">
        <v>272.0</v>
      </c>
    </row>
    <row r="334" ht="14.25" customHeight="1">
      <c r="A334" s="548">
        <v>45503.0</v>
      </c>
      <c r="B334" s="526" t="s">
        <v>7805</v>
      </c>
      <c r="C334" s="526" t="s">
        <v>7836</v>
      </c>
      <c r="D334" s="526" t="s">
        <v>208</v>
      </c>
      <c r="E334" s="526" t="s">
        <v>7564</v>
      </c>
      <c r="F334" s="526">
        <v>1.0</v>
      </c>
      <c r="G334" s="526" t="s">
        <v>7393</v>
      </c>
      <c r="H334" s="549">
        <v>141.0</v>
      </c>
    </row>
    <row r="335" ht="14.25" customHeight="1">
      <c r="A335" s="548">
        <v>45503.0</v>
      </c>
      <c r="B335" s="526" t="s">
        <v>7554</v>
      </c>
      <c r="C335" s="526" t="s">
        <v>7837</v>
      </c>
      <c r="D335" s="526" t="s">
        <v>252</v>
      </c>
      <c r="E335" s="526" t="s">
        <v>6851</v>
      </c>
      <c r="F335" s="526">
        <v>1.0</v>
      </c>
      <c r="G335" s="526" t="s">
        <v>7393</v>
      </c>
      <c r="H335" s="549">
        <v>73.0</v>
      </c>
    </row>
    <row r="336" ht="14.25" customHeight="1">
      <c r="A336" s="550" t="s">
        <v>8774</v>
      </c>
      <c r="B336" s="511"/>
      <c r="C336" s="511"/>
      <c r="D336" s="511"/>
      <c r="E336" s="512"/>
      <c r="F336" s="512">
        <f>SUM(F337:F347)</f>
        <v>11</v>
      </c>
      <c r="G336" s="511"/>
      <c r="H336" s="551">
        <f>SUM(H337:H347)</f>
        <v>1635.9</v>
      </c>
    </row>
    <row r="337" ht="14.25" customHeight="1">
      <c r="A337" s="552"/>
      <c r="B337" s="526"/>
      <c r="C337" s="526"/>
      <c r="D337" s="526" t="s">
        <v>208</v>
      </c>
      <c r="E337" s="526"/>
      <c r="F337" s="526">
        <v>1.0</v>
      </c>
      <c r="G337" s="526"/>
      <c r="H337" s="549">
        <v>176.9</v>
      </c>
    </row>
    <row r="338" ht="14.25" customHeight="1">
      <c r="A338" s="552"/>
      <c r="B338" s="526"/>
      <c r="C338" s="526"/>
      <c r="D338" s="526" t="s">
        <v>162</v>
      </c>
      <c r="E338" s="526"/>
      <c r="F338" s="526">
        <v>1.0</v>
      </c>
      <c r="G338" s="526"/>
      <c r="H338" s="549">
        <v>91.9</v>
      </c>
    </row>
    <row r="339" ht="14.25" customHeight="1">
      <c r="A339" s="552"/>
      <c r="B339" s="526"/>
      <c r="C339" s="526"/>
      <c r="D339" s="526" t="s">
        <v>208</v>
      </c>
      <c r="E339" s="526"/>
      <c r="F339" s="526">
        <v>1.0</v>
      </c>
      <c r="G339" s="526"/>
      <c r="H339" s="549">
        <v>176.9</v>
      </c>
    </row>
    <row r="340" ht="14.25" customHeight="1">
      <c r="A340" s="552"/>
      <c r="B340" s="526"/>
      <c r="C340" s="526"/>
      <c r="D340" s="526" t="s">
        <v>208</v>
      </c>
      <c r="E340" s="526"/>
      <c r="F340" s="526">
        <v>1.0</v>
      </c>
      <c r="G340" s="526"/>
      <c r="H340" s="549">
        <v>176.9</v>
      </c>
    </row>
    <row r="341" ht="14.25" customHeight="1">
      <c r="A341" s="552"/>
      <c r="B341" s="526"/>
      <c r="C341" s="526"/>
      <c r="D341" s="526" t="s">
        <v>208</v>
      </c>
      <c r="E341" s="526"/>
      <c r="F341" s="526">
        <v>1.0</v>
      </c>
      <c r="G341" s="526"/>
      <c r="H341" s="549">
        <v>176.9</v>
      </c>
    </row>
    <row r="342" ht="14.25" customHeight="1">
      <c r="A342" s="552"/>
      <c r="B342" s="526"/>
      <c r="C342" s="526"/>
      <c r="D342" s="526" t="s">
        <v>208</v>
      </c>
      <c r="E342" s="526"/>
      <c r="F342" s="526">
        <v>1.0</v>
      </c>
      <c r="G342" s="526"/>
      <c r="H342" s="549">
        <v>176.9</v>
      </c>
    </row>
    <row r="343" ht="14.25" customHeight="1">
      <c r="A343" s="552"/>
      <c r="B343" s="526"/>
      <c r="C343" s="526"/>
      <c r="D343" s="526" t="s">
        <v>208</v>
      </c>
      <c r="E343" s="526"/>
      <c r="F343" s="526">
        <v>1.0</v>
      </c>
      <c r="G343" s="526"/>
      <c r="H343" s="549">
        <v>176.9</v>
      </c>
    </row>
    <row r="344" ht="14.25" customHeight="1">
      <c r="A344" s="552"/>
      <c r="B344" s="526"/>
      <c r="C344" s="526"/>
      <c r="D344" s="526" t="s">
        <v>208</v>
      </c>
      <c r="E344" s="526"/>
      <c r="F344" s="526">
        <v>1.0</v>
      </c>
      <c r="G344" s="526"/>
      <c r="H344" s="549">
        <v>176.9</v>
      </c>
    </row>
    <row r="345" ht="14.25" customHeight="1">
      <c r="A345" s="553"/>
      <c r="B345" s="546"/>
      <c r="C345" s="546"/>
      <c r="D345" s="526" t="s">
        <v>208</v>
      </c>
      <c r="E345" s="546"/>
      <c r="F345" s="546">
        <v>1.0</v>
      </c>
      <c r="G345" s="546"/>
      <c r="H345" s="547">
        <v>106.9</v>
      </c>
    </row>
    <row r="346" ht="14.25" customHeight="1">
      <c r="A346" s="526"/>
      <c r="B346" s="526"/>
      <c r="C346" s="526"/>
      <c r="D346" s="526" t="s">
        <v>162</v>
      </c>
      <c r="E346" s="526"/>
      <c r="F346" s="526">
        <v>1.0</v>
      </c>
      <c r="G346" s="526"/>
      <c r="H346" s="549">
        <v>91.9</v>
      </c>
    </row>
    <row r="347" ht="14.25" customHeight="1">
      <c r="A347" s="526"/>
      <c r="B347" s="526"/>
      <c r="C347" s="526"/>
      <c r="D347" s="526" t="s">
        <v>162</v>
      </c>
      <c r="E347" s="526"/>
      <c r="F347" s="526">
        <v>1.0</v>
      </c>
      <c r="G347" s="526"/>
      <c r="H347" s="549">
        <v>106.9</v>
      </c>
    </row>
    <row r="348" ht="14.25" customHeight="1">
      <c r="A348" s="550" t="s">
        <v>8775</v>
      </c>
      <c r="B348" s="511"/>
      <c r="C348" s="511"/>
      <c r="D348" s="511"/>
      <c r="E348" s="512"/>
      <c r="F348" s="512">
        <f>SUM(F349:F390)</f>
        <v>43</v>
      </c>
      <c r="G348" s="511"/>
      <c r="H348" s="551">
        <f>SUM(H349:H390)</f>
        <v>5912</v>
      </c>
    </row>
    <row r="349" ht="14.25" customHeight="1">
      <c r="A349" s="526"/>
      <c r="B349" s="526"/>
      <c r="C349" s="526"/>
      <c r="D349" s="526" t="s">
        <v>208</v>
      </c>
      <c r="E349" s="526"/>
      <c r="F349" s="526">
        <v>1.0</v>
      </c>
      <c r="G349" s="526"/>
      <c r="H349" s="526">
        <v>176.9</v>
      </c>
    </row>
    <row r="350" ht="14.25" customHeight="1">
      <c r="A350" s="526"/>
      <c r="B350" s="526"/>
      <c r="C350" s="526"/>
      <c r="D350" s="526" t="s">
        <v>208</v>
      </c>
      <c r="E350" s="526"/>
      <c r="F350" s="526">
        <v>1.0</v>
      </c>
      <c r="G350" s="526"/>
      <c r="H350" s="526">
        <v>176.9</v>
      </c>
    </row>
    <row r="351" ht="14.25" customHeight="1">
      <c r="A351" s="526"/>
      <c r="B351" s="526"/>
      <c r="C351" s="526"/>
      <c r="D351" s="526" t="s">
        <v>208</v>
      </c>
      <c r="E351" s="526"/>
      <c r="F351" s="526">
        <v>1.0</v>
      </c>
      <c r="G351" s="526"/>
      <c r="H351" s="526">
        <v>159.9</v>
      </c>
    </row>
    <row r="352" ht="14.25" customHeight="1">
      <c r="A352" s="526"/>
      <c r="B352" s="526"/>
      <c r="C352" s="526"/>
      <c r="D352" s="526" t="s">
        <v>208</v>
      </c>
      <c r="E352" s="526"/>
      <c r="F352" s="526">
        <v>1.0</v>
      </c>
      <c r="G352" s="526"/>
      <c r="H352" s="526">
        <v>159.9</v>
      </c>
    </row>
    <row r="353" ht="14.25" customHeight="1">
      <c r="A353" s="526"/>
      <c r="B353" s="526"/>
      <c r="C353" s="526"/>
      <c r="D353" s="526" t="s">
        <v>208</v>
      </c>
      <c r="E353" s="526"/>
      <c r="F353" s="526">
        <v>1.0</v>
      </c>
      <c r="G353" s="526"/>
      <c r="H353" s="526">
        <v>159.9</v>
      </c>
    </row>
    <row r="354" ht="14.25" customHeight="1">
      <c r="A354" s="526"/>
      <c r="B354" s="526"/>
      <c r="C354" s="526"/>
      <c r="D354" s="526" t="s">
        <v>208</v>
      </c>
      <c r="E354" s="526"/>
      <c r="F354" s="526">
        <v>1.0</v>
      </c>
      <c r="G354" s="526"/>
      <c r="H354" s="526">
        <v>176.9</v>
      </c>
    </row>
    <row r="355" ht="14.25" customHeight="1">
      <c r="A355" s="526"/>
      <c r="B355" s="526"/>
      <c r="C355" s="526"/>
      <c r="D355" s="526" t="s">
        <v>208</v>
      </c>
      <c r="E355" s="526"/>
      <c r="F355" s="526">
        <v>1.0</v>
      </c>
      <c r="G355" s="526"/>
      <c r="H355" s="526">
        <v>159.9</v>
      </c>
    </row>
    <row r="356" ht="14.25" customHeight="1">
      <c r="A356" s="526"/>
      <c r="B356" s="526"/>
      <c r="C356" s="526"/>
      <c r="D356" s="526" t="s">
        <v>208</v>
      </c>
      <c r="E356" s="526"/>
      <c r="F356" s="526">
        <v>1.0</v>
      </c>
      <c r="G356" s="526"/>
      <c r="H356" s="526">
        <v>159.9</v>
      </c>
    </row>
    <row r="357" ht="14.25" customHeight="1">
      <c r="A357" s="526"/>
      <c r="B357" s="526"/>
      <c r="C357" s="526"/>
      <c r="D357" s="526" t="s">
        <v>208</v>
      </c>
      <c r="E357" s="526"/>
      <c r="F357" s="526">
        <v>1.0</v>
      </c>
      <c r="G357" s="526"/>
      <c r="H357" s="526">
        <v>159.9</v>
      </c>
    </row>
    <row r="358" ht="14.25" customHeight="1">
      <c r="A358" s="526"/>
      <c r="B358" s="526"/>
      <c r="C358" s="526"/>
      <c r="D358" s="526" t="s">
        <v>208</v>
      </c>
      <c r="E358" s="526"/>
      <c r="F358" s="526">
        <v>1.0</v>
      </c>
      <c r="G358" s="526"/>
      <c r="H358" s="526">
        <v>159.9</v>
      </c>
    </row>
    <row r="359" ht="14.25" customHeight="1">
      <c r="A359" s="526"/>
      <c r="B359" s="526"/>
      <c r="C359" s="526"/>
      <c r="D359" s="526" t="s">
        <v>208</v>
      </c>
      <c r="E359" s="526"/>
      <c r="F359" s="526">
        <v>1.0</v>
      </c>
      <c r="G359" s="526"/>
      <c r="H359" s="526">
        <v>159.9</v>
      </c>
    </row>
    <row r="360" ht="14.25" customHeight="1">
      <c r="A360" s="526"/>
      <c r="B360" s="526"/>
      <c r="C360" s="526"/>
      <c r="D360" s="526" t="s">
        <v>252</v>
      </c>
      <c r="E360" s="526"/>
      <c r="F360" s="526">
        <v>1.0</v>
      </c>
      <c r="G360" s="526"/>
      <c r="H360" s="526">
        <v>81.9</v>
      </c>
    </row>
    <row r="361" ht="14.25" customHeight="1">
      <c r="A361" s="554">
        <v>45549.0</v>
      </c>
      <c r="B361" s="526" t="s">
        <v>7838</v>
      </c>
      <c r="C361" s="526" t="s">
        <v>7839</v>
      </c>
      <c r="D361" s="526" t="s">
        <v>8776</v>
      </c>
      <c r="E361" s="526"/>
      <c r="F361" s="526">
        <v>1.0</v>
      </c>
      <c r="G361" s="526"/>
      <c r="H361" s="526">
        <v>159.9</v>
      </c>
    </row>
    <row r="362" ht="14.25" customHeight="1">
      <c r="A362" s="554">
        <v>45553.0</v>
      </c>
      <c r="B362" s="526" t="s">
        <v>7434</v>
      </c>
      <c r="C362" s="526" t="s">
        <v>7840</v>
      </c>
      <c r="D362" s="526" t="s">
        <v>8730</v>
      </c>
      <c r="E362" s="526"/>
      <c r="F362" s="526">
        <v>1.0</v>
      </c>
      <c r="G362" s="526"/>
      <c r="H362" s="526">
        <v>106.9</v>
      </c>
    </row>
    <row r="363" ht="14.25" customHeight="1">
      <c r="A363" s="554">
        <v>45558.0</v>
      </c>
      <c r="B363" s="526" t="s">
        <v>2193</v>
      </c>
      <c r="C363" s="526" t="s">
        <v>7842</v>
      </c>
      <c r="D363" s="526" t="s">
        <v>8776</v>
      </c>
      <c r="E363" s="526"/>
      <c r="F363" s="526">
        <v>1.0</v>
      </c>
      <c r="G363" s="526"/>
      <c r="H363" s="526">
        <v>179.9</v>
      </c>
    </row>
    <row r="364" ht="14.25" customHeight="1">
      <c r="A364" s="554">
        <v>45558.0</v>
      </c>
      <c r="B364" s="526" t="s">
        <v>2647</v>
      </c>
      <c r="C364" s="526" t="s">
        <v>7843</v>
      </c>
      <c r="D364" s="526" t="s">
        <v>8730</v>
      </c>
      <c r="E364" s="526"/>
      <c r="F364" s="526">
        <v>1.0</v>
      </c>
      <c r="G364" s="526"/>
      <c r="H364" s="526">
        <v>96.9</v>
      </c>
    </row>
    <row r="365" ht="14.25" customHeight="1">
      <c r="A365" s="554">
        <v>45558.0</v>
      </c>
      <c r="B365" s="526" t="s">
        <v>7844</v>
      </c>
      <c r="C365" s="526" t="s">
        <v>7845</v>
      </c>
      <c r="D365" s="526" t="s">
        <v>8776</v>
      </c>
      <c r="E365" s="526"/>
      <c r="F365" s="526">
        <v>1.0</v>
      </c>
      <c r="G365" s="526"/>
      <c r="H365" s="526">
        <v>176.9</v>
      </c>
    </row>
    <row r="366" ht="14.25" customHeight="1">
      <c r="A366" s="554">
        <v>45559.0</v>
      </c>
      <c r="B366" s="526" t="s">
        <v>7672</v>
      </c>
      <c r="C366" s="526" t="s">
        <v>7846</v>
      </c>
      <c r="D366" s="526" t="s">
        <v>8727</v>
      </c>
      <c r="E366" s="526"/>
      <c r="F366" s="526">
        <v>1.0</v>
      </c>
      <c r="G366" s="526"/>
      <c r="H366" s="526">
        <v>96.9</v>
      </c>
    </row>
    <row r="367" ht="14.25" customHeight="1">
      <c r="A367" s="554">
        <v>45559.0</v>
      </c>
      <c r="B367" s="526" t="s">
        <v>7396</v>
      </c>
      <c r="C367" s="526" t="s">
        <v>7847</v>
      </c>
      <c r="D367" s="526" t="s">
        <v>8726</v>
      </c>
      <c r="E367" s="526"/>
      <c r="F367" s="526">
        <v>1.0</v>
      </c>
      <c r="G367" s="526"/>
      <c r="H367" s="526">
        <v>96.9</v>
      </c>
    </row>
    <row r="368" ht="14.25" customHeight="1">
      <c r="A368" s="554">
        <v>45559.0</v>
      </c>
      <c r="B368" s="526" t="s">
        <v>7848</v>
      </c>
      <c r="C368" s="526" t="s">
        <v>7849</v>
      </c>
      <c r="D368" s="526" t="s">
        <v>8727</v>
      </c>
      <c r="E368" s="526"/>
      <c r="F368" s="526">
        <v>1.0</v>
      </c>
      <c r="G368" s="526"/>
      <c r="H368" s="526">
        <v>106.9</v>
      </c>
    </row>
    <row r="369" ht="14.25" customHeight="1">
      <c r="A369" s="554">
        <v>45559.0</v>
      </c>
      <c r="B369" s="526" t="s">
        <v>7850</v>
      </c>
      <c r="C369" s="526" t="s">
        <v>7851</v>
      </c>
      <c r="D369" s="526" t="s">
        <v>8727</v>
      </c>
      <c r="E369" s="526"/>
      <c r="F369" s="526">
        <v>1.0</v>
      </c>
      <c r="G369" s="526"/>
      <c r="H369" s="526">
        <v>96.9</v>
      </c>
    </row>
    <row r="370" ht="14.25" customHeight="1">
      <c r="A370" s="554">
        <v>45559.0</v>
      </c>
      <c r="B370" s="526" t="s">
        <v>7805</v>
      </c>
      <c r="C370" s="526" t="s">
        <v>7430</v>
      </c>
      <c r="D370" s="526" t="s">
        <v>8733</v>
      </c>
      <c r="E370" s="526"/>
      <c r="F370" s="526">
        <v>1.0</v>
      </c>
      <c r="G370" s="526"/>
      <c r="H370" s="526">
        <v>126.9</v>
      </c>
    </row>
    <row r="371" ht="14.25" customHeight="1">
      <c r="A371" s="554">
        <v>45560.0</v>
      </c>
      <c r="B371" s="526" t="s">
        <v>7852</v>
      </c>
      <c r="C371" s="526" t="s">
        <v>7853</v>
      </c>
      <c r="D371" s="526" t="s">
        <v>8733</v>
      </c>
      <c r="E371" s="526"/>
      <c r="F371" s="526">
        <v>1.0</v>
      </c>
      <c r="G371" s="526"/>
      <c r="H371" s="526">
        <v>126.9</v>
      </c>
    </row>
    <row r="372" ht="14.25" customHeight="1">
      <c r="A372" s="554">
        <v>45560.0</v>
      </c>
      <c r="B372" s="526" t="s">
        <v>2772</v>
      </c>
      <c r="C372" s="526" t="s">
        <v>7854</v>
      </c>
      <c r="D372" s="526" t="s">
        <v>8727</v>
      </c>
      <c r="E372" s="526"/>
      <c r="F372" s="526">
        <v>1.0</v>
      </c>
      <c r="G372" s="526"/>
      <c r="H372" s="526">
        <v>96.9</v>
      </c>
    </row>
    <row r="373" ht="14.25" customHeight="1">
      <c r="A373" s="554">
        <v>45560.0</v>
      </c>
      <c r="B373" s="526" t="s">
        <v>2668</v>
      </c>
      <c r="C373" s="526" t="s">
        <v>7855</v>
      </c>
      <c r="D373" s="526" t="s">
        <v>8106</v>
      </c>
      <c r="E373" s="526"/>
      <c r="F373" s="526">
        <v>1.0</v>
      </c>
      <c r="G373" s="526"/>
      <c r="H373" s="526">
        <v>126.9</v>
      </c>
    </row>
    <row r="374" ht="14.25" customHeight="1">
      <c r="A374" s="554">
        <v>45561.0</v>
      </c>
      <c r="B374" s="526" t="s">
        <v>2561</v>
      </c>
      <c r="C374" s="526" t="s">
        <v>7857</v>
      </c>
      <c r="D374" s="554" t="s">
        <v>6886</v>
      </c>
      <c r="E374" s="526"/>
      <c r="F374" s="526">
        <v>1.0</v>
      </c>
      <c r="G374" s="526"/>
      <c r="H374" s="526">
        <v>126.9</v>
      </c>
    </row>
    <row r="375" ht="14.25" customHeight="1">
      <c r="A375" s="554">
        <v>45561.0</v>
      </c>
      <c r="B375" s="526" t="s">
        <v>2665</v>
      </c>
      <c r="C375" s="526" t="s">
        <v>7795</v>
      </c>
      <c r="D375" s="526" t="s">
        <v>8106</v>
      </c>
      <c r="E375" s="526"/>
      <c r="F375" s="526">
        <v>1.0</v>
      </c>
      <c r="G375" s="526"/>
      <c r="H375" s="526">
        <v>126.9</v>
      </c>
    </row>
    <row r="376" ht="14.25" customHeight="1">
      <c r="A376" s="554">
        <v>45561.0</v>
      </c>
      <c r="B376" s="526" t="s">
        <v>7408</v>
      </c>
      <c r="C376" s="526" t="s">
        <v>7592</v>
      </c>
      <c r="D376" s="526" t="s">
        <v>252</v>
      </c>
      <c r="E376" s="526"/>
      <c r="F376" s="526">
        <v>1.0</v>
      </c>
      <c r="G376" s="526"/>
      <c r="H376" s="526">
        <v>91.9</v>
      </c>
    </row>
    <row r="377" ht="14.25" customHeight="1">
      <c r="A377" s="554">
        <v>45561.0</v>
      </c>
      <c r="B377" s="526" t="s">
        <v>2668</v>
      </c>
      <c r="C377" s="526" t="s">
        <v>7859</v>
      </c>
      <c r="D377" s="526" t="s">
        <v>8748</v>
      </c>
      <c r="E377" s="526"/>
      <c r="F377" s="526">
        <v>1.0</v>
      </c>
      <c r="G377" s="526"/>
      <c r="H377" s="526">
        <v>126.9</v>
      </c>
    </row>
    <row r="378" ht="14.25" customHeight="1">
      <c r="A378" s="554">
        <v>45561.0</v>
      </c>
      <c r="B378" s="526" t="s">
        <v>7417</v>
      </c>
      <c r="C378" s="526" t="s">
        <v>7860</v>
      </c>
      <c r="D378" s="526" t="s">
        <v>8726</v>
      </c>
      <c r="E378" s="526"/>
      <c r="F378" s="526">
        <v>1.0</v>
      </c>
      <c r="G378" s="526"/>
      <c r="H378" s="526">
        <v>106.9</v>
      </c>
    </row>
    <row r="379" ht="14.25" customHeight="1">
      <c r="A379" s="554">
        <v>45561.0</v>
      </c>
      <c r="B379" s="526" t="s">
        <v>7861</v>
      </c>
      <c r="C379" s="526" t="s">
        <v>7862</v>
      </c>
      <c r="D379" s="526" t="s">
        <v>8106</v>
      </c>
      <c r="E379" s="526"/>
      <c r="F379" s="526">
        <v>1.0</v>
      </c>
      <c r="G379" s="526"/>
      <c r="H379" s="526">
        <v>126.9</v>
      </c>
    </row>
    <row r="380" ht="14.25" customHeight="1">
      <c r="A380" s="554">
        <v>45562.0</v>
      </c>
      <c r="B380" s="526" t="s">
        <v>2780</v>
      </c>
      <c r="C380" s="526" t="s">
        <v>7863</v>
      </c>
      <c r="D380" s="526" t="s">
        <v>8748</v>
      </c>
      <c r="E380" s="526"/>
      <c r="F380" s="526">
        <v>1.0</v>
      </c>
      <c r="G380" s="526"/>
      <c r="H380" s="526">
        <v>126.9</v>
      </c>
    </row>
    <row r="381" ht="14.25" customHeight="1">
      <c r="A381" s="554">
        <v>45562.0</v>
      </c>
      <c r="B381" s="526" t="s">
        <v>7427</v>
      </c>
      <c r="C381" s="526" t="s">
        <v>7864</v>
      </c>
      <c r="D381" s="526" t="s">
        <v>8748</v>
      </c>
      <c r="E381" s="526"/>
      <c r="F381" s="526">
        <v>1.0</v>
      </c>
      <c r="G381" s="526"/>
      <c r="H381" s="526">
        <v>126.9</v>
      </c>
    </row>
    <row r="382" ht="14.25" customHeight="1">
      <c r="A382" s="554">
        <v>45562.0</v>
      </c>
      <c r="B382" s="526" t="s">
        <v>2623</v>
      </c>
      <c r="C382" s="526" t="s">
        <v>7865</v>
      </c>
      <c r="D382" s="554" t="s">
        <v>6886</v>
      </c>
      <c r="E382" s="526"/>
      <c r="F382" s="526">
        <v>1.0</v>
      </c>
      <c r="G382" s="526"/>
      <c r="H382" s="526">
        <v>126.9</v>
      </c>
    </row>
    <row r="383" ht="14.25" customHeight="1">
      <c r="A383" s="554">
        <v>45562.0</v>
      </c>
      <c r="B383" s="526" t="s">
        <v>2607</v>
      </c>
      <c r="C383" s="526" t="s">
        <v>7866</v>
      </c>
      <c r="D383" s="554" t="s">
        <v>6886</v>
      </c>
      <c r="E383" s="526"/>
      <c r="F383" s="526">
        <v>1.0</v>
      </c>
      <c r="G383" s="526"/>
      <c r="H383" s="526">
        <v>126.9</v>
      </c>
    </row>
    <row r="384" ht="14.25" customHeight="1">
      <c r="A384" s="554">
        <v>45563.0</v>
      </c>
      <c r="B384" s="526" t="s">
        <v>7559</v>
      </c>
      <c r="C384" s="526" t="s">
        <v>7867</v>
      </c>
      <c r="D384" s="526" t="s">
        <v>8776</v>
      </c>
      <c r="E384" s="526"/>
      <c r="F384" s="526">
        <v>1.0</v>
      </c>
      <c r="G384" s="526"/>
      <c r="H384" s="526">
        <v>176.9</v>
      </c>
    </row>
    <row r="385" ht="14.25" customHeight="1">
      <c r="A385" s="554">
        <v>45563.0</v>
      </c>
      <c r="B385" s="526" t="s">
        <v>2772</v>
      </c>
      <c r="C385" s="526"/>
      <c r="D385" s="526" t="s">
        <v>8748</v>
      </c>
      <c r="E385" s="526"/>
      <c r="F385" s="526">
        <v>1.0</v>
      </c>
      <c r="G385" s="526" t="s">
        <v>3009</v>
      </c>
      <c r="H385" s="526">
        <v>136.0</v>
      </c>
    </row>
    <row r="386" ht="14.25" customHeight="1">
      <c r="A386" s="554">
        <v>45563.0</v>
      </c>
      <c r="B386" s="526" t="s">
        <v>2623</v>
      </c>
      <c r="C386" s="526" t="s">
        <v>7868</v>
      </c>
      <c r="D386" s="526" t="s">
        <v>8735</v>
      </c>
      <c r="E386" s="526"/>
      <c r="F386" s="526">
        <v>1.0</v>
      </c>
      <c r="G386" s="526" t="s">
        <v>7393</v>
      </c>
      <c r="H386" s="526">
        <v>126.9</v>
      </c>
    </row>
    <row r="387" ht="14.25" customHeight="1">
      <c r="A387" s="554">
        <v>45563.0</v>
      </c>
      <c r="B387" s="526" t="s">
        <v>7637</v>
      </c>
      <c r="C387" s="526" t="s">
        <v>7797</v>
      </c>
      <c r="D387" s="526" t="s">
        <v>8776</v>
      </c>
      <c r="E387" s="526"/>
      <c r="F387" s="526">
        <v>2.0</v>
      </c>
      <c r="G387" s="526" t="s">
        <v>7393</v>
      </c>
      <c r="H387" s="526">
        <v>340.0</v>
      </c>
    </row>
    <row r="388" ht="14.25" customHeight="1">
      <c r="A388" s="554">
        <v>45563.0</v>
      </c>
      <c r="B388" s="526" t="s">
        <v>7869</v>
      </c>
      <c r="C388" s="526" t="s">
        <v>7870</v>
      </c>
      <c r="D388" s="526" t="s">
        <v>8776</v>
      </c>
      <c r="E388" s="526"/>
      <c r="F388" s="526">
        <v>1.0</v>
      </c>
      <c r="G388" s="526" t="s">
        <v>7393</v>
      </c>
      <c r="H388" s="526">
        <v>176.9</v>
      </c>
    </row>
    <row r="389" ht="14.25" customHeight="1">
      <c r="A389" s="554">
        <v>45564.0</v>
      </c>
      <c r="B389" s="526" t="s">
        <v>7871</v>
      </c>
      <c r="C389" s="526"/>
      <c r="D389" s="526" t="s">
        <v>6883</v>
      </c>
      <c r="E389" s="526"/>
      <c r="F389" s="526">
        <v>1.0</v>
      </c>
      <c r="G389" s="526" t="s">
        <v>7393</v>
      </c>
      <c r="H389" s="526">
        <v>126.9</v>
      </c>
    </row>
    <row r="390" ht="14.25" customHeight="1">
      <c r="A390" s="554">
        <v>45564.0</v>
      </c>
      <c r="B390" s="526" t="s">
        <v>2638</v>
      </c>
      <c r="C390" s="526" t="s">
        <v>7873</v>
      </c>
      <c r="D390" s="537" t="s">
        <v>8735</v>
      </c>
      <c r="E390" s="526"/>
      <c r="F390" s="526">
        <v>1.0</v>
      </c>
      <c r="G390" s="526" t="s">
        <v>7393</v>
      </c>
      <c r="H390" s="526">
        <v>126.9</v>
      </c>
    </row>
    <row r="391" ht="14.25" customHeight="1">
      <c r="A391" s="550" t="s">
        <v>8777</v>
      </c>
      <c r="B391" s="511"/>
      <c r="C391" s="511"/>
      <c r="D391" s="511"/>
      <c r="E391" s="512"/>
      <c r="F391" s="512">
        <f>SUM(F392:F438)</f>
        <v>45</v>
      </c>
      <c r="G391" s="511"/>
      <c r="H391" s="551">
        <f>SUM(H392:H438)</f>
        <v>6173.3</v>
      </c>
    </row>
    <row r="392" ht="14.25" customHeight="1">
      <c r="A392" s="554">
        <v>45566.0</v>
      </c>
      <c r="B392" s="526" t="s">
        <v>7874</v>
      </c>
      <c r="C392" s="526" t="s">
        <v>7875</v>
      </c>
      <c r="D392" s="526" t="s">
        <v>8106</v>
      </c>
      <c r="E392" s="526"/>
      <c r="F392" s="526">
        <v>1.0</v>
      </c>
      <c r="G392" s="526" t="s">
        <v>7393</v>
      </c>
      <c r="H392" s="526">
        <v>126.9</v>
      </c>
    </row>
    <row r="393" ht="14.25" customHeight="1">
      <c r="A393" s="554">
        <v>45566.0</v>
      </c>
      <c r="B393" s="526" t="s">
        <v>7876</v>
      </c>
      <c r="C393" s="526" t="s">
        <v>7877</v>
      </c>
      <c r="D393" s="526" t="s">
        <v>8745</v>
      </c>
      <c r="E393" s="526"/>
      <c r="F393" s="526">
        <v>1.0</v>
      </c>
      <c r="G393" s="526" t="s">
        <v>7393</v>
      </c>
      <c r="H393" s="526">
        <v>126.9</v>
      </c>
    </row>
    <row r="394" ht="14.25" customHeight="1">
      <c r="A394" s="554">
        <v>45566.0</v>
      </c>
      <c r="B394" s="526" t="s">
        <v>2193</v>
      </c>
      <c r="C394" s="526" t="s">
        <v>7879</v>
      </c>
      <c r="D394" s="526" t="s">
        <v>8745</v>
      </c>
      <c r="E394" s="526"/>
      <c r="F394" s="526">
        <v>1.0</v>
      </c>
      <c r="G394" s="526" t="s">
        <v>3009</v>
      </c>
      <c r="H394" s="526">
        <v>126.9</v>
      </c>
    </row>
    <row r="395" ht="14.25" customHeight="1">
      <c r="A395" s="554">
        <v>45567.0</v>
      </c>
      <c r="B395" s="526" t="s">
        <v>2668</v>
      </c>
      <c r="C395" s="526" t="s">
        <v>7880</v>
      </c>
      <c r="D395" s="526" t="s">
        <v>8776</v>
      </c>
      <c r="E395" s="526"/>
      <c r="F395" s="526">
        <v>1.0</v>
      </c>
      <c r="G395" s="526" t="s">
        <v>7393</v>
      </c>
      <c r="H395" s="526">
        <v>176.9</v>
      </c>
    </row>
    <row r="396" ht="14.25" customHeight="1">
      <c r="A396" s="554">
        <v>45567.0</v>
      </c>
      <c r="B396" s="526" t="s">
        <v>7881</v>
      </c>
      <c r="C396" s="526" t="s">
        <v>7882</v>
      </c>
      <c r="D396" s="526" t="s">
        <v>8745</v>
      </c>
      <c r="E396" s="526"/>
      <c r="F396" s="526">
        <v>1.0</v>
      </c>
      <c r="G396" s="526" t="s">
        <v>7393</v>
      </c>
      <c r="H396" s="526">
        <v>135.0</v>
      </c>
    </row>
    <row r="397" ht="14.25" customHeight="1">
      <c r="A397" s="554">
        <v>45567.0</v>
      </c>
      <c r="B397" s="526" t="s">
        <v>7883</v>
      </c>
      <c r="C397" s="526" t="s">
        <v>7884</v>
      </c>
      <c r="D397" s="526" t="s">
        <v>8745</v>
      </c>
      <c r="E397" s="526"/>
      <c r="F397" s="526">
        <v>1.0</v>
      </c>
      <c r="G397" s="526" t="s">
        <v>7393</v>
      </c>
      <c r="H397" s="526">
        <v>126.9</v>
      </c>
    </row>
    <row r="398" ht="14.25" customHeight="1">
      <c r="A398" s="554">
        <v>45567.0</v>
      </c>
      <c r="B398" s="526" t="s">
        <v>2193</v>
      </c>
      <c r="C398" s="526" t="s">
        <v>7807</v>
      </c>
      <c r="D398" s="526" t="s">
        <v>8726</v>
      </c>
      <c r="E398" s="526"/>
      <c r="F398" s="526">
        <v>1.0</v>
      </c>
      <c r="G398" s="526" t="s">
        <v>7393</v>
      </c>
      <c r="H398" s="526">
        <v>106.9</v>
      </c>
    </row>
    <row r="399" ht="14.25" customHeight="1">
      <c r="A399" s="554">
        <v>45569.0</v>
      </c>
      <c r="B399" s="526" t="s">
        <v>7637</v>
      </c>
      <c r="C399" s="526" t="s">
        <v>7885</v>
      </c>
      <c r="D399" s="526" t="s">
        <v>8735</v>
      </c>
      <c r="E399" s="526"/>
      <c r="F399" s="526">
        <v>1.0</v>
      </c>
      <c r="G399" s="526" t="s">
        <v>7393</v>
      </c>
      <c r="H399" s="526">
        <v>126.9</v>
      </c>
    </row>
    <row r="400" ht="14.25" customHeight="1">
      <c r="A400" s="554">
        <v>45569.0</v>
      </c>
      <c r="B400" s="526" t="s">
        <v>7396</v>
      </c>
      <c r="C400" s="526" t="s">
        <v>7886</v>
      </c>
      <c r="D400" s="526" t="s">
        <v>8735</v>
      </c>
      <c r="E400" s="526"/>
      <c r="F400" s="526">
        <v>1.0</v>
      </c>
      <c r="G400" s="526" t="s">
        <v>7393</v>
      </c>
      <c r="H400" s="526">
        <v>126.9</v>
      </c>
    </row>
    <row r="401" ht="14.25" customHeight="1">
      <c r="A401" s="554">
        <v>45569.0</v>
      </c>
      <c r="B401" s="526" t="s">
        <v>7887</v>
      </c>
      <c r="C401" s="526" t="s">
        <v>7888</v>
      </c>
      <c r="D401" s="526" t="s">
        <v>8745</v>
      </c>
      <c r="E401" s="526"/>
      <c r="F401" s="526">
        <v>1.0</v>
      </c>
      <c r="G401" s="526" t="s">
        <v>7393</v>
      </c>
      <c r="H401" s="526">
        <v>126.9</v>
      </c>
    </row>
    <row r="402" ht="14.25" customHeight="1">
      <c r="A402" s="554">
        <v>45570.0</v>
      </c>
      <c r="B402" s="526" t="s">
        <v>7760</v>
      </c>
      <c r="C402" s="526" t="s">
        <v>7830</v>
      </c>
      <c r="D402" s="526" t="s">
        <v>8735</v>
      </c>
      <c r="E402" s="526"/>
      <c r="F402" s="526">
        <v>1.0</v>
      </c>
      <c r="G402" s="526" t="s">
        <v>7393</v>
      </c>
      <c r="H402" s="526">
        <v>126.9</v>
      </c>
    </row>
    <row r="403" ht="14.25" customHeight="1">
      <c r="A403" s="554">
        <v>45570.0</v>
      </c>
      <c r="B403" s="526" t="s">
        <v>7889</v>
      </c>
      <c r="C403" s="526" t="s">
        <v>7890</v>
      </c>
      <c r="D403" s="526" t="s">
        <v>8776</v>
      </c>
      <c r="E403" s="526"/>
      <c r="F403" s="526">
        <v>1.0</v>
      </c>
      <c r="G403" s="526" t="s">
        <v>7393</v>
      </c>
      <c r="H403" s="526">
        <v>176.9</v>
      </c>
    </row>
    <row r="404" ht="14.25" customHeight="1">
      <c r="A404" s="554">
        <v>45571.0</v>
      </c>
      <c r="B404" s="526" t="s">
        <v>2623</v>
      </c>
      <c r="C404" s="526" t="s">
        <v>7891</v>
      </c>
      <c r="D404" s="526" t="s">
        <v>8745</v>
      </c>
      <c r="E404" s="526"/>
      <c r="F404" s="526">
        <v>1.0</v>
      </c>
      <c r="G404" s="526" t="s">
        <v>7393</v>
      </c>
      <c r="H404" s="526">
        <v>126.9</v>
      </c>
    </row>
    <row r="405" ht="14.25" customHeight="1">
      <c r="A405" s="554">
        <v>45572.0</v>
      </c>
      <c r="B405" s="526" t="s">
        <v>2547</v>
      </c>
      <c r="C405" s="526" t="s">
        <v>7892</v>
      </c>
      <c r="D405" s="526" t="s">
        <v>8735</v>
      </c>
      <c r="E405" s="526"/>
      <c r="F405" s="526">
        <v>1.0</v>
      </c>
      <c r="G405" s="526" t="s">
        <v>7393</v>
      </c>
      <c r="H405" s="526">
        <v>120.0</v>
      </c>
    </row>
    <row r="406" ht="14.25" customHeight="1">
      <c r="A406" s="554">
        <v>45572.0</v>
      </c>
      <c r="B406" s="526" t="s">
        <v>7687</v>
      </c>
      <c r="C406" s="526" t="s">
        <v>7688</v>
      </c>
      <c r="D406" s="526" t="s">
        <v>8746</v>
      </c>
      <c r="E406" s="526"/>
      <c r="F406" s="526">
        <v>1.0</v>
      </c>
      <c r="G406" s="526" t="s">
        <v>7393</v>
      </c>
      <c r="H406" s="526">
        <v>126.9</v>
      </c>
    </row>
    <row r="407" ht="14.25" customHeight="1">
      <c r="A407" s="555">
        <v>45574.0</v>
      </c>
      <c r="B407" s="526" t="s">
        <v>7894</v>
      </c>
      <c r="C407" s="526" t="s">
        <v>7895</v>
      </c>
      <c r="D407" s="526" t="s">
        <v>8776</v>
      </c>
      <c r="E407" s="526"/>
      <c r="F407" s="526">
        <v>1.0</v>
      </c>
      <c r="G407" s="526" t="s">
        <v>7393</v>
      </c>
      <c r="H407" s="526">
        <v>170.0</v>
      </c>
    </row>
    <row r="408" ht="14.25" customHeight="1">
      <c r="A408" s="555">
        <v>45574.0</v>
      </c>
      <c r="B408" s="526" t="s">
        <v>7896</v>
      </c>
      <c r="C408" s="526" t="s">
        <v>7897</v>
      </c>
      <c r="D408" s="526" t="s">
        <v>8735</v>
      </c>
      <c r="E408" s="526"/>
      <c r="F408" s="526">
        <v>1.0</v>
      </c>
      <c r="G408" s="526" t="s">
        <v>7393</v>
      </c>
      <c r="H408" s="526">
        <v>126.9</v>
      </c>
    </row>
    <row r="409" ht="14.25" customHeight="1">
      <c r="A409" s="555">
        <v>45574.0</v>
      </c>
      <c r="B409" s="526" t="s">
        <v>7898</v>
      </c>
      <c r="C409" s="526" t="s">
        <v>7899</v>
      </c>
      <c r="D409" s="526" t="s">
        <v>8726</v>
      </c>
      <c r="E409" s="526"/>
      <c r="F409" s="526">
        <v>1.0</v>
      </c>
      <c r="G409" s="526" t="s">
        <v>7393</v>
      </c>
      <c r="H409" s="526">
        <v>106.9</v>
      </c>
    </row>
    <row r="410" ht="14.25" customHeight="1">
      <c r="A410" s="555">
        <v>45575.0</v>
      </c>
      <c r="B410" s="526" t="s">
        <v>7436</v>
      </c>
      <c r="C410" s="526" t="s">
        <v>7900</v>
      </c>
      <c r="D410" s="526" t="s">
        <v>8735</v>
      </c>
      <c r="E410" s="526"/>
      <c r="F410" s="526">
        <v>1.0</v>
      </c>
      <c r="G410" s="526" t="s">
        <v>7393</v>
      </c>
      <c r="H410" s="526">
        <v>126.9</v>
      </c>
    </row>
    <row r="411" ht="14.25" customHeight="1">
      <c r="A411" s="555">
        <v>45575.0</v>
      </c>
      <c r="B411" s="526" t="s">
        <v>2566</v>
      </c>
      <c r="C411" s="526" t="s">
        <v>7901</v>
      </c>
      <c r="D411" s="526" t="s">
        <v>8735</v>
      </c>
      <c r="E411" s="526"/>
      <c r="F411" s="526">
        <v>1.0</v>
      </c>
      <c r="G411" s="526" t="s">
        <v>7393</v>
      </c>
      <c r="H411" s="526">
        <v>126.9</v>
      </c>
    </row>
    <row r="412" ht="14.25" customHeight="1">
      <c r="A412" s="555">
        <v>45575.0</v>
      </c>
      <c r="B412" s="526" t="s">
        <v>7429</v>
      </c>
      <c r="C412" s="526" t="s">
        <v>7902</v>
      </c>
      <c r="D412" s="526" t="s">
        <v>8735</v>
      </c>
      <c r="E412" s="526"/>
      <c r="F412" s="526">
        <v>1.0</v>
      </c>
      <c r="G412" s="526" t="s">
        <v>7393</v>
      </c>
      <c r="H412" s="526">
        <v>120.0</v>
      </c>
    </row>
    <row r="413" ht="14.25" customHeight="1">
      <c r="A413" s="555">
        <v>45575.0</v>
      </c>
      <c r="B413" s="526" t="s">
        <v>2561</v>
      </c>
      <c r="C413" s="526" t="s">
        <v>7903</v>
      </c>
      <c r="D413" s="526" t="s">
        <v>8745</v>
      </c>
      <c r="E413" s="526"/>
      <c r="F413" s="526">
        <v>1.0</v>
      </c>
      <c r="G413" s="526" t="s">
        <v>7393</v>
      </c>
      <c r="H413" s="526">
        <v>120.0</v>
      </c>
    </row>
    <row r="414" ht="14.25" customHeight="1">
      <c r="A414" s="555">
        <v>45575.0</v>
      </c>
      <c r="B414" s="526" t="s">
        <v>7714</v>
      </c>
      <c r="C414" s="526" t="s">
        <v>2769</v>
      </c>
      <c r="D414" s="526" t="s">
        <v>8106</v>
      </c>
      <c r="E414" s="526"/>
      <c r="F414" s="526">
        <v>1.0</v>
      </c>
      <c r="G414" s="526" t="s">
        <v>7393</v>
      </c>
      <c r="H414" s="526">
        <v>126.9</v>
      </c>
    </row>
    <row r="415" ht="14.25" customHeight="1">
      <c r="A415" s="555">
        <v>45575.0</v>
      </c>
      <c r="B415" s="526" t="s">
        <v>2600</v>
      </c>
      <c r="C415" s="526" t="s">
        <v>7904</v>
      </c>
      <c r="D415" s="526" t="s">
        <v>8748</v>
      </c>
      <c r="E415" s="526"/>
      <c r="F415" s="526">
        <v>1.0</v>
      </c>
      <c r="G415" s="526" t="s">
        <v>7393</v>
      </c>
      <c r="H415" s="526">
        <v>126.9</v>
      </c>
    </row>
    <row r="416" ht="14.25" customHeight="1">
      <c r="A416" s="555">
        <v>45576.0</v>
      </c>
      <c r="B416" s="526" t="s">
        <v>7559</v>
      </c>
      <c r="C416" s="526" t="s">
        <v>7905</v>
      </c>
      <c r="D416" s="526" t="s">
        <v>8748</v>
      </c>
      <c r="E416" s="526"/>
      <c r="F416" s="526">
        <v>1.0</v>
      </c>
      <c r="G416" s="526" t="s">
        <v>7393</v>
      </c>
      <c r="H416" s="526">
        <v>126.9</v>
      </c>
    </row>
    <row r="417" ht="14.25" customHeight="1">
      <c r="A417" s="555">
        <v>45576.0</v>
      </c>
      <c r="B417" s="526" t="s">
        <v>2586</v>
      </c>
      <c r="C417" s="526" t="s">
        <v>7906</v>
      </c>
      <c r="D417" s="526" t="s">
        <v>8735</v>
      </c>
      <c r="E417" s="526"/>
      <c r="F417" s="526">
        <v>1.0</v>
      </c>
      <c r="G417" s="526" t="s">
        <v>7393</v>
      </c>
      <c r="H417" s="526">
        <v>126.9</v>
      </c>
    </row>
    <row r="418" ht="14.25" customHeight="1">
      <c r="A418" s="555">
        <v>45577.0</v>
      </c>
      <c r="B418" s="526" t="s">
        <v>7874</v>
      </c>
      <c r="C418" s="526" t="s">
        <v>7907</v>
      </c>
      <c r="D418" s="526" t="s">
        <v>8776</v>
      </c>
      <c r="E418" s="526"/>
      <c r="F418" s="526">
        <v>1.0</v>
      </c>
      <c r="G418" s="526" t="s">
        <v>7393</v>
      </c>
      <c r="H418" s="526">
        <v>176.9</v>
      </c>
    </row>
    <row r="419" ht="14.25" customHeight="1">
      <c r="A419" s="555">
        <v>45577.0</v>
      </c>
      <c r="B419" s="526" t="s">
        <v>7908</v>
      </c>
      <c r="C419" s="526" t="s">
        <v>7909</v>
      </c>
      <c r="D419" s="526" t="s">
        <v>8776</v>
      </c>
      <c r="E419" s="526"/>
      <c r="F419" s="526">
        <v>1.0</v>
      </c>
      <c r="G419" s="526" t="s">
        <v>7393</v>
      </c>
      <c r="H419" s="526">
        <v>176.9</v>
      </c>
    </row>
    <row r="420" ht="14.25" customHeight="1">
      <c r="A420" s="555">
        <v>45577.0</v>
      </c>
      <c r="B420" s="526" t="s">
        <v>7515</v>
      </c>
      <c r="C420" s="526" t="s">
        <v>7910</v>
      </c>
      <c r="D420" s="526" t="s">
        <v>8106</v>
      </c>
      <c r="E420" s="526"/>
      <c r="F420" s="526">
        <v>1.0</v>
      </c>
      <c r="G420" s="526" t="s">
        <v>7393</v>
      </c>
      <c r="H420" s="526">
        <v>120.0</v>
      </c>
    </row>
    <row r="421" ht="14.25" customHeight="1">
      <c r="A421" s="555">
        <v>45578.0</v>
      </c>
      <c r="B421" s="526" t="s">
        <v>2623</v>
      </c>
      <c r="C421" s="526" t="s">
        <v>7911</v>
      </c>
      <c r="D421" s="526" t="s">
        <v>8748</v>
      </c>
      <c r="E421" s="526"/>
      <c r="F421" s="526">
        <v>1.0</v>
      </c>
      <c r="G421" s="526" t="s">
        <v>7393</v>
      </c>
      <c r="H421" s="526">
        <v>126.9</v>
      </c>
    </row>
    <row r="422" ht="14.25" customHeight="1">
      <c r="A422" s="555">
        <v>45578.0</v>
      </c>
      <c r="B422" s="526" t="s">
        <v>7555</v>
      </c>
      <c r="C422" s="526" t="s">
        <v>7912</v>
      </c>
      <c r="D422" s="526" t="s">
        <v>8776</v>
      </c>
      <c r="E422" s="526"/>
      <c r="F422" s="526">
        <v>1.0</v>
      </c>
      <c r="G422" s="526" t="s">
        <v>7393</v>
      </c>
      <c r="H422" s="526">
        <v>176.9</v>
      </c>
    </row>
    <row r="423" ht="14.25" customHeight="1">
      <c r="A423" s="555">
        <v>45578.0</v>
      </c>
      <c r="B423" s="526" t="s">
        <v>7429</v>
      </c>
      <c r="C423" s="526" t="s">
        <v>7913</v>
      </c>
      <c r="D423" s="526" t="s">
        <v>8776</v>
      </c>
      <c r="E423" s="526"/>
      <c r="F423" s="526">
        <v>1.0</v>
      </c>
      <c r="G423" s="526" t="s">
        <v>7393</v>
      </c>
      <c r="H423" s="526">
        <v>176.9</v>
      </c>
    </row>
    <row r="424" ht="14.25" customHeight="1">
      <c r="A424" s="555">
        <v>45579.0</v>
      </c>
      <c r="B424" s="526" t="s">
        <v>7914</v>
      </c>
      <c r="C424" s="526" t="s">
        <v>7915</v>
      </c>
      <c r="D424" s="526" t="s">
        <v>8776</v>
      </c>
      <c r="E424" s="526"/>
      <c r="F424" s="526">
        <v>1.0</v>
      </c>
      <c r="G424" s="526" t="s">
        <v>7393</v>
      </c>
      <c r="H424" s="526">
        <v>176.9</v>
      </c>
    </row>
    <row r="425" ht="14.25" customHeight="1">
      <c r="A425" s="555">
        <v>45579.0</v>
      </c>
      <c r="B425" s="526" t="s">
        <v>7419</v>
      </c>
      <c r="C425" s="526" t="s">
        <v>7916</v>
      </c>
      <c r="D425" s="526" t="s">
        <v>8106</v>
      </c>
      <c r="E425" s="526"/>
      <c r="F425" s="526">
        <v>1.0</v>
      </c>
      <c r="G425" s="526" t="s">
        <v>7393</v>
      </c>
      <c r="H425" s="526">
        <v>126.9</v>
      </c>
    </row>
    <row r="426" ht="14.25" customHeight="1">
      <c r="A426" s="555">
        <v>45579.0</v>
      </c>
      <c r="B426" s="526" t="s">
        <v>2607</v>
      </c>
      <c r="C426" s="526" t="s">
        <v>7917</v>
      </c>
      <c r="D426" s="526" t="s">
        <v>8776</v>
      </c>
      <c r="E426" s="526"/>
      <c r="F426" s="526">
        <v>1.0</v>
      </c>
      <c r="G426" s="526" t="s">
        <v>7393</v>
      </c>
      <c r="H426" s="526">
        <v>176.9</v>
      </c>
    </row>
    <row r="427" ht="14.25" customHeight="1">
      <c r="A427" s="555">
        <v>45580.0</v>
      </c>
      <c r="B427" s="526" t="s">
        <v>2547</v>
      </c>
      <c r="C427" s="526" t="s">
        <v>7918</v>
      </c>
      <c r="D427" s="526" t="s">
        <v>8106</v>
      </c>
      <c r="E427" s="526"/>
      <c r="F427" s="526">
        <v>1.0</v>
      </c>
      <c r="G427" s="526" t="s">
        <v>7393</v>
      </c>
      <c r="H427" s="526">
        <v>126.9</v>
      </c>
    </row>
    <row r="428" ht="14.25" customHeight="1">
      <c r="A428" s="555">
        <v>45581.0</v>
      </c>
      <c r="B428" s="526" t="s">
        <v>7919</v>
      </c>
      <c r="C428" s="526" t="s">
        <v>7920</v>
      </c>
      <c r="D428" s="526" t="s">
        <v>8740</v>
      </c>
      <c r="E428" s="526"/>
      <c r="F428" s="526">
        <v>1.0</v>
      </c>
      <c r="G428" s="526" t="s">
        <v>7393</v>
      </c>
      <c r="H428" s="526">
        <v>100.0</v>
      </c>
    </row>
    <row r="429" ht="14.25" customHeight="1">
      <c r="A429" s="555">
        <v>45583.0</v>
      </c>
      <c r="B429" s="526" t="s">
        <v>2665</v>
      </c>
      <c r="C429" s="526" t="s">
        <v>7921</v>
      </c>
      <c r="D429" s="526" t="s">
        <v>8730</v>
      </c>
      <c r="E429" s="526"/>
      <c r="F429" s="526">
        <v>1.0</v>
      </c>
      <c r="G429" s="526" t="s">
        <v>7393</v>
      </c>
      <c r="H429" s="526">
        <v>106.9</v>
      </c>
    </row>
    <row r="430" ht="14.25" customHeight="1">
      <c r="A430" s="555">
        <v>45583.0</v>
      </c>
      <c r="B430" s="526" t="s">
        <v>2586</v>
      </c>
      <c r="C430" s="526" t="s">
        <v>7922</v>
      </c>
      <c r="D430" s="526" t="s">
        <v>8776</v>
      </c>
      <c r="E430" s="526"/>
      <c r="F430" s="526" t="s">
        <v>7923</v>
      </c>
      <c r="G430" s="526" t="s">
        <v>7393</v>
      </c>
      <c r="H430" s="526" t="s">
        <v>7923</v>
      </c>
    </row>
    <row r="431" ht="14.25" customHeight="1">
      <c r="A431" s="555">
        <v>45585.0</v>
      </c>
      <c r="B431" s="526" t="s">
        <v>7832</v>
      </c>
      <c r="C431" s="526" t="s">
        <v>7924</v>
      </c>
      <c r="D431" s="526" t="s">
        <v>8776</v>
      </c>
      <c r="E431" s="526"/>
      <c r="F431" s="526">
        <v>1.0</v>
      </c>
      <c r="G431" s="526" t="s">
        <v>7393</v>
      </c>
      <c r="H431" s="526">
        <v>176.9</v>
      </c>
    </row>
    <row r="432" ht="14.25" customHeight="1">
      <c r="A432" s="555">
        <v>45590.0</v>
      </c>
      <c r="B432" s="526" t="s">
        <v>7820</v>
      </c>
      <c r="C432" s="526" t="s">
        <v>7925</v>
      </c>
      <c r="D432" s="526" t="s">
        <v>8776</v>
      </c>
      <c r="E432" s="526"/>
      <c r="F432" s="526">
        <v>1.0</v>
      </c>
      <c r="G432" s="526" t="s">
        <v>7393</v>
      </c>
      <c r="H432" s="526">
        <v>176.9</v>
      </c>
    </row>
    <row r="433" ht="14.25" customHeight="1">
      <c r="A433" s="555">
        <v>45590.0</v>
      </c>
      <c r="B433" s="526" t="s">
        <v>7554</v>
      </c>
      <c r="C433" s="526" t="s">
        <v>7926</v>
      </c>
      <c r="D433" s="526" t="s">
        <v>8758</v>
      </c>
      <c r="E433" s="526"/>
      <c r="F433" s="526">
        <v>1.0</v>
      </c>
      <c r="G433" s="526" t="s">
        <v>7393</v>
      </c>
      <c r="H433" s="526">
        <v>176.9</v>
      </c>
    </row>
    <row r="434" ht="14.25" customHeight="1">
      <c r="A434" s="555">
        <v>45592.0</v>
      </c>
      <c r="B434" s="526" t="s">
        <v>7927</v>
      </c>
      <c r="C434" s="526" t="s">
        <v>7811</v>
      </c>
      <c r="D434" s="526" t="s">
        <v>7928</v>
      </c>
      <c r="E434" s="526"/>
      <c r="F434" s="526">
        <v>1.0</v>
      </c>
      <c r="G434" s="526" t="s">
        <v>7393</v>
      </c>
      <c r="H434" s="526">
        <v>110.0</v>
      </c>
    </row>
    <row r="435" ht="14.25" customHeight="1">
      <c r="A435" s="555">
        <v>45592.0</v>
      </c>
      <c r="B435" s="526" t="s">
        <v>2772</v>
      </c>
      <c r="C435" s="526" t="s">
        <v>7929</v>
      </c>
      <c r="D435" s="526" t="s">
        <v>8776</v>
      </c>
      <c r="E435" s="526"/>
      <c r="F435" s="526">
        <v>1.0</v>
      </c>
      <c r="G435" s="526" t="s">
        <v>7393</v>
      </c>
      <c r="H435" s="526">
        <v>159.9</v>
      </c>
    </row>
    <row r="436" ht="14.25" customHeight="1">
      <c r="A436" s="555">
        <v>45594.0</v>
      </c>
      <c r="B436" s="526" t="s">
        <v>2772</v>
      </c>
      <c r="C436" s="526" t="s">
        <v>7930</v>
      </c>
      <c r="D436" s="526" t="s">
        <v>8740</v>
      </c>
      <c r="E436" s="526"/>
      <c r="F436" s="526">
        <v>1.0</v>
      </c>
      <c r="G436" s="526" t="s">
        <v>7393</v>
      </c>
      <c r="H436" s="526">
        <v>106.9</v>
      </c>
    </row>
    <row r="437" ht="14.25" customHeight="1">
      <c r="A437" s="555">
        <v>45594.0</v>
      </c>
      <c r="B437" s="526" t="s">
        <v>2193</v>
      </c>
      <c r="C437" s="526" t="s">
        <v>7931</v>
      </c>
      <c r="D437" s="526" t="s">
        <v>8726</v>
      </c>
      <c r="E437" s="526"/>
      <c r="F437" s="526">
        <v>1.0</v>
      </c>
      <c r="G437" s="526" t="s">
        <v>7393</v>
      </c>
      <c r="H437" s="526">
        <v>106.9</v>
      </c>
    </row>
    <row r="438" ht="14.25" customHeight="1">
      <c r="A438" s="555">
        <v>45594.0</v>
      </c>
      <c r="B438" s="526" t="s">
        <v>2607</v>
      </c>
      <c r="C438" s="526" t="s">
        <v>7932</v>
      </c>
      <c r="D438" s="526" t="s">
        <v>8776</v>
      </c>
      <c r="E438" s="526"/>
      <c r="F438" s="526" t="s">
        <v>7923</v>
      </c>
      <c r="G438" s="526" t="s">
        <v>7393</v>
      </c>
      <c r="H438" s="526" t="s">
        <v>7923</v>
      </c>
    </row>
    <row r="439" ht="14.25" customHeight="1">
      <c r="A439" s="550" t="s">
        <v>8778</v>
      </c>
      <c r="B439" s="511"/>
      <c r="C439" s="511"/>
      <c r="D439" s="511"/>
      <c r="E439" s="512"/>
      <c r="F439" s="512">
        <f>SUM(F440:F516)</f>
        <v>77</v>
      </c>
      <c r="G439" s="511"/>
      <c r="H439" s="551">
        <f>SUM(H440:H516)</f>
        <v>10069.05</v>
      </c>
    </row>
    <row r="440" ht="14.25" customHeight="1">
      <c r="A440" s="555">
        <v>45597.0</v>
      </c>
      <c r="B440" s="526" t="s">
        <v>7933</v>
      </c>
      <c r="C440" s="526" t="s">
        <v>7934</v>
      </c>
      <c r="D440" s="526" t="s">
        <v>8776</v>
      </c>
      <c r="E440" s="526" t="s">
        <v>204</v>
      </c>
      <c r="F440" s="526">
        <v>1.0</v>
      </c>
      <c r="G440" s="526" t="s">
        <v>7393</v>
      </c>
      <c r="H440" s="526">
        <v>185.0</v>
      </c>
    </row>
    <row r="441" ht="14.25" customHeight="1">
      <c r="A441" s="555">
        <v>45599.0</v>
      </c>
      <c r="B441" s="526" t="s">
        <v>7396</v>
      </c>
      <c r="C441" s="526" t="s">
        <v>7935</v>
      </c>
      <c r="D441" s="526" t="s">
        <v>8758</v>
      </c>
      <c r="E441" s="526" t="s">
        <v>6828</v>
      </c>
      <c r="F441" s="526">
        <v>1.0</v>
      </c>
      <c r="G441" s="526" t="s">
        <v>7393</v>
      </c>
      <c r="H441" s="526">
        <v>176.9</v>
      </c>
    </row>
    <row r="442" ht="14.25" customHeight="1">
      <c r="A442" s="555">
        <v>45599.0</v>
      </c>
      <c r="B442" s="526" t="s">
        <v>7429</v>
      </c>
      <c r="C442" s="526" t="s">
        <v>7936</v>
      </c>
      <c r="D442" s="526" t="s">
        <v>8776</v>
      </c>
      <c r="E442" s="526" t="s">
        <v>204</v>
      </c>
      <c r="F442" s="526">
        <v>1.0</v>
      </c>
      <c r="G442" s="526" t="s">
        <v>7393</v>
      </c>
      <c r="H442" s="526">
        <v>176.9</v>
      </c>
    </row>
    <row r="443" ht="14.25" customHeight="1">
      <c r="A443" s="555">
        <v>45600.0</v>
      </c>
      <c r="B443" s="526" t="s">
        <v>2547</v>
      </c>
      <c r="C443" s="526" t="s">
        <v>7937</v>
      </c>
      <c r="D443" s="526" t="s">
        <v>8776</v>
      </c>
      <c r="E443" s="526" t="s">
        <v>204</v>
      </c>
      <c r="F443" s="526">
        <v>1.0</v>
      </c>
      <c r="G443" s="526" t="s">
        <v>7393</v>
      </c>
      <c r="H443" s="526">
        <v>176.9</v>
      </c>
    </row>
    <row r="444" ht="14.25" customHeight="1">
      <c r="A444" s="555">
        <v>45600.0</v>
      </c>
      <c r="B444" s="526" t="s">
        <v>2600</v>
      </c>
      <c r="C444" s="526" t="s">
        <v>7938</v>
      </c>
      <c r="D444" s="526" t="s">
        <v>8776</v>
      </c>
      <c r="E444" s="526" t="s">
        <v>204</v>
      </c>
      <c r="F444" s="526">
        <v>1.0</v>
      </c>
      <c r="G444" s="526" t="s">
        <v>7393</v>
      </c>
      <c r="H444" s="526">
        <v>176.9</v>
      </c>
    </row>
    <row r="445" ht="14.25" customHeight="1">
      <c r="A445" s="555">
        <v>45601.0</v>
      </c>
      <c r="B445" s="526" t="s">
        <v>7612</v>
      </c>
      <c r="C445" s="526" t="s">
        <v>7939</v>
      </c>
      <c r="D445" s="526" t="s">
        <v>8776</v>
      </c>
      <c r="E445" s="526" t="s">
        <v>204</v>
      </c>
      <c r="F445" s="526">
        <v>1.0</v>
      </c>
      <c r="G445" s="526" t="s">
        <v>7393</v>
      </c>
      <c r="H445" s="526">
        <v>159.9</v>
      </c>
    </row>
    <row r="446" ht="14.25" customHeight="1">
      <c r="A446" s="555">
        <v>45601.0</v>
      </c>
      <c r="B446" s="526" t="s">
        <v>7436</v>
      </c>
      <c r="C446" s="526" t="s">
        <v>7900</v>
      </c>
      <c r="D446" s="526" t="s">
        <v>8721</v>
      </c>
      <c r="E446" s="526" t="s">
        <v>7940</v>
      </c>
      <c r="F446" s="526">
        <v>1.0</v>
      </c>
      <c r="G446" s="526" t="s">
        <v>7393</v>
      </c>
      <c r="H446" s="526">
        <v>121.9</v>
      </c>
    </row>
    <row r="447" ht="14.25" customHeight="1">
      <c r="A447" s="555">
        <v>45601.0</v>
      </c>
      <c r="B447" s="526" t="s">
        <v>7408</v>
      </c>
      <c r="C447" s="526" t="s">
        <v>7592</v>
      </c>
      <c r="D447" s="526" t="s">
        <v>8720</v>
      </c>
      <c r="E447" s="526" t="s">
        <v>2619</v>
      </c>
      <c r="F447" s="526">
        <v>1.0</v>
      </c>
      <c r="G447" s="526" t="s">
        <v>7393</v>
      </c>
      <c r="H447" s="526">
        <v>121.9</v>
      </c>
    </row>
    <row r="448" ht="14.25" customHeight="1">
      <c r="A448" s="555">
        <v>45602.0</v>
      </c>
      <c r="B448" s="526" t="s">
        <v>7941</v>
      </c>
      <c r="C448" s="526" t="s">
        <v>7942</v>
      </c>
      <c r="D448" s="526" t="s">
        <v>8776</v>
      </c>
      <c r="E448" s="526" t="s">
        <v>204</v>
      </c>
      <c r="F448" s="526">
        <v>1.0</v>
      </c>
      <c r="G448" s="526" t="s">
        <v>7393</v>
      </c>
      <c r="H448" s="526">
        <v>176.9</v>
      </c>
    </row>
    <row r="449" ht="14.25" customHeight="1">
      <c r="A449" s="555">
        <v>45602.0</v>
      </c>
      <c r="B449" s="526" t="s">
        <v>2623</v>
      </c>
      <c r="C449" s="526" t="s">
        <v>7868</v>
      </c>
      <c r="D449" s="526" t="s">
        <v>8721</v>
      </c>
      <c r="E449" s="526" t="s">
        <v>7940</v>
      </c>
      <c r="F449" s="526">
        <v>1.0</v>
      </c>
      <c r="G449" s="526" t="s">
        <v>7393</v>
      </c>
      <c r="H449" s="526">
        <v>121.9</v>
      </c>
    </row>
    <row r="450" ht="14.25" customHeight="1">
      <c r="A450" s="555">
        <v>45603.0</v>
      </c>
      <c r="B450" s="526" t="s">
        <v>7943</v>
      </c>
      <c r="C450" s="526" t="s">
        <v>7944</v>
      </c>
      <c r="D450" s="526" t="s">
        <v>8776</v>
      </c>
      <c r="E450" s="526" t="s">
        <v>204</v>
      </c>
      <c r="F450" s="526">
        <v>1.0</v>
      </c>
      <c r="G450" s="526" t="s">
        <v>7393</v>
      </c>
      <c r="H450" s="526">
        <v>159.9</v>
      </c>
    </row>
    <row r="451" ht="14.25" customHeight="1">
      <c r="A451" s="555">
        <v>45604.0</v>
      </c>
      <c r="B451" s="526" t="s">
        <v>7861</v>
      </c>
      <c r="C451" s="526" t="s">
        <v>7862</v>
      </c>
      <c r="D451" s="526" t="s">
        <v>8721</v>
      </c>
      <c r="E451" s="526" t="s">
        <v>7940</v>
      </c>
      <c r="F451" s="526">
        <v>1.0</v>
      </c>
      <c r="G451" s="526" t="s">
        <v>7393</v>
      </c>
      <c r="H451" s="526">
        <v>121.9</v>
      </c>
    </row>
    <row r="452" ht="14.25" customHeight="1">
      <c r="A452" s="555">
        <v>45604.0</v>
      </c>
      <c r="B452" s="526" t="s">
        <v>7396</v>
      </c>
      <c r="C452" s="526" t="s">
        <v>7945</v>
      </c>
      <c r="D452" s="526" t="s">
        <v>8776</v>
      </c>
      <c r="E452" s="526" t="s">
        <v>204</v>
      </c>
      <c r="F452" s="526">
        <v>1.0</v>
      </c>
      <c r="G452" s="526" t="s">
        <v>7393</v>
      </c>
      <c r="H452" s="526">
        <v>153.9</v>
      </c>
    </row>
    <row r="453" ht="14.25" customHeight="1">
      <c r="A453" s="555">
        <v>45604.0</v>
      </c>
      <c r="B453" s="526" t="s">
        <v>7820</v>
      </c>
      <c r="C453" s="526" t="s">
        <v>7946</v>
      </c>
      <c r="D453" s="526" t="s">
        <v>8735</v>
      </c>
      <c r="E453" s="526" t="s">
        <v>6867</v>
      </c>
      <c r="F453" s="526">
        <v>1.0</v>
      </c>
      <c r="G453" s="526" t="s">
        <v>7393</v>
      </c>
      <c r="H453" s="526">
        <v>126.9</v>
      </c>
    </row>
    <row r="454" ht="14.25" customHeight="1">
      <c r="A454" s="555">
        <v>45604.0</v>
      </c>
      <c r="B454" s="526" t="s">
        <v>7504</v>
      </c>
      <c r="C454" s="526" t="s">
        <v>7947</v>
      </c>
      <c r="D454" s="526" t="s">
        <v>8719</v>
      </c>
      <c r="E454" s="526" t="s">
        <v>7948</v>
      </c>
      <c r="F454" s="526">
        <v>1.0</v>
      </c>
      <c r="G454" s="526" t="s">
        <v>7393</v>
      </c>
      <c r="H454" s="526">
        <v>96.9</v>
      </c>
    </row>
    <row r="455" ht="14.25" customHeight="1">
      <c r="A455" s="555">
        <v>45605.0</v>
      </c>
      <c r="B455" s="526" t="s">
        <v>7429</v>
      </c>
      <c r="C455" s="526" t="s">
        <v>7949</v>
      </c>
      <c r="D455" s="526" t="s">
        <v>8776</v>
      </c>
      <c r="E455" s="526" t="s">
        <v>204</v>
      </c>
      <c r="F455" s="526">
        <v>1.0</v>
      </c>
      <c r="G455" s="526" t="s">
        <v>7393</v>
      </c>
      <c r="H455" s="526">
        <v>159.9</v>
      </c>
    </row>
    <row r="456" ht="14.25" customHeight="1">
      <c r="A456" s="555">
        <v>45606.0</v>
      </c>
      <c r="B456" s="526" t="s">
        <v>7436</v>
      </c>
      <c r="C456" s="526" t="s">
        <v>7950</v>
      </c>
      <c r="D456" s="526" t="s">
        <v>7951</v>
      </c>
      <c r="E456" s="526" t="s">
        <v>7951</v>
      </c>
      <c r="F456" s="526">
        <v>1.0</v>
      </c>
      <c r="G456" s="526" t="s">
        <v>7393</v>
      </c>
      <c r="H456" s="526">
        <v>96.9</v>
      </c>
    </row>
    <row r="457" ht="14.25" customHeight="1">
      <c r="A457" s="555">
        <v>45607.0</v>
      </c>
      <c r="B457" s="526" t="s">
        <v>7446</v>
      </c>
      <c r="C457" s="526" t="s">
        <v>7447</v>
      </c>
      <c r="D457" s="526" t="s">
        <v>8733</v>
      </c>
      <c r="E457" s="526" t="s">
        <v>7647</v>
      </c>
      <c r="F457" s="526">
        <v>1.0</v>
      </c>
      <c r="G457" s="526" t="s">
        <v>7393</v>
      </c>
      <c r="H457" s="526">
        <v>126.9</v>
      </c>
    </row>
    <row r="458" ht="14.25" customHeight="1">
      <c r="A458" s="555">
        <v>45607.0</v>
      </c>
      <c r="B458" s="526" t="s">
        <v>2623</v>
      </c>
      <c r="C458" s="526" t="s">
        <v>7952</v>
      </c>
      <c r="D458" s="526" t="s">
        <v>6863</v>
      </c>
      <c r="E458" s="526" t="s">
        <v>6865</v>
      </c>
      <c r="F458" s="526">
        <v>1.0</v>
      </c>
      <c r="G458" s="526" t="s">
        <v>7393</v>
      </c>
      <c r="H458" s="526">
        <v>126.9</v>
      </c>
    </row>
    <row r="459" ht="14.25" customHeight="1">
      <c r="A459" s="555">
        <v>45607.0</v>
      </c>
      <c r="B459" s="526" t="s">
        <v>7408</v>
      </c>
      <c r="C459" s="526" t="s">
        <v>7592</v>
      </c>
      <c r="D459" s="526" t="s">
        <v>8733</v>
      </c>
      <c r="E459" s="526" t="s">
        <v>7647</v>
      </c>
      <c r="F459" s="526">
        <v>1.0</v>
      </c>
      <c r="G459" s="526" t="s">
        <v>7393</v>
      </c>
      <c r="H459" s="526">
        <v>126.9</v>
      </c>
    </row>
    <row r="460" ht="14.25" customHeight="1">
      <c r="A460" s="555">
        <v>45607.0</v>
      </c>
      <c r="B460" s="526" t="s">
        <v>7600</v>
      </c>
      <c r="C460" s="526" t="s">
        <v>7953</v>
      </c>
      <c r="D460" s="526" t="s">
        <v>8735</v>
      </c>
      <c r="E460" s="526" t="s">
        <v>6867</v>
      </c>
      <c r="F460" s="526">
        <v>1.0</v>
      </c>
      <c r="G460" s="526" t="s">
        <v>7393</v>
      </c>
      <c r="H460" s="526">
        <v>126.9</v>
      </c>
    </row>
    <row r="461" ht="14.25" customHeight="1">
      <c r="A461" s="555">
        <v>45608.0</v>
      </c>
      <c r="B461" s="526" t="s">
        <v>7954</v>
      </c>
      <c r="C461" s="526" t="s">
        <v>7955</v>
      </c>
      <c r="D461" s="526" t="s">
        <v>8106</v>
      </c>
      <c r="E461" s="526" t="s">
        <v>7856</v>
      </c>
      <c r="F461" s="526">
        <v>1.0</v>
      </c>
      <c r="G461" s="526" t="s">
        <v>7393</v>
      </c>
      <c r="H461" s="526">
        <v>126.9</v>
      </c>
    </row>
    <row r="462" ht="14.25" customHeight="1">
      <c r="A462" s="555">
        <v>45608.0</v>
      </c>
      <c r="B462" s="526" t="s">
        <v>7714</v>
      </c>
      <c r="C462" s="526" t="s">
        <v>7956</v>
      </c>
      <c r="D462" s="526" t="s">
        <v>8717</v>
      </c>
      <c r="E462" s="526" t="s">
        <v>8779</v>
      </c>
      <c r="F462" s="526">
        <v>1.0</v>
      </c>
      <c r="G462" s="526" t="s">
        <v>7393</v>
      </c>
      <c r="H462" s="526">
        <v>126.9</v>
      </c>
    </row>
    <row r="463" ht="14.25" customHeight="1">
      <c r="A463" s="555">
        <v>45609.0</v>
      </c>
      <c r="B463" s="526" t="s">
        <v>7672</v>
      </c>
      <c r="C463" s="526" t="s">
        <v>7958</v>
      </c>
      <c r="D463" s="526" t="s">
        <v>8721</v>
      </c>
      <c r="E463" s="526" t="s">
        <v>7940</v>
      </c>
      <c r="F463" s="526">
        <v>1.0</v>
      </c>
      <c r="G463" s="526" t="s">
        <v>7393</v>
      </c>
      <c r="H463" s="526">
        <v>91.9</v>
      </c>
    </row>
    <row r="464" ht="14.25" customHeight="1">
      <c r="A464" s="555">
        <v>45609.0</v>
      </c>
      <c r="B464" s="526" t="s">
        <v>2441</v>
      </c>
      <c r="C464" s="526" t="s">
        <v>7959</v>
      </c>
      <c r="D464" s="526" t="s">
        <v>8743</v>
      </c>
      <c r="E464" s="526" t="s">
        <v>7960</v>
      </c>
      <c r="F464" s="526">
        <v>1.0</v>
      </c>
      <c r="G464" s="526" t="s">
        <v>7393</v>
      </c>
      <c r="H464" s="526">
        <v>110.4</v>
      </c>
    </row>
    <row r="465" ht="14.25" customHeight="1">
      <c r="A465" s="555">
        <v>45609.0</v>
      </c>
      <c r="B465" s="526" t="s">
        <v>7381</v>
      </c>
      <c r="C465" s="526" t="s">
        <v>7961</v>
      </c>
      <c r="D465" s="526" t="s">
        <v>8730</v>
      </c>
      <c r="E465" s="526" t="s">
        <v>7841</v>
      </c>
      <c r="F465" s="526">
        <v>1.0</v>
      </c>
      <c r="G465" s="526" t="s">
        <v>7393</v>
      </c>
      <c r="H465" s="526">
        <v>126.9</v>
      </c>
    </row>
    <row r="466" ht="14.25" customHeight="1">
      <c r="A466" s="555">
        <v>45609.0</v>
      </c>
      <c r="B466" s="526" t="s">
        <v>2561</v>
      </c>
      <c r="C466" s="526" t="s">
        <v>7962</v>
      </c>
      <c r="D466" s="526" t="s">
        <v>8735</v>
      </c>
      <c r="E466" s="526" t="s">
        <v>6867</v>
      </c>
      <c r="F466" s="526">
        <v>1.0</v>
      </c>
      <c r="G466" s="526" t="s">
        <v>7393</v>
      </c>
      <c r="H466" s="526">
        <v>106.9</v>
      </c>
    </row>
    <row r="467" ht="14.25" customHeight="1">
      <c r="A467" s="555">
        <v>45610.0</v>
      </c>
      <c r="B467" s="526" t="s">
        <v>7941</v>
      </c>
      <c r="C467" s="526" t="s">
        <v>7963</v>
      </c>
      <c r="D467" s="526" t="s">
        <v>8776</v>
      </c>
      <c r="E467" s="526" t="s">
        <v>204</v>
      </c>
      <c r="F467" s="526">
        <v>1.0</v>
      </c>
      <c r="G467" s="526" t="s">
        <v>7393</v>
      </c>
      <c r="H467" s="526">
        <v>108.9</v>
      </c>
    </row>
    <row r="468" ht="14.25" customHeight="1">
      <c r="A468" s="555">
        <v>45611.0</v>
      </c>
      <c r="B468" s="526" t="s">
        <v>7532</v>
      </c>
      <c r="C468" s="526" t="s">
        <v>7964</v>
      </c>
      <c r="D468" s="526" t="s">
        <v>8720</v>
      </c>
      <c r="E468" s="526" t="s">
        <v>2619</v>
      </c>
      <c r="F468" s="526">
        <v>1.0</v>
      </c>
      <c r="G468" s="526" t="s">
        <v>7393</v>
      </c>
      <c r="H468" s="526">
        <v>159.9</v>
      </c>
    </row>
    <row r="469" ht="14.25" customHeight="1">
      <c r="A469" s="555">
        <v>45611.0</v>
      </c>
      <c r="B469" s="526" t="s">
        <v>2772</v>
      </c>
      <c r="C469" s="526" t="s">
        <v>7965</v>
      </c>
      <c r="D469" s="526" t="s">
        <v>8721</v>
      </c>
      <c r="E469" s="526" t="s">
        <v>7940</v>
      </c>
      <c r="F469" s="526">
        <v>1.0</v>
      </c>
      <c r="G469" s="526" t="s">
        <v>7393</v>
      </c>
      <c r="H469" s="526">
        <v>126.9</v>
      </c>
    </row>
    <row r="470" ht="14.25" customHeight="1">
      <c r="A470" s="555">
        <v>45612.0</v>
      </c>
      <c r="B470" s="526" t="s">
        <v>7619</v>
      </c>
      <c r="C470" s="526" t="s">
        <v>7966</v>
      </c>
      <c r="D470" s="526" t="s">
        <v>8106</v>
      </c>
      <c r="E470" s="526" t="s">
        <v>7856</v>
      </c>
      <c r="F470" s="526">
        <v>1.0</v>
      </c>
      <c r="G470" s="526" t="s">
        <v>7393</v>
      </c>
      <c r="H470" s="526">
        <v>121.9</v>
      </c>
    </row>
    <row r="471" ht="14.25" customHeight="1">
      <c r="A471" s="555">
        <v>45612.0</v>
      </c>
      <c r="B471" s="526" t="s">
        <v>7967</v>
      </c>
      <c r="C471" s="526" t="s">
        <v>7968</v>
      </c>
      <c r="D471" s="526" t="s">
        <v>8735</v>
      </c>
      <c r="E471" s="526" t="s">
        <v>6867</v>
      </c>
      <c r="F471" s="526">
        <v>1.0</v>
      </c>
      <c r="G471" s="526" t="s">
        <v>7393</v>
      </c>
      <c r="H471" s="526">
        <v>114.9</v>
      </c>
    </row>
    <row r="472" ht="14.25" customHeight="1">
      <c r="A472" s="555">
        <v>45612.0</v>
      </c>
      <c r="B472" s="526" t="s">
        <v>7678</v>
      </c>
      <c r="C472" s="526" t="s">
        <v>7969</v>
      </c>
      <c r="D472" s="526" t="s">
        <v>8776</v>
      </c>
      <c r="E472" s="526" t="s">
        <v>204</v>
      </c>
      <c r="F472" s="526">
        <v>1.0</v>
      </c>
      <c r="G472" s="526" t="s">
        <v>7393</v>
      </c>
      <c r="H472" s="526">
        <v>176.9</v>
      </c>
    </row>
    <row r="473" ht="14.25" customHeight="1">
      <c r="A473" s="555">
        <v>45613.0</v>
      </c>
      <c r="B473" s="526" t="s">
        <v>7970</v>
      </c>
      <c r="C473" s="526" t="s">
        <v>7971</v>
      </c>
      <c r="D473" s="526" t="s">
        <v>8735</v>
      </c>
      <c r="E473" s="526" t="s">
        <v>6867</v>
      </c>
      <c r="F473" s="526">
        <v>1.0</v>
      </c>
      <c r="G473" s="526" t="s">
        <v>7393</v>
      </c>
      <c r="H473" s="526">
        <v>114.9</v>
      </c>
    </row>
    <row r="474" ht="14.25" customHeight="1">
      <c r="A474" s="555">
        <v>45613.0</v>
      </c>
      <c r="B474" s="526" t="s">
        <v>2638</v>
      </c>
      <c r="C474" s="526" t="s">
        <v>7972</v>
      </c>
      <c r="D474" s="526" t="s">
        <v>8730</v>
      </c>
      <c r="E474" s="526" t="s">
        <v>7841</v>
      </c>
      <c r="F474" s="526">
        <v>1.0</v>
      </c>
      <c r="G474" s="526" t="s">
        <v>7393</v>
      </c>
      <c r="H474" s="526">
        <v>106.9</v>
      </c>
    </row>
    <row r="475" ht="14.25" customHeight="1">
      <c r="A475" s="555">
        <v>45616.0</v>
      </c>
      <c r="B475" s="526" t="s">
        <v>7616</v>
      </c>
      <c r="C475" s="526" t="s">
        <v>7973</v>
      </c>
      <c r="D475" s="526" t="s">
        <v>8720</v>
      </c>
      <c r="E475" s="526" t="s">
        <v>2619</v>
      </c>
      <c r="F475" s="526">
        <v>1.0</v>
      </c>
      <c r="G475" s="526" t="s">
        <v>7393</v>
      </c>
      <c r="H475" s="526">
        <v>121.9</v>
      </c>
    </row>
    <row r="476" ht="14.25" customHeight="1">
      <c r="A476" s="555">
        <v>45617.0</v>
      </c>
      <c r="B476" s="526" t="s">
        <v>7974</v>
      </c>
      <c r="C476" s="526" t="s">
        <v>7975</v>
      </c>
      <c r="D476" s="526" t="s">
        <v>8735</v>
      </c>
      <c r="E476" s="526" t="s">
        <v>6867</v>
      </c>
      <c r="F476" s="526">
        <v>1.0</v>
      </c>
      <c r="G476" s="526" t="s">
        <v>7393</v>
      </c>
      <c r="H476" s="526">
        <v>126.9</v>
      </c>
    </row>
    <row r="477" ht="14.25" customHeight="1">
      <c r="A477" s="555">
        <v>45618.0</v>
      </c>
      <c r="B477" s="526" t="s">
        <v>2659</v>
      </c>
      <c r="C477" s="526" t="s">
        <v>2608</v>
      </c>
      <c r="D477" s="526" t="s">
        <v>8735</v>
      </c>
      <c r="E477" s="526" t="s">
        <v>6867</v>
      </c>
      <c r="F477" s="526">
        <v>1.0</v>
      </c>
      <c r="G477" s="526" t="s">
        <v>7393</v>
      </c>
      <c r="H477" s="526">
        <v>126.9</v>
      </c>
    </row>
    <row r="478" ht="14.25" customHeight="1">
      <c r="A478" s="555">
        <v>45618.0</v>
      </c>
      <c r="B478" s="526" t="s">
        <v>2739</v>
      </c>
      <c r="C478" s="526" t="s">
        <v>7976</v>
      </c>
      <c r="D478" s="526" t="s">
        <v>8721</v>
      </c>
      <c r="E478" s="526" t="s">
        <v>7940</v>
      </c>
      <c r="F478" s="526">
        <v>1.0</v>
      </c>
      <c r="G478" s="526" t="s">
        <v>7393</v>
      </c>
      <c r="H478" s="526">
        <v>121.9</v>
      </c>
    </row>
    <row r="479" ht="14.25" customHeight="1">
      <c r="A479" s="555">
        <v>45618.0</v>
      </c>
      <c r="B479" s="526" t="s">
        <v>7977</v>
      </c>
      <c r="C479" s="526" t="s">
        <v>7978</v>
      </c>
      <c r="D479" s="526" t="s">
        <v>8735</v>
      </c>
      <c r="E479" s="526" t="s">
        <v>6867</v>
      </c>
      <c r="F479" s="526">
        <v>1.0</v>
      </c>
      <c r="G479" s="526" t="s">
        <v>7393</v>
      </c>
      <c r="H479" s="526">
        <v>120.0</v>
      </c>
    </row>
    <row r="480" ht="14.25" customHeight="1">
      <c r="A480" s="555">
        <v>45618.0</v>
      </c>
      <c r="B480" s="526" t="s">
        <v>7408</v>
      </c>
      <c r="C480" s="526" t="s">
        <v>7979</v>
      </c>
      <c r="D480" s="526" t="s">
        <v>8776</v>
      </c>
      <c r="E480" s="526" t="s">
        <v>204</v>
      </c>
      <c r="F480" s="526">
        <v>1.0</v>
      </c>
      <c r="G480" s="526" t="s">
        <v>7393</v>
      </c>
      <c r="H480" s="526">
        <v>176.9</v>
      </c>
    </row>
    <row r="481" ht="14.25" customHeight="1">
      <c r="A481" s="555">
        <v>45620.0</v>
      </c>
      <c r="B481" s="526" t="s">
        <v>7814</v>
      </c>
      <c r="C481" s="526" t="s">
        <v>7980</v>
      </c>
      <c r="D481" s="526" t="s">
        <v>8717</v>
      </c>
      <c r="E481" s="526" t="s">
        <v>8779</v>
      </c>
      <c r="F481" s="526">
        <v>1.0</v>
      </c>
      <c r="G481" s="526" t="s">
        <v>7393</v>
      </c>
      <c r="H481" s="526">
        <v>85.0</v>
      </c>
    </row>
    <row r="482" ht="14.25" customHeight="1">
      <c r="A482" s="555">
        <v>45621.0</v>
      </c>
      <c r="B482" s="526" t="s">
        <v>2772</v>
      </c>
      <c r="C482" s="526" t="s">
        <v>7981</v>
      </c>
      <c r="D482" s="526" t="s">
        <v>8776</v>
      </c>
      <c r="E482" s="526" t="s">
        <v>204</v>
      </c>
      <c r="F482" s="526">
        <v>1.0</v>
      </c>
      <c r="G482" s="526" t="s">
        <v>7393</v>
      </c>
      <c r="H482" s="526">
        <v>170.0</v>
      </c>
    </row>
    <row r="483" ht="14.25" customHeight="1">
      <c r="A483" s="555">
        <v>45621.0</v>
      </c>
      <c r="B483" s="526" t="s">
        <v>7381</v>
      </c>
      <c r="C483" s="526" t="s">
        <v>7982</v>
      </c>
      <c r="D483" s="526" t="s">
        <v>8776</v>
      </c>
      <c r="E483" s="526" t="s">
        <v>204</v>
      </c>
      <c r="F483" s="526">
        <v>1.0</v>
      </c>
      <c r="G483" s="526" t="s">
        <v>7393</v>
      </c>
      <c r="H483" s="526">
        <v>170.0</v>
      </c>
    </row>
    <row r="484" ht="14.25" customHeight="1">
      <c r="A484" s="555">
        <v>45621.0</v>
      </c>
      <c r="B484" s="526" t="s">
        <v>2193</v>
      </c>
      <c r="C484" s="526" t="s">
        <v>7983</v>
      </c>
      <c r="D484" s="526" t="s">
        <v>8734</v>
      </c>
      <c r="E484" s="526" t="s">
        <v>7984</v>
      </c>
      <c r="F484" s="526">
        <v>1.0</v>
      </c>
      <c r="G484" s="526" t="s">
        <v>7393</v>
      </c>
      <c r="H484" s="526">
        <v>126.9</v>
      </c>
    </row>
    <row r="485" ht="14.25" customHeight="1">
      <c r="A485" s="555">
        <v>45621.0</v>
      </c>
      <c r="B485" s="526" t="s">
        <v>2597</v>
      </c>
      <c r="C485" s="526" t="s">
        <v>7604</v>
      </c>
      <c r="D485" s="526" t="s">
        <v>8720</v>
      </c>
      <c r="E485" s="526" t="s">
        <v>2619</v>
      </c>
      <c r="F485" s="526">
        <v>1.0</v>
      </c>
      <c r="G485" s="526" t="s">
        <v>7393</v>
      </c>
      <c r="H485" s="526">
        <v>115.0</v>
      </c>
    </row>
    <row r="486" ht="14.25" customHeight="1">
      <c r="A486" s="555">
        <v>45621.0</v>
      </c>
      <c r="B486" s="526" t="s">
        <v>2561</v>
      </c>
      <c r="C486" s="526" t="s">
        <v>7985</v>
      </c>
      <c r="D486" s="526" t="s">
        <v>8735</v>
      </c>
      <c r="E486" s="526" t="s">
        <v>6867</v>
      </c>
      <c r="F486" s="526">
        <v>1.0</v>
      </c>
      <c r="G486" s="526" t="s">
        <v>7393</v>
      </c>
      <c r="H486" s="526">
        <v>120.0</v>
      </c>
    </row>
    <row r="487" ht="14.25" customHeight="1">
      <c r="A487" s="555">
        <v>45622.0</v>
      </c>
      <c r="B487" s="526" t="s">
        <v>7986</v>
      </c>
      <c r="C487" s="526" t="s">
        <v>7987</v>
      </c>
      <c r="D487" s="526" t="s">
        <v>8776</v>
      </c>
      <c r="E487" s="526" t="s">
        <v>204</v>
      </c>
      <c r="F487" s="526">
        <v>1.0</v>
      </c>
      <c r="G487" s="526" t="s">
        <v>7393</v>
      </c>
      <c r="H487" s="526">
        <v>170.0</v>
      </c>
    </row>
    <row r="488" ht="14.25" customHeight="1">
      <c r="A488" s="555">
        <v>45622.0</v>
      </c>
      <c r="B488" s="526" t="s">
        <v>7988</v>
      </c>
      <c r="C488" s="526" t="s">
        <v>7989</v>
      </c>
      <c r="D488" s="526" t="s">
        <v>8776</v>
      </c>
      <c r="E488" s="526" t="s">
        <v>204</v>
      </c>
      <c r="F488" s="526">
        <v>1.0</v>
      </c>
      <c r="G488" s="526" t="s">
        <v>7393</v>
      </c>
      <c r="H488" s="526">
        <v>176.9</v>
      </c>
    </row>
    <row r="489" ht="14.25" customHeight="1">
      <c r="A489" s="555">
        <v>45622.0</v>
      </c>
      <c r="B489" s="526" t="s">
        <v>7869</v>
      </c>
      <c r="C489" s="526" t="s">
        <v>7990</v>
      </c>
      <c r="D489" s="526" t="s">
        <v>8743</v>
      </c>
      <c r="E489" s="526" t="s">
        <v>7960</v>
      </c>
      <c r="F489" s="526">
        <v>1.0</v>
      </c>
      <c r="G489" s="526" t="s">
        <v>7393</v>
      </c>
      <c r="H489" s="526">
        <v>102.9</v>
      </c>
    </row>
    <row r="490" ht="14.25" customHeight="1">
      <c r="A490" s="555">
        <v>45622.0</v>
      </c>
      <c r="B490" s="526" t="s">
        <v>2647</v>
      </c>
      <c r="C490" s="526" t="s">
        <v>7991</v>
      </c>
      <c r="D490" s="526" t="s">
        <v>8735</v>
      </c>
      <c r="E490" s="526" t="s">
        <v>6867</v>
      </c>
      <c r="F490" s="526">
        <v>1.0</v>
      </c>
      <c r="G490" s="526" t="s">
        <v>7393</v>
      </c>
      <c r="H490" s="526">
        <v>120.0</v>
      </c>
    </row>
    <row r="491" ht="14.25" customHeight="1">
      <c r="A491" s="555">
        <v>45622.0</v>
      </c>
      <c r="B491" s="526" t="s">
        <v>7992</v>
      </c>
      <c r="C491" s="526" t="s">
        <v>7993</v>
      </c>
      <c r="D491" s="526" t="s">
        <v>8743</v>
      </c>
      <c r="E491" s="526" t="s">
        <v>7960</v>
      </c>
      <c r="F491" s="526">
        <v>1.0</v>
      </c>
      <c r="G491" s="526" t="s">
        <v>7393</v>
      </c>
      <c r="H491" s="526">
        <v>120.0</v>
      </c>
    </row>
    <row r="492" ht="14.25" customHeight="1">
      <c r="A492" s="555">
        <v>45622.0</v>
      </c>
      <c r="B492" s="526" t="s">
        <v>7417</v>
      </c>
      <c r="C492" s="526" t="s">
        <v>7994</v>
      </c>
      <c r="D492" s="526" t="s">
        <v>8735</v>
      </c>
      <c r="E492" s="526" t="s">
        <v>6867</v>
      </c>
      <c r="F492" s="526">
        <v>1.0</v>
      </c>
      <c r="G492" s="526" t="s">
        <v>7393</v>
      </c>
      <c r="H492" s="526">
        <v>120.0</v>
      </c>
    </row>
    <row r="493" ht="14.25" customHeight="1">
      <c r="A493" s="555">
        <v>45622.0</v>
      </c>
      <c r="B493" s="526" t="s">
        <v>7995</v>
      </c>
      <c r="C493" s="526" t="s">
        <v>7996</v>
      </c>
      <c r="D493" s="526" t="s">
        <v>8726</v>
      </c>
      <c r="E493" s="526" t="s">
        <v>2619</v>
      </c>
      <c r="F493" s="526">
        <v>1.0</v>
      </c>
      <c r="G493" s="526" t="s">
        <v>7393</v>
      </c>
      <c r="H493" s="543">
        <v>106.9</v>
      </c>
    </row>
    <row r="494" ht="14.25" customHeight="1">
      <c r="A494" s="555">
        <v>45623.0</v>
      </c>
      <c r="B494" s="526" t="s">
        <v>7874</v>
      </c>
      <c r="C494" s="526" t="s">
        <v>7997</v>
      </c>
      <c r="D494" s="526" t="s">
        <v>8726</v>
      </c>
      <c r="E494" s="526" t="s">
        <v>2619</v>
      </c>
      <c r="F494" s="526">
        <v>1.0</v>
      </c>
      <c r="G494" s="526" t="s">
        <v>7393</v>
      </c>
      <c r="H494" s="543">
        <v>106.9</v>
      </c>
    </row>
    <row r="495" ht="14.25" customHeight="1">
      <c r="A495" s="555">
        <v>45623.0</v>
      </c>
      <c r="B495" s="526" t="s">
        <v>7998</v>
      </c>
      <c r="C495" s="526" t="s">
        <v>7999</v>
      </c>
      <c r="D495" s="526" t="s">
        <v>8776</v>
      </c>
      <c r="E495" s="526" t="s">
        <v>204</v>
      </c>
      <c r="F495" s="526">
        <v>1.0</v>
      </c>
      <c r="G495" s="526" t="s">
        <v>7393</v>
      </c>
      <c r="H495" s="526">
        <v>176.9</v>
      </c>
    </row>
    <row r="496" ht="14.25" customHeight="1">
      <c r="A496" s="555">
        <v>45623.0</v>
      </c>
      <c r="B496" s="526" t="s">
        <v>7735</v>
      </c>
      <c r="C496" s="526" t="s">
        <v>8000</v>
      </c>
      <c r="D496" s="526" t="s">
        <v>8106</v>
      </c>
      <c r="E496" s="526" t="s">
        <v>7856</v>
      </c>
      <c r="F496" s="526">
        <v>1.0</v>
      </c>
      <c r="G496" s="526" t="s">
        <v>7393</v>
      </c>
      <c r="H496" s="526">
        <v>126.9</v>
      </c>
    </row>
    <row r="497" ht="14.25" customHeight="1">
      <c r="A497" s="555">
        <v>45623.0</v>
      </c>
      <c r="B497" s="526" t="s">
        <v>7532</v>
      </c>
      <c r="C497" s="526" t="s">
        <v>8001</v>
      </c>
      <c r="D497" s="526" t="s">
        <v>8735</v>
      </c>
      <c r="E497" s="526" t="s">
        <v>6867</v>
      </c>
      <c r="F497" s="526">
        <v>1.0</v>
      </c>
      <c r="G497" s="526" t="s">
        <v>7393</v>
      </c>
      <c r="H497" s="526">
        <v>114.9</v>
      </c>
    </row>
    <row r="498" ht="14.25" customHeight="1">
      <c r="A498" s="556">
        <v>45623.0</v>
      </c>
      <c r="B498" s="526" t="s">
        <v>2193</v>
      </c>
      <c r="C498" s="526" t="s">
        <v>7624</v>
      </c>
      <c r="D498" s="526" t="s">
        <v>208</v>
      </c>
      <c r="E498" s="526" t="s">
        <v>6828</v>
      </c>
      <c r="F498" s="526">
        <v>1.0</v>
      </c>
      <c r="G498" s="526" t="s">
        <v>7393</v>
      </c>
      <c r="H498" s="526">
        <v>176.9</v>
      </c>
    </row>
    <row r="499" ht="14.25" customHeight="1">
      <c r="A499" s="556">
        <v>45624.0</v>
      </c>
      <c r="B499" s="526" t="s">
        <v>8002</v>
      </c>
      <c r="C499" s="526" t="s">
        <v>8003</v>
      </c>
      <c r="D499" s="526" t="s">
        <v>8776</v>
      </c>
      <c r="E499" s="526" t="s">
        <v>204</v>
      </c>
      <c r="F499" s="526">
        <v>1.0</v>
      </c>
      <c r="G499" s="526" t="s">
        <v>7393</v>
      </c>
      <c r="H499" s="526">
        <v>176.9</v>
      </c>
    </row>
    <row r="500" ht="14.25" customHeight="1">
      <c r="A500" s="556">
        <v>45624.0</v>
      </c>
      <c r="B500" s="526" t="s">
        <v>8004</v>
      </c>
      <c r="C500" s="526" t="s">
        <v>8005</v>
      </c>
      <c r="D500" s="526" t="s">
        <v>8743</v>
      </c>
      <c r="E500" s="526" t="s">
        <v>7960</v>
      </c>
      <c r="F500" s="526">
        <v>1.0</v>
      </c>
      <c r="G500" s="526" t="s">
        <v>7393</v>
      </c>
      <c r="H500" s="526">
        <v>120.0</v>
      </c>
    </row>
    <row r="501" ht="14.25" customHeight="1">
      <c r="A501" s="556">
        <v>45625.0</v>
      </c>
      <c r="B501" s="526" t="s">
        <v>2561</v>
      </c>
      <c r="C501" s="526" t="s">
        <v>8006</v>
      </c>
      <c r="D501" s="526" t="s">
        <v>8735</v>
      </c>
      <c r="E501" s="526" t="s">
        <v>6867</v>
      </c>
      <c r="F501" s="526">
        <v>1.0</v>
      </c>
      <c r="G501" s="526" t="s">
        <v>7393</v>
      </c>
      <c r="H501" s="526">
        <v>126.9</v>
      </c>
    </row>
    <row r="502" ht="14.25" customHeight="1">
      <c r="A502" s="556">
        <v>45625.0</v>
      </c>
      <c r="B502" s="526" t="s">
        <v>2823</v>
      </c>
      <c r="C502" s="526" t="s">
        <v>8007</v>
      </c>
      <c r="D502" s="526" t="s">
        <v>8106</v>
      </c>
      <c r="E502" s="526" t="s">
        <v>7856</v>
      </c>
      <c r="F502" s="526">
        <v>1.0</v>
      </c>
      <c r="G502" s="526" t="s">
        <v>7393</v>
      </c>
      <c r="H502" s="526">
        <v>120.0</v>
      </c>
    </row>
    <row r="503" ht="14.25" customHeight="1">
      <c r="A503" s="556">
        <v>45625.0</v>
      </c>
      <c r="B503" s="526" t="s">
        <v>2586</v>
      </c>
      <c r="C503" s="526" t="s">
        <v>8008</v>
      </c>
      <c r="D503" s="526" t="s">
        <v>8720</v>
      </c>
      <c r="E503" s="526" t="s">
        <v>2619</v>
      </c>
      <c r="F503" s="526">
        <v>1.0</v>
      </c>
      <c r="G503" s="526" t="s">
        <v>7393</v>
      </c>
      <c r="H503" s="526">
        <v>104.65</v>
      </c>
    </row>
    <row r="504" ht="14.25" customHeight="1">
      <c r="A504" s="556">
        <v>45625.0</v>
      </c>
      <c r="B504" s="526" t="s">
        <v>7381</v>
      </c>
      <c r="C504" s="526" t="s">
        <v>8009</v>
      </c>
      <c r="D504" s="526" t="s">
        <v>8776</v>
      </c>
      <c r="E504" s="526" t="s">
        <v>204</v>
      </c>
      <c r="F504" s="526">
        <v>1.0</v>
      </c>
      <c r="G504" s="526" t="s">
        <v>7393</v>
      </c>
      <c r="H504" s="526">
        <v>170.0</v>
      </c>
    </row>
    <row r="505" ht="14.25" customHeight="1">
      <c r="A505" s="556">
        <v>45625.0</v>
      </c>
      <c r="B505" s="526" t="s">
        <v>7687</v>
      </c>
      <c r="C505" s="526" t="s">
        <v>8010</v>
      </c>
      <c r="D505" s="526" t="s">
        <v>8717</v>
      </c>
      <c r="E505" s="526" t="s">
        <v>8779</v>
      </c>
      <c r="F505" s="526">
        <v>1.0</v>
      </c>
      <c r="G505" s="526" t="s">
        <v>7393</v>
      </c>
      <c r="H505" s="526">
        <v>79.15</v>
      </c>
    </row>
    <row r="506" ht="14.25" customHeight="1">
      <c r="A506" s="556">
        <v>45625.0</v>
      </c>
      <c r="B506" s="526" t="s">
        <v>8011</v>
      </c>
      <c r="C506" s="526" t="s">
        <v>8012</v>
      </c>
      <c r="D506" s="526" t="s">
        <v>8743</v>
      </c>
      <c r="E506" s="526" t="s">
        <v>7960</v>
      </c>
      <c r="F506" s="526">
        <v>1.0</v>
      </c>
      <c r="G506" s="526" t="s">
        <v>7393</v>
      </c>
      <c r="H506" s="526">
        <v>108.9</v>
      </c>
    </row>
    <row r="507" ht="14.25" customHeight="1">
      <c r="A507" s="556">
        <v>45625.0</v>
      </c>
      <c r="B507" s="526" t="s">
        <v>7874</v>
      </c>
      <c r="C507" s="526" t="s">
        <v>7842</v>
      </c>
      <c r="D507" s="526" t="s">
        <v>8714</v>
      </c>
      <c r="E507" s="526" t="s">
        <v>8104</v>
      </c>
      <c r="F507" s="526">
        <v>1.0</v>
      </c>
      <c r="G507" s="526" t="s">
        <v>7393</v>
      </c>
      <c r="H507" s="526">
        <v>79.15</v>
      </c>
    </row>
    <row r="508" ht="14.25" customHeight="1">
      <c r="A508" s="556">
        <v>45625.0</v>
      </c>
      <c r="B508" s="526" t="s">
        <v>7434</v>
      </c>
      <c r="C508" s="526" t="s">
        <v>8013</v>
      </c>
      <c r="D508" s="526" t="s">
        <v>8735</v>
      </c>
      <c r="E508" s="526" t="s">
        <v>6867</v>
      </c>
      <c r="F508" s="526">
        <v>1.0</v>
      </c>
      <c r="G508" s="526" t="s">
        <v>7393</v>
      </c>
      <c r="H508" s="526">
        <v>126.9</v>
      </c>
    </row>
    <row r="509" ht="14.25" customHeight="1">
      <c r="A509" s="556">
        <v>45625.0</v>
      </c>
      <c r="B509" s="526" t="s">
        <v>8014</v>
      </c>
      <c r="C509" s="526" t="s">
        <v>8015</v>
      </c>
      <c r="D509" s="526" t="s">
        <v>8735</v>
      </c>
      <c r="E509" s="526" t="s">
        <v>6867</v>
      </c>
      <c r="F509" s="526">
        <v>1.0</v>
      </c>
      <c r="G509" s="526" t="s">
        <v>7393</v>
      </c>
      <c r="H509" s="526">
        <v>120.0</v>
      </c>
    </row>
    <row r="510" ht="14.25" customHeight="1">
      <c r="A510" s="556">
        <v>45625.0</v>
      </c>
      <c r="B510" s="526" t="s">
        <v>7657</v>
      </c>
      <c r="C510" s="526" t="s">
        <v>8016</v>
      </c>
      <c r="D510" s="526" t="s">
        <v>8743</v>
      </c>
      <c r="E510" s="526" t="s">
        <v>7960</v>
      </c>
      <c r="F510" s="526">
        <v>1.0</v>
      </c>
      <c r="G510" s="526" t="s">
        <v>7393</v>
      </c>
      <c r="H510" s="526">
        <v>108.9</v>
      </c>
    </row>
    <row r="511" ht="14.25" customHeight="1">
      <c r="A511" s="556">
        <v>45625.0</v>
      </c>
      <c r="B511" s="526" t="s">
        <v>8017</v>
      </c>
      <c r="C511" s="526" t="s">
        <v>7426</v>
      </c>
      <c r="D511" s="526" t="s">
        <v>8720</v>
      </c>
      <c r="E511" s="526" t="s">
        <v>2619</v>
      </c>
      <c r="F511" s="526">
        <v>1.0</v>
      </c>
      <c r="G511" s="526" t="s">
        <v>7393</v>
      </c>
      <c r="H511" s="526">
        <v>104.65</v>
      </c>
    </row>
    <row r="512" ht="14.25" customHeight="1">
      <c r="A512" s="556">
        <v>45625.0</v>
      </c>
      <c r="B512" s="526" t="s">
        <v>7396</v>
      </c>
      <c r="C512" s="526" t="s">
        <v>8018</v>
      </c>
      <c r="D512" s="526" t="s">
        <v>8721</v>
      </c>
      <c r="E512" s="526" t="s">
        <v>7940</v>
      </c>
      <c r="F512" s="526">
        <v>1.0</v>
      </c>
      <c r="G512" s="526" t="s">
        <v>7393</v>
      </c>
      <c r="H512" s="526">
        <v>104.65</v>
      </c>
    </row>
    <row r="513" ht="14.25" customHeight="1">
      <c r="A513" s="556">
        <v>45626.0</v>
      </c>
      <c r="B513" s="526" t="s">
        <v>8019</v>
      </c>
      <c r="C513" s="526" t="s">
        <v>8020</v>
      </c>
      <c r="D513" s="526" t="s">
        <v>7951</v>
      </c>
      <c r="E513" s="526" t="s">
        <v>6906</v>
      </c>
      <c r="F513" s="526">
        <v>1.0</v>
      </c>
      <c r="G513" s="526" t="s">
        <v>7393</v>
      </c>
      <c r="H513" s="526">
        <v>106.9</v>
      </c>
    </row>
    <row r="514" ht="14.25" customHeight="1">
      <c r="A514" s="556">
        <v>45626.0</v>
      </c>
      <c r="B514" s="526" t="s">
        <v>8021</v>
      </c>
      <c r="C514" s="526" t="s">
        <v>8022</v>
      </c>
      <c r="D514" s="526" t="s">
        <v>8743</v>
      </c>
      <c r="E514" s="526" t="s">
        <v>7960</v>
      </c>
      <c r="F514" s="526">
        <v>1.0</v>
      </c>
      <c r="G514" s="526" t="s">
        <v>7393</v>
      </c>
      <c r="H514" s="526">
        <v>126.9</v>
      </c>
    </row>
    <row r="515" ht="14.25" customHeight="1">
      <c r="A515" s="556">
        <v>45626.0</v>
      </c>
      <c r="B515" s="526" t="s">
        <v>2600</v>
      </c>
      <c r="C515" s="526" t="s">
        <v>8023</v>
      </c>
      <c r="D515" s="526" t="s">
        <v>8721</v>
      </c>
      <c r="E515" s="526" t="s">
        <v>7940</v>
      </c>
      <c r="F515" s="526">
        <v>1.0</v>
      </c>
      <c r="G515" s="526" t="s">
        <v>7393</v>
      </c>
      <c r="H515" s="526">
        <v>121.9</v>
      </c>
    </row>
    <row r="516" ht="14.25" customHeight="1">
      <c r="A516" s="556">
        <v>45626.0</v>
      </c>
      <c r="B516" s="526" t="s">
        <v>2647</v>
      </c>
      <c r="C516" s="526" t="s">
        <v>8024</v>
      </c>
      <c r="D516" s="526" t="s">
        <v>8720</v>
      </c>
      <c r="E516" s="526" t="s">
        <v>2619</v>
      </c>
      <c r="F516" s="526">
        <v>1.0</v>
      </c>
      <c r="G516" s="526" t="s">
        <v>7393</v>
      </c>
      <c r="H516" s="526">
        <v>121.9</v>
      </c>
    </row>
    <row r="517" ht="14.25" customHeight="1">
      <c r="A517" s="550" t="s">
        <v>8780</v>
      </c>
      <c r="B517" s="511"/>
      <c r="C517" s="511"/>
      <c r="D517" s="511"/>
      <c r="E517" s="512"/>
      <c r="F517" s="512">
        <f>SUM(F518:F635)</f>
        <v>113</v>
      </c>
      <c r="G517" s="511"/>
      <c r="H517" s="551">
        <f>SUM(H518:H635)</f>
        <v>12253.6</v>
      </c>
    </row>
    <row r="518" ht="14.25" customHeight="1">
      <c r="A518" s="556">
        <v>45627.0</v>
      </c>
      <c r="B518" s="526" t="s">
        <v>2441</v>
      </c>
      <c r="C518" s="526" t="s">
        <v>8025</v>
      </c>
      <c r="D518" s="526" t="s">
        <v>8735</v>
      </c>
      <c r="E518" s="526" t="s">
        <v>6867</v>
      </c>
      <c r="F518" s="526">
        <v>1.0</v>
      </c>
      <c r="G518" s="526" t="s">
        <v>7393</v>
      </c>
      <c r="H518" s="526">
        <v>120.0</v>
      </c>
    </row>
    <row r="519" ht="14.25" customHeight="1">
      <c r="A519" s="556">
        <v>45627.0</v>
      </c>
      <c r="B519" s="526" t="s">
        <v>2600</v>
      </c>
      <c r="C519" s="526" t="s">
        <v>8026</v>
      </c>
      <c r="D519" s="526" t="s">
        <v>8735</v>
      </c>
      <c r="E519" s="526" t="s">
        <v>6867</v>
      </c>
      <c r="F519" s="526">
        <v>1.0</v>
      </c>
      <c r="G519" s="526" t="s">
        <v>7393</v>
      </c>
      <c r="H519" s="526">
        <v>126.9</v>
      </c>
    </row>
    <row r="520" ht="14.25" customHeight="1">
      <c r="A520" s="556">
        <v>45627.0</v>
      </c>
      <c r="B520" s="526" t="s">
        <v>7637</v>
      </c>
      <c r="C520" s="526" t="s">
        <v>7287</v>
      </c>
      <c r="D520" s="526" t="s">
        <v>8718</v>
      </c>
      <c r="E520" s="526" t="s">
        <v>8533</v>
      </c>
      <c r="F520" s="526">
        <v>1.0</v>
      </c>
      <c r="G520" s="526" t="s">
        <v>7393</v>
      </c>
      <c r="H520" s="526">
        <v>91.9</v>
      </c>
    </row>
    <row r="521" ht="14.25" customHeight="1">
      <c r="A521" s="556">
        <v>45627.0</v>
      </c>
      <c r="B521" s="526" t="s">
        <v>7755</v>
      </c>
      <c r="C521" s="526" t="s">
        <v>8027</v>
      </c>
      <c r="D521" s="526" t="s">
        <v>8735</v>
      </c>
      <c r="E521" s="526" t="s">
        <v>6867</v>
      </c>
      <c r="F521" s="526">
        <v>1.0</v>
      </c>
      <c r="G521" s="526" t="s">
        <v>7393</v>
      </c>
      <c r="H521" s="526">
        <v>126.9</v>
      </c>
    </row>
    <row r="522" ht="14.25" customHeight="1">
      <c r="A522" s="556">
        <v>45627.0</v>
      </c>
      <c r="B522" s="526" t="s">
        <v>7661</v>
      </c>
      <c r="C522" s="526" t="s">
        <v>7553</v>
      </c>
      <c r="D522" s="526" t="s">
        <v>8733</v>
      </c>
      <c r="E522" s="526" t="s">
        <v>7984</v>
      </c>
      <c r="F522" s="526">
        <v>1.0</v>
      </c>
      <c r="G522" s="526" t="s">
        <v>7393</v>
      </c>
      <c r="H522" s="526">
        <v>120.0</v>
      </c>
    </row>
    <row r="523" ht="14.25" customHeight="1">
      <c r="A523" s="556">
        <v>45627.0</v>
      </c>
      <c r="B523" s="526" t="s">
        <v>7784</v>
      </c>
      <c r="C523" s="526" t="s">
        <v>8028</v>
      </c>
      <c r="D523" s="526" t="s">
        <v>8735</v>
      </c>
      <c r="E523" s="526" t="s">
        <v>6867</v>
      </c>
      <c r="F523" s="526">
        <v>1.0</v>
      </c>
      <c r="G523" s="526" t="s">
        <v>7393</v>
      </c>
      <c r="H523" s="526">
        <v>126.9</v>
      </c>
    </row>
    <row r="524" ht="14.25" customHeight="1">
      <c r="A524" s="556">
        <v>45628.0</v>
      </c>
      <c r="B524" s="526" t="s">
        <v>2659</v>
      </c>
      <c r="C524" s="526" t="s">
        <v>8029</v>
      </c>
      <c r="D524" s="526" t="s">
        <v>8776</v>
      </c>
      <c r="E524" s="526" t="s">
        <v>204</v>
      </c>
      <c r="F524" s="526">
        <v>1.0</v>
      </c>
      <c r="G524" s="526" t="s">
        <v>7393</v>
      </c>
      <c r="H524" s="526">
        <v>176.9</v>
      </c>
    </row>
    <row r="525" ht="14.25" customHeight="1">
      <c r="A525" s="556">
        <v>45628.0</v>
      </c>
      <c r="B525" s="526" t="s">
        <v>8030</v>
      </c>
      <c r="C525" s="526" t="s">
        <v>2595</v>
      </c>
      <c r="D525" s="526" t="s">
        <v>8758</v>
      </c>
      <c r="E525" s="526" t="s">
        <v>6828</v>
      </c>
      <c r="F525" s="526">
        <v>1.0</v>
      </c>
      <c r="G525" s="526" t="s">
        <v>7393</v>
      </c>
      <c r="H525" s="526">
        <v>176.9</v>
      </c>
    </row>
    <row r="526" ht="14.25" customHeight="1">
      <c r="A526" s="556">
        <v>45628.0</v>
      </c>
      <c r="B526" s="526" t="s">
        <v>7554</v>
      </c>
      <c r="C526" s="526" t="s">
        <v>8031</v>
      </c>
      <c r="D526" s="526" t="s">
        <v>8741</v>
      </c>
      <c r="E526" s="526" t="s">
        <v>7801</v>
      </c>
      <c r="F526" s="526">
        <v>1.0</v>
      </c>
      <c r="G526" s="526" t="s">
        <v>7393</v>
      </c>
      <c r="H526" s="526">
        <v>116.9</v>
      </c>
    </row>
    <row r="527" ht="14.25" customHeight="1">
      <c r="A527" s="556">
        <v>45628.0</v>
      </c>
      <c r="B527" s="526" t="s">
        <v>8032</v>
      </c>
      <c r="C527" s="526" t="s">
        <v>8033</v>
      </c>
      <c r="D527" s="526" t="s">
        <v>8741</v>
      </c>
      <c r="E527" s="526" t="s">
        <v>7801</v>
      </c>
      <c r="F527" s="526">
        <v>1.0</v>
      </c>
      <c r="G527" s="526" t="s">
        <v>7393</v>
      </c>
      <c r="H527" s="526">
        <v>116.9</v>
      </c>
    </row>
    <row r="528" ht="14.25" customHeight="1">
      <c r="A528" s="556">
        <v>45628.0</v>
      </c>
      <c r="B528" s="526" t="s">
        <v>7883</v>
      </c>
      <c r="C528" s="526" t="s">
        <v>8034</v>
      </c>
      <c r="D528" s="526" t="s">
        <v>8035</v>
      </c>
      <c r="E528" s="526"/>
      <c r="F528" s="526">
        <v>2.0</v>
      </c>
      <c r="G528" s="526" t="s">
        <v>7393</v>
      </c>
      <c r="H528" s="526">
        <v>66.9</v>
      </c>
    </row>
    <row r="529" ht="14.25" customHeight="1">
      <c r="A529" s="556">
        <v>45628.0</v>
      </c>
      <c r="B529" s="526" t="s">
        <v>7848</v>
      </c>
      <c r="C529" s="526" t="s">
        <v>8036</v>
      </c>
      <c r="D529" s="526" t="s">
        <v>8735</v>
      </c>
      <c r="E529" s="526" t="s">
        <v>6867</v>
      </c>
      <c r="F529" s="526">
        <v>1.0</v>
      </c>
      <c r="G529" s="526" t="s">
        <v>7393</v>
      </c>
      <c r="H529" s="526">
        <v>120.0</v>
      </c>
    </row>
    <row r="530" ht="14.25" customHeight="1">
      <c r="A530" s="556">
        <v>45629.0</v>
      </c>
      <c r="B530" s="526" t="s">
        <v>8037</v>
      </c>
      <c r="C530" s="526" t="s">
        <v>8038</v>
      </c>
      <c r="D530" s="526" t="s">
        <v>8735</v>
      </c>
      <c r="E530" s="526" t="s">
        <v>6867</v>
      </c>
      <c r="F530" s="526">
        <v>1.0</v>
      </c>
      <c r="G530" s="526" t="s">
        <v>7393</v>
      </c>
      <c r="H530" s="526">
        <v>138.7</v>
      </c>
    </row>
    <row r="531" ht="14.25" customHeight="1">
      <c r="A531" s="556">
        <v>45629.0</v>
      </c>
      <c r="B531" s="526" t="s">
        <v>7619</v>
      </c>
      <c r="C531" s="526" t="s">
        <v>8039</v>
      </c>
      <c r="D531" s="526" t="s">
        <v>8776</v>
      </c>
      <c r="E531" s="526" t="s">
        <v>8781</v>
      </c>
      <c r="F531" s="526">
        <v>1.0</v>
      </c>
      <c r="G531" s="526" t="s">
        <v>7393</v>
      </c>
      <c r="H531" s="526">
        <v>176.9</v>
      </c>
    </row>
    <row r="532" ht="14.25" customHeight="1">
      <c r="A532" s="556">
        <v>45629.0</v>
      </c>
      <c r="B532" s="557" t="s">
        <v>8040</v>
      </c>
      <c r="C532" s="526" t="s">
        <v>8041</v>
      </c>
      <c r="D532" s="526" t="s">
        <v>8735</v>
      </c>
      <c r="E532" s="526" t="s">
        <v>6867</v>
      </c>
      <c r="F532" s="526">
        <v>1.0</v>
      </c>
      <c r="G532" s="526" t="s">
        <v>7393</v>
      </c>
      <c r="H532" s="526">
        <v>126.9</v>
      </c>
    </row>
    <row r="533" ht="14.25" customHeight="1">
      <c r="A533" s="556">
        <v>45629.0</v>
      </c>
      <c r="B533" s="526" t="s">
        <v>7396</v>
      </c>
      <c r="C533" s="526" t="s">
        <v>8042</v>
      </c>
      <c r="D533" s="526" t="s">
        <v>8750</v>
      </c>
      <c r="E533" s="526" t="s">
        <v>6906</v>
      </c>
      <c r="F533" s="526">
        <v>1.0</v>
      </c>
      <c r="G533" s="526" t="s">
        <v>7393</v>
      </c>
      <c r="H533" s="526">
        <v>81.9</v>
      </c>
    </row>
    <row r="534" ht="14.25" customHeight="1">
      <c r="A534" s="556">
        <v>45629.0</v>
      </c>
      <c r="B534" s="526" t="s">
        <v>8043</v>
      </c>
      <c r="C534" s="526" t="s">
        <v>7430</v>
      </c>
      <c r="D534" s="526" t="s">
        <v>8753</v>
      </c>
      <c r="E534" s="526" t="s">
        <v>8044</v>
      </c>
      <c r="F534" s="526">
        <v>1.0</v>
      </c>
      <c r="G534" s="526" t="s">
        <v>7393</v>
      </c>
      <c r="H534" s="526">
        <v>75.0</v>
      </c>
    </row>
    <row r="535" ht="14.25" customHeight="1">
      <c r="A535" s="556">
        <v>45629.0</v>
      </c>
      <c r="B535" s="526" t="s">
        <v>7559</v>
      </c>
      <c r="C535" s="526" t="s">
        <v>8045</v>
      </c>
      <c r="D535" s="526" t="s">
        <v>8714</v>
      </c>
      <c r="E535" s="526" t="s">
        <v>8104</v>
      </c>
      <c r="F535" s="526">
        <v>1.0</v>
      </c>
      <c r="G535" s="526" t="s">
        <v>7393</v>
      </c>
      <c r="H535" s="526">
        <v>83.4</v>
      </c>
    </row>
    <row r="536" ht="14.25" customHeight="1">
      <c r="A536" s="556">
        <v>45630.0</v>
      </c>
      <c r="B536" s="526" t="s">
        <v>2623</v>
      </c>
      <c r="C536" s="526" t="s">
        <v>8046</v>
      </c>
      <c r="D536" s="526" t="s">
        <v>7928</v>
      </c>
      <c r="E536" s="526"/>
      <c r="F536" s="526">
        <v>1.0</v>
      </c>
      <c r="G536" s="526" t="s">
        <v>7393</v>
      </c>
      <c r="H536" s="526">
        <v>50.0</v>
      </c>
    </row>
    <row r="537" ht="14.25" customHeight="1">
      <c r="A537" s="556">
        <v>45630.0</v>
      </c>
      <c r="B537" s="526" t="s">
        <v>7498</v>
      </c>
      <c r="C537" s="526" t="s">
        <v>8047</v>
      </c>
      <c r="D537" s="526" t="s">
        <v>8764</v>
      </c>
      <c r="E537" s="526"/>
      <c r="F537" s="526">
        <v>1.0</v>
      </c>
      <c r="G537" s="526" t="s">
        <v>7393</v>
      </c>
      <c r="H537" s="526">
        <v>176.0</v>
      </c>
    </row>
    <row r="538" ht="14.25" customHeight="1">
      <c r="A538" s="556">
        <v>45630.0</v>
      </c>
      <c r="B538" s="526" t="s">
        <v>2561</v>
      </c>
      <c r="C538" s="526" t="s">
        <v>8048</v>
      </c>
      <c r="D538" s="526" t="s">
        <v>8776</v>
      </c>
      <c r="E538" s="526"/>
      <c r="F538" s="526">
        <v>1.0</v>
      </c>
      <c r="G538" s="526" t="s">
        <v>7393</v>
      </c>
      <c r="H538" s="526">
        <v>170.0</v>
      </c>
    </row>
    <row r="539" ht="14.25" customHeight="1">
      <c r="A539" s="556">
        <v>45631.0</v>
      </c>
      <c r="B539" s="526" t="s">
        <v>7703</v>
      </c>
      <c r="C539" s="526" t="s">
        <v>4793</v>
      </c>
      <c r="D539" s="526" t="s">
        <v>8776</v>
      </c>
      <c r="E539" s="526"/>
      <c r="F539" s="526">
        <v>1.0</v>
      </c>
      <c r="G539" s="526" t="s">
        <v>7393</v>
      </c>
      <c r="H539" s="526">
        <v>170.0</v>
      </c>
    </row>
    <row r="540" ht="14.25" customHeight="1">
      <c r="A540" s="556">
        <v>45631.0</v>
      </c>
      <c r="B540" s="526" t="s">
        <v>2787</v>
      </c>
      <c r="C540" s="526" t="s">
        <v>8049</v>
      </c>
      <c r="D540" s="526" t="s">
        <v>8735</v>
      </c>
      <c r="E540" s="526"/>
      <c r="F540" s="526">
        <v>1.0</v>
      </c>
      <c r="G540" s="526" t="s">
        <v>7393</v>
      </c>
      <c r="H540" s="526">
        <v>126.9</v>
      </c>
    </row>
    <row r="541" ht="14.25" customHeight="1">
      <c r="A541" s="556">
        <v>45631.0</v>
      </c>
      <c r="B541" s="526" t="s">
        <v>8050</v>
      </c>
      <c r="C541" s="526" t="s">
        <v>8051</v>
      </c>
      <c r="D541" s="526" t="s">
        <v>8776</v>
      </c>
      <c r="E541" s="526"/>
      <c r="F541" s="526">
        <v>1.0</v>
      </c>
      <c r="G541" s="526" t="s">
        <v>7393</v>
      </c>
      <c r="H541" s="526">
        <v>176.9</v>
      </c>
    </row>
    <row r="542" ht="14.25" customHeight="1">
      <c r="A542" s="556">
        <v>45631.0</v>
      </c>
      <c r="B542" s="526" t="s">
        <v>8052</v>
      </c>
      <c r="C542" s="526" t="s">
        <v>8053</v>
      </c>
      <c r="D542" s="526" t="s">
        <v>8751</v>
      </c>
      <c r="E542" s="526"/>
      <c r="F542" s="526">
        <v>1.0</v>
      </c>
      <c r="G542" s="526" t="s">
        <v>7393</v>
      </c>
      <c r="H542" s="526">
        <v>81.9</v>
      </c>
    </row>
    <row r="543" ht="14.25" customHeight="1">
      <c r="A543" s="556">
        <v>45631.0</v>
      </c>
      <c r="B543" s="526" t="s">
        <v>7820</v>
      </c>
      <c r="C543" s="526" t="s">
        <v>7651</v>
      </c>
      <c r="D543" s="526" t="s">
        <v>8728</v>
      </c>
      <c r="E543" s="526"/>
      <c r="F543" s="526">
        <v>1.0</v>
      </c>
      <c r="G543" s="526" t="s">
        <v>7393</v>
      </c>
      <c r="H543" s="526">
        <v>126.9</v>
      </c>
    </row>
    <row r="544" ht="14.25" customHeight="1">
      <c r="A544" s="556">
        <v>45631.0</v>
      </c>
      <c r="B544" s="526" t="s">
        <v>7559</v>
      </c>
      <c r="C544" s="526" t="s">
        <v>8045</v>
      </c>
      <c r="D544" s="526" t="s">
        <v>8728</v>
      </c>
      <c r="E544" s="526"/>
      <c r="F544" s="526">
        <v>1.0</v>
      </c>
      <c r="G544" s="526" t="s">
        <v>7393</v>
      </c>
      <c r="H544" s="526">
        <v>120.0</v>
      </c>
    </row>
    <row r="545" ht="14.25" customHeight="1">
      <c r="A545" s="556">
        <v>45632.0</v>
      </c>
      <c r="B545" s="526" t="s">
        <v>8054</v>
      </c>
      <c r="C545" s="526" t="s">
        <v>8055</v>
      </c>
      <c r="D545" s="526" t="s">
        <v>8735</v>
      </c>
      <c r="E545" s="526"/>
      <c r="F545" s="526">
        <v>1.0</v>
      </c>
      <c r="G545" s="526" t="s">
        <v>7393</v>
      </c>
      <c r="H545" s="526">
        <v>114.9</v>
      </c>
    </row>
    <row r="546" ht="14.25" customHeight="1">
      <c r="A546" s="556">
        <v>45633.0</v>
      </c>
      <c r="B546" s="526" t="s">
        <v>2647</v>
      </c>
      <c r="C546" s="526" t="s">
        <v>8056</v>
      </c>
      <c r="D546" s="526" t="s">
        <v>8743</v>
      </c>
      <c r="E546" s="526"/>
      <c r="F546" s="526">
        <v>1.0</v>
      </c>
      <c r="G546" s="526" t="s">
        <v>7393</v>
      </c>
      <c r="H546" s="526">
        <v>126.9</v>
      </c>
    </row>
    <row r="547" ht="14.25" customHeight="1">
      <c r="A547" s="556">
        <v>45633.0</v>
      </c>
      <c r="B547" s="526" t="s">
        <v>2665</v>
      </c>
      <c r="C547" s="526" t="s">
        <v>8057</v>
      </c>
      <c r="D547" s="526" t="s">
        <v>8744</v>
      </c>
      <c r="E547" s="526"/>
      <c r="F547" s="526">
        <v>1.0</v>
      </c>
      <c r="G547" s="526" t="s">
        <v>7393</v>
      </c>
      <c r="H547" s="526">
        <v>126.9</v>
      </c>
    </row>
    <row r="548" ht="14.25" customHeight="1">
      <c r="A548" s="556">
        <v>45633.0</v>
      </c>
      <c r="B548" s="526" t="s">
        <v>8059</v>
      </c>
      <c r="C548" s="526" t="s">
        <v>8060</v>
      </c>
      <c r="D548" s="526" t="s">
        <v>8741</v>
      </c>
      <c r="E548" s="526" t="s">
        <v>7801</v>
      </c>
      <c r="F548" s="526">
        <v>1.0</v>
      </c>
      <c r="G548" s="526" t="s">
        <v>7393</v>
      </c>
      <c r="H548" s="526">
        <v>105.9</v>
      </c>
    </row>
    <row r="549" ht="14.25" customHeight="1">
      <c r="A549" s="556">
        <v>45634.0</v>
      </c>
      <c r="B549" s="526" t="s">
        <v>7714</v>
      </c>
      <c r="C549" s="526" t="s">
        <v>8061</v>
      </c>
      <c r="D549" s="526" t="s">
        <v>8106</v>
      </c>
      <c r="E549" s="526" t="s">
        <v>7856</v>
      </c>
      <c r="F549" s="526">
        <v>1.0</v>
      </c>
      <c r="G549" s="526" t="s">
        <v>7393</v>
      </c>
      <c r="H549" s="526">
        <v>126.9</v>
      </c>
    </row>
    <row r="550" ht="14.25" customHeight="1">
      <c r="A550" s="556">
        <v>45634.0</v>
      </c>
      <c r="B550" s="526" t="s">
        <v>8062</v>
      </c>
      <c r="C550" s="526" t="s">
        <v>8063</v>
      </c>
      <c r="D550" s="526" t="s">
        <v>8760</v>
      </c>
      <c r="E550" s="526" t="s">
        <v>7564</v>
      </c>
      <c r="F550" s="526">
        <v>1.0</v>
      </c>
      <c r="G550" s="526" t="s">
        <v>7393</v>
      </c>
      <c r="H550" s="526">
        <v>176.9</v>
      </c>
    </row>
    <row r="551" ht="14.25" customHeight="1">
      <c r="A551" s="556">
        <v>45634.0</v>
      </c>
      <c r="B551" s="526" t="s">
        <v>7408</v>
      </c>
      <c r="C551" s="526" t="s">
        <v>8064</v>
      </c>
      <c r="D551" s="526" t="s">
        <v>8065</v>
      </c>
      <c r="E551" s="526"/>
      <c r="F551" s="526">
        <v>2.0</v>
      </c>
      <c r="G551" s="526" t="s">
        <v>7393</v>
      </c>
      <c r="H551" s="526">
        <v>62.9</v>
      </c>
    </row>
    <row r="552" ht="14.25" customHeight="1">
      <c r="A552" s="556">
        <v>45634.0</v>
      </c>
      <c r="B552" s="526" t="s">
        <v>8066</v>
      </c>
      <c r="C552" s="526" t="s">
        <v>8067</v>
      </c>
      <c r="D552" s="526" t="s">
        <v>8710</v>
      </c>
      <c r="E552" s="526"/>
      <c r="F552" s="526">
        <v>1.0</v>
      </c>
      <c r="G552" s="526" t="s">
        <v>7393</v>
      </c>
      <c r="H552" s="526">
        <v>34.9</v>
      </c>
    </row>
    <row r="553" ht="14.25" customHeight="1">
      <c r="A553" s="556">
        <v>45634.0</v>
      </c>
      <c r="B553" s="526" t="s">
        <v>7436</v>
      </c>
      <c r="C553" s="526" t="s">
        <v>8070</v>
      </c>
      <c r="D553" s="526" t="s">
        <v>252</v>
      </c>
      <c r="E553" s="526" t="s">
        <v>252</v>
      </c>
      <c r="F553" s="526">
        <v>2.0</v>
      </c>
      <c r="G553" s="526" t="s">
        <v>7393</v>
      </c>
      <c r="H553" s="526">
        <v>180.0</v>
      </c>
    </row>
    <row r="554" ht="14.25" customHeight="1">
      <c r="A554" s="556">
        <v>45634.0</v>
      </c>
      <c r="B554" s="526" t="s">
        <v>7400</v>
      </c>
      <c r="C554" s="526" t="s">
        <v>8071</v>
      </c>
      <c r="D554" s="526" t="s">
        <v>8776</v>
      </c>
      <c r="E554" s="526" t="s">
        <v>204</v>
      </c>
      <c r="F554" s="526">
        <v>1.0</v>
      </c>
      <c r="G554" s="526" t="s">
        <v>7393</v>
      </c>
      <c r="H554" s="526">
        <v>159.9</v>
      </c>
    </row>
    <row r="555" ht="14.25" customHeight="1">
      <c r="A555" s="556">
        <v>45635.0</v>
      </c>
      <c r="B555" s="526" t="s">
        <v>7721</v>
      </c>
      <c r="C555" s="526" t="s">
        <v>8072</v>
      </c>
      <c r="D555" s="526" t="s">
        <v>8735</v>
      </c>
      <c r="E555" s="526" t="s">
        <v>6867</v>
      </c>
      <c r="F555" s="526">
        <v>1.0</v>
      </c>
      <c r="G555" s="526" t="s">
        <v>7393</v>
      </c>
      <c r="H555" s="526">
        <v>120.0</v>
      </c>
    </row>
    <row r="556" ht="14.25" customHeight="1">
      <c r="A556" s="556">
        <v>45635.0</v>
      </c>
      <c r="B556" s="526" t="s">
        <v>8073</v>
      </c>
      <c r="C556" s="526" t="s">
        <v>8074</v>
      </c>
      <c r="D556" s="526" t="s">
        <v>8728</v>
      </c>
      <c r="E556" s="526" t="s">
        <v>2821</v>
      </c>
      <c r="F556" s="526">
        <v>1.0</v>
      </c>
      <c r="G556" s="526" t="s">
        <v>7393</v>
      </c>
      <c r="H556" s="526">
        <v>120.0</v>
      </c>
    </row>
    <row r="557" ht="14.25" customHeight="1">
      <c r="A557" s="556">
        <v>45635.0</v>
      </c>
      <c r="B557" s="526" t="s">
        <v>8075</v>
      </c>
      <c r="C557" s="526" t="s">
        <v>7768</v>
      </c>
      <c r="D557" s="526" t="s">
        <v>8739</v>
      </c>
      <c r="E557" s="526" t="s">
        <v>8076</v>
      </c>
      <c r="F557" s="526">
        <v>1.0</v>
      </c>
      <c r="G557" s="526" t="s">
        <v>7393</v>
      </c>
      <c r="H557" s="526">
        <v>150.0</v>
      </c>
    </row>
    <row r="558" ht="14.25" customHeight="1">
      <c r="A558" s="556">
        <v>45635.0</v>
      </c>
      <c r="B558" s="526" t="s">
        <v>7406</v>
      </c>
      <c r="C558" s="526" t="s">
        <v>8077</v>
      </c>
      <c r="D558" s="526" t="s">
        <v>8718</v>
      </c>
      <c r="E558" s="526" t="s">
        <v>8533</v>
      </c>
      <c r="F558" s="526">
        <v>1.0</v>
      </c>
      <c r="G558" s="526" t="s">
        <v>7393</v>
      </c>
      <c r="H558" s="526">
        <v>85.0</v>
      </c>
    </row>
    <row r="559" ht="14.25" customHeight="1">
      <c r="A559" s="556">
        <v>45635.0</v>
      </c>
      <c r="B559" s="526" t="s">
        <v>8078</v>
      </c>
      <c r="C559" s="526" t="s">
        <v>8079</v>
      </c>
      <c r="D559" s="526" t="s">
        <v>8744</v>
      </c>
      <c r="E559" s="526"/>
      <c r="F559" s="526">
        <v>1.0</v>
      </c>
      <c r="G559" s="526" t="s">
        <v>7393</v>
      </c>
      <c r="H559" s="526">
        <v>126.9</v>
      </c>
    </row>
    <row r="560" ht="14.25" customHeight="1">
      <c r="A560" s="556">
        <v>45636.0</v>
      </c>
      <c r="B560" s="526" t="s">
        <v>2823</v>
      </c>
      <c r="C560" s="526" t="s">
        <v>8080</v>
      </c>
      <c r="D560" s="526" t="s">
        <v>8733</v>
      </c>
      <c r="E560" s="526"/>
      <c r="F560" s="526">
        <v>1.0</v>
      </c>
      <c r="G560" s="526" t="s">
        <v>7393</v>
      </c>
      <c r="H560" s="526">
        <v>126.9</v>
      </c>
    </row>
    <row r="561" ht="14.25" customHeight="1">
      <c r="A561" s="556">
        <v>45636.0</v>
      </c>
      <c r="B561" s="526" t="s">
        <v>7554</v>
      </c>
      <c r="C561" s="526" t="s">
        <v>8081</v>
      </c>
      <c r="D561" s="526" t="s">
        <v>8744</v>
      </c>
      <c r="E561" s="526"/>
      <c r="F561" s="526">
        <v>1.0</v>
      </c>
      <c r="G561" s="526" t="s">
        <v>7393</v>
      </c>
      <c r="H561" s="526">
        <v>126.9</v>
      </c>
    </row>
    <row r="562" ht="14.25" customHeight="1">
      <c r="A562" s="556">
        <v>45636.0</v>
      </c>
      <c r="B562" s="526" t="s">
        <v>8082</v>
      </c>
      <c r="C562" s="526" t="s">
        <v>8083</v>
      </c>
      <c r="D562" s="526" t="s">
        <v>8106</v>
      </c>
      <c r="E562" s="526"/>
      <c r="F562" s="526">
        <v>1.0</v>
      </c>
      <c r="G562" s="526" t="s">
        <v>7393</v>
      </c>
      <c r="H562" s="526">
        <v>120.0</v>
      </c>
    </row>
    <row r="563" ht="14.25" customHeight="1">
      <c r="A563" s="556">
        <v>45636.0</v>
      </c>
      <c r="B563" s="526" t="s">
        <v>7406</v>
      </c>
      <c r="C563" s="526" t="s">
        <v>8084</v>
      </c>
      <c r="D563" s="526" t="s">
        <v>8717</v>
      </c>
      <c r="E563" s="526"/>
      <c r="F563" s="526">
        <v>1.0</v>
      </c>
      <c r="G563" s="526" t="s">
        <v>7393</v>
      </c>
      <c r="H563" s="526">
        <v>120.0</v>
      </c>
    </row>
    <row r="564" ht="14.25" customHeight="1">
      <c r="A564" s="556">
        <v>45636.0</v>
      </c>
      <c r="B564" s="526" t="s">
        <v>7381</v>
      </c>
      <c r="C564" s="526" t="s">
        <v>8085</v>
      </c>
      <c r="D564" s="526" t="s">
        <v>8714</v>
      </c>
      <c r="E564" s="526"/>
      <c r="F564" s="526">
        <v>1.0</v>
      </c>
      <c r="G564" s="526" t="s">
        <v>7393</v>
      </c>
      <c r="H564" s="526">
        <v>85.0</v>
      </c>
    </row>
    <row r="565" ht="14.25" customHeight="1">
      <c r="A565" s="556">
        <v>45636.0</v>
      </c>
      <c r="B565" s="526" t="s">
        <v>7406</v>
      </c>
      <c r="C565" s="526" t="s">
        <v>8086</v>
      </c>
      <c r="D565" s="526" t="s">
        <v>8739</v>
      </c>
      <c r="E565" s="526"/>
      <c r="F565" s="526">
        <v>1.0</v>
      </c>
      <c r="G565" s="526" t="s">
        <v>7393</v>
      </c>
      <c r="H565" s="526">
        <v>156.9</v>
      </c>
    </row>
    <row r="566" ht="14.25" customHeight="1">
      <c r="A566" s="556">
        <v>45636.0</v>
      </c>
      <c r="B566" s="526" t="s">
        <v>7970</v>
      </c>
      <c r="C566" s="526" t="s">
        <v>8088</v>
      </c>
      <c r="D566" s="526" t="s">
        <v>8742</v>
      </c>
      <c r="E566" s="526"/>
      <c r="F566" s="526">
        <v>1.0</v>
      </c>
      <c r="G566" s="526" t="s">
        <v>7393</v>
      </c>
      <c r="H566" s="526">
        <v>126.9</v>
      </c>
    </row>
    <row r="567" ht="14.25" customHeight="1">
      <c r="A567" s="556">
        <v>45636.0</v>
      </c>
      <c r="B567" s="526" t="s">
        <v>7600</v>
      </c>
      <c r="C567" s="526" t="s">
        <v>8089</v>
      </c>
      <c r="D567" s="526" t="s">
        <v>8737</v>
      </c>
      <c r="E567" s="526" t="s">
        <v>8090</v>
      </c>
      <c r="F567" s="526">
        <v>1.0</v>
      </c>
      <c r="G567" s="526" t="s">
        <v>7393</v>
      </c>
      <c r="H567" s="526">
        <v>126.9</v>
      </c>
    </row>
    <row r="568" ht="14.25" customHeight="1">
      <c r="A568" s="556">
        <v>45637.0</v>
      </c>
      <c r="B568" s="526" t="s">
        <v>7820</v>
      </c>
      <c r="C568" s="526" t="s">
        <v>7651</v>
      </c>
      <c r="D568" s="526" t="s">
        <v>8749</v>
      </c>
      <c r="E568" s="526"/>
      <c r="F568" s="526">
        <v>2.0</v>
      </c>
      <c r="G568" s="526" t="s">
        <v>7393</v>
      </c>
      <c r="H568" s="526">
        <v>106.9</v>
      </c>
    </row>
    <row r="569" ht="14.25" customHeight="1">
      <c r="A569" s="556">
        <v>45637.0</v>
      </c>
      <c r="B569" s="526" t="s">
        <v>2561</v>
      </c>
      <c r="C569" s="526" t="s">
        <v>7590</v>
      </c>
      <c r="D569" s="526" t="s">
        <v>8737</v>
      </c>
      <c r="E569" s="526" t="s">
        <v>8090</v>
      </c>
      <c r="F569" s="526">
        <v>1.0</v>
      </c>
      <c r="G569" s="526" t="s">
        <v>7393</v>
      </c>
      <c r="H569" s="526">
        <v>126.9</v>
      </c>
    </row>
    <row r="570" ht="14.25" customHeight="1">
      <c r="A570" s="556">
        <v>45637.0</v>
      </c>
      <c r="B570" s="526" t="s">
        <v>2665</v>
      </c>
      <c r="C570" s="526" t="s">
        <v>8092</v>
      </c>
      <c r="D570" s="526" t="s">
        <v>8776</v>
      </c>
      <c r="E570" s="526" t="s">
        <v>204</v>
      </c>
      <c r="F570" s="526">
        <v>1.0</v>
      </c>
      <c r="G570" s="526" t="s">
        <v>7393</v>
      </c>
      <c r="H570" s="526">
        <v>176.9</v>
      </c>
    </row>
    <row r="571" ht="14.25" customHeight="1">
      <c r="A571" s="556">
        <v>45637.0</v>
      </c>
      <c r="B571" s="526" t="s">
        <v>8093</v>
      </c>
      <c r="C571" s="526" t="s">
        <v>8094</v>
      </c>
      <c r="D571" s="526" t="s">
        <v>8776</v>
      </c>
      <c r="E571" s="526" t="s">
        <v>204</v>
      </c>
      <c r="F571" s="526">
        <v>1.0</v>
      </c>
      <c r="G571" s="526" t="s">
        <v>7393</v>
      </c>
      <c r="H571" s="526">
        <v>176.9</v>
      </c>
    </row>
    <row r="572" ht="14.25" customHeight="1">
      <c r="A572" s="556">
        <v>45638.0</v>
      </c>
      <c r="B572" s="526" t="s">
        <v>7848</v>
      </c>
      <c r="C572" s="526" t="s">
        <v>8095</v>
      </c>
      <c r="D572" s="526" t="s">
        <v>8733</v>
      </c>
      <c r="E572" s="526" t="s">
        <v>8096</v>
      </c>
      <c r="F572" s="526">
        <v>1.0</v>
      </c>
      <c r="G572" s="526" t="s">
        <v>7393</v>
      </c>
      <c r="H572" s="526">
        <v>126.9</v>
      </c>
    </row>
    <row r="573" ht="14.25" customHeight="1">
      <c r="A573" s="556">
        <v>45638.0</v>
      </c>
      <c r="B573" s="526" t="s">
        <v>8097</v>
      </c>
      <c r="C573" s="526" t="s">
        <v>8098</v>
      </c>
      <c r="D573" s="526" t="s">
        <v>8715</v>
      </c>
      <c r="E573" s="526" t="s">
        <v>7694</v>
      </c>
      <c r="F573" s="526">
        <v>1.0</v>
      </c>
      <c r="G573" s="526" t="s">
        <v>7393</v>
      </c>
      <c r="H573" s="526">
        <v>91.9</v>
      </c>
    </row>
    <row r="574" ht="14.25" customHeight="1">
      <c r="A574" s="556">
        <v>45638.0</v>
      </c>
      <c r="B574" s="526" t="s">
        <v>8099</v>
      </c>
      <c r="C574" s="526" t="s">
        <v>8100</v>
      </c>
      <c r="D574" s="526" t="s">
        <v>8735</v>
      </c>
      <c r="E574" s="526" t="s">
        <v>6867</v>
      </c>
      <c r="F574" s="526">
        <v>1.0</v>
      </c>
      <c r="G574" s="526" t="s">
        <v>7393</v>
      </c>
      <c r="H574" s="526">
        <v>120.0</v>
      </c>
    </row>
    <row r="575" ht="14.25" customHeight="1">
      <c r="A575" s="556">
        <v>45638.0</v>
      </c>
      <c r="B575" s="526" t="s">
        <v>7579</v>
      </c>
      <c r="C575" s="526" t="s">
        <v>8101</v>
      </c>
      <c r="D575" s="526" t="s">
        <v>8733</v>
      </c>
      <c r="E575" s="526" t="s">
        <v>7647</v>
      </c>
      <c r="F575" s="526">
        <v>1.0</v>
      </c>
      <c r="G575" s="526" t="s">
        <v>7393</v>
      </c>
      <c r="H575" s="526">
        <v>114.9</v>
      </c>
    </row>
    <row r="576" ht="14.25" customHeight="1">
      <c r="A576" s="556">
        <v>45638.0</v>
      </c>
      <c r="B576" s="526" t="s">
        <v>8075</v>
      </c>
      <c r="C576" s="526" t="s">
        <v>8102</v>
      </c>
      <c r="D576" s="526" t="s">
        <v>8776</v>
      </c>
      <c r="E576" s="526" t="s">
        <v>204</v>
      </c>
      <c r="F576" s="526">
        <v>1.0</v>
      </c>
      <c r="G576" s="526" t="s">
        <v>7393</v>
      </c>
      <c r="H576" s="526">
        <v>179.6</v>
      </c>
    </row>
    <row r="577" ht="14.25" customHeight="1">
      <c r="A577" s="556">
        <v>45639.0</v>
      </c>
      <c r="B577" s="526" t="s">
        <v>7600</v>
      </c>
      <c r="C577" s="526" t="s">
        <v>8103</v>
      </c>
      <c r="D577" s="526" t="s">
        <v>8714</v>
      </c>
      <c r="E577" s="526" t="s">
        <v>8104</v>
      </c>
      <c r="F577" s="526">
        <v>1.0</v>
      </c>
      <c r="G577" s="526" t="s">
        <v>7393</v>
      </c>
      <c r="H577" s="526">
        <v>76.5</v>
      </c>
    </row>
    <row r="578" ht="14.25" customHeight="1">
      <c r="A578" s="556">
        <v>45639.0</v>
      </c>
      <c r="B578" s="526" t="s">
        <v>2561</v>
      </c>
      <c r="C578" s="526" t="s">
        <v>8105</v>
      </c>
      <c r="D578" s="526" t="s">
        <v>8106</v>
      </c>
      <c r="E578" s="526" t="s">
        <v>8106</v>
      </c>
      <c r="F578" s="526">
        <v>1.0</v>
      </c>
      <c r="G578" s="526" t="s">
        <v>7393</v>
      </c>
      <c r="H578" s="526">
        <v>126.9</v>
      </c>
    </row>
    <row r="579" ht="14.25" customHeight="1">
      <c r="A579" s="556">
        <v>45639.0</v>
      </c>
      <c r="B579" s="526" t="s">
        <v>8107</v>
      </c>
      <c r="C579" s="526" t="s">
        <v>8108</v>
      </c>
      <c r="D579" s="526" t="s">
        <v>8106</v>
      </c>
      <c r="E579" s="526" t="s">
        <v>8106</v>
      </c>
      <c r="F579" s="526">
        <v>1.0</v>
      </c>
      <c r="G579" s="526" t="s">
        <v>7393</v>
      </c>
      <c r="H579" s="526">
        <v>114.9</v>
      </c>
    </row>
    <row r="580" ht="14.25" customHeight="1">
      <c r="A580" s="556">
        <v>45639.0</v>
      </c>
      <c r="B580" s="526" t="s">
        <v>7555</v>
      </c>
      <c r="C580" s="526" t="s">
        <v>8109</v>
      </c>
      <c r="D580" s="526" t="s">
        <v>8776</v>
      </c>
      <c r="E580" s="526" t="s">
        <v>204</v>
      </c>
      <c r="F580" s="526">
        <v>1.0</v>
      </c>
      <c r="G580" s="526" t="s">
        <v>7393</v>
      </c>
      <c r="H580" s="526">
        <v>176.9</v>
      </c>
    </row>
    <row r="581" ht="14.25" customHeight="1">
      <c r="A581" s="556">
        <v>45639.0</v>
      </c>
      <c r="B581" s="526" t="s">
        <v>7434</v>
      </c>
      <c r="C581" s="526" t="s">
        <v>8110</v>
      </c>
      <c r="D581" s="526" t="s">
        <v>8776</v>
      </c>
      <c r="E581" s="526" t="s">
        <v>204</v>
      </c>
      <c r="F581" s="526">
        <v>1.0</v>
      </c>
      <c r="G581" s="526" t="s">
        <v>7393</v>
      </c>
      <c r="H581" s="526">
        <v>159.9</v>
      </c>
    </row>
    <row r="582" ht="14.25" customHeight="1">
      <c r="A582" s="556">
        <v>45640.0</v>
      </c>
      <c r="B582" s="526" t="s">
        <v>7760</v>
      </c>
      <c r="C582" s="526" t="s">
        <v>8111</v>
      </c>
      <c r="D582" s="526" t="s">
        <v>8707</v>
      </c>
      <c r="E582" s="526"/>
      <c r="F582" s="526">
        <v>1.0</v>
      </c>
      <c r="G582" s="526" t="s">
        <v>7393</v>
      </c>
      <c r="H582" s="526">
        <v>28.0</v>
      </c>
    </row>
    <row r="583" ht="14.25" customHeight="1">
      <c r="A583" s="556">
        <v>45640.0</v>
      </c>
      <c r="B583" s="526" t="s">
        <v>7760</v>
      </c>
      <c r="C583" s="526" t="s">
        <v>8111</v>
      </c>
      <c r="D583" s="526" t="s">
        <v>162</v>
      </c>
      <c r="E583" s="526" t="s">
        <v>6906</v>
      </c>
      <c r="F583" s="526">
        <v>1.0</v>
      </c>
      <c r="G583" s="526" t="s">
        <v>7393</v>
      </c>
      <c r="H583" s="526">
        <v>100.0</v>
      </c>
    </row>
    <row r="584" ht="14.25" customHeight="1">
      <c r="A584" s="556">
        <v>45640.0</v>
      </c>
      <c r="B584" s="526" t="s">
        <v>2783</v>
      </c>
      <c r="C584" s="526" t="s">
        <v>8113</v>
      </c>
      <c r="D584" s="526" t="s">
        <v>8735</v>
      </c>
      <c r="E584" s="526"/>
      <c r="F584" s="526">
        <v>1.0</v>
      </c>
      <c r="G584" s="526" t="s">
        <v>7393</v>
      </c>
      <c r="H584" s="526">
        <v>126.9</v>
      </c>
    </row>
    <row r="585" ht="14.25" customHeight="1">
      <c r="A585" s="556">
        <v>45640.0</v>
      </c>
      <c r="B585" s="526" t="s">
        <v>8114</v>
      </c>
      <c r="C585" s="526" t="s">
        <v>8115</v>
      </c>
      <c r="D585" s="526" t="s">
        <v>8705</v>
      </c>
      <c r="E585" s="526"/>
      <c r="F585" s="526">
        <v>1.0</v>
      </c>
      <c r="G585" s="526" t="s">
        <v>7393</v>
      </c>
      <c r="H585" s="526">
        <v>34.9</v>
      </c>
    </row>
    <row r="586" ht="14.25" customHeight="1">
      <c r="A586" s="556">
        <v>45640.0</v>
      </c>
      <c r="B586" s="526" t="s">
        <v>8116</v>
      </c>
      <c r="C586" s="526" t="s">
        <v>8117</v>
      </c>
      <c r="D586" s="526" t="s">
        <v>8721</v>
      </c>
      <c r="E586" s="526" t="s">
        <v>7940</v>
      </c>
      <c r="F586" s="526">
        <v>1.0</v>
      </c>
      <c r="G586" s="526" t="s">
        <v>7393</v>
      </c>
      <c r="H586" s="526">
        <v>115.0</v>
      </c>
    </row>
    <row r="587" ht="14.25" customHeight="1">
      <c r="A587" s="556">
        <v>45640.0</v>
      </c>
      <c r="B587" s="526" t="s">
        <v>8116</v>
      </c>
      <c r="C587" s="526" t="s">
        <v>8117</v>
      </c>
      <c r="D587" s="526" t="s">
        <v>8706</v>
      </c>
      <c r="E587" s="526"/>
      <c r="F587" s="526">
        <v>1.0</v>
      </c>
      <c r="G587" s="526" t="s">
        <v>7393</v>
      </c>
      <c r="H587" s="526">
        <v>28.0</v>
      </c>
    </row>
    <row r="588" ht="14.25" customHeight="1">
      <c r="A588" s="556">
        <v>45640.0</v>
      </c>
      <c r="B588" s="526" t="s">
        <v>8116</v>
      </c>
      <c r="C588" s="526" t="s">
        <v>8117</v>
      </c>
      <c r="D588" s="526" t="s">
        <v>7951</v>
      </c>
      <c r="E588" s="526" t="s">
        <v>6906</v>
      </c>
      <c r="F588" s="526">
        <v>1.0</v>
      </c>
      <c r="G588" s="526" t="s">
        <v>7393</v>
      </c>
      <c r="H588" s="526">
        <v>106.9</v>
      </c>
    </row>
    <row r="589" ht="14.25" customHeight="1">
      <c r="A589" s="556">
        <v>45640.0</v>
      </c>
      <c r="B589" s="526" t="s">
        <v>7417</v>
      </c>
      <c r="C589" s="526" t="s">
        <v>8118</v>
      </c>
      <c r="D589" s="526" t="s">
        <v>8742</v>
      </c>
      <c r="E589" s="526" t="s">
        <v>6873</v>
      </c>
      <c r="F589" s="526">
        <v>1.0</v>
      </c>
      <c r="G589" s="526" t="s">
        <v>7393</v>
      </c>
      <c r="H589" s="526">
        <v>126.9</v>
      </c>
    </row>
    <row r="590" ht="14.25" customHeight="1">
      <c r="A590" s="556">
        <v>45640.0</v>
      </c>
      <c r="B590" s="526" t="s">
        <v>2783</v>
      </c>
      <c r="C590" s="526" t="s">
        <v>8119</v>
      </c>
      <c r="D590" s="526" t="s">
        <v>8735</v>
      </c>
      <c r="E590" s="526" t="s">
        <v>6867</v>
      </c>
      <c r="F590" s="526">
        <v>1.0</v>
      </c>
      <c r="G590" s="526" t="s">
        <v>7393</v>
      </c>
      <c r="H590" s="526">
        <v>114.9</v>
      </c>
    </row>
    <row r="591" ht="14.25" customHeight="1">
      <c r="A591" s="556">
        <v>45641.0</v>
      </c>
      <c r="B591" s="526" t="s">
        <v>2635</v>
      </c>
      <c r="C591" s="526" t="s">
        <v>8120</v>
      </c>
      <c r="D591" s="526" t="s">
        <v>8755</v>
      </c>
      <c r="E591" s="526"/>
      <c r="F591" s="526">
        <v>1.0</v>
      </c>
      <c r="G591" s="526" t="s">
        <v>7393</v>
      </c>
      <c r="H591" s="526">
        <v>34.9</v>
      </c>
    </row>
    <row r="592" ht="14.25" customHeight="1">
      <c r="A592" s="556">
        <v>45641.0</v>
      </c>
      <c r="B592" s="526" t="s">
        <v>2547</v>
      </c>
      <c r="C592" s="526" t="s">
        <v>8122</v>
      </c>
      <c r="D592" s="526" t="s">
        <v>8713</v>
      </c>
      <c r="E592" s="526" t="s">
        <v>2459</v>
      </c>
      <c r="F592" s="526">
        <v>1.0</v>
      </c>
      <c r="G592" s="526" t="s">
        <v>7393</v>
      </c>
      <c r="H592" s="526">
        <v>91.9</v>
      </c>
    </row>
    <row r="593" ht="14.25" customHeight="1">
      <c r="A593" s="556">
        <v>45641.0</v>
      </c>
      <c r="B593" s="526" t="s">
        <v>7417</v>
      </c>
      <c r="C593" s="526" t="s">
        <v>8123</v>
      </c>
      <c r="D593" s="526" t="s">
        <v>7951</v>
      </c>
      <c r="E593" s="526" t="s">
        <v>6906</v>
      </c>
      <c r="F593" s="526">
        <v>1.0</v>
      </c>
      <c r="G593" s="526" t="s">
        <v>7393</v>
      </c>
      <c r="H593" s="526">
        <v>100.0</v>
      </c>
    </row>
    <row r="594" ht="14.25" customHeight="1">
      <c r="A594" s="556">
        <v>45642.0</v>
      </c>
      <c r="B594" s="526" t="s">
        <v>7869</v>
      </c>
      <c r="C594" s="526" t="s">
        <v>8124</v>
      </c>
      <c r="D594" s="526" t="s">
        <v>8782</v>
      </c>
      <c r="E594" s="526"/>
      <c r="F594" s="526">
        <v>1.0</v>
      </c>
      <c r="G594" s="526" t="s">
        <v>7393</v>
      </c>
      <c r="H594" s="526">
        <v>25.0</v>
      </c>
    </row>
    <row r="595" ht="14.25" customHeight="1">
      <c r="A595" s="556">
        <v>45642.0</v>
      </c>
      <c r="B595" s="526" t="s">
        <v>7637</v>
      </c>
      <c r="C595" s="526" t="s">
        <v>8125</v>
      </c>
      <c r="D595" s="526" t="s">
        <v>8752</v>
      </c>
      <c r="E595" s="526"/>
      <c r="F595" s="526">
        <v>1.0</v>
      </c>
      <c r="G595" s="526" t="s">
        <v>7393</v>
      </c>
      <c r="H595" s="526">
        <v>75.0</v>
      </c>
    </row>
    <row r="596" ht="14.25" customHeight="1">
      <c r="A596" s="556">
        <v>45642.0</v>
      </c>
      <c r="B596" s="526" t="s">
        <v>8127</v>
      </c>
      <c r="C596" s="526" t="s">
        <v>8128</v>
      </c>
      <c r="D596" s="526" t="s">
        <v>8740</v>
      </c>
      <c r="E596" s="526" t="s">
        <v>7772</v>
      </c>
      <c r="F596" s="526">
        <v>1.0</v>
      </c>
      <c r="G596" s="526" t="s">
        <v>7393</v>
      </c>
      <c r="H596" s="526">
        <v>106.9</v>
      </c>
    </row>
    <row r="597" ht="14.25" customHeight="1">
      <c r="A597" s="556">
        <v>45642.0</v>
      </c>
      <c r="B597" s="526" t="s">
        <v>7498</v>
      </c>
      <c r="C597" s="526" t="s">
        <v>8129</v>
      </c>
      <c r="D597" s="526" t="s">
        <v>8717</v>
      </c>
      <c r="E597" s="526" t="s">
        <v>7957</v>
      </c>
      <c r="F597" s="526">
        <v>1.0</v>
      </c>
      <c r="G597" s="526" t="s">
        <v>7393</v>
      </c>
      <c r="H597" s="526">
        <v>91.9</v>
      </c>
    </row>
    <row r="598" ht="14.25" customHeight="1">
      <c r="A598" s="556">
        <v>45642.0</v>
      </c>
      <c r="B598" s="526" t="s">
        <v>8130</v>
      </c>
      <c r="C598" s="526" t="s">
        <v>8131</v>
      </c>
      <c r="D598" s="526" t="s">
        <v>8718</v>
      </c>
      <c r="E598" s="526" t="s">
        <v>7989</v>
      </c>
      <c r="F598" s="526">
        <v>1.0</v>
      </c>
      <c r="G598" s="526" t="s">
        <v>7393</v>
      </c>
      <c r="H598" s="526">
        <v>91.9</v>
      </c>
    </row>
    <row r="599" ht="14.25" customHeight="1">
      <c r="A599" s="556">
        <v>45642.0</v>
      </c>
      <c r="B599" s="526" t="s">
        <v>2623</v>
      </c>
      <c r="C599" s="526" t="s">
        <v>8132</v>
      </c>
      <c r="D599" s="526" t="s">
        <v>8782</v>
      </c>
      <c r="E599" s="526"/>
      <c r="F599" s="526">
        <v>1.0</v>
      </c>
      <c r="G599" s="526" t="s">
        <v>7393</v>
      </c>
      <c r="H599" s="526">
        <v>34.9</v>
      </c>
    </row>
    <row r="600" ht="14.25" customHeight="1">
      <c r="A600" s="556">
        <v>45642.0</v>
      </c>
      <c r="B600" s="526" t="s">
        <v>2597</v>
      </c>
      <c r="C600" s="526" t="s">
        <v>8133</v>
      </c>
      <c r="D600" s="526" t="s">
        <v>8720</v>
      </c>
      <c r="E600" s="526" t="s">
        <v>2619</v>
      </c>
      <c r="F600" s="526">
        <v>1.0</v>
      </c>
      <c r="G600" s="526" t="s">
        <v>7393</v>
      </c>
      <c r="H600" s="526">
        <v>256.9</v>
      </c>
    </row>
    <row r="601" ht="14.25" customHeight="1">
      <c r="A601" s="556">
        <v>45642.0</v>
      </c>
      <c r="B601" s="526" t="s">
        <v>2597</v>
      </c>
      <c r="C601" s="526" t="s">
        <v>8133</v>
      </c>
      <c r="D601" s="526" t="s">
        <v>8738</v>
      </c>
      <c r="E601" s="526" t="s">
        <v>7628</v>
      </c>
      <c r="F601" s="526">
        <v>1.0</v>
      </c>
      <c r="G601" s="526" t="s">
        <v>7393</v>
      </c>
      <c r="H601" s="526"/>
    </row>
    <row r="602" ht="14.25" customHeight="1">
      <c r="A602" s="556">
        <v>45643.0</v>
      </c>
      <c r="B602" s="526" t="s">
        <v>2441</v>
      </c>
      <c r="C602" s="526" t="s">
        <v>8134</v>
      </c>
      <c r="D602" s="526" t="s">
        <v>8733</v>
      </c>
      <c r="E602" s="526" t="s">
        <v>7647</v>
      </c>
      <c r="F602" s="526">
        <v>1.0</v>
      </c>
      <c r="G602" s="526" t="s">
        <v>7393</v>
      </c>
      <c r="H602" s="526">
        <v>126.9</v>
      </c>
    </row>
    <row r="603" ht="14.25" customHeight="1">
      <c r="A603" s="556">
        <v>45643.0</v>
      </c>
      <c r="B603" s="526" t="s">
        <v>2665</v>
      </c>
      <c r="C603" s="526" t="s">
        <v>7648</v>
      </c>
      <c r="D603" s="526" t="s">
        <v>8754</v>
      </c>
      <c r="E603" s="526"/>
      <c r="F603" s="526">
        <v>1.0</v>
      </c>
      <c r="G603" s="526" t="s">
        <v>7393</v>
      </c>
      <c r="H603" s="526">
        <v>37.9</v>
      </c>
    </row>
    <row r="604" ht="14.25" customHeight="1">
      <c r="A604" s="556">
        <v>45643.0</v>
      </c>
      <c r="B604" s="526" t="s">
        <v>8059</v>
      </c>
      <c r="C604" s="526" t="s">
        <v>8135</v>
      </c>
      <c r="D604" s="526" t="s">
        <v>8733</v>
      </c>
      <c r="E604" s="526"/>
      <c r="F604" s="526">
        <v>1.0</v>
      </c>
      <c r="G604" s="526" t="s">
        <v>7393</v>
      </c>
      <c r="H604" s="526">
        <v>126.9</v>
      </c>
    </row>
    <row r="605" ht="14.25" customHeight="1">
      <c r="A605" s="556">
        <v>45643.0</v>
      </c>
      <c r="B605" s="526" t="s">
        <v>8136</v>
      </c>
      <c r="C605" s="526" t="s">
        <v>7775</v>
      </c>
      <c r="D605" s="526" t="s">
        <v>8735</v>
      </c>
      <c r="E605" s="526"/>
      <c r="F605" s="526">
        <v>1.0</v>
      </c>
      <c r="G605" s="526" t="s">
        <v>7393</v>
      </c>
      <c r="H605" s="526">
        <v>126.9</v>
      </c>
    </row>
    <row r="606" ht="14.25" customHeight="1">
      <c r="A606" s="556">
        <v>45643.0</v>
      </c>
      <c r="B606" s="526" t="s">
        <v>7396</v>
      </c>
      <c r="C606" s="526" t="s">
        <v>7886</v>
      </c>
      <c r="D606" s="526" t="s">
        <v>8741</v>
      </c>
      <c r="E606" s="526"/>
      <c r="F606" s="526">
        <v>1.0</v>
      </c>
      <c r="G606" s="526" t="s">
        <v>7393</v>
      </c>
      <c r="H606" s="526">
        <v>116.9</v>
      </c>
    </row>
    <row r="607" ht="14.25" customHeight="1">
      <c r="A607" s="556">
        <v>45644.0</v>
      </c>
      <c r="B607" s="526" t="s">
        <v>2647</v>
      </c>
      <c r="C607" s="526" t="s">
        <v>8137</v>
      </c>
      <c r="D607" s="526" t="s">
        <v>8743</v>
      </c>
      <c r="E607" s="526"/>
      <c r="F607" s="526">
        <v>1.0</v>
      </c>
      <c r="G607" s="526" t="s">
        <v>7393</v>
      </c>
      <c r="H607" s="526">
        <v>114.9</v>
      </c>
    </row>
    <row r="608" ht="14.25" customHeight="1">
      <c r="A608" s="556">
        <v>45644.0</v>
      </c>
      <c r="B608" s="526" t="s">
        <v>7941</v>
      </c>
      <c r="C608" s="526" t="s">
        <v>8138</v>
      </c>
      <c r="D608" s="526" t="s">
        <v>8739</v>
      </c>
      <c r="E608" s="526"/>
      <c r="F608" s="526">
        <v>1.0</v>
      </c>
      <c r="G608" s="526" t="s">
        <v>7393</v>
      </c>
      <c r="H608" s="526">
        <v>141.9</v>
      </c>
    </row>
    <row r="609" ht="14.25" customHeight="1">
      <c r="A609" s="556">
        <v>45645.0</v>
      </c>
      <c r="B609" s="526" t="s">
        <v>8139</v>
      </c>
      <c r="C609" s="526" t="s">
        <v>8140</v>
      </c>
      <c r="D609" s="526" t="s">
        <v>8718</v>
      </c>
      <c r="E609" s="526" t="s">
        <v>7989</v>
      </c>
      <c r="F609" s="526">
        <v>1.0</v>
      </c>
      <c r="G609" s="526" t="s">
        <v>7393</v>
      </c>
      <c r="H609" s="526">
        <v>91.9</v>
      </c>
    </row>
    <row r="610" ht="14.25" customHeight="1">
      <c r="A610" s="556">
        <v>45645.0</v>
      </c>
      <c r="B610" s="526" t="s">
        <v>7417</v>
      </c>
      <c r="C610" s="526" t="s">
        <v>8141</v>
      </c>
      <c r="D610" s="526" t="s">
        <v>8720</v>
      </c>
      <c r="E610" s="526" t="s">
        <v>2619</v>
      </c>
      <c r="F610" s="526">
        <v>1.0</v>
      </c>
      <c r="G610" s="526" t="s">
        <v>7393</v>
      </c>
      <c r="H610" s="526">
        <v>121.9</v>
      </c>
    </row>
    <row r="611" ht="14.25" customHeight="1">
      <c r="A611" s="556">
        <v>45645.0</v>
      </c>
      <c r="B611" s="526" t="s">
        <v>2647</v>
      </c>
      <c r="C611" s="526" t="s">
        <v>8137</v>
      </c>
      <c r="D611" s="526" t="s">
        <v>8741</v>
      </c>
      <c r="E611" s="526" t="s">
        <v>7801</v>
      </c>
      <c r="F611" s="526">
        <v>1.0</v>
      </c>
      <c r="G611" s="526" t="s">
        <v>7393</v>
      </c>
      <c r="H611" s="526">
        <v>100.4</v>
      </c>
    </row>
    <row r="612" ht="14.25" customHeight="1">
      <c r="A612" s="556">
        <v>45645.0</v>
      </c>
      <c r="B612" s="526" t="s">
        <v>8142</v>
      </c>
      <c r="C612" s="526" t="s">
        <v>8143</v>
      </c>
      <c r="D612" s="526" t="s">
        <v>8758</v>
      </c>
      <c r="E612" s="526" t="s">
        <v>6828</v>
      </c>
      <c r="F612" s="526">
        <v>1.0</v>
      </c>
      <c r="G612" s="526" t="s">
        <v>7393</v>
      </c>
      <c r="H612" s="526">
        <v>151.4</v>
      </c>
    </row>
    <row r="613" ht="14.25" customHeight="1">
      <c r="A613" s="556">
        <v>45645.0</v>
      </c>
      <c r="B613" s="526" t="s">
        <v>8144</v>
      </c>
      <c r="C613" s="526" t="s">
        <v>8145</v>
      </c>
      <c r="D613" s="526" t="s">
        <v>8735</v>
      </c>
      <c r="E613" s="526" t="s">
        <v>6867</v>
      </c>
      <c r="F613" s="526">
        <v>1.0</v>
      </c>
      <c r="G613" s="526" t="s">
        <v>7393</v>
      </c>
      <c r="H613" s="526">
        <v>114.9</v>
      </c>
    </row>
    <row r="614" ht="14.25" customHeight="1">
      <c r="A614" s="556">
        <v>45645.0</v>
      </c>
      <c r="B614" s="526" t="s">
        <v>8146</v>
      </c>
      <c r="C614" s="526" t="s">
        <v>8147</v>
      </c>
      <c r="D614" s="526" t="s">
        <v>8748</v>
      </c>
      <c r="E614" s="526" t="s">
        <v>7685</v>
      </c>
      <c r="F614" s="526">
        <v>1.0</v>
      </c>
      <c r="G614" s="526" t="s">
        <v>7393</v>
      </c>
      <c r="H614" s="526">
        <v>108.9</v>
      </c>
    </row>
    <row r="615" ht="14.25" customHeight="1">
      <c r="A615" s="556">
        <v>45646.0</v>
      </c>
      <c r="B615" s="526" t="s">
        <v>2561</v>
      </c>
      <c r="C615" s="526" t="s">
        <v>8148</v>
      </c>
      <c r="D615" s="526" t="s">
        <v>8748</v>
      </c>
      <c r="E615" s="526" t="s">
        <v>7685</v>
      </c>
      <c r="F615" s="526">
        <v>1.0</v>
      </c>
      <c r="G615" s="526" t="s">
        <v>7393</v>
      </c>
      <c r="H615" s="526">
        <v>108.9</v>
      </c>
    </row>
    <row r="616" ht="14.25" customHeight="1">
      <c r="A616" s="556">
        <v>45646.0</v>
      </c>
      <c r="B616" s="526" t="s">
        <v>7883</v>
      </c>
      <c r="C616" s="526" t="s">
        <v>8034</v>
      </c>
      <c r="D616" s="526" t="s">
        <v>8783</v>
      </c>
      <c r="E616" s="526" t="s">
        <v>6838</v>
      </c>
      <c r="F616" s="526">
        <v>1.0</v>
      </c>
      <c r="G616" s="526" t="s">
        <v>7393</v>
      </c>
      <c r="H616" s="526">
        <v>65.9</v>
      </c>
    </row>
    <row r="617" ht="14.25" customHeight="1">
      <c r="A617" s="556">
        <v>45646.0</v>
      </c>
      <c r="B617" s="526" t="s">
        <v>7883</v>
      </c>
      <c r="C617" s="526" t="s">
        <v>8034</v>
      </c>
      <c r="D617" s="526" t="s">
        <v>8709</v>
      </c>
      <c r="E617" s="526" t="s">
        <v>6928</v>
      </c>
      <c r="F617" s="526">
        <v>1.0</v>
      </c>
      <c r="G617" s="526" t="s">
        <v>7393</v>
      </c>
      <c r="H617" s="526" t="s">
        <v>7246</v>
      </c>
    </row>
    <row r="618" ht="14.25" customHeight="1">
      <c r="A618" s="556">
        <v>45647.0</v>
      </c>
      <c r="B618" s="526" t="s">
        <v>7714</v>
      </c>
      <c r="C618" s="526" t="s">
        <v>2769</v>
      </c>
      <c r="D618" s="526" t="s">
        <v>8149</v>
      </c>
      <c r="E618" s="526"/>
      <c r="F618" s="526">
        <v>1.0</v>
      </c>
      <c r="G618" s="526" t="s">
        <v>7393</v>
      </c>
      <c r="H618" s="526">
        <v>69.9</v>
      </c>
    </row>
    <row r="619" ht="14.25" customHeight="1">
      <c r="A619" s="556">
        <v>45647.0</v>
      </c>
      <c r="B619" s="526" t="s">
        <v>7714</v>
      </c>
      <c r="C619" s="526" t="s">
        <v>2769</v>
      </c>
      <c r="D619" s="526" t="s">
        <v>8709</v>
      </c>
      <c r="E619" s="526" t="s">
        <v>6928</v>
      </c>
      <c r="F619" s="526">
        <v>1.0</v>
      </c>
      <c r="G619" s="526" t="s">
        <v>7393</v>
      </c>
      <c r="H619" s="526" t="s">
        <v>7246</v>
      </c>
    </row>
    <row r="620" ht="14.25" customHeight="1">
      <c r="A620" s="556">
        <v>45647.0</v>
      </c>
      <c r="B620" s="526" t="s">
        <v>7429</v>
      </c>
      <c r="C620" s="526" t="s">
        <v>8150</v>
      </c>
      <c r="D620" s="526" t="s">
        <v>8758</v>
      </c>
      <c r="E620" s="526" t="s">
        <v>6828</v>
      </c>
      <c r="F620" s="526">
        <v>1.0</v>
      </c>
      <c r="G620" s="526" t="s">
        <v>7393</v>
      </c>
      <c r="H620" s="526">
        <v>176.9</v>
      </c>
    </row>
    <row r="621" ht="14.25" customHeight="1">
      <c r="A621" s="556">
        <v>45648.0</v>
      </c>
      <c r="B621" s="526" t="s">
        <v>8146</v>
      </c>
      <c r="C621" s="526" t="s">
        <v>8151</v>
      </c>
      <c r="D621" s="526" t="s">
        <v>8731</v>
      </c>
      <c r="E621" s="526" t="s">
        <v>6828</v>
      </c>
      <c r="F621" s="526">
        <v>1.0</v>
      </c>
      <c r="G621" s="526" t="s">
        <v>7393</v>
      </c>
      <c r="H621" s="526">
        <v>116.9</v>
      </c>
    </row>
    <row r="622" ht="14.25" customHeight="1">
      <c r="A622" s="556">
        <v>45649.0</v>
      </c>
      <c r="B622" s="526" t="s">
        <v>7637</v>
      </c>
      <c r="C622" s="526" t="s">
        <v>8152</v>
      </c>
      <c r="D622" s="526" t="s">
        <v>8743</v>
      </c>
      <c r="E622" s="526" t="s">
        <v>7960</v>
      </c>
      <c r="F622" s="526">
        <v>1.0</v>
      </c>
      <c r="G622" s="526" t="s">
        <v>7393</v>
      </c>
      <c r="H622" s="526">
        <v>108.0</v>
      </c>
    </row>
    <row r="623" ht="14.25" customHeight="1">
      <c r="A623" s="556">
        <v>45652.0</v>
      </c>
      <c r="B623" s="526" t="s">
        <v>2193</v>
      </c>
      <c r="C623" s="526" t="s">
        <v>8153</v>
      </c>
      <c r="D623" s="526" t="s">
        <v>8712</v>
      </c>
      <c r="E623" s="526"/>
      <c r="F623" s="526">
        <v>1.0</v>
      </c>
      <c r="G623" s="526" t="s">
        <v>7393</v>
      </c>
      <c r="H623" s="526">
        <v>66.9</v>
      </c>
    </row>
    <row r="624" ht="14.25" customHeight="1">
      <c r="A624" s="556">
        <v>45652.0</v>
      </c>
      <c r="B624" s="526" t="s">
        <v>8155</v>
      </c>
      <c r="C624" s="526" t="s">
        <v>8156</v>
      </c>
      <c r="D624" s="526" t="s">
        <v>8715</v>
      </c>
      <c r="E624" s="526" t="s">
        <v>8157</v>
      </c>
      <c r="F624" s="526">
        <v>1.0</v>
      </c>
      <c r="G624" s="526" t="s">
        <v>7393</v>
      </c>
      <c r="H624" s="526">
        <v>91.9</v>
      </c>
    </row>
    <row r="625" ht="14.25" customHeight="1">
      <c r="A625" s="556">
        <v>45655.0</v>
      </c>
      <c r="B625" s="526" t="s">
        <v>2623</v>
      </c>
      <c r="C625" s="526" t="s">
        <v>8158</v>
      </c>
      <c r="D625" s="526" t="s">
        <v>8712</v>
      </c>
      <c r="E625" s="526"/>
      <c r="F625" s="526">
        <v>1.0</v>
      </c>
      <c r="G625" s="526" t="s">
        <v>7393</v>
      </c>
      <c r="H625" s="526">
        <v>66.9</v>
      </c>
    </row>
    <row r="626" ht="14.25" customHeight="1">
      <c r="A626" s="556">
        <v>45656.0</v>
      </c>
      <c r="B626" s="526" t="s">
        <v>7848</v>
      </c>
      <c r="C626" s="526" t="s">
        <v>8159</v>
      </c>
      <c r="D626" s="526" t="s">
        <v>8739</v>
      </c>
      <c r="E626" s="526" t="s">
        <v>8076</v>
      </c>
      <c r="F626" s="526">
        <v>1.0</v>
      </c>
      <c r="G626" s="526" t="s">
        <v>7393</v>
      </c>
      <c r="H626" s="526">
        <v>156.9</v>
      </c>
    </row>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2.63" defaultRowHeight="15.0"/>
  <cols>
    <col customWidth="1" min="1" max="4" width="8.63"/>
    <col customWidth="1" min="5" max="5" width="22.63"/>
    <col customWidth="1" min="6" max="6" width="21.63"/>
    <col customWidth="1" min="7" max="8" width="31.88"/>
    <col customWidth="1" min="10" max="10" width="8.63"/>
    <col customWidth="1" min="11" max="11" width="24.88"/>
  </cols>
  <sheetData>
    <row r="1" ht="14.25" customHeight="1">
      <c r="A1" s="463" t="s">
        <v>7171</v>
      </c>
      <c r="B1" s="463" t="s">
        <v>1595</v>
      </c>
      <c r="C1" s="463" t="s">
        <v>1596</v>
      </c>
      <c r="D1" s="463" t="s">
        <v>29</v>
      </c>
      <c r="E1" s="463" t="s">
        <v>11</v>
      </c>
      <c r="F1" s="463" t="s">
        <v>2503</v>
      </c>
      <c r="G1" s="463" t="s">
        <v>34</v>
      </c>
      <c r="H1" s="463" t="s">
        <v>7385</v>
      </c>
      <c r="I1" s="463" t="s">
        <v>33</v>
      </c>
      <c r="J1" s="463" t="s">
        <v>7386</v>
      </c>
      <c r="K1" s="463" t="s">
        <v>8784</v>
      </c>
      <c r="L1" s="462" t="s">
        <v>7387</v>
      </c>
    </row>
    <row r="2" ht="14.25" customHeight="1">
      <c r="A2" s="429" t="s">
        <v>8160</v>
      </c>
      <c r="B2" s="429">
        <v>2024.0</v>
      </c>
      <c r="C2" s="429">
        <f t="shared" ref="C2:C8" si="1">MONTH(D2)</f>
        <v>1</v>
      </c>
      <c r="D2" s="508">
        <v>45301.0</v>
      </c>
      <c r="E2" s="526" t="s">
        <v>8161</v>
      </c>
      <c r="F2" s="526" t="s">
        <v>2548</v>
      </c>
      <c r="G2" s="526" t="s">
        <v>7395</v>
      </c>
      <c r="H2" s="526"/>
      <c r="I2" s="526">
        <v>1.0</v>
      </c>
      <c r="J2" s="526"/>
      <c r="K2" s="526" t="s">
        <v>2511</v>
      </c>
      <c r="L2" s="526">
        <v>50.0</v>
      </c>
    </row>
    <row r="3" ht="14.25" customHeight="1">
      <c r="A3" s="429" t="s">
        <v>8160</v>
      </c>
      <c r="B3" s="429">
        <v>2024.0</v>
      </c>
      <c r="C3" s="429">
        <f t="shared" si="1"/>
        <v>1</v>
      </c>
      <c r="D3" s="508">
        <v>45302.0</v>
      </c>
      <c r="E3" s="526" t="s">
        <v>7743</v>
      </c>
      <c r="F3" s="526" t="s">
        <v>8162</v>
      </c>
      <c r="G3" s="526" t="s">
        <v>7395</v>
      </c>
      <c r="H3" s="526"/>
      <c r="I3" s="526">
        <v>1.0</v>
      </c>
      <c r="J3" s="526"/>
      <c r="K3" s="526" t="s">
        <v>2511</v>
      </c>
      <c r="L3" s="526">
        <v>50.0</v>
      </c>
    </row>
    <row r="4" ht="14.25" customHeight="1">
      <c r="A4" s="429" t="s">
        <v>8160</v>
      </c>
      <c r="B4" s="429">
        <v>2024.0</v>
      </c>
      <c r="C4" s="429">
        <f t="shared" si="1"/>
        <v>1</v>
      </c>
      <c r="D4" s="508">
        <v>45304.0</v>
      </c>
      <c r="E4" s="526" t="s">
        <v>8082</v>
      </c>
      <c r="F4" s="526" t="s">
        <v>8163</v>
      </c>
      <c r="G4" s="526" t="s">
        <v>6613</v>
      </c>
      <c r="H4" s="526"/>
      <c r="I4" s="526">
        <v>1.0</v>
      </c>
      <c r="J4" s="526"/>
      <c r="K4" s="526" t="s">
        <v>8164</v>
      </c>
      <c r="L4" s="526">
        <v>55.0</v>
      </c>
    </row>
    <row r="5" ht="14.25" customHeight="1">
      <c r="A5" s="429" t="s">
        <v>8160</v>
      </c>
      <c r="B5" s="429">
        <v>2024.0</v>
      </c>
      <c r="C5" s="429">
        <f t="shared" si="1"/>
        <v>1</v>
      </c>
      <c r="D5" s="508">
        <v>45316.0</v>
      </c>
      <c r="E5" s="526" t="s">
        <v>8161</v>
      </c>
      <c r="F5" s="526" t="s">
        <v>2548</v>
      </c>
      <c r="G5" s="526" t="s">
        <v>7395</v>
      </c>
      <c r="H5" s="526"/>
      <c r="I5" s="526">
        <v>1.0</v>
      </c>
      <c r="J5" s="526"/>
      <c r="K5" s="526" t="s">
        <v>8165</v>
      </c>
      <c r="L5" s="526">
        <v>65.0</v>
      </c>
    </row>
    <row r="6" ht="14.25" customHeight="1">
      <c r="A6" s="429" t="s">
        <v>8160</v>
      </c>
      <c r="B6" s="429">
        <v>2024.0</v>
      </c>
      <c r="C6" s="429">
        <f t="shared" si="1"/>
        <v>1</v>
      </c>
      <c r="D6" s="508">
        <v>45320.0</v>
      </c>
      <c r="E6" s="526" t="s">
        <v>8166</v>
      </c>
      <c r="F6" s="526"/>
      <c r="G6" s="526" t="s">
        <v>7395</v>
      </c>
      <c r="H6" s="526"/>
      <c r="I6" s="526">
        <v>1.0</v>
      </c>
      <c r="J6" s="526"/>
      <c r="K6" s="526" t="s">
        <v>2511</v>
      </c>
      <c r="L6" s="526">
        <v>50.0</v>
      </c>
    </row>
    <row r="7" ht="14.25" customHeight="1">
      <c r="A7" s="429" t="s">
        <v>8160</v>
      </c>
      <c r="B7" s="429">
        <v>2024.0</v>
      </c>
      <c r="C7" s="429">
        <f t="shared" si="1"/>
        <v>2</v>
      </c>
      <c r="D7" s="508">
        <v>45328.0</v>
      </c>
      <c r="E7" s="526" t="s">
        <v>7760</v>
      </c>
      <c r="F7" s="526" t="s">
        <v>8167</v>
      </c>
      <c r="G7" s="526" t="s">
        <v>6613</v>
      </c>
      <c r="H7" s="526"/>
      <c r="I7" s="526">
        <v>1.0</v>
      </c>
      <c r="J7" s="526"/>
      <c r="K7" s="526" t="s">
        <v>8168</v>
      </c>
      <c r="L7" s="526">
        <v>70.0</v>
      </c>
    </row>
    <row r="8" ht="14.25" customHeight="1">
      <c r="A8" s="429" t="s">
        <v>8160</v>
      </c>
      <c r="B8" s="429">
        <v>2024.0</v>
      </c>
      <c r="C8" s="429">
        <f t="shared" si="1"/>
        <v>2</v>
      </c>
      <c r="D8" s="508">
        <v>45328.0</v>
      </c>
      <c r="E8" s="526" t="s">
        <v>8169</v>
      </c>
      <c r="F8" s="526" t="s">
        <v>8170</v>
      </c>
      <c r="G8" s="526" t="s">
        <v>7395</v>
      </c>
      <c r="H8" s="526"/>
      <c r="I8" s="526">
        <v>5.0</v>
      </c>
      <c r="J8" s="526"/>
      <c r="K8" s="526" t="s">
        <v>8168</v>
      </c>
      <c r="L8" s="526">
        <v>300.0</v>
      </c>
    </row>
    <row r="9" ht="14.25" customHeight="1">
      <c r="A9" s="429" t="s">
        <v>8160</v>
      </c>
      <c r="B9" s="429">
        <v>2024.0</v>
      </c>
      <c r="C9" s="429">
        <v>2.0</v>
      </c>
      <c r="D9" s="508"/>
      <c r="E9" s="526" t="s">
        <v>2823</v>
      </c>
      <c r="F9" s="526" t="s">
        <v>8171</v>
      </c>
      <c r="G9" s="526" t="s">
        <v>6613</v>
      </c>
      <c r="H9" s="526"/>
      <c r="I9" s="526">
        <v>1.0</v>
      </c>
      <c r="J9" s="526"/>
      <c r="K9" s="526" t="s">
        <v>8168</v>
      </c>
      <c r="L9" s="526">
        <v>55.0</v>
      </c>
    </row>
    <row r="10" ht="14.25" customHeight="1">
      <c r="A10" s="429" t="s">
        <v>8160</v>
      </c>
      <c r="B10" s="429">
        <v>2024.0</v>
      </c>
      <c r="C10" s="429">
        <v>2.0</v>
      </c>
      <c r="D10" s="508"/>
      <c r="E10" s="526" t="s">
        <v>8172</v>
      </c>
      <c r="F10" s="526"/>
      <c r="G10" s="526" t="s">
        <v>7395</v>
      </c>
      <c r="H10" s="526"/>
      <c r="I10" s="526">
        <v>1.0</v>
      </c>
      <c r="J10" s="526"/>
      <c r="K10" s="526" t="s">
        <v>8168</v>
      </c>
      <c r="L10" s="526">
        <v>60.0</v>
      </c>
    </row>
    <row r="11" ht="14.25" customHeight="1">
      <c r="A11" s="429" t="s">
        <v>8160</v>
      </c>
      <c r="B11" s="429">
        <v>2024.0</v>
      </c>
      <c r="C11" s="429">
        <v>3.0</v>
      </c>
      <c r="D11" s="508"/>
      <c r="E11" s="526" t="s">
        <v>2635</v>
      </c>
      <c r="F11" s="526" t="s">
        <v>7797</v>
      </c>
      <c r="G11" s="526" t="s">
        <v>7075</v>
      </c>
      <c r="H11" s="526"/>
      <c r="I11" s="526">
        <v>1.0</v>
      </c>
      <c r="J11" s="526"/>
      <c r="K11" s="526"/>
      <c r="L11" s="526">
        <v>100.0</v>
      </c>
    </row>
    <row r="12" ht="14.25" customHeight="1">
      <c r="A12" s="429" t="s">
        <v>8160</v>
      </c>
      <c r="B12" s="429">
        <v>2024.0</v>
      </c>
      <c r="C12" s="429">
        <v>3.0</v>
      </c>
      <c r="D12" s="508"/>
      <c r="E12" s="526" t="s">
        <v>7507</v>
      </c>
      <c r="F12" s="526" t="s">
        <v>7797</v>
      </c>
      <c r="G12" s="526" t="s">
        <v>7075</v>
      </c>
      <c r="H12" s="526"/>
      <c r="I12" s="526">
        <v>1.0</v>
      </c>
      <c r="J12" s="526"/>
      <c r="K12" s="526"/>
      <c r="L12" s="526">
        <v>90.0</v>
      </c>
    </row>
    <row r="13" ht="14.25" customHeight="1">
      <c r="A13" s="429" t="s">
        <v>8160</v>
      </c>
      <c r="B13" s="429">
        <v>2024.0</v>
      </c>
      <c r="C13" s="429">
        <f t="shared" ref="C13:C15" si="2">MONTH(D13)</f>
        <v>3</v>
      </c>
      <c r="D13" s="508">
        <v>45364.0</v>
      </c>
      <c r="E13" s="526" t="s">
        <v>2553</v>
      </c>
      <c r="F13" s="526" t="s">
        <v>8173</v>
      </c>
      <c r="G13" s="526" t="s">
        <v>7075</v>
      </c>
      <c r="H13" s="526"/>
      <c r="I13" s="526">
        <v>1.0</v>
      </c>
      <c r="J13" s="526"/>
      <c r="K13" s="526"/>
      <c r="L13" s="526">
        <v>105.0</v>
      </c>
    </row>
    <row r="14" ht="14.25" customHeight="1">
      <c r="A14" s="429" t="s">
        <v>8160</v>
      </c>
      <c r="B14" s="429">
        <v>2024.0</v>
      </c>
      <c r="C14" s="429">
        <f t="shared" si="2"/>
        <v>3</v>
      </c>
      <c r="D14" s="508">
        <v>45364.0</v>
      </c>
      <c r="E14" s="526" t="s">
        <v>7571</v>
      </c>
      <c r="F14" s="526" t="s">
        <v>8174</v>
      </c>
      <c r="G14" s="526" t="s">
        <v>6613</v>
      </c>
      <c r="H14" s="526"/>
      <c r="I14" s="526">
        <v>1.0</v>
      </c>
      <c r="J14" s="526"/>
      <c r="K14" s="526"/>
      <c r="L14" s="526">
        <v>70.0</v>
      </c>
    </row>
    <row r="15" ht="14.25" customHeight="1">
      <c r="A15" s="429" t="s">
        <v>8160</v>
      </c>
      <c r="B15" s="429">
        <v>2024.0</v>
      </c>
      <c r="C15" s="429">
        <f t="shared" si="2"/>
        <v>3</v>
      </c>
      <c r="D15" s="508">
        <v>45366.0</v>
      </c>
      <c r="E15" s="526" t="s">
        <v>2561</v>
      </c>
      <c r="F15" s="526" t="s">
        <v>2562</v>
      </c>
      <c r="G15" s="526" t="s">
        <v>7075</v>
      </c>
      <c r="H15" s="526"/>
      <c r="I15" s="526">
        <v>1.0</v>
      </c>
      <c r="J15" s="526"/>
      <c r="K15" s="526"/>
      <c r="L15" s="526">
        <v>105.0</v>
      </c>
    </row>
    <row r="16" ht="14.25" customHeight="1">
      <c r="A16" s="429" t="s">
        <v>8160</v>
      </c>
      <c r="B16" s="429">
        <v>2024.0</v>
      </c>
      <c r="C16" s="429">
        <v>3.0</v>
      </c>
      <c r="D16" s="508"/>
      <c r="E16" s="526" t="s">
        <v>8175</v>
      </c>
      <c r="F16" s="526" t="s">
        <v>2551</v>
      </c>
      <c r="G16" s="526" t="s">
        <v>7075</v>
      </c>
      <c r="H16" s="526"/>
      <c r="I16" s="526">
        <v>1.0</v>
      </c>
      <c r="J16" s="526"/>
      <c r="K16" s="526"/>
      <c r="L16" s="526">
        <v>100.0</v>
      </c>
    </row>
    <row r="17" ht="14.25" customHeight="1">
      <c r="A17" s="429" t="s">
        <v>8160</v>
      </c>
      <c r="B17" s="429">
        <v>2024.0</v>
      </c>
      <c r="C17" s="429">
        <v>3.0</v>
      </c>
      <c r="D17" s="508"/>
      <c r="E17" s="526" t="s">
        <v>8176</v>
      </c>
      <c r="F17" s="526"/>
      <c r="G17" s="526" t="s">
        <v>7395</v>
      </c>
      <c r="H17" s="526"/>
      <c r="I17" s="526">
        <v>1.0</v>
      </c>
      <c r="J17" s="526"/>
      <c r="K17" s="526"/>
      <c r="L17" s="526">
        <v>50.0</v>
      </c>
    </row>
    <row r="18" ht="14.25" customHeight="1">
      <c r="A18" s="429" t="s">
        <v>8160</v>
      </c>
      <c r="B18" s="429">
        <v>2024.0</v>
      </c>
      <c r="C18" s="429">
        <f t="shared" ref="C18:C20" si="3">MONTH(D18)</f>
        <v>3</v>
      </c>
      <c r="D18" s="508">
        <v>45372.0</v>
      </c>
      <c r="E18" s="526" t="s">
        <v>2685</v>
      </c>
      <c r="F18" s="526"/>
      <c r="G18" s="526" t="s">
        <v>7395</v>
      </c>
      <c r="H18" s="526"/>
      <c r="I18" s="526">
        <v>1.0</v>
      </c>
      <c r="J18" s="526"/>
      <c r="K18" s="526"/>
      <c r="L18" s="526">
        <v>50.0</v>
      </c>
    </row>
    <row r="19" ht="14.25" customHeight="1">
      <c r="A19" s="429" t="s">
        <v>8160</v>
      </c>
      <c r="B19" s="429">
        <v>2024.0</v>
      </c>
      <c r="C19" s="429">
        <f t="shared" si="3"/>
        <v>3</v>
      </c>
      <c r="D19" s="508">
        <v>45372.0</v>
      </c>
      <c r="E19" s="526" t="s">
        <v>2685</v>
      </c>
      <c r="F19" s="509"/>
      <c r="G19" s="526" t="s">
        <v>7395</v>
      </c>
      <c r="H19" s="526"/>
      <c r="I19" s="526">
        <v>1.0</v>
      </c>
      <c r="J19" s="526"/>
      <c r="K19" s="526"/>
      <c r="L19" s="526">
        <v>50.0</v>
      </c>
    </row>
    <row r="20" ht="14.25" customHeight="1">
      <c r="A20" s="429" t="s">
        <v>8160</v>
      </c>
      <c r="B20" s="429">
        <v>2024.0</v>
      </c>
      <c r="C20" s="429">
        <f t="shared" si="3"/>
        <v>3</v>
      </c>
      <c r="D20" s="508">
        <v>45372.0</v>
      </c>
      <c r="E20" s="526" t="s">
        <v>2685</v>
      </c>
      <c r="F20" s="509"/>
      <c r="G20" s="526" t="s">
        <v>7075</v>
      </c>
      <c r="H20" s="526"/>
      <c r="I20" s="526">
        <v>1.0</v>
      </c>
      <c r="J20" s="526"/>
      <c r="K20" s="526"/>
      <c r="L20" s="526">
        <v>109.0</v>
      </c>
    </row>
    <row r="21" ht="14.25" customHeight="1">
      <c r="A21" s="429" t="s">
        <v>8160</v>
      </c>
      <c r="B21" s="429">
        <v>2024.0</v>
      </c>
      <c r="C21" s="429">
        <v>3.0</v>
      </c>
      <c r="D21" s="555"/>
      <c r="E21" s="509" t="s">
        <v>8177</v>
      </c>
      <c r="F21" s="509" t="s">
        <v>8178</v>
      </c>
      <c r="G21" s="526" t="s">
        <v>7075</v>
      </c>
      <c r="H21" s="526"/>
      <c r="I21" s="526">
        <v>1.0</v>
      </c>
      <c r="J21" s="526"/>
      <c r="K21" s="526"/>
      <c r="L21" s="526">
        <v>90.0</v>
      </c>
    </row>
    <row r="22" ht="14.25" customHeight="1">
      <c r="A22" s="429" t="s">
        <v>8160</v>
      </c>
      <c r="B22" s="429">
        <v>2024.0</v>
      </c>
      <c r="C22" s="429">
        <f t="shared" ref="C22:C39" si="4">MONTH(D22)</f>
        <v>4</v>
      </c>
      <c r="D22" s="508">
        <v>45386.0</v>
      </c>
      <c r="E22" s="509" t="s">
        <v>7396</v>
      </c>
      <c r="F22" s="509" t="s">
        <v>8179</v>
      </c>
      <c r="G22" s="526" t="s">
        <v>6613</v>
      </c>
      <c r="H22" s="526"/>
      <c r="I22" s="526">
        <v>1.0</v>
      </c>
      <c r="J22" s="526"/>
      <c r="K22" s="526"/>
      <c r="L22" s="526">
        <v>65.0</v>
      </c>
    </row>
    <row r="23" ht="14.25" customHeight="1">
      <c r="A23" s="429" t="s">
        <v>8160</v>
      </c>
      <c r="B23" s="429">
        <v>2024.0</v>
      </c>
      <c r="C23" s="429">
        <f t="shared" si="4"/>
        <v>4</v>
      </c>
      <c r="D23" s="508">
        <v>45389.0</v>
      </c>
      <c r="E23" s="509" t="s">
        <v>8161</v>
      </c>
      <c r="F23" s="513" t="s">
        <v>2548</v>
      </c>
      <c r="G23" s="526" t="s">
        <v>7100</v>
      </c>
      <c r="H23" s="526" t="s">
        <v>248</v>
      </c>
      <c r="I23" s="526">
        <v>1.0</v>
      </c>
      <c r="J23" s="526"/>
      <c r="K23" s="526" t="s">
        <v>2511</v>
      </c>
      <c r="L23" s="526">
        <v>170.0</v>
      </c>
    </row>
    <row r="24" ht="14.25" customHeight="1">
      <c r="A24" s="429" t="s">
        <v>8160</v>
      </c>
      <c r="B24" s="429">
        <v>2024.0</v>
      </c>
      <c r="C24" s="429">
        <f t="shared" si="4"/>
        <v>4</v>
      </c>
      <c r="D24" s="508">
        <v>45396.0</v>
      </c>
      <c r="E24" s="509" t="s">
        <v>2572</v>
      </c>
      <c r="F24" s="509" t="s">
        <v>8180</v>
      </c>
      <c r="G24" s="526" t="s">
        <v>7075</v>
      </c>
      <c r="H24" s="526"/>
      <c r="I24" s="526">
        <v>1.0</v>
      </c>
      <c r="J24" s="526"/>
      <c r="K24" s="526"/>
      <c r="L24" s="526">
        <v>100.0</v>
      </c>
    </row>
    <row r="25" ht="14.25" customHeight="1">
      <c r="A25" s="429" t="s">
        <v>8160</v>
      </c>
      <c r="B25" s="429">
        <v>2024.0</v>
      </c>
      <c r="C25" s="429">
        <f t="shared" si="4"/>
        <v>4</v>
      </c>
      <c r="D25" s="558">
        <v>45394.0</v>
      </c>
      <c r="E25" s="559" t="s">
        <v>2600</v>
      </c>
      <c r="F25" s="559" t="s">
        <v>8181</v>
      </c>
      <c r="G25" s="526" t="s">
        <v>7075</v>
      </c>
      <c r="H25" s="559" t="s">
        <v>8182</v>
      </c>
      <c r="I25" s="559">
        <v>1.0</v>
      </c>
      <c r="J25" s="559"/>
      <c r="K25" s="559" t="s">
        <v>7393</v>
      </c>
      <c r="L25" s="560">
        <v>90.0</v>
      </c>
    </row>
    <row r="26" ht="14.25" customHeight="1">
      <c r="A26" s="429" t="s">
        <v>8160</v>
      </c>
      <c r="B26" s="429">
        <v>2024.0</v>
      </c>
      <c r="C26" s="429">
        <f t="shared" si="4"/>
        <v>4</v>
      </c>
      <c r="D26" s="558">
        <v>45394.0</v>
      </c>
      <c r="E26" s="559" t="s">
        <v>2566</v>
      </c>
      <c r="F26" s="559" t="s">
        <v>7623</v>
      </c>
      <c r="G26" s="534" t="s">
        <v>7106</v>
      </c>
      <c r="H26" s="559" t="s">
        <v>7749</v>
      </c>
      <c r="I26" s="559">
        <v>1.0</v>
      </c>
      <c r="J26" s="559"/>
      <c r="K26" s="559" t="s">
        <v>7393</v>
      </c>
      <c r="L26" s="559">
        <v>80.0</v>
      </c>
    </row>
    <row r="27" ht="14.25" customHeight="1">
      <c r="A27" s="429" t="s">
        <v>8160</v>
      </c>
      <c r="B27" s="429">
        <v>2024.0</v>
      </c>
      <c r="C27" s="429">
        <f t="shared" si="4"/>
        <v>4</v>
      </c>
      <c r="D27" s="561">
        <v>45395.0</v>
      </c>
      <c r="E27" s="534" t="s">
        <v>2597</v>
      </c>
      <c r="F27" s="534" t="s">
        <v>8183</v>
      </c>
      <c r="G27" s="534" t="s">
        <v>7059</v>
      </c>
      <c r="H27" s="534"/>
      <c r="I27" s="534">
        <v>1.0</v>
      </c>
      <c r="J27" s="534"/>
      <c r="K27" s="534" t="s">
        <v>2511</v>
      </c>
      <c r="L27" s="543">
        <v>40.0</v>
      </c>
    </row>
    <row r="28" ht="14.25" customHeight="1">
      <c r="A28" s="429" t="s">
        <v>8160</v>
      </c>
      <c r="B28" s="429">
        <v>2024.0</v>
      </c>
      <c r="C28" s="429">
        <f t="shared" si="4"/>
        <v>4</v>
      </c>
      <c r="D28" s="558">
        <v>45395.0</v>
      </c>
      <c r="E28" s="559" t="s">
        <v>2647</v>
      </c>
      <c r="F28" s="559"/>
      <c r="G28" s="534" t="s">
        <v>7059</v>
      </c>
      <c r="H28" s="559"/>
      <c r="I28" s="559">
        <v>1.0</v>
      </c>
      <c r="J28" s="559"/>
      <c r="K28" s="559" t="s">
        <v>7393</v>
      </c>
      <c r="L28" s="560">
        <v>40.0</v>
      </c>
    </row>
    <row r="29" ht="14.25" customHeight="1">
      <c r="A29" s="429" t="s">
        <v>8160</v>
      </c>
      <c r="B29" s="429">
        <v>2024.0</v>
      </c>
      <c r="C29" s="429">
        <f t="shared" si="4"/>
        <v>4</v>
      </c>
      <c r="D29" s="561">
        <v>45395.0</v>
      </c>
      <c r="E29" s="534" t="s">
        <v>8166</v>
      </c>
      <c r="F29" s="534"/>
      <c r="G29" s="534" t="s">
        <v>7106</v>
      </c>
      <c r="H29" s="534" t="s">
        <v>7749</v>
      </c>
      <c r="I29" s="534">
        <v>1.0</v>
      </c>
      <c r="J29" s="534"/>
      <c r="K29" s="534" t="s">
        <v>2511</v>
      </c>
      <c r="L29" s="543">
        <v>80.0</v>
      </c>
    </row>
    <row r="30" ht="14.25" customHeight="1">
      <c r="A30" s="429" t="s">
        <v>8160</v>
      </c>
      <c r="B30" s="429">
        <v>2024.0</v>
      </c>
      <c r="C30" s="429">
        <f t="shared" si="4"/>
        <v>4</v>
      </c>
      <c r="D30" s="558">
        <v>45395.0</v>
      </c>
      <c r="E30" s="559" t="s">
        <v>8184</v>
      </c>
      <c r="F30" s="559" t="s">
        <v>8185</v>
      </c>
      <c r="G30" s="526" t="s">
        <v>7395</v>
      </c>
      <c r="H30" s="559" t="s">
        <v>8186</v>
      </c>
      <c r="I30" s="559">
        <v>1.0</v>
      </c>
      <c r="J30" s="559"/>
      <c r="K30" s="559" t="s">
        <v>7393</v>
      </c>
      <c r="L30" s="560">
        <v>50.0</v>
      </c>
    </row>
    <row r="31" ht="14.25" customHeight="1">
      <c r="A31" s="429" t="s">
        <v>8160</v>
      </c>
      <c r="B31" s="429">
        <v>2024.0</v>
      </c>
      <c r="C31" s="429">
        <f t="shared" si="4"/>
        <v>4</v>
      </c>
      <c r="D31" s="558">
        <v>45396.0</v>
      </c>
      <c r="E31" s="559" t="s">
        <v>8187</v>
      </c>
      <c r="F31" s="559" t="s">
        <v>8188</v>
      </c>
      <c r="G31" s="526" t="s">
        <v>7395</v>
      </c>
      <c r="H31" s="559" t="s">
        <v>8186</v>
      </c>
      <c r="I31" s="559">
        <v>1.0</v>
      </c>
      <c r="J31" s="559"/>
      <c r="K31" s="559" t="s">
        <v>7393</v>
      </c>
      <c r="L31" s="560">
        <v>40.0</v>
      </c>
    </row>
    <row r="32" ht="14.25" customHeight="1">
      <c r="A32" s="429" t="s">
        <v>8160</v>
      </c>
      <c r="B32" s="429">
        <v>2024.0</v>
      </c>
      <c r="C32" s="429">
        <f t="shared" si="4"/>
        <v>4</v>
      </c>
      <c r="D32" s="558">
        <v>45396.0</v>
      </c>
      <c r="E32" s="559" t="s">
        <v>2665</v>
      </c>
      <c r="F32" s="559" t="s">
        <v>7656</v>
      </c>
      <c r="G32" s="526" t="s">
        <v>7395</v>
      </c>
      <c r="H32" s="559"/>
      <c r="I32" s="559">
        <v>1.0</v>
      </c>
      <c r="J32" s="559"/>
      <c r="K32" s="559" t="s">
        <v>7393</v>
      </c>
      <c r="L32" s="560">
        <v>50.0</v>
      </c>
    </row>
    <row r="33" ht="14.25" customHeight="1">
      <c r="A33" s="429" t="s">
        <v>8160</v>
      </c>
      <c r="B33" s="429">
        <v>2024.0</v>
      </c>
      <c r="C33" s="429">
        <f t="shared" si="4"/>
        <v>4</v>
      </c>
      <c r="D33" s="558">
        <v>45396.0</v>
      </c>
      <c r="E33" s="559" t="s">
        <v>2561</v>
      </c>
      <c r="F33" s="559" t="s">
        <v>8189</v>
      </c>
      <c r="G33" s="526" t="s">
        <v>7395</v>
      </c>
      <c r="H33" s="559"/>
      <c r="I33" s="559">
        <v>1.0</v>
      </c>
      <c r="J33" s="559"/>
      <c r="K33" s="559" t="s">
        <v>7393</v>
      </c>
      <c r="L33" s="560">
        <v>50.0</v>
      </c>
    </row>
    <row r="34" ht="14.25" customHeight="1">
      <c r="A34" s="429" t="s">
        <v>8160</v>
      </c>
      <c r="B34" s="429">
        <v>2024.0</v>
      </c>
      <c r="C34" s="429">
        <f t="shared" si="4"/>
        <v>4</v>
      </c>
      <c r="D34" s="558">
        <v>45396.0</v>
      </c>
      <c r="E34" s="559" t="s">
        <v>8190</v>
      </c>
      <c r="F34" s="559" t="s">
        <v>8191</v>
      </c>
      <c r="G34" s="526" t="s">
        <v>6613</v>
      </c>
      <c r="H34" s="559"/>
      <c r="I34" s="559">
        <v>1.0</v>
      </c>
      <c r="J34" s="559"/>
      <c r="K34" s="559" t="s">
        <v>7393</v>
      </c>
      <c r="L34" s="560">
        <v>70.0</v>
      </c>
    </row>
    <row r="35" ht="14.25" customHeight="1">
      <c r="A35" s="429" t="s">
        <v>8160</v>
      </c>
      <c r="B35" s="429">
        <v>2024.0</v>
      </c>
      <c r="C35" s="429">
        <f t="shared" si="4"/>
        <v>4</v>
      </c>
      <c r="D35" s="558">
        <v>45406.0</v>
      </c>
      <c r="E35" s="562" t="s">
        <v>8192</v>
      </c>
      <c r="F35" s="562" t="s">
        <v>8193</v>
      </c>
      <c r="G35" s="526" t="s">
        <v>7100</v>
      </c>
      <c r="H35" s="526" t="s">
        <v>6643</v>
      </c>
      <c r="I35" s="562">
        <v>1.0</v>
      </c>
      <c r="J35" s="562"/>
      <c r="K35" s="562" t="s">
        <v>8168</v>
      </c>
      <c r="L35" s="562">
        <v>170.0</v>
      </c>
    </row>
    <row r="36" ht="14.25" customHeight="1">
      <c r="A36" s="429" t="s">
        <v>8160</v>
      </c>
      <c r="B36" s="429">
        <v>2024.0</v>
      </c>
      <c r="C36" s="429">
        <f t="shared" si="4"/>
        <v>4</v>
      </c>
      <c r="D36" s="558">
        <v>45406.0</v>
      </c>
      <c r="E36" s="526" t="s">
        <v>8194</v>
      </c>
      <c r="F36" s="526" t="s">
        <v>8195</v>
      </c>
      <c r="G36" s="526" t="s">
        <v>7100</v>
      </c>
      <c r="H36" s="526" t="s">
        <v>6643</v>
      </c>
      <c r="I36" s="526">
        <v>1.0</v>
      </c>
      <c r="J36" s="526"/>
      <c r="K36" s="526" t="s">
        <v>8164</v>
      </c>
      <c r="L36" s="526">
        <v>125.0</v>
      </c>
    </row>
    <row r="37" ht="14.25" customHeight="1">
      <c r="A37" s="429" t="s">
        <v>8160</v>
      </c>
      <c r="B37" s="429">
        <v>2024.0</v>
      </c>
      <c r="C37" s="429">
        <f t="shared" si="4"/>
        <v>4</v>
      </c>
      <c r="D37" s="558" t="s">
        <v>8196</v>
      </c>
      <c r="E37" s="562" t="s">
        <v>2566</v>
      </c>
      <c r="F37" s="562" t="s">
        <v>8013</v>
      </c>
      <c r="G37" s="526" t="s">
        <v>6613</v>
      </c>
      <c r="H37" s="562"/>
      <c r="I37" s="562">
        <v>1.0</v>
      </c>
      <c r="J37" s="562"/>
      <c r="K37" s="562" t="s">
        <v>8168</v>
      </c>
      <c r="L37" s="562">
        <v>70.0</v>
      </c>
    </row>
    <row r="38" ht="14.25" customHeight="1">
      <c r="A38" s="429" t="s">
        <v>8160</v>
      </c>
      <c r="B38" s="429">
        <v>2024.0</v>
      </c>
      <c r="C38" s="429">
        <f t="shared" si="4"/>
        <v>4</v>
      </c>
      <c r="D38" s="558" t="s">
        <v>8197</v>
      </c>
      <c r="E38" s="526" t="s">
        <v>8198</v>
      </c>
      <c r="F38" s="526" t="s">
        <v>7797</v>
      </c>
      <c r="G38" s="526" t="s">
        <v>7100</v>
      </c>
      <c r="H38" s="526" t="s">
        <v>6643</v>
      </c>
      <c r="I38" s="526">
        <v>1.0</v>
      </c>
      <c r="J38" s="526"/>
      <c r="K38" s="526" t="s">
        <v>2511</v>
      </c>
      <c r="L38" s="526">
        <v>170.0</v>
      </c>
    </row>
    <row r="39" ht="14.25" customHeight="1">
      <c r="A39" s="429" t="s">
        <v>8160</v>
      </c>
      <c r="B39" s="429">
        <v>2024.0</v>
      </c>
      <c r="C39" s="429">
        <f t="shared" si="4"/>
        <v>4</v>
      </c>
      <c r="D39" s="558" t="s">
        <v>8197</v>
      </c>
      <c r="E39" s="526" t="s">
        <v>8199</v>
      </c>
      <c r="F39" s="526" t="s">
        <v>8200</v>
      </c>
      <c r="G39" s="526" t="s">
        <v>7100</v>
      </c>
      <c r="H39" s="526" t="s">
        <v>248</v>
      </c>
      <c r="I39" s="526">
        <v>1.0</v>
      </c>
      <c r="J39" s="526"/>
      <c r="K39" s="526" t="s">
        <v>8201</v>
      </c>
      <c r="L39" s="526">
        <v>150.0</v>
      </c>
    </row>
    <row r="40" ht="14.25" customHeight="1">
      <c r="A40" s="429" t="s">
        <v>8160</v>
      </c>
      <c r="B40" s="429">
        <v>2024.0</v>
      </c>
      <c r="C40" s="429">
        <v>5.0</v>
      </c>
      <c r="D40" s="563">
        <v>45356.0</v>
      </c>
      <c r="E40" s="526" t="s">
        <v>8202</v>
      </c>
      <c r="F40" s="526" t="s">
        <v>8203</v>
      </c>
      <c r="G40" s="526" t="s">
        <v>7100</v>
      </c>
      <c r="H40" s="526" t="s">
        <v>248</v>
      </c>
      <c r="I40" s="526">
        <v>1.0</v>
      </c>
      <c r="J40" s="526"/>
      <c r="K40" s="526" t="s">
        <v>8168</v>
      </c>
      <c r="L40" s="526">
        <v>170.0</v>
      </c>
    </row>
    <row r="41" ht="14.25" customHeight="1">
      <c r="A41" s="429" t="s">
        <v>8160</v>
      </c>
      <c r="B41" s="429">
        <v>2024.0</v>
      </c>
      <c r="C41" s="429">
        <v>5.0</v>
      </c>
      <c r="D41" s="554">
        <v>45540.0</v>
      </c>
      <c r="E41" s="526" t="s">
        <v>8204</v>
      </c>
      <c r="F41" s="526"/>
      <c r="G41" s="526" t="s">
        <v>7075</v>
      </c>
      <c r="H41" s="534" t="s">
        <v>8205</v>
      </c>
      <c r="I41" s="526">
        <v>1.0</v>
      </c>
      <c r="J41" s="526"/>
      <c r="K41" s="526" t="s">
        <v>2511</v>
      </c>
      <c r="L41" s="526">
        <v>100.0</v>
      </c>
    </row>
    <row r="42" ht="14.25" customHeight="1">
      <c r="A42" s="429" t="s">
        <v>8160</v>
      </c>
      <c r="B42" s="429">
        <v>2024.0</v>
      </c>
      <c r="C42" s="429">
        <f t="shared" ref="C42:C127" si="5">MONTH(D42)</f>
        <v>5</v>
      </c>
      <c r="D42" s="554">
        <v>45418.0</v>
      </c>
      <c r="E42" s="526" t="s">
        <v>8206</v>
      </c>
      <c r="F42" s="526"/>
      <c r="G42" s="526" t="s">
        <v>7395</v>
      </c>
      <c r="H42" s="526" t="s">
        <v>8207</v>
      </c>
      <c r="I42" s="526">
        <v>1.0</v>
      </c>
      <c r="J42" s="526"/>
      <c r="K42" s="526" t="s">
        <v>8208</v>
      </c>
      <c r="L42" s="526">
        <v>60.0</v>
      </c>
    </row>
    <row r="43" ht="14.25" customHeight="1">
      <c r="A43" s="429" t="s">
        <v>8160</v>
      </c>
      <c r="B43" s="429">
        <v>2024.0</v>
      </c>
      <c r="C43" s="429">
        <f t="shared" si="5"/>
        <v>5</v>
      </c>
      <c r="D43" s="554">
        <v>45429.0</v>
      </c>
      <c r="E43" s="526" t="s">
        <v>8209</v>
      </c>
      <c r="F43" s="526" t="s">
        <v>7767</v>
      </c>
      <c r="G43" s="534" t="s">
        <v>7106</v>
      </c>
      <c r="H43" s="534" t="s">
        <v>8210</v>
      </c>
      <c r="I43" s="526">
        <v>1.0</v>
      </c>
      <c r="J43" s="526"/>
      <c r="K43" s="526" t="s">
        <v>8211</v>
      </c>
      <c r="L43" s="526">
        <v>50.0</v>
      </c>
    </row>
    <row r="44" ht="14.25" customHeight="1">
      <c r="A44" s="429" t="s">
        <v>8160</v>
      </c>
      <c r="B44" s="429">
        <v>2024.0</v>
      </c>
      <c r="C44" s="429">
        <f t="shared" si="5"/>
        <v>5</v>
      </c>
      <c r="D44" s="554">
        <v>45429.0</v>
      </c>
      <c r="E44" s="526" t="s">
        <v>8209</v>
      </c>
      <c r="F44" s="526" t="s">
        <v>7767</v>
      </c>
      <c r="G44" s="526" t="s">
        <v>7395</v>
      </c>
      <c r="H44" s="526" t="s">
        <v>8212</v>
      </c>
      <c r="I44" s="526">
        <v>1.0</v>
      </c>
      <c r="J44" s="526"/>
      <c r="K44" s="526" t="s">
        <v>2511</v>
      </c>
      <c r="L44" s="526">
        <v>50.0</v>
      </c>
    </row>
    <row r="45" ht="14.25" customHeight="1">
      <c r="A45" s="429" t="s">
        <v>8213</v>
      </c>
      <c r="B45" s="429">
        <v>2024.0</v>
      </c>
      <c r="C45" s="429">
        <f t="shared" si="5"/>
        <v>5</v>
      </c>
      <c r="D45" s="554">
        <v>45432.0</v>
      </c>
      <c r="E45" s="526" t="s">
        <v>7429</v>
      </c>
      <c r="F45" s="526"/>
      <c r="G45" s="526" t="s">
        <v>7100</v>
      </c>
      <c r="H45" s="526" t="s">
        <v>6643</v>
      </c>
      <c r="I45" s="526">
        <v>1.0</v>
      </c>
      <c r="J45" s="526"/>
      <c r="K45" s="526" t="s">
        <v>2511</v>
      </c>
      <c r="L45" s="526">
        <v>170.0</v>
      </c>
    </row>
    <row r="46" ht="14.25" customHeight="1">
      <c r="A46" s="429" t="s">
        <v>8213</v>
      </c>
      <c r="B46" s="429">
        <v>2024.0</v>
      </c>
      <c r="C46" s="429">
        <f t="shared" si="5"/>
        <v>5</v>
      </c>
      <c r="D46" s="564">
        <v>45432.0</v>
      </c>
      <c r="E46" s="565" t="s">
        <v>2561</v>
      </c>
      <c r="F46" s="565" t="s">
        <v>8214</v>
      </c>
      <c r="G46" s="526" t="s">
        <v>7611</v>
      </c>
      <c r="H46" s="534" t="s">
        <v>8215</v>
      </c>
      <c r="I46" s="526">
        <v>1.0</v>
      </c>
      <c r="J46" s="526"/>
      <c r="K46" s="526" t="s">
        <v>7393</v>
      </c>
      <c r="L46" s="526">
        <v>80.0</v>
      </c>
    </row>
    <row r="47" ht="14.25" customHeight="1">
      <c r="A47" s="429" t="s">
        <v>8213</v>
      </c>
      <c r="B47" s="429">
        <v>2024.0</v>
      </c>
      <c r="C47" s="429">
        <f t="shared" si="5"/>
        <v>5</v>
      </c>
      <c r="D47" s="564">
        <v>45433.0</v>
      </c>
      <c r="E47" s="565" t="s">
        <v>8216</v>
      </c>
      <c r="F47" s="565" t="s">
        <v>7684</v>
      </c>
      <c r="G47" s="526" t="s">
        <v>7075</v>
      </c>
      <c r="H47" s="534" t="s">
        <v>8217</v>
      </c>
      <c r="I47" s="526">
        <v>1.0</v>
      </c>
      <c r="J47" s="526"/>
      <c r="K47" s="526" t="s">
        <v>7393</v>
      </c>
      <c r="L47" s="526">
        <v>109.0</v>
      </c>
    </row>
    <row r="48" ht="14.25" customHeight="1">
      <c r="A48" s="429" t="s">
        <v>8213</v>
      </c>
      <c r="B48" s="429">
        <v>2024.0</v>
      </c>
      <c r="C48" s="429">
        <f t="shared" si="5"/>
        <v>5</v>
      </c>
      <c r="D48" s="564">
        <v>45433.0</v>
      </c>
      <c r="E48" s="565" t="s">
        <v>7396</v>
      </c>
      <c r="F48" s="565" t="s">
        <v>8218</v>
      </c>
      <c r="G48" s="526" t="s">
        <v>7075</v>
      </c>
      <c r="H48" s="534" t="s">
        <v>8205</v>
      </c>
      <c r="I48" s="526">
        <v>1.0</v>
      </c>
      <c r="J48" s="526"/>
      <c r="K48" s="526" t="s">
        <v>7393</v>
      </c>
      <c r="L48" s="526">
        <v>109.0</v>
      </c>
    </row>
    <row r="49" ht="14.25" customHeight="1">
      <c r="A49" s="429" t="s">
        <v>8213</v>
      </c>
      <c r="B49" s="429">
        <v>2024.0</v>
      </c>
      <c r="C49" s="429">
        <f t="shared" si="5"/>
        <v>5</v>
      </c>
      <c r="D49" s="554">
        <v>45433.0</v>
      </c>
      <c r="E49" s="526" t="s">
        <v>2547</v>
      </c>
      <c r="F49" s="526" t="s">
        <v>8219</v>
      </c>
      <c r="G49" s="526" t="s">
        <v>7100</v>
      </c>
      <c r="H49" s="526" t="s">
        <v>248</v>
      </c>
      <c r="I49" s="526">
        <v>1.0</v>
      </c>
      <c r="J49" s="526"/>
      <c r="K49" s="526" t="s">
        <v>2511</v>
      </c>
      <c r="L49" s="526">
        <v>160.0</v>
      </c>
    </row>
    <row r="50" ht="14.25" customHeight="1">
      <c r="A50" s="429" t="s">
        <v>8213</v>
      </c>
      <c r="B50" s="429">
        <v>2024.0</v>
      </c>
      <c r="C50" s="429">
        <f t="shared" si="5"/>
        <v>5</v>
      </c>
      <c r="D50" s="554">
        <v>45434.0</v>
      </c>
      <c r="E50" s="526" t="s">
        <v>2547</v>
      </c>
      <c r="F50" s="526" t="s">
        <v>8220</v>
      </c>
      <c r="G50" s="526" t="s">
        <v>7075</v>
      </c>
      <c r="H50" s="534" t="s">
        <v>8217</v>
      </c>
      <c r="I50" s="526">
        <v>1.0</v>
      </c>
      <c r="J50" s="526"/>
      <c r="K50" s="526"/>
      <c r="L50" s="526" t="s">
        <v>2584</v>
      </c>
    </row>
    <row r="51" ht="14.25" customHeight="1">
      <c r="A51" s="429" t="s">
        <v>8213</v>
      </c>
      <c r="B51" s="429">
        <v>2024.0</v>
      </c>
      <c r="C51" s="429">
        <f t="shared" si="5"/>
        <v>5</v>
      </c>
      <c r="D51" s="564">
        <v>45435.0</v>
      </c>
      <c r="E51" s="565" t="s">
        <v>7532</v>
      </c>
      <c r="F51" s="565" t="s">
        <v>8221</v>
      </c>
      <c r="G51" s="526" t="s">
        <v>7075</v>
      </c>
      <c r="H51" s="534" t="s">
        <v>8205</v>
      </c>
      <c r="I51" s="526">
        <v>1.0</v>
      </c>
      <c r="J51" s="526"/>
      <c r="K51" s="526"/>
      <c r="L51" s="526">
        <v>109.0</v>
      </c>
    </row>
    <row r="52" ht="14.25" customHeight="1">
      <c r="A52" s="429" t="s">
        <v>8213</v>
      </c>
      <c r="B52" s="429">
        <v>2024.0</v>
      </c>
      <c r="C52" s="429">
        <f t="shared" si="5"/>
        <v>5</v>
      </c>
      <c r="D52" s="564">
        <v>45435.0</v>
      </c>
      <c r="E52" s="565" t="s">
        <v>8222</v>
      </c>
      <c r="F52" s="565" t="s">
        <v>8223</v>
      </c>
      <c r="G52" s="526" t="s">
        <v>7395</v>
      </c>
      <c r="H52" s="526" t="s">
        <v>8224</v>
      </c>
      <c r="I52" s="526">
        <v>1.0</v>
      </c>
      <c r="J52" s="526"/>
      <c r="K52" s="526"/>
      <c r="L52" s="526">
        <v>50.0</v>
      </c>
    </row>
    <row r="53" ht="14.25" customHeight="1">
      <c r="A53" s="429" t="s">
        <v>8213</v>
      </c>
      <c r="B53" s="429">
        <v>2024.0</v>
      </c>
      <c r="C53" s="429">
        <f t="shared" si="5"/>
        <v>5</v>
      </c>
      <c r="D53" s="564">
        <v>45435.0</v>
      </c>
      <c r="E53" s="565" t="s">
        <v>7659</v>
      </c>
      <c r="F53" s="565" t="s">
        <v>5966</v>
      </c>
      <c r="G53" s="534" t="s">
        <v>7106</v>
      </c>
      <c r="H53" s="534" t="s">
        <v>8225</v>
      </c>
      <c r="I53" s="526">
        <v>1.0</v>
      </c>
      <c r="J53" s="526"/>
      <c r="K53" s="526"/>
      <c r="L53" s="526">
        <v>80.0</v>
      </c>
    </row>
    <row r="54" ht="14.25" customHeight="1">
      <c r="A54" s="429" t="s">
        <v>8213</v>
      </c>
      <c r="B54" s="429">
        <v>2024.0</v>
      </c>
      <c r="C54" s="429">
        <f t="shared" si="5"/>
        <v>5</v>
      </c>
      <c r="D54" s="564">
        <v>45435.0</v>
      </c>
      <c r="E54" s="565" t="s">
        <v>8226</v>
      </c>
      <c r="F54" s="565" t="s">
        <v>8227</v>
      </c>
      <c r="G54" s="526" t="s">
        <v>7611</v>
      </c>
      <c r="H54" s="534" t="s">
        <v>8228</v>
      </c>
      <c r="I54" s="526">
        <v>1.0</v>
      </c>
      <c r="J54" s="526"/>
      <c r="K54" s="526"/>
      <c r="L54" s="526">
        <v>80.0</v>
      </c>
    </row>
    <row r="55" ht="14.25" customHeight="1">
      <c r="A55" s="429" t="s">
        <v>8213</v>
      </c>
      <c r="B55" s="429">
        <v>2024.0</v>
      </c>
      <c r="C55" s="429">
        <f t="shared" si="5"/>
        <v>5</v>
      </c>
      <c r="D55" s="564">
        <v>45435.0</v>
      </c>
      <c r="E55" s="565" t="s">
        <v>8226</v>
      </c>
      <c r="F55" s="565" t="s">
        <v>8227</v>
      </c>
      <c r="G55" s="526" t="s">
        <v>7106</v>
      </c>
      <c r="H55" s="534" t="s">
        <v>8229</v>
      </c>
      <c r="I55" s="526">
        <v>1.0</v>
      </c>
      <c r="J55" s="526"/>
      <c r="K55" s="526"/>
      <c r="L55" s="526">
        <v>70.0</v>
      </c>
    </row>
    <row r="56" ht="14.25" customHeight="1">
      <c r="A56" s="429" t="s">
        <v>8213</v>
      </c>
      <c r="B56" s="429">
        <v>2024.0</v>
      </c>
      <c r="C56" s="429">
        <f t="shared" si="5"/>
        <v>5</v>
      </c>
      <c r="D56" s="564">
        <v>45436.0</v>
      </c>
      <c r="E56" s="565" t="s">
        <v>8230</v>
      </c>
      <c r="F56" s="565" t="s">
        <v>8231</v>
      </c>
      <c r="G56" s="526" t="s">
        <v>7611</v>
      </c>
      <c r="H56" s="534" t="s">
        <v>8232</v>
      </c>
      <c r="I56" s="526">
        <v>1.0</v>
      </c>
      <c r="J56" s="526"/>
      <c r="K56" s="526" t="s">
        <v>7393</v>
      </c>
      <c r="L56" s="526">
        <v>50.0</v>
      </c>
    </row>
    <row r="57" ht="14.25" customHeight="1">
      <c r="A57" s="429" t="s">
        <v>8213</v>
      </c>
      <c r="B57" s="429">
        <v>2024.0</v>
      </c>
      <c r="C57" s="429">
        <f t="shared" si="5"/>
        <v>5</v>
      </c>
      <c r="D57" s="564">
        <v>45436.0</v>
      </c>
      <c r="E57" s="565" t="s">
        <v>8233</v>
      </c>
      <c r="F57" s="566" t="s">
        <v>8234</v>
      </c>
      <c r="G57" s="526" t="s">
        <v>7395</v>
      </c>
      <c r="H57" s="526" t="s">
        <v>8235</v>
      </c>
      <c r="I57" s="526">
        <v>1.0</v>
      </c>
      <c r="J57" s="526"/>
      <c r="K57" s="526" t="s">
        <v>7393</v>
      </c>
      <c r="L57" s="526">
        <v>80.0</v>
      </c>
    </row>
    <row r="58" ht="14.25" customHeight="1">
      <c r="A58" s="429" t="s">
        <v>8213</v>
      </c>
      <c r="B58" s="429">
        <v>2024.0</v>
      </c>
      <c r="C58" s="429">
        <f t="shared" si="5"/>
        <v>5</v>
      </c>
      <c r="D58" s="554">
        <v>45436.0</v>
      </c>
      <c r="E58" s="526" t="s">
        <v>8236</v>
      </c>
      <c r="F58" s="526" t="s">
        <v>7797</v>
      </c>
      <c r="G58" s="534" t="s">
        <v>7106</v>
      </c>
      <c r="H58" s="534" t="s">
        <v>8237</v>
      </c>
      <c r="I58" s="526">
        <v>1.0</v>
      </c>
      <c r="J58" s="526"/>
      <c r="K58" s="526" t="s">
        <v>2511</v>
      </c>
      <c r="L58" s="526">
        <v>75.0</v>
      </c>
    </row>
    <row r="59" ht="14.25" customHeight="1">
      <c r="A59" s="429" t="s">
        <v>8213</v>
      </c>
      <c r="B59" s="429">
        <v>2024.0</v>
      </c>
      <c r="C59" s="429">
        <f t="shared" si="5"/>
        <v>5</v>
      </c>
      <c r="D59" s="554">
        <v>45436.0</v>
      </c>
      <c r="E59" s="526" t="s">
        <v>7507</v>
      </c>
      <c r="F59" s="526" t="s">
        <v>7797</v>
      </c>
      <c r="G59" s="526" t="s">
        <v>7075</v>
      </c>
      <c r="H59" s="534" t="s">
        <v>8217</v>
      </c>
      <c r="I59" s="526">
        <v>1.0</v>
      </c>
      <c r="J59" s="526"/>
      <c r="K59" s="526" t="s">
        <v>8238</v>
      </c>
      <c r="L59" s="526">
        <v>95.0</v>
      </c>
    </row>
    <row r="60" ht="14.25" customHeight="1">
      <c r="A60" s="429" t="s">
        <v>8213</v>
      </c>
      <c r="B60" s="429">
        <v>2024.0</v>
      </c>
      <c r="C60" s="429">
        <f t="shared" si="5"/>
        <v>5</v>
      </c>
      <c r="D60" s="564">
        <v>45436.0</v>
      </c>
      <c r="E60" s="565" t="s">
        <v>2659</v>
      </c>
      <c r="F60" s="565" t="s">
        <v>2551</v>
      </c>
      <c r="G60" s="526" t="s">
        <v>7075</v>
      </c>
      <c r="H60" s="534" t="s">
        <v>6795</v>
      </c>
      <c r="I60" s="526">
        <v>1.0</v>
      </c>
      <c r="J60" s="526"/>
      <c r="K60" s="526" t="s">
        <v>7393</v>
      </c>
      <c r="L60" s="526">
        <v>109.0</v>
      </c>
    </row>
    <row r="61" ht="14.25" customHeight="1">
      <c r="A61" s="429" t="s">
        <v>8213</v>
      </c>
      <c r="B61" s="429">
        <v>2024.0</v>
      </c>
      <c r="C61" s="429">
        <f t="shared" si="5"/>
        <v>5</v>
      </c>
      <c r="D61" s="564">
        <v>45436.0</v>
      </c>
      <c r="E61" s="565" t="s">
        <v>7747</v>
      </c>
      <c r="F61" s="565" t="s">
        <v>8239</v>
      </c>
      <c r="G61" s="526" t="s">
        <v>7075</v>
      </c>
      <c r="H61" s="534" t="s">
        <v>6795</v>
      </c>
      <c r="I61" s="526">
        <v>1.0</v>
      </c>
      <c r="J61" s="526"/>
      <c r="K61" s="526" t="s">
        <v>7393</v>
      </c>
      <c r="L61" s="526">
        <v>109.0</v>
      </c>
    </row>
    <row r="62" ht="14.25" customHeight="1">
      <c r="A62" s="429" t="s">
        <v>8213</v>
      </c>
      <c r="B62" s="429">
        <v>2024.0</v>
      </c>
      <c r="C62" s="429">
        <f t="shared" si="5"/>
        <v>5</v>
      </c>
      <c r="D62" s="564">
        <v>45436.0</v>
      </c>
      <c r="E62" s="565" t="s">
        <v>7747</v>
      </c>
      <c r="F62" s="565" t="s">
        <v>8240</v>
      </c>
      <c r="G62" s="526" t="s">
        <v>7075</v>
      </c>
      <c r="H62" s="534" t="s">
        <v>8205</v>
      </c>
      <c r="I62" s="526">
        <v>1.0</v>
      </c>
      <c r="J62" s="526"/>
      <c r="K62" s="526" t="s">
        <v>7393</v>
      </c>
      <c r="L62" s="526">
        <v>105.0</v>
      </c>
    </row>
    <row r="63" ht="14.25" customHeight="1">
      <c r="A63" s="429" t="s">
        <v>8213</v>
      </c>
      <c r="B63" s="429">
        <v>2024.0</v>
      </c>
      <c r="C63" s="429">
        <f t="shared" si="5"/>
        <v>5</v>
      </c>
      <c r="D63" s="554">
        <v>45436.0</v>
      </c>
      <c r="E63" s="526" t="s">
        <v>2193</v>
      </c>
      <c r="F63" s="526" t="s">
        <v>8241</v>
      </c>
      <c r="G63" s="526" t="s">
        <v>7075</v>
      </c>
      <c r="H63" s="534" t="s">
        <v>8217</v>
      </c>
      <c r="I63" s="526">
        <v>1.0</v>
      </c>
      <c r="J63" s="526"/>
      <c r="K63" s="526" t="s">
        <v>2511</v>
      </c>
      <c r="L63" s="526">
        <v>105.0</v>
      </c>
    </row>
    <row r="64" ht="14.25" customHeight="1">
      <c r="A64" s="429" t="s">
        <v>8213</v>
      </c>
      <c r="B64" s="429">
        <v>2024.0</v>
      </c>
      <c r="C64" s="429">
        <f t="shared" si="5"/>
        <v>5</v>
      </c>
      <c r="D64" s="554">
        <v>45436.0</v>
      </c>
      <c r="E64" s="526" t="s">
        <v>8242</v>
      </c>
      <c r="F64" s="526" t="s">
        <v>8243</v>
      </c>
      <c r="G64" s="526" t="s">
        <v>7611</v>
      </c>
      <c r="H64" s="534" t="s">
        <v>8215</v>
      </c>
      <c r="I64" s="526">
        <v>1.0</v>
      </c>
      <c r="J64" s="526"/>
      <c r="K64" s="526" t="s">
        <v>2511</v>
      </c>
      <c r="L64" s="526">
        <v>80.0</v>
      </c>
    </row>
    <row r="65" ht="14.25" customHeight="1">
      <c r="A65" s="429" t="s">
        <v>8213</v>
      </c>
      <c r="B65" s="429">
        <v>2024.0</v>
      </c>
      <c r="C65" s="429">
        <f t="shared" si="5"/>
        <v>5</v>
      </c>
      <c r="D65" s="564">
        <v>45437.0</v>
      </c>
      <c r="E65" s="565" t="s">
        <v>7408</v>
      </c>
      <c r="F65" s="565" t="s">
        <v>7409</v>
      </c>
      <c r="G65" s="526" t="s">
        <v>6613</v>
      </c>
      <c r="H65" s="526" t="s">
        <v>8244</v>
      </c>
      <c r="I65" s="526">
        <v>1.0</v>
      </c>
      <c r="J65" s="526"/>
      <c r="K65" s="526" t="s">
        <v>7393</v>
      </c>
      <c r="L65" s="526">
        <v>65.0</v>
      </c>
    </row>
    <row r="66" ht="14.25" customHeight="1">
      <c r="A66" s="429" t="s">
        <v>8213</v>
      </c>
      <c r="B66" s="429">
        <v>2024.0</v>
      </c>
      <c r="C66" s="429">
        <f t="shared" si="5"/>
        <v>5</v>
      </c>
      <c r="D66" s="564">
        <v>45437.0</v>
      </c>
      <c r="E66" s="565" t="s">
        <v>8245</v>
      </c>
      <c r="F66" s="565"/>
      <c r="G66" s="526" t="s">
        <v>7075</v>
      </c>
      <c r="H66" s="534" t="s">
        <v>8217</v>
      </c>
      <c r="I66" s="526">
        <v>1.0</v>
      </c>
      <c r="J66" s="526"/>
      <c r="K66" s="526" t="s">
        <v>7393</v>
      </c>
      <c r="L66" s="526">
        <v>109.0</v>
      </c>
    </row>
    <row r="67" ht="14.25" customHeight="1">
      <c r="A67" s="429" t="s">
        <v>8213</v>
      </c>
      <c r="B67" s="429">
        <v>2024.0</v>
      </c>
      <c r="C67" s="429">
        <f t="shared" si="5"/>
        <v>5</v>
      </c>
      <c r="D67" s="554">
        <v>45437.0</v>
      </c>
      <c r="E67" s="526" t="s">
        <v>8246</v>
      </c>
      <c r="F67" s="526" t="s">
        <v>8247</v>
      </c>
      <c r="G67" s="534" t="s">
        <v>7106</v>
      </c>
      <c r="H67" s="534" t="s">
        <v>8248</v>
      </c>
      <c r="I67" s="526">
        <v>1.0</v>
      </c>
      <c r="J67" s="526"/>
      <c r="K67" s="526" t="s">
        <v>2511</v>
      </c>
      <c r="L67" s="526">
        <v>70.0</v>
      </c>
    </row>
    <row r="68" ht="14.25" customHeight="1">
      <c r="A68" s="429" t="s">
        <v>8213</v>
      </c>
      <c r="B68" s="429">
        <v>2024.0</v>
      </c>
      <c r="C68" s="429">
        <f t="shared" si="5"/>
        <v>5</v>
      </c>
      <c r="D68" s="564">
        <v>45438.0</v>
      </c>
      <c r="E68" s="565" t="s">
        <v>7515</v>
      </c>
      <c r="F68" s="565" t="s">
        <v>8249</v>
      </c>
      <c r="G68" s="534" t="s">
        <v>7106</v>
      </c>
      <c r="H68" s="534" t="s">
        <v>8250</v>
      </c>
      <c r="I68" s="526">
        <v>1.0</v>
      </c>
      <c r="J68" s="526"/>
      <c r="K68" s="526" t="s">
        <v>7393</v>
      </c>
      <c r="L68" s="526">
        <v>65.0</v>
      </c>
    </row>
    <row r="69" ht="14.25" customHeight="1">
      <c r="A69" s="429" t="s">
        <v>8213</v>
      </c>
      <c r="B69" s="429">
        <v>2024.0</v>
      </c>
      <c r="C69" s="429">
        <f t="shared" si="5"/>
        <v>5</v>
      </c>
      <c r="D69" s="564">
        <v>45438.0</v>
      </c>
      <c r="E69" s="565" t="s">
        <v>2600</v>
      </c>
      <c r="F69" s="565" t="s">
        <v>8083</v>
      </c>
      <c r="G69" s="534" t="s">
        <v>7106</v>
      </c>
      <c r="H69" s="567" t="s">
        <v>8251</v>
      </c>
      <c r="I69" s="557">
        <v>1.0</v>
      </c>
      <c r="J69" s="557"/>
      <c r="K69" s="526" t="s">
        <v>7393</v>
      </c>
      <c r="L69" s="526">
        <v>75.0</v>
      </c>
    </row>
    <row r="70" ht="14.25" customHeight="1">
      <c r="A70" s="429" t="s">
        <v>8213</v>
      </c>
      <c r="B70" s="429">
        <v>2024.0</v>
      </c>
      <c r="C70" s="429">
        <f t="shared" si="5"/>
        <v>5</v>
      </c>
      <c r="D70" s="564">
        <v>45438.0</v>
      </c>
      <c r="E70" s="565" t="s">
        <v>8252</v>
      </c>
      <c r="F70" s="565" t="s">
        <v>8253</v>
      </c>
      <c r="G70" s="526" t="s">
        <v>7075</v>
      </c>
      <c r="H70" s="534" t="s">
        <v>8254</v>
      </c>
      <c r="I70" s="526">
        <v>1.0</v>
      </c>
      <c r="J70" s="526"/>
      <c r="K70" s="526" t="s">
        <v>8255</v>
      </c>
      <c r="L70" s="526">
        <v>90.0</v>
      </c>
    </row>
    <row r="71" ht="14.25" customHeight="1">
      <c r="A71" s="429" t="s">
        <v>8160</v>
      </c>
      <c r="B71" s="429">
        <v>2024.0</v>
      </c>
      <c r="C71" s="429">
        <f t="shared" si="5"/>
        <v>5</v>
      </c>
      <c r="D71" s="554">
        <v>45442.0</v>
      </c>
      <c r="E71" s="568" t="s">
        <v>7747</v>
      </c>
      <c r="F71" s="568" t="s">
        <v>7797</v>
      </c>
      <c r="G71" s="534" t="s">
        <v>7106</v>
      </c>
      <c r="H71" s="559" t="s">
        <v>8210</v>
      </c>
      <c r="I71" s="560">
        <v>1.0</v>
      </c>
      <c r="J71" s="560"/>
      <c r="K71" s="559" t="s">
        <v>8256</v>
      </c>
      <c r="L71" s="560">
        <v>50.0</v>
      </c>
    </row>
    <row r="72" ht="14.25" customHeight="1">
      <c r="A72" s="429" t="s">
        <v>8160</v>
      </c>
      <c r="B72" s="429">
        <v>2024.0</v>
      </c>
      <c r="C72" s="429">
        <f t="shared" si="5"/>
        <v>5</v>
      </c>
      <c r="D72" s="554">
        <v>45442.0</v>
      </c>
      <c r="E72" s="540" t="s">
        <v>7814</v>
      </c>
      <c r="F72" s="540"/>
      <c r="G72" s="526" t="s">
        <v>7100</v>
      </c>
      <c r="H72" s="569" t="s">
        <v>6643</v>
      </c>
      <c r="I72" s="570">
        <v>1.0</v>
      </c>
      <c r="J72" s="570"/>
      <c r="K72" s="541" t="s">
        <v>8257</v>
      </c>
      <c r="L72" s="543">
        <v>135.0</v>
      </c>
    </row>
    <row r="73" ht="14.25" customHeight="1">
      <c r="A73" s="429" t="s">
        <v>8160</v>
      </c>
      <c r="B73" s="429">
        <v>2024.0</v>
      </c>
      <c r="C73" s="429">
        <f t="shared" si="5"/>
        <v>5</v>
      </c>
      <c r="D73" s="554">
        <v>45442.0</v>
      </c>
      <c r="E73" s="540" t="s">
        <v>7814</v>
      </c>
      <c r="F73" s="540"/>
      <c r="G73" s="526" t="s">
        <v>7100</v>
      </c>
      <c r="H73" s="569" t="s">
        <v>248</v>
      </c>
      <c r="I73" s="570">
        <v>1.0</v>
      </c>
      <c r="J73" s="570"/>
      <c r="K73" s="541" t="s">
        <v>8257</v>
      </c>
      <c r="L73" s="543">
        <v>135.0</v>
      </c>
    </row>
    <row r="74" ht="14.25" customHeight="1">
      <c r="A74" s="429" t="s">
        <v>8160</v>
      </c>
      <c r="B74" s="429">
        <v>2024.0</v>
      </c>
      <c r="C74" s="429">
        <f t="shared" si="5"/>
        <v>5</v>
      </c>
      <c r="D74" s="554">
        <v>45442.0</v>
      </c>
      <c r="E74" s="540" t="s">
        <v>2594</v>
      </c>
      <c r="F74" s="540" t="s">
        <v>2595</v>
      </c>
      <c r="G74" s="526" t="s">
        <v>7075</v>
      </c>
      <c r="H74" s="541" t="s">
        <v>8205</v>
      </c>
      <c r="I74" s="570">
        <v>1.0</v>
      </c>
      <c r="J74" s="570"/>
      <c r="K74" s="541" t="s">
        <v>2584</v>
      </c>
      <c r="L74" s="543" t="s">
        <v>7246</v>
      </c>
    </row>
    <row r="75" ht="14.25" customHeight="1">
      <c r="A75" s="429" t="s">
        <v>8258</v>
      </c>
      <c r="B75" s="429">
        <v>2024.0</v>
      </c>
      <c r="C75" s="429">
        <f t="shared" si="5"/>
        <v>6</v>
      </c>
      <c r="D75" s="554">
        <v>45448.0</v>
      </c>
      <c r="E75" s="571" t="s">
        <v>7784</v>
      </c>
      <c r="F75" s="571" t="s">
        <v>7756</v>
      </c>
      <c r="G75" s="534" t="s">
        <v>7106</v>
      </c>
      <c r="H75" s="541" t="s">
        <v>8259</v>
      </c>
      <c r="I75" s="570">
        <v>1.0</v>
      </c>
      <c r="J75" s="570"/>
      <c r="K75" s="541" t="s">
        <v>7393</v>
      </c>
      <c r="L75" s="543">
        <v>75.0</v>
      </c>
    </row>
    <row r="76" ht="14.25" customHeight="1">
      <c r="A76" s="429" t="s">
        <v>8258</v>
      </c>
      <c r="B76" s="429">
        <v>2024.0</v>
      </c>
      <c r="C76" s="429">
        <f t="shared" si="5"/>
        <v>6</v>
      </c>
      <c r="D76" s="554">
        <v>45448.0</v>
      </c>
      <c r="E76" s="540"/>
      <c r="F76" s="540" t="s">
        <v>8049</v>
      </c>
      <c r="G76" s="534" t="s">
        <v>7106</v>
      </c>
      <c r="H76" s="541" t="s">
        <v>8260</v>
      </c>
      <c r="I76" s="570">
        <v>1.0</v>
      </c>
      <c r="J76" s="570"/>
      <c r="K76" s="541" t="s">
        <v>7393</v>
      </c>
      <c r="L76" s="543">
        <v>75.0</v>
      </c>
    </row>
    <row r="77" ht="14.25" customHeight="1">
      <c r="A77" s="429" t="s">
        <v>8258</v>
      </c>
      <c r="B77" s="429">
        <v>2024.0</v>
      </c>
      <c r="C77" s="429">
        <f t="shared" si="5"/>
        <v>6</v>
      </c>
      <c r="D77" s="554">
        <v>45448.0</v>
      </c>
      <c r="E77" s="571" t="s">
        <v>7714</v>
      </c>
      <c r="F77" s="571" t="s">
        <v>8261</v>
      </c>
      <c r="G77" s="526" t="s">
        <v>7075</v>
      </c>
      <c r="H77" s="541" t="s">
        <v>6795</v>
      </c>
      <c r="I77" s="570">
        <v>1.0</v>
      </c>
      <c r="J77" s="570"/>
      <c r="K77" s="541" t="s">
        <v>7393</v>
      </c>
      <c r="L77" s="543">
        <v>105.0</v>
      </c>
    </row>
    <row r="78" ht="14.25" customHeight="1">
      <c r="A78" s="429" t="s">
        <v>8258</v>
      </c>
      <c r="B78" s="429">
        <v>2024.0</v>
      </c>
      <c r="C78" s="429">
        <f t="shared" si="5"/>
        <v>6</v>
      </c>
      <c r="D78" s="554">
        <v>45448.0</v>
      </c>
      <c r="E78" s="571" t="s">
        <v>2547</v>
      </c>
      <c r="F78" s="571" t="s">
        <v>7979</v>
      </c>
      <c r="G78" s="526" t="s">
        <v>7075</v>
      </c>
      <c r="H78" s="541" t="s">
        <v>8262</v>
      </c>
      <c r="I78" s="570">
        <v>1.0</v>
      </c>
      <c r="J78" s="570"/>
      <c r="K78" s="541" t="s">
        <v>7393</v>
      </c>
      <c r="L78" s="543">
        <v>110.0</v>
      </c>
    </row>
    <row r="79" ht="14.25" customHeight="1">
      <c r="A79" s="429" t="s">
        <v>8258</v>
      </c>
      <c r="B79" s="429">
        <v>2024.0</v>
      </c>
      <c r="C79" s="429">
        <f t="shared" si="5"/>
        <v>6</v>
      </c>
      <c r="D79" s="554">
        <v>45448.0</v>
      </c>
      <c r="E79" s="571" t="s">
        <v>7489</v>
      </c>
      <c r="F79" s="571" t="s">
        <v>8263</v>
      </c>
      <c r="G79" s="526" t="s">
        <v>7075</v>
      </c>
      <c r="H79" s="541" t="s">
        <v>8217</v>
      </c>
      <c r="I79" s="570">
        <v>1.0</v>
      </c>
      <c r="J79" s="570"/>
      <c r="K79" s="541" t="s">
        <v>7393</v>
      </c>
      <c r="L79" s="543">
        <v>110.0</v>
      </c>
    </row>
    <row r="80" ht="14.25" customHeight="1">
      <c r="A80" s="429" t="s">
        <v>8258</v>
      </c>
      <c r="B80" s="429">
        <v>2024.0</v>
      </c>
      <c r="C80" s="429">
        <f t="shared" si="5"/>
        <v>6</v>
      </c>
      <c r="D80" s="554">
        <v>45449.0</v>
      </c>
      <c r="E80" s="571" t="s">
        <v>2623</v>
      </c>
      <c r="F80" s="571" t="s">
        <v>8264</v>
      </c>
      <c r="G80" s="526" t="s">
        <v>7100</v>
      </c>
      <c r="H80" s="569" t="s">
        <v>248</v>
      </c>
      <c r="I80" s="570">
        <v>1.0</v>
      </c>
      <c r="J80" s="570"/>
      <c r="K80" s="541" t="s">
        <v>7393</v>
      </c>
      <c r="L80" s="543">
        <v>170.0</v>
      </c>
    </row>
    <row r="81" ht="14.25" customHeight="1">
      <c r="A81" s="429" t="s">
        <v>8258</v>
      </c>
      <c r="B81" s="429">
        <v>2024.0</v>
      </c>
      <c r="C81" s="429">
        <f t="shared" si="5"/>
        <v>6</v>
      </c>
      <c r="D81" s="554">
        <v>45449.0</v>
      </c>
      <c r="E81" s="571" t="s">
        <v>8265</v>
      </c>
      <c r="F81" s="571" t="s">
        <v>8266</v>
      </c>
      <c r="G81" s="526" t="s">
        <v>7075</v>
      </c>
      <c r="H81" s="541" t="s">
        <v>8267</v>
      </c>
      <c r="I81" s="570">
        <v>1.0</v>
      </c>
      <c r="J81" s="570"/>
      <c r="K81" s="541" t="s">
        <v>7393</v>
      </c>
      <c r="L81" s="543">
        <v>90.0</v>
      </c>
    </row>
    <row r="82" ht="14.25" customHeight="1">
      <c r="A82" s="429" t="s">
        <v>8258</v>
      </c>
      <c r="B82" s="429">
        <v>2024.0</v>
      </c>
      <c r="C82" s="429">
        <f t="shared" si="5"/>
        <v>6</v>
      </c>
      <c r="D82" s="554">
        <v>45449.0</v>
      </c>
      <c r="E82" s="571" t="s">
        <v>8265</v>
      </c>
      <c r="F82" s="571" t="s">
        <v>8266</v>
      </c>
      <c r="G82" s="534" t="s">
        <v>7059</v>
      </c>
      <c r="H82" s="541" t="s">
        <v>8268</v>
      </c>
      <c r="I82" s="570">
        <v>1.0</v>
      </c>
      <c r="J82" s="570"/>
      <c r="K82" s="541" t="s">
        <v>7393</v>
      </c>
      <c r="L82" s="543">
        <v>85.0</v>
      </c>
    </row>
    <row r="83" ht="14.25" customHeight="1">
      <c r="A83" s="429" t="s">
        <v>8258</v>
      </c>
      <c r="B83" s="429">
        <v>2024.0</v>
      </c>
      <c r="C83" s="429">
        <f t="shared" si="5"/>
        <v>6</v>
      </c>
      <c r="D83" s="554">
        <v>45449.0</v>
      </c>
      <c r="E83" s="571" t="s">
        <v>2623</v>
      </c>
      <c r="F83" s="571" t="s">
        <v>8269</v>
      </c>
      <c r="G83" s="534" t="s">
        <v>7106</v>
      </c>
      <c r="H83" s="541" t="s">
        <v>226</v>
      </c>
      <c r="I83" s="570">
        <v>1.0</v>
      </c>
      <c r="J83" s="570"/>
      <c r="K83" s="541" t="s">
        <v>7393</v>
      </c>
      <c r="L83" s="543">
        <v>85.0</v>
      </c>
    </row>
    <row r="84" ht="14.25" customHeight="1">
      <c r="A84" s="429" t="s">
        <v>8258</v>
      </c>
      <c r="B84" s="429">
        <v>2024.0</v>
      </c>
      <c r="C84" s="429">
        <f t="shared" si="5"/>
        <v>6</v>
      </c>
      <c r="D84" s="554">
        <v>45449.0</v>
      </c>
      <c r="E84" s="571" t="s">
        <v>7637</v>
      </c>
      <c r="F84" s="571" t="s">
        <v>8152</v>
      </c>
      <c r="G84" s="526" t="s">
        <v>7075</v>
      </c>
      <c r="H84" s="541" t="s">
        <v>8217</v>
      </c>
      <c r="I84" s="570">
        <v>1.0</v>
      </c>
      <c r="J84" s="570"/>
      <c r="K84" s="541" t="s">
        <v>7393</v>
      </c>
      <c r="L84" s="543">
        <v>105.0</v>
      </c>
    </row>
    <row r="85" ht="14.25" customHeight="1">
      <c r="A85" s="429" t="s">
        <v>8258</v>
      </c>
      <c r="B85" s="429">
        <v>2024.0</v>
      </c>
      <c r="C85" s="429">
        <f t="shared" si="5"/>
        <v>6</v>
      </c>
      <c r="D85" s="554">
        <v>45449.0</v>
      </c>
      <c r="E85" s="572" t="s">
        <v>7489</v>
      </c>
      <c r="F85" s="572" t="s">
        <v>8270</v>
      </c>
      <c r="G85" s="534" t="s">
        <v>7059</v>
      </c>
      <c r="H85" s="541" t="s">
        <v>8271</v>
      </c>
      <c r="I85" s="570">
        <v>1.0</v>
      </c>
      <c r="J85" s="570"/>
      <c r="K85" s="573" t="s">
        <v>8272</v>
      </c>
      <c r="L85" s="543">
        <v>70.0</v>
      </c>
    </row>
    <row r="86" ht="14.25" customHeight="1">
      <c r="A86" s="429" t="s">
        <v>8258</v>
      </c>
      <c r="B86" s="429">
        <v>2024.0</v>
      </c>
      <c r="C86" s="429">
        <f t="shared" si="5"/>
        <v>6</v>
      </c>
      <c r="D86" s="554">
        <v>45449.0</v>
      </c>
      <c r="E86" s="565" t="s">
        <v>7621</v>
      </c>
      <c r="F86" s="565" t="s">
        <v>2669</v>
      </c>
      <c r="G86" s="526" t="s">
        <v>7075</v>
      </c>
      <c r="H86" s="534" t="s">
        <v>230</v>
      </c>
      <c r="I86" s="526">
        <v>1.0</v>
      </c>
      <c r="J86" s="526"/>
      <c r="K86" s="526" t="s">
        <v>8273</v>
      </c>
      <c r="L86" s="574">
        <v>100.0</v>
      </c>
    </row>
    <row r="87" ht="14.25" customHeight="1">
      <c r="A87" s="429" t="s">
        <v>8258</v>
      </c>
      <c r="B87" s="429">
        <v>2024.0</v>
      </c>
      <c r="C87" s="429">
        <f t="shared" si="5"/>
        <v>6</v>
      </c>
      <c r="D87" s="554">
        <v>45450.0</v>
      </c>
      <c r="E87" s="565" t="s">
        <v>2578</v>
      </c>
      <c r="F87" s="565" t="s">
        <v>2579</v>
      </c>
      <c r="G87" s="526" t="s">
        <v>7075</v>
      </c>
      <c r="H87" s="534" t="s">
        <v>7092</v>
      </c>
      <c r="I87" s="526">
        <v>1.0</v>
      </c>
      <c r="J87" s="526"/>
      <c r="K87" s="562" t="s">
        <v>8274</v>
      </c>
      <c r="L87" s="574">
        <v>78.0</v>
      </c>
    </row>
    <row r="88" ht="14.25" customHeight="1">
      <c r="A88" s="429" t="s">
        <v>8258</v>
      </c>
      <c r="B88" s="429">
        <v>2024.0</v>
      </c>
      <c r="C88" s="429">
        <f t="shared" si="5"/>
        <v>6</v>
      </c>
      <c r="D88" s="554">
        <v>45450.0</v>
      </c>
      <c r="E88" s="565" t="s">
        <v>7760</v>
      </c>
      <c r="F88" s="565" t="s">
        <v>8275</v>
      </c>
      <c r="G88" s="526" t="s">
        <v>7611</v>
      </c>
      <c r="H88" s="534" t="s">
        <v>8276</v>
      </c>
      <c r="I88" s="526">
        <v>1.0</v>
      </c>
      <c r="J88" s="526"/>
      <c r="K88" s="526" t="s">
        <v>7393</v>
      </c>
      <c r="L88" s="574">
        <v>75.0</v>
      </c>
    </row>
    <row r="89" ht="14.25" customHeight="1">
      <c r="A89" s="429" t="s">
        <v>8258</v>
      </c>
      <c r="B89" s="429">
        <v>2024.0</v>
      </c>
      <c r="C89" s="429">
        <f t="shared" si="5"/>
        <v>6</v>
      </c>
      <c r="D89" s="554">
        <v>45450.0</v>
      </c>
      <c r="E89" s="565" t="s">
        <v>7417</v>
      </c>
      <c r="F89" s="565" t="s">
        <v>8277</v>
      </c>
      <c r="G89" s="526" t="s">
        <v>8278</v>
      </c>
      <c r="H89" s="526"/>
      <c r="I89" s="526">
        <v>1.0</v>
      </c>
      <c r="J89" s="526"/>
      <c r="K89" s="526" t="s">
        <v>2511</v>
      </c>
      <c r="L89" s="574">
        <v>30.0</v>
      </c>
    </row>
    <row r="90" ht="14.25" customHeight="1">
      <c r="A90" s="429" t="s">
        <v>8258</v>
      </c>
      <c r="B90" s="429">
        <v>2024.0</v>
      </c>
      <c r="C90" s="429">
        <f t="shared" si="5"/>
        <v>6</v>
      </c>
      <c r="D90" s="554">
        <v>45450.0</v>
      </c>
      <c r="E90" s="565" t="s">
        <v>2659</v>
      </c>
      <c r="F90" s="565" t="s">
        <v>8279</v>
      </c>
      <c r="G90" s="534" t="s">
        <v>7106</v>
      </c>
      <c r="H90" s="534" t="s">
        <v>8280</v>
      </c>
      <c r="I90" s="526">
        <v>1.0</v>
      </c>
      <c r="J90" s="526"/>
      <c r="K90" s="526" t="s">
        <v>7393</v>
      </c>
      <c r="L90" s="574">
        <v>80.0</v>
      </c>
    </row>
    <row r="91" ht="14.25" customHeight="1">
      <c r="A91" s="429" t="s">
        <v>8258</v>
      </c>
      <c r="B91" s="429">
        <v>2024.0</v>
      </c>
      <c r="C91" s="429">
        <f t="shared" si="5"/>
        <v>6</v>
      </c>
      <c r="D91" s="554">
        <v>45450.0</v>
      </c>
      <c r="E91" s="571" t="s">
        <v>2547</v>
      </c>
      <c r="F91" s="571" t="s">
        <v>7426</v>
      </c>
      <c r="G91" s="534" t="s">
        <v>7059</v>
      </c>
      <c r="H91" s="541"/>
      <c r="I91" s="570">
        <v>1.0</v>
      </c>
      <c r="J91" s="570"/>
      <c r="K91" s="526" t="s">
        <v>7393</v>
      </c>
      <c r="L91" s="543">
        <v>85.0</v>
      </c>
    </row>
    <row r="92" ht="14.25" customHeight="1">
      <c r="A92" s="429" t="s">
        <v>8281</v>
      </c>
      <c r="B92" s="429">
        <v>2024.0</v>
      </c>
      <c r="C92" s="429">
        <f t="shared" si="5"/>
        <v>6</v>
      </c>
      <c r="D92" s="554">
        <v>45451.0</v>
      </c>
      <c r="E92" s="540" t="s">
        <v>2566</v>
      </c>
      <c r="F92" s="540" t="s">
        <v>8282</v>
      </c>
      <c r="G92" s="534" t="s">
        <v>7059</v>
      </c>
      <c r="H92" s="541"/>
      <c r="I92" s="570">
        <v>1.0</v>
      </c>
      <c r="J92" s="570"/>
      <c r="K92" s="575" t="s">
        <v>8274</v>
      </c>
      <c r="L92" s="543">
        <v>90.0</v>
      </c>
    </row>
    <row r="93" ht="14.25" customHeight="1">
      <c r="A93" s="429" t="s">
        <v>8281</v>
      </c>
      <c r="B93" s="429">
        <v>2024.0</v>
      </c>
      <c r="C93" s="429">
        <f t="shared" si="5"/>
        <v>6</v>
      </c>
      <c r="D93" s="554">
        <v>45451.0</v>
      </c>
      <c r="E93" s="540" t="s">
        <v>8166</v>
      </c>
      <c r="F93" s="540"/>
      <c r="G93" s="534" t="s">
        <v>7106</v>
      </c>
      <c r="H93" s="541" t="s">
        <v>8283</v>
      </c>
      <c r="I93" s="570">
        <v>1.0</v>
      </c>
      <c r="J93" s="570"/>
      <c r="K93" s="575" t="s">
        <v>8274</v>
      </c>
      <c r="L93" s="543">
        <v>75.0</v>
      </c>
    </row>
    <row r="94" ht="14.25" customHeight="1">
      <c r="A94" s="429" t="s">
        <v>8281</v>
      </c>
      <c r="B94" s="429">
        <v>2024.0</v>
      </c>
      <c r="C94" s="429">
        <f t="shared" si="5"/>
        <v>6</v>
      </c>
      <c r="D94" s="554">
        <v>45451.0</v>
      </c>
      <c r="E94" s="540" t="s">
        <v>7703</v>
      </c>
      <c r="F94" s="540" t="s">
        <v>8284</v>
      </c>
      <c r="G94" s="526" t="s">
        <v>7075</v>
      </c>
      <c r="H94" s="541" t="s">
        <v>8217</v>
      </c>
      <c r="I94" s="570">
        <v>1.0</v>
      </c>
      <c r="J94" s="570"/>
      <c r="K94" s="541" t="s">
        <v>8211</v>
      </c>
      <c r="L94" s="543">
        <v>86.0</v>
      </c>
    </row>
    <row r="95" ht="14.25" customHeight="1">
      <c r="A95" s="429" t="s">
        <v>8281</v>
      </c>
      <c r="B95" s="429">
        <v>2024.0</v>
      </c>
      <c r="C95" s="429">
        <f t="shared" si="5"/>
        <v>6</v>
      </c>
      <c r="D95" s="554">
        <v>45451.0</v>
      </c>
      <c r="E95" s="540" t="s">
        <v>8285</v>
      </c>
      <c r="F95" s="540" t="s">
        <v>8286</v>
      </c>
      <c r="G95" s="534" t="s">
        <v>7106</v>
      </c>
      <c r="H95" s="541" t="s">
        <v>8287</v>
      </c>
      <c r="I95" s="570">
        <v>1.0</v>
      </c>
      <c r="J95" s="570"/>
      <c r="K95" s="541" t="s">
        <v>8211</v>
      </c>
      <c r="L95" s="543">
        <v>50.0</v>
      </c>
    </row>
    <row r="96" ht="14.25" customHeight="1">
      <c r="A96" s="429" t="s">
        <v>8160</v>
      </c>
      <c r="B96" s="429">
        <v>2024.0</v>
      </c>
      <c r="C96" s="429">
        <f t="shared" si="5"/>
        <v>6</v>
      </c>
      <c r="D96" s="554">
        <v>45453.0</v>
      </c>
      <c r="E96" s="540" t="s">
        <v>2780</v>
      </c>
      <c r="F96" s="540" t="s">
        <v>8288</v>
      </c>
      <c r="G96" s="526" t="s">
        <v>7075</v>
      </c>
      <c r="H96" s="541" t="s">
        <v>230</v>
      </c>
      <c r="I96" s="570">
        <v>1.0</v>
      </c>
      <c r="J96" s="570"/>
      <c r="K96" s="575" t="s">
        <v>8274</v>
      </c>
      <c r="L96" s="543">
        <v>100.0</v>
      </c>
    </row>
    <row r="97" ht="14.25" customHeight="1">
      <c r="A97" s="429" t="s">
        <v>8160</v>
      </c>
      <c r="B97" s="429">
        <v>2024.0</v>
      </c>
      <c r="C97" s="429">
        <f t="shared" si="5"/>
        <v>6</v>
      </c>
      <c r="D97" s="554">
        <v>45453.0</v>
      </c>
      <c r="E97" s="540" t="s">
        <v>8289</v>
      </c>
      <c r="F97" s="540" t="s">
        <v>8290</v>
      </c>
      <c r="G97" s="526" t="s">
        <v>7075</v>
      </c>
      <c r="H97" s="541" t="s">
        <v>8217</v>
      </c>
      <c r="I97" s="570">
        <v>1.0</v>
      </c>
      <c r="J97" s="570"/>
      <c r="K97" s="575" t="s">
        <v>8274</v>
      </c>
      <c r="L97" s="543">
        <v>100.0</v>
      </c>
    </row>
    <row r="98" ht="14.25" customHeight="1">
      <c r="A98" s="429" t="s">
        <v>8160</v>
      </c>
      <c r="B98" s="429">
        <v>2024.0</v>
      </c>
      <c r="C98" s="429">
        <f t="shared" si="5"/>
        <v>6</v>
      </c>
      <c r="D98" s="576">
        <v>45453.0</v>
      </c>
      <c r="E98" s="572" t="s">
        <v>7515</v>
      </c>
      <c r="F98" s="572" t="s">
        <v>2551</v>
      </c>
      <c r="G98" s="534" t="s">
        <v>7106</v>
      </c>
      <c r="H98" s="573" t="s">
        <v>8291</v>
      </c>
      <c r="I98" s="577">
        <v>1.0</v>
      </c>
      <c r="J98" s="577"/>
      <c r="K98" s="573" t="s">
        <v>8292</v>
      </c>
      <c r="L98" s="578">
        <v>60.0</v>
      </c>
    </row>
    <row r="99" ht="14.25" customHeight="1">
      <c r="A99" s="429" t="s">
        <v>8160</v>
      </c>
      <c r="B99" s="429">
        <v>2024.0</v>
      </c>
      <c r="C99" s="429">
        <f t="shared" si="5"/>
        <v>6</v>
      </c>
      <c r="D99" s="576">
        <v>45453.0</v>
      </c>
      <c r="E99" s="579" t="s">
        <v>7515</v>
      </c>
      <c r="F99" s="579" t="s">
        <v>2551</v>
      </c>
      <c r="G99" s="526" t="s">
        <v>7075</v>
      </c>
      <c r="H99" s="573" t="s">
        <v>8217</v>
      </c>
      <c r="I99" s="580">
        <v>1.0</v>
      </c>
      <c r="J99" s="580"/>
      <c r="K99" s="573" t="s">
        <v>8292</v>
      </c>
      <c r="L99" s="578">
        <v>95.0</v>
      </c>
    </row>
    <row r="100" ht="14.25" customHeight="1">
      <c r="A100" s="429" t="s">
        <v>8160</v>
      </c>
      <c r="B100" s="429">
        <v>2024.0</v>
      </c>
      <c r="C100" s="429">
        <f t="shared" si="5"/>
        <v>6</v>
      </c>
      <c r="D100" s="576">
        <v>45453.0</v>
      </c>
      <c r="E100" s="579" t="s">
        <v>7515</v>
      </c>
      <c r="F100" s="579" t="s">
        <v>2551</v>
      </c>
      <c r="G100" s="526" t="s">
        <v>7611</v>
      </c>
      <c r="H100" s="573" t="s">
        <v>8293</v>
      </c>
      <c r="I100" s="577">
        <v>1.0</v>
      </c>
      <c r="J100" s="577"/>
      <c r="K100" s="573" t="s">
        <v>8292</v>
      </c>
      <c r="L100" s="578">
        <v>90.0</v>
      </c>
    </row>
    <row r="101" ht="14.25" customHeight="1">
      <c r="A101" s="429" t="s">
        <v>8160</v>
      </c>
      <c r="B101" s="429">
        <v>2024.0</v>
      </c>
      <c r="C101" s="429">
        <f t="shared" si="5"/>
        <v>6</v>
      </c>
      <c r="D101" s="554">
        <v>45455.0</v>
      </c>
      <c r="E101" s="540" t="s">
        <v>2578</v>
      </c>
      <c r="F101" s="540" t="s">
        <v>8294</v>
      </c>
      <c r="G101" s="534" t="s">
        <v>7059</v>
      </c>
      <c r="H101" s="541"/>
      <c r="I101" s="570">
        <v>1.0</v>
      </c>
      <c r="J101" s="570"/>
      <c r="K101" s="573" t="s">
        <v>8295</v>
      </c>
      <c r="L101" s="543">
        <v>85.0</v>
      </c>
    </row>
    <row r="102" ht="14.25" customHeight="1">
      <c r="A102" s="429" t="s">
        <v>8160</v>
      </c>
      <c r="B102" s="429">
        <v>2024.0</v>
      </c>
      <c r="C102" s="429">
        <f t="shared" si="5"/>
        <v>6</v>
      </c>
      <c r="D102" s="554">
        <v>45455.0</v>
      </c>
      <c r="E102" s="540" t="s">
        <v>2772</v>
      </c>
      <c r="F102" s="540" t="s">
        <v>8296</v>
      </c>
      <c r="G102" s="526" t="s">
        <v>7611</v>
      </c>
      <c r="H102" s="541" t="s">
        <v>7486</v>
      </c>
      <c r="I102" s="570">
        <v>1.0</v>
      </c>
      <c r="J102" s="570"/>
      <c r="K102" s="541" t="s">
        <v>8257</v>
      </c>
      <c r="L102" s="543">
        <v>80.0</v>
      </c>
    </row>
    <row r="103" ht="14.25" customHeight="1">
      <c r="A103" s="429" t="s">
        <v>8160</v>
      </c>
      <c r="B103" s="429">
        <v>2024.0</v>
      </c>
      <c r="C103" s="429">
        <f t="shared" si="5"/>
        <v>6</v>
      </c>
      <c r="D103" s="554">
        <v>45455.0</v>
      </c>
      <c r="E103" s="540" t="s">
        <v>8297</v>
      </c>
      <c r="F103" s="540"/>
      <c r="G103" s="534" t="s">
        <v>7106</v>
      </c>
      <c r="H103" s="541" t="s">
        <v>8298</v>
      </c>
      <c r="I103" s="570">
        <v>1.0</v>
      </c>
      <c r="J103" s="570"/>
      <c r="K103" s="541" t="s">
        <v>8257</v>
      </c>
      <c r="L103" s="543">
        <v>70.0</v>
      </c>
    </row>
    <row r="104" ht="14.25" customHeight="1">
      <c r="A104" s="429" t="s">
        <v>8160</v>
      </c>
      <c r="B104" s="429">
        <v>2024.0</v>
      </c>
      <c r="C104" s="429">
        <f t="shared" si="5"/>
        <v>6</v>
      </c>
      <c r="D104" s="554">
        <v>45455.0</v>
      </c>
      <c r="E104" s="540" t="s">
        <v>8297</v>
      </c>
      <c r="F104" s="540"/>
      <c r="G104" s="534" t="s">
        <v>7106</v>
      </c>
      <c r="H104" s="541" t="s">
        <v>8299</v>
      </c>
      <c r="I104" s="570">
        <v>1.0</v>
      </c>
      <c r="J104" s="570"/>
      <c r="K104" s="541" t="s">
        <v>8257</v>
      </c>
      <c r="L104" s="543">
        <v>70.0</v>
      </c>
    </row>
    <row r="105" ht="14.25" customHeight="1">
      <c r="A105" s="429" t="s">
        <v>8160</v>
      </c>
      <c r="B105" s="429">
        <v>2024.0</v>
      </c>
      <c r="C105" s="429">
        <f t="shared" si="5"/>
        <v>6</v>
      </c>
      <c r="D105" s="554">
        <v>45457.0</v>
      </c>
      <c r="E105" s="540" t="s">
        <v>8242</v>
      </c>
      <c r="F105" s="540" t="s">
        <v>8243</v>
      </c>
      <c r="G105" s="526" t="s">
        <v>7075</v>
      </c>
      <c r="H105" s="541" t="s">
        <v>230</v>
      </c>
      <c r="I105" s="570">
        <v>1.0</v>
      </c>
      <c r="J105" s="570"/>
      <c r="K105" s="541" t="s">
        <v>8300</v>
      </c>
      <c r="L105" s="543">
        <v>105.0</v>
      </c>
    </row>
    <row r="106" ht="14.25" customHeight="1">
      <c r="A106" s="429" t="s">
        <v>8160</v>
      </c>
      <c r="B106" s="429">
        <v>2024.0</v>
      </c>
      <c r="C106" s="429">
        <f t="shared" si="5"/>
        <v>6</v>
      </c>
      <c r="D106" s="554">
        <v>45457.0</v>
      </c>
      <c r="E106" s="540" t="s">
        <v>8242</v>
      </c>
      <c r="F106" s="540"/>
      <c r="G106" s="526" t="s">
        <v>7075</v>
      </c>
      <c r="H106" s="541" t="s">
        <v>8301</v>
      </c>
      <c r="I106" s="570">
        <v>1.0</v>
      </c>
      <c r="J106" s="570"/>
      <c r="K106" s="541" t="s">
        <v>8300</v>
      </c>
      <c r="L106" s="543">
        <v>105.0</v>
      </c>
    </row>
    <row r="107" ht="14.25" customHeight="1">
      <c r="A107" s="429" t="s">
        <v>8160</v>
      </c>
      <c r="B107" s="429">
        <v>2024.0</v>
      </c>
      <c r="C107" s="429">
        <f t="shared" si="5"/>
        <v>6</v>
      </c>
      <c r="D107" s="554">
        <v>45457.0</v>
      </c>
      <c r="E107" s="540" t="s">
        <v>2193</v>
      </c>
      <c r="F107" s="540" t="s">
        <v>8302</v>
      </c>
      <c r="G107" s="534" t="s">
        <v>7059</v>
      </c>
      <c r="H107" s="541"/>
      <c r="I107" s="570">
        <v>1.0</v>
      </c>
      <c r="J107" s="570"/>
      <c r="K107" s="541" t="s">
        <v>8303</v>
      </c>
      <c r="L107" s="543">
        <v>80.0</v>
      </c>
    </row>
    <row r="108" ht="14.25" customHeight="1">
      <c r="A108" s="429" t="s">
        <v>8304</v>
      </c>
      <c r="B108" s="429">
        <v>2024.0</v>
      </c>
      <c r="C108" s="429">
        <f t="shared" si="5"/>
        <v>6</v>
      </c>
      <c r="D108" s="564">
        <v>45460.0</v>
      </c>
      <c r="E108" s="581" t="s">
        <v>8305</v>
      </c>
      <c r="F108" s="581"/>
      <c r="G108" s="534" t="s">
        <v>7059</v>
      </c>
      <c r="H108" s="534" t="s">
        <v>8306</v>
      </c>
      <c r="I108" s="543">
        <v>1.0</v>
      </c>
      <c r="J108" s="543"/>
      <c r="K108" s="582" t="s">
        <v>7393</v>
      </c>
      <c r="L108" s="543">
        <v>85.0</v>
      </c>
    </row>
    <row r="109" ht="14.25" customHeight="1">
      <c r="A109" s="429" t="s">
        <v>8304</v>
      </c>
      <c r="B109" s="429">
        <v>2024.0</v>
      </c>
      <c r="C109" s="429">
        <f t="shared" si="5"/>
        <v>6</v>
      </c>
      <c r="D109" s="564">
        <v>45460.0</v>
      </c>
      <c r="E109" s="581" t="s">
        <v>8307</v>
      </c>
      <c r="F109" s="581" t="s">
        <v>8308</v>
      </c>
      <c r="G109" s="526" t="s">
        <v>7075</v>
      </c>
      <c r="H109" s="534" t="s">
        <v>8205</v>
      </c>
      <c r="I109" s="543">
        <v>1.0</v>
      </c>
      <c r="J109" s="543"/>
      <c r="K109" s="582" t="s">
        <v>7393</v>
      </c>
      <c r="L109" s="543">
        <v>90.0</v>
      </c>
    </row>
    <row r="110" ht="14.25" customHeight="1">
      <c r="A110" s="429" t="s">
        <v>8304</v>
      </c>
      <c r="B110" s="429">
        <v>2024.0</v>
      </c>
      <c r="C110" s="429">
        <f t="shared" si="5"/>
        <v>6</v>
      </c>
      <c r="D110" s="564">
        <v>45460.0</v>
      </c>
      <c r="E110" s="565" t="s">
        <v>8309</v>
      </c>
      <c r="F110" s="565" t="s">
        <v>8308</v>
      </c>
      <c r="G110" s="526" t="s">
        <v>7611</v>
      </c>
      <c r="H110" s="583" t="s">
        <v>7486</v>
      </c>
      <c r="I110" s="526">
        <v>1.0</v>
      </c>
      <c r="J110" s="526"/>
      <c r="K110" s="584" t="s">
        <v>7393</v>
      </c>
      <c r="L110" s="526">
        <v>80.0</v>
      </c>
    </row>
    <row r="111" ht="14.25" customHeight="1">
      <c r="A111" s="429" t="s">
        <v>8304</v>
      </c>
      <c r="B111" s="429">
        <v>2024.0</v>
      </c>
      <c r="C111" s="429">
        <f t="shared" si="5"/>
        <v>6</v>
      </c>
      <c r="D111" s="564">
        <v>45460.0</v>
      </c>
      <c r="E111" s="571" t="s">
        <v>2193</v>
      </c>
      <c r="F111" s="571" t="s">
        <v>8310</v>
      </c>
      <c r="G111" s="526" t="s">
        <v>7100</v>
      </c>
      <c r="H111" s="569" t="s">
        <v>248</v>
      </c>
      <c r="I111" s="570">
        <v>1.0</v>
      </c>
      <c r="J111" s="570"/>
      <c r="K111" s="584" t="s">
        <v>7393</v>
      </c>
      <c r="L111" s="543">
        <v>170.0</v>
      </c>
    </row>
    <row r="112" ht="14.25" customHeight="1">
      <c r="A112" s="429" t="s">
        <v>8304</v>
      </c>
      <c r="B112" s="429">
        <v>2024.0</v>
      </c>
      <c r="C112" s="429">
        <f t="shared" si="5"/>
        <v>6</v>
      </c>
      <c r="D112" s="564">
        <v>45460.0</v>
      </c>
      <c r="E112" s="571" t="s">
        <v>8242</v>
      </c>
      <c r="F112" s="571" t="s">
        <v>8243</v>
      </c>
      <c r="G112" s="526" t="s">
        <v>7075</v>
      </c>
      <c r="H112" s="541" t="s">
        <v>7092</v>
      </c>
      <c r="I112" s="570">
        <v>1.0</v>
      </c>
      <c r="J112" s="570"/>
      <c r="K112" s="585" t="s">
        <v>7393</v>
      </c>
      <c r="L112" s="543">
        <v>95.0</v>
      </c>
    </row>
    <row r="113" ht="14.25" customHeight="1">
      <c r="A113" s="429" t="s">
        <v>8304</v>
      </c>
      <c r="B113" s="429">
        <v>2024.0</v>
      </c>
      <c r="C113" s="429">
        <f t="shared" si="5"/>
        <v>6</v>
      </c>
      <c r="D113" s="576">
        <v>45460.0</v>
      </c>
      <c r="E113" s="572"/>
      <c r="F113" s="572"/>
      <c r="G113" s="534" t="s">
        <v>7106</v>
      </c>
      <c r="H113" s="541" t="s">
        <v>8311</v>
      </c>
      <c r="I113" s="570">
        <v>1.0</v>
      </c>
      <c r="J113" s="570"/>
      <c r="K113" s="585" t="s">
        <v>7393</v>
      </c>
      <c r="L113" s="543">
        <v>75.0</v>
      </c>
    </row>
    <row r="114" ht="14.25" customHeight="1">
      <c r="A114" s="429" t="s">
        <v>8304</v>
      </c>
      <c r="B114" s="429">
        <v>2024.0</v>
      </c>
      <c r="C114" s="429">
        <f t="shared" si="5"/>
        <v>6</v>
      </c>
      <c r="D114" s="564">
        <v>45460.0</v>
      </c>
      <c r="E114" s="571" t="s">
        <v>8312</v>
      </c>
      <c r="F114" s="571" t="s">
        <v>8313</v>
      </c>
      <c r="G114" s="526" t="s">
        <v>7100</v>
      </c>
      <c r="H114" s="569" t="s">
        <v>2853</v>
      </c>
      <c r="I114" s="570">
        <v>1.0</v>
      </c>
      <c r="J114" s="570"/>
      <c r="K114" s="541" t="s">
        <v>7393</v>
      </c>
      <c r="L114" s="543">
        <v>170.0</v>
      </c>
    </row>
    <row r="115" ht="14.25" customHeight="1">
      <c r="A115" s="429" t="s">
        <v>8304</v>
      </c>
      <c r="B115" s="429">
        <v>2024.0</v>
      </c>
      <c r="C115" s="429">
        <f t="shared" si="5"/>
        <v>6</v>
      </c>
      <c r="D115" s="564">
        <v>45460.0</v>
      </c>
      <c r="E115" s="571" t="s">
        <v>8314</v>
      </c>
      <c r="F115" s="571" t="s">
        <v>8315</v>
      </c>
      <c r="G115" s="534" t="s">
        <v>7106</v>
      </c>
      <c r="H115" s="541" t="s">
        <v>8316</v>
      </c>
      <c r="I115" s="570">
        <v>1.0</v>
      </c>
      <c r="J115" s="570"/>
      <c r="K115" s="541" t="s">
        <v>7393</v>
      </c>
      <c r="L115" s="543">
        <v>75.0</v>
      </c>
    </row>
    <row r="116" ht="14.25" customHeight="1">
      <c r="A116" s="429" t="s">
        <v>8304</v>
      </c>
      <c r="B116" s="429">
        <v>2024.0</v>
      </c>
      <c r="C116" s="429">
        <f t="shared" si="5"/>
        <v>6</v>
      </c>
      <c r="D116" s="564">
        <v>45460.0</v>
      </c>
      <c r="E116" s="571" t="s">
        <v>8317</v>
      </c>
      <c r="F116" s="571"/>
      <c r="G116" s="526" t="s">
        <v>7100</v>
      </c>
      <c r="H116" s="569" t="s">
        <v>259</v>
      </c>
      <c r="I116" s="586">
        <v>1.0</v>
      </c>
      <c r="J116" s="586"/>
      <c r="K116" s="587" t="s">
        <v>8201</v>
      </c>
      <c r="L116" s="588">
        <v>150.0</v>
      </c>
    </row>
    <row r="117" ht="14.25" customHeight="1">
      <c r="A117" s="429" t="s">
        <v>8304</v>
      </c>
      <c r="B117" s="429">
        <v>2024.0</v>
      </c>
      <c r="C117" s="429">
        <f t="shared" si="5"/>
        <v>6</v>
      </c>
      <c r="D117" s="564">
        <v>45460.0</v>
      </c>
      <c r="E117" s="581" t="s">
        <v>2768</v>
      </c>
      <c r="F117" s="581" t="s">
        <v>2769</v>
      </c>
      <c r="G117" s="534" t="s">
        <v>7059</v>
      </c>
      <c r="H117" s="541" t="s">
        <v>8318</v>
      </c>
      <c r="I117" s="570">
        <v>1.0</v>
      </c>
      <c r="J117" s="570"/>
      <c r="K117" s="534" t="s">
        <v>7393</v>
      </c>
      <c r="L117" s="543">
        <v>90.0</v>
      </c>
    </row>
    <row r="118" ht="14.25" customHeight="1">
      <c r="A118" s="429" t="s">
        <v>8304</v>
      </c>
      <c r="B118" s="429">
        <v>2024.0</v>
      </c>
      <c r="C118" s="429">
        <f t="shared" si="5"/>
        <v>6</v>
      </c>
      <c r="D118" s="564">
        <v>45461.0</v>
      </c>
      <c r="E118" s="581" t="s">
        <v>7530</v>
      </c>
      <c r="F118" s="581" t="s">
        <v>8319</v>
      </c>
      <c r="G118" s="534" t="s">
        <v>8320</v>
      </c>
      <c r="H118" s="541" t="s">
        <v>8321</v>
      </c>
      <c r="I118" s="570">
        <v>1.0</v>
      </c>
      <c r="J118" s="570"/>
      <c r="K118" s="541" t="s">
        <v>7393</v>
      </c>
      <c r="L118" s="543">
        <v>50.0</v>
      </c>
    </row>
    <row r="119" ht="14.25" customHeight="1">
      <c r="A119" s="429" t="s">
        <v>8304</v>
      </c>
      <c r="B119" s="429">
        <v>2024.0</v>
      </c>
      <c r="C119" s="429">
        <f t="shared" si="5"/>
        <v>6</v>
      </c>
      <c r="D119" s="564">
        <v>45461.0</v>
      </c>
      <c r="E119" s="581" t="s">
        <v>2586</v>
      </c>
      <c r="F119" s="581" t="s">
        <v>8322</v>
      </c>
      <c r="G119" s="526" t="s">
        <v>7611</v>
      </c>
      <c r="H119" s="541" t="s">
        <v>8323</v>
      </c>
      <c r="I119" s="570">
        <v>1.0</v>
      </c>
      <c r="J119" s="570"/>
      <c r="K119" s="541" t="s">
        <v>7393</v>
      </c>
      <c r="L119" s="543">
        <v>90.0</v>
      </c>
    </row>
    <row r="120" ht="14.25" customHeight="1">
      <c r="A120" s="429" t="s">
        <v>8304</v>
      </c>
      <c r="B120" s="429">
        <v>2024.0</v>
      </c>
      <c r="C120" s="429">
        <f t="shared" si="5"/>
        <v>6</v>
      </c>
      <c r="D120" s="564">
        <v>45461.0</v>
      </c>
      <c r="E120" s="581" t="s">
        <v>2780</v>
      </c>
      <c r="F120" s="581" t="s">
        <v>8324</v>
      </c>
      <c r="G120" s="526" t="s">
        <v>7100</v>
      </c>
      <c r="H120" s="526" t="s">
        <v>248</v>
      </c>
      <c r="I120" s="543">
        <v>1.0</v>
      </c>
      <c r="J120" s="570"/>
      <c r="K120" s="541" t="s">
        <v>7393</v>
      </c>
      <c r="L120" s="543">
        <v>160.0</v>
      </c>
    </row>
    <row r="121" ht="14.25" customHeight="1">
      <c r="A121" s="429" t="s">
        <v>8304</v>
      </c>
      <c r="B121" s="429">
        <v>2024.0</v>
      </c>
      <c r="C121" s="429">
        <f t="shared" si="5"/>
        <v>6</v>
      </c>
      <c r="D121" s="564">
        <v>45461.0</v>
      </c>
      <c r="E121" s="581" t="s">
        <v>7398</v>
      </c>
      <c r="F121" s="581" t="s">
        <v>8325</v>
      </c>
      <c r="G121" s="526" t="s">
        <v>6613</v>
      </c>
      <c r="H121" s="534" t="s">
        <v>8326</v>
      </c>
      <c r="I121" s="543">
        <v>1.0</v>
      </c>
      <c r="J121" s="543"/>
      <c r="K121" s="534" t="s">
        <v>7393</v>
      </c>
      <c r="L121" s="543">
        <v>70.0</v>
      </c>
    </row>
    <row r="122" ht="14.25" customHeight="1">
      <c r="A122" s="429" t="s">
        <v>8304</v>
      </c>
      <c r="B122" s="429">
        <v>2024.0</v>
      </c>
      <c r="C122" s="429">
        <f t="shared" si="5"/>
        <v>6</v>
      </c>
      <c r="D122" s="564">
        <v>45461.0</v>
      </c>
      <c r="E122" s="581" t="s">
        <v>8327</v>
      </c>
      <c r="F122" s="581" t="s">
        <v>8328</v>
      </c>
      <c r="G122" s="526" t="s">
        <v>7075</v>
      </c>
      <c r="H122" s="534" t="s">
        <v>8217</v>
      </c>
      <c r="I122" s="543">
        <v>1.0</v>
      </c>
      <c r="J122" s="543"/>
      <c r="K122" s="534" t="s">
        <v>7393</v>
      </c>
      <c r="L122" s="543">
        <v>95.0</v>
      </c>
    </row>
    <row r="123" ht="14.25" customHeight="1">
      <c r="A123" s="429" t="s">
        <v>8304</v>
      </c>
      <c r="B123" s="429">
        <v>2024.0</v>
      </c>
      <c r="C123" s="429">
        <f t="shared" si="5"/>
        <v>6</v>
      </c>
      <c r="D123" s="564">
        <v>45461.0</v>
      </c>
      <c r="E123" s="581" t="s">
        <v>8329</v>
      </c>
      <c r="F123" s="581"/>
      <c r="G123" s="534" t="s">
        <v>7106</v>
      </c>
      <c r="H123" s="534" t="s">
        <v>8330</v>
      </c>
      <c r="I123" s="543">
        <v>1.0</v>
      </c>
      <c r="J123" s="543"/>
      <c r="K123" s="534" t="s">
        <v>2511</v>
      </c>
      <c r="L123" s="543">
        <v>85.0</v>
      </c>
    </row>
    <row r="124" ht="14.25" customHeight="1">
      <c r="A124" s="429" t="s">
        <v>8304</v>
      </c>
      <c r="B124" s="429">
        <v>2024.0</v>
      </c>
      <c r="C124" s="429">
        <f t="shared" si="5"/>
        <v>6</v>
      </c>
      <c r="D124" s="564">
        <v>45462.0</v>
      </c>
      <c r="E124" s="581" t="s">
        <v>2772</v>
      </c>
      <c r="F124" s="581" t="s">
        <v>8331</v>
      </c>
      <c r="G124" s="526" t="s">
        <v>7075</v>
      </c>
      <c r="H124" s="534" t="s">
        <v>8332</v>
      </c>
      <c r="I124" s="543">
        <v>1.0</v>
      </c>
      <c r="J124" s="543"/>
      <c r="K124" s="534" t="s">
        <v>7393</v>
      </c>
      <c r="L124" s="543">
        <v>100.0</v>
      </c>
    </row>
    <row r="125" ht="14.25" customHeight="1">
      <c r="A125" s="429" t="s">
        <v>8304</v>
      </c>
      <c r="B125" s="429">
        <v>2024.0</v>
      </c>
      <c r="C125" s="429">
        <f t="shared" si="5"/>
        <v>6</v>
      </c>
      <c r="D125" s="564">
        <v>45462.0</v>
      </c>
      <c r="E125" s="581" t="s">
        <v>8333</v>
      </c>
      <c r="F125" s="581" t="s">
        <v>8334</v>
      </c>
      <c r="G125" s="526" t="s">
        <v>7611</v>
      </c>
      <c r="H125" s="534" t="s">
        <v>8293</v>
      </c>
      <c r="I125" s="543">
        <v>1.0</v>
      </c>
      <c r="J125" s="543"/>
      <c r="K125" s="534" t="s">
        <v>7393</v>
      </c>
      <c r="L125" s="543">
        <v>80.0</v>
      </c>
    </row>
    <row r="126" ht="14.25" customHeight="1">
      <c r="A126" s="429" t="s">
        <v>8304</v>
      </c>
      <c r="B126" s="429">
        <v>2024.0</v>
      </c>
      <c r="C126" s="429">
        <f t="shared" si="5"/>
        <v>6</v>
      </c>
      <c r="D126" s="564">
        <v>45462.0</v>
      </c>
      <c r="E126" s="581" t="s">
        <v>8335</v>
      </c>
      <c r="F126" s="581" t="s">
        <v>8336</v>
      </c>
      <c r="G126" s="526" t="s">
        <v>7075</v>
      </c>
      <c r="H126" s="534" t="s">
        <v>8332</v>
      </c>
      <c r="I126" s="543">
        <v>1.0</v>
      </c>
      <c r="J126" s="543"/>
      <c r="K126" s="534" t="s">
        <v>2511</v>
      </c>
      <c r="L126" s="543">
        <v>90.0</v>
      </c>
    </row>
    <row r="127" ht="14.25" customHeight="1">
      <c r="A127" s="429" t="s">
        <v>8304</v>
      </c>
      <c r="B127" s="429">
        <v>2024.0</v>
      </c>
      <c r="C127" s="429">
        <f t="shared" si="5"/>
        <v>6</v>
      </c>
      <c r="D127" s="564">
        <v>45462.0</v>
      </c>
      <c r="E127" s="581" t="s">
        <v>2582</v>
      </c>
      <c r="F127" s="581"/>
      <c r="G127" s="534" t="s">
        <v>7059</v>
      </c>
      <c r="H127" s="534" t="s">
        <v>8337</v>
      </c>
      <c r="I127" s="543">
        <v>1.0</v>
      </c>
      <c r="J127" s="543"/>
      <c r="K127" s="534" t="s">
        <v>2511</v>
      </c>
      <c r="L127" s="543">
        <v>80.0</v>
      </c>
    </row>
    <row r="128" ht="14.25" customHeight="1">
      <c r="A128" s="429" t="s">
        <v>8304</v>
      </c>
      <c r="B128" s="429">
        <v>2024.0</v>
      </c>
      <c r="C128" s="429">
        <v>6.0</v>
      </c>
      <c r="D128" s="589" t="s">
        <v>8338</v>
      </c>
      <c r="E128" s="581" t="s">
        <v>8339</v>
      </c>
      <c r="F128" s="581">
        <v>3.485665322E9</v>
      </c>
      <c r="G128" s="534"/>
      <c r="H128" s="534"/>
      <c r="I128" s="543"/>
      <c r="J128" s="543"/>
      <c r="K128" s="534"/>
      <c r="L128" s="543"/>
    </row>
    <row r="129" ht="14.25" customHeight="1">
      <c r="A129" s="429" t="s">
        <v>8304</v>
      </c>
      <c r="B129" s="429">
        <v>2024.0</v>
      </c>
      <c r="C129" s="429">
        <f t="shared" ref="C129:C159" si="6">MONTH(D129)</f>
        <v>6</v>
      </c>
      <c r="D129" s="564">
        <v>45462.0</v>
      </c>
      <c r="E129" s="581" t="s">
        <v>8340</v>
      </c>
      <c r="F129" s="581" t="s">
        <v>7592</v>
      </c>
      <c r="G129" s="526" t="s">
        <v>7100</v>
      </c>
      <c r="H129" s="526" t="s">
        <v>248</v>
      </c>
      <c r="I129" s="543">
        <v>1.0</v>
      </c>
      <c r="J129" s="543"/>
      <c r="K129" s="534" t="s">
        <v>2584</v>
      </c>
      <c r="L129" s="543"/>
    </row>
    <row r="130" ht="14.25" customHeight="1">
      <c r="A130" s="429" t="s">
        <v>8304</v>
      </c>
      <c r="B130" s="429">
        <v>2024.0</v>
      </c>
      <c r="C130" s="429">
        <f t="shared" si="6"/>
        <v>6</v>
      </c>
      <c r="D130" s="564">
        <v>45462.0</v>
      </c>
      <c r="E130" s="581" t="s">
        <v>2566</v>
      </c>
      <c r="F130" s="581" t="s">
        <v>8341</v>
      </c>
      <c r="G130" s="526" t="s">
        <v>7075</v>
      </c>
      <c r="H130" s="534" t="s">
        <v>8342</v>
      </c>
      <c r="I130" s="543">
        <v>1.0</v>
      </c>
      <c r="J130" s="543"/>
      <c r="K130" s="534" t="s">
        <v>8211</v>
      </c>
      <c r="L130" s="543">
        <v>115.0</v>
      </c>
    </row>
    <row r="131" ht="14.25" customHeight="1">
      <c r="A131" s="429" t="s">
        <v>8304</v>
      </c>
      <c r="B131" s="429">
        <v>2024.0</v>
      </c>
      <c r="C131" s="429">
        <f t="shared" si="6"/>
        <v>6</v>
      </c>
      <c r="D131" s="564">
        <v>45462.0</v>
      </c>
      <c r="E131" s="581" t="s">
        <v>8343</v>
      </c>
      <c r="F131" s="581" t="s">
        <v>8344</v>
      </c>
      <c r="G131" s="526" t="s">
        <v>7100</v>
      </c>
      <c r="H131" s="526" t="s">
        <v>248</v>
      </c>
      <c r="I131" s="534">
        <v>1.0</v>
      </c>
      <c r="J131" s="534"/>
      <c r="K131" s="534" t="s">
        <v>7393</v>
      </c>
      <c r="L131" s="534">
        <v>170.0</v>
      </c>
    </row>
    <row r="132" ht="14.25" customHeight="1">
      <c r="A132" s="429" t="s">
        <v>8304</v>
      </c>
      <c r="B132" s="429">
        <v>2024.0</v>
      </c>
      <c r="C132" s="429">
        <f t="shared" si="6"/>
        <v>6</v>
      </c>
      <c r="D132" s="564">
        <v>45462.0</v>
      </c>
      <c r="E132" s="581" t="s">
        <v>7429</v>
      </c>
      <c r="F132" s="581" t="s">
        <v>8345</v>
      </c>
      <c r="G132" s="526" t="s">
        <v>7075</v>
      </c>
      <c r="H132" s="534" t="s">
        <v>8346</v>
      </c>
      <c r="I132" s="543">
        <v>1.0</v>
      </c>
      <c r="J132" s="543"/>
      <c r="K132" s="534" t="s">
        <v>7393</v>
      </c>
      <c r="L132" s="543">
        <v>110.0</v>
      </c>
    </row>
    <row r="133" ht="14.25" customHeight="1">
      <c r="A133" s="429" t="s">
        <v>8304</v>
      </c>
      <c r="B133" s="429">
        <v>2024.0</v>
      </c>
      <c r="C133" s="429">
        <f t="shared" si="6"/>
        <v>6</v>
      </c>
      <c r="D133" s="564">
        <v>45462.0</v>
      </c>
      <c r="E133" s="581" t="s">
        <v>2772</v>
      </c>
      <c r="F133" s="581" t="s">
        <v>7696</v>
      </c>
      <c r="G133" s="526" t="s">
        <v>7611</v>
      </c>
      <c r="H133" s="534" t="s">
        <v>8347</v>
      </c>
      <c r="I133" s="543">
        <v>1.0</v>
      </c>
      <c r="J133" s="543"/>
      <c r="K133" s="534" t="s">
        <v>7393</v>
      </c>
      <c r="L133" s="543">
        <v>90.0</v>
      </c>
    </row>
    <row r="134" ht="14.25" customHeight="1">
      <c r="A134" s="429" t="s">
        <v>8304</v>
      </c>
      <c r="B134" s="429">
        <v>2024.0</v>
      </c>
      <c r="C134" s="429">
        <f t="shared" si="6"/>
        <v>6</v>
      </c>
      <c r="D134" s="564">
        <v>45462.0</v>
      </c>
      <c r="E134" s="581" t="s">
        <v>8348</v>
      </c>
      <c r="F134" s="581" t="s">
        <v>8349</v>
      </c>
      <c r="G134" s="526" t="s">
        <v>7075</v>
      </c>
      <c r="H134" s="534" t="s">
        <v>8332</v>
      </c>
      <c r="I134" s="543">
        <v>1.0</v>
      </c>
      <c r="J134" s="543"/>
      <c r="K134" s="534" t="s">
        <v>7393</v>
      </c>
      <c r="L134" s="543">
        <v>100.0</v>
      </c>
    </row>
    <row r="135" ht="14.25" customHeight="1">
      <c r="A135" s="429" t="s">
        <v>8304</v>
      </c>
      <c r="B135" s="429">
        <v>2024.0</v>
      </c>
      <c r="C135" s="429">
        <f t="shared" si="6"/>
        <v>6</v>
      </c>
      <c r="D135" s="564">
        <v>45462.0</v>
      </c>
      <c r="E135" s="581" t="s">
        <v>7583</v>
      </c>
      <c r="F135" s="581" t="s">
        <v>8350</v>
      </c>
      <c r="G135" s="534" t="s">
        <v>8320</v>
      </c>
      <c r="H135" s="534" t="s">
        <v>8321</v>
      </c>
      <c r="I135" s="543">
        <v>1.0</v>
      </c>
      <c r="J135" s="543"/>
      <c r="K135" s="534" t="s">
        <v>7393</v>
      </c>
      <c r="L135" s="543">
        <v>60.0</v>
      </c>
    </row>
    <row r="136" ht="14.25" customHeight="1">
      <c r="A136" s="429" t="s">
        <v>8304</v>
      </c>
      <c r="B136" s="429">
        <v>2024.0</v>
      </c>
      <c r="C136" s="429">
        <f t="shared" si="6"/>
        <v>6</v>
      </c>
      <c r="D136" s="564">
        <v>45462.0</v>
      </c>
      <c r="E136" s="581" t="s">
        <v>7687</v>
      </c>
      <c r="F136" s="581" t="s">
        <v>8351</v>
      </c>
      <c r="G136" s="534" t="s">
        <v>7106</v>
      </c>
      <c r="H136" s="534" t="s">
        <v>8352</v>
      </c>
      <c r="I136" s="543">
        <v>1.0</v>
      </c>
      <c r="J136" s="543"/>
      <c r="K136" s="534" t="s">
        <v>7393</v>
      </c>
      <c r="L136" s="543">
        <v>75.0</v>
      </c>
    </row>
    <row r="137" ht="14.25" customHeight="1">
      <c r="A137" s="429" t="s">
        <v>8304</v>
      </c>
      <c r="B137" s="429">
        <v>2024.0</v>
      </c>
      <c r="C137" s="429">
        <f t="shared" si="6"/>
        <v>6</v>
      </c>
      <c r="D137" s="564">
        <v>45463.0</v>
      </c>
      <c r="E137" s="581" t="s">
        <v>8353</v>
      </c>
      <c r="F137" s="581" t="s">
        <v>8354</v>
      </c>
      <c r="G137" s="534" t="s">
        <v>7106</v>
      </c>
      <c r="H137" s="534" t="s">
        <v>8355</v>
      </c>
      <c r="I137" s="543">
        <v>1.0</v>
      </c>
      <c r="J137" s="543"/>
      <c r="K137" s="534" t="s">
        <v>7393</v>
      </c>
      <c r="L137" s="543">
        <v>75.0</v>
      </c>
    </row>
    <row r="138" ht="14.25" customHeight="1">
      <c r="A138" s="429" t="s">
        <v>8304</v>
      </c>
      <c r="B138" s="429">
        <v>2024.0</v>
      </c>
      <c r="C138" s="429">
        <f t="shared" si="6"/>
        <v>6</v>
      </c>
      <c r="D138" s="564">
        <v>45463.0</v>
      </c>
      <c r="E138" s="581" t="s">
        <v>8356</v>
      </c>
      <c r="F138" s="581" t="s">
        <v>8357</v>
      </c>
      <c r="G138" s="526" t="s">
        <v>7075</v>
      </c>
      <c r="H138" s="534" t="s">
        <v>8217</v>
      </c>
      <c r="I138" s="543">
        <v>1.0</v>
      </c>
      <c r="J138" s="543"/>
      <c r="K138" s="534" t="s">
        <v>7393</v>
      </c>
      <c r="L138" s="543">
        <v>110.0</v>
      </c>
    </row>
    <row r="139" ht="14.25" customHeight="1">
      <c r="A139" s="429" t="s">
        <v>8304</v>
      </c>
      <c r="B139" s="429">
        <v>2024.0</v>
      </c>
      <c r="C139" s="429">
        <f t="shared" si="6"/>
        <v>6</v>
      </c>
      <c r="D139" s="564">
        <v>45463.0</v>
      </c>
      <c r="E139" s="581" t="s">
        <v>2668</v>
      </c>
      <c r="F139" s="581" t="s">
        <v>8358</v>
      </c>
      <c r="G139" s="534" t="s">
        <v>7106</v>
      </c>
      <c r="H139" s="534" t="s">
        <v>8359</v>
      </c>
      <c r="I139" s="543">
        <v>1.0</v>
      </c>
      <c r="J139" s="543"/>
      <c r="K139" s="534" t="s">
        <v>7393</v>
      </c>
      <c r="L139" s="543">
        <v>75.0</v>
      </c>
    </row>
    <row r="140" ht="14.25" customHeight="1">
      <c r="A140" s="429" t="s">
        <v>8304</v>
      </c>
      <c r="B140" s="429">
        <v>2024.0</v>
      </c>
      <c r="C140" s="429">
        <f t="shared" si="6"/>
        <v>6</v>
      </c>
      <c r="D140" s="564">
        <v>45463.0</v>
      </c>
      <c r="E140" s="581" t="s">
        <v>8187</v>
      </c>
      <c r="F140" s="581" t="s">
        <v>8360</v>
      </c>
      <c r="G140" s="526" t="s">
        <v>7611</v>
      </c>
      <c r="H140" s="534" t="s">
        <v>8361</v>
      </c>
      <c r="I140" s="543">
        <v>1.0</v>
      </c>
      <c r="J140" s="543"/>
      <c r="K140" s="534" t="s">
        <v>7393</v>
      </c>
      <c r="L140" s="543">
        <v>80.0</v>
      </c>
    </row>
    <row r="141" ht="14.25" customHeight="1">
      <c r="A141" s="429" t="s">
        <v>8304</v>
      </c>
      <c r="B141" s="429">
        <v>2024.0</v>
      </c>
      <c r="C141" s="429">
        <f t="shared" si="6"/>
        <v>6</v>
      </c>
      <c r="D141" s="564">
        <v>45463.0</v>
      </c>
      <c r="E141" s="581" t="s">
        <v>7436</v>
      </c>
      <c r="F141" s="581" t="s">
        <v>8362</v>
      </c>
      <c r="G141" s="526" t="s">
        <v>7100</v>
      </c>
      <c r="H141" s="526" t="s">
        <v>248</v>
      </c>
      <c r="I141" s="543">
        <v>1.0</v>
      </c>
      <c r="J141" s="543"/>
      <c r="K141" s="534" t="s">
        <v>7393</v>
      </c>
      <c r="L141" s="543">
        <v>170.0</v>
      </c>
    </row>
    <row r="142" ht="14.25" customHeight="1">
      <c r="A142" s="429" t="s">
        <v>8304</v>
      </c>
      <c r="B142" s="429">
        <v>2024.0</v>
      </c>
      <c r="C142" s="429">
        <f t="shared" si="6"/>
        <v>6</v>
      </c>
      <c r="D142" s="564">
        <v>45463.0</v>
      </c>
      <c r="E142" s="581" t="s">
        <v>7417</v>
      </c>
      <c r="F142" s="581" t="s">
        <v>8363</v>
      </c>
      <c r="G142" s="534" t="s">
        <v>7106</v>
      </c>
      <c r="H142" s="534" t="s">
        <v>8359</v>
      </c>
      <c r="I142" s="543">
        <v>1.0</v>
      </c>
      <c r="J142" s="543"/>
      <c r="K142" s="534" t="s">
        <v>7393</v>
      </c>
      <c r="L142" s="543">
        <v>75.0</v>
      </c>
    </row>
    <row r="143" ht="14.25" customHeight="1">
      <c r="A143" s="429" t="s">
        <v>8304</v>
      </c>
      <c r="B143" s="429">
        <v>2024.0</v>
      </c>
      <c r="C143" s="429">
        <f t="shared" si="6"/>
        <v>6</v>
      </c>
      <c r="D143" s="564">
        <v>45464.0</v>
      </c>
      <c r="E143" s="581" t="s">
        <v>7414</v>
      </c>
      <c r="F143" s="581" t="s">
        <v>8364</v>
      </c>
      <c r="G143" s="526" t="s">
        <v>7100</v>
      </c>
      <c r="H143" s="526" t="s">
        <v>8365</v>
      </c>
      <c r="I143" s="543">
        <v>1.0</v>
      </c>
      <c r="J143" s="543"/>
      <c r="K143" s="534" t="s">
        <v>7393</v>
      </c>
      <c r="L143" s="543">
        <v>170.0</v>
      </c>
    </row>
    <row r="144" ht="14.25" customHeight="1">
      <c r="A144" s="429" t="s">
        <v>8304</v>
      </c>
      <c r="B144" s="429">
        <v>2024.0</v>
      </c>
      <c r="C144" s="429">
        <f t="shared" si="6"/>
        <v>6</v>
      </c>
      <c r="D144" s="564">
        <v>45464.0</v>
      </c>
      <c r="E144" s="565" t="s">
        <v>7429</v>
      </c>
      <c r="F144" s="565" t="s">
        <v>8366</v>
      </c>
      <c r="G144" s="526" t="s">
        <v>7611</v>
      </c>
      <c r="H144" s="534" t="s">
        <v>7643</v>
      </c>
      <c r="I144" s="526">
        <v>1.0</v>
      </c>
      <c r="J144" s="526"/>
      <c r="K144" s="534" t="s">
        <v>7393</v>
      </c>
      <c r="L144" s="526">
        <v>80.0</v>
      </c>
    </row>
    <row r="145" ht="14.25" customHeight="1">
      <c r="A145" s="429" t="s">
        <v>8304</v>
      </c>
      <c r="B145" s="429">
        <v>2024.0</v>
      </c>
      <c r="C145" s="429">
        <f t="shared" si="6"/>
        <v>6</v>
      </c>
      <c r="D145" s="564">
        <v>45464.0</v>
      </c>
      <c r="E145" s="565" t="s">
        <v>7429</v>
      </c>
      <c r="F145" s="565" t="s">
        <v>8366</v>
      </c>
      <c r="G145" s="534" t="s">
        <v>7106</v>
      </c>
      <c r="H145" s="534" t="s">
        <v>8352</v>
      </c>
      <c r="I145" s="526">
        <v>1.0</v>
      </c>
      <c r="J145" s="526"/>
      <c r="K145" s="534" t="s">
        <v>7393</v>
      </c>
      <c r="L145" s="526">
        <v>75.0</v>
      </c>
    </row>
    <row r="146" ht="14.25" customHeight="1">
      <c r="A146" s="429" t="s">
        <v>8304</v>
      </c>
      <c r="B146" s="429">
        <v>2024.0</v>
      </c>
      <c r="C146" s="429">
        <f t="shared" si="6"/>
        <v>6</v>
      </c>
      <c r="D146" s="564">
        <v>45464.0</v>
      </c>
      <c r="E146" s="565" t="s">
        <v>8329</v>
      </c>
      <c r="F146" s="565"/>
      <c r="G146" s="526" t="s">
        <v>7075</v>
      </c>
      <c r="H146" s="534" t="s">
        <v>8367</v>
      </c>
      <c r="I146" s="526">
        <v>1.0</v>
      </c>
      <c r="J146" s="526"/>
      <c r="K146" s="534" t="s">
        <v>2511</v>
      </c>
      <c r="L146" s="549">
        <v>100.0</v>
      </c>
    </row>
    <row r="147" ht="14.25" customHeight="1">
      <c r="A147" s="429" t="s">
        <v>8304</v>
      </c>
      <c r="B147" s="429">
        <v>2024.0</v>
      </c>
      <c r="C147" s="429">
        <f t="shared" si="6"/>
        <v>6</v>
      </c>
      <c r="D147" s="564">
        <v>45464.0</v>
      </c>
      <c r="E147" s="590" t="s">
        <v>8368</v>
      </c>
      <c r="F147" s="590"/>
      <c r="G147" s="534" t="s">
        <v>7106</v>
      </c>
      <c r="H147" s="541" t="s">
        <v>8369</v>
      </c>
      <c r="I147" s="541">
        <v>1.0</v>
      </c>
      <c r="J147" s="541"/>
      <c r="K147" s="534" t="s">
        <v>7393</v>
      </c>
      <c r="L147" s="591">
        <v>75.0</v>
      </c>
    </row>
    <row r="148" ht="14.25" customHeight="1">
      <c r="A148" s="429" t="s">
        <v>8304</v>
      </c>
      <c r="B148" s="429">
        <v>2024.0</v>
      </c>
      <c r="C148" s="429">
        <f t="shared" si="6"/>
        <v>6</v>
      </c>
      <c r="D148" s="564">
        <v>45464.0</v>
      </c>
      <c r="E148" s="590" t="s">
        <v>2772</v>
      </c>
      <c r="F148" s="590" t="s">
        <v>2773</v>
      </c>
      <c r="G148" s="534" t="s">
        <v>7106</v>
      </c>
      <c r="H148" s="541" t="s">
        <v>8370</v>
      </c>
      <c r="I148" s="541">
        <v>1.0</v>
      </c>
      <c r="J148" s="541"/>
      <c r="K148" s="534" t="s">
        <v>2511</v>
      </c>
      <c r="L148" s="591">
        <v>65.0</v>
      </c>
    </row>
    <row r="149" ht="14.25" customHeight="1">
      <c r="A149" s="429" t="s">
        <v>8304</v>
      </c>
      <c r="B149" s="429">
        <v>2024.0</v>
      </c>
      <c r="C149" s="429">
        <f t="shared" si="6"/>
        <v>6</v>
      </c>
      <c r="D149" s="564">
        <v>45464.0</v>
      </c>
      <c r="E149" s="590" t="s">
        <v>7805</v>
      </c>
      <c r="F149" s="590" t="s">
        <v>8371</v>
      </c>
      <c r="G149" s="526" t="s">
        <v>7611</v>
      </c>
      <c r="H149" s="541" t="s">
        <v>7643</v>
      </c>
      <c r="I149" s="541">
        <v>1.0</v>
      </c>
      <c r="J149" s="541"/>
      <c r="K149" s="541" t="s">
        <v>7393</v>
      </c>
      <c r="L149" s="591">
        <v>80.0</v>
      </c>
    </row>
    <row r="150" ht="14.25" customHeight="1">
      <c r="A150" s="429" t="s">
        <v>8304</v>
      </c>
      <c r="B150" s="429">
        <v>2024.0</v>
      </c>
      <c r="C150" s="429">
        <f t="shared" si="6"/>
        <v>6</v>
      </c>
      <c r="D150" s="564">
        <v>45465.0</v>
      </c>
      <c r="E150" s="581"/>
      <c r="F150" s="581"/>
      <c r="G150" s="526" t="s">
        <v>7075</v>
      </c>
      <c r="H150" s="534" t="s">
        <v>8372</v>
      </c>
      <c r="I150" s="534">
        <v>1.0</v>
      </c>
      <c r="J150" s="541"/>
      <c r="K150" s="541" t="s">
        <v>7393</v>
      </c>
      <c r="L150" s="534">
        <v>110.0</v>
      </c>
    </row>
    <row r="151" ht="14.25" customHeight="1">
      <c r="A151" s="429" t="s">
        <v>8304</v>
      </c>
      <c r="B151" s="429">
        <v>2024.0</v>
      </c>
      <c r="C151" s="429">
        <f t="shared" si="6"/>
        <v>6</v>
      </c>
      <c r="D151" s="564">
        <v>45465.0</v>
      </c>
      <c r="E151" s="565" t="s">
        <v>7600</v>
      </c>
      <c r="F151" s="565" t="s">
        <v>8373</v>
      </c>
      <c r="G151" s="526" t="s">
        <v>7611</v>
      </c>
      <c r="H151" s="534" t="s">
        <v>7643</v>
      </c>
      <c r="I151" s="526">
        <v>1.0</v>
      </c>
      <c r="J151" s="569"/>
      <c r="K151" s="541" t="s">
        <v>7393</v>
      </c>
      <c r="L151" s="526">
        <v>80.0</v>
      </c>
    </row>
    <row r="152" ht="14.25" customHeight="1">
      <c r="A152" s="429" t="s">
        <v>8304</v>
      </c>
      <c r="B152" s="429">
        <v>2024.0</v>
      </c>
      <c r="C152" s="429">
        <f t="shared" si="6"/>
        <v>6</v>
      </c>
      <c r="D152" s="564">
        <v>45465.0</v>
      </c>
      <c r="E152" s="581" t="s">
        <v>7881</v>
      </c>
      <c r="F152" s="581" t="s">
        <v>8374</v>
      </c>
      <c r="G152" s="534" t="s">
        <v>7106</v>
      </c>
      <c r="H152" s="534" t="s">
        <v>8287</v>
      </c>
      <c r="I152" s="543">
        <v>1.0</v>
      </c>
      <c r="J152" s="570"/>
      <c r="K152" s="541" t="s">
        <v>7393</v>
      </c>
      <c r="L152" s="543">
        <v>50.0</v>
      </c>
    </row>
    <row r="153" ht="14.25" customHeight="1">
      <c r="A153" s="429" t="s">
        <v>8304</v>
      </c>
      <c r="B153" s="429">
        <v>2024.0</v>
      </c>
      <c r="C153" s="429">
        <f t="shared" si="6"/>
        <v>6</v>
      </c>
      <c r="D153" s="564">
        <v>45465.0</v>
      </c>
      <c r="E153" s="581" t="s">
        <v>8375</v>
      </c>
      <c r="F153" s="581"/>
      <c r="G153" s="526" t="s">
        <v>7100</v>
      </c>
      <c r="H153" s="526" t="s">
        <v>248</v>
      </c>
      <c r="I153" s="543">
        <v>1.0</v>
      </c>
      <c r="J153" s="570"/>
      <c r="K153" s="541" t="s">
        <v>7393</v>
      </c>
      <c r="L153" s="543">
        <v>170.0</v>
      </c>
    </row>
    <row r="154" ht="14.25" customHeight="1">
      <c r="A154" s="429" t="s">
        <v>8304</v>
      </c>
      <c r="B154" s="429">
        <v>2024.0</v>
      </c>
      <c r="C154" s="429">
        <f t="shared" si="6"/>
        <v>6</v>
      </c>
      <c r="D154" s="564">
        <v>45466.0</v>
      </c>
      <c r="E154" s="581"/>
      <c r="F154" s="581"/>
      <c r="G154" s="526" t="s">
        <v>7075</v>
      </c>
      <c r="H154" s="534" t="s">
        <v>8365</v>
      </c>
      <c r="I154" s="543">
        <v>1.0</v>
      </c>
      <c r="J154" s="570"/>
      <c r="K154" s="541" t="s">
        <v>7393</v>
      </c>
      <c r="L154" s="592">
        <v>110.0</v>
      </c>
    </row>
    <row r="155" ht="14.25" customHeight="1">
      <c r="A155" s="429" t="s">
        <v>8304</v>
      </c>
      <c r="B155" s="429">
        <v>2024.0</v>
      </c>
      <c r="C155" s="429">
        <f t="shared" si="6"/>
        <v>6</v>
      </c>
      <c r="D155" s="564">
        <v>45466.0</v>
      </c>
      <c r="E155" s="581" t="s">
        <v>7408</v>
      </c>
      <c r="F155" s="581" t="s">
        <v>7409</v>
      </c>
      <c r="G155" s="526" t="s">
        <v>7075</v>
      </c>
      <c r="H155" s="534" t="s">
        <v>8332</v>
      </c>
      <c r="I155" s="543">
        <v>1.0</v>
      </c>
      <c r="J155" s="570"/>
      <c r="K155" s="541" t="s">
        <v>2511</v>
      </c>
      <c r="L155" s="592">
        <v>90.0</v>
      </c>
    </row>
    <row r="156" ht="14.25" customHeight="1">
      <c r="A156" s="429" t="s">
        <v>8304</v>
      </c>
      <c r="B156" s="429">
        <v>2024.0</v>
      </c>
      <c r="C156" s="429">
        <f t="shared" si="6"/>
        <v>6</v>
      </c>
      <c r="D156" s="564">
        <v>45466.0</v>
      </c>
      <c r="E156" s="581" t="s">
        <v>7408</v>
      </c>
      <c r="F156" s="581" t="s">
        <v>7409</v>
      </c>
      <c r="G156" s="526" t="s">
        <v>7395</v>
      </c>
      <c r="H156" s="526" t="s">
        <v>2699</v>
      </c>
      <c r="I156" s="543">
        <v>1.0</v>
      </c>
      <c r="J156" s="570"/>
      <c r="K156" s="541" t="s">
        <v>2511</v>
      </c>
      <c r="L156" s="592">
        <v>40.0</v>
      </c>
    </row>
    <row r="157" ht="14.25" customHeight="1">
      <c r="A157" s="429" t="s">
        <v>8304</v>
      </c>
      <c r="B157" s="429">
        <v>2024.0</v>
      </c>
      <c r="C157" s="429">
        <f t="shared" si="6"/>
        <v>6</v>
      </c>
      <c r="D157" s="564">
        <v>45466.0</v>
      </c>
      <c r="E157" s="581" t="s">
        <v>7637</v>
      </c>
      <c r="F157" s="581" t="s">
        <v>8376</v>
      </c>
      <c r="G157" s="526" t="s">
        <v>7075</v>
      </c>
      <c r="H157" s="534" t="s">
        <v>8377</v>
      </c>
      <c r="I157" s="543">
        <v>1.0</v>
      </c>
      <c r="J157" s="570"/>
      <c r="K157" s="541" t="s">
        <v>7393</v>
      </c>
      <c r="L157" s="592">
        <v>80.0</v>
      </c>
    </row>
    <row r="158" ht="14.25" customHeight="1">
      <c r="A158" s="429" t="s">
        <v>8304</v>
      </c>
      <c r="B158" s="429">
        <v>2024.0</v>
      </c>
      <c r="C158" s="429">
        <f t="shared" si="6"/>
        <v>6</v>
      </c>
      <c r="D158" s="564">
        <v>45467.0</v>
      </c>
      <c r="E158" s="581" t="s">
        <v>2685</v>
      </c>
      <c r="F158" s="581" t="s">
        <v>8378</v>
      </c>
      <c r="G158" s="526" t="s">
        <v>7100</v>
      </c>
      <c r="H158" s="526" t="s">
        <v>248</v>
      </c>
      <c r="I158" s="543">
        <v>1.0</v>
      </c>
      <c r="J158" s="570"/>
      <c r="K158" s="541" t="s">
        <v>8168</v>
      </c>
      <c r="L158" s="592">
        <v>170.0</v>
      </c>
    </row>
    <row r="159" ht="14.25" customHeight="1">
      <c r="A159" s="429" t="s">
        <v>8304</v>
      </c>
      <c r="B159" s="429">
        <v>2024.0</v>
      </c>
      <c r="C159" s="429">
        <f t="shared" si="6"/>
        <v>6</v>
      </c>
      <c r="D159" s="564">
        <v>45467.0</v>
      </c>
      <c r="E159" s="581" t="s">
        <v>7883</v>
      </c>
      <c r="F159" s="581" t="s">
        <v>8034</v>
      </c>
      <c r="G159" s="526" t="s">
        <v>7611</v>
      </c>
      <c r="H159" s="534" t="s">
        <v>7643</v>
      </c>
      <c r="I159" s="543">
        <v>1.0</v>
      </c>
      <c r="J159" s="543"/>
      <c r="K159" s="534" t="s">
        <v>7393</v>
      </c>
      <c r="L159" s="543">
        <v>80.0</v>
      </c>
    </row>
    <row r="160" ht="14.25" customHeight="1">
      <c r="A160" s="429" t="s">
        <v>8304</v>
      </c>
      <c r="B160" s="429">
        <v>2024.0</v>
      </c>
      <c r="C160" s="429">
        <v>6.0</v>
      </c>
      <c r="D160" s="554"/>
      <c r="E160" s="534" t="s">
        <v>2561</v>
      </c>
      <c r="F160" s="534" t="s">
        <v>8214</v>
      </c>
      <c r="G160" s="526" t="s">
        <v>7395</v>
      </c>
      <c r="H160" s="526" t="s">
        <v>8379</v>
      </c>
      <c r="I160" s="543">
        <v>1.0</v>
      </c>
      <c r="J160" s="543"/>
      <c r="K160" s="534" t="s">
        <v>8380</v>
      </c>
      <c r="L160" s="543">
        <v>45.0</v>
      </c>
    </row>
    <row r="161" ht="14.25" customHeight="1">
      <c r="A161" s="429" t="s">
        <v>8304</v>
      </c>
      <c r="B161" s="429">
        <v>2024.0</v>
      </c>
      <c r="C161" s="429">
        <f t="shared" ref="C161:C164" si="7">MONTH(D161)</f>
        <v>6</v>
      </c>
      <c r="D161" s="564">
        <v>45468.0</v>
      </c>
      <c r="E161" s="581" t="s">
        <v>8381</v>
      </c>
      <c r="F161" s="581" t="s">
        <v>8382</v>
      </c>
      <c r="G161" s="526" t="s">
        <v>7611</v>
      </c>
      <c r="H161" s="534" t="s">
        <v>8383</v>
      </c>
      <c r="I161" s="543">
        <v>1.0</v>
      </c>
      <c r="J161" s="543"/>
      <c r="K161" s="534" t="s">
        <v>8384</v>
      </c>
      <c r="L161" s="543">
        <v>75.0</v>
      </c>
    </row>
    <row r="162" ht="14.25" customHeight="1">
      <c r="A162" s="429" t="s">
        <v>8304</v>
      </c>
      <c r="B162" s="429">
        <v>2024.0</v>
      </c>
      <c r="C162" s="429">
        <f t="shared" si="7"/>
        <v>6</v>
      </c>
      <c r="D162" s="564">
        <v>45470.0</v>
      </c>
      <c r="E162" s="581" t="s">
        <v>8307</v>
      </c>
      <c r="F162" s="581" t="s">
        <v>8308</v>
      </c>
      <c r="G162" s="526" t="s">
        <v>7100</v>
      </c>
      <c r="H162" s="526" t="s">
        <v>2853</v>
      </c>
      <c r="I162" s="543">
        <v>1.0</v>
      </c>
      <c r="J162" s="543"/>
      <c r="K162" s="534" t="s">
        <v>7393</v>
      </c>
      <c r="L162" s="543">
        <v>160.0</v>
      </c>
    </row>
    <row r="163" ht="14.25" customHeight="1">
      <c r="A163" s="429" t="s">
        <v>8304</v>
      </c>
      <c r="B163" s="429">
        <v>2024.0</v>
      </c>
      <c r="C163" s="429">
        <f t="shared" si="7"/>
        <v>6</v>
      </c>
      <c r="D163" s="564">
        <v>45470.0</v>
      </c>
      <c r="E163" s="581" t="s">
        <v>7848</v>
      </c>
      <c r="F163" s="581" t="s">
        <v>8385</v>
      </c>
      <c r="G163" s="526" t="s">
        <v>7100</v>
      </c>
      <c r="H163" s="526" t="s">
        <v>248</v>
      </c>
      <c r="I163" s="543">
        <v>1.0</v>
      </c>
      <c r="J163" s="543"/>
      <c r="K163" s="534" t="s">
        <v>2511</v>
      </c>
      <c r="L163" s="543">
        <v>140.0</v>
      </c>
    </row>
    <row r="164" ht="14.25" customHeight="1">
      <c r="A164" s="429" t="s">
        <v>8304</v>
      </c>
      <c r="B164" s="429">
        <v>2024.0</v>
      </c>
      <c r="C164" s="429">
        <f t="shared" si="7"/>
        <v>6</v>
      </c>
      <c r="D164" s="564">
        <v>45471.0</v>
      </c>
      <c r="E164" s="581" t="s">
        <v>8386</v>
      </c>
      <c r="F164" s="581" t="s">
        <v>8387</v>
      </c>
      <c r="G164" s="526" t="s">
        <v>7100</v>
      </c>
      <c r="H164" s="526" t="s">
        <v>248</v>
      </c>
      <c r="I164" s="543">
        <v>1.0</v>
      </c>
      <c r="J164" s="543"/>
      <c r="K164" s="534" t="s">
        <v>7393</v>
      </c>
      <c r="L164" s="543">
        <v>170.0</v>
      </c>
    </row>
    <row r="165" ht="14.25" customHeight="1">
      <c r="A165" s="429" t="s">
        <v>8304</v>
      </c>
      <c r="B165" s="429">
        <v>2024.0</v>
      </c>
      <c r="C165" s="429">
        <v>6.0</v>
      </c>
      <c r="D165" s="564"/>
      <c r="E165" s="581" t="s">
        <v>8388</v>
      </c>
      <c r="F165" s="581" t="s">
        <v>8389</v>
      </c>
      <c r="G165" s="534" t="s">
        <v>7106</v>
      </c>
      <c r="H165" s="534" t="s">
        <v>2619</v>
      </c>
      <c r="I165" s="543">
        <v>1.0</v>
      </c>
      <c r="J165" s="543"/>
      <c r="K165" s="534" t="s">
        <v>1947</v>
      </c>
      <c r="L165" s="543">
        <v>60.0</v>
      </c>
    </row>
    <row r="166" ht="14.25" customHeight="1">
      <c r="A166" s="429" t="s">
        <v>8160</v>
      </c>
      <c r="B166" s="429">
        <v>2024.0</v>
      </c>
      <c r="C166" s="429">
        <f t="shared" ref="C166:C167" si="8">MONTH(D166)</f>
        <v>7</v>
      </c>
      <c r="D166" s="564">
        <v>45475.0</v>
      </c>
      <c r="E166" s="581" t="s">
        <v>2547</v>
      </c>
      <c r="F166" s="581" t="s">
        <v>7892</v>
      </c>
      <c r="G166" s="526" t="s">
        <v>7100</v>
      </c>
      <c r="H166" s="526" t="s">
        <v>248</v>
      </c>
      <c r="I166" s="543">
        <v>1.0</v>
      </c>
      <c r="J166" s="543"/>
      <c r="K166" s="534" t="s">
        <v>8168</v>
      </c>
      <c r="L166" s="543">
        <v>170.0</v>
      </c>
    </row>
    <row r="167" ht="14.25" customHeight="1">
      <c r="A167" s="429" t="s">
        <v>8160</v>
      </c>
      <c r="B167" s="429">
        <v>2024.0</v>
      </c>
      <c r="C167" s="429">
        <f t="shared" si="8"/>
        <v>7</v>
      </c>
      <c r="D167" s="564">
        <v>45476.0</v>
      </c>
      <c r="E167" s="581" t="s">
        <v>8390</v>
      </c>
      <c r="F167" s="581" t="s">
        <v>8391</v>
      </c>
      <c r="G167" s="534" t="s">
        <v>7106</v>
      </c>
      <c r="H167" s="534" t="s">
        <v>7812</v>
      </c>
      <c r="I167" s="543">
        <v>1.0</v>
      </c>
      <c r="J167" s="543"/>
      <c r="K167" s="534" t="s">
        <v>8168</v>
      </c>
      <c r="L167" s="543">
        <v>85.0</v>
      </c>
    </row>
    <row r="168" ht="14.25" customHeight="1">
      <c r="A168" s="429" t="s">
        <v>8160</v>
      </c>
      <c r="B168" s="429">
        <v>2024.0</v>
      </c>
      <c r="C168" s="429">
        <v>7.0</v>
      </c>
      <c r="D168" s="593"/>
      <c r="E168" s="594" t="s">
        <v>7809</v>
      </c>
      <c r="F168" s="594" t="s">
        <v>8392</v>
      </c>
      <c r="G168" s="526" t="s">
        <v>7075</v>
      </c>
      <c r="H168" s="594" t="s">
        <v>8393</v>
      </c>
      <c r="I168" s="593">
        <v>1.0</v>
      </c>
      <c r="J168" s="593"/>
      <c r="K168" s="594"/>
      <c r="L168" s="593">
        <v>130.0</v>
      </c>
    </row>
    <row r="169" ht="14.25" customHeight="1">
      <c r="A169" s="429" t="s">
        <v>8160</v>
      </c>
      <c r="B169" s="429">
        <v>2024.0</v>
      </c>
      <c r="C169" s="429">
        <v>7.0</v>
      </c>
      <c r="D169" s="560" t="s">
        <v>8394</v>
      </c>
      <c r="E169" s="595" t="s">
        <v>8395</v>
      </c>
      <c r="F169" s="559"/>
      <c r="G169" s="526" t="s">
        <v>7611</v>
      </c>
      <c r="H169" s="559" t="s">
        <v>8396</v>
      </c>
      <c r="I169" s="560">
        <v>1.0</v>
      </c>
      <c r="J169" s="560"/>
      <c r="K169" s="559"/>
      <c r="L169" s="560">
        <v>80.0</v>
      </c>
    </row>
    <row r="170" ht="14.25" customHeight="1">
      <c r="A170" s="429" t="s">
        <v>8160</v>
      </c>
      <c r="B170" s="429">
        <v>2024.0</v>
      </c>
      <c r="C170" s="429">
        <v>7.0</v>
      </c>
      <c r="D170" s="560" t="s">
        <v>8394</v>
      </c>
      <c r="E170" s="595" t="s">
        <v>8397</v>
      </c>
      <c r="F170" s="559"/>
      <c r="G170" s="526" t="s">
        <v>7611</v>
      </c>
      <c r="H170" s="559" t="s">
        <v>8396</v>
      </c>
      <c r="I170" s="560">
        <v>1.0</v>
      </c>
      <c r="J170" s="560"/>
      <c r="K170" s="559"/>
      <c r="L170" s="560">
        <v>80.0</v>
      </c>
    </row>
    <row r="171" ht="14.25" customHeight="1">
      <c r="A171" s="429" t="s">
        <v>8160</v>
      </c>
      <c r="B171" s="429">
        <v>2024.0</v>
      </c>
      <c r="C171" s="429">
        <v>7.0</v>
      </c>
      <c r="D171" s="560" t="s">
        <v>8394</v>
      </c>
      <c r="E171" s="596" t="s">
        <v>8398</v>
      </c>
      <c r="F171" s="559"/>
      <c r="G171" s="526" t="s">
        <v>7611</v>
      </c>
      <c r="H171" s="559" t="s">
        <v>8396</v>
      </c>
      <c r="I171" s="560">
        <v>1.0</v>
      </c>
      <c r="J171" s="560"/>
      <c r="K171" s="559"/>
      <c r="L171" s="560">
        <v>80.0</v>
      </c>
    </row>
    <row r="172" ht="14.25" customHeight="1">
      <c r="A172" s="429" t="s">
        <v>8160</v>
      </c>
      <c r="B172" s="429">
        <v>2024.0</v>
      </c>
      <c r="C172" s="429">
        <f t="shared" ref="C172:C176" si="9">MONTH(D172)</f>
        <v>7</v>
      </c>
      <c r="D172" s="554">
        <v>45478.0</v>
      </c>
      <c r="E172" s="534" t="s">
        <v>8399</v>
      </c>
      <c r="F172" s="534" t="s">
        <v>8400</v>
      </c>
      <c r="G172" s="526" t="s">
        <v>7075</v>
      </c>
      <c r="H172" s="534" t="s">
        <v>8401</v>
      </c>
      <c r="I172" s="543">
        <v>1.0</v>
      </c>
      <c r="J172" s="543"/>
      <c r="K172" s="534" t="s">
        <v>2511</v>
      </c>
      <c r="L172" s="543">
        <v>110.0</v>
      </c>
    </row>
    <row r="173" ht="14.25" customHeight="1">
      <c r="A173" s="429" t="s">
        <v>8160</v>
      </c>
      <c r="B173" s="429">
        <v>2024.0</v>
      </c>
      <c r="C173" s="429">
        <f t="shared" si="9"/>
        <v>7</v>
      </c>
      <c r="D173" s="554">
        <v>45478.0</v>
      </c>
      <c r="E173" s="534" t="s">
        <v>2780</v>
      </c>
      <c r="F173" s="534" t="s">
        <v>2781</v>
      </c>
      <c r="G173" s="526" t="s">
        <v>7075</v>
      </c>
      <c r="H173" s="534" t="s">
        <v>8402</v>
      </c>
      <c r="I173" s="543">
        <v>1.0</v>
      </c>
      <c r="J173" s="543"/>
      <c r="K173" s="534" t="s">
        <v>3009</v>
      </c>
      <c r="L173" s="543">
        <v>100.0</v>
      </c>
    </row>
    <row r="174" ht="14.25" customHeight="1">
      <c r="A174" s="429" t="s">
        <v>8160</v>
      </c>
      <c r="B174" s="429">
        <v>2024.0</v>
      </c>
      <c r="C174" s="429">
        <f t="shared" si="9"/>
        <v>7</v>
      </c>
      <c r="D174" s="564">
        <v>45483.0</v>
      </c>
      <c r="E174" s="581" t="s">
        <v>7766</v>
      </c>
      <c r="F174" s="581" t="s">
        <v>8403</v>
      </c>
      <c r="G174" s="526" t="s">
        <v>7075</v>
      </c>
      <c r="H174" s="581" t="s">
        <v>6939</v>
      </c>
      <c r="I174" s="597">
        <v>1.0</v>
      </c>
      <c r="J174" s="597"/>
      <c r="K174" s="581" t="s">
        <v>7393</v>
      </c>
      <c r="L174" s="597">
        <v>110.0</v>
      </c>
    </row>
    <row r="175" ht="14.25" customHeight="1">
      <c r="A175" s="429" t="s">
        <v>8160</v>
      </c>
      <c r="B175" s="429">
        <v>2024.0</v>
      </c>
      <c r="C175" s="429">
        <f t="shared" si="9"/>
        <v>7</v>
      </c>
      <c r="D175" s="564">
        <v>45483.0</v>
      </c>
      <c r="E175" s="581" t="s">
        <v>8327</v>
      </c>
      <c r="F175" s="581" t="s">
        <v>8404</v>
      </c>
      <c r="G175" s="526" t="s">
        <v>7075</v>
      </c>
      <c r="H175" s="581" t="s">
        <v>8402</v>
      </c>
      <c r="I175" s="597">
        <v>1.0</v>
      </c>
      <c r="J175" s="597"/>
      <c r="K175" s="581" t="s">
        <v>8168</v>
      </c>
      <c r="L175" s="597">
        <v>115.0</v>
      </c>
    </row>
    <row r="176" ht="14.25" customHeight="1">
      <c r="A176" s="429" t="s">
        <v>8160</v>
      </c>
      <c r="B176" s="429">
        <v>2024.0</v>
      </c>
      <c r="C176" s="429">
        <f t="shared" si="9"/>
        <v>7</v>
      </c>
      <c r="D176" s="564">
        <v>45483.0</v>
      </c>
      <c r="E176" s="581" t="s">
        <v>2780</v>
      </c>
      <c r="F176" s="581" t="s">
        <v>8405</v>
      </c>
      <c r="G176" s="534" t="s">
        <v>7106</v>
      </c>
      <c r="H176" s="581" t="s">
        <v>788</v>
      </c>
      <c r="I176" s="597">
        <v>1.0</v>
      </c>
      <c r="J176" s="597"/>
      <c r="K176" s="581" t="s">
        <v>7393</v>
      </c>
      <c r="L176" s="597">
        <v>90.0</v>
      </c>
    </row>
    <row r="177" ht="14.25" customHeight="1">
      <c r="A177" s="429" t="s">
        <v>8160</v>
      </c>
      <c r="B177" s="429">
        <v>2024.0</v>
      </c>
      <c r="C177" s="429">
        <v>7.0</v>
      </c>
      <c r="D177" s="543"/>
      <c r="E177" s="534" t="s">
        <v>2566</v>
      </c>
      <c r="F177" s="534" t="s">
        <v>2551</v>
      </c>
      <c r="G177" s="526" t="s">
        <v>7075</v>
      </c>
      <c r="H177" s="534" t="s">
        <v>8402</v>
      </c>
      <c r="I177" s="543">
        <v>1.0</v>
      </c>
      <c r="J177" s="543"/>
      <c r="K177" s="534" t="s">
        <v>8164</v>
      </c>
      <c r="L177" s="543">
        <v>80.0</v>
      </c>
    </row>
    <row r="178" ht="14.25" customHeight="1">
      <c r="A178" s="429" t="s">
        <v>8160</v>
      </c>
      <c r="B178" s="429">
        <v>2024.0</v>
      </c>
      <c r="C178" s="429">
        <f t="shared" ref="C178:C196" si="10">MONTH(D178)</f>
        <v>7</v>
      </c>
      <c r="D178" s="554">
        <v>45488.0</v>
      </c>
      <c r="E178" s="534" t="s">
        <v>2193</v>
      </c>
      <c r="F178" s="534" t="s">
        <v>8406</v>
      </c>
      <c r="G178" s="526" t="s">
        <v>7611</v>
      </c>
      <c r="H178" s="534" t="s">
        <v>8215</v>
      </c>
      <c r="I178" s="543">
        <v>1.0</v>
      </c>
      <c r="J178" s="543"/>
      <c r="K178" s="534" t="s">
        <v>3009</v>
      </c>
      <c r="L178" s="543">
        <v>80.0</v>
      </c>
    </row>
    <row r="179" ht="14.25" customHeight="1">
      <c r="A179" s="429" t="s">
        <v>8160</v>
      </c>
      <c r="B179" s="429">
        <v>2024.0</v>
      </c>
      <c r="C179" s="429">
        <f t="shared" si="10"/>
        <v>7</v>
      </c>
      <c r="D179" s="554">
        <v>45488.0</v>
      </c>
      <c r="E179" s="534" t="s">
        <v>8407</v>
      </c>
      <c r="F179" s="534"/>
      <c r="G179" s="534" t="s">
        <v>7059</v>
      </c>
      <c r="H179" s="534"/>
      <c r="I179" s="543">
        <v>1.0</v>
      </c>
      <c r="J179" s="543"/>
      <c r="K179" s="534" t="s">
        <v>8257</v>
      </c>
      <c r="L179" s="543">
        <v>80.0</v>
      </c>
    </row>
    <row r="180" ht="14.25" customHeight="1">
      <c r="A180" s="429" t="s">
        <v>8160</v>
      </c>
      <c r="B180" s="429">
        <v>2024.0</v>
      </c>
      <c r="C180" s="429">
        <f t="shared" si="10"/>
        <v>7</v>
      </c>
      <c r="D180" s="554">
        <v>45478.0</v>
      </c>
      <c r="E180" s="534" t="s">
        <v>8408</v>
      </c>
      <c r="F180" s="534" t="s">
        <v>8409</v>
      </c>
      <c r="G180" s="526" t="s">
        <v>7100</v>
      </c>
      <c r="H180" s="526" t="s">
        <v>2853</v>
      </c>
      <c r="I180" s="543">
        <v>1.0</v>
      </c>
      <c r="J180" s="543"/>
      <c r="K180" s="534" t="s">
        <v>8410</v>
      </c>
      <c r="L180" s="543">
        <v>100.0</v>
      </c>
    </row>
    <row r="181" ht="14.25" customHeight="1">
      <c r="A181" s="429" t="s">
        <v>8160</v>
      </c>
      <c r="B181" s="429">
        <v>2024.0</v>
      </c>
      <c r="C181" s="429">
        <f t="shared" si="10"/>
        <v>7</v>
      </c>
      <c r="D181" s="554">
        <v>45496.0</v>
      </c>
      <c r="E181" s="534" t="s">
        <v>8411</v>
      </c>
      <c r="F181" s="534" t="s">
        <v>8412</v>
      </c>
      <c r="G181" s="526" t="s">
        <v>7075</v>
      </c>
      <c r="H181" s="534"/>
      <c r="I181" s="543">
        <v>1.0</v>
      </c>
      <c r="J181" s="543"/>
      <c r="K181" s="534" t="s">
        <v>3009</v>
      </c>
      <c r="L181" s="543">
        <v>80.0</v>
      </c>
    </row>
    <row r="182" ht="14.25" customHeight="1">
      <c r="A182" s="429" t="s">
        <v>8160</v>
      </c>
      <c r="B182" s="429">
        <v>2024.0</v>
      </c>
      <c r="C182" s="429">
        <f t="shared" si="10"/>
        <v>7</v>
      </c>
      <c r="D182" s="554">
        <v>45497.0</v>
      </c>
      <c r="E182" s="534" t="s">
        <v>7417</v>
      </c>
      <c r="F182" s="534" t="s">
        <v>8277</v>
      </c>
      <c r="G182" s="526" t="s">
        <v>7611</v>
      </c>
      <c r="H182" s="534" t="s">
        <v>8228</v>
      </c>
      <c r="I182" s="543">
        <v>1.0</v>
      </c>
      <c r="J182" s="543"/>
      <c r="K182" s="534" t="s">
        <v>2511</v>
      </c>
      <c r="L182" s="543">
        <v>65.0</v>
      </c>
    </row>
    <row r="183" ht="14.25" customHeight="1">
      <c r="A183" s="429" t="s">
        <v>8160</v>
      </c>
      <c r="B183" s="429">
        <v>2024.0</v>
      </c>
      <c r="C183" s="429">
        <f t="shared" si="10"/>
        <v>7</v>
      </c>
      <c r="D183" s="554">
        <v>45497.0</v>
      </c>
      <c r="E183" s="534" t="s">
        <v>8413</v>
      </c>
      <c r="F183" s="534" t="s">
        <v>8414</v>
      </c>
      <c r="G183" s="526" t="s">
        <v>7075</v>
      </c>
      <c r="H183" s="534" t="s">
        <v>8377</v>
      </c>
      <c r="I183" s="543">
        <v>1.0</v>
      </c>
      <c r="J183" s="543"/>
      <c r="K183" s="534"/>
      <c r="L183" s="543">
        <v>88.2</v>
      </c>
    </row>
    <row r="184" ht="14.25" customHeight="1">
      <c r="A184" s="429" t="s">
        <v>8160</v>
      </c>
      <c r="B184" s="429">
        <v>2024.0</v>
      </c>
      <c r="C184" s="429">
        <f t="shared" si="10"/>
        <v>7</v>
      </c>
      <c r="D184" s="554">
        <v>45497.0</v>
      </c>
      <c r="E184" s="534" t="s">
        <v>8413</v>
      </c>
      <c r="F184" s="534" t="s">
        <v>8414</v>
      </c>
      <c r="G184" s="526" t="s">
        <v>7075</v>
      </c>
      <c r="H184" s="534" t="s">
        <v>8393</v>
      </c>
      <c r="I184" s="543">
        <v>1.0</v>
      </c>
      <c r="J184" s="543"/>
      <c r="K184" s="534"/>
      <c r="L184" s="543">
        <v>88.0</v>
      </c>
    </row>
    <row r="185" ht="14.25" customHeight="1">
      <c r="A185" s="429" t="s">
        <v>8160</v>
      </c>
      <c r="B185" s="429">
        <v>2024.0</v>
      </c>
      <c r="C185" s="429">
        <f t="shared" si="10"/>
        <v>7</v>
      </c>
      <c r="D185" s="554">
        <v>45497.0</v>
      </c>
      <c r="E185" s="534" t="s">
        <v>8413</v>
      </c>
      <c r="F185" s="534" t="s">
        <v>8414</v>
      </c>
      <c r="G185" s="526" t="s">
        <v>7100</v>
      </c>
      <c r="H185" s="526" t="s">
        <v>248</v>
      </c>
      <c r="I185" s="543">
        <v>1.0</v>
      </c>
      <c r="J185" s="543"/>
      <c r="K185" s="534"/>
      <c r="L185" s="543">
        <v>136.0</v>
      </c>
    </row>
    <row r="186" ht="14.25" customHeight="1">
      <c r="A186" s="429" t="s">
        <v>8160</v>
      </c>
      <c r="B186" s="429">
        <v>2024.0</v>
      </c>
      <c r="C186" s="429">
        <f t="shared" si="10"/>
        <v>7</v>
      </c>
      <c r="D186" s="554">
        <v>45497.0</v>
      </c>
      <c r="E186" s="534" t="s">
        <v>8413</v>
      </c>
      <c r="F186" s="534" t="s">
        <v>8414</v>
      </c>
      <c r="G186" s="526" t="s">
        <v>7075</v>
      </c>
      <c r="H186" s="534" t="s">
        <v>2121</v>
      </c>
      <c r="I186" s="543">
        <v>1.0</v>
      </c>
      <c r="J186" s="543"/>
      <c r="K186" s="534"/>
      <c r="L186" s="543">
        <v>87.2</v>
      </c>
    </row>
    <row r="187" ht="14.25" customHeight="1">
      <c r="A187" s="429" t="s">
        <v>8160</v>
      </c>
      <c r="B187" s="429">
        <v>2024.0</v>
      </c>
      <c r="C187" s="429">
        <f t="shared" si="10"/>
        <v>7</v>
      </c>
      <c r="D187" s="554">
        <v>45497.0</v>
      </c>
      <c r="E187" s="534" t="s">
        <v>8413</v>
      </c>
      <c r="F187" s="534" t="s">
        <v>8414</v>
      </c>
      <c r="G187" s="534" t="s">
        <v>7106</v>
      </c>
      <c r="H187" s="534" t="s">
        <v>8415</v>
      </c>
      <c r="I187" s="543">
        <v>1.0</v>
      </c>
      <c r="J187" s="543"/>
      <c r="K187" s="534"/>
      <c r="L187" s="543">
        <v>68.0</v>
      </c>
    </row>
    <row r="188" ht="14.25" customHeight="1">
      <c r="A188" s="429" t="s">
        <v>8160</v>
      </c>
      <c r="B188" s="429">
        <v>2024.0</v>
      </c>
      <c r="C188" s="429">
        <f t="shared" si="10"/>
        <v>7</v>
      </c>
      <c r="D188" s="554">
        <v>45502.0</v>
      </c>
      <c r="E188" s="534" t="s">
        <v>2635</v>
      </c>
      <c r="F188" s="534" t="s">
        <v>7797</v>
      </c>
      <c r="G188" s="534" t="s">
        <v>7059</v>
      </c>
      <c r="H188" s="534"/>
      <c r="I188" s="543">
        <v>1.0</v>
      </c>
      <c r="J188" s="543"/>
      <c r="K188" s="534" t="s">
        <v>8274</v>
      </c>
      <c r="L188" s="543">
        <v>63.0</v>
      </c>
    </row>
    <row r="189" ht="14.25" customHeight="1">
      <c r="A189" s="429" t="s">
        <v>8160</v>
      </c>
      <c r="B189" s="429">
        <v>2024.0</v>
      </c>
      <c r="C189" s="429">
        <f t="shared" si="10"/>
        <v>7</v>
      </c>
      <c r="D189" s="554">
        <v>45502.0</v>
      </c>
      <c r="E189" s="534" t="s">
        <v>2550</v>
      </c>
      <c r="F189" s="534" t="s">
        <v>2551</v>
      </c>
      <c r="G189" s="534" t="s">
        <v>7059</v>
      </c>
      <c r="H189" s="598"/>
      <c r="I189" s="599">
        <v>1.0</v>
      </c>
      <c r="J189" s="599"/>
      <c r="K189" s="598" t="s">
        <v>8416</v>
      </c>
      <c r="L189" s="599">
        <v>63.0</v>
      </c>
    </row>
    <row r="190" ht="14.25" customHeight="1">
      <c r="A190" s="429" t="s">
        <v>8160</v>
      </c>
      <c r="B190" s="429">
        <v>2024.0</v>
      </c>
      <c r="C190" s="429">
        <f t="shared" si="10"/>
        <v>8</v>
      </c>
      <c r="D190" s="554">
        <v>45506.0</v>
      </c>
      <c r="E190" s="534" t="s">
        <v>7408</v>
      </c>
      <c r="F190" s="534" t="s">
        <v>7592</v>
      </c>
      <c r="G190" s="534" t="s">
        <v>7106</v>
      </c>
      <c r="H190" s="541" t="s">
        <v>788</v>
      </c>
      <c r="I190" s="570">
        <v>1.0</v>
      </c>
      <c r="J190" s="570"/>
      <c r="K190" s="541" t="s">
        <v>8168</v>
      </c>
      <c r="L190" s="570">
        <v>85.0</v>
      </c>
    </row>
    <row r="191" ht="14.25" customHeight="1">
      <c r="A191" s="429" t="s">
        <v>8160</v>
      </c>
      <c r="B191" s="429">
        <v>2024.0</v>
      </c>
      <c r="C191" s="429">
        <f t="shared" si="10"/>
        <v>9</v>
      </c>
      <c r="D191" s="554">
        <v>45539.0</v>
      </c>
      <c r="E191" s="534" t="s">
        <v>8417</v>
      </c>
      <c r="F191" s="534" t="s">
        <v>8418</v>
      </c>
      <c r="G191" s="534" t="s">
        <v>8320</v>
      </c>
      <c r="H191" s="534" t="s">
        <v>8419</v>
      </c>
      <c r="I191" s="543">
        <v>1.0</v>
      </c>
      <c r="J191" s="543"/>
      <c r="K191" s="534" t="s">
        <v>2511</v>
      </c>
      <c r="L191" s="543">
        <v>50.0</v>
      </c>
    </row>
    <row r="192" ht="14.25" customHeight="1">
      <c r="A192" s="429" t="s">
        <v>8160</v>
      </c>
      <c r="B192" s="429">
        <v>2024.0</v>
      </c>
      <c r="C192" s="429">
        <f t="shared" si="10"/>
        <v>9</v>
      </c>
      <c r="D192" s="554">
        <v>45539.0</v>
      </c>
      <c r="E192" s="534" t="s">
        <v>7619</v>
      </c>
      <c r="F192" s="534" t="s">
        <v>8420</v>
      </c>
      <c r="G192" s="526" t="s">
        <v>7075</v>
      </c>
      <c r="H192" s="534" t="s">
        <v>8421</v>
      </c>
      <c r="I192" s="543">
        <v>1.0</v>
      </c>
      <c r="J192" s="543"/>
      <c r="K192" s="534" t="s">
        <v>8168</v>
      </c>
      <c r="L192" s="543">
        <v>100.0</v>
      </c>
    </row>
    <row r="193" ht="14.25" customHeight="1">
      <c r="A193" s="429" t="s">
        <v>8160</v>
      </c>
      <c r="B193" s="429">
        <v>2024.0</v>
      </c>
      <c r="C193" s="429">
        <f t="shared" si="10"/>
        <v>9</v>
      </c>
      <c r="D193" s="554">
        <v>45551.0</v>
      </c>
      <c r="E193" s="559" t="s">
        <v>8422</v>
      </c>
      <c r="F193" s="559" t="s">
        <v>8423</v>
      </c>
      <c r="G193" s="534" t="s">
        <v>7106</v>
      </c>
      <c r="H193" s="559" t="s">
        <v>2082</v>
      </c>
      <c r="I193" s="600">
        <v>1.0</v>
      </c>
      <c r="J193" s="600"/>
      <c r="K193" s="559"/>
      <c r="L193" s="560">
        <v>95.0</v>
      </c>
    </row>
    <row r="194" ht="14.25" customHeight="1">
      <c r="A194" s="429" t="s">
        <v>8160</v>
      </c>
      <c r="B194" s="429">
        <v>2024.0</v>
      </c>
      <c r="C194" s="429">
        <f t="shared" si="10"/>
        <v>9</v>
      </c>
      <c r="D194" s="554">
        <v>45551.0</v>
      </c>
      <c r="E194" s="559" t="s">
        <v>8422</v>
      </c>
      <c r="F194" s="559" t="s">
        <v>8423</v>
      </c>
      <c r="G194" s="534" t="s">
        <v>7106</v>
      </c>
      <c r="H194" s="575" t="s">
        <v>2082</v>
      </c>
      <c r="I194" s="575">
        <v>1.0</v>
      </c>
      <c r="J194" s="575"/>
      <c r="K194" s="575"/>
      <c r="L194" s="601">
        <v>95.0</v>
      </c>
    </row>
    <row r="195" ht="14.25" customHeight="1">
      <c r="A195" s="429" t="s">
        <v>8160</v>
      </c>
      <c r="B195" s="429">
        <v>2024.0</v>
      </c>
      <c r="C195" s="429">
        <f t="shared" si="10"/>
        <v>9</v>
      </c>
      <c r="D195" s="554">
        <v>45551.0</v>
      </c>
      <c r="E195" s="559" t="s">
        <v>8422</v>
      </c>
      <c r="F195" s="559" t="s">
        <v>8423</v>
      </c>
      <c r="G195" s="534" t="s">
        <v>7106</v>
      </c>
      <c r="H195" s="575" t="s">
        <v>2082</v>
      </c>
      <c r="I195" s="575">
        <v>1.0</v>
      </c>
      <c r="J195" s="575"/>
      <c r="K195" s="575"/>
      <c r="L195" s="601">
        <v>95.0</v>
      </c>
    </row>
    <row r="196" ht="14.25" customHeight="1">
      <c r="A196" s="429" t="s">
        <v>8160</v>
      </c>
      <c r="B196" s="429">
        <v>2024.0</v>
      </c>
      <c r="C196" s="429">
        <f t="shared" si="10"/>
        <v>9</v>
      </c>
      <c r="D196" s="554">
        <v>45551.0</v>
      </c>
      <c r="E196" s="559" t="s">
        <v>8422</v>
      </c>
      <c r="F196" s="559" t="s">
        <v>8423</v>
      </c>
      <c r="G196" s="534" t="s">
        <v>7106</v>
      </c>
      <c r="H196" s="559" t="s">
        <v>2082</v>
      </c>
      <c r="I196" s="559">
        <v>1.0</v>
      </c>
      <c r="J196" s="559"/>
      <c r="K196" s="559"/>
      <c r="L196" s="602">
        <v>95.0</v>
      </c>
    </row>
    <row r="197" ht="14.25" customHeight="1">
      <c r="A197" s="429" t="s">
        <v>8160</v>
      </c>
      <c r="B197" s="429">
        <v>2024.0</v>
      </c>
      <c r="C197" s="429">
        <v>9.0</v>
      </c>
      <c r="D197" s="603"/>
      <c r="E197" s="604" t="s">
        <v>8424</v>
      </c>
      <c r="F197" s="604"/>
      <c r="G197" s="534" t="s">
        <v>7106</v>
      </c>
      <c r="H197" s="604" t="s">
        <v>2082</v>
      </c>
      <c r="I197" s="604">
        <v>1.0</v>
      </c>
      <c r="J197" s="604"/>
      <c r="K197" s="604"/>
      <c r="L197" s="605">
        <v>85.0</v>
      </c>
    </row>
    <row r="198" ht="14.25" customHeight="1">
      <c r="A198" s="429" t="s">
        <v>8160</v>
      </c>
      <c r="B198" s="429">
        <v>2024.0</v>
      </c>
      <c r="C198" s="429">
        <v>9.0</v>
      </c>
      <c r="D198" s="603"/>
      <c r="E198" s="604" t="s">
        <v>8424</v>
      </c>
      <c r="F198" s="604"/>
      <c r="G198" s="534" t="s">
        <v>7106</v>
      </c>
      <c r="H198" s="604" t="s">
        <v>2082</v>
      </c>
      <c r="I198" s="604">
        <v>1.0</v>
      </c>
      <c r="J198" s="604"/>
      <c r="K198" s="604"/>
      <c r="L198" s="605">
        <v>85.0</v>
      </c>
    </row>
    <row r="199" ht="14.25" customHeight="1">
      <c r="A199" s="429" t="s">
        <v>8160</v>
      </c>
      <c r="B199" s="429">
        <v>2024.0</v>
      </c>
      <c r="C199" s="429">
        <v>9.0</v>
      </c>
      <c r="D199" s="603"/>
      <c r="E199" s="604" t="s">
        <v>8424</v>
      </c>
      <c r="F199" s="604"/>
      <c r="G199" s="534" t="s">
        <v>7106</v>
      </c>
      <c r="H199" s="604" t="s">
        <v>2082</v>
      </c>
      <c r="I199" s="604">
        <v>1.0</v>
      </c>
      <c r="J199" s="604"/>
      <c r="K199" s="604"/>
      <c r="L199" s="605">
        <v>85.0</v>
      </c>
    </row>
    <row r="200" ht="14.25" customHeight="1">
      <c r="A200" s="429" t="s">
        <v>8160</v>
      </c>
      <c r="B200" s="429">
        <v>2024.0</v>
      </c>
      <c r="C200" s="429">
        <v>9.0</v>
      </c>
      <c r="D200" s="603"/>
      <c r="E200" s="604" t="s">
        <v>8424</v>
      </c>
      <c r="F200" s="604"/>
      <c r="G200" s="534" t="s">
        <v>7106</v>
      </c>
      <c r="H200" s="604" t="s">
        <v>2082</v>
      </c>
      <c r="I200" s="604">
        <v>1.0</v>
      </c>
      <c r="J200" s="604"/>
      <c r="K200" s="604"/>
      <c r="L200" s="605">
        <v>85.0</v>
      </c>
    </row>
    <row r="201" ht="14.25" customHeight="1">
      <c r="A201" s="429" t="s">
        <v>8160</v>
      </c>
      <c r="B201" s="429">
        <v>2024.0</v>
      </c>
      <c r="C201" s="429">
        <v>9.0</v>
      </c>
      <c r="D201" s="603"/>
      <c r="E201" s="604" t="s">
        <v>8424</v>
      </c>
      <c r="F201" s="606"/>
      <c r="G201" s="534" t="s">
        <v>7106</v>
      </c>
      <c r="H201" s="606" t="s">
        <v>2082</v>
      </c>
      <c r="I201" s="607">
        <v>1.0</v>
      </c>
      <c r="J201" s="607"/>
      <c r="K201" s="606"/>
      <c r="L201" s="608">
        <v>85.0</v>
      </c>
    </row>
    <row r="202" ht="14.25" customHeight="1">
      <c r="A202" s="429" t="s">
        <v>8160</v>
      </c>
      <c r="B202" s="429">
        <v>2024.0</v>
      </c>
      <c r="C202" s="429">
        <v>9.0</v>
      </c>
      <c r="D202" s="603"/>
      <c r="E202" s="604" t="s">
        <v>8424</v>
      </c>
      <c r="F202" s="604"/>
      <c r="G202" s="534" t="s">
        <v>7106</v>
      </c>
      <c r="H202" s="604" t="s">
        <v>2082</v>
      </c>
      <c r="I202" s="604">
        <v>1.0</v>
      </c>
      <c r="J202" s="606"/>
      <c r="K202" s="606"/>
      <c r="L202" s="605">
        <v>85.0</v>
      </c>
    </row>
    <row r="203" ht="14.25" customHeight="1">
      <c r="A203" s="429" t="s">
        <v>8160</v>
      </c>
      <c r="B203" s="429">
        <v>2024.0</v>
      </c>
      <c r="C203" s="429">
        <v>9.0</v>
      </c>
      <c r="D203" s="609"/>
      <c r="E203" s="604" t="s">
        <v>8424</v>
      </c>
      <c r="F203" s="604"/>
      <c r="G203" s="534" t="s">
        <v>7106</v>
      </c>
      <c r="H203" s="604" t="s">
        <v>2082</v>
      </c>
      <c r="I203" s="604">
        <v>1.0</v>
      </c>
      <c r="J203" s="606"/>
      <c r="K203" s="606"/>
      <c r="L203" s="605">
        <v>85.0</v>
      </c>
    </row>
    <row r="204" ht="14.25" customHeight="1">
      <c r="A204" s="429" t="s">
        <v>8160</v>
      </c>
      <c r="B204" s="429">
        <v>2024.0</v>
      </c>
      <c r="C204" s="429">
        <v>9.0</v>
      </c>
      <c r="D204" s="609"/>
      <c r="E204" s="604" t="s">
        <v>8424</v>
      </c>
      <c r="F204" s="604"/>
      <c r="G204" s="534" t="s">
        <v>7106</v>
      </c>
      <c r="H204" s="604" t="s">
        <v>2082</v>
      </c>
      <c r="I204" s="604">
        <v>1.0</v>
      </c>
      <c r="J204" s="604"/>
      <c r="K204" s="604"/>
      <c r="L204" s="605">
        <v>85.0</v>
      </c>
    </row>
    <row r="205" ht="14.25" customHeight="1">
      <c r="A205" s="429" t="s">
        <v>8160</v>
      </c>
      <c r="B205" s="429">
        <v>2024.0</v>
      </c>
      <c r="C205" s="429">
        <v>9.0</v>
      </c>
      <c r="D205" s="609"/>
      <c r="E205" s="604" t="s">
        <v>8424</v>
      </c>
      <c r="F205" s="604"/>
      <c r="G205" s="534" t="s">
        <v>7106</v>
      </c>
      <c r="H205" s="604" t="s">
        <v>2082</v>
      </c>
      <c r="I205" s="604">
        <v>1.0</v>
      </c>
      <c r="J205" s="604"/>
      <c r="K205" s="604"/>
      <c r="L205" s="605">
        <v>85.0</v>
      </c>
    </row>
    <row r="206" ht="14.25" customHeight="1">
      <c r="A206" s="429" t="s">
        <v>8160</v>
      </c>
      <c r="B206" s="429">
        <v>2024.0</v>
      </c>
      <c r="C206" s="429">
        <v>9.0</v>
      </c>
      <c r="D206" s="554">
        <v>45547.0</v>
      </c>
      <c r="E206" s="534" t="s">
        <v>7657</v>
      </c>
      <c r="F206" s="534" t="s">
        <v>8391</v>
      </c>
      <c r="G206" s="526" t="s">
        <v>7075</v>
      </c>
      <c r="H206" s="534" t="s">
        <v>8421</v>
      </c>
      <c r="I206" s="534">
        <v>1.0</v>
      </c>
      <c r="J206" s="534"/>
      <c r="K206" s="534"/>
      <c r="L206" s="610">
        <v>100.0</v>
      </c>
    </row>
    <row r="207" ht="14.25" customHeight="1">
      <c r="A207" s="429" t="s">
        <v>8160</v>
      </c>
      <c r="B207" s="429">
        <v>2024.0</v>
      </c>
      <c r="C207" s="429">
        <f t="shared" ref="C207:C252" si="11">MONTH(D207)</f>
        <v>9</v>
      </c>
      <c r="D207" s="554">
        <v>45554.0</v>
      </c>
      <c r="E207" s="534" t="s">
        <v>2600</v>
      </c>
      <c r="F207" s="534" t="s">
        <v>8425</v>
      </c>
      <c r="G207" s="534" t="s">
        <v>7106</v>
      </c>
      <c r="H207" s="534" t="s">
        <v>788</v>
      </c>
      <c r="I207" s="534">
        <v>1.0</v>
      </c>
      <c r="J207" s="534"/>
      <c r="K207" s="534"/>
      <c r="L207" s="610">
        <v>75.0</v>
      </c>
    </row>
    <row r="208" ht="14.25" customHeight="1">
      <c r="A208" s="429" t="s">
        <v>8426</v>
      </c>
      <c r="B208" s="429">
        <v>2024.0</v>
      </c>
      <c r="C208" s="429">
        <f t="shared" si="11"/>
        <v>9</v>
      </c>
      <c r="D208" s="611">
        <v>45559.0</v>
      </c>
      <c r="E208" s="612" t="s">
        <v>8327</v>
      </c>
      <c r="F208" s="612" t="s">
        <v>8159</v>
      </c>
      <c r="G208" s="526" t="s">
        <v>7075</v>
      </c>
      <c r="H208" s="612" t="s">
        <v>8427</v>
      </c>
      <c r="I208" s="612">
        <v>1.0</v>
      </c>
      <c r="J208" s="612"/>
      <c r="K208" s="612" t="s">
        <v>7393</v>
      </c>
      <c r="L208" s="612">
        <v>100.0</v>
      </c>
    </row>
    <row r="209" ht="14.25" customHeight="1">
      <c r="A209" s="429" t="s">
        <v>8426</v>
      </c>
      <c r="B209" s="429">
        <v>2024.0</v>
      </c>
      <c r="C209" s="429">
        <f t="shared" si="11"/>
        <v>9</v>
      </c>
      <c r="D209" s="611">
        <v>45559.0</v>
      </c>
      <c r="E209" s="612" t="s">
        <v>7559</v>
      </c>
      <c r="F209" s="612" t="s">
        <v>8428</v>
      </c>
      <c r="G209" s="526" t="s">
        <v>7075</v>
      </c>
      <c r="H209" s="612" t="s">
        <v>2153</v>
      </c>
      <c r="I209" s="612">
        <v>1.0</v>
      </c>
      <c r="J209" s="612"/>
      <c r="K209" s="612" t="s">
        <v>7393</v>
      </c>
      <c r="L209" s="613">
        <v>120.0</v>
      </c>
    </row>
    <row r="210" ht="14.25" customHeight="1">
      <c r="A210" s="429" t="s">
        <v>8426</v>
      </c>
      <c r="B210" s="429">
        <v>2024.0</v>
      </c>
      <c r="C210" s="429">
        <f t="shared" si="11"/>
        <v>9</v>
      </c>
      <c r="D210" s="611">
        <v>45559.0</v>
      </c>
      <c r="E210" s="612" t="s">
        <v>2615</v>
      </c>
      <c r="F210" s="612" t="s">
        <v>8429</v>
      </c>
      <c r="G210" s="526" t="s">
        <v>7075</v>
      </c>
      <c r="H210" s="612" t="s">
        <v>8377</v>
      </c>
      <c r="I210" s="612">
        <v>1.0</v>
      </c>
      <c r="J210" s="612"/>
      <c r="K210" s="612" t="s">
        <v>7393</v>
      </c>
      <c r="L210" s="613">
        <v>100.0</v>
      </c>
    </row>
    <row r="211" ht="14.25" customHeight="1">
      <c r="A211" s="429" t="s">
        <v>8426</v>
      </c>
      <c r="B211" s="429">
        <v>2024.0</v>
      </c>
      <c r="C211" s="429">
        <f t="shared" si="11"/>
        <v>9</v>
      </c>
      <c r="D211" s="611">
        <v>45559.0</v>
      </c>
      <c r="E211" s="612" t="s">
        <v>7598</v>
      </c>
      <c r="F211" s="612" t="s">
        <v>8430</v>
      </c>
      <c r="G211" s="526" t="s">
        <v>6613</v>
      </c>
      <c r="H211" s="612"/>
      <c r="I211" s="612">
        <v>1.0</v>
      </c>
      <c r="J211" s="612"/>
      <c r="K211" s="612" t="s">
        <v>7393</v>
      </c>
      <c r="L211" s="613">
        <v>70.0</v>
      </c>
    </row>
    <row r="212" ht="14.25" customHeight="1">
      <c r="A212" s="429" t="s">
        <v>8426</v>
      </c>
      <c r="B212" s="429">
        <v>2024.0</v>
      </c>
      <c r="C212" s="429">
        <f t="shared" si="11"/>
        <v>9</v>
      </c>
      <c r="D212" s="611">
        <v>45559.0</v>
      </c>
      <c r="E212" s="612" t="s">
        <v>7861</v>
      </c>
      <c r="F212" s="612" t="s">
        <v>8431</v>
      </c>
      <c r="G212" s="526" t="s">
        <v>7075</v>
      </c>
      <c r="H212" s="612" t="s">
        <v>2153</v>
      </c>
      <c r="I212" s="612">
        <v>1.0</v>
      </c>
      <c r="J212" s="612"/>
      <c r="K212" s="612" t="s">
        <v>7393</v>
      </c>
      <c r="L212" s="612">
        <v>120.0</v>
      </c>
    </row>
    <row r="213" ht="14.25" customHeight="1">
      <c r="A213" s="429" t="s">
        <v>8426</v>
      </c>
      <c r="B213" s="429">
        <v>2024.0</v>
      </c>
      <c r="C213" s="429">
        <f t="shared" si="11"/>
        <v>9</v>
      </c>
      <c r="D213" s="611">
        <v>45559.0</v>
      </c>
      <c r="E213" s="612" t="s">
        <v>2638</v>
      </c>
      <c r="F213" s="612" t="s">
        <v>8432</v>
      </c>
      <c r="G213" s="526" t="s">
        <v>7075</v>
      </c>
      <c r="H213" s="612" t="s">
        <v>2153</v>
      </c>
      <c r="I213" s="612">
        <v>1.0</v>
      </c>
      <c r="J213" s="612"/>
      <c r="K213" s="612" t="s">
        <v>2511</v>
      </c>
      <c r="L213" s="612">
        <v>120.0</v>
      </c>
    </row>
    <row r="214" ht="14.25" customHeight="1">
      <c r="A214" s="429" t="s">
        <v>8426</v>
      </c>
      <c r="B214" s="429">
        <v>2024.0</v>
      </c>
      <c r="C214" s="429">
        <f t="shared" si="11"/>
        <v>9</v>
      </c>
      <c r="D214" s="611">
        <v>45560.0</v>
      </c>
      <c r="E214" s="612" t="s">
        <v>2441</v>
      </c>
      <c r="F214" s="612" t="s">
        <v>8433</v>
      </c>
      <c r="G214" s="526" t="s">
        <v>7075</v>
      </c>
      <c r="H214" s="612" t="s">
        <v>8434</v>
      </c>
      <c r="I214" s="612">
        <v>1.0</v>
      </c>
      <c r="J214" s="612"/>
      <c r="K214" s="612" t="s">
        <v>3009</v>
      </c>
      <c r="L214" s="612">
        <v>120.0</v>
      </c>
    </row>
    <row r="215" ht="14.25" customHeight="1">
      <c r="A215" s="429" t="s">
        <v>8426</v>
      </c>
      <c r="B215" s="429">
        <v>2024.0</v>
      </c>
      <c r="C215" s="429">
        <f t="shared" si="11"/>
        <v>9</v>
      </c>
      <c r="D215" s="611">
        <v>45560.0</v>
      </c>
      <c r="E215" s="612" t="s">
        <v>7434</v>
      </c>
      <c r="F215" s="612" t="s">
        <v>8013</v>
      </c>
      <c r="G215" s="526" t="s">
        <v>7100</v>
      </c>
      <c r="H215" s="526" t="s">
        <v>2853</v>
      </c>
      <c r="I215" s="612">
        <v>1.0</v>
      </c>
      <c r="J215" s="612"/>
      <c r="K215" s="612" t="s">
        <v>7393</v>
      </c>
      <c r="L215" s="612">
        <v>145.0</v>
      </c>
    </row>
    <row r="216" ht="14.25" customHeight="1">
      <c r="A216" s="429" t="s">
        <v>8426</v>
      </c>
      <c r="B216" s="429">
        <v>2024.0</v>
      </c>
      <c r="C216" s="429">
        <f t="shared" si="11"/>
        <v>9</v>
      </c>
      <c r="D216" s="611">
        <v>45560.0</v>
      </c>
      <c r="E216" s="612" t="s">
        <v>2441</v>
      </c>
      <c r="F216" s="612" t="s">
        <v>2612</v>
      </c>
      <c r="G216" s="526" t="s">
        <v>7075</v>
      </c>
      <c r="H216" s="612" t="s">
        <v>8435</v>
      </c>
      <c r="I216" s="612">
        <v>1.0</v>
      </c>
      <c r="J216" s="612"/>
      <c r="K216" s="612" t="s">
        <v>7393</v>
      </c>
      <c r="L216" s="612">
        <v>120.0</v>
      </c>
    </row>
    <row r="217" ht="14.25" customHeight="1">
      <c r="A217" s="429" t="s">
        <v>8426</v>
      </c>
      <c r="B217" s="429">
        <v>2024.0</v>
      </c>
      <c r="C217" s="429">
        <f t="shared" si="11"/>
        <v>9</v>
      </c>
      <c r="D217" s="611">
        <v>45560.0</v>
      </c>
      <c r="E217" s="612" t="s">
        <v>7417</v>
      </c>
      <c r="F217" s="612" t="s">
        <v>8436</v>
      </c>
      <c r="G217" s="526" t="s">
        <v>7100</v>
      </c>
      <c r="H217" s="526" t="s">
        <v>259</v>
      </c>
      <c r="I217" s="612">
        <v>1.0</v>
      </c>
      <c r="J217" s="612"/>
      <c r="K217" s="612" t="s">
        <v>7393</v>
      </c>
      <c r="L217" s="612">
        <v>145.0</v>
      </c>
    </row>
    <row r="218" ht="14.25" customHeight="1">
      <c r="A218" s="429" t="s">
        <v>8426</v>
      </c>
      <c r="B218" s="429">
        <v>2024.0</v>
      </c>
      <c r="C218" s="429">
        <f t="shared" si="11"/>
        <v>9</v>
      </c>
      <c r="D218" s="611">
        <v>45560.0</v>
      </c>
      <c r="E218" s="612" t="s">
        <v>2600</v>
      </c>
      <c r="F218" s="612" t="s">
        <v>8437</v>
      </c>
      <c r="G218" s="526" t="s">
        <v>7100</v>
      </c>
      <c r="H218" s="526" t="s">
        <v>248</v>
      </c>
      <c r="I218" s="612">
        <v>1.0</v>
      </c>
      <c r="J218" s="612"/>
      <c r="K218" s="612" t="s">
        <v>7393</v>
      </c>
      <c r="L218" s="612">
        <v>170.0</v>
      </c>
    </row>
    <row r="219" ht="14.25" customHeight="1">
      <c r="A219" s="429" t="s">
        <v>8426</v>
      </c>
      <c r="B219" s="429">
        <v>2024.0</v>
      </c>
      <c r="C219" s="429">
        <f t="shared" si="11"/>
        <v>9</v>
      </c>
      <c r="D219" s="611">
        <v>45560.0</v>
      </c>
      <c r="E219" s="612" t="s">
        <v>8408</v>
      </c>
      <c r="F219" s="612" t="s">
        <v>8438</v>
      </c>
      <c r="G219" s="526" t="s">
        <v>7075</v>
      </c>
      <c r="H219" s="612" t="s">
        <v>6633</v>
      </c>
      <c r="I219" s="612">
        <v>1.0</v>
      </c>
      <c r="J219" s="612"/>
      <c r="K219" s="612" t="s">
        <v>7393</v>
      </c>
      <c r="L219" s="612">
        <v>100.0</v>
      </c>
    </row>
    <row r="220" ht="14.25" customHeight="1">
      <c r="A220" s="429" t="s">
        <v>8426</v>
      </c>
      <c r="B220" s="429">
        <v>2024.0</v>
      </c>
      <c r="C220" s="429">
        <f t="shared" si="11"/>
        <v>9</v>
      </c>
      <c r="D220" s="611">
        <v>45560.0</v>
      </c>
      <c r="E220" s="612" t="s">
        <v>8082</v>
      </c>
      <c r="F220" s="612" t="s">
        <v>8439</v>
      </c>
      <c r="G220" s="526" t="s">
        <v>7075</v>
      </c>
      <c r="H220" s="612" t="s">
        <v>2121</v>
      </c>
      <c r="I220" s="612">
        <v>1.0</v>
      </c>
      <c r="J220" s="612"/>
      <c r="K220" s="612" t="s">
        <v>7393</v>
      </c>
      <c r="L220" s="612">
        <v>100.0</v>
      </c>
    </row>
    <row r="221" ht="14.25" customHeight="1">
      <c r="A221" s="429" t="s">
        <v>8426</v>
      </c>
      <c r="B221" s="429">
        <v>2024.0</v>
      </c>
      <c r="C221" s="429">
        <f t="shared" si="11"/>
        <v>9</v>
      </c>
      <c r="D221" s="611">
        <v>45560.0</v>
      </c>
      <c r="E221" s="612" t="s">
        <v>7396</v>
      </c>
      <c r="F221" s="612" t="s">
        <v>8440</v>
      </c>
      <c r="G221" s="612"/>
      <c r="H221" s="612"/>
      <c r="I221" s="612">
        <v>1.0</v>
      </c>
      <c r="J221" s="612"/>
      <c r="K221" s="612" t="s">
        <v>2558</v>
      </c>
      <c r="L221" s="612"/>
    </row>
    <row r="222" ht="14.25" customHeight="1">
      <c r="A222" s="429" t="s">
        <v>8426</v>
      </c>
      <c r="B222" s="429">
        <v>2024.0</v>
      </c>
      <c r="C222" s="429">
        <f t="shared" si="11"/>
        <v>9</v>
      </c>
      <c r="D222" s="576">
        <v>45560.0</v>
      </c>
      <c r="E222" s="614" t="s">
        <v>2600</v>
      </c>
      <c r="F222" s="614" t="s">
        <v>8441</v>
      </c>
      <c r="G222" s="526" t="s">
        <v>7075</v>
      </c>
      <c r="H222" s="614" t="s">
        <v>8442</v>
      </c>
      <c r="I222" s="614">
        <v>1.0</v>
      </c>
      <c r="J222" s="614"/>
      <c r="K222" s="614"/>
      <c r="L222" s="614">
        <v>100.0</v>
      </c>
    </row>
    <row r="223" ht="14.25" customHeight="1">
      <c r="A223" s="429" t="s">
        <v>8426</v>
      </c>
      <c r="B223" s="429">
        <v>2024.0</v>
      </c>
      <c r="C223" s="429">
        <f t="shared" si="11"/>
        <v>9</v>
      </c>
      <c r="D223" s="611">
        <v>45561.0</v>
      </c>
      <c r="E223" s="612" t="s">
        <v>2597</v>
      </c>
      <c r="F223" s="612" t="s">
        <v>8443</v>
      </c>
      <c r="G223" s="526" t="s">
        <v>7075</v>
      </c>
      <c r="H223" s="612" t="s">
        <v>2121</v>
      </c>
      <c r="I223" s="612">
        <v>1.0</v>
      </c>
      <c r="J223" s="612"/>
      <c r="K223" s="612" t="s">
        <v>2511</v>
      </c>
      <c r="L223" s="612">
        <v>100.0</v>
      </c>
    </row>
    <row r="224" ht="14.25" customHeight="1">
      <c r="A224" s="429" t="s">
        <v>8426</v>
      </c>
      <c r="B224" s="429">
        <v>2024.0</v>
      </c>
      <c r="C224" s="429">
        <f t="shared" si="11"/>
        <v>9</v>
      </c>
      <c r="D224" s="611">
        <v>45561.0</v>
      </c>
      <c r="E224" s="612" t="s">
        <v>8444</v>
      </c>
      <c r="F224" s="612" t="s">
        <v>8445</v>
      </c>
      <c r="G224" s="526" t="s">
        <v>7075</v>
      </c>
      <c r="H224" s="612" t="s">
        <v>2153</v>
      </c>
      <c r="I224" s="612">
        <v>1.0</v>
      </c>
      <c r="J224" s="612"/>
      <c r="K224" s="612" t="s">
        <v>7393</v>
      </c>
      <c r="L224" s="612">
        <v>120.0</v>
      </c>
    </row>
    <row r="225" ht="14.25" customHeight="1">
      <c r="A225" s="429" t="s">
        <v>8426</v>
      </c>
      <c r="B225" s="429">
        <v>2024.0</v>
      </c>
      <c r="C225" s="429">
        <f t="shared" si="11"/>
        <v>9</v>
      </c>
      <c r="D225" s="611">
        <v>45562.0</v>
      </c>
      <c r="E225" s="612" t="s">
        <v>8446</v>
      </c>
      <c r="F225" s="612"/>
      <c r="G225" s="526" t="s">
        <v>7075</v>
      </c>
      <c r="H225" s="612" t="s">
        <v>8434</v>
      </c>
      <c r="I225" s="612">
        <v>1.0</v>
      </c>
      <c r="J225" s="612"/>
      <c r="K225" s="612" t="s">
        <v>2511</v>
      </c>
      <c r="L225" s="612">
        <v>120.0</v>
      </c>
    </row>
    <row r="226" ht="14.25" customHeight="1">
      <c r="A226" s="429" t="s">
        <v>8426</v>
      </c>
      <c r="B226" s="429">
        <v>2024.0</v>
      </c>
      <c r="C226" s="429">
        <f t="shared" si="11"/>
        <v>9</v>
      </c>
      <c r="D226" s="611">
        <v>45561.0</v>
      </c>
      <c r="E226" s="612" t="s">
        <v>2623</v>
      </c>
      <c r="F226" s="612" t="s">
        <v>8447</v>
      </c>
      <c r="G226" s="526" t="s">
        <v>7100</v>
      </c>
      <c r="H226" s="526" t="s">
        <v>248</v>
      </c>
      <c r="I226" s="612">
        <v>1.0</v>
      </c>
      <c r="J226" s="612"/>
      <c r="K226" s="612" t="s">
        <v>7393</v>
      </c>
      <c r="L226" s="612">
        <v>170.0</v>
      </c>
    </row>
    <row r="227" ht="14.25" customHeight="1">
      <c r="A227" s="429" t="s">
        <v>8426</v>
      </c>
      <c r="B227" s="429">
        <v>2024.0</v>
      </c>
      <c r="C227" s="429">
        <f t="shared" si="11"/>
        <v>9</v>
      </c>
      <c r="D227" s="611">
        <v>45562.0</v>
      </c>
      <c r="E227" s="612" t="s">
        <v>2594</v>
      </c>
      <c r="F227" s="612" t="s">
        <v>8448</v>
      </c>
      <c r="G227" s="526" t="s">
        <v>7075</v>
      </c>
      <c r="H227" s="612" t="s">
        <v>8449</v>
      </c>
      <c r="I227" s="612">
        <v>1.0</v>
      </c>
      <c r="J227" s="612"/>
      <c r="K227" s="612" t="s">
        <v>7393</v>
      </c>
      <c r="L227" s="612">
        <v>120.0</v>
      </c>
    </row>
    <row r="228" ht="14.25" customHeight="1">
      <c r="A228" s="429" t="s">
        <v>8426</v>
      </c>
      <c r="B228" s="429">
        <v>2024.0</v>
      </c>
      <c r="C228" s="429">
        <f t="shared" si="11"/>
        <v>9</v>
      </c>
      <c r="D228" s="611">
        <v>45562.0</v>
      </c>
      <c r="E228" s="612" t="s">
        <v>2594</v>
      </c>
      <c r="F228" s="612" t="s">
        <v>8448</v>
      </c>
      <c r="G228" s="526" t="s">
        <v>7075</v>
      </c>
      <c r="H228" s="612" t="s">
        <v>201</v>
      </c>
      <c r="I228" s="612">
        <v>1.0</v>
      </c>
      <c r="J228" s="612"/>
      <c r="K228" s="612" t="s">
        <v>7393</v>
      </c>
      <c r="L228" s="612">
        <v>95.0</v>
      </c>
    </row>
    <row r="229" ht="14.25" customHeight="1">
      <c r="A229" s="429" t="s">
        <v>8426</v>
      </c>
      <c r="B229" s="429">
        <v>2024.0</v>
      </c>
      <c r="C229" s="429">
        <f t="shared" si="11"/>
        <v>9</v>
      </c>
      <c r="D229" s="611">
        <v>45562.0</v>
      </c>
      <c r="E229" s="612" t="s">
        <v>7760</v>
      </c>
      <c r="F229" s="612" t="s">
        <v>8450</v>
      </c>
      <c r="G229" s="526" t="s">
        <v>7100</v>
      </c>
      <c r="H229" s="526" t="s">
        <v>248</v>
      </c>
      <c r="I229" s="612">
        <v>1.0</v>
      </c>
      <c r="J229" s="612"/>
      <c r="K229" s="612" t="s">
        <v>7393</v>
      </c>
      <c r="L229" s="612">
        <v>170.0</v>
      </c>
    </row>
    <row r="230" ht="14.25" customHeight="1">
      <c r="A230" s="429" t="s">
        <v>8426</v>
      </c>
      <c r="B230" s="429">
        <v>2024.0</v>
      </c>
      <c r="C230" s="429">
        <f t="shared" si="11"/>
        <v>9</v>
      </c>
      <c r="D230" s="611">
        <v>45562.0</v>
      </c>
      <c r="E230" s="612" t="s">
        <v>2780</v>
      </c>
      <c r="F230" s="612" t="s">
        <v>2781</v>
      </c>
      <c r="G230" s="526" t="s">
        <v>7611</v>
      </c>
      <c r="H230" s="612" t="s">
        <v>8293</v>
      </c>
      <c r="I230" s="612">
        <v>1.0</v>
      </c>
      <c r="J230" s="612"/>
      <c r="K230" s="612" t="s">
        <v>3009</v>
      </c>
      <c r="L230" s="612">
        <v>68.0</v>
      </c>
    </row>
    <row r="231" ht="14.25" customHeight="1">
      <c r="A231" s="429" t="s">
        <v>8426</v>
      </c>
      <c r="B231" s="429">
        <v>2024.0</v>
      </c>
      <c r="C231" s="429">
        <f t="shared" si="11"/>
        <v>9</v>
      </c>
      <c r="D231" s="611">
        <v>45562.0</v>
      </c>
      <c r="E231" s="612" t="s">
        <v>7406</v>
      </c>
      <c r="F231" s="612" t="s">
        <v>8451</v>
      </c>
      <c r="G231" s="526" t="s">
        <v>7075</v>
      </c>
      <c r="H231" s="612" t="s">
        <v>8452</v>
      </c>
      <c r="I231" s="612">
        <v>1.0</v>
      </c>
      <c r="J231" s="612"/>
      <c r="K231" s="612" t="s">
        <v>7393</v>
      </c>
      <c r="L231" s="612">
        <v>120.0</v>
      </c>
    </row>
    <row r="232" ht="14.25" customHeight="1">
      <c r="A232" s="429" t="s">
        <v>8426</v>
      </c>
      <c r="B232" s="429">
        <v>2024.0</v>
      </c>
      <c r="C232" s="429">
        <f t="shared" si="11"/>
        <v>9</v>
      </c>
      <c r="D232" s="611">
        <v>45562.0</v>
      </c>
      <c r="E232" s="612" t="s">
        <v>7489</v>
      </c>
      <c r="F232" s="612" t="s">
        <v>8453</v>
      </c>
      <c r="G232" s="526" t="s">
        <v>7075</v>
      </c>
      <c r="H232" s="612" t="s">
        <v>8449</v>
      </c>
      <c r="I232" s="612">
        <v>1.0</v>
      </c>
      <c r="J232" s="612"/>
      <c r="K232" s="612" t="s">
        <v>7393</v>
      </c>
      <c r="L232" s="612">
        <v>120.0</v>
      </c>
    </row>
    <row r="233" ht="14.25" customHeight="1">
      <c r="A233" s="429" t="s">
        <v>8426</v>
      </c>
      <c r="B233" s="429">
        <v>2024.0</v>
      </c>
      <c r="C233" s="429">
        <f t="shared" si="11"/>
        <v>9</v>
      </c>
      <c r="D233" s="611">
        <v>45562.0</v>
      </c>
      <c r="E233" s="612" t="s">
        <v>7419</v>
      </c>
      <c r="F233" s="612" t="s">
        <v>2784</v>
      </c>
      <c r="G233" s="526" t="s">
        <v>7075</v>
      </c>
      <c r="H233" s="612" t="s">
        <v>8449</v>
      </c>
      <c r="I233" s="612">
        <v>1.0</v>
      </c>
      <c r="J233" s="612"/>
      <c r="K233" s="612" t="s">
        <v>7393</v>
      </c>
      <c r="L233" s="612">
        <v>120.0</v>
      </c>
    </row>
    <row r="234" ht="14.25" customHeight="1">
      <c r="A234" s="429" t="s">
        <v>8426</v>
      </c>
      <c r="B234" s="429">
        <v>2024.0</v>
      </c>
      <c r="C234" s="429">
        <f t="shared" si="11"/>
        <v>9</v>
      </c>
      <c r="D234" s="611">
        <v>45562.0</v>
      </c>
      <c r="E234" s="612" t="s">
        <v>7419</v>
      </c>
      <c r="F234" s="612" t="s">
        <v>2784</v>
      </c>
      <c r="G234" s="526" t="s">
        <v>7395</v>
      </c>
      <c r="H234" s="612"/>
      <c r="I234" s="612">
        <v>2.0</v>
      </c>
      <c r="J234" s="612"/>
      <c r="K234" s="612" t="s">
        <v>7393</v>
      </c>
      <c r="L234" s="612">
        <v>55.0</v>
      </c>
    </row>
    <row r="235" ht="14.25" customHeight="1">
      <c r="A235" s="429" t="s">
        <v>8426</v>
      </c>
      <c r="B235" s="429">
        <v>2024.0</v>
      </c>
      <c r="C235" s="429">
        <f t="shared" si="11"/>
        <v>9</v>
      </c>
      <c r="D235" s="611">
        <v>45562.0</v>
      </c>
      <c r="E235" s="612" t="s">
        <v>2768</v>
      </c>
      <c r="F235" s="612" t="s">
        <v>2769</v>
      </c>
      <c r="G235" s="526" t="s">
        <v>7075</v>
      </c>
      <c r="H235" s="612" t="s">
        <v>8449</v>
      </c>
      <c r="I235" s="612">
        <v>1.0</v>
      </c>
      <c r="J235" s="612"/>
      <c r="K235" s="612" t="s">
        <v>7393</v>
      </c>
      <c r="L235" s="612">
        <v>120.0</v>
      </c>
    </row>
    <row r="236" ht="14.25" customHeight="1">
      <c r="A236" s="429" t="s">
        <v>8426</v>
      </c>
      <c r="B236" s="429">
        <v>2024.0</v>
      </c>
      <c r="C236" s="429">
        <f t="shared" si="11"/>
        <v>9</v>
      </c>
      <c r="D236" s="611">
        <v>45562.0</v>
      </c>
      <c r="E236" s="612" t="s">
        <v>7408</v>
      </c>
      <c r="F236" s="612" t="s">
        <v>8454</v>
      </c>
      <c r="G236" s="526" t="s">
        <v>7075</v>
      </c>
      <c r="H236" s="612" t="s">
        <v>2121</v>
      </c>
      <c r="I236" s="612">
        <v>1.0</v>
      </c>
      <c r="J236" s="612"/>
      <c r="K236" s="612" t="s">
        <v>7393</v>
      </c>
      <c r="L236" s="612">
        <v>100.0</v>
      </c>
    </row>
    <row r="237" ht="14.25" customHeight="1">
      <c r="A237" s="429" t="s">
        <v>8426</v>
      </c>
      <c r="B237" s="429">
        <v>2024.0</v>
      </c>
      <c r="C237" s="429">
        <f t="shared" si="11"/>
        <v>9</v>
      </c>
      <c r="D237" s="611">
        <v>45563.0</v>
      </c>
      <c r="E237" s="612" t="s">
        <v>2607</v>
      </c>
      <c r="F237" s="612" t="s">
        <v>8455</v>
      </c>
      <c r="G237" s="526" t="s">
        <v>7075</v>
      </c>
      <c r="H237" s="612" t="s">
        <v>8456</v>
      </c>
      <c r="I237" s="612">
        <v>1.0</v>
      </c>
      <c r="J237" s="612"/>
      <c r="K237" s="612" t="s">
        <v>7393</v>
      </c>
      <c r="L237" s="612">
        <v>110.0</v>
      </c>
    </row>
    <row r="238" ht="14.25" customHeight="1">
      <c r="A238" s="429" t="s">
        <v>8426</v>
      </c>
      <c r="B238" s="429">
        <v>2024.0</v>
      </c>
      <c r="C238" s="429">
        <f t="shared" si="11"/>
        <v>9</v>
      </c>
      <c r="D238" s="611">
        <v>45563.0</v>
      </c>
      <c r="E238" s="612" t="s">
        <v>2193</v>
      </c>
      <c r="F238" s="612" t="s">
        <v>8457</v>
      </c>
      <c r="G238" s="526" t="s">
        <v>7075</v>
      </c>
      <c r="H238" s="612" t="s">
        <v>7092</v>
      </c>
      <c r="I238" s="612">
        <v>1.0</v>
      </c>
      <c r="J238" s="612"/>
      <c r="K238" s="612" t="s">
        <v>7393</v>
      </c>
      <c r="L238" s="612">
        <v>100.0</v>
      </c>
    </row>
    <row r="239" ht="14.25" customHeight="1">
      <c r="A239" s="429" t="s">
        <v>8426</v>
      </c>
      <c r="B239" s="429">
        <v>2024.0</v>
      </c>
      <c r="C239" s="429">
        <f t="shared" si="11"/>
        <v>9</v>
      </c>
      <c r="D239" s="611">
        <v>45563.0</v>
      </c>
      <c r="E239" s="612" t="s">
        <v>2780</v>
      </c>
      <c r="F239" s="612" t="s">
        <v>8458</v>
      </c>
      <c r="G239" s="526" t="s">
        <v>6613</v>
      </c>
      <c r="H239" s="612"/>
      <c r="I239" s="612">
        <v>1.0</v>
      </c>
      <c r="J239" s="612"/>
      <c r="K239" s="612" t="s">
        <v>2511</v>
      </c>
      <c r="L239" s="612">
        <v>70.0</v>
      </c>
    </row>
    <row r="240" ht="14.25" customHeight="1">
      <c r="A240" s="429" t="s">
        <v>8426</v>
      </c>
      <c r="B240" s="429">
        <v>2024.0</v>
      </c>
      <c r="C240" s="429">
        <f t="shared" si="11"/>
        <v>9</v>
      </c>
      <c r="D240" s="611">
        <v>45563.0</v>
      </c>
      <c r="E240" s="612" t="s">
        <v>2638</v>
      </c>
      <c r="F240" s="612" t="s">
        <v>8459</v>
      </c>
      <c r="G240" s="526" t="s">
        <v>7100</v>
      </c>
      <c r="H240" s="526" t="s">
        <v>248</v>
      </c>
      <c r="I240" s="612">
        <v>1.0</v>
      </c>
      <c r="J240" s="612"/>
      <c r="K240" s="612" t="s">
        <v>7393</v>
      </c>
      <c r="L240" s="612">
        <v>170.0</v>
      </c>
    </row>
    <row r="241" ht="14.25" customHeight="1">
      <c r="A241" s="429" t="s">
        <v>8426</v>
      </c>
      <c r="B241" s="429">
        <v>2024.0</v>
      </c>
      <c r="C241" s="429">
        <f t="shared" si="11"/>
        <v>9</v>
      </c>
      <c r="D241" s="611">
        <v>45563.0</v>
      </c>
      <c r="E241" s="612" t="s">
        <v>2607</v>
      </c>
      <c r="F241" s="612" t="s">
        <v>8460</v>
      </c>
      <c r="G241" s="526" t="s">
        <v>7075</v>
      </c>
      <c r="H241" s="612" t="s">
        <v>8461</v>
      </c>
      <c r="I241" s="612">
        <v>1.0</v>
      </c>
      <c r="J241" s="612"/>
      <c r="K241" s="612" t="s">
        <v>7393</v>
      </c>
      <c r="L241" s="612">
        <v>120.0</v>
      </c>
    </row>
    <row r="242" ht="14.25" customHeight="1">
      <c r="A242" s="429" t="s">
        <v>8426</v>
      </c>
      <c r="B242" s="429">
        <v>2024.0</v>
      </c>
      <c r="C242" s="429">
        <f t="shared" si="11"/>
        <v>9</v>
      </c>
      <c r="D242" s="611">
        <v>45563.0</v>
      </c>
      <c r="E242" s="612" t="s">
        <v>8462</v>
      </c>
      <c r="F242" s="612" t="s">
        <v>8463</v>
      </c>
      <c r="G242" s="526" t="s">
        <v>7075</v>
      </c>
      <c r="H242" s="612" t="s">
        <v>2121</v>
      </c>
      <c r="I242" s="612">
        <v>1.0</v>
      </c>
      <c r="J242" s="612"/>
      <c r="K242" s="612" t="s">
        <v>7393</v>
      </c>
      <c r="L242" s="612">
        <v>100.0</v>
      </c>
    </row>
    <row r="243" ht="14.25" customHeight="1">
      <c r="A243" s="429" t="s">
        <v>8426</v>
      </c>
      <c r="B243" s="429">
        <v>2024.0</v>
      </c>
      <c r="C243" s="429">
        <f t="shared" si="11"/>
        <v>9</v>
      </c>
      <c r="D243" s="611">
        <v>45564.0</v>
      </c>
      <c r="E243" s="612" t="s">
        <v>7678</v>
      </c>
      <c r="F243" s="612" t="s">
        <v>8464</v>
      </c>
      <c r="G243" s="526" t="s">
        <v>7100</v>
      </c>
      <c r="H243" s="526" t="s">
        <v>248</v>
      </c>
      <c r="I243" s="612">
        <v>1.0</v>
      </c>
      <c r="J243" s="612"/>
      <c r="K243" s="612" t="s">
        <v>7393</v>
      </c>
      <c r="L243" s="612">
        <v>170.0</v>
      </c>
    </row>
    <row r="244" ht="14.25" customHeight="1">
      <c r="A244" s="429" t="s">
        <v>8426</v>
      </c>
      <c r="B244" s="429">
        <v>2024.0</v>
      </c>
      <c r="C244" s="429">
        <f t="shared" si="11"/>
        <v>9</v>
      </c>
      <c r="D244" s="611">
        <v>45564.0</v>
      </c>
      <c r="E244" s="612" t="s">
        <v>7554</v>
      </c>
      <c r="F244" s="612" t="s">
        <v>8465</v>
      </c>
      <c r="G244" s="526" t="s">
        <v>7075</v>
      </c>
      <c r="H244" s="612" t="s">
        <v>8461</v>
      </c>
      <c r="I244" s="612">
        <v>1.0</v>
      </c>
      <c r="J244" s="612"/>
      <c r="K244" s="612" t="s">
        <v>7393</v>
      </c>
      <c r="L244" s="612">
        <v>120.0</v>
      </c>
    </row>
    <row r="245" ht="14.25" customHeight="1">
      <c r="A245" s="429" t="s">
        <v>8426</v>
      </c>
      <c r="B245" s="429">
        <v>2024.0</v>
      </c>
      <c r="C245" s="429">
        <f t="shared" si="11"/>
        <v>9</v>
      </c>
      <c r="D245" s="611">
        <v>45564.0</v>
      </c>
      <c r="E245" s="612" t="s">
        <v>8466</v>
      </c>
      <c r="F245" s="612"/>
      <c r="G245" s="526" t="s">
        <v>7075</v>
      </c>
      <c r="H245" s="612" t="s">
        <v>8332</v>
      </c>
      <c r="I245" s="612">
        <v>1.0</v>
      </c>
      <c r="J245" s="612"/>
      <c r="K245" s="612" t="s">
        <v>2511</v>
      </c>
      <c r="L245" s="612">
        <v>90.0</v>
      </c>
    </row>
    <row r="246" ht="14.25" customHeight="1">
      <c r="A246" s="429" t="s">
        <v>8160</v>
      </c>
      <c r="B246" s="429">
        <v>2024.0</v>
      </c>
      <c r="C246" s="429">
        <f t="shared" si="11"/>
        <v>9</v>
      </c>
      <c r="D246" s="554">
        <v>45565.0</v>
      </c>
      <c r="E246" s="534" t="s">
        <v>7515</v>
      </c>
      <c r="F246" s="534" t="s">
        <v>7910</v>
      </c>
      <c r="G246" s="526" t="s">
        <v>7075</v>
      </c>
      <c r="H246" s="534" t="s">
        <v>8467</v>
      </c>
      <c r="I246" s="534">
        <v>1.0</v>
      </c>
      <c r="J246" s="534"/>
      <c r="K246" s="534" t="s">
        <v>3009</v>
      </c>
      <c r="L246" s="534">
        <v>120.0</v>
      </c>
    </row>
    <row r="247" ht="14.25" customHeight="1">
      <c r="A247" s="429" t="s">
        <v>8160</v>
      </c>
      <c r="B247" s="429">
        <v>2024.0</v>
      </c>
      <c r="C247" s="429">
        <f t="shared" si="11"/>
        <v>9</v>
      </c>
      <c r="D247" s="554">
        <v>45565.0</v>
      </c>
      <c r="E247" s="534" t="s">
        <v>2193</v>
      </c>
      <c r="F247" s="534" t="s">
        <v>8468</v>
      </c>
      <c r="G247" s="526" t="s">
        <v>7075</v>
      </c>
      <c r="H247" s="534" t="s">
        <v>8469</v>
      </c>
      <c r="I247" s="534">
        <v>1.0</v>
      </c>
      <c r="J247" s="534"/>
      <c r="K247" s="534" t="s">
        <v>3009</v>
      </c>
      <c r="L247" s="534">
        <v>120.0</v>
      </c>
    </row>
    <row r="248" ht="14.25" customHeight="1">
      <c r="A248" s="429" t="s">
        <v>8160</v>
      </c>
      <c r="B248" s="429">
        <v>2024.0</v>
      </c>
      <c r="C248" s="429">
        <f t="shared" si="11"/>
        <v>10</v>
      </c>
      <c r="D248" s="554">
        <v>45566.0</v>
      </c>
      <c r="E248" s="534" t="s">
        <v>2594</v>
      </c>
      <c r="F248" s="534" t="s">
        <v>8448</v>
      </c>
      <c r="G248" s="526" t="s">
        <v>7075</v>
      </c>
      <c r="H248" s="534" t="s">
        <v>6939</v>
      </c>
      <c r="I248" s="534">
        <v>1.0</v>
      </c>
      <c r="J248" s="534"/>
      <c r="K248" s="534"/>
      <c r="L248" s="534">
        <v>120.0</v>
      </c>
    </row>
    <row r="249" ht="14.25" customHeight="1">
      <c r="A249" s="429" t="s">
        <v>8160</v>
      </c>
      <c r="B249" s="429">
        <v>2024.0</v>
      </c>
      <c r="C249" s="429">
        <f t="shared" si="11"/>
        <v>10</v>
      </c>
      <c r="D249" s="554">
        <v>45566.0</v>
      </c>
      <c r="E249" s="534" t="s">
        <v>7766</v>
      </c>
      <c r="F249" s="534"/>
      <c r="G249" s="526" t="s">
        <v>7075</v>
      </c>
      <c r="H249" s="534" t="s">
        <v>6633</v>
      </c>
      <c r="I249" s="534">
        <v>1.0</v>
      </c>
      <c r="J249" s="534"/>
      <c r="K249" s="534" t="s">
        <v>8274</v>
      </c>
      <c r="L249" s="534">
        <v>80.0</v>
      </c>
    </row>
    <row r="250" ht="14.25" customHeight="1">
      <c r="A250" s="429" t="s">
        <v>8160</v>
      </c>
      <c r="B250" s="429">
        <v>2024.0</v>
      </c>
      <c r="C250" s="429">
        <f t="shared" si="11"/>
        <v>10</v>
      </c>
      <c r="D250" s="554">
        <v>45568.0</v>
      </c>
      <c r="E250" s="534" t="s">
        <v>8252</v>
      </c>
      <c r="F250" s="534"/>
      <c r="G250" s="526" t="s">
        <v>7075</v>
      </c>
      <c r="H250" s="534" t="s">
        <v>8401</v>
      </c>
      <c r="I250" s="534">
        <v>1.0</v>
      </c>
      <c r="J250" s="534"/>
      <c r="K250" s="534" t="s">
        <v>2511</v>
      </c>
      <c r="L250" s="534">
        <v>120.0</v>
      </c>
    </row>
    <row r="251" ht="14.25" customHeight="1">
      <c r="A251" s="429" t="s">
        <v>8160</v>
      </c>
      <c r="B251" s="429">
        <v>2024.0</v>
      </c>
      <c r="C251" s="429">
        <f t="shared" si="11"/>
        <v>10</v>
      </c>
      <c r="D251" s="554">
        <v>45569.0</v>
      </c>
      <c r="E251" s="534" t="s">
        <v>7657</v>
      </c>
      <c r="F251" s="534" t="s">
        <v>8470</v>
      </c>
      <c r="G251" s="526" t="s">
        <v>7075</v>
      </c>
      <c r="H251" s="534" t="s">
        <v>8393</v>
      </c>
      <c r="I251" s="534">
        <v>1.0</v>
      </c>
      <c r="J251" s="534"/>
      <c r="K251" s="534"/>
      <c r="L251" s="534">
        <v>80.0</v>
      </c>
    </row>
    <row r="252" ht="14.25" customHeight="1">
      <c r="A252" s="429" t="s">
        <v>8160</v>
      </c>
      <c r="B252" s="429">
        <v>2024.0</v>
      </c>
      <c r="C252" s="429">
        <f t="shared" si="11"/>
        <v>10</v>
      </c>
      <c r="D252" s="554">
        <v>45569.0</v>
      </c>
      <c r="E252" s="534" t="s">
        <v>2547</v>
      </c>
      <c r="F252" s="534" t="s">
        <v>2548</v>
      </c>
      <c r="G252" s="526" t="s">
        <v>7075</v>
      </c>
      <c r="H252" s="534" t="s">
        <v>8393</v>
      </c>
      <c r="I252" s="534">
        <v>1.0</v>
      </c>
      <c r="J252" s="534"/>
      <c r="K252" s="534"/>
      <c r="L252" s="534">
        <v>120.0</v>
      </c>
    </row>
    <row r="253" ht="14.25" customHeight="1">
      <c r="A253" s="429" t="s">
        <v>8160</v>
      </c>
      <c r="B253" s="429">
        <v>2024.0</v>
      </c>
      <c r="C253" s="429">
        <v>10.0</v>
      </c>
      <c r="D253" s="534"/>
      <c r="E253" s="534" t="s">
        <v>8471</v>
      </c>
      <c r="F253" s="534" t="s">
        <v>8472</v>
      </c>
      <c r="G253" s="526" t="s">
        <v>7100</v>
      </c>
      <c r="H253" s="526" t="s">
        <v>2853</v>
      </c>
      <c r="I253" s="534">
        <v>1.0</v>
      </c>
      <c r="J253" s="534"/>
      <c r="K253" s="534"/>
      <c r="L253" s="534">
        <v>60.0</v>
      </c>
    </row>
    <row r="254" ht="14.25" customHeight="1">
      <c r="A254" s="429" t="s">
        <v>8160</v>
      </c>
      <c r="B254" s="429">
        <v>2024.0</v>
      </c>
      <c r="C254" s="429">
        <v>10.0</v>
      </c>
      <c r="D254" s="534"/>
      <c r="E254" s="534" t="s">
        <v>2578</v>
      </c>
      <c r="F254" s="534" t="s">
        <v>2579</v>
      </c>
      <c r="G254" s="526" t="s">
        <v>7100</v>
      </c>
      <c r="H254" s="526" t="s">
        <v>248</v>
      </c>
      <c r="I254" s="534">
        <v>1.0</v>
      </c>
      <c r="J254" s="534"/>
      <c r="K254" s="534" t="s">
        <v>8473</v>
      </c>
      <c r="L254" s="534">
        <v>170.0</v>
      </c>
    </row>
    <row r="255" ht="14.25" customHeight="1">
      <c r="A255" s="429" t="s">
        <v>8160</v>
      </c>
      <c r="B255" s="429">
        <v>2024.0</v>
      </c>
      <c r="C255" s="429">
        <v>10.0</v>
      </c>
      <c r="D255" s="534"/>
      <c r="E255" s="534" t="s">
        <v>2561</v>
      </c>
      <c r="F255" s="534" t="s">
        <v>7797</v>
      </c>
      <c r="G255" s="526" t="s">
        <v>7075</v>
      </c>
      <c r="H255" s="534" t="s">
        <v>6638</v>
      </c>
      <c r="I255" s="534">
        <v>1.0</v>
      </c>
      <c r="J255" s="534"/>
      <c r="K255" s="534" t="s">
        <v>8474</v>
      </c>
      <c r="L255" s="534">
        <v>96.0</v>
      </c>
    </row>
    <row r="256" ht="14.25" customHeight="1">
      <c r="A256" s="429" t="s">
        <v>8160</v>
      </c>
      <c r="B256" s="429">
        <v>2024.0</v>
      </c>
      <c r="C256" s="429">
        <v>10.0</v>
      </c>
      <c r="D256" s="534"/>
      <c r="E256" s="534" t="s">
        <v>7515</v>
      </c>
      <c r="F256" s="534" t="s">
        <v>7797</v>
      </c>
      <c r="G256" s="526" t="s">
        <v>7395</v>
      </c>
      <c r="H256" s="534"/>
      <c r="I256" s="534">
        <v>1.0</v>
      </c>
      <c r="J256" s="534"/>
      <c r="K256" s="534" t="s">
        <v>8475</v>
      </c>
      <c r="L256" s="534">
        <v>40.0</v>
      </c>
    </row>
    <row r="257" ht="14.25" customHeight="1">
      <c r="A257" s="429" t="s">
        <v>8160</v>
      </c>
      <c r="B257" s="429">
        <v>2024.0</v>
      </c>
      <c r="C257" s="429">
        <v>10.0</v>
      </c>
      <c r="D257" s="534"/>
      <c r="E257" s="534" t="s">
        <v>7515</v>
      </c>
      <c r="F257" s="534" t="s">
        <v>7797</v>
      </c>
      <c r="G257" s="526" t="s">
        <v>7395</v>
      </c>
      <c r="H257" s="534"/>
      <c r="I257" s="534">
        <v>1.0</v>
      </c>
      <c r="J257" s="534"/>
      <c r="K257" s="534" t="s">
        <v>8475</v>
      </c>
      <c r="L257" s="534">
        <v>40.0</v>
      </c>
    </row>
    <row r="258" ht="14.25" customHeight="1">
      <c r="A258" s="429" t="s">
        <v>8160</v>
      </c>
      <c r="B258" s="429">
        <v>2024.0</v>
      </c>
      <c r="C258" s="429">
        <v>10.0</v>
      </c>
      <c r="D258" s="534"/>
      <c r="E258" s="534" t="s">
        <v>2638</v>
      </c>
      <c r="F258" s="534" t="s">
        <v>8476</v>
      </c>
      <c r="G258" s="526" t="s">
        <v>7075</v>
      </c>
      <c r="H258" s="534" t="s">
        <v>8393</v>
      </c>
      <c r="I258" s="534">
        <v>1.0</v>
      </c>
      <c r="J258" s="534"/>
      <c r="K258" s="534" t="s">
        <v>2511</v>
      </c>
      <c r="L258" s="534">
        <v>90.0</v>
      </c>
    </row>
    <row r="259" ht="14.25" customHeight="1">
      <c r="A259" s="429" t="s">
        <v>8160</v>
      </c>
      <c r="B259" s="429">
        <v>2024.0</v>
      </c>
      <c r="C259" s="429">
        <f t="shared" ref="C259:C267" si="12">MONTH(D259)</f>
        <v>11</v>
      </c>
      <c r="D259" s="554">
        <v>45600.0</v>
      </c>
      <c r="E259" s="534" t="s">
        <v>8477</v>
      </c>
      <c r="F259" s="534"/>
      <c r="G259" s="526" t="s">
        <v>7100</v>
      </c>
      <c r="H259" s="526" t="s">
        <v>248</v>
      </c>
      <c r="I259" s="534">
        <v>1.0</v>
      </c>
      <c r="J259" s="534"/>
      <c r="K259" s="534" t="s">
        <v>8478</v>
      </c>
      <c r="L259" s="534">
        <v>119.0</v>
      </c>
    </row>
    <row r="260" ht="14.25" customHeight="1">
      <c r="A260" s="429" t="s">
        <v>8160</v>
      </c>
      <c r="B260" s="429">
        <v>2024.0</v>
      </c>
      <c r="C260" s="429">
        <f t="shared" si="12"/>
        <v>11</v>
      </c>
      <c r="D260" s="615">
        <v>45601.0</v>
      </c>
      <c r="E260" s="616" t="s">
        <v>8479</v>
      </c>
      <c r="F260" s="616" t="s">
        <v>7412</v>
      </c>
      <c r="G260" s="526" t="s">
        <v>7075</v>
      </c>
      <c r="H260" s="616" t="s">
        <v>8480</v>
      </c>
      <c r="I260" s="616">
        <v>1.0</v>
      </c>
      <c r="J260" s="616"/>
      <c r="K260" s="616" t="s">
        <v>7393</v>
      </c>
      <c r="L260" s="616">
        <v>100.0</v>
      </c>
    </row>
    <row r="261" ht="14.25" customHeight="1">
      <c r="A261" s="429" t="s">
        <v>8160</v>
      </c>
      <c r="B261" s="429">
        <v>2024.0</v>
      </c>
      <c r="C261" s="429">
        <f t="shared" si="12"/>
        <v>11</v>
      </c>
      <c r="D261" s="615">
        <v>45601.0</v>
      </c>
      <c r="E261" s="616" t="s">
        <v>7396</v>
      </c>
      <c r="F261" s="616" t="s">
        <v>8132</v>
      </c>
      <c r="G261" s="526" t="s">
        <v>7075</v>
      </c>
      <c r="H261" s="616" t="s">
        <v>8481</v>
      </c>
      <c r="I261" s="616">
        <v>1.0</v>
      </c>
      <c r="J261" s="616"/>
      <c r="K261" s="616" t="s">
        <v>7393</v>
      </c>
      <c r="L261" s="616">
        <v>96.0</v>
      </c>
    </row>
    <row r="262" ht="14.25" customHeight="1">
      <c r="A262" s="429" t="s">
        <v>8160</v>
      </c>
      <c r="B262" s="429">
        <v>2024.0</v>
      </c>
      <c r="C262" s="429">
        <f t="shared" si="12"/>
        <v>11</v>
      </c>
      <c r="D262" s="615">
        <v>45601.0</v>
      </c>
      <c r="E262" s="616" t="s">
        <v>2780</v>
      </c>
      <c r="F262" s="616" t="s">
        <v>8482</v>
      </c>
      <c r="G262" s="526" t="s">
        <v>7075</v>
      </c>
      <c r="H262" s="616" t="s">
        <v>6938</v>
      </c>
      <c r="I262" s="616">
        <v>1.0</v>
      </c>
      <c r="J262" s="616"/>
      <c r="K262" s="616" t="s">
        <v>7393</v>
      </c>
      <c r="L262" s="616">
        <v>110.0</v>
      </c>
    </row>
    <row r="263" ht="14.25" customHeight="1">
      <c r="A263" s="429" t="s">
        <v>8160</v>
      </c>
      <c r="B263" s="429">
        <v>2024.0</v>
      </c>
      <c r="C263" s="429">
        <f t="shared" si="12"/>
        <v>11</v>
      </c>
      <c r="D263" s="615">
        <v>45601.0</v>
      </c>
      <c r="E263" s="616" t="s">
        <v>7869</v>
      </c>
      <c r="F263" s="616" t="s">
        <v>8483</v>
      </c>
      <c r="G263" s="526" t="s">
        <v>7075</v>
      </c>
      <c r="H263" s="616" t="s">
        <v>6939</v>
      </c>
      <c r="I263" s="616">
        <v>1.0</v>
      </c>
      <c r="J263" s="616"/>
      <c r="K263" s="616" t="s">
        <v>7393</v>
      </c>
      <c r="L263" s="616">
        <v>120.0</v>
      </c>
    </row>
    <row r="264" ht="14.25" customHeight="1">
      <c r="A264" s="429" t="s">
        <v>8160</v>
      </c>
      <c r="B264" s="429">
        <v>2024.0</v>
      </c>
      <c r="C264" s="429">
        <f t="shared" si="12"/>
        <v>11</v>
      </c>
      <c r="D264" s="615">
        <v>45601.0</v>
      </c>
      <c r="E264" s="616" t="s">
        <v>8484</v>
      </c>
      <c r="F264" s="616"/>
      <c r="G264" s="526" t="s">
        <v>7075</v>
      </c>
      <c r="H264" s="616" t="s">
        <v>8485</v>
      </c>
      <c r="I264" s="616">
        <v>1.0</v>
      </c>
      <c r="J264" s="616"/>
      <c r="K264" s="616" t="s">
        <v>8380</v>
      </c>
      <c r="L264" s="616">
        <v>50.0</v>
      </c>
    </row>
    <row r="265" ht="14.25" customHeight="1">
      <c r="A265" s="429" t="s">
        <v>8160</v>
      </c>
      <c r="B265" s="429">
        <v>2024.0</v>
      </c>
      <c r="C265" s="429">
        <f t="shared" si="12"/>
        <v>11</v>
      </c>
      <c r="D265" s="554">
        <v>45601.0</v>
      </c>
      <c r="E265" s="534" t="s">
        <v>8486</v>
      </c>
      <c r="F265" s="534" t="s">
        <v>8487</v>
      </c>
      <c r="G265" s="526" t="s">
        <v>7611</v>
      </c>
      <c r="H265" s="534" t="s">
        <v>8488</v>
      </c>
      <c r="I265" s="534">
        <v>1.0</v>
      </c>
      <c r="J265" s="534"/>
      <c r="K265" s="534" t="s">
        <v>8489</v>
      </c>
      <c r="L265" s="559">
        <v>95.0</v>
      </c>
    </row>
    <row r="266" ht="14.25" customHeight="1">
      <c r="A266" s="429" t="s">
        <v>8160</v>
      </c>
      <c r="B266" s="429">
        <v>2024.0</v>
      </c>
      <c r="C266" s="429">
        <f t="shared" si="12"/>
        <v>11</v>
      </c>
      <c r="D266" s="554">
        <v>45601.0</v>
      </c>
      <c r="E266" s="534" t="s">
        <v>8490</v>
      </c>
      <c r="F266" s="534" t="s">
        <v>8491</v>
      </c>
      <c r="G266" s="526" t="s">
        <v>7075</v>
      </c>
      <c r="H266" s="534" t="s">
        <v>8492</v>
      </c>
      <c r="I266" s="534">
        <v>3.0</v>
      </c>
      <c r="J266" s="534"/>
      <c r="K266" s="534" t="s">
        <v>2807</v>
      </c>
      <c r="L266" s="534">
        <v>360.0</v>
      </c>
    </row>
    <row r="267" ht="14.25" customHeight="1">
      <c r="A267" s="429" t="s">
        <v>8160</v>
      </c>
      <c r="B267" s="429">
        <v>2024.0</v>
      </c>
      <c r="C267" s="429">
        <f t="shared" si="12"/>
        <v>11</v>
      </c>
      <c r="D267" s="554">
        <v>45601.0</v>
      </c>
      <c r="E267" s="534" t="s">
        <v>8490</v>
      </c>
      <c r="F267" s="534" t="s">
        <v>8491</v>
      </c>
      <c r="G267" s="526" t="s">
        <v>7075</v>
      </c>
      <c r="H267" s="534" t="s">
        <v>8493</v>
      </c>
      <c r="I267" s="534">
        <v>1.0</v>
      </c>
      <c r="J267" s="534"/>
      <c r="K267" s="534" t="s">
        <v>2807</v>
      </c>
      <c r="L267" s="534">
        <v>100.0</v>
      </c>
    </row>
    <row r="268" ht="14.25" customHeight="1">
      <c r="A268" s="429" t="s">
        <v>8160</v>
      </c>
      <c r="B268" s="429">
        <v>2024.0</v>
      </c>
      <c r="C268" s="429">
        <v>11.0</v>
      </c>
      <c r="D268" s="534"/>
      <c r="E268" s="534" t="s">
        <v>2578</v>
      </c>
      <c r="F268" s="534" t="s">
        <v>2579</v>
      </c>
      <c r="G268" s="526" t="s">
        <v>7100</v>
      </c>
      <c r="H268" s="526" t="s">
        <v>248</v>
      </c>
      <c r="I268" s="534">
        <v>1.0</v>
      </c>
      <c r="J268" s="534"/>
      <c r="K268" s="534" t="s">
        <v>2511</v>
      </c>
      <c r="L268" s="534">
        <v>130.0</v>
      </c>
    </row>
    <row r="269" ht="14.25" customHeight="1">
      <c r="A269" s="429" t="s">
        <v>8160</v>
      </c>
      <c r="B269" s="429">
        <v>2024.0</v>
      </c>
      <c r="C269" s="429">
        <f t="shared" ref="C269:C452" si="13">MONTH(D269)</f>
        <v>11</v>
      </c>
      <c r="D269" s="554">
        <v>45607.0</v>
      </c>
      <c r="E269" s="534" t="s">
        <v>2776</v>
      </c>
      <c r="F269" s="534"/>
      <c r="G269" s="526" t="s">
        <v>7075</v>
      </c>
      <c r="H269" s="534" t="s">
        <v>8401</v>
      </c>
      <c r="I269" s="534">
        <v>1.0</v>
      </c>
      <c r="J269" s="534"/>
      <c r="K269" s="534" t="s">
        <v>2511</v>
      </c>
      <c r="L269" s="534">
        <v>100.0</v>
      </c>
    </row>
    <row r="270" ht="14.25" customHeight="1">
      <c r="A270" s="429" t="s">
        <v>8494</v>
      </c>
      <c r="B270" s="429">
        <v>2024.0</v>
      </c>
      <c r="C270" s="429">
        <f t="shared" si="13"/>
        <v>11</v>
      </c>
      <c r="D270" s="617">
        <v>45607.0</v>
      </c>
      <c r="E270" s="618" t="s">
        <v>7760</v>
      </c>
      <c r="F270" s="618" t="s">
        <v>8495</v>
      </c>
      <c r="G270" s="618" t="s">
        <v>7073</v>
      </c>
      <c r="H270" s="618" t="s">
        <v>8182</v>
      </c>
      <c r="I270" s="618">
        <v>1.0</v>
      </c>
      <c r="J270" s="618"/>
      <c r="K270" s="618" t="s">
        <v>7393</v>
      </c>
      <c r="L270" s="618">
        <v>115.0</v>
      </c>
    </row>
    <row r="271" ht="14.25" customHeight="1">
      <c r="A271" s="429" t="s">
        <v>8494</v>
      </c>
      <c r="B271" s="429">
        <v>2024.0</v>
      </c>
      <c r="C271" s="429">
        <f t="shared" si="13"/>
        <v>11</v>
      </c>
      <c r="D271" s="617">
        <v>45608.0</v>
      </c>
      <c r="E271" s="618" t="s">
        <v>7396</v>
      </c>
      <c r="F271" s="618" t="s">
        <v>8496</v>
      </c>
      <c r="G271" s="526" t="s">
        <v>7611</v>
      </c>
      <c r="H271" s="618" t="s">
        <v>8280</v>
      </c>
      <c r="I271" s="618">
        <v>1.0</v>
      </c>
      <c r="J271" s="618"/>
      <c r="K271" s="618" t="s">
        <v>7393</v>
      </c>
      <c r="L271" s="618">
        <v>95.0</v>
      </c>
    </row>
    <row r="272" ht="14.25" customHeight="1">
      <c r="A272" s="429" t="s">
        <v>8494</v>
      </c>
      <c r="B272" s="429">
        <v>2024.0</v>
      </c>
      <c r="C272" s="429">
        <f t="shared" si="13"/>
        <v>11</v>
      </c>
      <c r="D272" s="617">
        <v>45608.0</v>
      </c>
      <c r="E272" s="618" t="s">
        <v>2597</v>
      </c>
      <c r="F272" s="618" t="s">
        <v>8497</v>
      </c>
      <c r="G272" s="526" t="s">
        <v>7075</v>
      </c>
      <c r="H272" s="618" t="s">
        <v>8498</v>
      </c>
      <c r="I272" s="618">
        <v>1.0</v>
      </c>
      <c r="J272" s="618"/>
      <c r="K272" s="618" t="s">
        <v>7393</v>
      </c>
      <c r="L272" s="618">
        <v>120.0</v>
      </c>
    </row>
    <row r="273" ht="14.25" customHeight="1">
      <c r="A273" s="429" t="s">
        <v>8494</v>
      </c>
      <c r="B273" s="429">
        <v>2024.0</v>
      </c>
      <c r="C273" s="429">
        <f t="shared" si="13"/>
        <v>11</v>
      </c>
      <c r="D273" s="617">
        <v>45608.0</v>
      </c>
      <c r="E273" s="618" t="s">
        <v>8499</v>
      </c>
      <c r="F273" s="618" t="s">
        <v>8500</v>
      </c>
      <c r="G273" s="534" t="s">
        <v>8501</v>
      </c>
      <c r="H273" s="618" t="s">
        <v>7685</v>
      </c>
      <c r="I273" s="618">
        <v>1.0</v>
      </c>
      <c r="J273" s="618"/>
      <c r="K273" s="618" t="s">
        <v>7393</v>
      </c>
      <c r="L273" s="618">
        <v>25.0</v>
      </c>
    </row>
    <row r="274" ht="14.25" customHeight="1">
      <c r="A274" s="429" t="s">
        <v>8494</v>
      </c>
      <c r="B274" s="429">
        <v>2024.0</v>
      </c>
      <c r="C274" s="429">
        <f t="shared" si="13"/>
        <v>11</v>
      </c>
      <c r="D274" s="617">
        <v>45609.0</v>
      </c>
      <c r="E274" s="618" t="s">
        <v>7406</v>
      </c>
      <c r="F274" s="618" t="s">
        <v>8451</v>
      </c>
      <c r="G274" s="526" t="s">
        <v>7075</v>
      </c>
      <c r="H274" s="618"/>
      <c r="I274" s="618">
        <v>1.0</v>
      </c>
      <c r="J274" s="618"/>
      <c r="K274" s="618" t="s">
        <v>7393</v>
      </c>
      <c r="L274" s="618">
        <v>120.0</v>
      </c>
    </row>
    <row r="275" ht="14.25" customHeight="1">
      <c r="A275" s="429" t="s">
        <v>8494</v>
      </c>
      <c r="B275" s="429">
        <v>2024.0</v>
      </c>
      <c r="C275" s="429">
        <f t="shared" si="13"/>
        <v>11</v>
      </c>
      <c r="D275" s="617">
        <v>45609.0</v>
      </c>
      <c r="E275" s="618" t="s">
        <v>8502</v>
      </c>
      <c r="F275" s="618" t="s">
        <v>7917</v>
      </c>
      <c r="G275" s="526" t="s">
        <v>6613</v>
      </c>
      <c r="H275" s="618" t="s">
        <v>8503</v>
      </c>
      <c r="I275" s="618">
        <v>1.0</v>
      </c>
      <c r="J275" s="618"/>
      <c r="K275" s="618" t="s">
        <v>7393</v>
      </c>
      <c r="L275" s="618">
        <v>75.0</v>
      </c>
    </row>
    <row r="276" ht="14.25" customHeight="1">
      <c r="A276" s="429" t="s">
        <v>8494</v>
      </c>
      <c r="B276" s="429">
        <v>2024.0</v>
      </c>
      <c r="C276" s="429">
        <f t="shared" si="13"/>
        <v>11</v>
      </c>
      <c r="D276" s="617">
        <v>45609.0</v>
      </c>
      <c r="E276" s="618" t="s">
        <v>8502</v>
      </c>
      <c r="F276" s="618" t="s">
        <v>7917</v>
      </c>
      <c r="G276" s="534" t="s">
        <v>8501</v>
      </c>
      <c r="H276" s="618" t="s">
        <v>7685</v>
      </c>
      <c r="I276" s="618">
        <v>1.0</v>
      </c>
      <c r="J276" s="618"/>
      <c r="K276" s="618" t="s">
        <v>7393</v>
      </c>
      <c r="L276" s="618">
        <v>25.0</v>
      </c>
    </row>
    <row r="277" ht="14.25" customHeight="1">
      <c r="A277" s="429" t="s">
        <v>8494</v>
      </c>
      <c r="B277" s="429">
        <v>2024.0</v>
      </c>
      <c r="C277" s="429">
        <f t="shared" si="13"/>
        <v>11</v>
      </c>
      <c r="D277" s="617">
        <v>45609.0</v>
      </c>
      <c r="E277" s="618" t="s">
        <v>2597</v>
      </c>
      <c r="F277" s="618" t="s">
        <v>8504</v>
      </c>
      <c r="G277" s="534" t="s">
        <v>8501</v>
      </c>
      <c r="H277" s="618" t="s">
        <v>6867</v>
      </c>
      <c r="I277" s="618">
        <v>1.0</v>
      </c>
      <c r="J277" s="618"/>
      <c r="K277" s="618" t="s">
        <v>7393</v>
      </c>
      <c r="L277" s="618">
        <v>26.0</v>
      </c>
    </row>
    <row r="278" ht="14.25" customHeight="1">
      <c r="A278" s="429" t="s">
        <v>8494</v>
      </c>
      <c r="B278" s="429">
        <v>2024.0</v>
      </c>
      <c r="C278" s="429">
        <f t="shared" si="13"/>
        <v>11</v>
      </c>
      <c r="D278" s="617">
        <v>45609.0</v>
      </c>
      <c r="E278" s="618" t="s">
        <v>7434</v>
      </c>
      <c r="F278" s="618" t="s">
        <v>8505</v>
      </c>
      <c r="G278" s="534" t="s">
        <v>8501</v>
      </c>
      <c r="H278" s="618" t="s">
        <v>7685</v>
      </c>
      <c r="I278" s="618">
        <v>1.0</v>
      </c>
      <c r="J278" s="618"/>
      <c r="K278" s="618" t="s">
        <v>7393</v>
      </c>
      <c r="L278" s="618">
        <v>25.0</v>
      </c>
    </row>
    <row r="279" ht="14.25" customHeight="1">
      <c r="A279" s="429" t="s">
        <v>8494</v>
      </c>
      <c r="B279" s="429">
        <v>2024.0</v>
      </c>
      <c r="C279" s="429">
        <f t="shared" si="13"/>
        <v>11</v>
      </c>
      <c r="D279" s="617">
        <v>45609.0</v>
      </c>
      <c r="E279" s="618" t="s">
        <v>7396</v>
      </c>
      <c r="F279" s="618" t="s">
        <v>8132</v>
      </c>
      <c r="G279" s="534" t="s">
        <v>8501</v>
      </c>
      <c r="H279" s="618" t="s">
        <v>8087</v>
      </c>
      <c r="I279" s="618">
        <v>1.0</v>
      </c>
      <c r="J279" s="618"/>
      <c r="K279" s="618" t="s">
        <v>7393</v>
      </c>
      <c r="L279" s="618">
        <v>90.0</v>
      </c>
    </row>
    <row r="280" ht="14.25" customHeight="1">
      <c r="A280" s="429" t="s">
        <v>8494</v>
      </c>
      <c r="B280" s="429">
        <v>2024.0</v>
      </c>
      <c r="C280" s="429">
        <f t="shared" si="13"/>
        <v>11</v>
      </c>
      <c r="D280" s="617">
        <v>45609.0</v>
      </c>
      <c r="E280" s="618" t="s">
        <v>8506</v>
      </c>
      <c r="F280" s="618" t="s">
        <v>8507</v>
      </c>
      <c r="G280" s="534" t="s">
        <v>8501</v>
      </c>
      <c r="H280" s="618" t="s">
        <v>8087</v>
      </c>
      <c r="I280" s="618">
        <v>1.0</v>
      </c>
      <c r="J280" s="618"/>
      <c r="K280" s="618" t="s">
        <v>7393</v>
      </c>
      <c r="L280" s="618">
        <v>27.0</v>
      </c>
    </row>
    <row r="281" ht="14.25" customHeight="1">
      <c r="A281" s="429" t="s">
        <v>8494</v>
      </c>
      <c r="B281" s="429">
        <v>2024.0</v>
      </c>
      <c r="C281" s="429">
        <f t="shared" si="13"/>
        <v>11</v>
      </c>
      <c r="D281" s="617">
        <v>45609.0</v>
      </c>
      <c r="E281" s="618" t="s">
        <v>2566</v>
      </c>
      <c r="F281" s="618" t="s">
        <v>8508</v>
      </c>
      <c r="G281" s="618" t="s">
        <v>8509</v>
      </c>
      <c r="H281" s="618" t="s">
        <v>6939</v>
      </c>
      <c r="I281" s="618">
        <v>1.0</v>
      </c>
      <c r="J281" s="618"/>
      <c r="K281" s="618" t="s">
        <v>7393</v>
      </c>
      <c r="L281" s="618">
        <v>28.0</v>
      </c>
    </row>
    <row r="282" ht="14.25" customHeight="1">
      <c r="A282" s="429" t="s">
        <v>8494</v>
      </c>
      <c r="B282" s="429">
        <v>2024.0</v>
      </c>
      <c r="C282" s="429">
        <f t="shared" si="13"/>
        <v>11</v>
      </c>
      <c r="D282" s="617">
        <v>45609.0</v>
      </c>
      <c r="E282" s="618" t="s">
        <v>8242</v>
      </c>
      <c r="F282" s="618" t="s">
        <v>8243</v>
      </c>
      <c r="G282" s="618" t="s">
        <v>8510</v>
      </c>
      <c r="H282" s="618"/>
      <c r="I282" s="618">
        <v>1.0</v>
      </c>
      <c r="J282" s="618"/>
      <c r="K282" s="618" t="s">
        <v>2511</v>
      </c>
      <c r="L282" s="618">
        <v>20.0</v>
      </c>
    </row>
    <row r="283" ht="14.25" customHeight="1">
      <c r="A283" s="429" t="s">
        <v>8494</v>
      </c>
      <c r="B283" s="429">
        <v>2024.0</v>
      </c>
      <c r="C283" s="429">
        <f t="shared" si="13"/>
        <v>11</v>
      </c>
      <c r="D283" s="617">
        <v>45609.0</v>
      </c>
      <c r="E283" s="618" t="s">
        <v>8511</v>
      </c>
      <c r="F283" s="618" t="s">
        <v>8512</v>
      </c>
      <c r="G283" s="618" t="s">
        <v>8510</v>
      </c>
      <c r="H283" s="618"/>
      <c r="I283" s="618">
        <v>1.0</v>
      </c>
      <c r="J283" s="618"/>
      <c r="K283" s="618" t="s">
        <v>8513</v>
      </c>
      <c r="L283" s="618">
        <v>20.0</v>
      </c>
    </row>
    <row r="284" ht="14.25" customHeight="1">
      <c r="A284" s="429" t="s">
        <v>8494</v>
      </c>
      <c r="B284" s="429">
        <v>2024.0</v>
      </c>
      <c r="C284" s="429">
        <f t="shared" si="13"/>
        <v>11</v>
      </c>
      <c r="D284" s="617">
        <v>45609.0</v>
      </c>
      <c r="E284" s="618" t="s">
        <v>7554</v>
      </c>
      <c r="F284" s="618" t="s">
        <v>7403</v>
      </c>
      <c r="G284" s="618" t="s">
        <v>8509</v>
      </c>
      <c r="H284" s="618" t="s">
        <v>6939</v>
      </c>
      <c r="I284" s="618">
        <v>1.0</v>
      </c>
      <c r="J284" s="618"/>
      <c r="K284" s="618" t="s">
        <v>7393</v>
      </c>
      <c r="L284" s="618">
        <v>28.0</v>
      </c>
    </row>
    <row r="285" ht="14.25" customHeight="1">
      <c r="A285" s="429" t="s">
        <v>8494</v>
      </c>
      <c r="B285" s="429">
        <v>2024.0</v>
      </c>
      <c r="C285" s="429">
        <f t="shared" si="13"/>
        <v>11</v>
      </c>
      <c r="D285" s="617">
        <v>45609.0</v>
      </c>
      <c r="E285" s="618" t="s">
        <v>7554</v>
      </c>
      <c r="F285" s="618" t="s">
        <v>7403</v>
      </c>
      <c r="G285" s="526" t="s">
        <v>7075</v>
      </c>
      <c r="H285" s="618" t="s">
        <v>8467</v>
      </c>
      <c r="I285" s="618">
        <v>1.0</v>
      </c>
      <c r="J285" s="618"/>
      <c r="K285" s="618" t="s">
        <v>2584</v>
      </c>
      <c r="L285" s="618" t="s">
        <v>7246</v>
      </c>
    </row>
    <row r="286" ht="14.25" customHeight="1">
      <c r="A286" s="429" t="s">
        <v>8494</v>
      </c>
      <c r="B286" s="429">
        <v>2024.0</v>
      </c>
      <c r="C286" s="429">
        <f t="shared" si="13"/>
        <v>11</v>
      </c>
      <c r="D286" s="617">
        <v>45609.0</v>
      </c>
      <c r="E286" s="618" t="s">
        <v>7406</v>
      </c>
      <c r="F286" s="618" t="s">
        <v>8451</v>
      </c>
      <c r="G286" s="534" t="s">
        <v>8501</v>
      </c>
      <c r="H286" s="618" t="s">
        <v>6867</v>
      </c>
      <c r="I286" s="618">
        <v>1.0</v>
      </c>
      <c r="J286" s="618"/>
      <c r="K286" s="618" t="s">
        <v>2774</v>
      </c>
      <c r="L286" s="618">
        <v>25.0</v>
      </c>
    </row>
    <row r="287" ht="14.25" customHeight="1">
      <c r="A287" s="429" t="s">
        <v>8494</v>
      </c>
      <c r="B287" s="429">
        <v>2024.0</v>
      </c>
      <c r="C287" s="429">
        <f t="shared" si="13"/>
        <v>11</v>
      </c>
      <c r="D287" s="617">
        <v>45609.0</v>
      </c>
      <c r="E287" s="618" t="s">
        <v>8187</v>
      </c>
      <c r="F287" s="618" t="s">
        <v>8514</v>
      </c>
      <c r="G287" s="526" t="s">
        <v>7075</v>
      </c>
      <c r="H287" s="618" t="s">
        <v>8401</v>
      </c>
      <c r="I287" s="618">
        <v>1.0</v>
      </c>
      <c r="J287" s="618"/>
      <c r="K287" s="618" t="s">
        <v>2584</v>
      </c>
      <c r="L287" s="618" t="s">
        <v>7246</v>
      </c>
    </row>
    <row r="288" ht="14.25" customHeight="1">
      <c r="A288" s="429" t="s">
        <v>8494</v>
      </c>
      <c r="B288" s="429">
        <v>2024.0</v>
      </c>
      <c r="C288" s="429">
        <f t="shared" si="13"/>
        <v>11</v>
      </c>
      <c r="D288" s="617">
        <v>45610.0</v>
      </c>
      <c r="E288" s="618" t="s">
        <v>2607</v>
      </c>
      <c r="F288" s="618" t="s">
        <v>8515</v>
      </c>
      <c r="G288" s="526" t="s">
        <v>7075</v>
      </c>
      <c r="H288" s="618" t="s">
        <v>8516</v>
      </c>
      <c r="I288" s="618">
        <v>1.0</v>
      </c>
      <c r="J288" s="618"/>
      <c r="K288" s="618" t="s">
        <v>7393</v>
      </c>
      <c r="L288" s="618">
        <v>120.0</v>
      </c>
    </row>
    <row r="289" ht="14.25" customHeight="1">
      <c r="A289" s="429" t="s">
        <v>8494</v>
      </c>
      <c r="B289" s="429">
        <v>2024.0</v>
      </c>
      <c r="C289" s="429">
        <f t="shared" si="13"/>
        <v>11</v>
      </c>
      <c r="D289" s="617">
        <v>45610.0</v>
      </c>
      <c r="E289" s="618" t="s">
        <v>7672</v>
      </c>
      <c r="F289" s="618" t="s">
        <v>8517</v>
      </c>
      <c r="G289" s="618" t="s">
        <v>8509</v>
      </c>
      <c r="H289" s="618"/>
      <c r="I289" s="618">
        <v>1.0</v>
      </c>
      <c r="J289" s="618"/>
      <c r="K289" s="618" t="s">
        <v>7393</v>
      </c>
      <c r="L289" s="618">
        <v>30.0</v>
      </c>
    </row>
    <row r="290" ht="14.25" customHeight="1">
      <c r="A290" s="429" t="s">
        <v>8494</v>
      </c>
      <c r="B290" s="429">
        <v>2024.0</v>
      </c>
      <c r="C290" s="429">
        <f t="shared" si="13"/>
        <v>11</v>
      </c>
      <c r="D290" s="617">
        <v>45610.0</v>
      </c>
      <c r="E290" s="618" t="s">
        <v>7747</v>
      </c>
      <c r="F290" s="618" t="s">
        <v>8518</v>
      </c>
      <c r="G290" s="618" t="s">
        <v>8509</v>
      </c>
      <c r="H290" s="618"/>
      <c r="I290" s="618">
        <v>1.0</v>
      </c>
      <c r="J290" s="618"/>
      <c r="K290" s="618" t="s">
        <v>7393</v>
      </c>
      <c r="L290" s="618">
        <v>30.0</v>
      </c>
    </row>
    <row r="291" ht="14.25" customHeight="1">
      <c r="A291" s="429" t="s">
        <v>8494</v>
      </c>
      <c r="B291" s="429">
        <v>2024.0</v>
      </c>
      <c r="C291" s="429">
        <f t="shared" si="13"/>
        <v>11</v>
      </c>
      <c r="D291" s="617">
        <v>45611.0</v>
      </c>
      <c r="E291" s="618" t="s">
        <v>8519</v>
      </c>
      <c r="F291" s="618"/>
      <c r="G291" s="526" t="s">
        <v>7075</v>
      </c>
      <c r="H291" s="618" t="s">
        <v>6638</v>
      </c>
      <c r="I291" s="618">
        <v>1.0</v>
      </c>
      <c r="J291" s="618"/>
      <c r="K291" s="618" t="s">
        <v>7393</v>
      </c>
      <c r="L291" s="618">
        <v>120.0</v>
      </c>
    </row>
    <row r="292" ht="14.25" customHeight="1">
      <c r="A292" s="429" t="s">
        <v>8494</v>
      </c>
      <c r="B292" s="429">
        <v>2024.0</v>
      </c>
      <c r="C292" s="429">
        <f t="shared" si="13"/>
        <v>11</v>
      </c>
      <c r="D292" s="617">
        <v>45611.0</v>
      </c>
      <c r="E292" s="618" t="s">
        <v>8520</v>
      </c>
      <c r="F292" s="618"/>
      <c r="G292" s="618" t="s">
        <v>8509</v>
      </c>
      <c r="H292" s="618" t="s">
        <v>6939</v>
      </c>
      <c r="I292" s="618">
        <v>1.0</v>
      </c>
      <c r="J292" s="618"/>
      <c r="K292" s="618" t="s">
        <v>7393</v>
      </c>
      <c r="L292" s="618">
        <v>30.0</v>
      </c>
    </row>
    <row r="293" ht="14.25" customHeight="1">
      <c r="A293" s="429" t="s">
        <v>8494</v>
      </c>
      <c r="B293" s="429">
        <v>2024.0</v>
      </c>
      <c r="C293" s="429">
        <f t="shared" si="13"/>
        <v>11</v>
      </c>
      <c r="D293" s="617">
        <v>45611.0</v>
      </c>
      <c r="E293" s="618" t="s">
        <v>7687</v>
      </c>
      <c r="F293" s="618" t="s">
        <v>8521</v>
      </c>
      <c r="G293" s="526" t="s">
        <v>7395</v>
      </c>
      <c r="H293" s="526" t="s">
        <v>8522</v>
      </c>
      <c r="I293" s="618">
        <v>1.0</v>
      </c>
      <c r="J293" s="618"/>
      <c r="K293" s="618" t="s">
        <v>7393</v>
      </c>
      <c r="L293" s="618">
        <v>40.0</v>
      </c>
    </row>
    <row r="294" ht="14.25" customHeight="1">
      <c r="A294" s="429" t="s">
        <v>8494</v>
      </c>
      <c r="B294" s="429">
        <v>2024.0</v>
      </c>
      <c r="C294" s="429">
        <f t="shared" si="13"/>
        <v>11</v>
      </c>
      <c r="D294" s="617">
        <v>45612.0</v>
      </c>
      <c r="E294" s="618" t="s">
        <v>8499</v>
      </c>
      <c r="F294" s="618"/>
      <c r="G294" s="534" t="s">
        <v>8320</v>
      </c>
      <c r="H294" s="618" t="s">
        <v>8523</v>
      </c>
      <c r="I294" s="618">
        <v>1.0</v>
      </c>
      <c r="J294" s="618"/>
      <c r="K294" s="618" t="s">
        <v>2511</v>
      </c>
      <c r="L294" s="618">
        <v>68.0</v>
      </c>
    </row>
    <row r="295" ht="14.25" customHeight="1">
      <c r="A295" s="429" t="s">
        <v>8494</v>
      </c>
      <c r="B295" s="429">
        <v>2024.0</v>
      </c>
      <c r="C295" s="429">
        <f t="shared" si="13"/>
        <v>11</v>
      </c>
      <c r="D295" s="617">
        <v>45612.0</v>
      </c>
      <c r="E295" s="618" t="s">
        <v>7406</v>
      </c>
      <c r="F295" s="618" t="s">
        <v>8524</v>
      </c>
      <c r="G295" s="618" t="s">
        <v>8509</v>
      </c>
      <c r="H295" s="618"/>
      <c r="I295" s="618">
        <v>1.0</v>
      </c>
      <c r="J295" s="618"/>
      <c r="K295" s="618" t="s">
        <v>7393</v>
      </c>
      <c r="L295" s="618">
        <v>30.0</v>
      </c>
    </row>
    <row r="296" ht="14.25" customHeight="1">
      <c r="A296" s="429" t="s">
        <v>8494</v>
      </c>
      <c r="B296" s="429">
        <v>2024.0</v>
      </c>
      <c r="C296" s="429">
        <f t="shared" si="13"/>
        <v>11</v>
      </c>
      <c r="D296" s="617">
        <v>45612.0</v>
      </c>
      <c r="E296" s="618" t="s">
        <v>2685</v>
      </c>
      <c r="F296" s="618" t="s">
        <v>8525</v>
      </c>
      <c r="G296" s="618" t="s">
        <v>8509</v>
      </c>
      <c r="H296" s="618" t="s">
        <v>8449</v>
      </c>
      <c r="I296" s="618">
        <v>1.0</v>
      </c>
      <c r="J296" s="618"/>
      <c r="K296" s="618" t="s">
        <v>7393</v>
      </c>
      <c r="L296" s="618">
        <v>25.0</v>
      </c>
    </row>
    <row r="297" ht="14.25" customHeight="1">
      <c r="A297" s="429" t="s">
        <v>8494</v>
      </c>
      <c r="B297" s="429">
        <v>2024.0</v>
      </c>
      <c r="C297" s="429">
        <f t="shared" si="13"/>
        <v>11</v>
      </c>
      <c r="D297" s="617">
        <v>45612.0</v>
      </c>
      <c r="E297" s="618" t="s">
        <v>2685</v>
      </c>
      <c r="F297" s="618" t="s">
        <v>8525</v>
      </c>
      <c r="G297" s="618" t="s">
        <v>8526</v>
      </c>
      <c r="H297" s="618" t="s">
        <v>7812</v>
      </c>
      <c r="I297" s="618">
        <v>1.0</v>
      </c>
      <c r="J297" s="618"/>
      <c r="K297" s="618" t="s">
        <v>7393</v>
      </c>
      <c r="L297" s="618">
        <v>25.0</v>
      </c>
    </row>
    <row r="298" ht="14.25" customHeight="1">
      <c r="A298" s="429" t="s">
        <v>8494</v>
      </c>
      <c r="B298" s="429">
        <v>2024.0</v>
      </c>
      <c r="C298" s="429">
        <f t="shared" si="13"/>
        <v>11</v>
      </c>
      <c r="D298" s="617">
        <v>45612.0</v>
      </c>
      <c r="E298" s="618" t="s">
        <v>2685</v>
      </c>
      <c r="F298" s="618" t="s">
        <v>8525</v>
      </c>
      <c r="G298" s="534" t="s">
        <v>8501</v>
      </c>
      <c r="H298" s="618" t="s">
        <v>7685</v>
      </c>
      <c r="I298" s="618">
        <v>1.0</v>
      </c>
      <c r="J298" s="618"/>
      <c r="K298" s="618" t="s">
        <v>7393</v>
      </c>
      <c r="L298" s="618">
        <v>25.0</v>
      </c>
    </row>
    <row r="299" ht="14.25" customHeight="1">
      <c r="A299" s="429" t="s">
        <v>8494</v>
      </c>
      <c r="B299" s="429">
        <v>2024.0</v>
      </c>
      <c r="C299" s="429">
        <f t="shared" si="13"/>
        <v>11</v>
      </c>
      <c r="D299" s="617">
        <v>45612.0</v>
      </c>
      <c r="E299" s="618" t="s">
        <v>2685</v>
      </c>
      <c r="F299" s="618" t="s">
        <v>8525</v>
      </c>
      <c r="G299" s="618" t="s">
        <v>8526</v>
      </c>
      <c r="H299" s="618" t="s">
        <v>6867</v>
      </c>
      <c r="I299" s="618">
        <v>1.0</v>
      </c>
      <c r="J299" s="618"/>
      <c r="K299" s="618" t="s">
        <v>7393</v>
      </c>
      <c r="L299" s="618">
        <v>25.0</v>
      </c>
    </row>
    <row r="300" ht="14.25" customHeight="1">
      <c r="A300" s="429" t="s">
        <v>8494</v>
      </c>
      <c r="B300" s="429">
        <v>2024.0</v>
      </c>
      <c r="C300" s="429">
        <f t="shared" si="13"/>
        <v>11</v>
      </c>
      <c r="D300" s="617">
        <v>45612.0</v>
      </c>
      <c r="E300" s="618" t="s">
        <v>8527</v>
      </c>
      <c r="F300" s="618"/>
      <c r="G300" s="618" t="s">
        <v>8526</v>
      </c>
      <c r="H300" s="618" t="s">
        <v>7751</v>
      </c>
      <c r="I300" s="618">
        <v>1.0</v>
      </c>
      <c r="J300" s="618"/>
      <c r="K300" s="618" t="s">
        <v>7393</v>
      </c>
      <c r="L300" s="618">
        <v>25.0</v>
      </c>
    </row>
    <row r="301" ht="14.25" customHeight="1">
      <c r="A301" s="429" t="s">
        <v>8494</v>
      </c>
      <c r="B301" s="429">
        <v>2024.0</v>
      </c>
      <c r="C301" s="429">
        <f t="shared" si="13"/>
        <v>11</v>
      </c>
      <c r="D301" s="617">
        <v>45612.0</v>
      </c>
      <c r="E301" s="618" t="s">
        <v>8166</v>
      </c>
      <c r="F301" s="618"/>
      <c r="G301" s="618" t="s">
        <v>8509</v>
      </c>
      <c r="H301" s="618"/>
      <c r="I301" s="618">
        <v>1.0</v>
      </c>
      <c r="J301" s="618"/>
      <c r="K301" s="618" t="s">
        <v>2511</v>
      </c>
      <c r="L301" s="618">
        <v>30.0</v>
      </c>
    </row>
    <row r="302" ht="14.25" customHeight="1">
      <c r="A302" s="429" t="s">
        <v>8494</v>
      </c>
      <c r="B302" s="429">
        <v>2024.0</v>
      </c>
      <c r="C302" s="429">
        <f t="shared" si="13"/>
        <v>11</v>
      </c>
      <c r="D302" s="617">
        <v>45612.0</v>
      </c>
      <c r="E302" s="618" t="s">
        <v>8528</v>
      </c>
      <c r="F302" s="618"/>
      <c r="G302" s="526" t="s">
        <v>7395</v>
      </c>
      <c r="H302" s="618"/>
      <c r="I302" s="618">
        <v>2.0</v>
      </c>
      <c r="J302" s="618"/>
      <c r="K302" s="618"/>
      <c r="L302" s="618">
        <v>80.0</v>
      </c>
    </row>
    <row r="303" ht="14.25" customHeight="1">
      <c r="A303" s="429" t="s">
        <v>8494</v>
      </c>
      <c r="B303" s="429">
        <v>2024.0</v>
      </c>
      <c r="C303" s="429">
        <f t="shared" si="13"/>
        <v>11</v>
      </c>
      <c r="D303" s="617">
        <v>45612.0</v>
      </c>
      <c r="E303" s="618" t="s">
        <v>7760</v>
      </c>
      <c r="F303" s="618" t="s">
        <v>8270</v>
      </c>
      <c r="G303" s="618" t="s">
        <v>8526</v>
      </c>
      <c r="H303" s="618" t="s">
        <v>8529</v>
      </c>
      <c r="I303" s="618">
        <v>1.0</v>
      </c>
      <c r="J303" s="618"/>
      <c r="K303" s="618" t="s">
        <v>8530</v>
      </c>
      <c r="L303" s="618">
        <v>25.0</v>
      </c>
    </row>
    <row r="304" ht="14.25" customHeight="1">
      <c r="A304" s="429" t="s">
        <v>8494</v>
      </c>
      <c r="B304" s="429">
        <v>2024.0</v>
      </c>
      <c r="C304" s="429">
        <f t="shared" si="13"/>
        <v>11</v>
      </c>
      <c r="D304" s="617">
        <v>45612.0</v>
      </c>
      <c r="E304" s="618" t="s">
        <v>7489</v>
      </c>
      <c r="F304" s="618" t="s">
        <v>8270</v>
      </c>
      <c r="G304" s="618" t="s">
        <v>8526</v>
      </c>
      <c r="H304" s="618" t="s">
        <v>6867</v>
      </c>
      <c r="I304" s="618">
        <v>1.0</v>
      </c>
      <c r="J304" s="618"/>
      <c r="K304" s="618" t="s">
        <v>8530</v>
      </c>
      <c r="L304" s="618">
        <v>27.0</v>
      </c>
    </row>
    <row r="305" ht="14.25" customHeight="1">
      <c r="A305" s="429" t="s">
        <v>8494</v>
      </c>
      <c r="B305" s="429">
        <v>2024.0</v>
      </c>
      <c r="C305" s="429">
        <f t="shared" si="13"/>
        <v>11</v>
      </c>
      <c r="D305" s="617">
        <v>45612.0</v>
      </c>
      <c r="E305" s="618" t="s">
        <v>7489</v>
      </c>
      <c r="F305" s="618" t="s">
        <v>8270</v>
      </c>
      <c r="G305" s="618" t="s">
        <v>8509</v>
      </c>
      <c r="H305" s="618" t="s">
        <v>8449</v>
      </c>
      <c r="I305" s="618">
        <v>1.0</v>
      </c>
      <c r="J305" s="618"/>
      <c r="K305" s="618" t="s">
        <v>8530</v>
      </c>
      <c r="L305" s="618">
        <v>28.0</v>
      </c>
    </row>
    <row r="306" ht="14.25" customHeight="1">
      <c r="A306" s="429" t="s">
        <v>8494</v>
      </c>
      <c r="B306" s="429">
        <v>2024.0</v>
      </c>
      <c r="C306" s="429">
        <f t="shared" si="13"/>
        <v>11</v>
      </c>
      <c r="D306" s="617">
        <v>45612.0</v>
      </c>
      <c r="E306" s="618" t="s">
        <v>7515</v>
      </c>
      <c r="F306" s="618" t="s">
        <v>8531</v>
      </c>
      <c r="G306" s="526" t="s">
        <v>7075</v>
      </c>
      <c r="H306" s="618" t="s">
        <v>6939</v>
      </c>
      <c r="I306" s="618">
        <v>1.0</v>
      </c>
      <c r="J306" s="618"/>
      <c r="K306" s="618" t="s">
        <v>8530</v>
      </c>
      <c r="L306" s="618">
        <v>120.0</v>
      </c>
    </row>
    <row r="307" ht="14.25" customHeight="1">
      <c r="A307" s="429" t="s">
        <v>8494</v>
      </c>
      <c r="B307" s="429">
        <v>2024.0</v>
      </c>
      <c r="C307" s="429">
        <f t="shared" si="13"/>
        <v>11</v>
      </c>
      <c r="D307" s="617">
        <v>45613.0</v>
      </c>
      <c r="E307" s="618" t="s">
        <v>7657</v>
      </c>
      <c r="F307" s="618" t="s">
        <v>8532</v>
      </c>
      <c r="G307" s="526" t="s">
        <v>7611</v>
      </c>
      <c r="H307" s="618" t="s">
        <v>8533</v>
      </c>
      <c r="I307" s="618">
        <v>1.0</v>
      </c>
      <c r="J307" s="618"/>
      <c r="K307" s="618" t="s">
        <v>8530</v>
      </c>
      <c r="L307" s="618">
        <v>85.0</v>
      </c>
    </row>
    <row r="308" ht="14.25" customHeight="1">
      <c r="A308" s="429" t="s">
        <v>8494</v>
      </c>
      <c r="B308" s="429">
        <v>2024.0</v>
      </c>
      <c r="C308" s="429">
        <f t="shared" si="13"/>
        <v>11</v>
      </c>
      <c r="D308" s="617">
        <v>45613.0</v>
      </c>
      <c r="E308" s="618" t="s">
        <v>2547</v>
      </c>
      <c r="F308" s="618" t="s">
        <v>2548</v>
      </c>
      <c r="G308" s="618" t="s">
        <v>8526</v>
      </c>
      <c r="H308" s="618"/>
      <c r="I308" s="618">
        <v>1.0</v>
      </c>
      <c r="J308" s="618"/>
      <c r="K308" s="618" t="s">
        <v>8530</v>
      </c>
      <c r="L308" s="618">
        <v>25.0</v>
      </c>
    </row>
    <row r="309" ht="14.25" customHeight="1">
      <c r="A309" s="429" t="s">
        <v>8494</v>
      </c>
      <c r="B309" s="429">
        <v>2024.0</v>
      </c>
      <c r="C309" s="429">
        <f t="shared" si="13"/>
        <v>11</v>
      </c>
      <c r="D309" s="617">
        <v>45613.0</v>
      </c>
      <c r="E309" s="618" t="s">
        <v>8534</v>
      </c>
      <c r="F309" s="618"/>
      <c r="G309" s="534" t="s">
        <v>7106</v>
      </c>
      <c r="H309" s="618" t="s">
        <v>8535</v>
      </c>
      <c r="I309" s="618">
        <v>1.0</v>
      </c>
      <c r="J309" s="618"/>
      <c r="K309" s="618" t="s">
        <v>2511</v>
      </c>
      <c r="L309" s="618">
        <v>85.0</v>
      </c>
    </row>
    <row r="310" ht="14.25" customHeight="1">
      <c r="A310" s="429" t="s">
        <v>8494</v>
      </c>
      <c r="B310" s="429">
        <v>2024.0</v>
      </c>
      <c r="C310" s="429">
        <f t="shared" si="13"/>
        <v>11</v>
      </c>
      <c r="D310" s="617">
        <v>45613.0</v>
      </c>
      <c r="E310" s="618" t="s">
        <v>8536</v>
      </c>
      <c r="F310" s="618" t="s">
        <v>8537</v>
      </c>
      <c r="G310" s="526" t="s">
        <v>7611</v>
      </c>
      <c r="H310" s="618" t="s">
        <v>8104</v>
      </c>
      <c r="I310" s="618">
        <v>1.0</v>
      </c>
      <c r="J310" s="618"/>
      <c r="K310" s="618" t="s">
        <v>8530</v>
      </c>
      <c r="L310" s="618">
        <v>85.0</v>
      </c>
    </row>
    <row r="311" ht="14.25" customHeight="1">
      <c r="A311" s="429" t="s">
        <v>8494</v>
      </c>
      <c r="B311" s="429">
        <v>2024.0</v>
      </c>
      <c r="C311" s="429">
        <f t="shared" si="13"/>
        <v>11</v>
      </c>
      <c r="D311" s="617">
        <v>45613.0</v>
      </c>
      <c r="E311" s="618" t="s">
        <v>8226</v>
      </c>
      <c r="F311" s="618" t="s">
        <v>8227</v>
      </c>
      <c r="G311" s="618" t="s">
        <v>8509</v>
      </c>
      <c r="H311" s="618" t="s">
        <v>6939</v>
      </c>
      <c r="I311" s="618">
        <v>1.0</v>
      </c>
      <c r="J311" s="618"/>
      <c r="K311" s="618" t="s">
        <v>8530</v>
      </c>
      <c r="L311" s="618">
        <v>10.0</v>
      </c>
    </row>
    <row r="312" ht="14.25" customHeight="1">
      <c r="A312" s="429" t="s">
        <v>8494</v>
      </c>
      <c r="B312" s="429">
        <v>2024.0</v>
      </c>
      <c r="C312" s="429">
        <f t="shared" si="13"/>
        <v>11</v>
      </c>
      <c r="D312" s="617">
        <v>45613.0</v>
      </c>
      <c r="E312" s="618" t="s">
        <v>8226</v>
      </c>
      <c r="F312" s="618" t="s">
        <v>8227</v>
      </c>
      <c r="G312" s="526" t="s">
        <v>6613</v>
      </c>
      <c r="H312" s="618" t="s">
        <v>8538</v>
      </c>
      <c r="I312" s="618">
        <v>1.0</v>
      </c>
      <c r="J312" s="618"/>
      <c r="K312" s="618" t="s">
        <v>8530</v>
      </c>
      <c r="L312" s="618">
        <v>70.0</v>
      </c>
    </row>
    <row r="313" ht="14.25" customHeight="1">
      <c r="A313" s="429" t="s">
        <v>8494</v>
      </c>
      <c r="B313" s="429">
        <v>2024.0</v>
      </c>
      <c r="C313" s="429">
        <f t="shared" si="13"/>
        <v>11</v>
      </c>
      <c r="D313" s="617">
        <v>45613.0</v>
      </c>
      <c r="E313" s="618" t="s">
        <v>8226</v>
      </c>
      <c r="F313" s="618" t="s">
        <v>8227</v>
      </c>
      <c r="G313" s="526" t="s">
        <v>7075</v>
      </c>
      <c r="H313" s="618" t="s">
        <v>2175</v>
      </c>
      <c r="I313" s="618">
        <v>1.0</v>
      </c>
      <c r="J313" s="618"/>
      <c r="K313" s="618" t="s">
        <v>8530</v>
      </c>
      <c r="L313" s="618">
        <v>120.0</v>
      </c>
    </row>
    <row r="314" ht="14.25" customHeight="1">
      <c r="A314" s="429" t="s">
        <v>8160</v>
      </c>
      <c r="B314" s="429">
        <v>2024.0</v>
      </c>
      <c r="C314" s="429">
        <f t="shared" si="13"/>
        <v>11</v>
      </c>
      <c r="D314" s="554">
        <v>45614.0</v>
      </c>
      <c r="E314" s="534" t="s">
        <v>8539</v>
      </c>
      <c r="F314" s="534" t="s">
        <v>7797</v>
      </c>
      <c r="G314" s="618" t="s">
        <v>7073</v>
      </c>
      <c r="H314" s="534" t="s">
        <v>6669</v>
      </c>
      <c r="I314" s="534">
        <v>1.0</v>
      </c>
      <c r="J314" s="534"/>
      <c r="K314" s="534" t="s">
        <v>2511</v>
      </c>
      <c r="L314" s="534">
        <v>100.0</v>
      </c>
    </row>
    <row r="315" ht="14.25" customHeight="1">
      <c r="A315" s="429" t="s">
        <v>8160</v>
      </c>
      <c r="B315" s="429">
        <v>2024.0</v>
      </c>
      <c r="C315" s="429">
        <f t="shared" si="13"/>
        <v>11</v>
      </c>
      <c r="D315" s="554">
        <v>45614.0</v>
      </c>
      <c r="E315" s="534" t="s">
        <v>8539</v>
      </c>
      <c r="F315" s="534" t="s">
        <v>7797</v>
      </c>
      <c r="G315" s="618" t="s">
        <v>7073</v>
      </c>
      <c r="H315" s="534" t="s">
        <v>201</v>
      </c>
      <c r="I315" s="534">
        <v>1.0</v>
      </c>
      <c r="J315" s="534"/>
      <c r="K315" s="534" t="s">
        <v>2511</v>
      </c>
      <c r="L315" s="534">
        <v>100.0</v>
      </c>
    </row>
    <row r="316" ht="14.25" customHeight="1">
      <c r="A316" s="429" t="s">
        <v>8160</v>
      </c>
      <c r="B316" s="429">
        <v>2024.0</v>
      </c>
      <c r="C316" s="429">
        <f t="shared" si="13"/>
        <v>11</v>
      </c>
      <c r="D316" s="554">
        <v>45614.0</v>
      </c>
      <c r="E316" s="534" t="s">
        <v>8540</v>
      </c>
      <c r="F316" s="534" t="s">
        <v>8540</v>
      </c>
      <c r="G316" s="526" t="s">
        <v>7075</v>
      </c>
      <c r="H316" s="534" t="s">
        <v>2153</v>
      </c>
      <c r="I316" s="534">
        <v>1.0</v>
      </c>
      <c r="J316" s="534"/>
      <c r="K316" s="534" t="s">
        <v>7262</v>
      </c>
      <c r="L316" s="534">
        <v>120.0</v>
      </c>
    </row>
    <row r="317" ht="14.25" customHeight="1">
      <c r="A317" s="429" t="s">
        <v>8160</v>
      </c>
      <c r="B317" s="429">
        <v>2024.0</v>
      </c>
      <c r="C317" s="429">
        <f t="shared" si="13"/>
        <v>11</v>
      </c>
      <c r="D317" s="554">
        <v>45615.0</v>
      </c>
      <c r="E317" s="534" t="s">
        <v>8175</v>
      </c>
      <c r="F317" s="534" t="s">
        <v>2551</v>
      </c>
      <c r="G317" s="534" t="s">
        <v>7106</v>
      </c>
      <c r="H317" s="534" t="s">
        <v>8541</v>
      </c>
      <c r="I317" s="534">
        <v>1.0</v>
      </c>
      <c r="J317" s="534"/>
      <c r="K317" s="594" t="s">
        <v>8274</v>
      </c>
      <c r="L317" s="534">
        <v>65.0</v>
      </c>
    </row>
    <row r="318" ht="14.25" customHeight="1">
      <c r="A318" s="429" t="s">
        <v>8160</v>
      </c>
      <c r="B318" s="429">
        <v>2024.0</v>
      </c>
      <c r="C318" s="429">
        <f t="shared" si="13"/>
        <v>11</v>
      </c>
      <c r="D318" s="554">
        <v>45615.0</v>
      </c>
      <c r="E318" s="534" t="s">
        <v>8175</v>
      </c>
      <c r="F318" s="534" t="s">
        <v>2551</v>
      </c>
      <c r="G318" s="526" t="s">
        <v>7611</v>
      </c>
      <c r="H318" s="534" t="s">
        <v>8104</v>
      </c>
      <c r="I318" s="534">
        <v>1.0</v>
      </c>
      <c r="J318" s="534"/>
      <c r="K318" s="594" t="s">
        <v>8274</v>
      </c>
      <c r="L318" s="534">
        <v>75.0</v>
      </c>
    </row>
    <row r="319" ht="14.25" customHeight="1">
      <c r="A319" s="429" t="s">
        <v>8160</v>
      </c>
      <c r="B319" s="429">
        <v>2024.0</v>
      </c>
      <c r="C319" s="429">
        <f t="shared" si="13"/>
        <v>11</v>
      </c>
      <c r="D319" s="554">
        <v>45615.0</v>
      </c>
      <c r="E319" s="534" t="s">
        <v>8175</v>
      </c>
      <c r="F319" s="534" t="s">
        <v>2551</v>
      </c>
      <c r="G319" s="618" t="s">
        <v>8526</v>
      </c>
      <c r="H319" s="534" t="s">
        <v>8542</v>
      </c>
      <c r="I319" s="534">
        <v>1.0</v>
      </c>
      <c r="J319" s="534"/>
      <c r="K319" s="534" t="s">
        <v>2584</v>
      </c>
      <c r="L319" s="534" t="s">
        <v>7246</v>
      </c>
    </row>
    <row r="320" ht="14.25" customHeight="1">
      <c r="A320" s="429" t="s">
        <v>8160</v>
      </c>
      <c r="B320" s="429">
        <v>2024.0</v>
      </c>
      <c r="C320" s="429">
        <f t="shared" si="13"/>
        <v>11</v>
      </c>
      <c r="D320" s="554">
        <v>45616.0</v>
      </c>
      <c r="E320" s="534" t="s">
        <v>8543</v>
      </c>
      <c r="F320" s="534"/>
      <c r="G320" s="526" t="s">
        <v>7075</v>
      </c>
      <c r="H320" s="534" t="s">
        <v>2153</v>
      </c>
      <c r="I320" s="534">
        <v>1.0</v>
      </c>
      <c r="J320" s="534"/>
      <c r="K320" s="534" t="s">
        <v>2511</v>
      </c>
      <c r="L320" s="534">
        <v>110.0</v>
      </c>
    </row>
    <row r="321" ht="14.25" customHeight="1">
      <c r="A321" s="429" t="s">
        <v>8544</v>
      </c>
      <c r="B321" s="429">
        <v>2024.0</v>
      </c>
      <c r="C321" s="429">
        <f t="shared" si="13"/>
        <v>11</v>
      </c>
      <c r="D321" s="619">
        <v>45617.0</v>
      </c>
      <c r="E321" s="620" t="s">
        <v>8545</v>
      </c>
      <c r="F321" s="620" t="s">
        <v>2669</v>
      </c>
      <c r="G321" s="526" t="s">
        <v>7075</v>
      </c>
      <c r="H321" s="620" t="s">
        <v>201</v>
      </c>
      <c r="I321" s="620">
        <v>1.0</v>
      </c>
      <c r="J321" s="620"/>
      <c r="K321" s="620" t="s">
        <v>7393</v>
      </c>
      <c r="L321" s="620">
        <v>100.0</v>
      </c>
    </row>
    <row r="322" ht="14.25" customHeight="1">
      <c r="A322" s="429" t="s">
        <v>8544</v>
      </c>
      <c r="B322" s="429">
        <v>2024.0</v>
      </c>
      <c r="C322" s="429">
        <f t="shared" si="13"/>
        <v>11</v>
      </c>
      <c r="D322" s="619">
        <v>45617.0</v>
      </c>
      <c r="E322" s="620" t="s">
        <v>8545</v>
      </c>
      <c r="F322" s="620" t="s">
        <v>2669</v>
      </c>
      <c r="G322" s="618" t="s">
        <v>8526</v>
      </c>
      <c r="H322" s="620"/>
      <c r="I322" s="620">
        <v>1.0</v>
      </c>
      <c r="J322" s="620"/>
      <c r="K322" s="620" t="s">
        <v>7393</v>
      </c>
      <c r="L322" s="620">
        <v>25.0</v>
      </c>
    </row>
    <row r="323" ht="14.25" customHeight="1">
      <c r="A323" s="429" t="s">
        <v>8544</v>
      </c>
      <c r="B323" s="429">
        <v>2024.0</v>
      </c>
      <c r="C323" s="429">
        <f t="shared" si="13"/>
        <v>11</v>
      </c>
      <c r="D323" s="619">
        <v>45617.0</v>
      </c>
      <c r="E323" s="620" t="s">
        <v>8545</v>
      </c>
      <c r="F323" s="620" t="s">
        <v>2669</v>
      </c>
      <c r="G323" s="534" t="s">
        <v>8501</v>
      </c>
      <c r="H323" s="620" t="s">
        <v>8546</v>
      </c>
      <c r="I323" s="620">
        <v>1.0</v>
      </c>
      <c r="J323" s="620"/>
      <c r="K323" s="620" t="s">
        <v>7393</v>
      </c>
      <c r="L323" s="620">
        <v>27.0</v>
      </c>
    </row>
    <row r="324" ht="14.25" customHeight="1">
      <c r="A324" s="429" t="s">
        <v>8544</v>
      </c>
      <c r="B324" s="429">
        <v>2024.0</v>
      </c>
      <c r="C324" s="429">
        <f t="shared" si="13"/>
        <v>11</v>
      </c>
      <c r="D324" s="619">
        <v>45617.0</v>
      </c>
      <c r="E324" s="620" t="s">
        <v>8547</v>
      </c>
      <c r="F324" s="620"/>
      <c r="G324" s="618" t="s">
        <v>8526</v>
      </c>
      <c r="H324" s="620"/>
      <c r="I324" s="620">
        <v>1.0</v>
      </c>
      <c r="J324" s="620"/>
      <c r="K324" s="620" t="s">
        <v>2511</v>
      </c>
      <c r="L324" s="620">
        <v>25.0</v>
      </c>
    </row>
    <row r="325" ht="14.25" customHeight="1">
      <c r="A325" s="429" t="s">
        <v>8544</v>
      </c>
      <c r="B325" s="429">
        <v>2024.0</v>
      </c>
      <c r="C325" s="429">
        <f t="shared" si="13"/>
        <v>11</v>
      </c>
      <c r="D325" s="619">
        <v>45618.0</v>
      </c>
      <c r="E325" s="620" t="s">
        <v>8548</v>
      </c>
      <c r="F325" s="620" t="s">
        <v>8549</v>
      </c>
      <c r="G325" s="526" t="s">
        <v>7075</v>
      </c>
      <c r="H325" s="620" t="s">
        <v>6643</v>
      </c>
      <c r="I325" s="620">
        <v>1.0</v>
      </c>
      <c r="J325" s="620"/>
      <c r="K325" s="620" t="s">
        <v>7393</v>
      </c>
      <c r="L325" s="620">
        <v>267.0</v>
      </c>
    </row>
    <row r="326" ht="14.25" customHeight="1">
      <c r="A326" s="429" t="s">
        <v>8544</v>
      </c>
      <c r="B326" s="429">
        <v>2024.0</v>
      </c>
      <c r="C326" s="429">
        <f t="shared" si="13"/>
        <v>11</v>
      </c>
      <c r="D326" s="619">
        <v>45618.0</v>
      </c>
      <c r="E326" s="620"/>
      <c r="F326" s="620"/>
      <c r="G326" s="526" t="s">
        <v>7075</v>
      </c>
      <c r="H326" s="620" t="s">
        <v>2153</v>
      </c>
      <c r="I326" s="620">
        <v>1.0</v>
      </c>
      <c r="J326" s="620"/>
      <c r="K326" s="620" t="s">
        <v>7393</v>
      </c>
      <c r="L326" s="620"/>
    </row>
    <row r="327" ht="14.25" customHeight="1">
      <c r="A327" s="429" t="s">
        <v>8544</v>
      </c>
      <c r="B327" s="429">
        <v>2024.0</v>
      </c>
      <c r="C327" s="429">
        <f t="shared" si="13"/>
        <v>11</v>
      </c>
      <c r="D327" s="619">
        <v>45618.0</v>
      </c>
      <c r="E327" s="620"/>
      <c r="F327" s="620"/>
      <c r="G327" s="534" t="s">
        <v>8501</v>
      </c>
      <c r="H327" s="620" t="s">
        <v>6867</v>
      </c>
      <c r="I327" s="620">
        <v>1.0</v>
      </c>
      <c r="J327" s="620"/>
      <c r="K327" s="620" t="s">
        <v>7393</v>
      </c>
      <c r="L327" s="620"/>
    </row>
    <row r="328" ht="14.25" customHeight="1">
      <c r="A328" s="429" t="s">
        <v>8544</v>
      </c>
      <c r="B328" s="429">
        <v>2024.0</v>
      </c>
      <c r="C328" s="429">
        <f t="shared" si="13"/>
        <v>11</v>
      </c>
      <c r="D328" s="619">
        <v>45618.0</v>
      </c>
      <c r="E328" s="620"/>
      <c r="F328" s="620"/>
      <c r="G328" s="618" t="s">
        <v>8526</v>
      </c>
      <c r="H328" s="620" t="s">
        <v>7751</v>
      </c>
      <c r="I328" s="620">
        <v>1.0</v>
      </c>
      <c r="J328" s="620"/>
      <c r="K328" s="620" t="s">
        <v>7393</v>
      </c>
      <c r="L328" s="620"/>
    </row>
    <row r="329" ht="14.25" customHeight="1">
      <c r="A329" s="429" t="s">
        <v>8544</v>
      </c>
      <c r="B329" s="429">
        <v>2024.0</v>
      </c>
      <c r="C329" s="429">
        <f t="shared" si="13"/>
        <v>11</v>
      </c>
      <c r="D329" s="619">
        <v>45618.0</v>
      </c>
      <c r="E329" s="620" t="s">
        <v>8550</v>
      </c>
      <c r="F329" s="620" t="s">
        <v>8313</v>
      </c>
      <c r="G329" s="534" t="s">
        <v>8501</v>
      </c>
      <c r="H329" s="620" t="s">
        <v>6867</v>
      </c>
      <c r="I329" s="620">
        <v>1.0</v>
      </c>
      <c r="J329" s="620"/>
      <c r="K329" s="620" t="s">
        <v>7393</v>
      </c>
      <c r="L329" s="620">
        <v>25.0</v>
      </c>
    </row>
    <row r="330" ht="14.25" customHeight="1">
      <c r="A330" s="429" t="s">
        <v>8544</v>
      </c>
      <c r="B330" s="429">
        <v>2024.0</v>
      </c>
      <c r="C330" s="429">
        <f t="shared" si="13"/>
        <v>11</v>
      </c>
      <c r="D330" s="619">
        <v>45618.0</v>
      </c>
      <c r="E330" s="620" t="s">
        <v>8551</v>
      </c>
      <c r="F330" s="620" t="s">
        <v>8552</v>
      </c>
      <c r="G330" s="526" t="s">
        <v>7075</v>
      </c>
      <c r="H330" s="620"/>
      <c r="I330" s="620">
        <v>1.0</v>
      </c>
      <c r="J330" s="620"/>
      <c r="K330" s="620" t="s">
        <v>7393</v>
      </c>
      <c r="L330" s="620">
        <v>120.0</v>
      </c>
    </row>
    <row r="331" ht="14.25" customHeight="1">
      <c r="A331" s="429" t="s">
        <v>8544</v>
      </c>
      <c r="B331" s="429">
        <v>2024.0</v>
      </c>
      <c r="C331" s="429">
        <f t="shared" si="13"/>
        <v>11</v>
      </c>
      <c r="D331" s="619">
        <v>45618.0</v>
      </c>
      <c r="E331" s="620" t="s">
        <v>8246</v>
      </c>
      <c r="F331" s="620" t="s">
        <v>8247</v>
      </c>
      <c r="G331" s="526" t="s">
        <v>7075</v>
      </c>
      <c r="H331" s="620"/>
      <c r="I331" s="620">
        <v>1.0</v>
      </c>
      <c r="J331" s="620"/>
      <c r="K331" s="620" t="s">
        <v>7393</v>
      </c>
      <c r="L331" s="620">
        <v>120.0</v>
      </c>
    </row>
    <row r="332" ht="14.25" customHeight="1">
      <c r="A332" s="429" t="s">
        <v>8544</v>
      </c>
      <c r="B332" s="429">
        <v>2024.0</v>
      </c>
      <c r="C332" s="429">
        <f t="shared" si="13"/>
        <v>11</v>
      </c>
      <c r="D332" s="619">
        <v>45619.0</v>
      </c>
      <c r="E332" s="620" t="s">
        <v>7678</v>
      </c>
      <c r="F332" s="620" t="s">
        <v>2778</v>
      </c>
      <c r="G332" s="526" t="s">
        <v>7075</v>
      </c>
      <c r="H332" s="620" t="s">
        <v>8452</v>
      </c>
      <c r="I332" s="620">
        <v>1.0</v>
      </c>
      <c r="J332" s="620"/>
      <c r="K332" s="620" t="s">
        <v>7393</v>
      </c>
      <c r="L332" s="620">
        <v>120.0</v>
      </c>
    </row>
    <row r="333" ht="14.25" customHeight="1">
      <c r="A333" s="429" t="s">
        <v>8544</v>
      </c>
      <c r="B333" s="429">
        <v>2024.0</v>
      </c>
      <c r="C333" s="429">
        <f t="shared" si="13"/>
        <v>11</v>
      </c>
      <c r="D333" s="619">
        <v>45619.0</v>
      </c>
      <c r="E333" s="620" t="s">
        <v>2597</v>
      </c>
      <c r="F333" s="620" t="s">
        <v>8553</v>
      </c>
      <c r="G333" s="526" t="s">
        <v>7075</v>
      </c>
      <c r="H333" s="620" t="s">
        <v>8554</v>
      </c>
      <c r="I333" s="620">
        <v>1.0</v>
      </c>
      <c r="J333" s="620"/>
      <c r="K333" s="620" t="s">
        <v>7393</v>
      </c>
      <c r="L333" s="620">
        <v>100.0</v>
      </c>
    </row>
    <row r="334" ht="14.25" customHeight="1">
      <c r="A334" s="429" t="s">
        <v>8544</v>
      </c>
      <c r="B334" s="429">
        <v>2024.0</v>
      </c>
      <c r="C334" s="429">
        <f t="shared" si="13"/>
        <v>11</v>
      </c>
      <c r="D334" s="619">
        <v>45619.0</v>
      </c>
      <c r="E334" s="620" t="s">
        <v>2547</v>
      </c>
      <c r="F334" s="620"/>
      <c r="G334" s="526" t="s">
        <v>7075</v>
      </c>
      <c r="H334" s="620" t="s">
        <v>8332</v>
      </c>
      <c r="I334" s="620">
        <v>1.0</v>
      </c>
      <c r="J334" s="620"/>
      <c r="K334" s="620" t="s">
        <v>7393</v>
      </c>
      <c r="L334" s="620">
        <v>95.0</v>
      </c>
    </row>
    <row r="335" ht="14.25" customHeight="1">
      <c r="A335" s="429" t="s">
        <v>8544</v>
      </c>
      <c r="B335" s="429">
        <v>2024.0</v>
      </c>
      <c r="C335" s="429">
        <f t="shared" si="13"/>
        <v>11</v>
      </c>
      <c r="D335" s="619">
        <v>45619.0</v>
      </c>
      <c r="E335" s="620" t="s">
        <v>2561</v>
      </c>
      <c r="F335" s="620" t="s">
        <v>8214</v>
      </c>
      <c r="G335" s="526" t="s">
        <v>6613</v>
      </c>
      <c r="H335" s="620"/>
      <c r="I335" s="620">
        <v>1.0</v>
      </c>
      <c r="J335" s="620"/>
      <c r="K335" s="620" t="s">
        <v>7393</v>
      </c>
      <c r="L335" s="620">
        <v>70.0</v>
      </c>
    </row>
    <row r="336" ht="14.25" customHeight="1">
      <c r="A336" s="429" t="s">
        <v>8544</v>
      </c>
      <c r="B336" s="429">
        <v>2024.0</v>
      </c>
      <c r="C336" s="429">
        <f t="shared" si="13"/>
        <v>11</v>
      </c>
      <c r="D336" s="619">
        <v>45619.0</v>
      </c>
      <c r="E336" s="621" t="s">
        <v>8555</v>
      </c>
      <c r="F336" s="621" t="s">
        <v>8556</v>
      </c>
      <c r="G336" s="534" t="s">
        <v>7106</v>
      </c>
      <c r="H336" s="620" t="s">
        <v>2459</v>
      </c>
      <c r="I336" s="621">
        <v>1.0</v>
      </c>
      <c r="J336" s="621"/>
      <c r="K336" s="621" t="s">
        <v>7393</v>
      </c>
      <c r="L336" s="621">
        <v>85.0</v>
      </c>
    </row>
    <row r="337" ht="14.25" customHeight="1">
      <c r="A337" s="429" t="s">
        <v>8544</v>
      </c>
      <c r="B337" s="429">
        <v>2024.0</v>
      </c>
      <c r="C337" s="429">
        <f t="shared" si="13"/>
        <v>11</v>
      </c>
      <c r="D337" s="619">
        <v>45619.0</v>
      </c>
      <c r="E337" s="620" t="s">
        <v>2547</v>
      </c>
      <c r="F337" s="620"/>
      <c r="G337" s="618" t="s">
        <v>8526</v>
      </c>
      <c r="H337" s="620"/>
      <c r="I337" s="620">
        <v>1.0</v>
      </c>
      <c r="J337" s="620"/>
      <c r="K337" s="620" t="s">
        <v>7393</v>
      </c>
      <c r="L337" s="620">
        <v>25.0</v>
      </c>
    </row>
    <row r="338" ht="14.25" customHeight="1">
      <c r="A338" s="429" t="s">
        <v>8544</v>
      </c>
      <c r="B338" s="429">
        <v>2024.0</v>
      </c>
      <c r="C338" s="429">
        <f t="shared" si="13"/>
        <v>11</v>
      </c>
      <c r="D338" s="619">
        <v>45619.0</v>
      </c>
      <c r="E338" s="620" t="s">
        <v>8557</v>
      </c>
      <c r="F338" s="620" t="s">
        <v>8558</v>
      </c>
      <c r="G338" s="526" t="s">
        <v>7075</v>
      </c>
      <c r="H338" s="620" t="s">
        <v>2818</v>
      </c>
      <c r="I338" s="620">
        <v>1.0</v>
      </c>
      <c r="J338" s="620"/>
      <c r="K338" s="620" t="s">
        <v>7393</v>
      </c>
      <c r="L338" s="620">
        <v>120.0</v>
      </c>
    </row>
    <row r="339" ht="14.25" customHeight="1">
      <c r="A339" s="429" t="s">
        <v>8544</v>
      </c>
      <c r="B339" s="429">
        <v>2024.0</v>
      </c>
      <c r="C339" s="429">
        <f t="shared" si="13"/>
        <v>11</v>
      </c>
      <c r="D339" s="619">
        <v>45619.0</v>
      </c>
      <c r="E339" s="620" t="s">
        <v>8559</v>
      </c>
      <c r="F339" s="620"/>
      <c r="G339" s="526" t="s">
        <v>7100</v>
      </c>
      <c r="H339" s="526" t="s">
        <v>8560</v>
      </c>
      <c r="I339" s="620">
        <v>1.0</v>
      </c>
      <c r="J339" s="620"/>
      <c r="K339" s="620" t="s">
        <v>2511</v>
      </c>
      <c r="L339" s="620">
        <v>135.0</v>
      </c>
    </row>
    <row r="340" ht="14.25" customHeight="1">
      <c r="A340" s="429" t="s">
        <v>8544</v>
      </c>
      <c r="B340" s="429">
        <v>2024.0</v>
      </c>
      <c r="C340" s="429">
        <f t="shared" si="13"/>
        <v>11</v>
      </c>
      <c r="D340" s="619">
        <v>45619.0</v>
      </c>
      <c r="E340" s="620" t="s">
        <v>8471</v>
      </c>
      <c r="F340" s="620" t="s">
        <v>8561</v>
      </c>
      <c r="G340" s="526" t="s">
        <v>7075</v>
      </c>
      <c r="H340" s="620" t="s">
        <v>7104</v>
      </c>
      <c r="I340" s="620">
        <v>1.0</v>
      </c>
      <c r="J340" s="620"/>
      <c r="K340" s="620" t="s">
        <v>7393</v>
      </c>
      <c r="L340" s="559">
        <v>110.0</v>
      </c>
    </row>
    <row r="341" ht="14.25" customHeight="1">
      <c r="A341" s="429" t="s">
        <v>8160</v>
      </c>
      <c r="B341" s="429">
        <v>2024.0</v>
      </c>
      <c r="C341" s="429">
        <f t="shared" si="13"/>
        <v>11</v>
      </c>
      <c r="D341" s="554">
        <v>45621.0</v>
      </c>
      <c r="E341" s="534" t="s">
        <v>2566</v>
      </c>
      <c r="F341" s="534" t="s">
        <v>2551</v>
      </c>
      <c r="G341" s="526" t="s">
        <v>7075</v>
      </c>
      <c r="H341" s="534" t="s">
        <v>2818</v>
      </c>
      <c r="I341" s="534">
        <v>1.0</v>
      </c>
      <c r="J341" s="534"/>
      <c r="K341" s="594" t="s">
        <v>8562</v>
      </c>
      <c r="L341" s="534">
        <v>96.0</v>
      </c>
    </row>
    <row r="342" ht="14.25" customHeight="1">
      <c r="A342" s="429" t="s">
        <v>8160</v>
      </c>
      <c r="B342" s="429">
        <v>2024.0</v>
      </c>
      <c r="C342" s="429">
        <f t="shared" si="13"/>
        <v>11</v>
      </c>
      <c r="D342" s="554">
        <v>45623.0</v>
      </c>
      <c r="E342" s="534" t="s">
        <v>7820</v>
      </c>
      <c r="F342" s="534" t="s">
        <v>8563</v>
      </c>
      <c r="G342" s="526" t="s">
        <v>7075</v>
      </c>
      <c r="H342" s="534" t="s">
        <v>8467</v>
      </c>
      <c r="I342" s="534">
        <v>1.0</v>
      </c>
      <c r="J342" s="534"/>
      <c r="K342" s="534" t="s">
        <v>8168</v>
      </c>
      <c r="L342" s="534">
        <v>120.0</v>
      </c>
    </row>
    <row r="343" ht="14.25" customHeight="1">
      <c r="A343" s="429" t="s">
        <v>8160</v>
      </c>
      <c r="B343" s="429">
        <v>2024.0</v>
      </c>
      <c r="C343" s="429">
        <f t="shared" si="13"/>
        <v>11</v>
      </c>
      <c r="D343" s="554">
        <v>45624.0</v>
      </c>
      <c r="E343" s="534" t="s">
        <v>2561</v>
      </c>
      <c r="F343" s="534" t="s">
        <v>8564</v>
      </c>
      <c r="G343" s="534" t="s">
        <v>8501</v>
      </c>
      <c r="H343" s="534" t="s">
        <v>8565</v>
      </c>
      <c r="I343" s="534">
        <v>1.0</v>
      </c>
      <c r="J343" s="534"/>
      <c r="K343" s="534" t="s">
        <v>8168</v>
      </c>
      <c r="L343" s="534">
        <v>28.0</v>
      </c>
    </row>
    <row r="344" ht="14.25" customHeight="1">
      <c r="A344" s="429" t="s">
        <v>8160</v>
      </c>
      <c r="B344" s="429">
        <v>2024.0</v>
      </c>
      <c r="C344" s="429">
        <f t="shared" si="13"/>
        <v>11</v>
      </c>
      <c r="D344" s="554">
        <v>45626.0</v>
      </c>
      <c r="E344" s="534" t="s">
        <v>8566</v>
      </c>
      <c r="F344" s="534" t="s">
        <v>8567</v>
      </c>
      <c r="G344" s="526" t="s">
        <v>7075</v>
      </c>
      <c r="H344" s="534" t="s">
        <v>8568</v>
      </c>
      <c r="I344" s="534">
        <v>1.0</v>
      </c>
      <c r="J344" s="534"/>
      <c r="K344" s="534" t="s">
        <v>7393</v>
      </c>
      <c r="L344" s="534">
        <v>100.0</v>
      </c>
    </row>
    <row r="345" ht="14.25" customHeight="1">
      <c r="A345" s="429" t="s">
        <v>8160</v>
      </c>
      <c r="B345" s="429">
        <v>2024.0</v>
      </c>
      <c r="C345" s="429">
        <f t="shared" si="13"/>
        <v>11</v>
      </c>
      <c r="D345" s="554">
        <v>45626.0</v>
      </c>
      <c r="E345" s="534" t="s">
        <v>8566</v>
      </c>
      <c r="F345" s="534" t="s">
        <v>8567</v>
      </c>
      <c r="G345" s="618" t="s">
        <v>8526</v>
      </c>
      <c r="H345" s="534" t="s">
        <v>8569</v>
      </c>
      <c r="I345" s="534">
        <v>1.0</v>
      </c>
      <c r="J345" s="534"/>
      <c r="K345" s="534" t="s">
        <v>7393</v>
      </c>
      <c r="L345" s="534">
        <v>27.0</v>
      </c>
    </row>
    <row r="346" ht="14.25" customHeight="1">
      <c r="A346" s="429" t="s">
        <v>8160</v>
      </c>
      <c r="B346" s="429">
        <v>2024.0</v>
      </c>
      <c r="C346" s="429">
        <f t="shared" si="13"/>
        <v>11</v>
      </c>
      <c r="D346" s="554">
        <v>45626.0</v>
      </c>
      <c r="E346" s="534" t="s">
        <v>2586</v>
      </c>
      <c r="F346" s="534" t="s">
        <v>8570</v>
      </c>
      <c r="G346" s="526" t="s">
        <v>7075</v>
      </c>
      <c r="H346" s="534" t="s">
        <v>8571</v>
      </c>
      <c r="I346" s="534">
        <v>1.0</v>
      </c>
      <c r="J346" s="534"/>
      <c r="K346" s="534" t="s">
        <v>7393</v>
      </c>
      <c r="L346" s="534">
        <v>120.0</v>
      </c>
    </row>
    <row r="347" ht="14.25" customHeight="1">
      <c r="A347" s="429" t="s">
        <v>8160</v>
      </c>
      <c r="B347" s="429">
        <v>2024.0</v>
      </c>
      <c r="C347" s="429">
        <f t="shared" si="13"/>
        <v>11</v>
      </c>
      <c r="D347" s="554">
        <v>45626.0</v>
      </c>
      <c r="E347" s="534" t="s">
        <v>2647</v>
      </c>
      <c r="F347" s="534" t="s">
        <v>8572</v>
      </c>
      <c r="G347" s="526" t="s">
        <v>7611</v>
      </c>
      <c r="H347" s="534" t="s">
        <v>8573</v>
      </c>
      <c r="I347" s="534">
        <v>1.0</v>
      </c>
      <c r="J347" s="534"/>
      <c r="K347" s="534" t="s">
        <v>7393</v>
      </c>
      <c r="L347" s="534">
        <v>130.0</v>
      </c>
    </row>
    <row r="348" ht="14.25" customHeight="1">
      <c r="A348" s="429" t="s">
        <v>8160</v>
      </c>
      <c r="B348" s="429">
        <v>2024.0</v>
      </c>
      <c r="C348" s="429">
        <f t="shared" si="13"/>
        <v>11</v>
      </c>
      <c r="D348" s="554">
        <v>45626.0</v>
      </c>
      <c r="E348" s="534" t="s">
        <v>2647</v>
      </c>
      <c r="F348" s="534" t="s">
        <v>8572</v>
      </c>
      <c r="G348" s="534" t="s">
        <v>8501</v>
      </c>
      <c r="H348" s="534" t="s">
        <v>8574</v>
      </c>
      <c r="I348" s="534">
        <v>1.0</v>
      </c>
      <c r="J348" s="534"/>
      <c r="K348" s="534" t="s">
        <v>7393</v>
      </c>
      <c r="L348" s="534"/>
    </row>
    <row r="349" ht="14.25" customHeight="1">
      <c r="A349" s="429" t="s">
        <v>8160</v>
      </c>
      <c r="B349" s="429">
        <v>2024.0</v>
      </c>
      <c r="C349" s="429">
        <f t="shared" si="13"/>
        <v>11</v>
      </c>
      <c r="D349" s="554">
        <v>45626.0</v>
      </c>
      <c r="E349" s="534" t="s">
        <v>2647</v>
      </c>
      <c r="F349" s="534" t="s">
        <v>8572</v>
      </c>
      <c r="G349" s="534" t="s">
        <v>8501</v>
      </c>
      <c r="H349" s="534" t="s">
        <v>8574</v>
      </c>
      <c r="I349" s="534">
        <v>1.0</v>
      </c>
      <c r="J349" s="534"/>
      <c r="K349" s="534" t="s">
        <v>7393</v>
      </c>
      <c r="L349" s="534"/>
    </row>
    <row r="350" ht="14.25" customHeight="1">
      <c r="A350" s="429" t="s">
        <v>8160</v>
      </c>
      <c r="B350" s="429">
        <v>2024.0</v>
      </c>
      <c r="C350" s="429">
        <f t="shared" si="13"/>
        <v>11</v>
      </c>
      <c r="D350" s="554">
        <v>45626.0</v>
      </c>
      <c r="E350" s="534" t="s">
        <v>7530</v>
      </c>
      <c r="F350" s="534" t="s">
        <v>8319</v>
      </c>
      <c r="G350" s="526" t="s">
        <v>7075</v>
      </c>
      <c r="H350" s="534" t="s">
        <v>8467</v>
      </c>
      <c r="I350" s="534">
        <v>1.0</v>
      </c>
      <c r="J350" s="534"/>
      <c r="K350" s="534" t="s">
        <v>2511</v>
      </c>
      <c r="L350" s="534">
        <v>120.0</v>
      </c>
    </row>
    <row r="351" ht="14.25" customHeight="1">
      <c r="A351" s="429" t="s">
        <v>8160</v>
      </c>
      <c r="B351" s="429">
        <v>2024.0</v>
      </c>
      <c r="C351" s="429">
        <f t="shared" si="13"/>
        <v>11</v>
      </c>
      <c r="D351" s="554">
        <v>45626.0</v>
      </c>
      <c r="E351" s="534" t="s">
        <v>7530</v>
      </c>
      <c r="F351" s="534" t="s">
        <v>8319</v>
      </c>
      <c r="G351" s="534" t="s">
        <v>8501</v>
      </c>
      <c r="H351" s="534" t="s">
        <v>8574</v>
      </c>
      <c r="I351" s="534">
        <v>1.0</v>
      </c>
      <c r="J351" s="534"/>
      <c r="K351" s="534"/>
      <c r="L351" s="534"/>
    </row>
    <row r="352" ht="14.25" customHeight="1">
      <c r="A352" s="429" t="s">
        <v>8160</v>
      </c>
      <c r="B352" s="429">
        <v>2024.0</v>
      </c>
      <c r="C352" s="429">
        <f t="shared" si="13"/>
        <v>11</v>
      </c>
      <c r="D352" s="554">
        <v>45626.0</v>
      </c>
      <c r="E352" s="534" t="s">
        <v>8575</v>
      </c>
      <c r="F352" s="534"/>
      <c r="G352" s="526" t="s">
        <v>6613</v>
      </c>
      <c r="H352" s="534" t="s">
        <v>8576</v>
      </c>
      <c r="I352" s="534">
        <v>1.0</v>
      </c>
      <c r="J352" s="534"/>
      <c r="K352" s="534" t="s">
        <v>2511</v>
      </c>
      <c r="L352" s="534">
        <v>65.0</v>
      </c>
    </row>
    <row r="353" ht="14.25" customHeight="1">
      <c r="A353" s="429" t="s">
        <v>8160</v>
      </c>
      <c r="B353" s="429">
        <v>2024.0</v>
      </c>
      <c r="C353" s="429">
        <f t="shared" si="13"/>
        <v>11</v>
      </c>
      <c r="D353" s="554">
        <v>45626.0</v>
      </c>
      <c r="E353" s="534" t="s">
        <v>2561</v>
      </c>
      <c r="F353" s="534" t="s">
        <v>8577</v>
      </c>
      <c r="G353" s="526" t="s">
        <v>7611</v>
      </c>
      <c r="H353" s="534" t="s">
        <v>8533</v>
      </c>
      <c r="I353" s="534">
        <v>1.0</v>
      </c>
      <c r="J353" s="534"/>
      <c r="K353" s="534" t="s">
        <v>7393</v>
      </c>
      <c r="L353" s="534">
        <v>95.0</v>
      </c>
    </row>
    <row r="354" ht="14.25" customHeight="1">
      <c r="A354" s="429" t="s">
        <v>8160</v>
      </c>
      <c r="B354" s="429">
        <v>2024.0</v>
      </c>
      <c r="C354" s="429">
        <f t="shared" si="13"/>
        <v>11</v>
      </c>
      <c r="D354" s="554">
        <v>45626.0</v>
      </c>
      <c r="E354" s="534" t="s">
        <v>7805</v>
      </c>
      <c r="F354" s="534" t="s">
        <v>8578</v>
      </c>
      <c r="G354" s="526" t="s">
        <v>7075</v>
      </c>
      <c r="H354" s="534" t="s">
        <v>8579</v>
      </c>
      <c r="I354" s="534">
        <v>1.0</v>
      </c>
      <c r="J354" s="534"/>
      <c r="K354" s="534" t="s">
        <v>7393</v>
      </c>
      <c r="L354" s="534">
        <v>120.0</v>
      </c>
    </row>
    <row r="355" ht="14.25" customHeight="1">
      <c r="A355" s="429" t="s">
        <v>8160</v>
      </c>
      <c r="B355" s="429">
        <v>2024.0</v>
      </c>
      <c r="C355" s="429">
        <f t="shared" si="13"/>
        <v>11</v>
      </c>
      <c r="D355" s="554">
        <v>45626.0</v>
      </c>
      <c r="E355" s="534" t="s">
        <v>7805</v>
      </c>
      <c r="F355" s="534" t="s">
        <v>8578</v>
      </c>
      <c r="G355" s="526" t="s">
        <v>7075</v>
      </c>
      <c r="H355" s="534" t="s">
        <v>8580</v>
      </c>
      <c r="I355" s="534">
        <v>1.0</v>
      </c>
      <c r="J355" s="534"/>
      <c r="K355" s="534" t="s">
        <v>7393</v>
      </c>
      <c r="L355" s="534">
        <v>120.0</v>
      </c>
    </row>
    <row r="356" ht="14.25" customHeight="1">
      <c r="A356" s="429" t="s">
        <v>8160</v>
      </c>
      <c r="B356" s="429">
        <v>2024.0</v>
      </c>
      <c r="C356" s="429">
        <f t="shared" si="13"/>
        <v>12</v>
      </c>
      <c r="D356" s="554">
        <v>45627.0</v>
      </c>
      <c r="E356" s="534" t="s">
        <v>8581</v>
      </c>
      <c r="F356" s="534" t="s">
        <v>8582</v>
      </c>
      <c r="G356" s="526" t="s">
        <v>7075</v>
      </c>
      <c r="H356" s="534" t="s">
        <v>2153</v>
      </c>
      <c r="I356" s="534">
        <v>1.0</v>
      </c>
      <c r="J356" s="534"/>
      <c r="K356" s="534" t="s">
        <v>8583</v>
      </c>
      <c r="L356" s="534">
        <v>120.0</v>
      </c>
    </row>
    <row r="357" ht="14.25" customHeight="1">
      <c r="A357" s="429" t="s">
        <v>8160</v>
      </c>
      <c r="B357" s="429">
        <v>2024.0</v>
      </c>
      <c r="C357" s="429">
        <f t="shared" si="13"/>
        <v>12</v>
      </c>
      <c r="D357" s="554">
        <v>45628.0</v>
      </c>
      <c r="E357" s="534" t="s">
        <v>8584</v>
      </c>
      <c r="F357" s="534" t="s">
        <v>8585</v>
      </c>
      <c r="G357" s="526" t="s">
        <v>7075</v>
      </c>
      <c r="H357" s="534" t="s">
        <v>8467</v>
      </c>
      <c r="I357" s="534">
        <v>1.0</v>
      </c>
      <c r="J357" s="534"/>
      <c r="K357" s="534" t="s">
        <v>8168</v>
      </c>
      <c r="L357" s="534">
        <v>126.9</v>
      </c>
    </row>
    <row r="358" ht="14.25" customHeight="1">
      <c r="A358" s="429" t="s">
        <v>8160</v>
      </c>
      <c r="B358" s="429">
        <v>2024.0</v>
      </c>
      <c r="C358" s="429">
        <f t="shared" si="13"/>
        <v>12</v>
      </c>
      <c r="D358" s="554">
        <v>45627.0</v>
      </c>
      <c r="E358" s="534" t="s">
        <v>8586</v>
      </c>
      <c r="F358" s="534" t="s">
        <v>2562</v>
      </c>
      <c r="G358" s="534" t="s">
        <v>7106</v>
      </c>
      <c r="H358" s="534" t="s">
        <v>8587</v>
      </c>
      <c r="I358" s="534">
        <v>1.0</v>
      </c>
      <c r="J358" s="534"/>
      <c r="K358" s="594" t="s">
        <v>8588</v>
      </c>
      <c r="L358" s="534">
        <v>60.0</v>
      </c>
    </row>
    <row r="359" ht="14.25" customHeight="1">
      <c r="A359" s="429" t="s">
        <v>8160</v>
      </c>
      <c r="B359" s="429">
        <v>2024.0</v>
      </c>
      <c r="C359" s="429">
        <f t="shared" si="13"/>
        <v>12</v>
      </c>
      <c r="D359" s="554">
        <v>45629.0</v>
      </c>
      <c r="E359" s="534" t="s">
        <v>8589</v>
      </c>
      <c r="F359" s="534"/>
      <c r="G359" s="526" t="s">
        <v>7100</v>
      </c>
      <c r="H359" s="526" t="s">
        <v>248</v>
      </c>
      <c r="I359" s="534">
        <v>1.0</v>
      </c>
      <c r="J359" s="534"/>
      <c r="K359" s="534" t="s">
        <v>2511</v>
      </c>
      <c r="L359" s="534">
        <v>136.0</v>
      </c>
    </row>
    <row r="360" ht="14.25" customHeight="1">
      <c r="A360" s="429" t="s">
        <v>8160</v>
      </c>
      <c r="B360" s="429">
        <v>2024.0</v>
      </c>
      <c r="C360" s="429">
        <f t="shared" si="13"/>
        <v>12</v>
      </c>
      <c r="D360" s="554">
        <v>45629.0</v>
      </c>
      <c r="E360" s="534" t="s">
        <v>8590</v>
      </c>
      <c r="F360" s="534" t="s">
        <v>8591</v>
      </c>
      <c r="G360" s="618" t="s">
        <v>8509</v>
      </c>
      <c r="H360" s="534" t="s">
        <v>201</v>
      </c>
      <c r="I360" s="534">
        <v>1.0</v>
      </c>
      <c r="J360" s="534"/>
      <c r="K360" s="534" t="s">
        <v>2511</v>
      </c>
      <c r="L360" s="534">
        <v>28.0</v>
      </c>
    </row>
    <row r="361" ht="14.25" customHeight="1">
      <c r="A361" s="429" t="s">
        <v>8160</v>
      </c>
      <c r="B361" s="429">
        <v>2024.0</v>
      </c>
      <c r="C361" s="429">
        <f t="shared" si="13"/>
        <v>12</v>
      </c>
      <c r="D361" s="554">
        <v>45631.0</v>
      </c>
      <c r="E361" s="534" t="s">
        <v>8592</v>
      </c>
      <c r="F361" s="534" t="s">
        <v>8593</v>
      </c>
      <c r="G361" s="526" t="s">
        <v>7075</v>
      </c>
      <c r="H361" s="534"/>
      <c r="I361" s="534">
        <v>1.0</v>
      </c>
      <c r="J361" s="534"/>
      <c r="K361" s="534" t="s">
        <v>8594</v>
      </c>
      <c r="L361" s="534">
        <v>91.9</v>
      </c>
    </row>
    <row r="362" ht="14.25" customHeight="1">
      <c r="A362" s="429" t="s">
        <v>8595</v>
      </c>
      <c r="B362" s="429">
        <v>2024.0</v>
      </c>
      <c r="C362" s="429">
        <f t="shared" si="13"/>
        <v>12</v>
      </c>
      <c r="D362" s="554">
        <v>45635.0</v>
      </c>
      <c r="E362" s="534" t="s">
        <v>2623</v>
      </c>
      <c r="F362" s="534" t="s">
        <v>8596</v>
      </c>
      <c r="G362" s="526" t="s">
        <v>7611</v>
      </c>
      <c r="H362" s="534" t="s">
        <v>8597</v>
      </c>
      <c r="I362" s="534">
        <v>1.0</v>
      </c>
      <c r="J362" s="534"/>
      <c r="K362" s="534" t="s">
        <v>7393</v>
      </c>
      <c r="L362" s="534">
        <v>85.0</v>
      </c>
    </row>
    <row r="363" ht="14.25" customHeight="1">
      <c r="A363" s="429" t="s">
        <v>8595</v>
      </c>
      <c r="B363" s="429">
        <v>2024.0</v>
      </c>
      <c r="C363" s="429">
        <f t="shared" si="13"/>
        <v>12</v>
      </c>
      <c r="D363" s="554">
        <v>45635.0</v>
      </c>
      <c r="E363" s="534" t="s">
        <v>8471</v>
      </c>
      <c r="F363" s="534" t="s">
        <v>8472</v>
      </c>
      <c r="G363" s="526" t="s">
        <v>6613</v>
      </c>
      <c r="H363" s="534" t="s">
        <v>8598</v>
      </c>
      <c r="I363" s="534">
        <v>1.0</v>
      </c>
      <c r="J363" s="534"/>
      <c r="K363" s="534" t="s">
        <v>2511</v>
      </c>
      <c r="L363" s="534">
        <v>60.0</v>
      </c>
    </row>
    <row r="364" ht="14.25" customHeight="1">
      <c r="A364" s="429" t="s">
        <v>8595</v>
      </c>
      <c r="B364" s="429">
        <v>2024.0</v>
      </c>
      <c r="C364" s="429">
        <f t="shared" si="13"/>
        <v>12</v>
      </c>
      <c r="D364" s="554">
        <v>45635.0</v>
      </c>
      <c r="E364" s="534" t="s">
        <v>8599</v>
      </c>
      <c r="F364" s="534"/>
      <c r="G364" s="526" t="s">
        <v>7100</v>
      </c>
      <c r="H364" s="526" t="s">
        <v>248</v>
      </c>
      <c r="I364" s="534">
        <v>1.0</v>
      </c>
      <c r="J364" s="534"/>
      <c r="K364" s="534" t="s">
        <v>2511</v>
      </c>
      <c r="L364" s="534">
        <v>150.0</v>
      </c>
    </row>
    <row r="365" ht="14.25" customHeight="1">
      <c r="A365" s="429" t="s">
        <v>8595</v>
      </c>
      <c r="B365" s="429">
        <v>2024.0</v>
      </c>
      <c r="C365" s="429">
        <f t="shared" si="13"/>
        <v>12</v>
      </c>
      <c r="D365" s="554">
        <v>45635.0</v>
      </c>
      <c r="E365" s="534" t="s">
        <v>8599</v>
      </c>
      <c r="F365" s="534"/>
      <c r="G365" s="618" t="s">
        <v>8526</v>
      </c>
      <c r="H365" s="534" t="s">
        <v>7647</v>
      </c>
      <c r="I365" s="534">
        <v>1.0</v>
      </c>
      <c r="J365" s="534"/>
      <c r="K365" s="534" t="s">
        <v>2511</v>
      </c>
      <c r="L365" s="534">
        <v>25.0</v>
      </c>
    </row>
    <row r="366" ht="14.25" customHeight="1">
      <c r="A366" s="429" t="s">
        <v>8595</v>
      </c>
      <c r="B366" s="429">
        <v>2024.0</v>
      </c>
      <c r="C366" s="429">
        <f t="shared" si="13"/>
        <v>12</v>
      </c>
      <c r="D366" s="554">
        <v>45635.0</v>
      </c>
      <c r="E366" s="534" t="s">
        <v>8600</v>
      </c>
      <c r="F366" s="534"/>
      <c r="G366" s="526" t="s">
        <v>7075</v>
      </c>
      <c r="H366" s="534"/>
      <c r="I366" s="534">
        <v>1.0</v>
      </c>
      <c r="J366" s="534"/>
      <c r="K366" s="534" t="s">
        <v>2511</v>
      </c>
      <c r="L366" s="534">
        <v>120.0</v>
      </c>
    </row>
    <row r="367" ht="14.25" customHeight="1">
      <c r="A367" s="429" t="s">
        <v>8595</v>
      </c>
      <c r="B367" s="429">
        <v>2024.0</v>
      </c>
      <c r="C367" s="429">
        <f t="shared" si="13"/>
        <v>12</v>
      </c>
      <c r="D367" s="554">
        <v>45636.0</v>
      </c>
      <c r="E367" s="534" t="s">
        <v>8601</v>
      </c>
      <c r="F367" s="534"/>
      <c r="G367" s="618" t="s">
        <v>7073</v>
      </c>
      <c r="H367" s="534" t="s">
        <v>201</v>
      </c>
      <c r="I367" s="534">
        <v>1.0</v>
      </c>
      <c r="J367" s="534"/>
      <c r="K367" s="534" t="s">
        <v>2511</v>
      </c>
      <c r="L367" s="534">
        <v>195.0</v>
      </c>
    </row>
    <row r="368" ht="14.25" customHeight="1">
      <c r="A368" s="429" t="s">
        <v>8595</v>
      </c>
      <c r="B368" s="429">
        <v>2024.0</v>
      </c>
      <c r="C368" s="429">
        <f t="shared" si="13"/>
        <v>12</v>
      </c>
      <c r="D368" s="554">
        <v>45636.0</v>
      </c>
      <c r="E368" s="598" t="s">
        <v>8601</v>
      </c>
      <c r="F368" s="534"/>
      <c r="G368" s="618" t="s">
        <v>7073</v>
      </c>
      <c r="H368" s="534" t="s">
        <v>6669</v>
      </c>
      <c r="I368" s="534">
        <v>1.0</v>
      </c>
      <c r="J368" s="534"/>
      <c r="K368" s="534" t="s">
        <v>2511</v>
      </c>
      <c r="L368" s="534"/>
    </row>
    <row r="369" ht="14.25" customHeight="1">
      <c r="A369" s="429" t="s">
        <v>8595</v>
      </c>
      <c r="B369" s="429">
        <v>2024.0</v>
      </c>
      <c r="C369" s="429">
        <f t="shared" si="13"/>
        <v>12</v>
      </c>
      <c r="D369" s="554">
        <v>45636.0</v>
      </c>
      <c r="E369" s="534" t="s">
        <v>2600</v>
      </c>
      <c r="F369" s="534" t="s">
        <v>8602</v>
      </c>
      <c r="G369" s="526" t="s">
        <v>7075</v>
      </c>
      <c r="H369" s="534" t="s">
        <v>6938</v>
      </c>
      <c r="I369" s="534">
        <v>1.0</v>
      </c>
      <c r="J369" s="534"/>
      <c r="K369" s="534" t="s">
        <v>7393</v>
      </c>
      <c r="L369" s="534">
        <v>120.0</v>
      </c>
    </row>
    <row r="370" ht="14.25" customHeight="1">
      <c r="A370" s="429" t="s">
        <v>8595</v>
      </c>
      <c r="B370" s="429">
        <v>2024.0</v>
      </c>
      <c r="C370" s="429">
        <f t="shared" si="13"/>
        <v>12</v>
      </c>
      <c r="D370" s="554">
        <v>45637.0</v>
      </c>
      <c r="E370" s="534" t="s">
        <v>2561</v>
      </c>
      <c r="F370" s="534" t="s">
        <v>8603</v>
      </c>
      <c r="G370" s="526" t="s">
        <v>7075</v>
      </c>
      <c r="H370" s="534" t="s">
        <v>8580</v>
      </c>
      <c r="I370" s="534">
        <v>1.0</v>
      </c>
      <c r="J370" s="534"/>
      <c r="K370" s="534" t="s">
        <v>7393</v>
      </c>
      <c r="L370" s="534">
        <v>120.0</v>
      </c>
    </row>
    <row r="371" ht="14.25" customHeight="1">
      <c r="A371" s="429" t="s">
        <v>8595</v>
      </c>
      <c r="B371" s="429">
        <v>2024.0</v>
      </c>
      <c r="C371" s="429">
        <f t="shared" si="13"/>
        <v>12</v>
      </c>
      <c r="D371" s="554">
        <v>45637.0</v>
      </c>
      <c r="E371" s="534" t="s">
        <v>2561</v>
      </c>
      <c r="F371" s="534" t="s">
        <v>8604</v>
      </c>
      <c r="G371" s="534" t="s">
        <v>8509</v>
      </c>
      <c r="H371" s="534" t="s">
        <v>7647</v>
      </c>
      <c r="I371" s="534">
        <v>1.0</v>
      </c>
      <c r="J371" s="534"/>
      <c r="K371" s="534" t="s">
        <v>7393</v>
      </c>
      <c r="L371" s="534">
        <v>28.0</v>
      </c>
    </row>
    <row r="372" ht="14.25" customHeight="1">
      <c r="A372" s="429" t="s">
        <v>8595</v>
      </c>
      <c r="B372" s="429">
        <v>2024.0</v>
      </c>
      <c r="C372" s="429">
        <f t="shared" si="13"/>
        <v>12</v>
      </c>
      <c r="D372" s="554">
        <v>45637.0</v>
      </c>
      <c r="E372" s="534" t="s">
        <v>8605</v>
      </c>
      <c r="F372" s="534" t="s">
        <v>8606</v>
      </c>
      <c r="G372" s="526" t="s">
        <v>7611</v>
      </c>
      <c r="H372" s="534" t="s">
        <v>8607</v>
      </c>
      <c r="I372" s="534">
        <v>1.0</v>
      </c>
      <c r="J372" s="534"/>
      <c r="K372" s="534" t="s">
        <v>2511</v>
      </c>
      <c r="L372" s="534">
        <v>60.0</v>
      </c>
    </row>
    <row r="373" ht="14.25" customHeight="1">
      <c r="A373" s="429" t="s">
        <v>8595</v>
      </c>
      <c r="B373" s="429">
        <v>2024.0</v>
      </c>
      <c r="C373" s="429">
        <f t="shared" si="13"/>
        <v>12</v>
      </c>
      <c r="D373" s="554">
        <v>45637.0</v>
      </c>
      <c r="E373" s="534" t="s">
        <v>8608</v>
      </c>
      <c r="F373" s="534"/>
      <c r="G373" s="526" t="s">
        <v>7075</v>
      </c>
      <c r="H373" s="534" t="s">
        <v>6643</v>
      </c>
      <c r="I373" s="534">
        <v>1.0</v>
      </c>
      <c r="J373" s="534"/>
      <c r="K373" s="534" t="s">
        <v>2511</v>
      </c>
      <c r="L373" s="534">
        <v>80.0</v>
      </c>
    </row>
    <row r="374" ht="14.25" customHeight="1">
      <c r="A374" s="429" t="s">
        <v>8595</v>
      </c>
      <c r="B374" s="429">
        <v>2024.0</v>
      </c>
      <c r="C374" s="429">
        <f t="shared" si="13"/>
        <v>12</v>
      </c>
      <c r="D374" s="554">
        <v>45637.0</v>
      </c>
      <c r="E374" s="534" t="s">
        <v>2550</v>
      </c>
      <c r="F374" s="534" t="s">
        <v>2551</v>
      </c>
      <c r="G374" s="526" t="s">
        <v>7075</v>
      </c>
      <c r="H374" s="534" t="s">
        <v>8235</v>
      </c>
      <c r="I374" s="534">
        <v>1.0</v>
      </c>
      <c r="J374" s="534"/>
      <c r="K374" s="534" t="s">
        <v>3009</v>
      </c>
      <c r="L374" s="534">
        <v>98.0</v>
      </c>
    </row>
    <row r="375" ht="14.25" customHeight="1">
      <c r="A375" s="429" t="s">
        <v>8595</v>
      </c>
      <c r="B375" s="429">
        <v>2024.0</v>
      </c>
      <c r="C375" s="429">
        <f t="shared" si="13"/>
        <v>12</v>
      </c>
      <c r="D375" s="554">
        <v>45637.0</v>
      </c>
      <c r="E375" s="534" t="s">
        <v>7600</v>
      </c>
      <c r="F375" s="534" t="s">
        <v>8609</v>
      </c>
      <c r="G375" s="526" t="s">
        <v>7075</v>
      </c>
      <c r="H375" s="534" t="s">
        <v>8235</v>
      </c>
      <c r="I375" s="534">
        <v>1.0</v>
      </c>
      <c r="J375" s="534"/>
      <c r="K375" s="534" t="s">
        <v>3009</v>
      </c>
      <c r="L375" s="534">
        <v>120.0</v>
      </c>
    </row>
    <row r="376" ht="14.25" customHeight="1">
      <c r="A376" s="429" t="s">
        <v>8595</v>
      </c>
      <c r="B376" s="429">
        <v>2024.0</v>
      </c>
      <c r="C376" s="429">
        <f t="shared" si="13"/>
        <v>12</v>
      </c>
      <c r="D376" s="554">
        <v>45637.0</v>
      </c>
      <c r="E376" s="534" t="s">
        <v>8610</v>
      </c>
      <c r="F376" s="534" t="s">
        <v>8611</v>
      </c>
      <c r="G376" s="526" t="s">
        <v>6613</v>
      </c>
      <c r="H376" s="534" t="s">
        <v>7957</v>
      </c>
      <c r="I376" s="534">
        <v>1.0</v>
      </c>
      <c r="J376" s="534"/>
      <c r="K376" s="534" t="s">
        <v>2511</v>
      </c>
      <c r="L376" s="534">
        <v>70.0</v>
      </c>
    </row>
    <row r="377" ht="14.25" customHeight="1">
      <c r="A377" s="429" t="s">
        <v>8595</v>
      </c>
      <c r="B377" s="429">
        <v>2024.0</v>
      </c>
      <c r="C377" s="429">
        <f t="shared" si="13"/>
        <v>12</v>
      </c>
      <c r="D377" s="554">
        <v>45637.0</v>
      </c>
      <c r="E377" s="534" t="s">
        <v>2566</v>
      </c>
      <c r="F377" s="534" t="s">
        <v>8612</v>
      </c>
      <c r="G377" s="526" t="s">
        <v>7100</v>
      </c>
      <c r="H377" s="526" t="s">
        <v>8613</v>
      </c>
      <c r="I377" s="534">
        <v>1.0</v>
      </c>
      <c r="J377" s="534"/>
      <c r="K377" s="534" t="s">
        <v>2511</v>
      </c>
      <c r="L377" s="534">
        <v>136.0</v>
      </c>
    </row>
    <row r="378" ht="14.25" customHeight="1">
      <c r="A378" s="429" t="s">
        <v>8595</v>
      </c>
      <c r="B378" s="429">
        <v>2024.0</v>
      </c>
      <c r="C378" s="429">
        <f t="shared" si="13"/>
        <v>12</v>
      </c>
      <c r="D378" s="554">
        <v>45637.0</v>
      </c>
      <c r="E378" s="534" t="s">
        <v>2566</v>
      </c>
      <c r="F378" s="534" t="s">
        <v>8612</v>
      </c>
      <c r="G378" s="534" t="s">
        <v>8510</v>
      </c>
      <c r="H378" s="534"/>
      <c r="I378" s="534">
        <v>1.0</v>
      </c>
      <c r="J378" s="534"/>
      <c r="K378" s="534" t="s">
        <v>2511</v>
      </c>
      <c r="L378" s="534">
        <v>20.0</v>
      </c>
    </row>
    <row r="379" ht="14.25" customHeight="1">
      <c r="A379" s="429" t="s">
        <v>8595</v>
      </c>
      <c r="B379" s="429">
        <v>2024.0</v>
      </c>
      <c r="C379" s="429">
        <f t="shared" si="13"/>
        <v>12</v>
      </c>
      <c r="D379" s="554">
        <v>45637.0</v>
      </c>
      <c r="E379" s="534" t="s">
        <v>2550</v>
      </c>
      <c r="F379" s="534" t="s">
        <v>4614</v>
      </c>
      <c r="G379" s="526" t="s">
        <v>7075</v>
      </c>
      <c r="H379" s="534" t="s">
        <v>8614</v>
      </c>
      <c r="I379" s="534">
        <v>1.0</v>
      </c>
      <c r="J379" s="534"/>
      <c r="K379" s="534" t="s">
        <v>2511</v>
      </c>
      <c r="L379" s="534">
        <v>187.0</v>
      </c>
    </row>
    <row r="380" ht="14.25" customHeight="1">
      <c r="A380" s="429" t="s">
        <v>8595</v>
      </c>
      <c r="B380" s="429">
        <v>2024.0</v>
      </c>
      <c r="C380" s="429">
        <f t="shared" si="13"/>
        <v>12</v>
      </c>
      <c r="D380" s="554">
        <v>45637.0</v>
      </c>
      <c r="E380" s="534" t="s">
        <v>2550</v>
      </c>
      <c r="F380" s="534" t="s">
        <v>4614</v>
      </c>
      <c r="G380" s="526" t="s">
        <v>7075</v>
      </c>
      <c r="H380" s="534" t="s">
        <v>8467</v>
      </c>
      <c r="I380" s="534">
        <v>1.0</v>
      </c>
      <c r="J380" s="534"/>
      <c r="K380" s="534" t="s">
        <v>2511</v>
      </c>
      <c r="L380" s="534"/>
    </row>
    <row r="381" ht="14.25" customHeight="1">
      <c r="A381" s="429" t="s">
        <v>8595</v>
      </c>
      <c r="B381" s="429">
        <v>2024.0</v>
      </c>
      <c r="C381" s="429">
        <f t="shared" si="13"/>
        <v>12</v>
      </c>
      <c r="D381" s="554">
        <v>45637.0</v>
      </c>
      <c r="E381" s="534" t="s">
        <v>7417</v>
      </c>
      <c r="F381" s="534" t="s">
        <v>8615</v>
      </c>
      <c r="G381" s="534" t="s">
        <v>8501</v>
      </c>
      <c r="H381" s="534" t="s">
        <v>8616</v>
      </c>
      <c r="I381" s="534">
        <v>1.0</v>
      </c>
      <c r="J381" s="534"/>
      <c r="K381" s="534" t="s">
        <v>7393</v>
      </c>
      <c r="L381" s="534">
        <v>28.0</v>
      </c>
    </row>
    <row r="382" ht="14.25" customHeight="1">
      <c r="A382" s="429" t="s">
        <v>8595</v>
      </c>
      <c r="B382" s="429">
        <v>2024.0</v>
      </c>
      <c r="C382" s="429">
        <f t="shared" si="13"/>
        <v>12</v>
      </c>
      <c r="D382" s="554">
        <v>45637.0</v>
      </c>
      <c r="E382" s="534" t="s">
        <v>2783</v>
      </c>
      <c r="F382" s="534" t="s">
        <v>8617</v>
      </c>
      <c r="G382" s="526" t="s">
        <v>6613</v>
      </c>
      <c r="H382" s="534" t="s">
        <v>8618</v>
      </c>
      <c r="I382" s="534">
        <v>1.0</v>
      </c>
      <c r="J382" s="534"/>
      <c r="K382" s="534" t="s">
        <v>7393</v>
      </c>
      <c r="L382" s="534">
        <v>70.0</v>
      </c>
    </row>
    <row r="383" ht="14.25" customHeight="1">
      <c r="A383" s="429" t="s">
        <v>8595</v>
      </c>
      <c r="B383" s="429">
        <v>2024.0</v>
      </c>
      <c r="C383" s="429">
        <f t="shared" si="13"/>
        <v>12</v>
      </c>
      <c r="D383" s="554">
        <v>45637.0</v>
      </c>
      <c r="E383" s="534" t="s">
        <v>7396</v>
      </c>
      <c r="F383" s="534" t="s">
        <v>8132</v>
      </c>
      <c r="G383" s="534" t="s">
        <v>8619</v>
      </c>
      <c r="H383" s="534"/>
      <c r="I383" s="534">
        <v>1.0</v>
      </c>
      <c r="J383" s="534"/>
      <c r="K383" s="534" t="s">
        <v>7393</v>
      </c>
      <c r="L383" s="534">
        <v>38.0</v>
      </c>
    </row>
    <row r="384" ht="14.25" customHeight="1">
      <c r="A384" s="429" t="s">
        <v>8595</v>
      </c>
      <c r="B384" s="429">
        <v>2024.0</v>
      </c>
      <c r="C384" s="429">
        <f t="shared" si="13"/>
        <v>12</v>
      </c>
      <c r="D384" s="554">
        <v>45637.0</v>
      </c>
      <c r="E384" s="534" t="s">
        <v>8620</v>
      </c>
      <c r="F384" s="534" t="s">
        <v>8621</v>
      </c>
      <c r="G384" s="526" t="s">
        <v>7075</v>
      </c>
      <c r="H384" s="534" t="s">
        <v>6938</v>
      </c>
      <c r="I384" s="534">
        <v>1.0</v>
      </c>
      <c r="J384" s="534"/>
      <c r="K384" s="534" t="s">
        <v>7393</v>
      </c>
      <c r="L384" s="534">
        <v>120.0</v>
      </c>
    </row>
    <row r="385" ht="14.25" customHeight="1">
      <c r="A385" s="429" t="s">
        <v>8595</v>
      </c>
      <c r="B385" s="429">
        <v>2024.0</v>
      </c>
      <c r="C385" s="429">
        <f t="shared" si="13"/>
        <v>12</v>
      </c>
      <c r="D385" s="554">
        <v>45638.0</v>
      </c>
      <c r="E385" s="534" t="s">
        <v>8622</v>
      </c>
      <c r="F385" s="534" t="s">
        <v>8623</v>
      </c>
      <c r="G385" s="526" t="s">
        <v>7075</v>
      </c>
      <c r="H385" s="534" t="s">
        <v>8624</v>
      </c>
      <c r="I385" s="534">
        <v>1.0</v>
      </c>
      <c r="J385" s="534"/>
      <c r="K385" s="534" t="s">
        <v>8168</v>
      </c>
      <c r="L385" s="534">
        <v>126.0</v>
      </c>
    </row>
    <row r="386" ht="14.25" customHeight="1">
      <c r="A386" s="429" t="s">
        <v>8595</v>
      </c>
      <c r="B386" s="429">
        <v>2024.0</v>
      </c>
      <c r="C386" s="429">
        <f t="shared" si="13"/>
        <v>12</v>
      </c>
      <c r="D386" s="554">
        <v>45638.0</v>
      </c>
      <c r="E386" s="534" t="s">
        <v>2586</v>
      </c>
      <c r="F386" s="534" t="s">
        <v>8625</v>
      </c>
      <c r="G386" s="618" t="s">
        <v>8526</v>
      </c>
      <c r="H386" s="534"/>
      <c r="I386" s="534">
        <v>1.0</v>
      </c>
      <c r="J386" s="534"/>
      <c r="K386" s="534" t="s">
        <v>7393</v>
      </c>
      <c r="L386" s="534">
        <v>25.0</v>
      </c>
    </row>
    <row r="387" ht="14.25" customHeight="1">
      <c r="A387" s="429" t="s">
        <v>8595</v>
      </c>
      <c r="B387" s="429">
        <v>2024.0</v>
      </c>
      <c r="C387" s="429">
        <f t="shared" si="13"/>
        <v>12</v>
      </c>
      <c r="D387" s="554">
        <v>45638.0</v>
      </c>
      <c r="E387" s="534" t="s">
        <v>2547</v>
      </c>
      <c r="F387" s="534" t="s">
        <v>8626</v>
      </c>
      <c r="G387" s="526" t="s">
        <v>7075</v>
      </c>
      <c r="H387" s="534" t="s">
        <v>8205</v>
      </c>
      <c r="I387" s="534">
        <v>1.0</v>
      </c>
      <c r="J387" s="534"/>
      <c r="K387" s="534" t="s">
        <v>7393</v>
      </c>
      <c r="L387" s="534">
        <v>150.0</v>
      </c>
    </row>
    <row r="388" ht="14.25" customHeight="1">
      <c r="A388" s="429" t="s">
        <v>8595</v>
      </c>
      <c r="B388" s="429">
        <v>2024.0</v>
      </c>
      <c r="C388" s="429">
        <f t="shared" si="13"/>
        <v>12</v>
      </c>
      <c r="D388" s="554">
        <v>45638.0</v>
      </c>
      <c r="E388" s="534" t="s">
        <v>8408</v>
      </c>
      <c r="F388" s="534" t="s">
        <v>8627</v>
      </c>
      <c r="G388" s="526" t="s">
        <v>7075</v>
      </c>
      <c r="H388" s="534" t="s">
        <v>8205</v>
      </c>
      <c r="I388" s="534">
        <v>1.0</v>
      </c>
      <c r="J388" s="534"/>
      <c r="K388" s="559" t="s">
        <v>8274</v>
      </c>
      <c r="L388" s="534">
        <v>180.0</v>
      </c>
    </row>
    <row r="389" ht="14.25" customHeight="1">
      <c r="A389" s="429" t="s">
        <v>8595</v>
      </c>
      <c r="B389" s="429">
        <v>2024.0</v>
      </c>
      <c r="C389" s="429">
        <f t="shared" si="13"/>
        <v>12</v>
      </c>
      <c r="D389" s="554">
        <v>45638.0</v>
      </c>
      <c r="E389" s="534" t="s">
        <v>8408</v>
      </c>
      <c r="F389" s="534" t="s">
        <v>8627</v>
      </c>
      <c r="G389" s="534" t="s">
        <v>8501</v>
      </c>
      <c r="H389" s="534" t="s">
        <v>8628</v>
      </c>
      <c r="I389" s="534">
        <v>1.0</v>
      </c>
      <c r="J389" s="534"/>
      <c r="K389" s="534"/>
      <c r="L389" s="534"/>
    </row>
    <row r="390" ht="14.25" customHeight="1">
      <c r="A390" s="429" t="s">
        <v>8595</v>
      </c>
      <c r="B390" s="429">
        <v>2024.0</v>
      </c>
      <c r="C390" s="429">
        <f t="shared" si="13"/>
        <v>12</v>
      </c>
      <c r="D390" s="554">
        <v>45638.0</v>
      </c>
      <c r="E390" s="534" t="s">
        <v>8408</v>
      </c>
      <c r="F390" s="534" t="s">
        <v>8627</v>
      </c>
      <c r="G390" s="618" t="s">
        <v>8526</v>
      </c>
      <c r="H390" s="534" t="s">
        <v>7751</v>
      </c>
      <c r="I390" s="534">
        <v>1.0</v>
      </c>
      <c r="J390" s="534"/>
      <c r="K390" s="534"/>
      <c r="L390" s="534"/>
    </row>
    <row r="391" ht="14.25" customHeight="1">
      <c r="A391" s="429" t="s">
        <v>8595</v>
      </c>
      <c r="B391" s="429">
        <v>2024.0</v>
      </c>
      <c r="C391" s="429">
        <f t="shared" si="13"/>
        <v>12</v>
      </c>
      <c r="D391" s="554">
        <v>45638.0</v>
      </c>
      <c r="E391" s="534" t="s">
        <v>8408</v>
      </c>
      <c r="F391" s="534" t="s">
        <v>8629</v>
      </c>
      <c r="G391" s="618" t="s">
        <v>8526</v>
      </c>
      <c r="H391" s="534" t="s">
        <v>8630</v>
      </c>
      <c r="I391" s="534">
        <v>1.0</v>
      </c>
      <c r="J391" s="534"/>
      <c r="K391" s="534"/>
      <c r="L391" s="534"/>
    </row>
    <row r="392" ht="14.25" customHeight="1">
      <c r="A392" s="429" t="s">
        <v>8631</v>
      </c>
      <c r="B392" s="429">
        <v>2024.0</v>
      </c>
      <c r="C392" s="429">
        <f t="shared" si="13"/>
        <v>12</v>
      </c>
      <c r="D392" s="554">
        <v>45640.0</v>
      </c>
      <c r="E392" s="534" t="s">
        <v>8632</v>
      </c>
      <c r="F392" s="534" t="s">
        <v>8633</v>
      </c>
      <c r="G392" s="534" t="s">
        <v>8501</v>
      </c>
      <c r="H392" s="534" t="s">
        <v>8634</v>
      </c>
      <c r="I392" s="534">
        <v>1.0</v>
      </c>
      <c r="J392" s="534"/>
      <c r="K392" s="534"/>
      <c r="L392" s="534">
        <v>27.0</v>
      </c>
    </row>
    <row r="393" ht="14.25" customHeight="1">
      <c r="A393" s="429" t="s">
        <v>8631</v>
      </c>
      <c r="B393" s="429">
        <v>2024.0</v>
      </c>
      <c r="C393" s="429">
        <f t="shared" si="13"/>
        <v>12</v>
      </c>
      <c r="D393" s="554">
        <v>45640.0</v>
      </c>
      <c r="E393" s="534" t="s">
        <v>8054</v>
      </c>
      <c r="F393" s="534" t="s">
        <v>7327</v>
      </c>
      <c r="G393" s="526" t="s">
        <v>7075</v>
      </c>
      <c r="H393" s="534" t="s">
        <v>2853</v>
      </c>
      <c r="I393" s="534">
        <v>1.0</v>
      </c>
      <c r="J393" s="534"/>
      <c r="K393" s="534"/>
      <c r="L393" s="534">
        <v>100.0</v>
      </c>
    </row>
    <row r="394" ht="14.25" customHeight="1">
      <c r="A394" s="429" t="s">
        <v>8631</v>
      </c>
      <c r="B394" s="429">
        <v>2024.0</v>
      </c>
      <c r="C394" s="429">
        <f t="shared" si="13"/>
        <v>12</v>
      </c>
      <c r="D394" s="554">
        <v>45640.0</v>
      </c>
      <c r="E394" s="534" t="s">
        <v>7569</v>
      </c>
      <c r="F394" s="534" t="s">
        <v>8635</v>
      </c>
      <c r="G394" s="526" t="s">
        <v>7100</v>
      </c>
      <c r="H394" s="526" t="s">
        <v>248</v>
      </c>
      <c r="I394" s="534">
        <v>1.0</v>
      </c>
      <c r="J394" s="534"/>
      <c r="K394" s="534"/>
      <c r="L394" s="534">
        <v>170.0</v>
      </c>
    </row>
    <row r="395" ht="14.25" customHeight="1">
      <c r="A395" s="429" t="s">
        <v>8631</v>
      </c>
      <c r="B395" s="429">
        <v>2024.0</v>
      </c>
      <c r="C395" s="429">
        <f t="shared" si="13"/>
        <v>12</v>
      </c>
      <c r="D395" s="554">
        <v>45640.0</v>
      </c>
      <c r="E395" s="534" t="s">
        <v>8636</v>
      </c>
      <c r="F395" s="534" t="s">
        <v>8406</v>
      </c>
      <c r="G395" s="534" t="s">
        <v>7106</v>
      </c>
      <c r="H395" s="534" t="s">
        <v>8637</v>
      </c>
      <c r="I395" s="534">
        <v>1.0</v>
      </c>
      <c r="J395" s="534"/>
      <c r="K395" s="534"/>
      <c r="L395" s="534">
        <v>95.0</v>
      </c>
    </row>
    <row r="396" ht="14.25" customHeight="1">
      <c r="A396" s="429" t="s">
        <v>8631</v>
      </c>
      <c r="B396" s="429">
        <v>2024.0</v>
      </c>
      <c r="C396" s="429">
        <f t="shared" si="13"/>
        <v>12</v>
      </c>
      <c r="D396" s="554">
        <v>45640.0</v>
      </c>
      <c r="E396" s="534" t="s">
        <v>2647</v>
      </c>
      <c r="F396" s="534" t="s">
        <v>8638</v>
      </c>
      <c r="G396" s="526" t="s">
        <v>7075</v>
      </c>
      <c r="H396" s="534" t="s">
        <v>8377</v>
      </c>
      <c r="I396" s="534">
        <v>1.0</v>
      </c>
      <c r="J396" s="534"/>
      <c r="K396" s="534"/>
      <c r="L396" s="534">
        <v>100.0</v>
      </c>
    </row>
    <row r="397" ht="14.25" customHeight="1">
      <c r="A397" s="429" t="s">
        <v>8631</v>
      </c>
      <c r="B397" s="429">
        <v>2024.0</v>
      </c>
      <c r="C397" s="429">
        <f t="shared" si="13"/>
        <v>12</v>
      </c>
      <c r="D397" s="554">
        <v>45640.0</v>
      </c>
      <c r="E397" s="534" t="s">
        <v>8146</v>
      </c>
      <c r="F397" s="534" t="s">
        <v>8639</v>
      </c>
      <c r="G397" s="526" t="s">
        <v>7075</v>
      </c>
      <c r="H397" s="534" t="s">
        <v>6946</v>
      </c>
      <c r="I397" s="534">
        <v>1.0</v>
      </c>
      <c r="J397" s="534"/>
      <c r="K397" s="534"/>
      <c r="L397" s="534">
        <v>150.0</v>
      </c>
    </row>
    <row r="398" ht="14.25" customHeight="1">
      <c r="A398" s="429" t="s">
        <v>8631</v>
      </c>
      <c r="B398" s="429">
        <v>2024.0</v>
      </c>
      <c r="C398" s="429">
        <f t="shared" si="13"/>
        <v>12</v>
      </c>
      <c r="D398" s="554">
        <v>45640.0</v>
      </c>
      <c r="E398" s="534" t="s">
        <v>2547</v>
      </c>
      <c r="F398" s="534" t="s">
        <v>8640</v>
      </c>
      <c r="G398" s="534" t="s">
        <v>7106</v>
      </c>
      <c r="H398" s="534"/>
      <c r="I398" s="534">
        <v>1.0</v>
      </c>
      <c r="J398" s="534"/>
      <c r="K398" s="534"/>
      <c r="L398" s="534">
        <v>90.0</v>
      </c>
    </row>
    <row r="399" ht="14.25" customHeight="1">
      <c r="A399" s="429" t="s">
        <v>8631</v>
      </c>
      <c r="B399" s="429">
        <v>2024.0</v>
      </c>
      <c r="C399" s="429">
        <f t="shared" si="13"/>
        <v>12</v>
      </c>
      <c r="D399" s="554">
        <v>45640.0</v>
      </c>
      <c r="E399" s="534" t="s">
        <v>8641</v>
      </c>
      <c r="F399" s="534" t="s">
        <v>8642</v>
      </c>
      <c r="G399" s="534" t="s">
        <v>8501</v>
      </c>
      <c r="H399" s="534" t="s">
        <v>6867</v>
      </c>
      <c r="I399" s="534">
        <v>1.0</v>
      </c>
      <c r="J399" s="534"/>
      <c r="K399" s="534"/>
      <c r="L399" s="534">
        <v>25.0</v>
      </c>
    </row>
    <row r="400" ht="14.25" customHeight="1">
      <c r="A400" s="429" t="s">
        <v>8631</v>
      </c>
      <c r="B400" s="429">
        <v>2024.0</v>
      </c>
      <c r="C400" s="429">
        <f t="shared" si="13"/>
        <v>12</v>
      </c>
      <c r="D400" s="554">
        <v>45640.0</v>
      </c>
      <c r="E400" s="534" t="s">
        <v>8641</v>
      </c>
      <c r="F400" s="534" t="s">
        <v>8642</v>
      </c>
      <c r="G400" s="534" t="s">
        <v>8501</v>
      </c>
      <c r="H400" s="534" t="s">
        <v>8643</v>
      </c>
      <c r="I400" s="534">
        <v>1.0</v>
      </c>
      <c r="J400" s="534"/>
      <c r="K400" s="534"/>
      <c r="L400" s="534">
        <v>25.0</v>
      </c>
    </row>
    <row r="401" ht="14.25" customHeight="1">
      <c r="A401" s="429" t="s">
        <v>8631</v>
      </c>
      <c r="B401" s="429">
        <v>2024.0</v>
      </c>
      <c r="C401" s="429">
        <f t="shared" si="13"/>
        <v>12</v>
      </c>
      <c r="D401" s="554">
        <v>45640.0</v>
      </c>
      <c r="E401" s="534" t="s">
        <v>2823</v>
      </c>
      <c r="F401" s="534" t="s">
        <v>8644</v>
      </c>
      <c r="G401" s="526" t="s">
        <v>7100</v>
      </c>
      <c r="H401" s="526" t="s">
        <v>248</v>
      </c>
      <c r="I401" s="534">
        <v>1.0</v>
      </c>
      <c r="J401" s="534"/>
      <c r="K401" s="534"/>
      <c r="L401" s="534">
        <v>170.0</v>
      </c>
    </row>
    <row r="402" ht="14.25" customHeight="1">
      <c r="A402" s="429" t="s">
        <v>8631</v>
      </c>
      <c r="B402" s="429">
        <v>2024.0</v>
      </c>
      <c r="C402" s="429">
        <f t="shared" si="13"/>
        <v>12</v>
      </c>
      <c r="D402" s="554">
        <v>45640.0</v>
      </c>
      <c r="E402" s="534" t="s">
        <v>8242</v>
      </c>
      <c r="F402" s="534" t="s">
        <v>8243</v>
      </c>
      <c r="G402" s="526" t="s">
        <v>7075</v>
      </c>
      <c r="H402" s="534"/>
      <c r="I402" s="534">
        <v>1.0</v>
      </c>
      <c r="J402" s="534"/>
      <c r="K402" s="534" t="s">
        <v>8645</v>
      </c>
      <c r="L402" s="534">
        <v>216.0</v>
      </c>
    </row>
    <row r="403" ht="14.25" customHeight="1">
      <c r="A403" s="429" t="s">
        <v>8631</v>
      </c>
      <c r="B403" s="429">
        <v>2024.0</v>
      </c>
      <c r="C403" s="429">
        <f t="shared" si="13"/>
        <v>12</v>
      </c>
      <c r="D403" s="554">
        <v>45640.0</v>
      </c>
      <c r="E403" s="534" t="s">
        <v>8242</v>
      </c>
      <c r="F403" s="534" t="s">
        <v>8243</v>
      </c>
      <c r="G403" s="526" t="s">
        <v>7075</v>
      </c>
      <c r="H403" s="534"/>
      <c r="I403" s="534">
        <v>1.0</v>
      </c>
      <c r="J403" s="534"/>
      <c r="K403" s="534" t="s">
        <v>8645</v>
      </c>
      <c r="L403" s="534"/>
    </row>
    <row r="404" ht="14.25" customHeight="1">
      <c r="A404" s="429" t="s">
        <v>8631</v>
      </c>
      <c r="B404" s="429">
        <v>2024.0</v>
      </c>
      <c r="C404" s="429">
        <f t="shared" si="13"/>
        <v>12</v>
      </c>
      <c r="D404" s="554">
        <v>45641.0</v>
      </c>
      <c r="E404" s="534" t="s">
        <v>2600</v>
      </c>
      <c r="F404" s="534" t="s">
        <v>8646</v>
      </c>
      <c r="G404" s="534" t="s">
        <v>8647</v>
      </c>
      <c r="H404" s="534"/>
      <c r="I404" s="534">
        <v>1.0</v>
      </c>
      <c r="J404" s="534"/>
      <c r="K404" s="534" t="s">
        <v>7393</v>
      </c>
      <c r="L404" s="534">
        <v>10.0</v>
      </c>
    </row>
    <row r="405" ht="14.25" customHeight="1">
      <c r="A405" s="429" t="s">
        <v>8631</v>
      </c>
      <c r="B405" s="429">
        <v>2024.0</v>
      </c>
      <c r="C405" s="429">
        <f t="shared" si="13"/>
        <v>12</v>
      </c>
      <c r="D405" s="554">
        <v>45641.0</v>
      </c>
      <c r="E405" s="534" t="s">
        <v>2600</v>
      </c>
      <c r="F405" s="534" t="s">
        <v>2769</v>
      </c>
      <c r="G405" s="534" t="s">
        <v>8647</v>
      </c>
      <c r="H405" s="534"/>
      <c r="I405" s="534">
        <v>1.0</v>
      </c>
      <c r="J405" s="534"/>
      <c r="K405" s="534" t="s">
        <v>7393</v>
      </c>
      <c r="L405" s="534">
        <v>10.0</v>
      </c>
    </row>
    <row r="406" ht="14.25" customHeight="1">
      <c r="A406" s="429" t="s">
        <v>8631</v>
      </c>
      <c r="B406" s="429">
        <v>2024.0</v>
      </c>
      <c r="C406" s="429">
        <f t="shared" si="13"/>
        <v>12</v>
      </c>
      <c r="D406" s="554">
        <v>45641.0</v>
      </c>
      <c r="E406" s="534" t="s">
        <v>7489</v>
      </c>
      <c r="F406" s="534" t="s">
        <v>8648</v>
      </c>
      <c r="G406" s="534" t="s">
        <v>8647</v>
      </c>
      <c r="H406" s="534"/>
      <c r="I406" s="534">
        <v>1.0</v>
      </c>
      <c r="J406" s="534"/>
      <c r="K406" s="534" t="s">
        <v>7393</v>
      </c>
      <c r="L406" s="534">
        <v>10.0</v>
      </c>
    </row>
    <row r="407" ht="14.25" customHeight="1">
      <c r="A407" s="429" t="s">
        <v>8631</v>
      </c>
      <c r="B407" s="429">
        <v>2024.0</v>
      </c>
      <c r="C407" s="429">
        <f t="shared" si="13"/>
        <v>12</v>
      </c>
      <c r="D407" s="554">
        <v>45641.0</v>
      </c>
      <c r="E407" s="534" t="s">
        <v>7489</v>
      </c>
      <c r="F407" s="534" t="s">
        <v>8648</v>
      </c>
      <c r="G407" s="534" t="s">
        <v>8647</v>
      </c>
      <c r="H407" s="534"/>
      <c r="I407" s="534">
        <v>1.0</v>
      </c>
      <c r="J407" s="534"/>
      <c r="K407" s="534" t="s">
        <v>7393</v>
      </c>
      <c r="L407" s="534">
        <v>10.0</v>
      </c>
    </row>
    <row r="408" ht="14.25" customHeight="1">
      <c r="A408" s="429" t="s">
        <v>8631</v>
      </c>
      <c r="B408" s="429">
        <v>2024.0</v>
      </c>
      <c r="C408" s="429">
        <f t="shared" si="13"/>
        <v>12</v>
      </c>
      <c r="D408" s="554">
        <v>45641.0</v>
      </c>
      <c r="E408" s="534" t="s">
        <v>7489</v>
      </c>
      <c r="F408" s="534" t="s">
        <v>8648</v>
      </c>
      <c r="G408" s="618" t="s">
        <v>8526</v>
      </c>
      <c r="H408" s="534" t="s">
        <v>7751</v>
      </c>
      <c r="I408" s="534">
        <v>1.0</v>
      </c>
      <c r="J408" s="534"/>
      <c r="K408" s="534" t="s">
        <v>7393</v>
      </c>
      <c r="L408" s="534">
        <v>25.0</v>
      </c>
    </row>
    <row r="409" ht="14.25" customHeight="1">
      <c r="A409" s="429" t="s">
        <v>8631</v>
      </c>
      <c r="B409" s="429">
        <v>2024.0</v>
      </c>
      <c r="C409" s="429">
        <f t="shared" si="13"/>
        <v>12</v>
      </c>
      <c r="D409" s="554">
        <v>45641.0</v>
      </c>
      <c r="E409" s="534" t="s">
        <v>8649</v>
      </c>
      <c r="F409" s="534" t="s">
        <v>8650</v>
      </c>
      <c r="G409" s="526" t="s">
        <v>7075</v>
      </c>
      <c r="H409" s="534" t="s">
        <v>6939</v>
      </c>
      <c r="I409" s="534">
        <v>1.0</v>
      </c>
      <c r="J409" s="534"/>
      <c r="K409" s="534" t="s">
        <v>7393</v>
      </c>
      <c r="L409" s="534">
        <v>120.0</v>
      </c>
    </row>
    <row r="410" ht="14.25" customHeight="1">
      <c r="A410" s="429" t="s">
        <v>8631</v>
      </c>
      <c r="B410" s="429">
        <v>2024.0</v>
      </c>
      <c r="C410" s="429">
        <f t="shared" si="13"/>
        <v>12</v>
      </c>
      <c r="D410" s="554">
        <v>45641.0</v>
      </c>
      <c r="E410" s="534" t="s">
        <v>8649</v>
      </c>
      <c r="F410" s="534" t="s">
        <v>8650</v>
      </c>
      <c r="G410" s="618" t="s">
        <v>8509</v>
      </c>
      <c r="H410" s="534"/>
      <c r="I410" s="534">
        <v>1.0</v>
      </c>
      <c r="J410" s="534"/>
      <c r="K410" s="534" t="s">
        <v>7393</v>
      </c>
      <c r="L410" s="534">
        <v>28.0</v>
      </c>
    </row>
    <row r="411" ht="14.25" customHeight="1">
      <c r="A411" s="429" t="s">
        <v>8631</v>
      </c>
      <c r="B411" s="429">
        <v>2024.0</v>
      </c>
      <c r="C411" s="429">
        <f t="shared" si="13"/>
        <v>12</v>
      </c>
      <c r="D411" s="554">
        <v>45641.0</v>
      </c>
      <c r="E411" s="534" t="s">
        <v>7406</v>
      </c>
      <c r="F411" s="534" t="s">
        <v>8651</v>
      </c>
      <c r="G411" s="526" t="s">
        <v>7075</v>
      </c>
      <c r="H411" s="534" t="s">
        <v>6939</v>
      </c>
      <c r="I411" s="534">
        <v>1.0</v>
      </c>
      <c r="J411" s="534"/>
      <c r="K411" s="534" t="s">
        <v>7393</v>
      </c>
      <c r="L411" s="534">
        <v>120.0</v>
      </c>
    </row>
    <row r="412" ht="14.25" customHeight="1">
      <c r="A412" s="429" t="s">
        <v>8631</v>
      </c>
      <c r="B412" s="429">
        <v>2024.0</v>
      </c>
      <c r="C412" s="429">
        <f t="shared" si="13"/>
        <v>12</v>
      </c>
      <c r="D412" s="554">
        <v>45641.0</v>
      </c>
      <c r="E412" s="534" t="s">
        <v>7396</v>
      </c>
      <c r="F412" s="534" t="s">
        <v>8652</v>
      </c>
      <c r="G412" s="526" t="s">
        <v>7075</v>
      </c>
      <c r="H412" s="534" t="s">
        <v>8205</v>
      </c>
      <c r="I412" s="534">
        <v>1.0</v>
      </c>
      <c r="J412" s="534"/>
      <c r="K412" s="534" t="s">
        <v>7393</v>
      </c>
      <c r="L412" s="534">
        <v>150.0</v>
      </c>
    </row>
    <row r="413" ht="14.25" customHeight="1">
      <c r="A413" s="429" t="s">
        <v>8631</v>
      </c>
      <c r="B413" s="429">
        <v>2024.0</v>
      </c>
      <c r="C413" s="429">
        <f t="shared" si="13"/>
        <v>12</v>
      </c>
      <c r="D413" s="554">
        <v>45641.0</v>
      </c>
      <c r="E413" s="534" t="s">
        <v>7396</v>
      </c>
      <c r="F413" s="534" t="s">
        <v>8652</v>
      </c>
      <c r="G413" s="618" t="s">
        <v>8526</v>
      </c>
      <c r="H413" s="534" t="s">
        <v>7647</v>
      </c>
      <c r="I413" s="534">
        <v>1.0</v>
      </c>
      <c r="J413" s="534"/>
      <c r="K413" s="534" t="s">
        <v>7393</v>
      </c>
      <c r="L413" s="534">
        <v>25.0</v>
      </c>
    </row>
    <row r="414" ht="14.25" customHeight="1">
      <c r="A414" s="429" t="s">
        <v>8631</v>
      </c>
      <c r="B414" s="429">
        <v>2024.0</v>
      </c>
      <c r="C414" s="429">
        <f t="shared" si="13"/>
        <v>12</v>
      </c>
      <c r="D414" s="554">
        <v>45641.0</v>
      </c>
      <c r="E414" s="534" t="s">
        <v>7396</v>
      </c>
      <c r="F414" s="534" t="s">
        <v>8652</v>
      </c>
      <c r="G414" s="534" t="s">
        <v>8501</v>
      </c>
      <c r="H414" s="534" t="s">
        <v>7647</v>
      </c>
      <c r="I414" s="534">
        <v>1.0</v>
      </c>
      <c r="J414" s="534"/>
      <c r="K414" s="534" t="s">
        <v>7393</v>
      </c>
      <c r="L414" s="534">
        <v>25.0</v>
      </c>
    </row>
    <row r="415" ht="14.25" customHeight="1">
      <c r="A415" s="429" t="s">
        <v>8631</v>
      </c>
      <c r="B415" s="429">
        <v>2024.0</v>
      </c>
      <c r="C415" s="429">
        <f t="shared" si="13"/>
        <v>12</v>
      </c>
      <c r="D415" s="554">
        <v>45641.0</v>
      </c>
      <c r="E415" s="534" t="s">
        <v>2607</v>
      </c>
      <c r="F415" s="534" t="s">
        <v>8653</v>
      </c>
      <c r="G415" s="534" t="s">
        <v>7106</v>
      </c>
      <c r="H415" s="534" t="s">
        <v>8654</v>
      </c>
      <c r="I415" s="534">
        <v>1.0</v>
      </c>
      <c r="J415" s="534"/>
      <c r="K415" s="534" t="s">
        <v>7393</v>
      </c>
      <c r="L415" s="534">
        <v>85.0</v>
      </c>
    </row>
    <row r="416" ht="14.25" customHeight="1">
      <c r="A416" s="429" t="s">
        <v>8631</v>
      </c>
      <c r="B416" s="429">
        <v>2024.0</v>
      </c>
      <c r="C416" s="429">
        <f t="shared" si="13"/>
        <v>12</v>
      </c>
      <c r="D416" s="554">
        <v>45641.0</v>
      </c>
      <c r="E416" s="534" t="s">
        <v>7396</v>
      </c>
      <c r="F416" s="534" t="s">
        <v>8655</v>
      </c>
      <c r="G416" s="534" t="s">
        <v>8656</v>
      </c>
      <c r="H416" s="534"/>
      <c r="I416" s="534">
        <v>1.0</v>
      </c>
      <c r="J416" s="534"/>
      <c r="K416" s="534" t="s">
        <v>7393</v>
      </c>
      <c r="L416" s="534">
        <v>100.0</v>
      </c>
    </row>
    <row r="417" ht="14.25" customHeight="1">
      <c r="A417" s="429" t="s">
        <v>8160</v>
      </c>
      <c r="B417" s="429">
        <v>2024.0</v>
      </c>
      <c r="C417" s="429">
        <f t="shared" si="13"/>
        <v>12</v>
      </c>
      <c r="D417" s="554">
        <v>45642.0</v>
      </c>
      <c r="E417" s="534" t="s">
        <v>8486</v>
      </c>
      <c r="F417" s="534" t="s">
        <v>8487</v>
      </c>
      <c r="G417" s="526" t="s">
        <v>7611</v>
      </c>
      <c r="H417" s="534" t="s">
        <v>8657</v>
      </c>
      <c r="I417" s="534">
        <v>1.0</v>
      </c>
      <c r="J417" s="534"/>
      <c r="K417" s="534" t="s">
        <v>7393</v>
      </c>
      <c r="L417" s="534">
        <v>85.0</v>
      </c>
    </row>
    <row r="418" ht="14.25" customHeight="1">
      <c r="A418" s="429" t="s">
        <v>8160</v>
      </c>
      <c r="B418" s="429">
        <v>2024.0</v>
      </c>
      <c r="C418" s="429">
        <f t="shared" si="13"/>
        <v>12</v>
      </c>
      <c r="D418" s="554">
        <v>45642.0</v>
      </c>
      <c r="E418" s="526" t="s">
        <v>2600</v>
      </c>
      <c r="F418" s="534" t="s">
        <v>8374</v>
      </c>
      <c r="G418" s="526" t="s">
        <v>7075</v>
      </c>
      <c r="H418" s="534" t="s">
        <v>8571</v>
      </c>
      <c r="I418" s="534">
        <v>1.0</v>
      </c>
      <c r="J418" s="534"/>
      <c r="K418" s="534" t="s">
        <v>8658</v>
      </c>
      <c r="L418" s="534">
        <v>96.0</v>
      </c>
    </row>
    <row r="419" ht="14.25" customHeight="1">
      <c r="A419" s="429" t="s">
        <v>8160</v>
      </c>
      <c r="B419" s="429">
        <v>2024.0</v>
      </c>
      <c r="C419" s="429">
        <f t="shared" si="13"/>
        <v>12</v>
      </c>
      <c r="D419" s="554">
        <v>45644.0</v>
      </c>
      <c r="E419" s="534" t="s">
        <v>8659</v>
      </c>
      <c r="F419" s="534" t="s">
        <v>2769</v>
      </c>
      <c r="G419" s="534" t="s">
        <v>8501</v>
      </c>
      <c r="H419" s="534"/>
      <c r="I419" s="534">
        <v>4.0</v>
      </c>
      <c r="J419" s="534"/>
      <c r="K419" s="534" t="s">
        <v>2511</v>
      </c>
      <c r="L419" s="534">
        <v>190.0</v>
      </c>
    </row>
    <row r="420" ht="14.25" customHeight="1">
      <c r="A420" s="429" t="s">
        <v>8160</v>
      </c>
      <c r="B420" s="429">
        <v>2024.0</v>
      </c>
      <c r="C420" s="429">
        <f t="shared" si="13"/>
        <v>12</v>
      </c>
      <c r="D420" s="554">
        <v>45644.0</v>
      </c>
      <c r="E420" s="534" t="s">
        <v>8659</v>
      </c>
      <c r="F420" s="534" t="s">
        <v>2769</v>
      </c>
      <c r="G420" s="618" t="s">
        <v>8526</v>
      </c>
      <c r="H420" s="534"/>
      <c r="I420" s="534">
        <v>4.0</v>
      </c>
      <c r="J420" s="534"/>
      <c r="K420" s="534" t="s">
        <v>2511</v>
      </c>
      <c r="L420" s="534"/>
    </row>
    <row r="421" ht="14.25" customHeight="1">
      <c r="A421" s="429" t="s">
        <v>8160</v>
      </c>
      <c r="B421" s="429">
        <v>2024.0</v>
      </c>
      <c r="C421" s="429">
        <f t="shared" si="13"/>
        <v>12</v>
      </c>
      <c r="D421" s="563">
        <v>45645.0</v>
      </c>
      <c r="E421" s="559" t="s">
        <v>8550</v>
      </c>
      <c r="F421" s="559" t="s">
        <v>8660</v>
      </c>
      <c r="G421" s="526" t="s">
        <v>7075</v>
      </c>
      <c r="H421" s="559" t="s">
        <v>6939</v>
      </c>
      <c r="I421" s="559">
        <v>1.0</v>
      </c>
      <c r="J421" s="559"/>
      <c r="K421" s="614" t="s">
        <v>8661</v>
      </c>
      <c r="L421" s="559">
        <v>120.0</v>
      </c>
    </row>
    <row r="422" ht="14.25" customHeight="1">
      <c r="A422" s="429" t="s">
        <v>8160</v>
      </c>
      <c r="B422" s="429">
        <v>2024.0</v>
      </c>
      <c r="C422" s="429">
        <f t="shared" si="13"/>
        <v>12</v>
      </c>
      <c r="D422" s="563">
        <v>45645.0</v>
      </c>
      <c r="E422" s="559" t="s">
        <v>8662</v>
      </c>
      <c r="F422" s="559" t="s">
        <v>8663</v>
      </c>
      <c r="G422" s="559" t="s">
        <v>7100</v>
      </c>
      <c r="H422" s="559" t="s">
        <v>8664</v>
      </c>
      <c r="I422" s="559">
        <v>1.0</v>
      </c>
      <c r="J422" s="559"/>
      <c r="K422" s="614" t="s">
        <v>8661</v>
      </c>
      <c r="L422" s="559">
        <v>135.0</v>
      </c>
    </row>
    <row r="423" ht="14.25" customHeight="1">
      <c r="A423" s="429" t="s">
        <v>8665</v>
      </c>
      <c r="B423" s="429">
        <v>2024.0</v>
      </c>
      <c r="C423" s="429">
        <f t="shared" si="13"/>
        <v>12</v>
      </c>
      <c r="D423" s="554">
        <v>45647.0</v>
      </c>
      <c r="E423" s="534"/>
      <c r="F423" s="534"/>
      <c r="G423" s="526" t="s">
        <v>7100</v>
      </c>
      <c r="H423" s="526" t="s">
        <v>248</v>
      </c>
      <c r="I423" s="534">
        <v>1.0</v>
      </c>
      <c r="J423" s="534"/>
      <c r="K423" s="534" t="s">
        <v>2558</v>
      </c>
      <c r="L423" s="534">
        <v>170.0</v>
      </c>
    </row>
    <row r="424" ht="14.25" customHeight="1">
      <c r="A424" s="429" t="s">
        <v>8665</v>
      </c>
      <c r="B424" s="429">
        <v>2024.0</v>
      </c>
      <c r="C424" s="429">
        <f t="shared" si="13"/>
        <v>12</v>
      </c>
      <c r="D424" s="554">
        <v>45647.0</v>
      </c>
      <c r="E424" s="534" t="s">
        <v>2638</v>
      </c>
      <c r="F424" s="534" t="s">
        <v>8666</v>
      </c>
      <c r="G424" s="526" t="s">
        <v>7611</v>
      </c>
      <c r="H424" s="534" t="s">
        <v>8667</v>
      </c>
      <c r="I424" s="534">
        <v>1.0</v>
      </c>
      <c r="J424" s="534"/>
      <c r="K424" s="534" t="s">
        <v>7393</v>
      </c>
      <c r="L424" s="534">
        <v>85.0</v>
      </c>
    </row>
    <row r="425" ht="14.25" customHeight="1">
      <c r="A425" s="429" t="s">
        <v>8665</v>
      </c>
      <c r="B425" s="429">
        <v>2024.0</v>
      </c>
      <c r="C425" s="429">
        <f t="shared" si="13"/>
        <v>12</v>
      </c>
      <c r="D425" s="554">
        <v>45647.0</v>
      </c>
      <c r="E425" s="534" t="s">
        <v>7672</v>
      </c>
      <c r="F425" s="534" t="s">
        <v>8668</v>
      </c>
      <c r="G425" s="534" t="s">
        <v>8501</v>
      </c>
      <c r="H425" s="534" t="s">
        <v>7647</v>
      </c>
      <c r="I425" s="534">
        <v>1.0</v>
      </c>
      <c r="J425" s="534"/>
      <c r="K425" s="534" t="s">
        <v>7393</v>
      </c>
      <c r="L425" s="534">
        <v>22.0</v>
      </c>
    </row>
    <row r="426" ht="14.25" customHeight="1">
      <c r="A426" s="429" t="s">
        <v>8665</v>
      </c>
      <c r="B426" s="429">
        <v>2024.0</v>
      </c>
      <c r="C426" s="429">
        <f t="shared" si="13"/>
        <v>12</v>
      </c>
      <c r="D426" s="554">
        <v>45647.0</v>
      </c>
      <c r="E426" s="534" t="s">
        <v>2783</v>
      </c>
      <c r="F426" s="534" t="s">
        <v>8669</v>
      </c>
      <c r="G426" s="526" t="s">
        <v>6613</v>
      </c>
      <c r="H426" s="534"/>
      <c r="I426" s="534">
        <v>1.0</v>
      </c>
      <c r="J426" s="534"/>
      <c r="K426" s="534" t="s">
        <v>7393</v>
      </c>
      <c r="L426" s="534">
        <v>70.0</v>
      </c>
    </row>
    <row r="427" ht="14.25" customHeight="1">
      <c r="A427" s="429" t="s">
        <v>8665</v>
      </c>
      <c r="B427" s="429">
        <v>2024.0</v>
      </c>
      <c r="C427" s="429">
        <f t="shared" si="13"/>
        <v>12</v>
      </c>
      <c r="D427" s="554">
        <v>45647.0</v>
      </c>
      <c r="E427" s="534" t="s">
        <v>7434</v>
      </c>
      <c r="F427" s="534" t="s">
        <v>8670</v>
      </c>
      <c r="G427" s="618" t="s">
        <v>8509</v>
      </c>
      <c r="H427" s="534" t="s">
        <v>6939</v>
      </c>
      <c r="I427" s="534">
        <v>1.0</v>
      </c>
      <c r="J427" s="534"/>
      <c r="K427" s="534" t="s">
        <v>7393</v>
      </c>
      <c r="L427" s="534">
        <v>31.0</v>
      </c>
    </row>
    <row r="428" ht="14.25" customHeight="1">
      <c r="A428" s="429" t="s">
        <v>8665</v>
      </c>
      <c r="B428" s="429">
        <v>2024.0</v>
      </c>
      <c r="C428" s="429">
        <f t="shared" si="13"/>
        <v>12</v>
      </c>
      <c r="D428" s="554">
        <v>45647.0</v>
      </c>
      <c r="E428" s="534" t="s">
        <v>2572</v>
      </c>
      <c r="F428" s="534" t="s">
        <v>8671</v>
      </c>
      <c r="G428" s="526" t="s">
        <v>7611</v>
      </c>
      <c r="H428" s="534" t="s">
        <v>8667</v>
      </c>
      <c r="I428" s="534">
        <v>1.0</v>
      </c>
      <c r="J428" s="534"/>
      <c r="K428" s="534" t="s">
        <v>7393</v>
      </c>
      <c r="L428" s="534">
        <v>85.0</v>
      </c>
    </row>
    <row r="429" ht="14.25" customHeight="1">
      <c r="A429" s="429" t="s">
        <v>8665</v>
      </c>
      <c r="B429" s="429">
        <v>2024.0</v>
      </c>
      <c r="C429" s="429">
        <f t="shared" si="13"/>
        <v>12</v>
      </c>
      <c r="D429" s="554">
        <v>45647.0</v>
      </c>
      <c r="E429" s="534" t="s">
        <v>2578</v>
      </c>
      <c r="F429" s="534" t="s">
        <v>2579</v>
      </c>
      <c r="G429" s="534" t="s">
        <v>8501</v>
      </c>
      <c r="H429" s="534" t="s">
        <v>7647</v>
      </c>
      <c r="I429" s="534">
        <v>2.0</v>
      </c>
      <c r="J429" s="534"/>
      <c r="K429" s="614" t="s">
        <v>8661</v>
      </c>
      <c r="L429" s="534">
        <v>54.0</v>
      </c>
    </row>
    <row r="430" ht="14.25" customHeight="1">
      <c r="A430" s="429" t="s">
        <v>8665</v>
      </c>
      <c r="B430" s="429">
        <v>2024.0</v>
      </c>
      <c r="C430" s="429">
        <f t="shared" si="13"/>
        <v>12</v>
      </c>
      <c r="D430" s="554">
        <v>45647.0</v>
      </c>
      <c r="E430" s="534" t="s">
        <v>8589</v>
      </c>
      <c r="F430" s="534"/>
      <c r="G430" s="526" t="s">
        <v>6613</v>
      </c>
      <c r="H430" s="534" t="s">
        <v>8672</v>
      </c>
      <c r="I430" s="534">
        <v>1.0</v>
      </c>
      <c r="J430" s="534"/>
      <c r="K430" s="614" t="s">
        <v>8661</v>
      </c>
      <c r="L430" s="534">
        <v>70.0</v>
      </c>
    </row>
    <row r="431" ht="14.25" customHeight="1">
      <c r="A431" s="429" t="s">
        <v>8665</v>
      </c>
      <c r="B431" s="429">
        <v>2024.0</v>
      </c>
      <c r="C431" s="429">
        <f t="shared" si="13"/>
        <v>12</v>
      </c>
      <c r="D431" s="554">
        <v>45647.0</v>
      </c>
      <c r="E431" s="534" t="s">
        <v>8252</v>
      </c>
      <c r="F431" s="534" t="s">
        <v>8673</v>
      </c>
      <c r="G431" s="618" t="s">
        <v>8526</v>
      </c>
      <c r="H431" s="534"/>
      <c r="I431" s="534">
        <v>1.0</v>
      </c>
      <c r="J431" s="534"/>
      <c r="K431" s="534" t="s">
        <v>7393</v>
      </c>
      <c r="L431" s="534">
        <v>25.0</v>
      </c>
    </row>
    <row r="432" ht="14.25" customHeight="1">
      <c r="A432" s="429" t="s">
        <v>8665</v>
      </c>
      <c r="B432" s="429">
        <v>2024.0</v>
      </c>
      <c r="C432" s="429">
        <f t="shared" si="13"/>
        <v>12</v>
      </c>
      <c r="D432" s="554">
        <v>45647.0</v>
      </c>
      <c r="E432" s="534" t="s">
        <v>7805</v>
      </c>
      <c r="F432" s="534" t="s">
        <v>8674</v>
      </c>
      <c r="G432" s="526" t="s">
        <v>7075</v>
      </c>
      <c r="H432" s="534" t="s">
        <v>8205</v>
      </c>
      <c r="I432" s="534">
        <v>1.0</v>
      </c>
      <c r="J432" s="534"/>
      <c r="K432" s="534" t="s">
        <v>7393</v>
      </c>
      <c r="L432" s="534">
        <v>150.0</v>
      </c>
    </row>
    <row r="433" ht="14.25" customHeight="1">
      <c r="A433" s="429" t="s">
        <v>8665</v>
      </c>
      <c r="B433" s="429">
        <v>2024.0</v>
      </c>
      <c r="C433" s="429">
        <f t="shared" si="13"/>
        <v>12</v>
      </c>
      <c r="D433" s="554">
        <v>45647.0</v>
      </c>
      <c r="E433" s="534" t="s">
        <v>7848</v>
      </c>
      <c r="F433" s="534" t="s">
        <v>8675</v>
      </c>
      <c r="G433" s="526" t="s">
        <v>7075</v>
      </c>
      <c r="H433" s="534" t="s">
        <v>8205</v>
      </c>
      <c r="I433" s="534">
        <v>1.0</v>
      </c>
      <c r="J433" s="534"/>
      <c r="K433" s="534" t="s">
        <v>7393</v>
      </c>
      <c r="L433" s="534">
        <v>120.0</v>
      </c>
    </row>
    <row r="434" ht="14.25" customHeight="1">
      <c r="A434" s="429" t="s">
        <v>8665</v>
      </c>
      <c r="B434" s="429">
        <v>2024.0</v>
      </c>
      <c r="C434" s="429">
        <f t="shared" si="13"/>
        <v>12</v>
      </c>
      <c r="D434" s="554">
        <v>45647.0</v>
      </c>
      <c r="E434" s="534" t="s">
        <v>2561</v>
      </c>
      <c r="F434" s="534" t="s">
        <v>8016</v>
      </c>
      <c r="G434" s="526" t="s">
        <v>7611</v>
      </c>
      <c r="H434" s="534" t="s">
        <v>8657</v>
      </c>
      <c r="I434" s="534">
        <v>1.0</v>
      </c>
      <c r="J434" s="534"/>
      <c r="K434" s="534" t="s">
        <v>7393</v>
      </c>
      <c r="L434" s="534">
        <v>85.0</v>
      </c>
    </row>
    <row r="435" ht="14.25" customHeight="1">
      <c r="A435" s="429" t="s">
        <v>8665</v>
      </c>
      <c r="B435" s="429">
        <v>2024.0</v>
      </c>
      <c r="C435" s="429">
        <f t="shared" si="13"/>
        <v>12</v>
      </c>
      <c r="D435" s="554">
        <v>45647.0</v>
      </c>
      <c r="E435" s="534" t="s">
        <v>2561</v>
      </c>
      <c r="F435" s="534" t="s">
        <v>8016</v>
      </c>
      <c r="G435" s="534" t="s">
        <v>8676</v>
      </c>
      <c r="H435" s="534"/>
      <c r="I435" s="534">
        <v>1.0</v>
      </c>
      <c r="J435" s="534"/>
      <c r="K435" s="534" t="s">
        <v>7393</v>
      </c>
      <c r="L435" s="534">
        <v>38.0</v>
      </c>
    </row>
    <row r="436" ht="14.25" customHeight="1">
      <c r="A436" s="429" t="s">
        <v>8665</v>
      </c>
      <c r="B436" s="429">
        <v>2024.0</v>
      </c>
      <c r="C436" s="429">
        <f t="shared" si="13"/>
        <v>12</v>
      </c>
      <c r="D436" s="554">
        <v>45647.0</v>
      </c>
      <c r="E436" s="534" t="s">
        <v>2627</v>
      </c>
      <c r="F436" s="534" t="s">
        <v>2628</v>
      </c>
      <c r="G436" s="534" t="s">
        <v>8501</v>
      </c>
      <c r="H436" s="534" t="s">
        <v>8677</v>
      </c>
      <c r="I436" s="534">
        <v>2.0</v>
      </c>
      <c r="J436" s="534"/>
      <c r="K436" s="534" t="s">
        <v>2511</v>
      </c>
      <c r="L436" s="534">
        <v>45.0</v>
      </c>
    </row>
    <row r="437" ht="14.25" customHeight="1">
      <c r="A437" s="429" t="s">
        <v>8665</v>
      </c>
      <c r="B437" s="429">
        <v>2024.0</v>
      </c>
      <c r="C437" s="429">
        <f t="shared" si="13"/>
        <v>12</v>
      </c>
      <c r="D437" s="554">
        <v>45647.0</v>
      </c>
      <c r="E437" s="534" t="s">
        <v>8678</v>
      </c>
      <c r="F437" s="534"/>
      <c r="G437" s="618" t="s">
        <v>7073</v>
      </c>
      <c r="H437" s="534" t="s">
        <v>6669</v>
      </c>
      <c r="I437" s="534">
        <v>1.0</v>
      </c>
      <c r="J437" s="534"/>
      <c r="K437" s="534" t="s">
        <v>2511</v>
      </c>
      <c r="L437" s="534">
        <v>115.0</v>
      </c>
    </row>
    <row r="438" ht="14.25" customHeight="1">
      <c r="A438" s="429" t="s">
        <v>8665</v>
      </c>
      <c r="B438" s="429">
        <v>2024.0</v>
      </c>
      <c r="C438" s="429">
        <f t="shared" si="13"/>
        <v>12</v>
      </c>
      <c r="D438" s="554">
        <v>45647.0</v>
      </c>
      <c r="E438" s="534" t="s">
        <v>8678</v>
      </c>
      <c r="F438" s="534"/>
      <c r="G438" s="618" t="s">
        <v>7073</v>
      </c>
      <c r="H438" s="534" t="s">
        <v>6669</v>
      </c>
      <c r="I438" s="534">
        <v>1.0</v>
      </c>
      <c r="J438" s="534"/>
      <c r="K438" s="534" t="s">
        <v>2511</v>
      </c>
      <c r="L438" s="534">
        <v>115.0</v>
      </c>
    </row>
    <row r="439" ht="14.25" customHeight="1">
      <c r="A439" s="429" t="s">
        <v>8665</v>
      </c>
      <c r="B439" s="429">
        <v>2024.0</v>
      </c>
      <c r="C439" s="429">
        <f t="shared" si="13"/>
        <v>12</v>
      </c>
      <c r="D439" s="554">
        <v>45647.0</v>
      </c>
      <c r="E439" s="534" t="s">
        <v>2600</v>
      </c>
      <c r="F439" s="534" t="s">
        <v>8679</v>
      </c>
      <c r="G439" s="526" t="s">
        <v>6613</v>
      </c>
      <c r="H439" s="534" t="s">
        <v>204</v>
      </c>
      <c r="I439" s="534">
        <v>1.0</v>
      </c>
      <c r="J439" s="534"/>
      <c r="K439" s="534" t="s">
        <v>3009</v>
      </c>
      <c r="L439" s="534">
        <v>60.0</v>
      </c>
    </row>
    <row r="440" ht="14.25" customHeight="1">
      <c r="A440" s="429" t="s">
        <v>8665</v>
      </c>
      <c r="B440" s="429">
        <v>2024.0</v>
      </c>
      <c r="C440" s="429">
        <f t="shared" si="13"/>
        <v>12</v>
      </c>
      <c r="D440" s="554">
        <v>45647.0</v>
      </c>
      <c r="E440" s="534" t="s">
        <v>8680</v>
      </c>
      <c r="F440" s="534" t="s">
        <v>8681</v>
      </c>
      <c r="G440" s="526" t="s">
        <v>7075</v>
      </c>
      <c r="H440" s="534" t="s">
        <v>8682</v>
      </c>
      <c r="I440" s="534">
        <v>1.0</v>
      </c>
      <c r="J440" s="534"/>
      <c r="K440" s="534" t="s">
        <v>7393</v>
      </c>
      <c r="L440" s="534">
        <v>215.0</v>
      </c>
    </row>
    <row r="441" ht="14.25" customHeight="1">
      <c r="A441" s="429" t="s">
        <v>8665</v>
      </c>
      <c r="B441" s="429">
        <v>2024.0</v>
      </c>
      <c r="C441" s="429">
        <f t="shared" si="13"/>
        <v>12</v>
      </c>
      <c r="D441" s="554">
        <v>45647.0</v>
      </c>
      <c r="E441" s="534" t="s">
        <v>8683</v>
      </c>
      <c r="F441" s="534" t="s">
        <v>8681</v>
      </c>
      <c r="G441" s="526" t="s">
        <v>7075</v>
      </c>
      <c r="H441" s="534" t="s">
        <v>8205</v>
      </c>
      <c r="I441" s="534">
        <v>1.0</v>
      </c>
      <c r="J441" s="534"/>
      <c r="K441" s="534" t="s">
        <v>7393</v>
      </c>
      <c r="L441" s="534"/>
    </row>
    <row r="442" ht="14.25" customHeight="1">
      <c r="A442" s="429" t="s">
        <v>8665</v>
      </c>
      <c r="B442" s="429">
        <v>2024.0</v>
      </c>
      <c r="C442" s="429">
        <f t="shared" si="13"/>
        <v>12</v>
      </c>
      <c r="D442" s="554">
        <v>45647.0</v>
      </c>
      <c r="E442" s="534" t="s">
        <v>8684</v>
      </c>
      <c r="F442" s="534" t="s">
        <v>8685</v>
      </c>
      <c r="G442" s="526" t="s">
        <v>6613</v>
      </c>
      <c r="H442" s="534" t="s">
        <v>6851</v>
      </c>
      <c r="I442" s="534">
        <v>1.0</v>
      </c>
      <c r="J442" s="534"/>
      <c r="K442" s="534" t="s">
        <v>2511</v>
      </c>
      <c r="L442" s="534">
        <v>60.0</v>
      </c>
    </row>
    <row r="443" ht="14.25" customHeight="1">
      <c r="A443" s="429" t="s">
        <v>8160</v>
      </c>
      <c r="B443" s="429">
        <v>2024.0</v>
      </c>
      <c r="C443" s="429">
        <f t="shared" si="13"/>
        <v>12</v>
      </c>
      <c r="D443" s="554">
        <v>45648.0</v>
      </c>
      <c r="E443" s="534" t="s">
        <v>2768</v>
      </c>
      <c r="F443" s="534" t="s">
        <v>2769</v>
      </c>
      <c r="G443" s="534" t="s">
        <v>8686</v>
      </c>
      <c r="H443" s="534"/>
      <c r="I443" s="534">
        <v>1.0</v>
      </c>
      <c r="J443" s="534"/>
      <c r="K443" s="534" t="s">
        <v>2511</v>
      </c>
      <c r="L443" s="534">
        <v>10.0</v>
      </c>
    </row>
    <row r="444" ht="14.25" customHeight="1">
      <c r="A444" s="429" t="s">
        <v>8160</v>
      </c>
      <c r="B444" s="429">
        <v>2024.0</v>
      </c>
      <c r="C444" s="429">
        <f t="shared" si="13"/>
        <v>12</v>
      </c>
      <c r="D444" s="554">
        <v>45648.0</v>
      </c>
      <c r="E444" s="534" t="s">
        <v>8687</v>
      </c>
      <c r="F444" s="534" t="s">
        <v>8688</v>
      </c>
      <c r="G444" s="534" t="s">
        <v>7106</v>
      </c>
      <c r="H444" s="534" t="s">
        <v>8689</v>
      </c>
      <c r="I444" s="534">
        <v>1.0</v>
      </c>
      <c r="J444" s="534"/>
      <c r="K444" s="534" t="s">
        <v>2511</v>
      </c>
      <c r="L444" s="534">
        <v>50.0</v>
      </c>
    </row>
    <row r="445" ht="14.25" customHeight="1">
      <c r="A445" s="429" t="s">
        <v>8160</v>
      </c>
      <c r="B445" s="429">
        <v>2024.0</v>
      </c>
      <c r="C445" s="429">
        <f t="shared" si="13"/>
        <v>12</v>
      </c>
      <c r="D445" s="554">
        <v>45649.0</v>
      </c>
      <c r="E445" s="534" t="s">
        <v>8586</v>
      </c>
      <c r="F445" s="534" t="s">
        <v>8690</v>
      </c>
      <c r="G445" s="534" t="s">
        <v>8676</v>
      </c>
      <c r="H445" s="534"/>
      <c r="I445" s="534">
        <v>1.0</v>
      </c>
      <c r="J445" s="534"/>
      <c r="K445" s="534" t="s">
        <v>2511</v>
      </c>
      <c r="L445" s="534">
        <v>102.0</v>
      </c>
    </row>
    <row r="446" ht="14.25" customHeight="1">
      <c r="A446" s="429" t="s">
        <v>8160</v>
      </c>
      <c r="B446" s="429">
        <v>2024.0</v>
      </c>
      <c r="C446" s="429">
        <f t="shared" si="13"/>
        <v>12</v>
      </c>
      <c r="D446" s="554">
        <v>45649.0</v>
      </c>
      <c r="E446" s="534" t="s">
        <v>8586</v>
      </c>
      <c r="F446" s="534" t="s">
        <v>8690</v>
      </c>
      <c r="G446" s="534" t="s">
        <v>8691</v>
      </c>
      <c r="H446" s="534"/>
      <c r="I446" s="534">
        <v>1.0</v>
      </c>
      <c r="J446" s="534"/>
      <c r="K446" s="534" t="s">
        <v>2511</v>
      </c>
      <c r="L446" s="534"/>
    </row>
    <row r="447" ht="14.25" customHeight="1">
      <c r="A447" s="429" t="s">
        <v>8160</v>
      </c>
      <c r="B447" s="429">
        <v>2024.0</v>
      </c>
      <c r="C447" s="429">
        <f t="shared" si="13"/>
        <v>12</v>
      </c>
      <c r="D447" s="554">
        <v>45649.0</v>
      </c>
      <c r="E447" s="534" t="s">
        <v>8586</v>
      </c>
      <c r="F447" s="534" t="s">
        <v>8690</v>
      </c>
      <c r="G447" s="534" t="s">
        <v>8692</v>
      </c>
      <c r="H447" s="534"/>
      <c r="I447" s="534">
        <v>1.0</v>
      </c>
      <c r="J447" s="534"/>
      <c r="K447" s="534" t="s">
        <v>2511</v>
      </c>
      <c r="L447" s="534"/>
    </row>
    <row r="448" ht="14.25" customHeight="1">
      <c r="A448" s="429" t="s">
        <v>8160</v>
      </c>
      <c r="B448" s="429">
        <v>2024.0</v>
      </c>
      <c r="C448" s="429">
        <f t="shared" si="13"/>
        <v>12</v>
      </c>
      <c r="D448" s="554">
        <v>45649.0</v>
      </c>
      <c r="E448" s="534" t="s">
        <v>8693</v>
      </c>
      <c r="F448" s="534" t="s">
        <v>8694</v>
      </c>
      <c r="G448" s="526" t="s">
        <v>7075</v>
      </c>
      <c r="H448" s="534" t="s">
        <v>8695</v>
      </c>
      <c r="I448" s="534">
        <v>1.0</v>
      </c>
      <c r="J448" s="534"/>
      <c r="K448" s="534" t="s">
        <v>2511</v>
      </c>
      <c r="L448" s="534">
        <v>150.0</v>
      </c>
    </row>
    <row r="449" ht="14.25" customHeight="1">
      <c r="A449" s="429" t="s">
        <v>8160</v>
      </c>
      <c r="B449" s="429">
        <v>2024.0</v>
      </c>
      <c r="C449" s="429">
        <f t="shared" si="13"/>
        <v>12</v>
      </c>
      <c r="D449" s="554">
        <v>45649.0</v>
      </c>
      <c r="E449" s="559" t="s">
        <v>8696</v>
      </c>
      <c r="F449" s="559" t="s">
        <v>8697</v>
      </c>
      <c r="G449" s="526" t="s">
        <v>7075</v>
      </c>
      <c r="H449" s="559" t="s">
        <v>8449</v>
      </c>
      <c r="I449" s="559">
        <v>1.0</v>
      </c>
      <c r="J449" s="559"/>
      <c r="K449" s="559" t="s">
        <v>8168</v>
      </c>
      <c r="L449" s="559">
        <v>120.0</v>
      </c>
    </row>
    <row r="450" ht="14.25" customHeight="1">
      <c r="A450" s="429" t="s">
        <v>8160</v>
      </c>
      <c r="B450" s="429">
        <v>2024.0</v>
      </c>
      <c r="C450" s="429">
        <f t="shared" si="13"/>
        <v>12</v>
      </c>
      <c r="D450" s="554">
        <v>45649.0</v>
      </c>
      <c r="E450" s="559" t="s">
        <v>8696</v>
      </c>
      <c r="F450" s="559" t="s">
        <v>8697</v>
      </c>
      <c r="G450" s="526" t="s">
        <v>7075</v>
      </c>
      <c r="H450" s="559" t="s">
        <v>8235</v>
      </c>
      <c r="I450" s="559">
        <v>1.0</v>
      </c>
      <c r="J450" s="559"/>
      <c r="K450" s="559" t="s">
        <v>8168</v>
      </c>
      <c r="L450" s="559">
        <v>120.0</v>
      </c>
    </row>
    <row r="451" ht="14.25" customHeight="1">
      <c r="A451" s="429" t="s">
        <v>8160</v>
      </c>
      <c r="B451" s="429">
        <v>2024.0</v>
      </c>
      <c r="C451" s="429">
        <f t="shared" si="13"/>
        <v>12</v>
      </c>
      <c r="D451" s="554">
        <v>45649.0</v>
      </c>
      <c r="E451" s="534" t="s">
        <v>8698</v>
      </c>
      <c r="F451" s="534" t="s">
        <v>8590</v>
      </c>
      <c r="G451" s="534" t="s">
        <v>8510</v>
      </c>
      <c r="H451" s="534"/>
      <c r="I451" s="534">
        <v>1.0</v>
      </c>
      <c r="J451" s="534"/>
      <c r="K451" s="614" t="s">
        <v>8661</v>
      </c>
      <c r="L451" s="534">
        <v>25.0</v>
      </c>
    </row>
    <row r="452" ht="14.25" customHeight="1">
      <c r="A452" s="429" t="s">
        <v>8160</v>
      </c>
      <c r="B452" s="429">
        <v>2024.0</v>
      </c>
      <c r="C452" s="429">
        <f t="shared" si="13"/>
        <v>12</v>
      </c>
      <c r="D452" s="554">
        <v>45649.0</v>
      </c>
      <c r="E452" s="534" t="s">
        <v>8698</v>
      </c>
      <c r="F452" s="534" t="s">
        <v>8590</v>
      </c>
      <c r="G452" s="534" t="s">
        <v>8510</v>
      </c>
      <c r="H452" s="534"/>
      <c r="I452" s="534">
        <v>1.0</v>
      </c>
      <c r="J452" s="534"/>
      <c r="K452" s="614" t="s">
        <v>8661</v>
      </c>
      <c r="L452" s="534">
        <v>25.0</v>
      </c>
    </row>
    <row r="453" ht="14.25" customHeight="1">
      <c r="D453" s="567"/>
      <c r="E453" s="567"/>
      <c r="F453" s="567"/>
      <c r="G453" s="567"/>
      <c r="H453" s="567"/>
      <c r="I453" s="567"/>
      <c r="J453" s="567"/>
      <c r="K453" s="567"/>
      <c r="L453" s="567"/>
    </row>
    <row r="454" ht="14.25" customHeight="1">
      <c r="D454" s="567"/>
      <c r="E454" s="567"/>
      <c r="F454" s="567"/>
      <c r="G454" s="567"/>
      <c r="H454" s="567"/>
      <c r="I454" s="567"/>
      <c r="J454" s="567"/>
      <c r="K454" s="567"/>
      <c r="L454" s="567"/>
    </row>
    <row r="455" ht="14.25" customHeight="1">
      <c r="D455" s="567"/>
      <c r="E455" s="567"/>
      <c r="F455" s="567"/>
      <c r="G455" s="567"/>
      <c r="H455" s="567"/>
      <c r="I455" s="567"/>
      <c r="J455" s="567"/>
      <c r="K455" s="567"/>
      <c r="L455" s="567"/>
    </row>
    <row r="456" ht="14.25" customHeight="1">
      <c r="D456" s="567"/>
      <c r="E456" s="567"/>
      <c r="F456" s="567"/>
      <c r="G456" s="567"/>
      <c r="H456" s="567"/>
      <c r="I456" s="567"/>
      <c r="J456" s="567"/>
      <c r="K456" s="567"/>
      <c r="L456" s="567"/>
    </row>
    <row r="457" ht="14.25" customHeight="1">
      <c r="D457" s="567"/>
      <c r="E457" s="567"/>
      <c r="F457" s="567"/>
      <c r="G457" s="567"/>
      <c r="H457" s="567"/>
      <c r="I457" s="567"/>
      <c r="J457" s="567"/>
      <c r="K457" s="567"/>
      <c r="L457" s="567"/>
    </row>
    <row r="458" ht="14.25" customHeight="1">
      <c r="D458" s="567"/>
      <c r="E458" s="567"/>
      <c r="F458" s="567"/>
      <c r="G458" s="567"/>
      <c r="H458" s="567"/>
      <c r="I458" s="567"/>
      <c r="J458" s="567"/>
      <c r="K458" s="567"/>
      <c r="L458" s="567"/>
    </row>
    <row r="459" ht="14.25" customHeight="1">
      <c r="D459" s="567"/>
      <c r="E459" s="567"/>
      <c r="F459" s="567"/>
      <c r="G459" s="567"/>
      <c r="H459" s="567"/>
      <c r="I459" s="567"/>
      <c r="J459" s="567"/>
      <c r="K459" s="567"/>
      <c r="L459" s="567"/>
    </row>
    <row r="460" ht="14.25" customHeight="1">
      <c r="D460" s="567"/>
      <c r="E460" s="567"/>
      <c r="F460" s="567"/>
      <c r="G460" s="567"/>
      <c r="H460" s="567"/>
      <c r="I460" s="567"/>
      <c r="J460" s="567"/>
      <c r="K460" s="567"/>
      <c r="L460" s="567"/>
    </row>
    <row r="461" ht="14.25" customHeight="1">
      <c r="D461" s="567"/>
      <c r="E461" s="567"/>
      <c r="F461" s="567"/>
      <c r="G461" s="567"/>
      <c r="H461" s="567"/>
      <c r="I461" s="567"/>
      <c r="J461" s="567"/>
      <c r="K461" s="567"/>
      <c r="L461" s="567"/>
    </row>
    <row r="462" ht="14.25" customHeight="1">
      <c r="D462" s="567"/>
      <c r="E462" s="567"/>
      <c r="F462" s="567"/>
      <c r="G462" s="567"/>
      <c r="H462" s="567"/>
      <c r="I462" s="567"/>
      <c r="J462" s="567"/>
      <c r="K462" s="567"/>
      <c r="L462" s="567"/>
    </row>
    <row r="463" ht="14.25" customHeight="1">
      <c r="D463" s="567"/>
      <c r="E463" s="567"/>
      <c r="F463" s="567"/>
      <c r="G463" s="567"/>
      <c r="H463" s="567"/>
      <c r="I463" s="567"/>
      <c r="J463" s="567"/>
      <c r="K463" s="567"/>
      <c r="L463" s="567"/>
    </row>
    <row r="464" ht="14.25" customHeight="1">
      <c r="D464" s="567"/>
      <c r="E464" s="567"/>
      <c r="F464" s="567"/>
      <c r="G464" s="567"/>
      <c r="H464" s="567"/>
      <c r="I464" s="567"/>
      <c r="J464" s="567"/>
      <c r="K464" s="567"/>
      <c r="L464" s="567"/>
    </row>
    <row r="465" ht="14.25" customHeight="1">
      <c r="D465" s="567"/>
      <c r="E465" s="567"/>
      <c r="F465" s="567"/>
      <c r="G465" s="567"/>
      <c r="H465" s="567"/>
      <c r="I465" s="567"/>
      <c r="J465" s="567"/>
      <c r="K465" s="567"/>
      <c r="L465" s="567"/>
    </row>
    <row r="466" ht="14.25" customHeight="1">
      <c r="D466" s="567"/>
      <c r="E466" s="567"/>
      <c r="F466" s="567"/>
      <c r="G466" s="567"/>
      <c r="H466" s="567"/>
      <c r="I466" s="567"/>
      <c r="J466" s="567"/>
      <c r="K466" s="567"/>
      <c r="L466" s="567"/>
    </row>
    <row r="467" ht="14.25" customHeight="1">
      <c r="D467" s="567"/>
      <c r="E467" s="567"/>
      <c r="F467" s="567"/>
      <c r="G467" s="567"/>
      <c r="H467" s="567"/>
      <c r="I467" s="567"/>
      <c r="J467" s="567"/>
      <c r="K467" s="567"/>
      <c r="L467" s="567"/>
    </row>
    <row r="468" ht="14.25" customHeight="1">
      <c r="D468" s="567"/>
      <c r="E468" s="567"/>
      <c r="F468" s="567"/>
      <c r="G468" s="567"/>
      <c r="H468" s="567"/>
      <c r="I468" s="567"/>
      <c r="J468" s="567"/>
      <c r="K468" s="567"/>
      <c r="L468" s="567"/>
    </row>
    <row r="469" ht="14.25" customHeight="1">
      <c r="D469" s="567"/>
      <c r="E469" s="567"/>
      <c r="F469" s="567"/>
      <c r="G469" s="567"/>
      <c r="H469" s="567"/>
      <c r="I469" s="567"/>
      <c r="J469" s="567"/>
      <c r="K469" s="567"/>
      <c r="L469" s="567"/>
    </row>
    <row r="470" ht="14.25" customHeight="1">
      <c r="D470" s="567"/>
      <c r="E470" s="567"/>
      <c r="F470" s="567"/>
      <c r="G470" s="567"/>
      <c r="H470" s="567"/>
      <c r="I470" s="567"/>
      <c r="J470" s="567"/>
      <c r="K470" s="567"/>
      <c r="L470" s="567"/>
    </row>
    <row r="471" ht="14.25" customHeight="1">
      <c r="D471" s="567"/>
      <c r="E471" s="567"/>
      <c r="F471" s="567"/>
      <c r="G471" s="567"/>
      <c r="H471" s="567"/>
      <c r="I471" s="567"/>
      <c r="J471" s="567"/>
      <c r="K471" s="567"/>
      <c r="L471" s="567"/>
    </row>
    <row r="472" ht="14.25" customHeight="1">
      <c r="D472" s="567"/>
      <c r="E472" s="567"/>
      <c r="F472" s="567"/>
      <c r="G472" s="567"/>
      <c r="H472" s="567"/>
      <c r="I472" s="567"/>
      <c r="J472" s="567"/>
      <c r="K472" s="567"/>
      <c r="L472" s="567"/>
    </row>
    <row r="473" ht="14.25" customHeight="1">
      <c r="D473" s="567"/>
      <c r="E473" s="567"/>
      <c r="F473" s="567"/>
      <c r="G473" s="567"/>
      <c r="H473" s="567"/>
      <c r="I473" s="567"/>
      <c r="J473" s="567"/>
      <c r="K473" s="567"/>
      <c r="L473" s="567"/>
    </row>
    <row r="474" ht="14.25" customHeight="1">
      <c r="D474" s="567"/>
      <c r="E474" s="567"/>
      <c r="F474" s="567"/>
      <c r="G474" s="567"/>
      <c r="H474" s="567"/>
      <c r="I474" s="567"/>
      <c r="J474" s="567"/>
      <c r="K474" s="567"/>
      <c r="L474" s="567"/>
    </row>
    <row r="475" ht="14.25" customHeight="1">
      <c r="D475" s="567"/>
      <c r="E475" s="567"/>
      <c r="F475" s="567"/>
      <c r="G475" s="567"/>
      <c r="H475" s="567"/>
      <c r="I475" s="567"/>
      <c r="J475" s="567"/>
      <c r="K475" s="567"/>
      <c r="L475" s="567"/>
    </row>
    <row r="476" ht="14.25" customHeight="1">
      <c r="D476" s="567"/>
      <c r="E476" s="567"/>
      <c r="F476" s="567"/>
      <c r="G476" s="567"/>
      <c r="H476" s="567"/>
      <c r="I476" s="567"/>
      <c r="J476" s="567"/>
      <c r="K476" s="567"/>
      <c r="L476" s="567"/>
    </row>
    <row r="477" ht="14.25" customHeight="1">
      <c r="D477" s="567"/>
      <c r="E477" s="567"/>
      <c r="F477" s="567"/>
      <c r="G477" s="567"/>
      <c r="H477" s="567"/>
      <c r="I477" s="567"/>
      <c r="J477" s="567"/>
      <c r="K477" s="567"/>
      <c r="L477" s="567"/>
    </row>
    <row r="478" ht="14.25" customHeight="1">
      <c r="D478" s="567"/>
      <c r="E478" s="567"/>
      <c r="F478" s="567"/>
      <c r="G478" s="567"/>
      <c r="H478" s="567"/>
      <c r="I478" s="567"/>
      <c r="J478" s="567"/>
      <c r="K478" s="567"/>
      <c r="L478" s="567"/>
    </row>
    <row r="479" ht="14.25" customHeight="1">
      <c r="D479" s="567"/>
      <c r="E479" s="567"/>
      <c r="F479" s="567"/>
      <c r="G479" s="567"/>
      <c r="H479" s="567"/>
      <c r="I479" s="567"/>
      <c r="J479" s="567"/>
      <c r="K479" s="567"/>
      <c r="L479" s="567"/>
    </row>
    <row r="480" ht="14.25" customHeight="1">
      <c r="D480" s="567"/>
      <c r="E480" s="567"/>
      <c r="F480" s="567"/>
      <c r="G480" s="567"/>
      <c r="H480" s="567"/>
      <c r="I480" s="567"/>
      <c r="J480" s="567"/>
      <c r="K480" s="567"/>
      <c r="L480" s="567"/>
    </row>
    <row r="481" ht="14.25" customHeight="1">
      <c r="D481" s="567"/>
      <c r="E481" s="567"/>
      <c r="F481" s="567"/>
      <c r="G481" s="567"/>
      <c r="H481" s="567"/>
      <c r="I481" s="567"/>
      <c r="J481" s="567"/>
      <c r="K481" s="567"/>
      <c r="L481" s="567"/>
    </row>
    <row r="482" ht="14.25" customHeight="1">
      <c r="D482" s="567"/>
      <c r="E482" s="567"/>
      <c r="F482" s="567"/>
      <c r="G482" s="567"/>
      <c r="H482" s="567"/>
      <c r="I482" s="567"/>
      <c r="J482" s="567"/>
      <c r="K482" s="567"/>
      <c r="L482" s="567"/>
    </row>
    <row r="483" ht="14.25" customHeight="1">
      <c r="D483" s="567"/>
      <c r="E483" s="567"/>
      <c r="F483" s="567"/>
      <c r="G483" s="567"/>
      <c r="H483" s="567"/>
      <c r="I483" s="567"/>
      <c r="J483" s="567"/>
      <c r="K483" s="567"/>
      <c r="L483" s="567"/>
    </row>
    <row r="484" ht="14.25" customHeight="1">
      <c r="D484" s="567"/>
      <c r="E484" s="567"/>
      <c r="F484" s="567"/>
      <c r="G484" s="567"/>
      <c r="H484" s="567"/>
      <c r="I484" s="567"/>
      <c r="J484" s="567"/>
      <c r="K484" s="567"/>
      <c r="L484" s="567"/>
    </row>
    <row r="485" ht="14.25" customHeight="1">
      <c r="D485" s="567"/>
      <c r="E485" s="567"/>
      <c r="F485" s="567"/>
      <c r="G485" s="567"/>
      <c r="H485" s="567"/>
      <c r="I485" s="567"/>
      <c r="J485" s="567"/>
      <c r="K485" s="567"/>
      <c r="L485" s="567"/>
    </row>
    <row r="486" ht="14.25" customHeight="1">
      <c r="D486" s="567"/>
      <c r="E486" s="567"/>
      <c r="F486" s="567"/>
      <c r="G486" s="567"/>
      <c r="H486" s="567"/>
      <c r="I486" s="567"/>
      <c r="J486" s="567"/>
      <c r="K486" s="567"/>
      <c r="L486" s="567"/>
    </row>
    <row r="487" ht="14.25" customHeight="1">
      <c r="D487" s="567"/>
      <c r="E487" s="567"/>
      <c r="F487" s="567"/>
      <c r="G487" s="567"/>
      <c r="H487" s="567"/>
      <c r="I487" s="567"/>
      <c r="J487" s="567"/>
      <c r="K487" s="567"/>
      <c r="L487" s="567"/>
    </row>
    <row r="488" ht="14.25" customHeight="1">
      <c r="D488" s="567"/>
      <c r="E488" s="567"/>
      <c r="F488" s="567"/>
      <c r="G488" s="567"/>
      <c r="H488" s="567"/>
      <c r="I488" s="567"/>
      <c r="J488" s="567"/>
      <c r="K488" s="567"/>
      <c r="L488" s="567"/>
    </row>
    <row r="489" ht="14.25" customHeight="1">
      <c r="D489" s="567"/>
      <c r="E489" s="567"/>
      <c r="F489" s="567"/>
      <c r="G489" s="567"/>
      <c r="H489" s="567"/>
      <c r="I489" s="567"/>
      <c r="J489" s="567"/>
      <c r="K489" s="567"/>
      <c r="L489" s="567"/>
    </row>
    <row r="490" ht="14.25" customHeight="1">
      <c r="D490" s="567"/>
      <c r="E490" s="567"/>
      <c r="F490" s="567"/>
      <c r="G490" s="567"/>
      <c r="H490" s="567"/>
      <c r="I490" s="567"/>
      <c r="J490" s="567"/>
      <c r="K490" s="567"/>
      <c r="L490" s="567"/>
    </row>
    <row r="491" ht="14.25" customHeight="1">
      <c r="D491" s="567"/>
      <c r="E491" s="567"/>
      <c r="F491" s="567"/>
      <c r="G491" s="567"/>
      <c r="H491" s="567"/>
      <c r="I491" s="567"/>
      <c r="J491" s="567"/>
      <c r="K491" s="567"/>
      <c r="L491" s="567"/>
    </row>
    <row r="492" ht="14.25" customHeight="1">
      <c r="D492" s="567"/>
      <c r="E492" s="567"/>
      <c r="F492" s="567"/>
      <c r="G492" s="567"/>
      <c r="H492" s="567"/>
      <c r="I492" s="567"/>
      <c r="J492" s="567"/>
      <c r="K492" s="567"/>
      <c r="L492" s="567"/>
    </row>
    <row r="493" ht="14.25" customHeight="1">
      <c r="D493" s="567"/>
      <c r="E493" s="567"/>
      <c r="F493" s="567"/>
      <c r="G493" s="567"/>
      <c r="H493" s="567"/>
      <c r="I493" s="567"/>
      <c r="J493" s="567"/>
      <c r="K493" s="567"/>
      <c r="L493" s="567"/>
    </row>
    <row r="494" ht="14.25" customHeight="1">
      <c r="D494" s="567"/>
      <c r="E494" s="567"/>
      <c r="F494" s="567"/>
      <c r="G494" s="567"/>
      <c r="H494" s="567"/>
      <c r="I494" s="567"/>
      <c r="J494" s="567"/>
      <c r="K494" s="567"/>
      <c r="L494" s="567"/>
    </row>
    <row r="495" ht="14.25" customHeight="1">
      <c r="D495" s="567"/>
      <c r="E495" s="567"/>
      <c r="F495" s="567"/>
      <c r="G495" s="567"/>
      <c r="H495" s="567"/>
      <c r="I495" s="567"/>
      <c r="J495" s="567"/>
      <c r="K495" s="567"/>
      <c r="L495" s="567"/>
    </row>
    <row r="496" ht="14.25" customHeight="1">
      <c r="D496" s="567"/>
      <c r="E496" s="567"/>
      <c r="F496" s="567"/>
      <c r="G496" s="567"/>
      <c r="H496" s="567"/>
      <c r="I496" s="567"/>
      <c r="J496" s="567"/>
      <c r="K496" s="567"/>
      <c r="L496" s="567"/>
    </row>
    <row r="497" ht="14.25" customHeight="1">
      <c r="D497" s="567"/>
      <c r="E497" s="567"/>
      <c r="F497" s="567"/>
      <c r="G497" s="567"/>
      <c r="H497" s="567"/>
      <c r="I497" s="567"/>
      <c r="J497" s="567"/>
      <c r="K497" s="567"/>
      <c r="L497" s="567"/>
    </row>
    <row r="498" ht="14.25" customHeight="1">
      <c r="D498" s="567"/>
      <c r="E498" s="567"/>
      <c r="F498" s="567"/>
      <c r="G498" s="567"/>
      <c r="H498" s="567"/>
      <c r="I498" s="567"/>
      <c r="J498" s="567"/>
      <c r="K498" s="567"/>
      <c r="L498" s="567"/>
    </row>
    <row r="499" ht="14.25" customHeight="1">
      <c r="D499" s="567"/>
      <c r="E499" s="567"/>
      <c r="F499" s="567"/>
      <c r="G499" s="567"/>
      <c r="H499" s="567"/>
      <c r="I499" s="567"/>
      <c r="J499" s="567"/>
      <c r="K499" s="567"/>
      <c r="L499" s="567"/>
    </row>
    <row r="500" ht="14.25" customHeight="1">
      <c r="D500" s="567"/>
      <c r="E500" s="567"/>
      <c r="F500" s="567"/>
      <c r="G500" s="567"/>
      <c r="H500" s="567"/>
      <c r="I500" s="567"/>
      <c r="J500" s="567"/>
      <c r="K500" s="567"/>
      <c r="L500" s="567"/>
    </row>
    <row r="501" ht="14.25" customHeight="1">
      <c r="D501" s="567"/>
      <c r="E501" s="567"/>
      <c r="F501" s="567"/>
      <c r="G501" s="567"/>
      <c r="H501" s="567"/>
      <c r="I501" s="567"/>
      <c r="J501" s="567"/>
      <c r="K501" s="567"/>
      <c r="L501" s="567"/>
    </row>
    <row r="502" ht="14.25" customHeight="1">
      <c r="D502" s="567"/>
      <c r="E502" s="567"/>
      <c r="F502" s="567"/>
      <c r="G502" s="567"/>
      <c r="H502" s="567"/>
      <c r="I502" s="567"/>
      <c r="J502" s="567"/>
      <c r="K502" s="567"/>
      <c r="L502" s="567"/>
    </row>
    <row r="503" ht="14.25" customHeight="1">
      <c r="D503" s="567"/>
      <c r="E503" s="567"/>
      <c r="F503" s="567"/>
      <c r="G503" s="567"/>
      <c r="H503" s="567"/>
      <c r="I503" s="567"/>
      <c r="J503" s="567"/>
      <c r="K503" s="567"/>
      <c r="L503" s="567"/>
    </row>
    <row r="504" ht="14.25" customHeight="1">
      <c r="D504" s="567"/>
      <c r="E504" s="567"/>
      <c r="F504" s="567"/>
      <c r="G504" s="567"/>
      <c r="H504" s="567"/>
      <c r="I504" s="567"/>
      <c r="J504" s="567"/>
      <c r="K504" s="567"/>
      <c r="L504" s="567"/>
    </row>
    <row r="505" ht="14.25" customHeight="1">
      <c r="D505" s="567"/>
      <c r="E505" s="567"/>
      <c r="F505" s="567"/>
      <c r="G505" s="567"/>
      <c r="H505" s="567"/>
      <c r="I505" s="567"/>
      <c r="J505" s="567"/>
      <c r="K505" s="567"/>
      <c r="L505" s="567"/>
    </row>
    <row r="506" ht="14.25" customHeight="1">
      <c r="D506" s="567"/>
      <c r="E506" s="567"/>
      <c r="F506" s="567"/>
      <c r="G506" s="567"/>
      <c r="H506" s="567"/>
      <c r="I506" s="567"/>
      <c r="J506" s="567"/>
      <c r="K506" s="567"/>
      <c r="L506" s="567"/>
    </row>
    <row r="507" ht="14.25" customHeight="1">
      <c r="D507" s="567"/>
      <c r="E507" s="567"/>
      <c r="F507" s="567"/>
      <c r="G507" s="567"/>
      <c r="H507" s="567"/>
      <c r="I507" s="567"/>
      <c r="J507" s="567"/>
      <c r="K507" s="567"/>
      <c r="L507" s="567"/>
    </row>
    <row r="508" ht="14.25" customHeight="1">
      <c r="D508" s="567"/>
      <c r="E508" s="567"/>
      <c r="F508" s="567"/>
      <c r="G508" s="567"/>
      <c r="H508" s="567"/>
      <c r="I508" s="567"/>
      <c r="J508" s="567"/>
      <c r="K508" s="567"/>
      <c r="L508" s="567"/>
    </row>
    <row r="509" ht="14.25" customHeight="1">
      <c r="D509" s="567"/>
      <c r="E509" s="567"/>
      <c r="F509" s="567"/>
      <c r="G509" s="567"/>
      <c r="H509" s="567"/>
      <c r="I509" s="567"/>
      <c r="J509" s="567"/>
      <c r="K509" s="567"/>
      <c r="L509" s="567"/>
    </row>
    <row r="510" ht="14.25" customHeight="1">
      <c r="D510" s="567"/>
      <c r="E510" s="567"/>
      <c r="F510" s="567"/>
      <c r="G510" s="567"/>
      <c r="H510" s="567"/>
      <c r="I510" s="567"/>
      <c r="J510" s="567"/>
      <c r="K510" s="567"/>
      <c r="L510" s="567"/>
    </row>
    <row r="511" ht="14.25" customHeight="1">
      <c r="D511" s="567"/>
      <c r="E511" s="567"/>
      <c r="F511" s="567"/>
      <c r="G511" s="567"/>
      <c r="H511" s="567"/>
      <c r="I511" s="567"/>
      <c r="J511" s="567"/>
      <c r="K511" s="567"/>
      <c r="L511" s="567"/>
    </row>
    <row r="512" ht="14.25" customHeight="1">
      <c r="D512" s="567"/>
      <c r="E512" s="567"/>
      <c r="F512" s="567"/>
      <c r="G512" s="567"/>
      <c r="H512" s="567"/>
      <c r="I512" s="567"/>
      <c r="J512" s="567"/>
      <c r="K512" s="567"/>
      <c r="L512" s="567"/>
    </row>
    <row r="513" ht="14.25" customHeight="1">
      <c r="D513" s="567"/>
      <c r="E513" s="567"/>
      <c r="F513" s="567"/>
      <c r="G513" s="567"/>
      <c r="H513" s="567"/>
      <c r="I513" s="567"/>
      <c r="J513" s="567"/>
      <c r="K513" s="567"/>
      <c r="L513" s="567"/>
    </row>
    <row r="514" ht="14.25" customHeight="1">
      <c r="D514" s="567"/>
      <c r="E514" s="567"/>
      <c r="F514" s="567"/>
      <c r="G514" s="567"/>
      <c r="H514" s="567"/>
      <c r="I514" s="567"/>
      <c r="J514" s="567"/>
      <c r="K514" s="567"/>
      <c r="L514" s="567"/>
    </row>
    <row r="515" ht="14.25" customHeight="1">
      <c r="D515" s="567"/>
      <c r="E515" s="567"/>
      <c r="F515" s="567"/>
      <c r="G515" s="567"/>
      <c r="H515" s="567"/>
      <c r="I515" s="567"/>
      <c r="J515" s="567"/>
      <c r="K515" s="567"/>
      <c r="L515" s="567"/>
    </row>
    <row r="516" ht="14.25" customHeight="1">
      <c r="D516" s="567"/>
      <c r="E516" s="567"/>
      <c r="F516" s="567"/>
      <c r="G516" s="567"/>
      <c r="H516" s="567"/>
      <c r="I516" s="567"/>
      <c r="J516" s="567"/>
      <c r="K516" s="567"/>
      <c r="L516" s="567"/>
    </row>
    <row r="517" ht="14.25" customHeight="1">
      <c r="D517" s="567"/>
      <c r="E517" s="567"/>
      <c r="F517" s="567"/>
      <c r="G517" s="567"/>
      <c r="H517" s="567"/>
      <c r="I517" s="567"/>
      <c r="J517" s="567"/>
      <c r="K517" s="567"/>
      <c r="L517" s="567"/>
    </row>
    <row r="518" ht="14.25" customHeight="1">
      <c r="D518" s="567"/>
      <c r="E518" s="567"/>
      <c r="F518" s="567"/>
      <c r="G518" s="567"/>
      <c r="H518" s="567"/>
      <c r="I518" s="567"/>
      <c r="J518" s="567"/>
      <c r="K518" s="567"/>
      <c r="L518" s="567"/>
    </row>
    <row r="519" ht="14.25" customHeight="1">
      <c r="D519" s="567"/>
      <c r="E519" s="567"/>
      <c r="F519" s="567"/>
      <c r="G519" s="567"/>
      <c r="H519" s="567"/>
      <c r="I519" s="567"/>
      <c r="J519" s="567"/>
      <c r="K519" s="567"/>
      <c r="L519" s="567"/>
    </row>
    <row r="520" ht="14.25" customHeight="1">
      <c r="D520" s="567"/>
      <c r="E520" s="567"/>
      <c r="F520" s="567"/>
      <c r="G520" s="567"/>
      <c r="H520" s="567"/>
      <c r="I520" s="567"/>
      <c r="J520" s="567"/>
      <c r="K520" s="567"/>
      <c r="L520" s="567"/>
    </row>
    <row r="521" ht="14.25" customHeight="1">
      <c r="D521" s="567"/>
      <c r="E521" s="567"/>
      <c r="F521" s="567"/>
      <c r="G521" s="567"/>
      <c r="H521" s="567"/>
      <c r="I521" s="567"/>
      <c r="J521" s="567"/>
      <c r="K521" s="567"/>
      <c r="L521" s="567"/>
    </row>
    <row r="522" ht="14.25" customHeight="1">
      <c r="D522" s="567"/>
      <c r="E522" s="567"/>
      <c r="F522" s="567"/>
      <c r="G522" s="567"/>
      <c r="H522" s="567"/>
      <c r="I522" s="567"/>
      <c r="J522" s="567"/>
      <c r="K522" s="567"/>
      <c r="L522" s="567"/>
    </row>
    <row r="523" ht="14.25" customHeight="1">
      <c r="D523" s="567"/>
      <c r="E523" s="567"/>
      <c r="F523" s="567"/>
      <c r="G523" s="567"/>
      <c r="H523" s="567"/>
      <c r="I523" s="567"/>
      <c r="J523" s="567"/>
      <c r="K523" s="567"/>
      <c r="L523" s="567"/>
    </row>
    <row r="524" ht="14.25" customHeight="1">
      <c r="D524" s="567"/>
      <c r="E524" s="567"/>
      <c r="F524" s="567"/>
      <c r="G524" s="567"/>
      <c r="H524" s="567"/>
      <c r="I524" s="567"/>
      <c r="J524" s="567"/>
      <c r="K524" s="567"/>
      <c r="L524" s="567"/>
    </row>
    <row r="525" ht="14.25" customHeight="1">
      <c r="D525" s="567"/>
      <c r="E525" s="567"/>
      <c r="F525" s="567"/>
      <c r="G525" s="567"/>
      <c r="H525" s="567"/>
      <c r="I525" s="567"/>
      <c r="J525" s="567"/>
      <c r="K525" s="567"/>
      <c r="L525" s="567"/>
    </row>
    <row r="526" ht="14.25" customHeight="1">
      <c r="D526" s="567"/>
      <c r="E526" s="567"/>
      <c r="F526" s="567"/>
      <c r="G526" s="567"/>
      <c r="H526" s="567"/>
      <c r="I526" s="567"/>
      <c r="J526" s="567"/>
      <c r="K526" s="567"/>
      <c r="L526" s="567"/>
    </row>
    <row r="527" ht="14.25" customHeight="1">
      <c r="D527" s="567"/>
      <c r="E527" s="567"/>
      <c r="F527" s="567"/>
      <c r="G527" s="567"/>
      <c r="H527" s="567"/>
      <c r="I527" s="567"/>
      <c r="J527" s="567"/>
      <c r="K527" s="567"/>
      <c r="L527" s="567"/>
    </row>
    <row r="528" ht="14.25" customHeight="1">
      <c r="D528" s="567"/>
      <c r="E528" s="567"/>
      <c r="F528" s="567"/>
      <c r="G528" s="567"/>
      <c r="H528" s="567"/>
      <c r="I528" s="567"/>
      <c r="J528" s="567"/>
      <c r="K528" s="567"/>
      <c r="L528" s="567"/>
    </row>
    <row r="529" ht="14.25" customHeight="1">
      <c r="D529" s="567"/>
      <c r="E529" s="567"/>
      <c r="F529" s="567"/>
      <c r="G529" s="567"/>
      <c r="H529" s="567"/>
      <c r="I529" s="567"/>
      <c r="J529" s="567"/>
      <c r="K529" s="567"/>
      <c r="L529" s="567"/>
    </row>
    <row r="530" ht="14.25" customHeight="1">
      <c r="D530" s="567"/>
      <c r="E530" s="567"/>
      <c r="F530" s="567"/>
      <c r="G530" s="567"/>
      <c r="H530" s="567"/>
      <c r="I530" s="567"/>
      <c r="J530" s="567"/>
      <c r="K530" s="567"/>
      <c r="L530" s="567"/>
    </row>
    <row r="531" ht="14.25" customHeight="1">
      <c r="D531" s="567"/>
      <c r="E531" s="567"/>
      <c r="F531" s="567"/>
      <c r="G531" s="567"/>
      <c r="H531" s="567"/>
      <c r="I531" s="567"/>
      <c r="J531" s="567"/>
      <c r="K531" s="567"/>
      <c r="L531" s="567"/>
    </row>
    <row r="532" ht="14.25" customHeight="1">
      <c r="D532" s="567"/>
      <c r="E532" s="567"/>
      <c r="F532" s="567"/>
      <c r="G532" s="567"/>
      <c r="H532" s="567"/>
      <c r="I532" s="567"/>
      <c r="J532" s="567"/>
      <c r="K532" s="567"/>
      <c r="L532" s="567"/>
    </row>
    <row r="533" ht="14.25" customHeight="1">
      <c r="D533" s="567"/>
      <c r="E533" s="567"/>
      <c r="F533" s="567"/>
      <c r="G533" s="567"/>
      <c r="H533" s="567"/>
      <c r="I533" s="567"/>
      <c r="J533" s="567"/>
      <c r="K533" s="567"/>
      <c r="L533" s="567"/>
    </row>
    <row r="534" ht="14.25" customHeight="1">
      <c r="D534" s="567"/>
      <c r="E534" s="567"/>
      <c r="F534" s="567"/>
      <c r="G534" s="567"/>
      <c r="H534" s="567"/>
      <c r="I534" s="567"/>
      <c r="J534" s="567"/>
      <c r="K534" s="567"/>
      <c r="L534" s="567"/>
    </row>
    <row r="535" ht="14.25" customHeight="1">
      <c r="D535" s="567"/>
      <c r="E535" s="567"/>
      <c r="F535" s="567"/>
      <c r="G535" s="567"/>
      <c r="H535" s="567"/>
      <c r="I535" s="567"/>
      <c r="J535" s="567"/>
      <c r="K535" s="567"/>
      <c r="L535" s="567"/>
    </row>
    <row r="536" ht="14.25" customHeight="1">
      <c r="D536" s="567"/>
      <c r="E536" s="567"/>
      <c r="F536" s="567"/>
      <c r="G536" s="567"/>
      <c r="H536" s="567"/>
      <c r="I536" s="567"/>
      <c r="J536" s="567"/>
      <c r="K536" s="567"/>
      <c r="L536" s="567"/>
    </row>
    <row r="537" ht="14.25" customHeight="1">
      <c r="D537" s="567"/>
      <c r="E537" s="567"/>
      <c r="F537" s="567"/>
      <c r="G537" s="567"/>
      <c r="H537" s="567"/>
      <c r="I537" s="567"/>
      <c r="J537" s="567"/>
      <c r="K537" s="567"/>
      <c r="L537" s="567"/>
    </row>
    <row r="538" ht="14.25" customHeight="1">
      <c r="D538" s="567"/>
      <c r="E538" s="567"/>
      <c r="F538" s="567"/>
      <c r="G538" s="567"/>
      <c r="H538" s="567"/>
      <c r="I538" s="567"/>
      <c r="J538" s="567"/>
      <c r="K538" s="567"/>
      <c r="L538" s="567"/>
    </row>
    <row r="539" ht="14.25" customHeight="1">
      <c r="D539" s="567"/>
      <c r="E539" s="567"/>
      <c r="F539" s="567"/>
      <c r="G539" s="567"/>
      <c r="H539" s="567"/>
      <c r="I539" s="567"/>
      <c r="J539" s="567"/>
      <c r="K539" s="567"/>
      <c r="L539" s="567"/>
    </row>
    <row r="540" ht="14.25" customHeight="1">
      <c r="D540" s="567"/>
      <c r="E540" s="567"/>
      <c r="F540" s="567"/>
      <c r="G540" s="567"/>
      <c r="H540" s="567"/>
      <c r="I540" s="567"/>
      <c r="J540" s="567"/>
      <c r="K540" s="567"/>
      <c r="L540" s="567"/>
    </row>
    <row r="541" ht="14.25" customHeight="1">
      <c r="D541" s="567"/>
      <c r="E541" s="567"/>
      <c r="F541" s="567"/>
      <c r="G541" s="567"/>
      <c r="H541" s="567"/>
      <c r="I541" s="567"/>
      <c r="J541" s="567"/>
      <c r="K541" s="567"/>
      <c r="L541" s="567"/>
    </row>
    <row r="542" ht="14.25" customHeight="1">
      <c r="D542" s="567"/>
      <c r="E542" s="567"/>
      <c r="F542" s="567"/>
      <c r="G542" s="567"/>
      <c r="H542" s="567"/>
      <c r="I542" s="567"/>
      <c r="J542" s="567"/>
      <c r="K542" s="567"/>
      <c r="L542" s="567"/>
    </row>
    <row r="543" ht="14.25" customHeight="1">
      <c r="D543" s="567"/>
      <c r="E543" s="567"/>
      <c r="F543" s="567"/>
      <c r="G543" s="567"/>
      <c r="H543" s="567"/>
      <c r="I543" s="567"/>
      <c r="J543" s="567"/>
      <c r="K543" s="567"/>
      <c r="L543" s="567"/>
    </row>
    <row r="544" ht="14.25" customHeight="1">
      <c r="D544" s="567"/>
      <c r="E544" s="567"/>
      <c r="F544" s="567"/>
      <c r="G544" s="567"/>
      <c r="H544" s="567"/>
      <c r="I544" s="567"/>
      <c r="J544" s="567"/>
      <c r="K544" s="567"/>
      <c r="L544" s="567"/>
    </row>
    <row r="545" ht="14.25" customHeight="1">
      <c r="D545" s="567"/>
      <c r="E545" s="567"/>
      <c r="F545" s="567"/>
      <c r="G545" s="567"/>
      <c r="H545" s="567"/>
      <c r="I545" s="567"/>
      <c r="J545" s="567"/>
      <c r="K545" s="567"/>
      <c r="L545" s="567"/>
    </row>
    <row r="546" ht="14.25" customHeight="1">
      <c r="D546" s="567"/>
      <c r="E546" s="567"/>
      <c r="F546" s="567"/>
      <c r="G546" s="567"/>
      <c r="H546" s="567"/>
      <c r="I546" s="567"/>
      <c r="J546" s="567"/>
      <c r="K546" s="567"/>
      <c r="L546" s="567"/>
    </row>
    <row r="547" ht="14.25" customHeight="1">
      <c r="D547" s="567"/>
      <c r="E547" s="567"/>
      <c r="F547" s="567"/>
      <c r="G547" s="567"/>
      <c r="H547" s="567"/>
      <c r="I547" s="567"/>
      <c r="J547" s="567"/>
      <c r="K547" s="567"/>
      <c r="L547" s="567"/>
    </row>
    <row r="548" ht="14.25" customHeight="1">
      <c r="D548" s="567"/>
      <c r="E548" s="567"/>
      <c r="F548" s="567"/>
      <c r="G548" s="567"/>
      <c r="H548" s="567"/>
      <c r="I548" s="567"/>
      <c r="J548" s="567"/>
      <c r="K548" s="567"/>
      <c r="L548" s="567"/>
    </row>
    <row r="549" ht="14.25" customHeight="1">
      <c r="D549" s="567"/>
      <c r="E549" s="567"/>
      <c r="F549" s="567"/>
      <c r="G549" s="567"/>
      <c r="H549" s="567"/>
      <c r="I549" s="567"/>
      <c r="J549" s="567"/>
      <c r="K549" s="567"/>
      <c r="L549" s="567"/>
    </row>
    <row r="550" ht="14.25" customHeight="1">
      <c r="D550" s="567"/>
      <c r="E550" s="567"/>
      <c r="F550" s="567"/>
      <c r="G550" s="567"/>
      <c r="H550" s="567"/>
      <c r="I550" s="567"/>
      <c r="J550" s="567"/>
      <c r="K550" s="567"/>
      <c r="L550" s="567"/>
    </row>
    <row r="551" ht="14.25" customHeight="1">
      <c r="D551" s="567"/>
      <c r="E551" s="567"/>
      <c r="F551" s="567"/>
      <c r="G551" s="567"/>
      <c r="H551" s="567"/>
      <c r="I551" s="567"/>
      <c r="J551" s="567"/>
      <c r="K551" s="567"/>
      <c r="L551" s="567"/>
    </row>
    <row r="552" ht="14.25" customHeight="1">
      <c r="D552" s="567"/>
      <c r="E552" s="567"/>
      <c r="F552" s="567"/>
      <c r="G552" s="567"/>
      <c r="H552" s="567"/>
      <c r="I552" s="567"/>
      <c r="J552" s="567"/>
      <c r="K552" s="567"/>
      <c r="L552" s="567"/>
    </row>
    <row r="553" ht="14.25" customHeight="1">
      <c r="D553" s="567"/>
      <c r="E553" s="567"/>
      <c r="F553" s="567"/>
      <c r="G553" s="567"/>
      <c r="H553" s="567"/>
      <c r="I553" s="567"/>
      <c r="J553" s="567"/>
      <c r="K553" s="567"/>
      <c r="L553" s="567"/>
    </row>
    <row r="554" ht="14.25" customHeight="1">
      <c r="D554" s="567"/>
      <c r="E554" s="567"/>
      <c r="F554" s="567"/>
      <c r="G554" s="567"/>
      <c r="H554" s="567"/>
      <c r="I554" s="567"/>
      <c r="J554" s="567"/>
      <c r="K554" s="567"/>
      <c r="L554" s="567"/>
    </row>
    <row r="555" ht="14.25" customHeight="1">
      <c r="D555" s="567"/>
      <c r="E555" s="567"/>
      <c r="F555" s="567"/>
      <c r="G555" s="567"/>
      <c r="H555" s="567"/>
      <c r="I555" s="567"/>
      <c r="J555" s="567"/>
      <c r="K555" s="567"/>
      <c r="L555" s="567"/>
    </row>
    <row r="556" ht="14.25" customHeight="1">
      <c r="D556" s="567"/>
      <c r="E556" s="567"/>
      <c r="F556" s="567"/>
      <c r="G556" s="567"/>
      <c r="H556" s="567"/>
      <c r="I556" s="567"/>
      <c r="J556" s="567"/>
      <c r="K556" s="567"/>
      <c r="L556" s="567"/>
    </row>
    <row r="557" ht="14.25" customHeight="1">
      <c r="D557" s="567"/>
      <c r="E557" s="567"/>
      <c r="F557" s="567"/>
      <c r="G557" s="567"/>
      <c r="H557" s="567"/>
      <c r="I557" s="567"/>
      <c r="J557" s="567"/>
      <c r="K557" s="567"/>
      <c r="L557" s="567"/>
    </row>
    <row r="558" ht="14.25" customHeight="1">
      <c r="D558" s="567"/>
      <c r="E558" s="567"/>
      <c r="F558" s="567"/>
      <c r="G558" s="567"/>
      <c r="H558" s="567"/>
      <c r="I558" s="567"/>
      <c r="J558" s="567"/>
      <c r="K558" s="567"/>
      <c r="L558" s="567"/>
    </row>
    <row r="559" ht="14.25" customHeight="1">
      <c r="D559" s="567"/>
      <c r="E559" s="567"/>
      <c r="F559" s="567"/>
      <c r="G559" s="567"/>
      <c r="H559" s="567"/>
      <c r="I559" s="567"/>
      <c r="J559" s="567"/>
      <c r="K559" s="567"/>
      <c r="L559" s="567"/>
    </row>
    <row r="560" ht="14.25" customHeight="1">
      <c r="D560" s="567"/>
      <c r="E560" s="567"/>
      <c r="F560" s="567"/>
      <c r="G560" s="567"/>
      <c r="H560" s="567"/>
      <c r="I560" s="567"/>
      <c r="J560" s="567"/>
      <c r="K560" s="567"/>
      <c r="L560" s="567"/>
    </row>
    <row r="561" ht="14.25" customHeight="1">
      <c r="D561" s="567"/>
      <c r="E561" s="567"/>
      <c r="F561" s="567"/>
      <c r="G561" s="567"/>
      <c r="H561" s="567"/>
      <c r="I561" s="567"/>
      <c r="J561" s="567"/>
      <c r="K561" s="567"/>
      <c r="L561" s="567"/>
    </row>
    <row r="562" ht="14.25" customHeight="1">
      <c r="D562" s="567"/>
      <c r="E562" s="567"/>
      <c r="F562" s="567"/>
      <c r="G562" s="567"/>
      <c r="H562" s="567"/>
      <c r="I562" s="567"/>
      <c r="J562" s="567"/>
      <c r="K562" s="567"/>
      <c r="L562" s="567"/>
    </row>
    <row r="563" ht="14.25" customHeight="1">
      <c r="D563" s="567"/>
      <c r="E563" s="567"/>
      <c r="F563" s="567"/>
      <c r="G563" s="567"/>
      <c r="H563" s="567"/>
      <c r="I563" s="567"/>
      <c r="J563" s="567"/>
      <c r="K563" s="567"/>
      <c r="L563" s="567"/>
    </row>
    <row r="564" ht="14.25" customHeight="1">
      <c r="D564" s="567"/>
      <c r="E564" s="567"/>
      <c r="F564" s="567"/>
      <c r="G564" s="567"/>
      <c r="H564" s="567"/>
      <c r="I564" s="567"/>
      <c r="J564" s="567"/>
      <c r="K564" s="567"/>
      <c r="L564" s="567"/>
    </row>
    <row r="565" ht="14.25" customHeight="1">
      <c r="D565" s="567"/>
      <c r="E565" s="567"/>
      <c r="F565" s="567"/>
      <c r="G565" s="567"/>
      <c r="H565" s="567"/>
      <c r="I565" s="567"/>
      <c r="J565" s="567"/>
      <c r="K565" s="567"/>
      <c r="L565" s="567"/>
    </row>
    <row r="566" ht="14.25" customHeight="1">
      <c r="D566" s="567"/>
      <c r="E566" s="567"/>
      <c r="F566" s="567"/>
      <c r="G566" s="567"/>
      <c r="H566" s="567"/>
      <c r="I566" s="567"/>
      <c r="J566" s="567"/>
      <c r="K566" s="567"/>
      <c r="L566" s="567"/>
    </row>
    <row r="567" ht="14.25" customHeight="1">
      <c r="D567" s="567"/>
      <c r="E567" s="567"/>
      <c r="F567" s="567"/>
      <c r="G567" s="567"/>
      <c r="H567" s="567"/>
      <c r="I567" s="567"/>
      <c r="J567" s="567"/>
      <c r="K567" s="567"/>
      <c r="L567" s="567"/>
    </row>
    <row r="568" ht="14.25" customHeight="1">
      <c r="D568" s="567"/>
      <c r="E568" s="567"/>
      <c r="F568" s="567"/>
      <c r="G568" s="567"/>
      <c r="H568" s="567"/>
      <c r="I568" s="567"/>
      <c r="J568" s="567"/>
      <c r="K568" s="567"/>
      <c r="L568" s="567"/>
    </row>
    <row r="569" ht="14.25" customHeight="1">
      <c r="D569" s="567"/>
      <c r="E569" s="567"/>
      <c r="F569" s="567"/>
      <c r="G569" s="567"/>
      <c r="H569" s="567"/>
      <c r="I569" s="567"/>
      <c r="J569" s="567"/>
      <c r="K569" s="567"/>
      <c r="L569" s="567"/>
    </row>
    <row r="570" ht="14.25" customHeight="1">
      <c r="D570" s="567"/>
      <c r="E570" s="567"/>
      <c r="F570" s="567"/>
      <c r="G570" s="567"/>
      <c r="H570" s="567"/>
      <c r="I570" s="567"/>
      <c r="J570" s="567"/>
      <c r="K570" s="567"/>
      <c r="L570" s="567"/>
    </row>
    <row r="571" ht="14.25" customHeight="1">
      <c r="D571" s="567"/>
      <c r="E571" s="567"/>
      <c r="F571" s="567"/>
      <c r="G571" s="567"/>
      <c r="H571" s="567"/>
      <c r="I571" s="567"/>
      <c r="J571" s="567"/>
      <c r="K571" s="567"/>
      <c r="L571" s="567"/>
    </row>
    <row r="572" ht="14.25" customHeight="1">
      <c r="D572" s="567"/>
      <c r="E572" s="567"/>
      <c r="F572" s="567"/>
      <c r="G572" s="567"/>
      <c r="H572" s="567"/>
      <c r="I572" s="567"/>
      <c r="J572" s="567"/>
      <c r="K572" s="567"/>
      <c r="L572" s="567"/>
    </row>
    <row r="573" ht="14.25" customHeight="1">
      <c r="D573" s="567"/>
      <c r="E573" s="567"/>
      <c r="F573" s="567"/>
      <c r="G573" s="567"/>
      <c r="H573" s="567"/>
      <c r="I573" s="567"/>
      <c r="J573" s="567"/>
      <c r="K573" s="567"/>
      <c r="L573" s="567"/>
    </row>
    <row r="574" ht="14.25" customHeight="1">
      <c r="D574" s="567"/>
      <c r="E574" s="567"/>
      <c r="F574" s="567"/>
      <c r="G574" s="567"/>
      <c r="H574" s="567"/>
      <c r="I574" s="567"/>
      <c r="J574" s="567"/>
      <c r="K574" s="567"/>
      <c r="L574" s="567"/>
    </row>
    <row r="575" ht="14.25" customHeight="1">
      <c r="D575" s="567"/>
      <c r="E575" s="567"/>
      <c r="F575" s="567"/>
      <c r="G575" s="567"/>
      <c r="H575" s="567"/>
      <c r="I575" s="567"/>
      <c r="J575" s="567"/>
      <c r="K575" s="567"/>
      <c r="L575" s="567"/>
    </row>
    <row r="576" ht="14.25" customHeight="1">
      <c r="D576" s="567"/>
      <c r="E576" s="567"/>
      <c r="F576" s="567"/>
      <c r="G576" s="567"/>
      <c r="H576" s="567"/>
      <c r="I576" s="567"/>
      <c r="J576" s="567"/>
      <c r="K576" s="567"/>
      <c r="L576" s="567"/>
    </row>
    <row r="577" ht="14.25" customHeight="1">
      <c r="D577" s="567"/>
      <c r="E577" s="567"/>
      <c r="F577" s="567"/>
      <c r="G577" s="567"/>
      <c r="H577" s="567"/>
      <c r="I577" s="567"/>
      <c r="J577" s="567"/>
      <c r="K577" s="567"/>
      <c r="L577" s="567"/>
    </row>
    <row r="578" ht="14.25" customHeight="1">
      <c r="D578" s="567"/>
      <c r="E578" s="567"/>
      <c r="F578" s="567"/>
      <c r="G578" s="567"/>
      <c r="H578" s="567"/>
      <c r="I578" s="567"/>
      <c r="J578" s="567"/>
      <c r="K578" s="567"/>
      <c r="L578" s="567"/>
    </row>
    <row r="579" ht="14.25" customHeight="1">
      <c r="D579" s="567"/>
      <c r="E579" s="567"/>
      <c r="F579" s="567"/>
      <c r="G579" s="567"/>
      <c r="H579" s="567"/>
      <c r="I579" s="567"/>
      <c r="J579" s="567"/>
      <c r="K579" s="567"/>
      <c r="L579" s="567"/>
    </row>
    <row r="580" ht="14.25" customHeight="1">
      <c r="D580" s="567"/>
      <c r="E580" s="567"/>
      <c r="F580" s="567"/>
      <c r="G580" s="567"/>
      <c r="H580" s="567"/>
      <c r="I580" s="567"/>
      <c r="J580" s="567"/>
      <c r="K580" s="567"/>
      <c r="L580" s="567"/>
    </row>
    <row r="581" ht="14.25" customHeight="1">
      <c r="D581" s="567"/>
      <c r="E581" s="567"/>
      <c r="F581" s="567"/>
      <c r="G581" s="567"/>
      <c r="H581" s="567"/>
      <c r="I581" s="567"/>
      <c r="J581" s="567"/>
      <c r="K581" s="567"/>
      <c r="L581" s="567"/>
    </row>
    <row r="582" ht="14.25" customHeight="1">
      <c r="D582" s="567"/>
      <c r="E582" s="567"/>
      <c r="F582" s="567"/>
      <c r="G582" s="567"/>
      <c r="H582" s="567"/>
      <c r="I582" s="567"/>
      <c r="J582" s="567"/>
      <c r="K582" s="567"/>
      <c r="L582" s="567"/>
    </row>
    <row r="583" ht="14.25" customHeight="1">
      <c r="D583" s="567"/>
      <c r="E583" s="567"/>
      <c r="F583" s="567"/>
      <c r="G583" s="567"/>
      <c r="H583" s="567"/>
      <c r="I583" s="567"/>
      <c r="J583" s="567"/>
      <c r="K583" s="567"/>
      <c r="L583" s="567"/>
    </row>
    <row r="584" ht="14.25" customHeight="1">
      <c r="D584" s="567"/>
      <c r="E584" s="567"/>
      <c r="F584" s="567"/>
      <c r="G584" s="567"/>
      <c r="H584" s="567"/>
      <c r="I584" s="567"/>
      <c r="J584" s="567"/>
      <c r="K584" s="567"/>
      <c r="L584" s="567"/>
    </row>
    <row r="585" ht="14.25" customHeight="1">
      <c r="D585" s="567"/>
      <c r="E585" s="567"/>
      <c r="F585" s="567"/>
      <c r="G585" s="567"/>
      <c r="H585" s="567"/>
      <c r="I585" s="567"/>
      <c r="J585" s="567"/>
      <c r="K585" s="567"/>
      <c r="L585" s="567"/>
    </row>
    <row r="586" ht="14.25" customHeight="1">
      <c r="D586" s="567"/>
      <c r="E586" s="567"/>
      <c r="F586" s="567"/>
      <c r="G586" s="567"/>
      <c r="H586" s="567"/>
      <c r="I586" s="567"/>
      <c r="J586" s="567"/>
      <c r="K586" s="567"/>
      <c r="L586" s="567"/>
    </row>
    <row r="587" ht="14.25" customHeight="1">
      <c r="D587" s="567"/>
      <c r="E587" s="567"/>
      <c r="F587" s="567"/>
      <c r="G587" s="567"/>
      <c r="H587" s="567"/>
      <c r="I587" s="567"/>
      <c r="J587" s="567"/>
      <c r="K587" s="567"/>
      <c r="L587" s="567"/>
    </row>
    <row r="588" ht="14.25" customHeight="1">
      <c r="D588" s="567"/>
      <c r="E588" s="567"/>
      <c r="F588" s="567"/>
      <c r="G588" s="567"/>
      <c r="H588" s="567"/>
      <c r="I588" s="567"/>
      <c r="J588" s="567"/>
      <c r="K588" s="567"/>
      <c r="L588" s="567"/>
    </row>
    <row r="589" ht="14.25" customHeight="1">
      <c r="D589" s="567"/>
      <c r="E589" s="567"/>
      <c r="F589" s="567"/>
      <c r="G589" s="567"/>
      <c r="H589" s="567"/>
      <c r="I589" s="567"/>
      <c r="J589" s="567"/>
      <c r="K589" s="567"/>
      <c r="L589" s="567"/>
    </row>
    <row r="590" ht="14.25" customHeight="1">
      <c r="D590" s="567"/>
      <c r="E590" s="567"/>
      <c r="F590" s="567"/>
      <c r="G590" s="567"/>
      <c r="H590" s="567"/>
      <c r="I590" s="567"/>
      <c r="J590" s="567"/>
      <c r="K590" s="567"/>
      <c r="L590" s="567"/>
    </row>
    <row r="591" ht="14.25" customHeight="1">
      <c r="D591" s="567"/>
      <c r="E591" s="567"/>
      <c r="F591" s="567"/>
      <c r="G591" s="567"/>
      <c r="H591" s="567"/>
      <c r="I591" s="567"/>
      <c r="J591" s="567"/>
      <c r="K591" s="567"/>
      <c r="L591" s="567"/>
    </row>
    <row r="592" ht="14.25" customHeight="1">
      <c r="D592" s="567"/>
      <c r="E592" s="567"/>
      <c r="F592" s="567"/>
      <c r="G592" s="567"/>
      <c r="H592" s="567"/>
      <c r="I592" s="567"/>
      <c r="J592" s="567"/>
      <c r="K592" s="567"/>
      <c r="L592" s="567"/>
    </row>
    <row r="593" ht="14.25" customHeight="1">
      <c r="D593" s="567"/>
      <c r="E593" s="567"/>
      <c r="F593" s="567"/>
      <c r="G593" s="567"/>
      <c r="H593" s="567"/>
      <c r="I593" s="567"/>
      <c r="J593" s="567"/>
      <c r="K593" s="567"/>
      <c r="L593" s="567"/>
    </row>
    <row r="594" ht="14.25" customHeight="1">
      <c r="D594" s="567"/>
      <c r="E594" s="567"/>
      <c r="F594" s="567"/>
      <c r="G594" s="567"/>
      <c r="H594" s="567"/>
      <c r="I594" s="567"/>
      <c r="J594" s="567"/>
      <c r="K594" s="567"/>
      <c r="L594" s="567"/>
    </row>
    <row r="595" ht="14.25" customHeight="1">
      <c r="D595" s="567"/>
      <c r="E595" s="567"/>
      <c r="F595" s="567"/>
      <c r="G595" s="567"/>
      <c r="H595" s="567"/>
      <c r="I595" s="567"/>
      <c r="J595" s="567"/>
      <c r="K595" s="567"/>
      <c r="L595" s="567"/>
    </row>
    <row r="596" ht="14.25" customHeight="1">
      <c r="D596" s="567"/>
      <c r="E596" s="567"/>
      <c r="F596" s="567"/>
      <c r="G596" s="567"/>
      <c r="H596" s="567"/>
      <c r="I596" s="567"/>
      <c r="J596" s="567"/>
      <c r="K596" s="567"/>
      <c r="L596" s="567"/>
    </row>
    <row r="597" ht="14.25" customHeight="1">
      <c r="D597" s="567"/>
      <c r="E597" s="567"/>
      <c r="F597" s="567"/>
      <c r="G597" s="567"/>
      <c r="H597" s="567"/>
      <c r="I597" s="567"/>
      <c r="J597" s="567"/>
      <c r="K597" s="567"/>
      <c r="L597" s="567"/>
    </row>
    <row r="598" ht="14.25" customHeight="1">
      <c r="D598" s="567"/>
      <c r="E598" s="567"/>
      <c r="F598" s="567"/>
      <c r="G598" s="567"/>
      <c r="H598" s="567"/>
      <c r="I598" s="567"/>
      <c r="J598" s="567"/>
      <c r="K598" s="567"/>
      <c r="L598" s="567"/>
    </row>
    <row r="599" ht="14.25" customHeight="1">
      <c r="D599" s="567"/>
      <c r="E599" s="567"/>
      <c r="F599" s="567"/>
      <c r="G599" s="567"/>
      <c r="H599" s="567"/>
      <c r="I599" s="567"/>
      <c r="J599" s="567"/>
      <c r="K599" s="567"/>
      <c r="L599" s="567"/>
    </row>
    <row r="600" ht="14.25" customHeight="1">
      <c r="D600" s="567"/>
      <c r="E600" s="567"/>
      <c r="F600" s="567"/>
      <c r="G600" s="567"/>
      <c r="H600" s="567"/>
      <c r="I600" s="567"/>
      <c r="J600" s="567"/>
      <c r="K600" s="567"/>
      <c r="L600" s="567"/>
    </row>
    <row r="601" ht="14.25" customHeight="1">
      <c r="D601" s="567"/>
      <c r="E601" s="567"/>
      <c r="F601" s="567"/>
      <c r="G601" s="567"/>
      <c r="H601" s="567"/>
      <c r="I601" s="567"/>
      <c r="J601" s="567"/>
      <c r="K601" s="567"/>
      <c r="L601" s="567"/>
    </row>
    <row r="602" ht="14.25" customHeight="1">
      <c r="D602" s="567"/>
      <c r="E602" s="567"/>
      <c r="F602" s="567"/>
      <c r="G602" s="567"/>
      <c r="H602" s="567"/>
      <c r="I602" s="567"/>
      <c r="J602" s="567"/>
      <c r="K602" s="567"/>
      <c r="L602" s="567"/>
    </row>
    <row r="603" ht="14.25" customHeight="1">
      <c r="D603" s="567"/>
      <c r="E603" s="567"/>
      <c r="F603" s="567"/>
      <c r="G603" s="567"/>
      <c r="H603" s="567"/>
      <c r="I603" s="567"/>
      <c r="J603" s="567"/>
      <c r="K603" s="567"/>
      <c r="L603" s="567"/>
    </row>
    <row r="604" ht="14.25" customHeight="1">
      <c r="D604" s="567"/>
      <c r="E604" s="567"/>
      <c r="F604" s="567"/>
      <c r="G604" s="567"/>
      <c r="H604" s="567"/>
      <c r="I604" s="567"/>
      <c r="J604" s="567"/>
      <c r="K604" s="567"/>
      <c r="L604" s="567"/>
    </row>
    <row r="605" ht="14.25" customHeight="1">
      <c r="D605" s="567"/>
      <c r="E605" s="567"/>
      <c r="F605" s="567"/>
      <c r="G605" s="567"/>
      <c r="H605" s="567"/>
      <c r="I605" s="567"/>
      <c r="J605" s="567"/>
      <c r="K605" s="567"/>
      <c r="L605" s="567"/>
    </row>
    <row r="606" ht="14.25" customHeight="1">
      <c r="D606" s="567"/>
      <c r="E606" s="567"/>
      <c r="F606" s="567"/>
      <c r="G606" s="567"/>
      <c r="H606" s="567"/>
      <c r="I606" s="567"/>
      <c r="J606" s="567"/>
      <c r="K606" s="567"/>
      <c r="L606" s="567"/>
    </row>
    <row r="607" ht="14.25" customHeight="1">
      <c r="D607" s="567"/>
      <c r="E607" s="567"/>
      <c r="F607" s="567"/>
      <c r="G607" s="567"/>
      <c r="H607" s="567"/>
      <c r="I607" s="567"/>
      <c r="J607" s="567"/>
      <c r="K607" s="567"/>
      <c r="L607" s="567"/>
    </row>
    <row r="608" ht="14.25" customHeight="1">
      <c r="D608" s="567"/>
      <c r="E608" s="567"/>
      <c r="F608" s="567"/>
      <c r="G608" s="567"/>
      <c r="H608" s="567"/>
      <c r="I608" s="567"/>
      <c r="J608" s="567"/>
      <c r="K608" s="567"/>
      <c r="L608" s="567"/>
    </row>
    <row r="609" ht="14.25" customHeight="1">
      <c r="D609" s="567"/>
      <c r="E609" s="567"/>
      <c r="F609" s="567"/>
      <c r="G609" s="567"/>
      <c r="H609" s="567"/>
      <c r="I609" s="567"/>
      <c r="J609" s="567"/>
      <c r="K609" s="567"/>
      <c r="L609" s="567"/>
    </row>
    <row r="610" ht="14.25" customHeight="1">
      <c r="D610" s="567"/>
      <c r="E610" s="567"/>
      <c r="F610" s="567"/>
      <c r="G610" s="567"/>
      <c r="H610" s="567"/>
      <c r="I610" s="567"/>
      <c r="J610" s="567"/>
      <c r="K610" s="567"/>
      <c r="L610" s="567"/>
    </row>
    <row r="611" ht="14.25" customHeight="1">
      <c r="D611" s="567"/>
      <c r="E611" s="567"/>
      <c r="F611" s="567"/>
      <c r="G611" s="567"/>
      <c r="H611" s="567"/>
      <c r="I611" s="567"/>
      <c r="J611" s="567"/>
      <c r="K611" s="567"/>
      <c r="L611" s="567"/>
    </row>
    <row r="612" ht="14.25" customHeight="1">
      <c r="D612" s="567"/>
      <c r="E612" s="567"/>
      <c r="F612" s="567"/>
      <c r="G612" s="567"/>
      <c r="H612" s="567"/>
      <c r="I612" s="567"/>
      <c r="J612" s="567"/>
      <c r="K612" s="567"/>
      <c r="L612" s="567"/>
    </row>
    <row r="613" ht="14.25" customHeight="1">
      <c r="D613" s="567"/>
      <c r="E613" s="567"/>
      <c r="F613" s="567"/>
      <c r="G613" s="567"/>
      <c r="H613" s="567"/>
      <c r="I613" s="567"/>
      <c r="J613" s="567"/>
      <c r="K613" s="567"/>
      <c r="L613" s="567"/>
    </row>
    <row r="614" ht="14.25" customHeight="1">
      <c r="D614" s="567"/>
      <c r="E614" s="567"/>
      <c r="F614" s="567"/>
      <c r="G614" s="567"/>
      <c r="H614" s="567"/>
      <c r="I614" s="567"/>
      <c r="J614" s="567"/>
      <c r="K614" s="567"/>
      <c r="L614" s="567"/>
    </row>
    <row r="615" ht="14.25" customHeight="1">
      <c r="D615" s="567"/>
      <c r="E615" s="567"/>
      <c r="F615" s="567"/>
      <c r="G615" s="567"/>
      <c r="H615" s="567"/>
      <c r="I615" s="567"/>
      <c r="J615" s="567"/>
      <c r="K615" s="567"/>
      <c r="L615" s="567"/>
    </row>
    <row r="616" ht="14.25" customHeight="1">
      <c r="D616" s="567"/>
      <c r="E616" s="567"/>
      <c r="F616" s="567"/>
      <c r="G616" s="567"/>
      <c r="H616" s="567"/>
      <c r="I616" s="567"/>
      <c r="J616" s="567"/>
      <c r="K616" s="567"/>
      <c r="L616" s="567"/>
    </row>
    <row r="617" ht="14.25" customHeight="1">
      <c r="D617" s="567"/>
      <c r="E617" s="567"/>
      <c r="F617" s="567"/>
      <c r="G617" s="567"/>
      <c r="H617" s="567"/>
      <c r="I617" s="567"/>
      <c r="J617" s="567"/>
      <c r="K617" s="567"/>
      <c r="L617" s="567"/>
    </row>
    <row r="618" ht="14.25" customHeight="1">
      <c r="D618" s="567"/>
      <c r="E618" s="567"/>
      <c r="F618" s="567"/>
      <c r="G618" s="567"/>
      <c r="H618" s="567"/>
      <c r="I618" s="567"/>
      <c r="J618" s="567"/>
      <c r="K618" s="567"/>
      <c r="L618" s="567"/>
    </row>
    <row r="619" ht="14.25" customHeight="1">
      <c r="D619" s="567"/>
      <c r="E619" s="567"/>
      <c r="F619" s="567"/>
      <c r="G619" s="567"/>
      <c r="H619" s="567"/>
      <c r="I619" s="567"/>
      <c r="J619" s="567"/>
      <c r="K619" s="567"/>
      <c r="L619" s="567"/>
    </row>
    <row r="620" ht="14.25" customHeight="1">
      <c r="D620" s="567"/>
      <c r="E620" s="567"/>
      <c r="F620" s="567"/>
      <c r="G620" s="567"/>
      <c r="H620" s="567"/>
      <c r="I620" s="567"/>
      <c r="J620" s="567"/>
      <c r="K620" s="567"/>
      <c r="L620" s="567"/>
    </row>
    <row r="621" ht="14.25" customHeight="1">
      <c r="D621" s="567"/>
      <c r="E621" s="567"/>
      <c r="F621" s="567"/>
      <c r="G621" s="567"/>
      <c r="H621" s="567"/>
      <c r="I621" s="567"/>
      <c r="J621" s="567"/>
      <c r="K621" s="567"/>
      <c r="L621" s="567"/>
    </row>
    <row r="622" ht="14.25" customHeight="1">
      <c r="D622" s="567"/>
      <c r="E622" s="567"/>
      <c r="F622" s="567"/>
      <c r="G622" s="567"/>
      <c r="H622" s="567"/>
      <c r="I622" s="567"/>
      <c r="J622" s="567"/>
      <c r="K622" s="567"/>
      <c r="L622" s="567"/>
    </row>
    <row r="623" ht="14.25" customHeight="1">
      <c r="D623" s="567"/>
      <c r="E623" s="567"/>
      <c r="F623" s="567"/>
      <c r="G623" s="567"/>
      <c r="H623" s="567"/>
      <c r="I623" s="567"/>
      <c r="J623" s="567"/>
      <c r="K623" s="567"/>
      <c r="L623" s="567"/>
    </row>
    <row r="624" ht="14.25" customHeight="1">
      <c r="D624" s="567"/>
      <c r="E624" s="567"/>
      <c r="F624" s="567"/>
      <c r="G624" s="567"/>
      <c r="H624" s="567"/>
      <c r="I624" s="567"/>
      <c r="J624" s="567"/>
      <c r="K624" s="567"/>
      <c r="L624" s="567"/>
    </row>
    <row r="625" ht="14.25" customHeight="1">
      <c r="D625" s="567"/>
      <c r="E625" s="567"/>
      <c r="F625" s="567"/>
      <c r="G625" s="567"/>
      <c r="H625" s="567"/>
      <c r="I625" s="567"/>
      <c r="J625" s="567"/>
      <c r="K625" s="567"/>
      <c r="L625" s="567"/>
    </row>
    <row r="626" ht="14.25" customHeight="1">
      <c r="D626" s="567"/>
      <c r="E626" s="567"/>
      <c r="F626" s="567"/>
      <c r="G626" s="567"/>
      <c r="H626" s="567"/>
      <c r="I626" s="567"/>
      <c r="J626" s="567"/>
      <c r="K626" s="567"/>
      <c r="L626" s="567"/>
    </row>
    <row r="627" ht="14.25" customHeight="1">
      <c r="D627" s="567"/>
      <c r="E627" s="567"/>
      <c r="F627" s="567"/>
      <c r="G627" s="567"/>
      <c r="H627" s="567"/>
      <c r="I627" s="567"/>
      <c r="J627" s="567"/>
      <c r="K627" s="567"/>
      <c r="L627" s="567"/>
    </row>
    <row r="628" ht="14.25" customHeight="1">
      <c r="D628" s="567"/>
      <c r="E628" s="567"/>
      <c r="F628" s="567"/>
      <c r="G628" s="567"/>
      <c r="H628" s="567"/>
      <c r="I628" s="567"/>
      <c r="J628" s="567"/>
      <c r="K628" s="567"/>
      <c r="L628" s="567"/>
    </row>
    <row r="629" ht="14.25" customHeight="1">
      <c r="D629" s="567"/>
      <c r="E629" s="567"/>
      <c r="F629" s="567"/>
      <c r="G629" s="567"/>
      <c r="H629" s="567"/>
      <c r="I629" s="567"/>
      <c r="J629" s="567"/>
      <c r="K629" s="567"/>
      <c r="L629" s="567"/>
    </row>
    <row r="630" ht="14.25" customHeight="1">
      <c r="D630" s="567"/>
      <c r="E630" s="567"/>
      <c r="F630" s="567"/>
      <c r="G630" s="567"/>
      <c r="H630" s="567"/>
      <c r="I630" s="567"/>
      <c r="J630" s="567"/>
      <c r="K630" s="567"/>
      <c r="L630" s="567"/>
    </row>
    <row r="631" ht="14.25" customHeight="1">
      <c r="D631" s="567"/>
      <c r="E631" s="567"/>
      <c r="F631" s="567"/>
      <c r="G631" s="567"/>
      <c r="H631" s="567"/>
      <c r="I631" s="567"/>
      <c r="J631" s="567"/>
      <c r="K631" s="567"/>
      <c r="L631" s="567"/>
    </row>
    <row r="632" ht="14.25" customHeight="1">
      <c r="D632" s="567"/>
      <c r="E632" s="567"/>
      <c r="F632" s="567"/>
      <c r="G632" s="567"/>
      <c r="H632" s="567"/>
      <c r="I632" s="567"/>
      <c r="J632" s="567"/>
      <c r="K632" s="567"/>
      <c r="L632" s="567"/>
    </row>
    <row r="633" ht="14.25" customHeight="1">
      <c r="D633" s="567"/>
      <c r="E633" s="567"/>
      <c r="F633" s="567"/>
      <c r="G633" s="567"/>
      <c r="H633" s="567"/>
      <c r="I633" s="567"/>
      <c r="J633" s="567"/>
      <c r="K633" s="567"/>
      <c r="L633" s="567"/>
    </row>
    <row r="634" ht="14.25" customHeight="1">
      <c r="D634" s="567"/>
      <c r="E634" s="567"/>
      <c r="F634" s="567"/>
      <c r="G634" s="567"/>
      <c r="H634" s="567"/>
      <c r="I634" s="567"/>
      <c r="J634" s="567"/>
      <c r="K634" s="567"/>
      <c r="L634" s="567"/>
    </row>
    <row r="635" ht="14.25" customHeight="1">
      <c r="D635" s="567"/>
      <c r="E635" s="567"/>
      <c r="F635" s="567"/>
      <c r="G635" s="567"/>
      <c r="H635" s="567"/>
      <c r="I635" s="567"/>
      <c r="J635" s="567"/>
      <c r="K635" s="567"/>
      <c r="L635" s="567"/>
    </row>
    <row r="636" ht="14.25" customHeight="1">
      <c r="D636" s="567"/>
      <c r="E636" s="567"/>
      <c r="F636" s="567"/>
      <c r="G636" s="567"/>
      <c r="H636" s="567"/>
      <c r="I636" s="567"/>
      <c r="J636" s="567"/>
      <c r="K636" s="567"/>
      <c r="L636" s="567"/>
    </row>
    <row r="637" ht="14.25" customHeight="1">
      <c r="D637" s="567"/>
      <c r="E637" s="567"/>
      <c r="F637" s="567"/>
      <c r="G637" s="567"/>
      <c r="H637" s="567"/>
      <c r="I637" s="567"/>
      <c r="J637" s="567"/>
      <c r="K637" s="567"/>
      <c r="L637" s="567"/>
    </row>
    <row r="638" ht="14.25" customHeight="1">
      <c r="D638" s="567"/>
      <c r="E638" s="567"/>
      <c r="F638" s="567"/>
      <c r="G638" s="567"/>
      <c r="H638" s="567"/>
      <c r="I638" s="567"/>
      <c r="J638" s="567"/>
      <c r="K638" s="567"/>
      <c r="L638" s="567"/>
    </row>
    <row r="639" ht="14.25" customHeight="1">
      <c r="D639" s="567"/>
      <c r="E639" s="567"/>
      <c r="F639" s="567"/>
      <c r="G639" s="567"/>
      <c r="H639" s="567"/>
      <c r="I639" s="567"/>
      <c r="J639" s="567"/>
      <c r="K639" s="567"/>
      <c r="L639" s="567"/>
    </row>
    <row r="640" ht="14.25" customHeight="1">
      <c r="D640" s="567"/>
      <c r="E640" s="567"/>
      <c r="F640" s="567"/>
      <c r="G640" s="567"/>
      <c r="H640" s="567"/>
      <c r="I640" s="567"/>
      <c r="J640" s="567"/>
      <c r="K640" s="567"/>
      <c r="L640" s="567"/>
    </row>
    <row r="641" ht="14.25" customHeight="1">
      <c r="D641" s="567"/>
      <c r="E641" s="567"/>
      <c r="F641" s="567"/>
      <c r="G641" s="567"/>
      <c r="H641" s="567"/>
      <c r="I641" s="567"/>
      <c r="J641" s="567"/>
      <c r="K641" s="567"/>
      <c r="L641" s="567"/>
    </row>
    <row r="642" ht="14.25" customHeight="1">
      <c r="D642" s="567"/>
      <c r="E642" s="567"/>
      <c r="F642" s="567"/>
      <c r="G642" s="567"/>
      <c r="H642" s="567"/>
      <c r="I642" s="567"/>
      <c r="J642" s="567"/>
      <c r="K642" s="567"/>
      <c r="L642" s="567"/>
    </row>
    <row r="643" ht="14.25" customHeight="1">
      <c r="D643" s="567"/>
      <c r="E643" s="567"/>
      <c r="F643" s="567"/>
      <c r="G643" s="567"/>
      <c r="H643" s="567"/>
      <c r="I643" s="567"/>
      <c r="J643" s="567"/>
      <c r="K643" s="567"/>
      <c r="L643" s="567"/>
    </row>
    <row r="644" ht="14.25" customHeight="1">
      <c r="D644" s="567"/>
      <c r="E644" s="567"/>
      <c r="F644" s="567"/>
      <c r="G644" s="567"/>
      <c r="H644" s="567"/>
      <c r="I644" s="567"/>
      <c r="J644" s="567"/>
      <c r="K644" s="567"/>
      <c r="L644" s="567"/>
    </row>
    <row r="645" ht="14.25" customHeight="1">
      <c r="D645" s="567"/>
      <c r="E645" s="567"/>
      <c r="F645" s="567"/>
      <c r="G645" s="567"/>
      <c r="H645" s="567"/>
      <c r="I645" s="567"/>
      <c r="J645" s="567"/>
      <c r="K645" s="567"/>
      <c r="L645" s="567"/>
    </row>
    <row r="646" ht="14.25" customHeight="1">
      <c r="D646" s="567"/>
      <c r="E646" s="567"/>
      <c r="F646" s="567"/>
      <c r="G646" s="567"/>
      <c r="H646" s="567"/>
      <c r="I646" s="567"/>
      <c r="J646" s="567"/>
      <c r="K646" s="567"/>
      <c r="L646" s="567"/>
    </row>
    <row r="647" ht="14.25" customHeight="1">
      <c r="D647" s="567"/>
      <c r="E647" s="567"/>
      <c r="F647" s="567"/>
      <c r="G647" s="567"/>
      <c r="H647" s="567"/>
      <c r="I647" s="567"/>
      <c r="J647" s="567"/>
      <c r="K647" s="567"/>
      <c r="L647" s="567"/>
    </row>
    <row r="648" ht="14.25" customHeight="1">
      <c r="D648" s="567"/>
      <c r="E648" s="567"/>
      <c r="F648" s="567"/>
      <c r="G648" s="567"/>
      <c r="H648" s="567"/>
      <c r="I648" s="567"/>
      <c r="J648" s="567"/>
      <c r="K648" s="567"/>
      <c r="L648" s="567"/>
    </row>
    <row r="649" ht="14.25" customHeight="1">
      <c r="D649" s="567"/>
      <c r="E649" s="567"/>
      <c r="F649" s="567"/>
      <c r="G649" s="567"/>
      <c r="H649" s="567"/>
      <c r="I649" s="567"/>
      <c r="J649" s="567"/>
      <c r="K649" s="567"/>
      <c r="L649" s="567"/>
    </row>
    <row r="650" ht="14.25" customHeight="1">
      <c r="D650" s="567"/>
      <c r="E650" s="567"/>
      <c r="F650" s="567"/>
      <c r="G650" s="567"/>
      <c r="H650" s="567"/>
      <c r="I650" s="567"/>
      <c r="J650" s="567"/>
      <c r="K650" s="567"/>
      <c r="L650" s="567"/>
    </row>
    <row r="651" ht="14.25" customHeight="1">
      <c r="D651" s="567"/>
      <c r="E651" s="567"/>
      <c r="F651" s="567"/>
      <c r="G651" s="567"/>
      <c r="H651" s="567"/>
      <c r="I651" s="567"/>
      <c r="J651" s="567"/>
      <c r="K651" s="567"/>
      <c r="L651" s="567"/>
    </row>
    <row r="652" ht="14.25" customHeight="1">
      <c r="D652" s="567"/>
      <c r="E652" s="567"/>
      <c r="F652" s="567"/>
      <c r="G652" s="567"/>
      <c r="H652" s="567"/>
      <c r="I652" s="567"/>
      <c r="J652" s="567"/>
      <c r="K652" s="567"/>
      <c r="L652" s="567"/>
    </row>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452"/>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9.63"/>
    <col customWidth="1" min="2" max="2" width="23.63"/>
    <col customWidth="1" min="3" max="3" width="15.13"/>
    <col customWidth="1" min="4" max="4" width="17.25"/>
    <col customWidth="1" min="6" max="6" width="25.38"/>
    <col customWidth="1" min="7" max="7" width="15.75"/>
    <col customWidth="1" min="8" max="8" width="19.13"/>
    <col customWidth="1" min="9" max="9" width="19.88"/>
    <col customWidth="1" min="10" max="10" width="18.5"/>
    <col customWidth="1" min="11" max="11" width="20.88"/>
    <col customWidth="1" min="12" max="12" width="27.5"/>
    <col customWidth="1" min="13" max="13" width="18.38"/>
    <col customWidth="1" min="14" max="14" width="21.38"/>
    <col customWidth="1" min="17" max="17" width="16.75"/>
    <col customWidth="1" min="19" max="19" width="23.0"/>
  </cols>
  <sheetData>
    <row r="1" ht="22.5" customHeight="1">
      <c r="A1" s="622" t="s">
        <v>172</v>
      </c>
      <c r="B1" s="623" t="s">
        <v>8785</v>
      </c>
      <c r="C1" s="623" t="s">
        <v>8786</v>
      </c>
      <c r="D1" s="623" t="s">
        <v>1600</v>
      </c>
      <c r="E1" s="623" t="s">
        <v>2070</v>
      </c>
      <c r="F1" s="623" t="s">
        <v>8787</v>
      </c>
      <c r="G1" s="623" t="s">
        <v>8788</v>
      </c>
      <c r="H1" s="623" t="s">
        <v>8789</v>
      </c>
      <c r="I1" s="622" t="s">
        <v>8790</v>
      </c>
      <c r="J1" s="623" t="s">
        <v>8791</v>
      </c>
      <c r="K1" s="623" t="s">
        <v>8792</v>
      </c>
      <c r="L1" s="622" t="s">
        <v>8793</v>
      </c>
      <c r="M1" s="623" t="s">
        <v>8794</v>
      </c>
      <c r="N1" s="623" t="s">
        <v>8795</v>
      </c>
      <c r="O1" s="623" t="s">
        <v>8796</v>
      </c>
      <c r="P1" s="623" t="s">
        <v>428</v>
      </c>
      <c r="Q1" s="623" t="s">
        <v>8797</v>
      </c>
      <c r="R1" s="624" t="s">
        <v>8798</v>
      </c>
      <c r="S1" s="624" t="s">
        <v>8799</v>
      </c>
      <c r="T1" s="625" t="s">
        <v>8800</v>
      </c>
      <c r="U1" s="625" t="s">
        <v>8801</v>
      </c>
      <c r="V1" s="625" t="s">
        <v>8802</v>
      </c>
      <c r="W1" s="625" t="s">
        <v>8803</v>
      </c>
      <c r="X1" s="625" t="s">
        <v>8804</v>
      </c>
      <c r="Y1" s="626"/>
    </row>
    <row r="2" ht="22.5" customHeight="1">
      <c r="A2" s="227" t="str">
        <f>IFERROR(__xludf.DUMMYFUNCTION("UNIQUE(FILTER(ACQUISTI!B2:B2156, ACQUISTI!D2:D2156=""Prodotto Finito""))"),"Lea_Bag_LEOPARDO_SAVANA")</f>
        <v>Lea_Bag_LEOPARDO_SAVANA</v>
      </c>
      <c r="B2" s="125"/>
      <c r="C2" s="125"/>
      <c r="D2" s="125" t="str">
        <f t="array" ref="D2:D2156">IF(ISBLANK(A2:A2156),,XLOOKUP(A2:A2156, ACQUISTI!B:B, ACQUISTI!E:E))</f>
        <v>BAG</v>
      </c>
      <c r="E2" s="125" t="str">
        <f t="array" ref="E2:E2156">IF(ISBLANK($A$2:$A2156),,XLOOKUP($A$2:$A2156, ACQUISTI!$B:$B, ACQUISTI!F:F))</f>
        <v>Lea Bag</v>
      </c>
      <c r="F2" s="125" t="str">
        <f t="array" ref="F2:F2156">IF(ISBLANK($A$2:$A2156),,XLOOKUP($A$2:$A2156, ACQUISTI!$B:$B, ACQUISTI!G:G))</f>
        <v>LEOPARDO SAVANA</v>
      </c>
      <c r="G2" s="223">
        <f t="array" ref="G2:G2156">IF(ISBLANK($A$2:$A2156),,XLOOKUP($A$2:$A2156, 'PRODUCT_COGS&amp;PRICE'!A:A, 'PRODUCT_COGS&amp;PRICE'!D:D))</f>
        <v>150</v>
      </c>
      <c r="H2" s="223">
        <f t="array" ref="H2:H2156">IF(ISBLANK($A$2:$A2156),,XLOOKUP($A$2:$A2156, ACQUISTI!$B:$B, ACQUISTI!J:J))</f>
        <v>20</v>
      </c>
      <c r="I2" s="627">
        <f t="array" ref="I2:I2156">IF(A2:A2156="","",
  MAP(A2:A2156,
    LAMBDA(sku,
      IF(sku="","",
        IFERROR(
          SUMIFS(
            ACQUISTI!H:H,
            ACQUISTI!B:B, sku,
            ACQUISTI!D:D, "Prodotto Finito"
          ),
        0)
      )
    )
  )
)</f>
        <v>20</v>
      </c>
      <c r="J2" s="125">
        <f t="array" ref="J2:J2156">IF(A2:A2156="","",MAP(A2:A2156,LAMBDA(sku,IF(sku="","",(IFERROR(SUMIFS(ACQUISTI!H:H,ACQUISTI!B:B,sku,ACQUISTI!D:D,"Prodotto Finito"),0))-(IFERROR(SUMIFS('DB Shopify'!Q:Q,'DB Shopify'!CL:CL,sku,'DB Shopify'!C:C,"paid"),0)+IFERROR(SUMIFS('DB Shopify'!Q:Q,'DB Shopify'!CL:CL,sku,'DB Shopify'!C:C,"partially_paid"),0)+IFERROR(SUMIFS('DB Shopify'!Q:Q,'DB Shopify'!CL:CL,sku,'DB Shopify'!C:C,"partially_refunded"),0)-IFERROR(SUMIFS('DB Shopify'!Q:Q,'DB Shopify'!CL:CL,sku,'DB Shopify'!C:C,"refunded"),0))-IFERROR(SUMIFS(DB_QROMO!I:I,DB_QROMO!F:F,sku),0)-IFERROR(SUMIFS(GIFT_OFFLINE!G:G,GIFT_OFFLINE!F:F,sku),0)))))</f>
        <v>2</v>
      </c>
      <c r="K2" s="125">
        <f t="array" ref="K2:K2156">IF(A2:A2156="","",MAP(A2:A2156,LAMBDA(sku,IF(sku="","",(IFERROR(SUMIFS('DB Shopify'!Q:Q,'DB Shopify'!CL:CL,sku,'DB Shopify'!C:C,"paid"),0)+IFERROR(SUMIFS('DB Shopify'!Q:Q,'DB Shopify'!CL:CL,sku,'DB Shopify'!C:C,"partially_paid"),0)+IFERROR(SUMIFS('DB Shopify'!Q:Q,'DB Shopify'!CL:CL,sku,'DB Shopify'!C:C,"partially_refunded"),0)-IFERROR(SUMIFS('DB Shopify'!Q:Q,'DB Shopify'!CL:CL,sku,'DB Shopify'!C:C,"refunded"),0))+IFERROR(SUMIFS(DB_QROMO!I:I,DB_QROMO!F:F,sku),0)+IFERROR(SUMIFS(GIFT_OFFLINE!G:G,GIFT_OFFLINE!F:F,sku),0)))))</f>
        <v>18</v>
      </c>
      <c r="L2" s="125">
        <f t="array" ref="L2:L2156">IF(A2:A2156="","",MAP(A2:A2156,LAMBDA(sku,IF(sku="","",(IFERROR(SUMIFS('DB Shopify'!Q:Q,'DB Shopify'!CL:CL,sku,'DB Shopify'!C:C,"paid"),0)+IFERROR(SUMIFS('DB Shopify'!Q:Q,'DB Shopify'!CL:CL,sku,'DB Shopify'!C:C,"partially_paid"),0)+IFERROR(SUMIFS('DB Shopify'!Q:Q,'DB Shopify'!CL:CL,sku,'DB Shopify'!C:C,"partially_refunded"),0)-IFERROR(SUMIFS('DB Shopify'!Q:Q,'DB Shopify'!CL:CL,sku,'DB Shopify'!C:C,"refunded"),0))+IFERROR(SUMIFS(DB_QROMO!I:I,DB_QROMO!F:F,sku),0)))))</f>
        <v>17</v>
      </c>
      <c r="M2" s="125">
        <f t="shared" ref="M2:M2156" si="1">IF(AND(G2&gt;0, H2&gt;0), G2-H2, "")</f>
        <v>130</v>
      </c>
      <c r="N2" s="125">
        <f t="shared" ref="N2:N2156" si="2">IF(AND(G2&gt;0, H2&gt;0), (G2-H2)/G2, "")</f>
        <v>0.8666666667</v>
      </c>
      <c r="O2" s="125"/>
      <c r="P2" s="125"/>
      <c r="Q2" s="125"/>
      <c r="R2" s="125" t="str">
        <f>IF(A2:A2156="","",IF(I2:I2156-J2:J2156-K2:K2156=0,"✅ OK","⚠️ "&amp;(I2:I2156-J2:J2156-K2:K2156)))</f>
        <v>✅ OK</v>
      </c>
      <c r="S2" s="628">
        <f t="shared" ref="S2:S2156" si="3">G2*J2</f>
        <v>300</v>
      </c>
      <c r="T2" s="627">
        <f t="array" ref="T2:T2156">IF(A2:A2156="","",MAP(A2:A2156,LAMBDA(sku,IF(sku="","",IFERROR(SUMIFS(DB_B2B!$E:$E,DB_B2B!$D:$D,sku,DB_B2B!$G:$G,"venduto",DB_B2B!$Q:$Q,"&lt;&gt;annullato"),0)))))</f>
        <v>0</v>
      </c>
      <c r="U2" s="627">
        <f t="array" ref="U2:U2156">IF(A2:A2156="","",MAP(A2:A2156,LAMBDA(sku,IF(sku="","",IFERROR(SUMIFS(DB_B2B!$E:$E,DB_B2B!$D:$D,sku,DB_B2B!$F:$F,"conto_vendita",DB_B2B!$G:$G,"invio",DB_B2B!$Q:$Q,"&lt;&gt;annullato"),0)-IFERROR(SUMIFS(DB_B2B!$E:$E,DB_B2B!$D:$D,sku,DB_B2B!$F:$F,"conto_vendita",DB_B2B!$G:$G,"reso",DB_B2B!$Q:$Q,"&lt;&gt;annullato"),0)-IFERROR(SUMIFS(DB_B2B!$E:$E,DB_B2B!$D:$D,sku,DB_B2B!$F:$F,"conto_vendita",DB_B2B!$G:$G,"venduto",DB_B2B!$Q:$Q,"&lt;&gt;annullato"),0)))))</f>
        <v>0</v>
      </c>
      <c r="V2" s="627">
        <f t="array" ref="V2:V2156">IF(A2:A2156="","",J2:J2156-T2:T2156)</f>
        <v>2</v>
      </c>
      <c r="W2" s="627">
        <f t="array" ref="W2:W2156">IF(A2:A2156="","",V2:V2156-U2:U2156)</f>
        <v>2</v>
      </c>
      <c r="X2" s="627">
        <f t="array" ref="X2:X2156">IF(A2:A2156="","",IF(W2:W2156&lt;=1,0,IF(W2:W2156=2,1,W2:W2156-2)))</f>
        <v>1</v>
      </c>
      <c r="Y2" s="89"/>
    </row>
    <row r="3" ht="22.5" customHeight="1">
      <c r="A3" s="125" t="str">
        <f>IFERROR(__xludf.DUMMYFUNCTION("""COMPUTED_VALUE"""),"Lea_Bag_COCCO_BLACK")</f>
        <v>Lea_Bag_COCCO_BLACK</v>
      </c>
      <c r="B3" s="125"/>
      <c r="C3" s="125"/>
      <c r="D3" s="125" t="s">
        <v>2082</v>
      </c>
      <c r="E3" s="125" t="s">
        <v>162</v>
      </c>
      <c r="F3" s="125" t="s">
        <v>163</v>
      </c>
      <c r="G3" s="125">
        <v>120.0</v>
      </c>
      <c r="H3" s="125">
        <v>20.0</v>
      </c>
      <c r="I3" s="627">
        <v>49.0</v>
      </c>
      <c r="J3" s="125">
        <v>10.0</v>
      </c>
      <c r="K3" s="125">
        <v>39.0</v>
      </c>
      <c r="L3" s="125">
        <v>36.0</v>
      </c>
      <c r="M3" s="125">
        <f t="shared" si="1"/>
        <v>100</v>
      </c>
      <c r="N3" s="125">
        <f t="shared" si="2"/>
        <v>0.8333333333</v>
      </c>
      <c r="O3" s="125"/>
      <c r="P3" s="125"/>
      <c r="Q3" s="125"/>
      <c r="R3" s="125"/>
      <c r="S3" s="628">
        <f t="shared" si="3"/>
        <v>1200</v>
      </c>
      <c r="T3" s="627">
        <v>0.0</v>
      </c>
      <c r="U3" s="627">
        <v>0.0</v>
      </c>
      <c r="V3" s="627">
        <v>10.0</v>
      </c>
      <c r="W3" s="627">
        <v>10.0</v>
      </c>
      <c r="X3" s="627">
        <v>8.0</v>
      </c>
      <c r="Y3" s="89"/>
    </row>
    <row r="4" ht="22.5" customHeight="1">
      <c r="A4" s="227" t="str">
        <f>IFERROR(__xludf.DUMMYFUNCTION("""COMPUTED_VALUE"""),"Lea_Bag_Zebra_Dark")</f>
        <v>Lea_Bag_Zebra_Dark</v>
      </c>
      <c r="B4" s="125"/>
      <c r="C4" s="125"/>
      <c r="D4" s="125" t="s">
        <v>2082</v>
      </c>
      <c r="E4" s="125" t="s">
        <v>162</v>
      </c>
      <c r="F4" s="125" t="s">
        <v>168</v>
      </c>
      <c r="G4" s="125">
        <v>150.0</v>
      </c>
      <c r="H4" s="125">
        <v>20.0</v>
      </c>
      <c r="I4" s="627">
        <v>15.0</v>
      </c>
      <c r="J4" s="125">
        <v>4.0</v>
      </c>
      <c r="K4" s="125">
        <v>11.0</v>
      </c>
      <c r="L4" s="125">
        <v>10.0</v>
      </c>
      <c r="M4" s="125">
        <f t="shared" si="1"/>
        <v>130</v>
      </c>
      <c r="N4" s="125">
        <f t="shared" si="2"/>
        <v>0.8666666667</v>
      </c>
      <c r="O4" s="125"/>
      <c r="P4" s="125"/>
      <c r="Q4" s="125"/>
      <c r="R4" s="125"/>
      <c r="S4" s="628">
        <f t="shared" si="3"/>
        <v>600</v>
      </c>
      <c r="T4" s="627">
        <v>0.0</v>
      </c>
      <c r="U4" s="627">
        <v>0.0</v>
      </c>
      <c r="V4" s="627">
        <v>4.0</v>
      </c>
      <c r="W4" s="627">
        <v>4.0</v>
      </c>
      <c r="X4" s="627">
        <v>2.0</v>
      </c>
      <c r="Y4" s="89"/>
    </row>
    <row r="5" ht="22.5" customHeight="1">
      <c r="A5" s="227" t="str">
        <f>IFERROR(__xludf.DUMMYFUNCTION("""COMPUTED_VALUE"""),"Lea_Bag_PONY_COCCO_BLACK")</f>
        <v>Lea_Bag_PONY_COCCO_BLACK</v>
      </c>
      <c r="B5" s="125"/>
      <c r="C5" s="125"/>
      <c r="D5" s="125" t="s">
        <v>2082</v>
      </c>
      <c r="E5" s="125" t="s">
        <v>162</v>
      </c>
      <c r="F5" s="125" t="s">
        <v>183</v>
      </c>
      <c r="G5" s="125">
        <v>120.0</v>
      </c>
      <c r="H5" s="125">
        <v>20.0</v>
      </c>
      <c r="I5" s="627">
        <v>2.0</v>
      </c>
      <c r="J5" s="125">
        <v>0.0</v>
      </c>
      <c r="K5" s="125">
        <v>2.0</v>
      </c>
      <c r="L5" s="125">
        <v>2.0</v>
      </c>
      <c r="M5" s="125">
        <f t="shared" si="1"/>
        <v>100</v>
      </c>
      <c r="N5" s="125">
        <f t="shared" si="2"/>
        <v>0.8333333333</v>
      </c>
      <c r="O5" s="125"/>
      <c r="P5" s="125"/>
      <c r="Q5" s="125"/>
      <c r="R5" s="125"/>
      <c r="S5" s="628">
        <f t="shared" si="3"/>
        <v>0</v>
      </c>
      <c r="T5" s="627">
        <v>0.0</v>
      </c>
      <c r="U5" s="627">
        <v>0.0</v>
      </c>
      <c r="V5" s="627">
        <v>0.0</v>
      </c>
      <c r="W5" s="627">
        <v>0.0</v>
      </c>
      <c r="X5" s="627">
        <v>0.0</v>
      </c>
      <c r="Y5" s="89"/>
    </row>
    <row r="6" ht="22.5" customHeight="1">
      <c r="A6" s="227" t="str">
        <f>IFERROR(__xludf.DUMMYFUNCTION("""COMPUTED_VALUE"""),"Lea_Bag_JUNGLE")</f>
        <v>Lea_Bag_JUNGLE</v>
      </c>
      <c r="B6" s="125"/>
      <c r="C6" s="125"/>
      <c r="D6" s="125" t="s">
        <v>2082</v>
      </c>
      <c r="E6" s="125" t="s">
        <v>162</v>
      </c>
      <c r="F6" s="125" t="s">
        <v>185</v>
      </c>
      <c r="G6" s="125">
        <v>120.0</v>
      </c>
      <c r="H6" s="125">
        <v>20.0</v>
      </c>
      <c r="I6" s="627">
        <v>3.0</v>
      </c>
      <c r="J6" s="125">
        <v>0.0</v>
      </c>
      <c r="K6" s="125">
        <v>3.0</v>
      </c>
      <c r="L6" s="125">
        <v>2.0</v>
      </c>
      <c r="M6" s="125">
        <f t="shared" si="1"/>
        <v>100</v>
      </c>
      <c r="N6" s="125">
        <f t="shared" si="2"/>
        <v>0.8333333333</v>
      </c>
      <c r="O6" s="125"/>
      <c r="P6" s="125"/>
      <c r="Q6" s="125"/>
      <c r="R6" s="125"/>
      <c r="S6" s="628">
        <f t="shared" si="3"/>
        <v>0</v>
      </c>
      <c r="T6" s="627">
        <v>0.0</v>
      </c>
      <c r="U6" s="627">
        <v>0.0</v>
      </c>
      <c r="V6" s="627">
        <v>0.0</v>
      </c>
      <c r="W6" s="627">
        <v>0.0</v>
      </c>
      <c r="X6" s="627">
        <v>0.0</v>
      </c>
      <c r="Y6" s="89"/>
    </row>
    <row r="7" ht="22.5" customHeight="1">
      <c r="A7" s="227" t="str">
        <f>IFERROR(__xludf.DUMMYFUNCTION("""COMPUTED_VALUE"""),"Lea_Bag_GREEN_MILITARY")</f>
        <v>Lea_Bag_GREEN_MILITARY</v>
      </c>
      <c r="B7" s="125"/>
      <c r="C7" s="125"/>
      <c r="D7" s="125" t="s">
        <v>2082</v>
      </c>
      <c r="E7" s="125" t="s">
        <v>162</v>
      </c>
      <c r="F7" s="125" t="s">
        <v>188</v>
      </c>
      <c r="G7" s="125">
        <v>120.0</v>
      </c>
      <c r="H7" s="125">
        <v>20.0</v>
      </c>
      <c r="I7" s="627">
        <v>5.0</v>
      </c>
      <c r="J7" s="125">
        <v>0.0</v>
      </c>
      <c r="K7" s="125">
        <v>5.0</v>
      </c>
      <c r="L7" s="125">
        <v>5.0</v>
      </c>
      <c r="M7" s="125">
        <f t="shared" si="1"/>
        <v>100</v>
      </c>
      <c r="N7" s="125">
        <f t="shared" si="2"/>
        <v>0.8333333333</v>
      </c>
      <c r="O7" s="125"/>
      <c r="P7" s="125"/>
      <c r="Q7" s="125"/>
      <c r="R7" s="125"/>
      <c r="S7" s="628">
        <f t="shared" si="3"/>
        <v>0</v>
      </c>
      <c r="T7" s="627">
        <v>0.0</v>
      </c>
      <c r="U7" s="627">
        <v>0.0</v>
      </c>
      <c r="V7" s="627">
        <v>0.0</v>
      </c>
      <c r="W7" s="627">
        <v>0.0</v>
      </c>
      <c r="X7" s="627">
        <v>0.0</v>
      </c>
      <c r="Y7" s="89"/>
    </row>
    <row r="8" ht="22.5" customHeight="1">
      <c r="A8" s="227" t="str">
        <f>IFERROR(__xludf.DUMMYFUNCTION("""COMPUTED_VALUE"""),"Lea_Bag_KAKI_GREEN_PONY")</f>
        <v>Lea_Bag_KAKI_GREEN_PONY</v>
      </c>
      <c r="B8" s="125"/>
      <c r="C8" s="125"/>
      <c r="D8" s="125" t="s">
        <v>2082</v>
      </c>
      <c r="E8" s="125" t="s">
        <v>162</v>
      </c>
      <c r="F8" s="125" t="s">
        <v>190</v>
      </c>
      <c r="G8" s="125">
        <v>120.0</v>
      </c>
      <c r="H8" s="125">
        <v>20.0</v>
      </c>
      <c r="I8" s="627">
        <v>2.0</v>
      </c>
      <c r="J8" s="125">
        <v>1.0</v>
      </c>
      <c r="K8" s="125">
        <v>1.0</v>
      </c>
      <c r="L8" s="125">
        <v>1.0</v>
      </c>
      <c r="M8" s="125">
        <f t="shared" si="1"/>
        <v>100</v>
      </c>
      <c r="N8" s="125">
        <f t="shared" si="2"/>
        <v>0.8333333333</v>
      </c>
      <c r="O8" s="125"/>
      <c r="P8" s="125"/>
      <c r="Q8" s="125"/>
      <c r="R8" s="125"/>
      <c r="S8" s="628">
        <f t="shared" si="3"/>
        <v>120</v>
      </c>
      <c r="T8" s="627">
        <v>0.0</v>
      </c>
      <c r="U8" s="627">
        <v>0.0</v>
      </c>
      <c r="V8" s="627">
        <v>1.0</v>
      </c>
      <c r="W8" s="627">
        <v>1.0</v>
      </c>
      <c r="X8" s="627">
        <v>0.0</v>
      </c>
      <c r="Y8" s="89"/>
    </row>
    <row r="9" ht="22.5" customHeight="1">
      <c r="A9" s="227" t="str">
        <f>IFERROR(__xludf.DUMMYFUNCTION("""COMPUTED_VALUE"""),"Lea_Bag_Cavallino_Chocolate")</f>
        <v>Lea_Bag_Cavallino_Chocolate</v>
      </c>
      <c r="B9" s="125"/>
      <c r="C9" s="125"/>
      <c r="D9" s="125" t="s">
        <v>2082</v>
      </c>
      <c r="E9" s="125" t="s">
        <v>162</v>
      </c>
      <c r="F9" s="125" t="s">
        <v>192</v>
      </c>
      <c r="G9" s="125">
        <v>120.0</v>
      </c>
      <c r="H9" s="125">
        <v>20.0</v>
      </c>
      <c r="I9" s="627">
        <v>3.0</v>
      </c>
      <c r="J9" s="125">
        <v>1.0</v>
      </c>
      <c r="K9" s="125">
        <v>2.0</v>
      </c>
      <c r="L9" s="125">
        <v>2.0</v>
      </c>
      <c r="M9" s="125">
        <f t="shared" si="1"/>
        <v>100</v>
      </c>
      <c r="N9" s="125">
        <f t="shared" si="2"/>
        <v>0.8333333333</v>
      </c>
      <c r="O9" s="125"/>
      <c r="P9" s="125"/>
      <c r="Q9" s="125"/>
      <c r="R9" s="125"/>
      <c r="S9" s="628">
        <f t="shared" si="3"/>
        <v>120</v>
      </c>
      <c r="T9" s="627">
        <v>0.0</v>
      </c>
      <c r="U9" s="627">
        <v>0.0</v>
      </c>
      <c r="V9" s="627">
        <v>1.0</v>
      </c>
      <c r="W9" s="627">
        <v>1.0</v>
      </c>
      <c r="X9" s="627">
        <v>0.0</v>
      </c>
      <c r="Y9" s="89"/>
    </row>
    <row r="10" ht="22.5" customHeight="1">
      <c r="A10" s="227" t="str">
        <f>IFERROR(__xludf.DUMMYFUNCTION("""COMPUTED_VALUE"""),"Lea_Bag_Cavallino_Light_Brown")</f>
        <v>Lea_Bag_Cavallino_Light_Brown</v>
      </c>
      <c r="B10" s="125"/>
      <c r="C10" s="125"/>
      <c r="D10" s="125" t="s">
        <v>2082</v>
      </c>
      <c r="E10" s="125" t="s">
        <v>162</v>
      </c>
      <c r="F10" s="125" t="s">
        <v>195</v>
      </c>
      <c r="G10" s="125">
        <v>120.0</v>
      </c>
      <c r="H10" s="125">
        <v>20.0</v>
      </c>
      <c r="I10" s="627">
        <v>4.0</v>
      </c>
      <c r="J10" s="125">
        <v>1.0</v>
      </c>
      <c r="K10" s="125">
        <v>3.0</v>
      </c>
      <c r="L10" s="125">
        <v>1.0</v>
      </c>
      <c r="M10" s="125">
        <f t="shared" si="1"/>
        <v>100</v>
      </c>
      <c r="N10" s="125">
        <f t="shared" si="2"/>
        <v>0.8333333333</v>
      </c>
      <c r="O10" s="125"/>
      <c r="P10" s="125"/>
      <c r="Q10" s="125"/>
      <c r="R10" s="125"/>
      <c r="S10" s="628">
        <f t="shared" si="3"/>
        <v>120</v>
      </c>
      <c r="T10" s="627">
        <v>0.0</v>
      </c>
      <c r="U10" s="627">
        <v>0.0</v>
      </c>
      <c r="V10" s="627">
        <v>1.0</v>
      </c>
      <c r="W10" s="627">
        <v>1.0</v>
      </c>
      <c r="X10" s="627">
        <v>0.0</v>
      </c>
      <c r="Y10" s="89"/>
    </row>
    <row r="11" ht="22.5" customHeight="1">
      <c r="A11" s="227" t="str">
        <f>IFERROR(__xludf.DUMMYFUNCTION("""COMPUTED_VALUE"""),"Lea_Bag_Cavallino_Bordeaux")</f>
        <v>Lea_Bag_Cavallino_Bordeaux</v>
      </c>
      <c r="B11" s="125"/>
      <c r="C11" s="125"/>
      <c r="D11" s="125" t="s">
        <v>2082</v>
      </c>
      <c r="E11" s="125" t="s">
        <v>162</v>
      </c>
      <c r="F11" s="125" t="s">
        <v>197</v>
      </c>
      <c r="G11" s="125">
        <v>120.0</v>
      </c>
      <c r="H11" s="125">
        <v>20.0</v>
      </c>
      <c r="I11" s="627">
        <v>2.0</v>
      </c>
      <c r="J11" s="125">
        <v>0.0</v>
      </c>
      <c r="K11" s="125">
        <v>2.0</v>
      </c>
      <c r="L11" s="125">
        <v>0.0</v>
      </c>
      <c r="M11" s="125">
        <f t="shared" si="1"/>
        <v>100</v>
      </c>
      <c r="N11" s="125">
        <f t="shared" si="2"/>
        <v>0.8333333333</v>
      </c>
      <c r="O11" s="125"/>
      <c r="P11" s="125"/>
      <c r="Q11" s="125"/>
      <c r="R11" s="125"/>
      <c r="S11" s="628">
        <f t="shared" si="3"/>
        <v>0</v>
      </c>
      <c r="T11" s="627">
        <v>0.0</v>
      </c>
      <c r="U11" s="627">
        <v>0.0</v>
      </c>
      <c r="V11" s="627">
        <v>0.0</v>
      </c>
      <c r="W11" s="627">
        <v>0.0</v>
      </c>
      <c r="X11" s="627">
        <v>0.0</v>
      </c>
      <c r="Y11" s="89"/>
    </row>
    <row r="12" ht="22.5" customHeight="1">
      <c r="A12" s="227" t="str">
        <f>IFERROR(__xludf.DUMMYFUNCTION("""COMPUTED_VALUE"""),"Lea_Bag_ESPRESSO_PONY")</f>
        <v>Lea_Bag_ESPRESSO_PONY</v>
      </c>
      <c r="B12" s="125"/>
      <c r="C12" s="125"/>
      <c r="D12" s="125" t="s">
        <v>2082</v>
      </c>
      <c r="E12" s="125" t="s">
        <v>162</v>
      </c>
      <c r="F12" s="125" t="s">
        <v>199</v>
      </c>
      <c r="G12" s="125">
        <v>120.0</v>
      </c>
      <c r="H12" s="125">
        <v>20.0</v>
      </c>
      <c r="I12" s="627">
        <v>2.0</v>
      </c>
      <c r="J12" s="125">
        <v>0.0</v>
      </c>
      <c r="K12" s="125">
        <v>2.0</v>
      </c>
      <c r="L12" s="125">
        <v>2.0</v>
      </c>
      <c r="M12" s="125">
        <f t="shared" si="1"/>
        <v>100</v>
      </c>
      <c r="N12" s="125">
        <f t="shared" si="2"/>
        <v>0.8333333333</v>
      </c>
      <c r="O12" s="125"/>
      <c r="P12" s="125"/>
      <c r="Q12" s="125"/>
      <c r="R12" s="125"/>
      <c r="S12" s="628">
        <f t="shared" si="3"/>
        <v>0</v>
      </c>
      <c r="T12" s="627">
        <v>0.0</v>
      </c>
      <c r="U12" s="627">
        <v>0.0</v>
      </c>
      <c r="V12" s="627">
        <v>0.0</v>
      </c>
      <c r="W12" s="627">
        <v>0.0</v>
      </c>
      <c r="X12" s="627">
        <v>0.0</v>
      </c>
      <c r="Y12" s="89"/>
    </row>
    <row r="13" ht="22.5" customHeight="1">
      <c r="A13" s="227" t="str">
        <f>IFERROR(__xludf.DUMMYFUNCTION("""COMPUTED_VALUE"""),"Lea_Bag_BLACK")</f>
        <v>Lea_Bag_BLACK</v>
      </c>
      <c r="B13" s="125"/>
      <c r="C13" s="125"/>
      <c r="D13" s="125" t="s">
        <v>2082</v>
      </c>
      <c r="E13" s="125" t="s">
        <v>162</v>
      </c>
      <c r="F13" s="125" t="s">
        <v>201</v>
      </c>
      <c r="G13" s="125">
        <v>120.0</v>
      </c>
      <c r="H13" s="125">
        <v>20.0</v>
      </c>
      <c r="I13" s="627">
        <v>7.0</v>
      </c>
      <c r="J13" s="125">
        <v>2.0</v>
      </c>
      <c r="K13" s="125">
        <v>5.0</v>
      </c>
      <c r="L13" s="125">
        <v>4.0</v>
      </c>
      <c r="M13" s="125">
        <f t="shared" si="1"/>
        <v>100</v>
      </c>
      <c r="N13" s="125">
        <f t="shared" si="2"/>
        <v>0.8333333333</v>
      </c>
      <c r="O13" s="125"/>
      <c r="P13" s="125"/>
      <c r="Q13" s="125"/>
      <c r="R13" s="125"/>
      <c r="S13" s="628">
        <f t="shared" si="3"/>
        <v>240</v>
      </c>
      <c r="T13" s="627">
        <v>0.0</v>
      </c>
      <c r="U13" s="627">
        <v>0.0</v>
      </c>
      <c r="V13" s="627">
        <v>2.0</v>
      </c>
      <c r="W13" s="627">
        <v>2.0</v>
      </c>
      <c r="X13" s="627">
        <v>1.0</v>
      </c>
      <c r="Y13" s="89"/>
    </row>
    <row r="14" ht="22.5" customHeight="1">
      <c r="A14" s="125" t="str">
        <f>IFERROR(__xludf.DUMMYFUNCTION("""COMPUTED_VALUE"""),"Maria_Bag_Red")</f>
        <v>Maria_Bag_Red</v>
      </c>
      <c r="B14" s="125"/>
      <c r="C14" s="125"/>
      <c r="D14" s="125" t="s">
        <v>2082</v>
      </c>
      <c r="E14" s="125" t="s">
        <v>203</v>
      </c>
      <c r="F14" s="125" t="s">
        <v>204</v>
      </c>
      <c r="G14" s="125">
        <v>105.0</v>
      </c>
      <c r="H14" s="125">
        <v>23.0</v>
      </c>
      <c r="I14" s="627">
        <v>5.0</v>
      </c>
      <c r="J14" s="125">
        <v>0.0</v>
      </c>
      <c r="K14" s="125">
        <v>5.0</v>
      </c>
      <c r="L14" s="125">
        <v>3.0</v>
      </c>
      <c r="M14" s="125">
        <f t="shared" si="1"/>
        <v>82</v>
      </c>
      <c r="N14" s="125">
        <f t="shared" si="2"/>
        <v>0.780952381</v>
      </c>
      <c r="O14" s="125"/>
      <c r="P14" s="125"/>
      <c r="Q14" s="125"/>
      <c r="R14" s="125"/>
      <c r="S14" s="628">
        <f t="shared" si="3"/>
        <v>0</v>
      </c>
      <c r="T14" s="627">
        <v>0.0</v>
      </c>
      <c r="U14" s="627">
        <v>0.0</v>
      </c>
      <c r="V14" s="627">
        <v>0.0</v>
      </c>
      <c r="W14" s="627">
        <v>0.0</v>
      </c>
      <c r="X14" s="627">
        <v>0.0</v>
      </c>
      <c r="Y14" s="89"/>
    </row>
    <row r="15" ht="22.5" customHeight="1">
      <c r="A15" s="227" t="str">
        <f>IFERROR(__xludf.DUMMYFUNCTION("""COMPUTED_VALUE"""),"Maria_Bag_RED_PIERCING")</f>
        <v>Maria_Bag_RED_PIERCING</v>
      </c>
      <c r="B15" s="125"/>
      <c r="C15" s="125"/>
      <c r="D15" s="125" t="s">
        <v>2082</v>
      </c>
      <c r="E15" s="125" t="s">
        <v>203</v>
      </c>
      <c r="F15" s="125" t="s">
        <v>206</v>
      </c>
      <c r="G15" s="125">
        <v>120.0</v>
      </c>
      <c r="H15" s="125">
        <v>26.0</v>
      </c>
      <c r="I15" s="627">
        <v>27.0</v>
      </c>
      <c r="J15" s="125">
        <v>4.0</v>
      </c>
      <c r="K15" s="125">
        <v>23.0</v>
      </c>
      <c r="L15" s="125">
        <v>19.0</v>
      </c>
      <c r="M15" s="125">
        <f t="shared" si="1"/>
        <v>94</v>
      </c>
      <c r="N15" s="125">
        <f t="shared" si="2"/>
        <v>0.7833333333</v>
      </c>
      <c r="O15" s="125"/>
      <c r="P15" s="125"/>
      <c r="Q15" s="125"/>
      <c r="R15" s="125"/>
      <c r="S15" s="628">
        <f t="shared" si="3"/>
        <v>480</v>
      </c>
      <c r="T15" s="627">
        <v>0.0</v>
      </c>
      <c r="U15" s="627">
        <v>0.0</v>
      </c>
      <c r="V15" s="627">
        <v>4.0</v>
      </c>
      <c r="W15" s="627">
        <v>4.0</v>
      </c>
      <c r="X15" s="627">
        <v>2.0</v>
      </c>
      <c r="Y15" s="89"/>
    </row>
    <row r="16" ht="22.5" customHeight="1">
      <c r="A16" s="227" t="str">
        <f>IFERROR(__xludf.DUMMYFUNCTION("""COMPUTED_VALUE"""),"Valentina_Bag_CHOCOLATE")</f>
        <v>Valentina_Bag_CHOCOLATE</v>
      </c>
      <c r="B16" s="125"/>
      <c r="C16" s="125"/>
      <c r="D16" s="125" t="s">
        <v>2082</v>
      </c>
      <c r="E16" s="125" t="s">
        <v>208</v>
      </c>
      <c r="F16" s="125" t="s">
        <v>209</v>
      </c>
      <c r="G16" s="125">
        <v>175.0</v>
      </c>
      <c r="H16" s="125">
        <v>52.5</v>
      </c>
      <c r="I16" s="627">
        <v>34.0</v>
      </c>
      <c r="J16" s="125">
        <v>20.0</v>
      </c>
      <c r="K16" s="125">
        <v>14.0</v>
      </c>
      <c r="L16" s="125">
        <v>9.0</v>
      </c>
      <c r="M16" s="125">
        <f t="shared" si="1"/>
        <v>122.5</v>
      </c>
      <c r="N16" s="125">
        <f t="shared" si="2"/>
        <v>0.7</v>
      </c>
      <c r="O16" s="125"/>
      <c r="P16" s="125"/>
      <c r="Q16" s="125"/>
      <c r="R16" s="125"/>
      <c r="S16" s="628">
        <f t="shared" si="3"/>
        <v>3500</v>
      </c>
      <c r="T16" s="627">
        <v>0.0</v>
      </c>
      <c r="U16" s="627">
        <v>0.0</v>
      </c>
      <c r="V16" s="627">
        <v>20.0</v>
      </c>
      <c r="W16" s="627">
        <v>20.0</v>
      </c>
      <c r="X16" s="627">
        <v>18.0</v>
      </c>
      <c r="Y16" s="89"/>
    </row>
    <row r="17" ht="22.5" customHeight="1">
      <c r="A17" s="227" t="str">
        <f>IFERROR(__xludf.DUMMYFUNCTION("""COMPUTED_VALUE"""),"Nina_Bag_Stripes_Strawberry")</f>
        <v>Nina_Bag_Stripes_Strawberry</v>
      </c>
      <c r="B17" s="125"/>
      <c r="C17" s="125"/>
      <c r="D17" s="125" t="s">
        <v>2082</v>
      </c>
      <c r="E17" s="125" t="s">
        <v>211</v>
      </c>
      <c r="F17" s="125" t="s">
        <v>212</v>
      </c>
      <c r="G17" s="125">
        <v>50.0</v>
      </c>
      <c r="H17" s="125">
        <v>4.0</v>
      </c>
      <c r="I17" s="627">
        <v>24.0</v>
      </c>
      <c r="J17" s="125">
        <v>21.0</v>
      </c>
      <c r="K17" s="125">
        <v>3.0</v>
      </c>
      <c r="L17" s="125">
        <v>3.0</v>
      </c>
      <c r="M17" s="125">
        <f t="shared" si="1"/>
        <v>46</v>
      </c>
      <c r="N17" s="125">
        <f t="shared" si="2"/>
        <v>0.92</v>
      </c>
      <c r="O17" s="125"/>
      <c r="P17" s="125"/>
      <c r="Q17" s="125"/>
      <c r="R17" s="125"/>
      <c r="S17" s="628">
        <f t="shared" si="3"/>
        <v>1050</v>
      </c>
      <c r="T17" s="627">
        <v>0.0</v>
      </c>
      <c r="U17" s="627">
        <v>0.0</v>
      </c>
      <c r="V17" s="627">
        <v>21.0</v>
      </c>
      <c r="W17" s="627">
        <v>21.0</v>
      </c>
      <c r="X17" s="627">
        <v>19.0</v>
      </c>
      <c r="Y17" s="89"/>
    </row>
    <row r="18" ht="22.5" customHeight="1">
      <c r="A18" s="227" t="str">
        <f>IFERROR(__xludf.DUMMYFUNCTION("""COMPUTED_VALUE"""),"Nina_Bag_PEACH")</f>
        <v>Nina_Bag_PEACH</v>
      </c>
      <c r="B18" s="125"/>
      <c r="C18" s="125"/>
      <c r="D18" s="125" t="s">
        <v>2082</v>
      </c>
      <c r="E18" s="125" t="s">
        <v>211</v>
      </c>
      <c r="F18" s="125" t="s">
        <v>214</v>
      </c>
      <c r="G18" s="125">
        <v>50.0</v>
      </c>
      <c r="H18" s="125">
        <v>4.0</v>
      </c>
      <c r="I18" s="627">
        <v>25.0</v>
      </c>
      <c r="J18" s="125">
        <v>22.0</v>
      </c>
      <c r="K18" s="125">
        <v>3.0</v>
      </c>
      <c r="L18" s="125">
        <v>3.0</v>
      </c>
      <c r="M18" s="125">
        <f t="shared" si="1"/>
        <v>46</v>
      </c>
      <c r="N18" s="125">
        <f t="shared" si="2"/>
        <v>0.92</v>
      </c>
      <c r="O18" s="125"/>
      <c r="P18" s="125"/>
      <c r="Q18" s="125"/>
      <c r="R18" s="125"/>
      <c r="S18" s="628">
        <f t="shared" si="3"/>
        <v>1100</v>
      </c>
      <c r="T18" s="627">
        <v>0.0</v>
      </c>
      <c r="U18" s="627">
        <v>0.0</v>
      </c>
      <c r="V18" s="627">
        <v>22.0</v>
      </c>
      <c r="W18" s="627">
        <v>22.0</v>
      </c>
      <c r="X18" s="627">
        <v>20.0</v>
      </c>
      <c r="Y18" s="89"/>
    </row>
    <row r="19" ht="22.5" customHeight="1">
      <c r="A19" s="227" t="str">
        <f>IFERROR(__xludf.DUMMYFUNCTION("""COMPUTED_VALUE"""),"Nina_Bag_Checks_Navy_Blue")</f>
        <v>Nina_Bag_Checks_Navy_Blue</v>
      </c>
      <c r="B19" s="125"/>
      <c r="C19" s="125"/>
      <c r="D19" s="125" t="s">
        <v>2082</v>
      </c>
      <c r="E19" s="125" t="s">
        <v>211</v>
      </c>
      <c r="F19" s="125" t="s">
        <v>216</v>
      </c>
      <c r="G19" s="125">
        <v>50.0</v>
      </c>
      <c r="H19" s="125">
        <v>4.0</v>
      </c>
      <c r="I19" s="627">
        <v>22.0</v>
      </c>
      <c r="J19" s="125">
        <v>22.0</v>
      </c>
      <c r="K19" s="125">
        <v>0.0</v>
      </c>
      <c r="L19" s="125">
        <v>0.0</v>
      </c>
      <c r="M19" s="125">
        <f t="shared" si="1"/>
        <v>46</v>
      </c>
      <c r="N19" s="125">
        <f t="shared" si="2"/>
        <v>0.92</v>
      </c>
      <c r="O19" s="125"/>
      <c r="P19" s="125"/>
      <c r="Q19" s="125"/>
      <c r="R19" s="125"/>
      <c r="S19" s="628">
        <f t="shared" si="3"/>
        <v>1100</v>
      </c>
      <c r="T19" s="627">
        <v>0.0</v>
      </c>
      <c r="U19" s="627">
        <v>0.0</v>
      </c>
      <c r="V19" s="627">
        <v>22.0</v>
      </c>
      <c r="W19" s="627">
        <v>22.0</v>
      </c>
      <c r="X19" s="627">
        <v>20.0</v>
      </c>
      <c r="Y19" s="89"/>
    </row>
    <row r="20" ht="22.5" customHeight="1">
      <c r="A20" s="227" t="str">
        <f>IFERROR(__xludf.DUMMYFUNCTION("""COMPUTED_VALUE"""),"Nina_Bag_Stripes_Mint")</f>
        <v>Nina_Bag_Stripes_Mint</v>
      </c>
      <c r="B20" s="125"/>
      <c r="C20" s="125"/>
      <c r="D20" s="125" t="s">
        <v>2082</v>
      </c>
      <c r="E20" s="125" t="s">
        <v>211</v>
      </c>
      <c r="F20" s="125" t="s">
        <v>218</v>
      </c>
      <c r="G20" s="125">
        <v>50.0</v>
      </c>
      <c r="H20" s="125">
        <v>4.0</v>
      </c>
      <c r="I20" s="627">
        <v>5.0</v>
      </c>
      <c r="J20" s="125">
        <v>3.0</v>
      </c>
      <c r="K20" s="125">
        <v>2.0</v>
      </c>
      <c r="L20" s="125">
        <v>2.0</v>
      </c>
      <c r="M20" s="125">
        <f t="shared" si="1"/>
        <v>46</v>
      </c>
      <c r="N20" s="125">
        <f t="shared" si="2"/>
        <v>0.92</v>
      </c>
      <c r="O20" s="125"/>
      <c r="P20" s="125"/>
      <c r="Q20" s="125"/>
      <c r="R20" s="125"/>
      <c r="S20" s="628">
        <f t="shared" si="3"/>
        <v>150</v>
      </c>
      <c r="T20" s="627">
        <v>0.0</v>
      </c>
      <c r="U20" s="627">
        <v>0.0</v>
      </c>
      <c r="V20" s="627">
        <v>3.0</v>
      </c>
      <c r="W20" s="627">
        <v>3.0</v>
      </c>
      <c r="X20" s="627">
        <v>1.0</v>
      </c>
      <c r="Y20" s="89"/>
    </row>
    <row r="21" ht="22.5" customHeight="1">
      <c r="A21" s="227" t="str">
        <f>IFERROR(__xludf.DUMMYFUNCTION("""COMPUTED_VALUE"""),"Lea_Bag_BLACK_WHITE_PONY")</f>
        <v>Lea_Bag_BLACK_WHITE_PONY</v>
      </c>
      <c r="B21" s="125"/>
      <c r="C21" s="125"/>
      <c r="D21" s="125" t="s">
        <v>2082</v>
      </c>
      <c r="E21" s="125" t="s">
        <v>162</v>
      </c>
      <c r="F21" s="125" t="s">
        <v>220</v>
      </c>
      <c r="G21" s="125">
        <v>150.0</v>
      </c>
      <c r="H21" s="125">
        <v>20.0</v>
      </c>
      <c r="I21" s="627">
        <v>8.0</v>
      </c>
      <c r="J21" s="125">
        <v>0.0</v>
      </c>
      <c r="K21" s="125">
        <v>8.0</v>
      </c>
      <c r="L21" s="125">
        <v>5.0</v>
      </c>
      <c r="M21" s="125">
        <f t="shared" si="1"/>
        <v>130</v>
      </c>
      <c r="N21" s="125">
        <f t="shared" si="2"/>
        <v>0.8666666667</v>
      </c>
      <c r="O21" s="125"/>
      <c r="P21" s="125"/>
      <c r="Q21" s="125"/>
      <c r="R21" s="125"/>
      <c r="S21" s="628">
        <f t="shared" si="3"/>
        <v>0</v>
      </c>
      <c r="T21" s="627">
        <v>0.0</v>
      </c>
      <c r="U21" s="627">
        <v>0.0</v>
      </c>
      <c r="V21" s="627">
        <v>0.0</v>
      </c>
      <c r="W21" s="627">
        <v>0.0</v>
      </c>
      <c r="X21" s="627">
        <v>0.0</v>
      </c>
      <c r="Y21" s="89"/>
    </row>
    <row r="22" ht="22.5" customHeight="1">
      <c r="A22" s="227" t="str">
        <f>IFERROR(__xludf.DUMMYFUNCTION("""COMPUTED_VALUE"""),"Lea_Bag_RED_PATENT")</f>
        <v>Lea_Bag_RED_PATENT</v>
      </c>
      <c r="B22" s="125"/>
      <c r="C22" s="125"/>
      <c r="D22" s="125" t="s">
        <v>2082</v>
      </c>
      <c r="E22" s="125" t="s">
        <v>162</v>
      </c>
      <c r="F22" s="125" t="s">
        <v>222</v>
      </c>
      <c r="G22" s="125">
        <v>120.0</v>
      </c>
      <c r="H22" s="125">
        <v>20.0</v>
      </c>
      <c r="I22" s="627">
        <v>29.0</v>
      </c>
      <c r="J22" s="125">
        <v>2.0</v>
      </c>
      <c r="K22" s="125">
        <v>27.0</v>
      </c>
      <c r="L22" s="125">
        <v>23.0</v>
      </c>
      <c r="M22" s="125">
        <f t="shared" si="1"/>
        <v>100</v>
      </c>
      <c r="N22" s="125">
        <f t="shared" si="2"/>
        <v>0.8333333333</v>
      </c>
      <c r="O22" s="125"/>
      <c r="P22" s="125"/>
      <c r="Q22" s="125"/>
      <c r="R22" s="125"/>
      <c r="S22" s="628">
        <f t="shared" si="3"/>
        <v>240</v>
      </c>
      <c r="T22" s="627">
        <v>0.0</v>
      </c>
      <c r="U22" s="627">
        <v>0.0</v>
      </c>
      <c r="V22" s="627">
        <v>2.0</v>
      </c>
      <c r="W22" s="627">
        <v>2.0</v>
      </c>
      <c r="X22" s="627">
        <v>1.0</v>
      </c>
      <c r="Y22" s="89"/>
    </row>
    <row r="23" ht="22.5" customHeight="1">
      <c r="A23" s="227" t="str">
        <f>IFERROR(__xludf.DUMMYFUNCTION("""COMPUTED_VALUE"""),"Lea_Bag_BLUE_ELECTRIC")</f>
        <v>Lea_Bag_BLUE_ELECTRIC</v>
      </c>
      <c r="B23" s="125"/>
      <c r="C23" s="125"/>
      <c r="D23" s="125" t="s">
        <v>2082</v>
      </c>
      <c r="E23" s="125" t="s">
        <v>162</v>
      </c>
      <c r="F23" s="125" t="s">
        <v>224</v>
      </c>
      <c r="G23" s="125">
        <v>120.0</v>
      </c>
      <c r="H23" s="125">
        <v>20.0</v>
      </c>
      <c r="I23" s="627">
        <v>1.0</v>
      </c>
      <c r="J23" s="125">
        <v>0.0</v>
      </c>
      <c r="K23" s="125">
        <v>1.0</v>
      </c>
      <c r="L23" s="125">
        <v>1.0</v>
      </c>
      <c r="M23" s="125">
        <f t="shared" si="1"/>
        <v>100</v>
      </c>
      <c r="N23" s="125">
        <f t="shared" si="2"/>
        <v>0.8333333333</v>
      </c>
      <c r="O23" s="125"/>
      <c r="P23" s="125"/>
      <c r="Q23" s="125"/>
      <c r="R23" s="125"/>
      <c r="S23" s="628">
        <f t="shared" si="3"/>
        <v>0</v>
      </c>
      <c r="T23" s="627">
        <v>0.0</v>
      </c>
      <c r="U23" s="627">
        <v>0.0</v>
      </c>
      <c r="V23" s="627">
        <v>0.0</v>
      </c>
      <c r="W23" s="627">
        <v>0.0</v>
      </c>
      <c r="X23" s="627">
        <v>0.0</v>
      </c>
      <c r="Y23" s="89"/>
    </row>
    <row r="24" ht="22.5" customHeight="1">
      <c r="A24" s="227" t="str">
        <f>IFERROR(__xludf.DUMMYFUNCTION("""COMPUTED_VALUE"""),"Lea_Bag_Bordeaux")</f>
        <v>Lea_Bag_Bordeaux</v>
      </c>
      <c r="B24" s="125"/>
      <c r="C24" s="125"/>
      <c r="D24" s="125" t="s">
        <v>2082</v>
      </c>
      <c r="E24" s="125" t="s">
        <v>162</v>
      </c>
      <c r="F24" s="125" t="s">
        <v>226</v>
      </c>
      <c r="G24" s="125">
        <v>120.0</v>
      </c>
      <c r="H24" s="125">
        <v>20.0</v>
      </c>
      <c r="I24" s="627">
        <v>2.0</v>
      </c>
      <c r="J24" s="125">
        <v>0.0</v>
      </c>
      <c r="K24" s="125">
        <v>2.0</v>
      </c>
      <c r="L24" s="125">
        <v>2.0</v>
      </c>
      <c r="M24" s="125">
        <f t="shared" si="1"/>
        <v>100</v>
      </c>
      <c r="N24" s="125">
        <f t="shared" si="2"/>
        <v>0.8333333333</v>
      </c>
      <c r="O24" s="125"/>
      <c r="P24" s="125"/>
      <c r="Q24" s="125"/>
      <c r="R24" s="125"/>
      <c r="S24" s="628">
        <f t="shared" si="3"/>
        <v>0</v>
      </c>
      <c r="T24" s="627">
        <v>0.0</v>
      </c>
      <c r="U24" s="627">
        <v>0.0</v>
      </c>
      <c r="V24" s="627">
        <v>0.0</v>
      </c>
      <c r="W24" s="627">
        <v>0.0</v>
      </c>
      <c r="X24" s="627">
        <v>0.0</v>
      </c>
      <c r="Y24" s="89"/>
    </row>
    <row r="25" ht="22.5" customHeight="1">
      <c r="A25" s="227" t="str">
        <f>IFERROR(__xludf.DUMMYFUNCTION("""COMPUTED_VALUE"""),"Lea_Bag_ZEBRA")</f>
        <v>Lea_Bag_ZEBRA</v>
      </c>
      <c r="B25" s="125"/>
      <c r="C25" s="125"/>
      <c r="D25" s="125" t="s">
        <v>2082</v>
      </c>
      <c r="E25" s="125" t="s">
        <v>162</v>
      </c>
      <c r="F25" s="125" t="s">
        <v>228</v>
      </c>
      <c r="G25" s="125">
        <v>150.0</v>
      </c>
      <c r="H25" s="125">
        <v>20.0</v>
      </c>
      <c r="I25" s="627">
        <v>10.0</v>
      </c>
      <c r="J25" s="125">
        <v>-5.0</v>
      </c>
      <c r="K25" s="125">
        <v>15.0</v>
      </c>
      <c r="L25" s="125">
        <v>12.0</v>
      </c>
      <c r="M25" s="125">
        <f t="shared" si="1"/>
        <v>130</v>
      </c>
      <c r="N25" s="125">
        <f t="shared" si="2"/>
        <v>0.8666666667</v>
      </c>
      <c r="O25" s="125"/>
      <c r="P25" s="125"/>
      <c r="Q25" s="125"/>
      <c r="R25" s="125"/>
      <c r="S25" s="628">
        <f t="shared" si="3"/>
        <v>-750</v>
      </c>
      <c r="T25" s="627">
        <v>0.0</v>
      </c>
      <c r="U25" s="627">
        <v>0.0</v>
      </c>
      <c r="V25" s="627">
        <v>-5.0</v>
      </c>
      <c r="W25" s="627">
        <v>-5.0</v>
      </c>
      <c r="X25" s="627">
        <v>0.0</v>
      </c>
      <c r="Y25" s="89"/>
    </row>
    <row r="26" ht="22.5" customHeight="1">
      <c r="A26" s="227" t="str">
        <f>IFERROR(__xludf.DUMMYFUNCTION("""COMPUTED_VALUE"""),"Lea_Bag_MUCCATA_MARRONE")</f>
        <v>Lea_Bag_MUCCATA_MARRONE</v>
      </c>
      <c r="B26" s="125"/>
      <c r="C26" s="125"/>
      <c r="D26" s="125" t="s">
        <v>2082</v>
      </c>
      <c r="E26" s="125" t="s">
        <v>162</v>
      </c>
      <c r="F26" s="125" t="s">
        <v>230</v>
      </c>
      <c r="G26" s="125">
        <v>150.0</v>
      </c>
      <c r="H26" s="125">
        <v>20.0</v>
      </c>
      <c r="I26" s="627">
        <v>8.0</v>
      </c>
      <c r="J26" s="125">
        <v>0.0</v>
      </c>
      <c r="K26" s="125">
        <v>8.0</v>
      </c>
      <c r="L26" s="125">
        <v>8.0</v>
      </c>
      <c r="M26" s="125">
        <f t="shared" si="1"/>
        <v>130</v>
      </c>
      <c r="N26" s="125">
        <f t="shared" si="2"/>
        <v>0.8666666667</v>
      </c>
      <c r="O26" s="125"/>
      <c r="P26" s="125"/>
      <c r="Q26" s="125"/>
      <c r="R26" s="125"/>
      <c r="S26" s="628">
        <f t="shared" si="3"/>
        <v>0</v>
      </c>
      <c r="T26" s="627">
        <v>0.0</v>
      </c>
      <c r="U26" s="627">
        <v>0.0</v>
      </c>
      <c r="V26" s="627">
        <v>0.0</v>
      </c>
      <c r="W26" s="627">
        <v>0.0</v>
      </c>
      <c r="X26" s="627">
        <v>0.0</v>
      </c>
      <c r="Y26" s="89"/>
    </row>
    <row r="27" ht="22.5" customHeight="1">
      <c r="A27" s="227" t="str">
        <f>IFERROR(__xludf.DUMMYFUNCTION("""COMPUTED_VALUE"""),"Lea_Bag_TOASTED_LEATHER")</f>
        <v>Lea_Bag_TOASTED_LEATHER</v>
      </c>
      <c r="B27" s="125"/>
      <c r="C27" s="125"/>
      <c r="D27" s="125" t="s">
        <v>2082</v>
      </c>
      <c r="E27" s="125" t="s">
        <v>162</v>
      </c>
      <c r="F27" s="125" t="s">
        <v>232</v>
      </c>
      <c r="G27" s="125">
        <v>120.0</v>
      </c>
      <c r="H27" s="125">
        <v>20.0</v>
      </c>
      <c r="I27" s="627">
        <v>11.0</v>
      </c>
      <c r="J27" s="125">
        <v>0.0</v>
      </c>
      <c r="K27" s="125">
        <v>11.0</v>
      </c>
      <c r="L27" s="125">
        <v>10.0</v>
      </c>
      <c r="M27" s="125">
        <f t="shared" si="1"/>
        <v>100</v>
      </c>
      <c r="N27" s="125">
        <f t="shared" si="2"/>
        <v>0.8333333333</v>
      </c>
      <c r="O27" s="125"/>
      <c r="P27" s="125"/>
      <c r="Q27" s="125"/>
      <c r="R27" s="125"/>
      <c r="S27" s="628">
        <f t="shared" si="3"/>
        <v>0</v>
      </c>
      <c r="T27" s="627">
        <v>0.0</v>
      </c>
      <c r="U27" s="627">
        <v>0.0</v>
      </c>
      <c r="V27" s="627">
        <v>0.0</v>
      </c>
      <c r="W27" s="627">
        <v>0.0</v>
      </c>
      <c r="X27" s="627">
        <v>0.0</v>
      </c>
      <c r="Y27" s="89"/>
    </row>
    <row r="28" ht="22.5" customHeight="1">
      <c r="A28" s="227" t="str">
        <f>IFERROR(__xludf.DUMMYFUNCTION("""COMPUTED_VALUE"""),"Lea_Bag_SMOOTH_BROWN_LEATHER")</f>
        <v>Lea_Bag_SMOOTH_BROWN_LEATHER</v>
      </c>
      <c r="B28" s="125"/>
      <c r="C28" s="125"/>
      <c r="D28" s="125" t="s">
        <v>2082</v>
      </c>
      <c r="E28" s="125" t="s">
        <v>162</v>
      </c>
      <c r="F28" s="125" t="s">
        <v>234</v>
      </c>
      <c r="G28" s="125">
        <v>120.0</v>
      </c>
      <c r="H28" s="125">
        <v>20.0</v>
      </c>
      <c r="I28" s="627">
        <v>3.0</v>
      </c>
      <c r="J28" s="125">
        <v>0.0</v>
      </c>
      <c r="K28" s="125">
        <v>3.0</v>
      </c>
      <c r="L28" s="125">
        <v>3.0</v>
      </c>
      <c r="M28" s="125">
        <f t="shared" si="1"/>
        <v>100</v>
      </c>
      <c r="N28" s="125">
        <f t="shared" si="2"/>
        <v>0.8333333333</v>
      </c>
      <c r="O28" s="125"/>
      <c r="P28" s="125"/>
      <c r="Q28" s="125"/>
      <c r="R28" s="125"/>
      <c r="S28" s="628">
        <f t="shared" si="3"/>
        <v>0</v>
      </c>
      <c r="T28" s="627">
        <v>0.0</v>
      </c>
      <c r="U28" s="627">
        <v>0.0</v>
      </c>
      <c r="V28" s="627">
        <v>0.0</v>
      </c>
      <c r="W28" s="627">
        <v>0.0</v>
      </c>
      <c r="X28" s="627">
        <v>0.0</v>
      </c>
      <c r="Y28" s="89"/>
    </row>
    <row r="29" ht="22.5" customHeight="1">
      <c r="A29" s="222" t="str">
        <f>IFERROR(__xludf.DUMMYFUNCTION("""COMPUTED_VALUE"""),"Lea_Bag_COCCO_CHOCOLATE")</f>
        <v>Lea_Bag_COCCO_CHOCOLATE</v>
      </c>
      <c r="B29" s="125"/>
      <c r="C29" s="125"/>
      <c r="D29" s="125" t="s">
        <v>2082</v>
      </c>
      <c r="E29" s="125" t="s">
        <v>162</v>
      </c>
      <c r="F29" s="125" t="s">
        <v>236</v>
      </c>
      <c r="G29" s="125">
        <v>120.0</v>
      </c>
      <c r="H29" s="125">
        <v>20.0</v>
      </c>
      <c r="I29" s="627">
        <v>11.0</v>
      </c>
      <c r="J29" s="125">
        <v>0.0</v>
      </c>
      <c r="K29" s="125">
        <v>11.0</v>
      </c>
      <c r="L29" s="125">
        <v>11.0</v>
      </c>
      <c r="M29" s="125">
        <f t="shared" si="1"/>
        <v>100</v>
      </c>
      <c r="N29" s="125">
        <f t="shared" si="2"/>
        <v>0.8333333333</v>
      </c>
      <c r="O29" s="125"/>
      <c r="P29" s="125"/>
      <c r="Q29" s="125"/>
      <c r="R29" s="125"/>
      <c r="S29" s="628">
        <f t="shared" si="3"/>
        <v>0</v>
      </c>
      <c r="T29" s="627">
        <v>0.0</v>
      </c>
      <c r="U29" s="627">
        <v>0.0</v>
      </c>
      <c r="V29" s="627">
        <v>0.0</v>
      </c>
      <c r="W29" s="627">
        <v>0.0</v>
      </c>
      <c r="X29" s="627">
        <v>0.0</v>
      </c>
      <c r="Y29" s="89"/>
    </row>
    <row r="30" ht="22.5" customHeight="1">
      <c r="A30" s="227" t="str">
        <f>IFERROR(__xludf.DUMMYFUNCTION("""COMPUTED_VALUE"""),"Lea_Bag_VERNICE_PURPLE_PATENT")</f>
        <v>Lea_Bag_VERNICE_PURPLE_PATENT</v>
      </c>
      <c r="B30" s="125"/>
      <c r="C30" s="125"/>
      <c r="D30" s="125" t="s">
        <v>2082</v>
      </c>
      <c r="E30" s="125" t="s">
        <v>162</v>
      </c>
      <c r="F30" s="125" t="s">
        <v>238</v>
      </c>
      <c r="G30" s="125">
        <v>120.0</v>
      </c>
      <c r="H30" s="125">
        <v>20.0</v>
      </c>
      <c r="I30" s="627">
        <v>11.0</v>
      </c>
      <c r="J30" s="125">
        <v>1.0</v>
      </c>
      <c r="K30" s="125">
        <v>10.0</v>
      </c>
      <c r="L30" s="125">
        <v>9.0</v>
      </c>
      <c r="M30" s="125">
        <f t="shared" si="1"/>
        <v>100</v>
      </c>
      <c r="N30" s="125">
        <f t="shared" si="2"/>
        <v>0.8333333333</v>
      </c>
      <c r="O30" s="125"/>
      <c r="P30" s="125"/>
      <c r="Q30" s="125"/>
      <c r="R30" s="125"/>
      <c r="S30" s="628">
        <f t="shared" si="3"/>
        <v>120</v>
      </c>
      <c r="T30" s="627">
        <v>0.0</v>
      </c>
      <c r="U30" s="627">
        <v>0.0</v>
      </c>
      <c r="V30" s="627">
        <v>1.0</v>
      </c>
      <c r="W30" s="627">
        <v>1.0</v>
      </c>
      <c r="X30" s="627">
        <v>0.0</v>
      </c>
      <c r="Y30" s="89"/>
    </row>
    <row r="31" ht="22.5" customHeight="1">
      <c r="A31" s="227" t="str">
        <f>IFERROR(__xludf.DUMMYFUNCTION("""COMPUTED_VALUE"""),"Lea_Bag_TOASTED_LEATHER_GREEN")</f>
        <v>Lea_Bag_TOASTED_LEATHER_GREEN</v>
      </c>
      <c r="B31" s="125"/>
      <c r="C31" s="125"/>
      <c r="D31" s="125" t="s">
        <v>2082</v>
      </c>
      <c r="E31" s="125" t="s">
        <v>162</v>
      </c>
      <c r="F31" s="125" t="s">
        <v>240</v>
      </c>
      <c r="G31" s="125">
        <v>120.0</v>
      </c>
      <c r="H31" s="125">
        <v>20.0</v>
      </c>
      <c r="I31" s="627">
        <v>6.0</v>
      </c>
      <c r="J31" s="125">
        <v>3.0</v>
      </c>
      <c r="K31" s="125">
        <v>3.0</v>
      </c>
      <c r="L31" s="125">
        <v>1.0</v>
      </c>
      <c r="M31" s="125">
        <f t="shared" si="1"/>
        <v>100</v>
      </c>
      <c r="N31" s="125">
        <f t="shared" si="2"/>
        <v>0.8333333333</v>
      </c>
      <c r="O31" s="125"/>
      <c r="P31" s="125"/>
      <c r="Q31" s="125"/>
      <c r="R31" s="125"/>
      <c r="S31" s="628">
        <f t="shared" si="3"/>
        <v>360</v>
      </c>
      <c r="T31" s="627">
        <v>0.0</v>
      </c>
      <c r="U31" s="627">
        <v>0.0</v>
      </c>
      <c r="V31" s="627">
        <v>3.0</v>
      </c>
      <c r="W31" s="627">
        <v>3.0</v>
      </c>
      <c r="X31" s="627">
        <v>1.0</v>
      </c>
      <c r="Y31" s="89"/>
    </row>
    <row r="32" ht="22.5" customHeight="1">
      <c r="A32" s="227" t="str">
        <f>IFERROR(__xludf.DUMMYFUNCTION("""COMPUTED_VALUE"""),"Lea_Bag_Maxi_SUEDE_CHOCOLATE_CHARM")</f>
        <v>Lea_Bag_Maxi_SUEDE_CHOCOLATE_CHARM</v>
      </c>
      <c r="B32" s="125"/>
      <c r="C32" s="125"/>
      <c r="D32" s="125" t="s">
        <v>2082</v>
      </c>
      <c r="E32" s="125" t="s">
        <v>242</v>
      </c>
      <c r="F32" s="125" t="s">
        <v>243</v>
      </c>
      <c r="G32" s="125">
        <v>170.0</v>
      </c>
      <c r="H32" s="125">
        <v>30.0</v>
      </c>
      <c r="I32" s="627">
        <v>10.0</v>
      </c>
      <c r="J32" s="125">
        <v>0.0</v>
      </c>
      <c r="K32" s="125">
        <v>10.0</v>
      </c>
      <c r="L32" s="125">
        <v>5.0</v>
      </c>
      <c r="M32" s="125">
        <f t="shared" si="1"/>
        <v>140</v>
      </c>
      <c r="N32" s="125">
        <f t="shared" si="2"/>
        <v>0.8235294118</v>
      </c>
      <c r="O32" s="125"/>
      <c r="P32" s="125"/>
      <c r="Q32" s="125"/>
      <c r="R32" s="125"/>
      <c r="S32" s="628">
        <f t="shared" si="3"/>
        <v>0</v>
      </c>
      <c r="T32" s="627">
        <v>0.0</v>
      </c>
      <c r="U32" s="627">
        <v>0.0</v>
      </c>
      <c r="V32" s="627">
        <v>0.0</v>
      </c>
      <c r="W32" s="627">
        <v>0.0</v>
      </c>
      <c r="X32" s="627">
        <v>0.0</v>
      </c>
      <c r="Y32" s="89"/>
    </row>
    <row r="33" ht="22.5" customHeight="1">
      <c r="A33" s="227" t="str">
        <f>IFERROR(__xludf.DUMMYFUNCTION("""COMPUTED_VALUE"""),"Lea_Bag_Maxi_SUEDE_CHOCOLATE")</f>
        <v>Lea_Bag_Maxi_SUEDE_CHOCOLATE</v>
      </c>
      <c r="B33" s="125"/>
      <c r="C33" s="125"/>
      <c r="D33" s="125" t="s">
        <v>2082</v>
      </c>
      <c r="E33" s="125" t="s">
        <v>242</v>
      </c>
      <c r="F33" s="125" t="s">
        <v>245</v>
      </c>
      <c r="G33" s="125">
        <v>170.0</v>
      </c>
      <c r="H33" s="125">
        <v>25.0</v>
      </c>
      <c r="I33" s="627">
        <v>10.0</v>
      </c>
      <c r="J33" s="125">
        <v>0.0</v>
      </c>
      <c r="K33" s="125">
        <v>10.0</v>
      </c>
      <c r="L33" s="125">
        <v>9.0</v>
      </c>
      <c r="M33" s="125">
        <f t="shared" si="1"/>
        <v>145</v>
      </c>
      <c r="N33" s="125">
        <f t="shared" si="2"/>
        <v>0.8529411765</v>
      </c>
      <c r="O33" s="125"/>
      <c r="P33" s="125"/>
      <c r="Q33" s="125"/>
      <c r="R33" s="125"/>
      <c r="S33" s="628">
        <f t="shared" si="3"/>
        <v>0</v>
      </c>
      <c r="T33" s="627">
        <v>0.0</v>
      </c>
      <c r="U33" s="627">
        <v>0.0</v>
      </c>
      <c r="V33" s="627">
        <v>0.0</v>
      </c>
      <c r="W33" s="627">
        <v>0.0</v>
      </c>
      <c r="X33" s="627">
        <v>0.0</v>
      </c>
      <c r="Y33" s="89"/>
    </row>
    <row r="34" ht="22.5" customHeight="1">
      <c r="A34" s="227" t="str">
        <f>IFERROR(__xludf.DUMMYFUNCTION("""COMPUTED_VALUE"""),"Lea_Bag_Maxi_COCCO_BLACK")</f>
        <v>Lea_Bag_Maxi_COCCO_BLACK</v>
      </c>
      <c r="B34" s="125"/>
      <c r="C34" s="125"/>
      <c r="D34" s="125" t="s">
        <v>2082</v>
      </c>
      <c r="E34" s="125" t="s">
        <v>242</v>
      </c>
      <c r="F34" s="125" t="s">
        <v>163</v>
      </c>
      <c r="G34" s="125">
        <v>170.0</v>
      </c>
      <c r="H34" s="125">
        <v>25.0</v>
      </c>
      <c r="I34" s="627">
        <v>33.0</v>
      </c>
      <c r="J34" s="125">
        <v>5.0</v>
      </c>
      <c r="K34" s="125">
        <v>28.0</v>
      </c>
      <c r="L34" s="125">
        <v>23.0</v>
      </c>
      <c r="M34" s="125">
        <f t="shared" si="1"/>
        <v>145</v>
      </c>
      <c r="N34" s="125">
        <f t="shared" si="2"/>
        <v>0.8529411765</v>
      </c>
      <c r="O34" s="125"/>
      <c r="P34" s="125"/>
      <c r="Q34" s="125"/>
      <c r="R34" s="125"/>
      <c r="S34" s="628">
        <f t="shared" si="3"/>
        <v>850</v>
      </c>
      <c r="T34" s="627">
        <v>0.0</v>
      </c>
      <c r="U34" s="627">
        <v>0.0</v>
      </c>
      <c r="V34" s="627">
        <v>5.0</v>
      </c>
      <c r="W34" s="627">
        <v>5.0</v>
      </c>
      <c r="X34" s="627">
        <v>3.0</v>
      </c>
      <c r="Y34" s="89"/>
    </row>
    <row r="35" ht="22.5" customHeight="1">
      <c r="A35" s="227" t="str">
        <f>IFERROR(__xludf.DUMMYFUNCTION("""COMPUTED_VALUE"""),"Valentina_Bag_RED")</f>
        <v>Valentina_Bag_RED</v>
      </c>
      <c r="B35" s="125"/>
      <c r="C35" s="125"/>
      <c r="D35" s="125" t="s">
        <v>2082</v>
      </c>
      <c r="E35" s="125" t="s">
        <v>208</v>
      </c>
      <c r="F35" s="125" t="s">
        <v>248</v>
      </c>
      <c r="G35" s="125">
        <v>175.0</v>
      </c>
      <c r="H35" s="125">
        <v>45.4</v>
      </c>
      <c r="I35" s="627">
        <v>21.0</v>
      </c>
      <c r="J35" s="125">
        <v>15.0</v>
      </c>
      <c r="K35" s="125">
        <v>6.0</v>
      </c>
      <c r="L35" s="125">
        <v>6.0</v>
      </c>
      <c r="M35" s="125">
        <f t="shared" si="1"/>
        <v>129.6</v>
      </c>
      <c r="N35" s="125">
        <f t="shared" si="2"/>
        <v>0.7405714286</v>
      </c>
      <c r="O35" s="125"/>
      <c r="P35" s="125"/>
      <c r="Q35" s="125"/>
      <c r="R35" s="125"/>
      <c r="S35" s="628">
        <f t="shared" si="3"/>
        <v>2625</v>
      </c>
      <c r="T35" s="627">
        <v>0.0</v>
      </c>
      <c r="U35" s="627">
        <v>0.0</v>
      </c>
      <c r="V35" s="627">
        <v>15.0</v>
      </c>
      <c r="W35" s="627">
        <v>15.0</v>
      </c>
      <c r="X35" s="627">
        <v>13.0</v>
      </c>
      <c r="Y35" s="89"/>
    </row>
    <row r="36" ht="22.5" customHeight="1">
      <c r="A36" s="227" t="str">
        <f>IFERROR(__xludf.DUMMYFUNCTION("""COMPUTED_VALUE"""),"Valentina_Bag_COCCO_BLACK")</f>
        <v>Valentina_Bag_COCCO_BLACK</v>
      </c>
      <c r="B36" s="125"/>
      <c r="C36" s="125"/>
      <c r="D36" s="125" t="s">
        <v>2082</v>
      </c>
      <c r="E36" s="125" t="s">
        <v>208</v>
      </c>
      <c r="F36" s="125" t="s">
        <v>163</v>
      </c>
      <c r="G36" s="125">
        <v>175.0</v>
      </c>
      <c r="H36" s="125">
        <v>45.4</v>
      </c>
      <c r="I36" s="627">
        <v>9.0</v>
      </c>
      <c r="J36" s="125">
        <v>6.0</v>
      </c>
      <c r="K36" s="125">
        <v>3.0</v>
      </c>
      <c r="L36" s="125">
        <v>3.0</v>
      </c>
      <c r="M36" s="125">
        <f t="shared" si="1"/>
        <v>129.6</v>
      </c>
      <c r="N36" s="125">
        <f t="shared" si="2"/>
        <v>0.7405714286</v>
      </c>
      <c r="O36" s="125"/>
      <c r="P36" s="125"/>
      <c r="Q36" s="125"/>
      <c r="R36" s="125"/>
      <c r="S36" s="628">
        <f t="shared" si="3"/>
        <v>1050</v>
      </c>
      <c r="T36" s="627">
        <v>0.0</v>
      </c>
      <c r="U36" s="627">
        <v>0.0</v>
      </c>
      <c r="V36" s="627">
        <v>6.0</v>
      </c>
      <c r="W36" s="627">
        <v>6.0</v>
      </c>
      <c r="X36" s="627">
        <v>4.0</v>
      </c>
      <c r="Y36" s="89"/>
    </row>
    <row r="37" ht="22.5" customHeight="1">
      <c r="A37" s="227" t="str">
        <f>IFERROR(__xludf.DUMMYFUNCTION("""COMPUTED_VALUE"""),"Valentina_Bag_GREEN_MILITARY")</f>
        <v>Valentina_Bag_GREEN_MILITARY</v>
      </c>
      <c r="B37" s="125"/>
      <c r="C37" s="125"/>
      <c r="D37" s="125" t="s">
        <v>2082</v>
      </c>
      <c r="E37" s="125" t="s">
        <v>208</v>
      </c>
      <c r="F37" s="125" t="s">
        <v>188</v>
      </c>
      <c r="G37" s="125">
        <v>175.0</v>
      </c>
      <c r="H37" s="125">
        <v>45.5</v>
      </c>
      <c r="I37" s="627">
        <v>10.0</v>
      </c>
      <c r="J37" s="125">
        <v>9.0</v>
      </c>
      <c r="K37" s="125">
        <v>1.0</v>
      </c>
      <c r="L37" s="125">
        <v>1.0</v>
      </c>
      <c r="M37" s="125">
        <f t="shared" si="1"/>
        <v>129.5</v>
      </c>
      <c r="N37" s="125">
        <f t="shared" si="2"/>
        <v>0.74</v>
      </c>
      <c r="O37" s="125"/>
      <c r="P37" s="125"/>
      <c r="Q37" s="125"/>
      <c r="R37" s="125"/>
      <c r="S37" s="628">
        <f t="shared" si="3"/>
        <v>1575</v>
      </c>
      <c r="T37" s="627">
        <v>0.0</v>
      </c>
      <c r="U37" s="627">
        <v>0.0</v>
      </c>
      <c r="V37" s="627">
        <v>9.0</v>
      </c>
      <c r="W37" s="627">
        <v>9.0</v>
      </c>
      <c r="X37" s="627">
        <v>7.0</v>
      </c>
      <c r="Y37" s="89"/>
    </row>
    <row r="38" ht="22.5" customHeight="1">
      <c r="A38" s="227" t="str">
        <f>IFERROR(__xludf.DUMMYFUNCTION("""COMPUTED_VALUE"""),"Annie_Bag_BROWN")</f>
        <v>Annie_Bag_BROWN</v>
      </c>
      <c r="B38" s="125"/>
      <c r="C38" s="125"/>
      <c r="D38" s="125" t="s">
        <v>2082</v>
      </c>
      <c r="E38" s="125" t="s">
        <v>252</v>
      </c>
      <c r="F38" s="125" t="s">
        <v>253</v>
      </c>
      <c r="G38" s="125">
        <v>90.0</v>
      </c>
      <c r="H38" s="125">
        <v>16.5</v>
      </c>
      <c r="I38" s="627">
        <v>13.0</v>
      </c>
      <c r="J38" s="125">
        <v>1.0</v>
      </c>
      <c r="K38" s="125">
        <v>12.0</v>
      </c>
      <c r="L38" s="125">
        <v>2.0</v>
      </c>
      <c r="M38" s="125">
        <f t="shared" si="1"/>
        <v>73.5</v>
      </c>
      <c r="N38" s="125">
        <f t="shared" si="2"/>
        <v>0.8166666667</v>
      </c>
      <c r="O38" s="125"/>
      <c r="P38" s="125"/>
      <c r="Q38" s="125"/>
      <c r="R38" s="125"/>
      <c r="S38" s="628">
        <f t="shared" si="3"/>
        <v>90</v>
      </c>
      <c r="T38" s="627">
        <v>0.0</v>
      </c>
      <c r="U38" s="627">
        <v>0.0</v>
      </c>
      <c r="V38" s="627">
        <v>1.0</v>
      </c>
      <c r="W38" s="627">
        <v>1.0</v>
      </c>
      <c r="X38" s="627">
        <v>0.0</v>
      </c>
      <c r="Y38" s="89"/>
    </row>
    <row r="39" ht="22.5" customHeight="1">
      <c r="A39" s="227" t="str">
        <f>IFERROR(__xludf.DUMMYFUNCTION("""COMPUTED_VALUE"""),"Annie_Bag_PAILLETTES_PINK")</f>
        <v>Annie_Bag_PAILLETTES_PINK</v>
      </c>
      <c r="B39" s="125"/>
      <c r="C39" s="125"/>
      <c r="D39" s="125" t="s">
        <v>2082</v>
      </c>
      <c r="E39" s="125" t="s">
        <v>252</v>
      </c>
      <c r="F39" s="125" t="s">
        <v>255</v>
      </c>
      <c r="G39" s="125">
        <v>90.0</v>
      </c>
      <c r="H39" s="125">
        <v>16.5</v>
      </c>
      <c r="I39" s="627">
        <v>12.0</v>
      </c>
      <c r="J39" s="125">
        <v>-1.0</v>
      </c>
      <c r="K39" s="125">
        <v>13.0</v>
      </c>
      <c r="L39" s="125">
        <v>11.0</v>
      </c>
      <c r="M39" s="125">
        <f t="shared" si="1"/>
        <v>73.5</v>
      </c>
      <c r="N39" s="125">
        <f t="shared" si="2"/>
        <v>0.8166666667</v>
      </c>
      <c r="O39" s="125"/>
      <c r="P39" s="125"/>
      <c r="Q39" s="125"/>
      <c r="R39" s="125"/>
      <c r="S39" s="628">
        <f t="shared" si="3"/>
        <v>-90</v>
      </c>
      <c r="T39" s="627">
        <v>0.0</v>
      </c>
      <c r="U39" s="627">
        <v>0.0</v>
      </c>
      <c r="V39" s="627">
        <v>-1.0</v>
      </c>
      <c r="W39" s="627">
        <v>-1.0</v>
      </c>
      <c r="X39" s="627">
        <v>0.0</v>
      </c>
      <c r="Y39" s="89"/>
    </row>
    <row r="40" ht="22.5" customHeight="1">
      <c r="A40" s="227" t="str">
        <f>IFERROR(__xludf.DUMMYFUNCTION("""COMPUTED_VALUE"""),"Annie_Bag_BLUE")</f>
        <v>Annie_Bag_BLUE</v>
      </c>
      <c r="B40" s="125"/>
      <c r="C40" s="125"/>
      <c r="D40" s="125" t="s">
        <v>2082</v>
      </c>
      <c r="E40" s="125" t="s">
        <v>252</v>
      </c>
      <c r="F40" s="125" t="s">
        <v>257</v>
      </c>
      <c r="G40" s="125">
        <v>90.0</v>
      </c>
      <c r="H40" s="125">
        <v>16.5</v>
      </c>
      <c r="I40" s="627">
        <v>10.0</v>
      </c>
      <c r="J40" s="125">
        <v>6.0</v>
      </c>
      <c r="K40" s="125">
        <v>4.0</v>
      </c>
      <c r="L40" s="125">
        <v>3.0</v>
      </c>
      <c r="M40" s="125">
        <f t="shared" si="1"/>
        <v>73.5</v>
      </c>
      <c r="N40" s="125">
        <f t="shared" si="2"/>
        <v>0.8166666667</v>
      </c>
      <c r="O40" s="125"/>
      <c r="P40" s="125"/>
      <c r="Q40" s="125"/>
      <c r="R40" s="125"/>
      <c r="S40" s="628">
        <f t="shared" si="3"/>
        <v>540</v>
      </c>
      <c r="T40" s="627">
        <v>0.0</v>
      </c>
      <c r="U40" s="627">
        <v>0.0</v>
      </c>
      <c r="V40" s="627">
        <v>6.0</v>
      </c>
      <c r="W40" s="627">
        <v>6.0</v>
      </c>
      <c r="X40" s="627">
        <v>4.0</v>
      </c>
      <c r="Y40" s="89"/>
    </row>
    <row r="41" ht="22.5" customHeight="1">
      <c r="A41" s="227" t="str">
        <f>IFERROR(__xludf.DUMMYFUNCTION("""COMPUTED_VALUE"""),"Annie_Bag_PINK")</f>
        <v>Annie_Bag_PINK</v>
      </c>
      <c r="B41" s="125"/>
      <c r="C41" s="125"/>
      <c r="D41" s="125" t="s">
        <v>2082</v>
      </c>
      <c r="E41" s="125" t="s">
        <v>252</v>
      </c>
      <c r="F41" s="125" t="s">
        <v>259</v>
      </c>
      <c r="G41" s="125">
        <v>90.0</v>
      </c>
      <c r="H41" s="125">
        <v>16.5</v>
      </c>
      <c r="I41" s="627">
        <v>10.0</v>
      </c>
      <c r="J41" s="125">
        <v>0.0</v>
      </c>
      <c r="K41" s="125">
        <v>10.0</v>
      </c>
      <c r="L41" s="125">
        <v>8.0</v>
      </c>
      <c r="M41" s="125">
        <f t="shared" si="1"/>
        <v>73.5</v>
      </c>
      <c r="N41" s="125">
        <f t="shared" si="2"/>
        <v>0.8166666667</v>
      </c>
      <c r="O41" s="125"/>
      <c r="P41" s="125"/>
      <c r="Q41" s="125"/>
      <c r="R41" s="125"/>
      <c r="S41" s="628">
        <f t="shared" si="3"/>
        <v>0</v>
      </c>
      <c r="T41" s="627">
        <v>0.0</v>
      </c>
      <c r="U41" s="627">
        <v>0.0</v>
      </c>
      <c r="V41" s="627">
        <v>0.0</v>
      </c>
      <c r="W41" s="627">
        <v>0.0</v>
      </c>
      <c r="X41" s="627">
        <v>0.0</v>
      </c>
      <c r="Y41" s="89"/>
    </row>
    <row r="42" ht="22.5" customHeight="1">
      <c r="A42" s="227" t="str">
        <f>IFERROR(__xludf.DUMMYFUNCTION("""COMPUTED_VALUE"""),"Annie_Bag_PAILLETTES_GREY")</f>
        <v>Annie_Bag_PAILLETTES_GREY</v>
      </c>
      <c r="B42" s="125"/>
      <c r="C42" s="125"/>
      <c r="D42" s="125" t="s">
        <v>2082</v>
      </c>
      <c r="E42" s="125" t="s">
        <v>252</v>
      </c>
      <c r="F42" s="125" t="s">
        <v>261</v>
      </c>
      <c r="G42" s="125">
        <v>90.0</v>
      </c>
      <c r="H42" s="125">
        <v>16.5</v>
      </c>
      <c r="I42" s="627">
        <v>10.0</v>
      </c>
      <c r="J42" s="125">
        <v>0.0</v>
      </c>
      <c r="K42" s="125">
        <v>10.0</v>
      </c>
      <c r="L42" s="125">
        <v>9.0</v>
      </c>
      <c r="M42" s="125">
        <f t="shared" si="1"/>
        <v>73.5</v>
      </c>
      <c r="N42" s="125">
        <f t="shared" si="2"/>
        <v>0.8166666667</v>
      </c>
      <c r="O42" s="125"/>
      <c r="P42" s="125"/>
      <c r="Q42" s="125"/>
      <c r="R42" s="125"/>
      <c r="S42" s="628">
        <f t="shared" si="3"/>
        <v>0</v>
      </c>
      <c r="T42" s="627">
        <v>0.0</v>
      </c>
      <c r="U42" s="627">
        <v>0.0</v>
      </c>
      <c r="V42" s="627">
        <v>0.0</v>
      </c>
      <c r="W42" s="627">
        <v>0.0</v>
      </c>
      <c r="X42" s="627">
        <v>0.0</v>
      </c>
      <c r="Y42" s="89"/>
    </row>
    <row r="43" ht="22.5" customHeight="1">
      <c r="A43" s="227" t="str">
        <f>IFERROR(__xludf.DUMMYFUNCTION("""COMPUTED_VALUE"""),"Annie_Bag_PAILLETTES_LIGHT_BLUE")</f>
        <v>Annie_Bag_PAILLETTES_LIGHT_BLUE</v>
      </c>
      <c r="B43" s="125"/>
      <c r="C43" s="125"/>
      <c r="D43" s="125" t="s">
        <v>2082</v>
      </c>
      <c r="E43" s="125" t="s">
        <v>252</v>
      </c>
      <c r="F43" s="125" t="s">
        <v>263</v>
      </c>
      <c r="G43" s="125">
        <v>90.0</v>
      </c>
      <c r="H43" s="125">
        <v>16.5</v>
      </c>
      <c r="I43" s="627">
        <v>10.0</v>
      </c>
      <c r="J43" s="125">
        <v>0.0</v>
      </c>
      <c r="K43" s="125">
        <v>10.0</v>
      </c>
      <c r="L43" s="125">
        <v>7.0</v>
      </c>
      <c r="M43" s="125">
        <f t="shared" si="1"/>
        <v>73.5</v>
      </c>
      <c r="N43" s="125">
        <f t="shared" si="2"/>
        <v>0.8166666667</v>
      </c>
      <c r="O43" s="125"/>
      <c r="P43" s="125"/>
      <c r="Q43" s="125"/>
      <c r="R43" s="125"/>
      <c r="S43" s="628">
        <f t="shared" si="3"/>
        <v>0</v>
      </c>
      <c r="T43" s="627">
        <v>0.0</v>
      </c>
      <c r="U43" s="627">
        <v>0.0</v>
      </c>
      <c r="V43" s="627">
        <v>0.0</v>
      </c>
      <c r="W43" s="627">
        <v>0.0</v>
      </c>
      <c r="X43" s="627">
        <v>0.0</v>
      </c>
      <c r="Y43" s="89"/>
    </row>
    <row r="44" ht="22.5" customHeight="1">
      <c r="A44" s="227" t="str">
        <f>IFERROR(__xludf.DUMMYFUNCTION("""COMPUTED_VALUE"""),"Annie_Bag_PAILLETTES_LIGHT_GREEN")</f>
        <v>Annie_Bag_PAILLETTES_LIGHT_GREEN</v>
      </c>
      <c r="B44" s="125"/>
      <c r="C44" s="125"/>
      <c r="D44" s="125" t="s">
        <v>2082</v>
      </c>
      <c r="E44" s="125" t="s">
        <v>252</v>
      </c>
      <c r="F44" s="125" t="s">
        <v>265</v>
      </c>
      <c r="G44" s="125">
        <v>90.0</v>
      </c>
      <c r="H44" s="125">
        <v>16.5</v>
      </c>
      <c r="I44" s="627">
        <v>10.0</v>
      </c>
      <c r="J44" s="125">
        <v>0.0</v>
      </c>
      <c r="K44" s="125">
        <v>10.0</v>
      </c>
      <c r="L44" s="125">
        <v>9.0</v>
      </c>
      <c r="M44" s="125">
        <f t="shared" si="1"/>
        <v>73.5</v>
      </c>
      <c r="N44" s="125">
        <f t="shared" si="2"/>
        <v>0.8166666667</v>
      </c>
      <c r="O44" s="125"/>
      <c r="P44" s="125"/>
      <c r="Q44" s="125"/>
      <c r="R44" s="125"/>
      <c r="S44" s="628">
        <f t="shared" si="3"/>
        <v>0</v>
      </c>
      <c r="T44" s="627">
        <v>0.0</v>
      </c>
      <c r="U44" s="627">
        <v>0.0</v>
      </c>
      <c r="V44" s="627">
        <v>0.0</v>
      </c>
      <c r="W44" s="627">
        <v>0.0</v>
      </c>
      <c r="X44" s="627">
        <v>0.0</v>
      </c>
      <c r="Y44" s="89"/>
    </row>
    <row r="45" ht="22.5" customHeight="1">
      <c r="A45" s="227" t="str">
        <f>IFERROR(__xludf.DUMMYFUNCTION("""COMPUTED_VALUE"""),"Annie_Bag_PAILLETTES_NUDE")</f>
        <v>Annie_Bag_PAILLETTES_NUDE</v>
      </c>
      <c r="B45" s="125"/>
      <c r="C45" s="125"/>
      <c r="D45" s="125" t="s">
        <v>2082</v>
      </c>
      <c r="E45" s="125" t="s">
        <v>252</v>
      </c>
      <c r="F45" s="125" t="s">
        <v>267</v>
      </c>
      <c r="G45" s="125">
        <v>90.0</v>
      </c>
      <c r="H45" s="125">
        <v>16.5</v>
      </c>
      <c r="I45" s="627">
        <v>42.0</v>
      </c>
      <c r="J45" s="125">
        <v>1.0</v>
      </c>
      <c r="K45" s="125">
        <v>41.0</v>
      </c>
      <c r="L45" s="125">
        <v>39.0</v>
      </c>
      <c r="M45" s="125">
        <f t="shared" si="1"/>
        <v>73.5</v>
      </c>
      <c r="N45" s="125">
        <f t="shared" si="2"/>
        <v>0.8166666667</v>
      </c>
      <c r="O45" s="125"/>
      <c r="P45" s="125"/>
      <c r="Q45" s="125"/>
      <c r="R45" s="125"/>
      <c r="S45" s="628">
        <f t="shared" si="3"/>
        <v>90</v>
      </c>
      <c r="T45" s="627">
        <v>0.0</v>
      </c>
      <c r="U45" s="627">
        <v>0.0</v>
      </c>
      <c r="V45" s="627">
        <v>1.0</v>
      </c>
      <c r="W45" s="627">
        <v>1.0</v>
      </c>
      <c r="X45" s="627">
        <v>0.0</v>
      </c>
      <c r="Y45" s="89"/>
    </row>
    <row r="46" ht="22.5" customHeight="1">
      <c r="A46" s="227" t="str">
        <f>IFERROR(__xludf.DUMMYFUNCTION("""COMPUTED_VALUE"""),"Agata_Bag_FLORAL_GREEN_EMBROIDERY")</f>
        <v>Agata_Bag_FLORAL_GREEN_EMBROIDERY</v>
      </c>
      <c r="B46" s="125"/>
      <c r="C46" s="125"/>
      <c r="D46" s="125" t="s">
        <v>2082</v>
      </c>
      <c r="E46" s="125" t="s">
        <v>269</v>
      </c>
      <c r="F46" s="125" t="s">
        <v>270</v>
      </c>
      <c r="G46" s="125">
        <v>80.0</v>
      </c>
      <c r="H46" s="125">
        <v>19.0</v>
      </c>
      <c r="I46" s="627">
        <v>13.0</v>
      </c>
      <c r="J46" s="125">
        <v>0.0</v>
      </c>
      <c r="K46" s="125">
        <v>13.0</v>
      </c>
      <c r="L46" s="125">
        <v>12.0</v>
      </c>
      <c r="M46" s="125">
        <f t="shared" si="1"/>
        <v>61</v>
      </c>
      <c r="N46" s="125">
        <f t="shared" si="2"/>
        <v>0.7625</v>
      </c>
      <c r="O46" s="125"/>
      <c r="P46" s="125"/>
      <c r="Q46" s="125"/>
      <c r="R46" s="125"/>
      <c r="S46" s="628">
        <f t="shared" si="3"/>
        <v>0</v>
      </c>
      <c r="T46" s="627">
        <v>0.0</v>
      </c>
      <c r="U46" s="627">
        <v>0.0</v>
      </c>
      <c r="V46" s="627">
        <v>0.0</v>
      </c>
      <c r="W46" s="627">
        <v>0.0</v>
      </c>
      <c r="X46" s="627">
        <v>0.0</v>
      </c>
      <c r="Y46" s="89"/>
    </row>
    <row r="47" ht="22.5" customHeight="1">
      <c r="A47" s="227" t="str">
        <f>IFERROR(__xludf.DUMMYFUNCTION("""COMPUTED_VALUE"""),"Agata_Bag_FLORAL_PINK_EMBROIDERY")</f>
        <v>Agata_Bag_FLORAL_PINK_EMBROIDERY</v>
      </c>
      <c r="B47" s="125"/>
      <c r="C47" s="125"/>
      <c r="D47" s="125" t="s">
        <v>2082</v>
      </c>
      <c r="E47" s="125" t="s">
        <v>269</v>
      </c>
      <c r="F47" s="125" t="s">
        <v>272</v>
      </c>
      <c r="G47" s="125">
        <v>80.0</v>
      </c>
      <c r="H47" s="125">
        <v>19.0</v>
      </c>
      <c r="I47" s="627">
        <v>15.0</v>
      </c>
      <c r="J47" s="125">
        <v>0.0</v>
      </c>
      <c r="K47" s="125">
        <v>15.0</v>
      </c>
      <c r="L47" s="125">
        <v>15.0</v>
      </c>
      <c r="M47" s="125">
        <f t="shared" si="1"/>
        <v>61</v>
      </c>
      <c r="N47" s="125">
        <f t="shared" si="2"/>
        <v>0.7625</v>
      </c>
      <c r="O47" s="125"/>
      <c r="P47" s="125"/>
      <c r="Q47" s="125"/>
      <c r="R47" s="125"/>
      <c r="S47" s="628">
        <f t="shared" si="3"/>
        <v>0</v>
      </c>
      <c r="T47" s="627">
        <v>0.0</v>
      </c>
      <c r="U47" s="627">
        <v>0.0</v>
      </c>
      <c r="V47" s="627">
        <v>0.0</v>
      </c>
      <c r="W47" s="627">
        <v>0.0</v>
      </c>
      <c r="X47" s="627">
        <v>0.0</v>
      </c>
      <c r="Y47" s="89"/>
    </row>
    <row r="48" ht="22.5" customHeight="1">
      <c r="A48" s="227" t="str">
        <f>IFERROR(__xludf.DUMMYFUNCTION("""COMPUTED_VALUE"""),"Agata_Bag_ROSE_PINK")</f>
        <v>Agata_Bag_ROSE_PINK</v>
      </c>
      <c r="B48" s="125"/>
      <c r="C48" s="125"/>
      <c r="D48" s="125" t="s">
        <v>2082</v>
      </c>
      <c r="E48" s="125" t="s">
        <v>269</v>
      </c>
      <c r="F48" s="125" t="s">
        <v>274</v>
      </c>
      <c r="G48" s="125">
        <v>80.0</v>
      </c>
      <c r="H48" s="125">
        <v>19.0</v>
      </c>
      <c r="I48" s="627">
        <v>10.0</v>
      </c>
      <c r="J48" s="125">
        <v>0.0</v>
      </c>
      <c r="K48" s="125">
        <v>10.0</v>
      </c>
      <c r="L48" s="125">
        <v>10.0</v>
      </c>
      <c r="M48" s="125">
        <f t="shared" si="1"/>
        <v>61</v>
      </c>
      <c r="N48" s="125">
        <f t="shared" si="2"/>
        <v>0.7625</v>
      </c>
      <c r="O48" s="125"/>
      <c r="P48" s="125"/>
      <c r="Q48" s="125"/>
      <c r="R48" s="125"/>
      <c r="S48" s="628">
        <f t="shared" si="3"/>
        <v>0</v>
      </c>
      <c r="T48" s="627">
        <v>0.0</v>
      </c>
      <c r="U48" s="627">
        <v>0.0</v>
      </c>
      <c r="V48" s="627">
        <v>0.0</v>
      </c>
      <c r="W48" s="627">
        <v>0.0</v>
      </c>
      <c r="X48" s="627">
        <v>0.0</v>
      </c>
      <c r="Y48" s="89"/>
    </row>
    <row r="49" ht="22.5" customHeight="1">
      <c r="A49" s="125" t="str">
        <f>IFERROR(__xludf.DUMMYFUNCTION("""COMPUTED_VALUE"""),"Agata_Bag_Rose_Blue")</f>
        <v>Agata_Bag_Rose_Blue</v>
      </c>
      <c r="B49" s="125"/>
      <c r="C49" s="125"/>
      <c r="D49" s="125" t="s">
        <v>2082</v>
      </c>
      <c r="E49" s="125" t="s">
        <v>269</v>
      </c>
      <c r="F49" s="125" t="s">
        <v>276</v>
      </c>
      <c r="G49" s="125">
        <v>80.0</v>
      </c>
      <c r="H49" s="125">
        <v>19.0</v>
      </c>
      <c r="I49" s="627">
        <v>11.0</v>
      </c>
      <c r="J49" s="125">
        <v>0.0</v>
      </c>
      <c r="K49" s="125">
        <v>11.0</v>
      </c>
      <c r="L49" s="125">
        <v>10.0</v>
      </c>
      <c r="M49" s="125">
        <f t="shared" si="1"/>
        <v>61</v>
      </c>
      <c r="N49" s="125">
        <f t="shared" si="2"/>
        <v>0.7625</v>
      </c>
      <c r="O49" s="125"/>
      <c r="P49" s="125"/>
      <c r="Q49" s="125"/>
      <c r="R49" s="125"/>
      <c r="S49" s="628">
        <f t="shared" si="3"/>
        <v>0</v>
      </c>
      <c r="T49" s="627">
        <v>0.0</v>
      </c>
      <c r="U49" s="627">
        <v>0.0</v>
      </c>
      <c r="V49" s="627">
        <v>0.0</v>
      </c>
      <c r="W49" s="627">
        <v>0.0</v>
      </c>
      <c r="X49" s="627">
        <v>0.0</v>
      </c>
      <c r="Y49" s="89"/>
    </row>
    <row r="50" ht="22.5" customHeight="1">
      <c r="A50" s="227" t="str">
        <f>IFERROR(__xludf.DUMMYFUNCTION("""COMPUTED_VALUE"""),"Agata_Bag_TIE_DYE_ORANGE")</f>
        <v>Agata_Bag_TIE_DYE_ORANGE</v>
      </c>
      <c r="B50" s="125"/>
      <c r="C50" s="125"/>
      <c r="D50" s="125" t="s">
        <v>2082</v>
      </c>
      <c r="E50" s="125" t="s">
        <v>269</v>
      </c>
      <c r="F50" s="125" t="s">
        <v>278</v>
      </c>
      <c r="G50" s="125">
        <v>80.0</v>
      </c>
      <c r="H50" s="125">
        <v>16.5</v>
      </c>
      <c r="I50" s="627">
        <v>2.0</v>
      </c>
      <c r="J50" s="125">
        <v>0.0</v>
      </c>
      <c r="K50" s="125">
        <v>2.0</v>
      </c>
      <c r="L50" s="125">
        <v>2.0</v>
      </c>
      <c r="M50" s="125">
        <f t="shared" si="1"/>
        <v>63.5</v>
      </c>
      <c r="N50" s="125">
        <f t="shared" si="2"/>
        <v>0.79375</v>
      </c>
      <c r="O50" s="125"/>
      <c r="P50" s="125"/>
      <c r="Q50" s="125"/>
      <c r="R50" s="125"/>
      <c r="S50" s="628">
        <f t="shared" si="3"/>
        <v>0</v>
      </c>
      <c r="T50" s="627">
        <v>0.0</v>
      </c>
      <c r="U50" s="627">
        <v>0.0</v>
      </c>
      <c r="V50" s="627">
        <v>0.0</v>
      </c>
      <c r="W50" s="627">
        <v>0.0</v>
      </c>
      <c r="X50" s="627">
        <v>0.0</v>
      </c>
      <c r="Y50" s="89"/>
    </row>
    <row r="51" ht="22.5" customHeight="1">
      <c r="A51" s="227" t="str">
        <f>IFERROR(__xludf.DUMMYFUNCTION("""COMPUTED_VALUE"""),"Agata_Bag_TIE_DYE_PINK")</f>
        <v>Agata_Bag_TIE_DYE_PINK</v>
      </c>
      <c r="B51" s="125"/>
      <c r="C51" s="125"/>
      <c r="D51" s="125" t="s">
        <v>2082</v>
      </c>
      <c r="E51" s="125" t="s">
        <v>269</v>
      </c>
      <c r="F51" s="125" t="s">
        <v>280</v>
      </c>
      <c r="G51" s="125">
        <v>80.0</v>
      </c>
      <c r="H51" s="125">
        <v>16.5</v>
      </c>
      <c r="I51" s="627">
        <v>6.0</v>
      </c>
      <c r="J51" s="125">
        <v>2.0</v>
      </c>
      <c r="K51" s="125">
        <v>4.0</v>
      </c>
      <c r="L51" s="125">
        <v>3.0</v>
      </c>
      <c r="M51" s="125">
        <f t="shared" si="1"/>
        <v>63.5</v>
      </c>
      <c r="N51" s="125">
        <f t="shared" si="2"/>
        <v>0.79375</v>
      </c>
      <c r="O51" s="125"/>
      <c r="P51" s="125"/>
      <c r="Q51" s="125"/>
      <c r="R51" s="125"/>
      <c r="S51" s="628">
        <f t="shared" si="3"/>
        <v>160</v>
      </c>
      <c r="T51" s="627">
        <v>0.0</v>
      </c>
      <c r="U51" s="627">
        <v>0.0</v>
      </c>
      <c r="V51" s="627">
        <v>2.0</v>
      </c>
      <c r="W51" s="627">
        <v>2.0</v>
      </c>
      <c r="X51" s="627">
        <v>1.0</v>
      </c>
      <c r="Y51" s="89"/>
    </row>
    <row r="52" ht="22.5" customHeight="1">
      <c r="A52" s="227" t="str">
        <f>IFERROR(__xludf.DUMMYFUNCTION("""COMPUTED_VALUE"""),"Agata_Bag_FLORAL_BORDEAUX_EMBROIDERY")</f>
        <v>Agata_Bag_FLORAL_BORDEAUX_EMBROIDERY</v>
      </c>
      <c r="B52" s="125"/>
      <c r="C52" s="125"/>
      <c r="D52" s="125" t="s">
        <v>2082</v>
      </c>
      <c r="E52" s="125" t="s">
        <v>269</v>
      </c>
      <c r="F52" s="125" t="s">
        <v>282</v>
      </c>
      <c r="G52" s="125">
        <v>80.0</v>
      </c>
      <c r="H52" s="125">
        <v>19.0</v>
      </c>
      <c r="I52" s="627">
        <v>10.0</v>
      </c>
      <c r="J52" s="125">
        <v>0.0</v>
      </c>
      <c r="K52" s="125">
        <v>10.0</v>
      </c>
      <c r="L52" s="125">
        <v>9.0</v>
      </c>
      <c r="M52" s="125">
        <f t="shared" si="1"/>
        <v>61</v>
      </c>
      <c r="N52" s="125">
        <f t="shared" si="2"/>
        <v>0.7625</v>
      </c>
      <c r="O52" s="125"/>
      <c r="P52" s="125"/>
      <c r="Q52" s="125"/>
      <c r="R52" s="125"/>
      <c r="S52" s="628">
        <f t="shared" si="3"/>
        <v>0</v>
      </c>
      <c r="T52" s="627">
        <v>0.0</v>
      </c>
      <c r="U52" s="627">
        <v>0.0</v>
      </c>
      <c r="V52" s="627">
        <v>0.0</v>
      </c>
      <c r="W52" s="627">
        <v>0.0</v>
      </c>
      <c r="X52" s="627">
        <v>0.0</v>
      </c>
      <c r="Y52" s="89"/>
    </row>
    <row r="53" ht="22.5" customHeight="1">
      <c r="A53" s="227" t="str">
        <f>IFERROR(__xludf.DUMMYFUNCTION("""COMPUTED_VALUE"""),"Agata_Bag_FLORAL_DUSTY_PINK_EMBROIDERY")</f>
        <v>Agata_Bag_FLORAL_DUSTY_PINK_EMBROIDERY</v>
      </c>
      <c r="B53" s="125"/>
      <c r="C53" s="125"/>
      <c r="D53" s="125" t="s">
        <v>2082</v>
      </c>
      <c r="E53" s="125" t="s">
        <v>269</v>
      </c>
      <c r="F53" s="125" t="s">
        <v>283</v>
      </c>
      <c r="G53" s="125">
        <v>80.0</v>
      </c>
      <c r="H53" s="125">
        <v>19.0</v>
      </c>
      <c r="I53" s="627">
        <v>14.0</v>
      </c>
      <c r="J53" s="125">
        <v>3.0</v>
      </c>
      <c r="K53" s="125">
        <v>11.0</v>
      </c>
      <c r="L53" s="125">
        <v>11.0</v>
      </c>
      <c r="M53" s="125">
        <f t="shared" si="1"/>
        <v>61</v>
      </c>
      <c r="N53" s="125">
        <f t="shared" si="2"/>
        <v>0.7625</v>
      </c>
      <c r="O53" s="125"/>
      <c r="P53" s="125"/>
      <c r="Q53" s="125"/>
      <c r="R53" s="125"/>
      <c r="S53" s="628">
        <f t="shared" si="3"/>
        <v>240</v>
      </c>
      <c r="T53" s="627">
        <v>0.0</v>
      </c>
      <c r="U53" s="627">
        <v>1.0</v>
      </c>
      <c r="V53" s="627">
        <v>3.0</v>
      </c>
      <c r="W53" s="627">
        <v>2.0</v>
      </c>
      <c r="X53" s="627">
        <v>1.0</v>
      </c>
      <c r="Y53" s="89"/>
    </row>
    <row r="54" ht="22.5" customHeight="1">
      <c r="A54" s="227" t="str">
        <f>IFERROR(__xludf.DUMMYFUNCTION("""COMPUTED_VALUE"""),"Annie_Bag_PEARL_GREY")</f>
        <v>Annie_Bag_PEARL_GREY</v>
      </c>
      <c r="B54" s="125"/>
      <c r="C54" s="125"/>
      <c r="D54" s="125" t="s">
        <v>2082</v>
      </c>
      <c r="E54" s="125" t="s">
        <v>252</v>
      </c>
      <c r="F54" s="125" t="s">
        <v>284</v>
      </c>
      <c r="G54" s="125">
        <v>90.0</v>
      </c>
      <c r="H54" s="125">
        <v>16.5</v>
      </c>
      <c r="I54" s="627">
        <v>10.0</v>
      </c>
      <c r="J54" s="125">
        <v>0.0</v>
      </c>
      <c r="K54" s="125">
        <v>10.0</v>
      </c>
      <c r="L54" s="125">
        <v>6.0</v>
      </c>
      <c r="M54" s="125">
        <f t="shared" si="1"/>
        <v>73.5</v>
      </c>
      <c r="N54" s="125">
        <f t="shared" si="2"/>
        <v>0.8166666667</v>
      </c>
      <c r="O54" s="125"/>
      <c r="P54" s="125"/>
      <c r="Q54" s="125"/>
      <c r="R54" s="125"/>
      <c r="S54" s="628">
        <f t="shared" si="3"/>
        <v>0</v>
      </c>
      <c r="T54" s="627">
        <v>0.0</v>
      </c>
      <c r="U54" s="627">
        <v>0.0</v>
      </c>
      <c r="V54" s="627">
        <v>0.0</v>
      </c>
      <c r="W54" s="627">
        <v>0.0</v>
      </c>
      <c r="X54" s="627">
        <v>0.0</v>
      </c>
      <c r="Y54" s="89"/>
    </row>
    <row r="55" ht="22.5" customHeight="1">
      <c r="A55" s="227" t="str">
        <f>IFERROR(__xludf.DUMMYFUNCTION("""COMPUTED_VALUE"""),"Lea_Bag_Zebra_Pony")</f>
        <v>Lea_Bag_Zebra_Pony</v>
      </c>
      <c r="B55" s="125"/>
      <c r="C55" s="125"/>
      <c r="D55" s="125" t="s">
        <v>2082</v>
      </c>
      <c r="E55" s="125" t="s">
        <v>162</v>
      </c>
      <c r="F55" s="125" t="s">
        <v>286</v>
      </c>
      <c r="G55" s="125">
        <v>150.0</v>
      </c>
      <c r="H55" s="125">
        <v>20.0</v>
      </c>
      <c r="I55" s="627">
        <v>9.0</v>
      </c>
      <c r="J55" s="125">
        <v>8.0</v>
      </c>
      <c r="K55" s="125">
        <v>1.0</v>
      </c>
      <c r="L55" s="125">
        <v>0.0</v>
      </c>
      <c r="M55" s="125">
        <f t="shared" si="1"/>
        <v>130</v>
      </c>
      <c r="N55" s="125">
        <f t="shared" si="2"/>
        <v>0.8666666667</v>
      </c>
      <c r="O55" s="125"/>
      <c r="P55" s="125"/>
      <c r="Q55" s="125"/>
      <c r="R55" s="125"/>
      <c r="S55" s="628">
        <f t="shared" si="3"/>
        <v>1200</v>
      </c>
      <c r="T55" s="627">
        <v>0.0</v>
      </c>
      <c r="U55" s="627">
        <v>0.0</v>
      </c>
      <c r="V55" s="627">
        <v>8.0</v>
      </c>
      <c r="W55" s="627">
        <v>8.0</v>
      </c>
      <c r="X55" s="627">
        <v>6.0</v>
      </c>
      <c r="Y55" s="89"/>
    </row>
    <row r="56" ht="22.5" customHeight="1">
      <c r="A56" s="227" t="str">
        <f>IFERROR(__xludf.DUMMYFUNCTION("""COMPUTED_VALUE"""),"Lea_Bag_COCCO_ORANGE")</f>
        <v>Lea_Bag_COCCO_ORANGE</v>
      </c>
      <c r="B56" s="125"/>
      <c r="C56" s="125"/>
      <c r="D56" s="125" t="s">
        <v>2082</v>
      </c>
      <c r="E56" s="125" t="s">
        <v>162</v>
      </c>
      <c r="F56" s="125" t="s">
        <v>288</v>
      </c>
      <c r="G56" s="125">
        <v>120.0</v>
      </c>
      <c r="H56" s="125">
        <v>20.0</v>
      </c>
      <c r="I56" s="627">
        <v>8.0</v>
      </c>
      <c r="J56" s="125">
        <v>0.0</v>
      </c>
      <c r="K56" s="125">
        <v>8.0</v>
      </c>
      <c r="L56" s="125">
        <v>8.0</v>
      </c>
      <c r="M56" s="125">
        <f t="shared" si="1"/>
        <v>100</v>
      </c>
      <c r="N56" s="125">
        <f t="shared" si="2"/>
        <v>0.8333333333</v>
      </c>
      <c r="O56" s="125"/>
      <c r="P56" s="125"/>
      <c r="Q56" s="125"/>
      <c r="R56" s="125"/>
      <c r="S56" s="628">
        <f t="shared" si="3"/>
        <v>0</v>
      </c>
      <c r="T56" s="627">
        <v>0.0</v>
      </c>
      <c r="U56" s="627">
        <v>0.0</v>
      </c>
      <c r="V56" s="627">
        <v>0.0</v>
      </c>
      <c r="W56" s="627">
        <v>0.0</v>
      </c>
      <c r="X56" s="627">
        <v>0.0</v>
      </c>
      <c r="Y56" s="89"/>
    </row>
    <row r="57" ht="22.5" customHeight="1">
      <c r="A57" s="227" t="str">
        <f>IFERROR(__xludf.DUMMYFUNCTION("""COMPUTED_VALUE"""),"Lea_Bag_COCCO_BEIGE")</f>
        <v>Lea_Bag_COCCO_BEIGE</v>
      </c>
      <c r="B57" s="125"/>
      <c r="C57" s="125"/>
      <c r="D57" s="125" t="s">
        <v>2082</v>
      </c>
      <c r="E57" s="125" t="s">
        <v>162</v>
      </c>
      <c r="F57" s="125" t="s">
        <v>290</v>
      </c>
      <c r="G57" s="125">
        <v>120.0</v>
      </c>
      <c r="H57" s="125">
        <v>20.0</v>
      </c>
      <c r="I57" s="627">
        <v>10.0</v>
      </c>
      <c r="J57" s="125">
        <v>5.0</v>
      </c>
      <c r="K57" s="125">
        <v>5.0</v>
      </c>
      <c r="L57" s="125">
        <v>4.0</v>
      </c>
      <c r="M57" s="125">
        <f t="shared" si="1"/>
        <v>100</v>
      </c>
      <c r="N57" s="125">
        <f t="shared" si="2"/>
        <v>0.8333333333</v>
      </c>
      <c r="O57" s="125"/>
      <c r="P57" s="125"/>
      <c r="Q57" s="125"/>
      <c r="R57" s="125"/>
      <c r="S57" s="628">
        <f t="shared" si="3"/>
        <v>600</v>
      </c>
      <c r="T57" s="627">
        <v>0.0</v>
      </c>
      <c r="U57" s="627">
        <v>0.0</v>
      </c>
      <c r="V57" s="627">
        <v>5.0</v>
      </c>
      <c r="W57" s="627">
        <v>5.0</v>
      </c>
      <c r="X57" s="627">
        <v>3.0</v>
      </c>
      <c r="Y57" s="89"/>
    </row>
    <row r="58" ht="22.5" customHeight="1">
      <c r="A58" s="125" t="str">
        <f>IFERROR(__xludf.DUMMYFUNCTION("""COMPUTED_VALUE"""),"Lea_Bag_COCCO_PURPLE")</f>
        <v>Lea_Bag_COCCO_PURPLE</v>
      </c>
      <c r="B58" s="125"/>
      <c r="C58" s="125"/>
      <c r="D58" s="125" t="s">
        <v>2082</v>
      </c>
      <c r="E58" s="125" t="s">
        <v>162</v>
      </c>
      <c r="F58" s="125" t="s">
        <v>292</v>
      </c>
      <c r="G58" s="125">
        <v>120.0</v>
      </c>
      <c r="H58" s="125">
        <v>20.0</v>
      </c>
      <c r="I58" s="627">
        <v>27.0</v>
      </c>
      <c r="J58" s="125">
        <v>8.0</v>
      </c>
      <c r="K58" s="125">
        <v>19.0</v>
      </c>
      <c r="L58" s="125">
        <v>18.0</v>
      </c>
      <c r="M58" s="125">
        <f t="shared" si="1"/>
        <v>100</v>
      </c>
      <c r="N58" s="125">
        <f t="shared" si="2"/>
        <v>0.8333333333</v>
      </c>
      <c r="O58" s="125"/>
      <c r="P58" s="125"/>
      <c r="Q58" s="125"/>
      <c r="R58" s="125"/>
      <c r="S58" s="628">
        <f t="shared" si="3"/>
        <v>960</v>
      </c>
      <c r="T58" s="627">
        <v>0.0</v>
      </c>
      <c r="U58" s="627">
        <v>0.0</v>
      </c>
      <c r="V58" s="627">
        <v>8.0</v>
      </c>
      <c r="W58" s="627">
        <v>8.0</v>
      </c>
      <c r="X58" s="627">
        <v>6.0</v>
      </c>
      <c r="Y58" s="89"/>
    </row>
    <row r="59" ht="22.5" customHeight="1">
      <c r="A59" s="227" t="str">
        <f>IFERROR(__xludf.DUMMYFUNCTION("""COMPUTED_VALUE"""),"Maria_Bag_BURRO_PIERCING")</f>
        <v>Maria_Bag_BURRO_PIERCING</v>
      </c>
      <c r="B59" s="125"/>
      <c r="C59" s="125"/>
      <c r="D59" s="125" t="s">
        <v>2082</v>
      </c>
      <c r="E59" s="125" t="s">
        <v>203</v>
      </c>
      <c r="F59" s="125" t="s">
        <v>294</v>
      </c>
      <c r="G59" s="125">
        <v>120.0</v>
      </c>
      <c r="H59" s="125">
        <v>26.0</v>
      </c>
      <c r="I59" s="627">
        <v>12.0</v>
      </c>
      <c r="J59" s="125">
        <v>8.0</v>
      </c>
      <c r="K59" s="125">
        <v>4.0</v>
      </c>
      <c r="L59" s="125">
        <v>4.0</v>
      </c>
      <c r="M59" s="125">
        <f t="shared" si="1"/>
        <v>94</v>
      </c>
      <c r="N59" s="125">
        <f t="shared" si="2"/>
        <v>0.7833333333</v>
      </c>
      <c r="O59" s="125"/>
      <c r="P59" s="125"/>
      <c r="Q59" s="125"/>
      <c r="R59" s="125"/>
      <c r="S59" s="628">
        <f t="shared" si="3"/>
        <v>960</v>
      </c>
      <c r="T59" s="627">
        <v>0.0</v>
      </c>
      <c r="U59" s="627">
        <v>0.0</v>
      </c>
      <c r="V59" s="627">
        <v>8.0</v>
      </c>
      <c r="W59" s="627">
        <v>8.0</v>
      </c>
      <c r="X59" s="627">
        <v>6.0</v>
      </c>
      <c r="Y59" s="89"/>
    </row>
    <row r="60" ht="22.5" customHeight="1">
      <c r="A60" s="227" t="str">
        <f>IFERROR(__xludf.DUMMYFUNCTION("""COMPUTED_VALUE"""),"Lea_Bag_Maxi_COCCO_CHOCOLATE")</f>
        <v>Lea_Bag_Maxi_COCCO_CHOCOLATE</v>
      </c>
      <c r="B60" s="125"/>
      <c r="C60" s="125"/>
      <c r="D60" s="125" t="s">
        <v>2082</v>
      </c>
      <c r="E60" s="125" t="s">
        <v>242</v>
      </c>
      <c r="F60" s="125" t="s">
        <v>236</v>
      </c>
      <c r="G60" s="125">
        <v>170.0</v>
      </c>
      <c r="H60" s="125">
        <v>25.0</v>
      </c>
      <c r="I60" s="627">
        <v>10.0</v>
      </c>
      <c r="J60" s="125">
        <v>2.0</v>
      </c>
      <c r="K60" s="125">
        <v>8.0</v>
      </c>
      <c r="L60" s="125">
        <v>6.0</v>
      </c>
      <c r="M60" s="125">
        <f t="shared" si="1"/>
        <v>145</v>
      </c>
      <c r="N60" s="125">
        <f t="shared" si="2"/>
        <v>0.8529411765</v>
      </c>
      <c r="O60" s="125"/>
      <c r="P60" s="125"/>
      <c r="Q60" s="125"/>
      <c r="R60" s="125"/>
      <c r="S60" s="628">
        <f t="shared" si="3"/>
        <v>340</v>
      </c>
      <c r="T60" s="627">
        <v>0.0</v>
      </c>
      <c r="U60" s="627">
        <v>0.0</v>
      </c>
      <c r="V60" s="627">
        <v>2.0</v>
      </c>
      <c r="W60" s="627">
        <v>2.0</v>
      </c>
      <c r="X60" s="627">
        <v>1.0</v>
      </c>
      <c r="Y60" s="89"/>
    </row>
    <row r="61" ht="22.5" customHeight="1">
      <c r="A61" s="227" t="str">
        <f>IFERROR(__xludf.DUMMYFUNCTION("""COMPUTED_VALUE"""),"Lea_Bag_COCCO_PINK")</f>
        <v>Lea_Bag_COCCO_PINK</v>
      </c>
      <c r="B61" s="125"/>
      <c r="C61" s="125"/>
      <c r="D61" s="125" t="s">
        <v>2082</v>
      </c>
      <c r="E61" s="125" t="s">
        <v>162</v>
      </c>
      <c r="F61" s="125" t="s">
        <v>297</v>
      </c>
      <c r="G61" s="125">
        <v>120.0</v>
      </c>
      <c r="H61" s="125">
        <v>20.0</v>
      </c>
      <c r="I61" s="627">
        <v>7.0</v>
      </c>
      <c r="J61" s="125">
        <v>3.0</v>
      </c>
      <c r="K61" s="125">
        <v>4.0</v>
      </c>
      <c r="L61" s="125">
        <v>3.0</v>
      </c>
      <c r="M61" s="125">
        <f t="shared" si="1"/>
        <v>100</v>
      </c>
      <c r="N61" s="125">
        <f t="shared" si="2"/>
        <v>0.8333333333</v>
      </c>
      <c r="O61" s="125"/>
      <c r="P61" s="125"/>
      <c r="Q61" s="125"/>
      <c r="R61" s="125"/>
      <c r="S61" s="628">
        <f t="shared" si="3"/>
        <v>360</v>
      </c>
      <c r="T61" s="627">
        <v>0.0</v>
      </c>
      <c r="U61" s="627">
        <v>0.0</v>
      </c>
      <c r="V61" s="627">
        <v>3.0</v>
      </c>
      <c r="W61" s="627">
        <v>3.0</v>
      </c>
      <c r="X61" s="627">
        <v>1.0</v>
      </c>
      <c r="Y61" s="89"/>
    </row>
    <row r="62" ht="22.5" customHeight="1">
      <c r="A62" s="227" t="str">
        <f>IFERROR(__xludf.DUMMYFUNCTION("""COMPUTED_VALUE"""),"Lea_Bag_COCCO_GREEN")</f>
        <v>Lea_Bag_COCCO_GREEN</v>
      </c>
      <c r="B62" s="125"/>
      <c r="C62" s="125"/>
      <c r="D62" s="125" t="s">
        <v>2082</v>
      </c>
      <c r="E62" s="125" t="s">
        <v>162</v>
      </c>
      <c r="F62" s="125" t="s">
        <v>299</v>
      </c>
      <c r="G62" s="125">
        <v>120.0</v>
      </c>
      <c r="H62" s="125">
        <v>20.0</v>
      </c>
      <c r="I62" s="627">
        <v>28.0</v>
      </c>
      <c r="J62" s="125">
        <v>10.0</v>
      </c>
      <c r="K62" s="125">
        <v>18.0</v>
      </c>
      <c r="L62" s="125">
        <v>17.0</v>
      </c>
      <c r="M62" s="125">
        <f t="shared" si="1"/>
        <v>100</v>
      </c>
      <c r="N62" s="125">
        <f t="shared" si="2"/>
        <v>0.8333333333</v>
      </c>
      <c r="O62" s="125"/>
      <c r="P62" s="125"/>
      <c r="Q62" s="125"/>
      <c r="R62" s="125"/>
      <c r="S62" s="628">
        <f t="shared" si="3"/>
        <v>1200</v>
      </c>
      <c r="T62" s="627">
        <v>0.0</v>
      </c>
      <c r="U62" s="627">
        <v>0.0</v>
      </c>
      <c r="V62" s="627">
        <v>10.0</v>
      </c>
      <c r="W62" s="627">
        <v>10.0</v>
      </c>
      <c r="X62" s="627">
        <v>8.0</v>
      </c>
      <c r="Y62" s="89"/>
    </row>
    <row r="63" ht="22.5" customHeight="1">
      <c r="A63" s="227" t="str">
        <f>IFERROR(__xludf.DUMMYFUNCTION("""COMPUTED_VALUE"""),"Agata_Bag_ROSE_BUTTER")</f>
        <v>Agata_Bag_ROSE_BUTTER</v>
      </c>
      <c r="B63" s="125"/>
      <c r="C63" s="125"/>
      <c r="D63" s="125" t="s">
        <v>2082</v>
      </c>
      <c r="E63" s="125" t="s">
        <v>269</v>
      </c>
      <c r="F63" s="125" t="s">
        <v>301</v>
      </c>
      <c r="G63" s="125">
        <v>80.0</v>
      </c>
      <c r="H63" s="125">
        <v>19.0</v>
      </c>
      <c r="I63" s="627">
        <v>5.0</v>
      </c>
      <c r="J63" s="125">
        <v>0.0</v>
      </c>
      <c r="K63" s="125">
        <v>5.0</v>
      </c>
      <c r="L63" s="125">
        <v>5.0</v>
      </c>
      <c r="M63" s="125">
        <f t="shared" si="1"/>
        <v>61</v>
      </c>
      <c r="N63" s="125">
        <f t="shared" si="2"/>
        <v>0.7625</v>
      </c>
      <c r="O63" s="125"/>
      <c r="P63" s="125"/>
      <c r="Q63" s="125"/>
      <c r="R63" s="125"/>
      <c r="S63" s="628">
        <f t="shared" si="3"/>
        <v>0</v>
      </c>
      <c r="T63" s="627">
        <v>0.0</v>
      </c>
      <c r="U63" s="627">
        <v>0.0</v>
      </c>
      <c r="V63" s="627">
        <v>0.0</v>
      </c>
      <c r="W63" s="627">
        <v>0.0</v>
      </c>
      <c r="X63" s="627">
        <v>0.0</v>
      </c>
      <c r="Y63" s="89"/>
    </row>
    <row r="64" ht="22.5" customHeight="1">
      <c r="A64" s="227" t="str">
        <f>IFERROR(__xludf.DUMMYFUNCTION("""COMPUTED_VALUE"""),"Agata_Bag_ROSE_BUTTER_GREEN")</f>
        <v>Agata_Bag_ROSE_BUTTER_GREEN</v>
      </c>
      <c r="B64" s="125"/>
      <c r="C64" s="125"/>
      <c r="D64" s="125" t="s">
        <v>2082</v>
      </c>
      <c r="E64" s="125" t="s">
        <v>269</v>
      </c>
      <c r="F64" s="125" t="s">
        <v>303</v>
      </c>
      <c r="G64" s="125">
        <v>80.0</v>
      </c>
      <c r="H64" s="125">
        <v>19.0</v>
      </c>
      <c r="I64" s="627">
        <v>5.0</v>
      </c>
      <c r="J64" s="125">
        <v>0.0</v>
      </c>
      <c r="K64" s="125">
        <v>5.0</v>
      </c>
      <c r="L64" s="125">
        <v>3.0</v>
      </c>
      <c r="M64" s="125">
        <f t="shared" si="1"/>
        <v>61</v>
      </c>
      <c r="N64" s="125">
        <f t="shared" si="2"/>
        <v>0.7625</v>
      </c>
      <c r="O64" s="125"/>
      <c r="P64" s="125"/>
      <c r="Q64" s="125"/>
      <c r="R64" s="125"/>
      <c r="S64" s="628">
        <f t="shared" si="3"/>
        <v>0</v>
      </c>
      <c r="T64" s="627">
        <v>0.0</v>
      </c>
      <c r="U64" s="627">
        <v>0.0</v>
      </c>
      <c r="V64" s="627">
        <v>0.0</v>
      </c>
      <c r="W64" s="627">
        <v>0.0</v>
      </c>
      <c r="X64" s="627">
        <v>0.0</v>
      </c>
      <c r="Y64" s="89"/>
    </row>
    <row r="65" ht="22.5" customHeight="1">
      <c r="A65" s="227" t="str">
        <f>IFERROR(__xludf.DUMMYFUNCTION("""COMPUTED_VALUE"""),"Agata_Bag_PAILLETTES_PINK")</f>
        <v>Agata_Bag_PAILLETTES_PINK</v>
      </c>
      <c r="B65" s="125"/>
      <c r="C65" s="125"/>
      <c r="D65" s="125" t="s">
        <v>2082</v>
      </c>
      <c r="E65" s="125" t="s">
        <v>269</v>
      </c>
      <c r="F65" s="125" t="s">
        <v>255</v>
      </c>
      <c r="G65" s="125">
        <v>80.0</v>
      </c>
      <c r="H65" s="125">
        <v>19.0</v>
      </c>
      <c r="I65" s="627">
        <v>10.0</v>
      </c>
      <c r="J65" s="125">
        <v>8.0</v>
      </c>
      <c r="K65" s="125">
        <v>2.0</v>
      </c>
      <c r="L65" s="125">
        <v>2.0</v>
      </c>
      <c r="M65" s="125">
        <f t="shared" si="1"/>
        <v>61</v>
      </c>
      <c r="N65" s="125">
        <f t="shared" si="2"/>
        <v>0.7625</v>
      </c>
      <c r="O65" s="125"/>
      <c r="P65" s="125"/>
      <c r="Q65" s="125"/>
      <c r="R65" s="125"/>
      <c r="S65" s="628">
        <f t="shared" si="3"/>
        <v>640</v>
      </c>
      <c r="T65" s="627">
        <v>0.0</v>
      </c>
      <c r="U65" s="627">
        <v>0.0</v>
      </c>
      <c r="V65" s="627">
        <v>8.0</v>
      </c>
      <c r="W65" s="627">
        <v>8.0</v>
      </c>
      <c r="X65" s="627">
        <v>6.0</v>
      </c>
      <c r="Y65" s="89"/>
    </row>
    <row r="66" ht="22.5" customHeight="1">
      <c r="A66" s="227" t="str">
        <f>IFERROR(__xludf.DUMMYFUNCTION("""COMPUTED_VALUE"""),"Annie_Bag_PAILLETTES_BEIGE")</f>
        <v>Annie_Bag_PAILLETTES_BEIGE</v>
      </c>
      <c r="B66" s="125"/>
      <c r="C66" s="125"/>
      <c r="D66" s="125" t="s">
        <v>2082</v>
      </c>
      <c r="E66" s="125" t="s">
        <v>252</v>
      </c>
      <c r="F66" s="125" t="s">
        <v>306</v>
      </c>
      <c r="G66" s="125">
        <v>90.0</v>
      </c>
      <c r="H66" s="125">
        <v>16.5</v>
      </c>
      <c r="I66" s="627">
        <v>7.0</v>
      </c>
      <c r="J66" s="125">
        <v>0.0</v>
      </c>
      <c r="K66" s="125">
        <v>7.0</v>
      </c>
      <c r="L66" s="125">
        <v>7.0</v>
      </c>
      <c r="M66" s="125">
        <f t="shared" si="1"/>
        <v>73.5</v>
      </c>
      <c r="N66" s="125">
        <f t="shared" si="2"/>
        <v>0.8166666667</v>
      </c>
      <c r="O66" s="125"/>
      <c r="P66" s="125"/>
      <c r="Q66" s="125"/>
      <c r="R66" s="125"/>
      <c r="S66" s="628">
        <f t="shared" si="3"/>
        <v>0</v>
      </c>
      <c r="T66" s="627">
        <v>0.0</v>
      </c>
      <c r="U66" s="627">
        <v>0.0</v>
      </c>
      <c r="V66" s="627">
        <v>0.0</v>
      </c>
      <c r="W66" s="627">
        <v>0.0</v>
      </c>
      <c r="X66" s="627">
        <v>0.0</v>
      </c>
      <c r="Y66" s="89"/>
    </row>
    <row r="67" ht="22.5" customHeight="1">
      <c r="A67" s="227" t="str">
        <f>IFERROR(__xludf.DUMMYFUNCTION("""COMPUTED_VALUE"""),"Nina_Bag_STRIPES_PETROL_BLUE")</f>
        <v>Nina_Bag_STRIPES_PETROL_BLUE</v>
      </c>
      <c r="B67" s="125"/>
      <c r="C67" s="125"/>
      <c r="D67" s="125" t="s">
        <v>2082</v>
      </c>
      <c r="E67" s="125" t="s">
        <v>211</v>
      </c>
      <c r="F67" s="125" t="s">
        <v>308</v>
      </c>
      <c r="G67" s="125">
        <v>50.0</v>
      </c>
      <c r="H67" s="125">
        <v>10.71</v>
      </c>
      <c r="I67" s="627">
        <v>33.0</v>
      </c>
      <c r="J67" s="125">
        <v>24.0</v>
      </c>
      <c r="K67" s="125">
        <v>9.0</v>
      </c>
      <c r="L67" s="125">
        <v>9.0</v>
      </c>
      <c r="M67" s="125">
        <f t="shared" si="1"/>
        <v>39.29</v>
      </c>
      <c r="N67" s="125">
        <f t="shared" si="2"/>
        <v>0.7858</v>
      </c>
      <c r="O67" s="125"/>
      <c r="P67" s="125"/>
      <c r="Q67" s="125"/>
      <c r="R67" s="125"/>
      <c r="S67" s="628">
        <f t="shared" si="3"/>
        <v>1200</v>
      </c>
      <c r="T67" s="627">
        <v>3.0</v>
      </c>
      <c r="U67" s="627">
        <v>0.0</v>
      </c>
      <c r="V67" s="627">
        <v>21.0</v>
      </c>
      <c r="W67" s="627">
        <v>21.0</v>
      </c>
      <c r="X67" s="627">
        <v>19.0</v>
      </c>
      <c r="Y67" s="89"/>
    </row>
    <row r="68" ht="22.5" customHeight="1">
      <c r="A68" s="227" t="str">
        <f>IFERROR(__xludf.DUMMYFUNCTION("""COMPUTED_VALUE"""),"Nina_Bag_STRIPES_ICE_GREEN")</f>
        <v>Nina_Bag_STRIPES_ICE_GREEN</v>
      </c>
      <c r="B68" s="125"/>
      <c r="C68" s="125"/>
      <c r="D68" s="125" t="s">
        <v>2082</v>
      </c>
      <c r="E68" s="125" t="s">
        <v>211</v>
      </c>
      <c r="F68" s="125" t="s">
        <v>309</v>
      </c>
      <c r="G68" s="125">
        <v>50.0</v>
      </c>
      <c r="H68" s="125">
        <v>10.71</v>
      </c>
      <c r="I68" s="627">
        <v>14.0</v>
      </c>
      <c r="J68" s="125">
        <v>13.0</v>
      </c>
      <c r="K68" s="125">
        <v>1.0</v>
      </c>
      <c r="L68" s="125">
        <v>1.0</v>
      </c>
      <c r="M68" s="125">
        <f t="shared" si="1"/>
        <v>39.29</v>
      </c>
      <c r="N68" s="125">
        <f t="shared" si="2"/>
        <v>0.7858</v>
      </c>
      <c r="O68" s="125"/>
      <c r="P68" s="125"/>
      <c r="Q68" s="125"/>
      <c r="R68" s="125"/>
      <c r="S68" s="628">
        <f t="shared" si="3"/>
        <v>650</v>
      </c>
      <c r="T68" s="627">
        <v>0.0</v>
      </c>
      <c r="U68" s="627">
        <v>0.0</v>
      </c>
      <c r="V68" s="627">
        <v>13.0</v>
      </c>
      <c r="W68" s="627">
        <v>13.0</v>
      </c>
      <c r="X68" s="627">
        <v>11.0</v>
      </c>
      <c r="Y68" s="89"/>
    </row>
    <row r="69" ht="22.5" customHeight="1">
      <c r="A69" s="227" t="str">
        <f>IFERROR(__xludf.DUMMYFUNCTION("""COMPUTED_VALUE"""),"Nina_Bag_STRIPES_ORANGE_RED")</f>
        <v>Nina_Bag_STRIPES_ORANGE_RED</v>
      </c>
      <c r="B69" s="125"/>
      <c r="C69" s="125"/>
      <c r="D69" s="125" t="s">
        <v>2082</v>
      </c>
      <c r="E69" s="125" t="s">
        <v>211</v>
      </c>
      <c r="F69" s="125" t="s">
        <v>311</v>
      </c>
      <c r="G69" s="125">
        <v>50.0</v>
      </c>
      <c r="H69" s="125">
        <v>10.71</v>
      </c>
      <c r="I69" s="627">
        <v>9.0</v>
      </c>
      <c r="J69" s="125">
        <v>7.0</v>
      </c>
      <c r="K69" s="125">
        <v>2.0</v>
      </c>
      <c r="L69" s="125">
        <v>2.0</v>
      </c>
      <c r="M69" s="125">
        <f t="shared" si="1"/>
        <v>39.29</v>
      </c>
      <c r="N69" s="125">
        <f t="shared" si="2"/>
        <v>0.7858</v>
      </c>
      <c r="O69" s="125"/>
      <c r="P69" s="125"/>
      <c r="Q69" s="125"/>
      <c r="R69" s="125"/>
      <c r="S69" s="628">
        <f t="shared" si="3"/>
        <v>350</v>
      </c>
      <c r="T69" s="627">
        <v>0.0</v>
      </c>
      <c r="U69" s="627">
        <v>0.0</v>
      </c>
      <c r="V69" s="627">
        <v>7.0</v>
      </c>
      <c r="W69" s="627">
        <v>7.0</v>
      </c>
      <c r="X69" s="627">
        <v>5.0</v>
      </c>
      <c r="Y69" s="89"/>
    </row>
    <row r="70" ht="22.5" customHeight="1">
      <c r="A70" s="227" t="str">
        <f>IFERROR(__xludf.DUMMYFUNCTION("""COMPUTED_VALUE"""),"Nina_Bag_STRIPES_AZURE_RED")</f>
        <v>Nina_Bag_STRIPES_AZURE_RED</v>
      </c>
      <c r="B70" s="125"/>
      <c r="C70" s="125"/>
      <c r="D70" s="125" t="s">
        <v>2082</v>
      </c>
      <c r="E70" s="125" t="s">
        <v>211</v>
      </c>
      <c r="F70" s="125" t="s">
        <v>313</v>
      </c>
      <c r="G70" s="125">
        <v>50.0</v>
      </c>
      <c r="H70" s="125">
        <v>10.71</v>
      </c>
      <c r="I70" s="627">
        <v>15.0</v>
      </c>
      <c r="J70" s="125">
        <v>11.0</v>
      </c>
      <c r="K70" s="125">
        <v>4.0</v>
      </c>
      <c r="L70" s="125">
        <v>4.0</v>
      </c>
      <c r="M70" s="125">
        <f t="shared" si="1"/>
        <v>39.29</v>
      </c>
      <c r="N70" s="125">
        <f t="shared" si="2"/>
        <v>0.7858</v>
      </c>
      <c r="O70" s="125"/>
      <c r="P70" s="125"/>
      <c r="Q70" s="125"/>
      <c r="R70" s="125"/>
      <c r="S70" s="628">
        <f t="shared" si="3"/>
        <v>550</v>
      </c>
      <c r="T70" s="627">
        <v>0.0</v>
      </c>
      <c r="U70" s="627">
        <v>0.0</v>
      </c>
      <c r="V70" s="627">
        <v>11.0</v>
      </c>
      <c r="W70" s="627">
        <v>11.0</v>
      </c>
      <c r="X70" s="627">
        <v>9.0</v>
      </c>
      <c r="Y70" s="89"/>
    </row>
    <row r="71" ht="22.5" customHeight="1">
      <c r="A71" s="227" t="str">
        <f>IFERROR(__xludf.DUMMYFUNCTION("""COMPUTED_VALUE"""),"Nina_Bag_STRIPES_JUNGLE_GREEN")</f>
        <v>Nina_Bag_STRIPES_JUNGLE_GREEN</v>
      </c>
      <c r="B71" s="125"/>
      <c r="C71" s="125"/>
      <c r="D71" s="125" t="s">
        <v>2082</v>
      </c>
      <c r="E71" s="125" t="s">
        <v>211</v>
      </c>
      <c r="F71" s="125" t="s">
        <v>315</v>
      </c>
      <c r="G71" s="125">
        <v>50.0</v>
      </c>
      <c r="H71" s="125">
        <v>10.71</v>
      </c>
      <c r="I71" s="627">
        <v>18.0</v>
      </c>
      <c r="J71" s="125">
        <v>17.0</v>
      </c>
      <c r="K71" s="125">
        <v>1.0</v>
      </c>
      <c r="L71" s="125">
        <v>1.0</v>
      </c>
      <c r="M71" s="125">
        <f t="shared" si="1"/>
        <v>39.29</v>
      </c>
      <c r="N71" s="125">
        <f t="shared" si="2"/>
        <v>0.7858</v>
      </c>
      <c r="O71" s="125"/>
      <c r="P71" s="125"/>
      <c r="Q71" s="125"/>
      <c r="R71" s="125"/>
      <c r="S71" s="628">
        <f t="shared" si="3"/>
        <v>850</v>
      </c>
      <c r="T71" s="627">
        <v>0.0</v>
      </c>
      <c r="U71" s="627">
        <v>0.0</v>
      </c>
      <c r="V71" s="627">
        <v>17.0</v>
      </c>
      <c r="W71" s="627">
        <v>17.0</v>
      </c>
      <c r="X71" s="627">
        <v>15.0</v>
      </c>
      <c r="Y71" s="89"/>
    </row>
    <row r="72" ht="22.5" customHeight="1">
      <c r="A72" s="227" t="str">
        <f>IFERROR(__xludf.DUMMYFUNCTION("""COMPUTED_VALUE"""),"Nina_Bag_POIS")</f>
        <v>Nina_Bag_POIS</v>
      </c>
      <c r="B72" s="125"/>
      <c r="C72" s="125"/>
      <c r="D72" s="125" t="s">
        <v>2082</v>
      </c>
      <c r="E72" s="125" t="s">
        <v>211</v>
      </c>
      <c r="F72" s="125" t="s">
        <v>317</v>
      </c>
      <c r="G72" s="125">
        <v>50.0</v>
      </c>
      <c r="H72" s="125">
        <v>10.71</v>
      </c>
      <c r="I72" s="627">
        <v>14.0</v>
      </c>
      <c r="J72" s="125">
        <v>14.0</v>
      </c>
      <c r="K72" s="125">
        <v>0.0</v>
      </c>
      <c r="L72" s="125">
        <v>0.0</v>
      </c>
      <c r="M72" s="125">
        <f t="shared" si="1"/>
        <v>39.29</v>
      </c>
      <c r="N72" s="125">
        <f t="shared" si="2"/>
        <v>0.7858</v>
      </c>
      <c r="O72" s="125"/>
      <c r="P72" s="125"/>
      <c r="Q72" s="125"/>
      <c r="R72" s="125"/>
      <c r="S72" s="628">
        <f t="shared" si="3"/>
        <v>700</v>
      </c>
      <c r="T72" s="627">
        <v>0.0</v>
      </c>
      <c r="U72" s="627">
        <v>0.0</v>
      </c>
      <c r="V72" s="627">
        <v>14.0</v>
      </c>
      <c r="W72" s="627">
        <v>14.0</v>
      </c>
      <c r="X72" s="627">
        <v>12.0</v>
      </c>
      <c r="Y72" s="89"/>
    </row>
    <row r="73" ht="22.5" customHeight="1">
      <c r="A73" s="227" t="str">
        <f>IFERROR(__xludf.DUMMYFUNCTION("""COMPUTED_VALUE"""),"Nina_Bag_Maxi_STRIPES_ICE_GREEN")</f>
        <v>Nina_Bag_Maxi_STRIPES_ICE_GREEN</v>
      </c>
      <c r="B73" s="125"/>
      <c r="C73" s="125"/>
      <c r="D73" s="125" t="s">
        <v>2082</v>
      </c>
      <c r="E73" s="125" t="s">
        <v>319</v>
      </c>
      <c r="F73" s="125" t="s">
        <v>309</v>
      </c>
      <c r="G73" s="125">
        <v>70.0</v>
      </c>
      <c r="H73" s="125">
        <v>14.58</v>
      </c>
      <c r="I73" s="627">
        <v>20.0</v>
      </c>
      <c r="J73" s="125">
        <v>18.0</v>
      </c>
      <c r="K73" s="125">
        <v>2.0</v>
      </c>
      <c r="L73" s="125">
        <v>2.0</v>
      </c>
      <c r="M73" s="125">
        <f t="shared" si="1"/>
        <v>55.42</v>
      </c>
      <c r="N73" s="125">
        <f t="shared" si="2"/>
        <v>0.7917142857</v>
      </c>
      <c r="O73" s="125"/>
      <c r="P73" s="125"/>
      <c r="Q73" s="125"/>
      <c r="R73" s="125"/>
      <c r="S73" s="628">
        <f t="shared" si="3"/>
        <v>1260</v>
      </c>
      <c r="T73" s="627">
        <v>0.0</v>
      </c>
      <c r="U73" s="627">
        <v>0.0</v>
      </c>
      <c r="V73" s="627">
        <v>18.0</v>
      </c>
      <c r="W73" s="627">
        <v>18.0</v>
      </c>
      <c r="X73" s="627">
        <v>16.0</v>
      </c>
      <c r="Y73" s="89"/>
    </row>
    <row r="74" ht="22.5" customHeight="1">
      <c r="A74" s="227" t="str">
        <f>IFERROR(__xludf.DUMMYFUNCTION("""COMPUTED_VALUE"""),"Nina_Bag_Maxi_STRIPES_ORANGE_RED")</f>
        <v>Nina_Bag_Maxi_STRIPES_ORANGE_RED</v>
      </c>
      <c r="B74" s="125"/>
      <c r="C74" s="125"/>
      <c r="D74" s="125" t="s">
        <v>2082</v>
      </c>
      <c r="E74" s="125" t="s">
        <v>319</v>
      </c>
      <c r="F74" s="125" t="s">
        <v>311</v>
      </c>
      <c r="G74" s="125">
        <v>70.0</v>
      </c>
      <c r="H74" s="125">
        <v>14.58</v>
      </c>
      <c r="I74" s="627">
        <v>20.0</v>
      </c>
      <c r="J74" s="125">
        <v>19.0</v>
      </c>
      <c r="K74" s="125">
        <v>1.0</v>
      </c>
      <c r="L74" s="125">
        <v>1.0</v>
      </c>
      <c r="M74" s="125">
        <f t="shared" si="1"/>
        <v>55.42</v>
      </c>
      <c r="N74" s="125">
        <f t="shared" si="2"/>
        <v>0.7917142857</v>
      </c>
      <c r="O74" s="125"/>
      <c r="P74" s="125"/>
      <c r="Q74" s="125"/>
      <c r="R74" s="125"/>
      <c r="S74" s="628">
        <f t="shared" si="3"/>
        <v>1330</v>
      </c>
      <c r="T74" s="627">
        <v>0.0</v>
      </c>
      <c r="U74" s="627">
        <v>0.0</v>
      </c>
      <c r="V74" s="627">
        <v>19.0</v>
      </c>
      <c r="W74" s="627">
        <v>19.0</v>
      </c>
      <c r="X74" s="627">
        <v>17.0</v>
      </c>
      <c r="Y74" s="89"/>
    </row>
    <row r="75" ht="22.5" customHeight="1">
      <c r="A75" s="227" t="str">
        <f>IFERROR(__xludf.DUMMYFUNCTION("""COMPUTED_VALUE"""),"Nina_Bag_Maxi_STRIPES_AZURE_RED")</f>
        <v>Nina_Bag_Maxi_STRIPES_AZURE_RED</v>
      </c>
      <c r="B75" s="125"/>
      <c r="C75" s="125"/>
      <c r="D75" s="125" t="s">
        <v>2082</v>
      </c>
      <c r="E75" s="125" t="s">
        <v>319</v>
      </c>
      <c r="F75" s="125" t="s">
        <v>313</v>
      </c>
      <c r="G75" s="125">
        <v>70.0</v>
      </c>
      <c r="H75" s="125">
        <v>14.58</v>
      </c>
      <c r="I75" s="627">
        <v>20.0</v>
      </c>
      <c r="J75" s="125">
        <v>20.0</v>
      </c>
      <c r="K75" s="125">
        <v>0.0</v>
      </c>
      <c r="L75" s="125">
        <v>0.0</v>
      </c>
      <c r="M75" s="125">
        <f t="shared" si="1"/>
        <v>55.42</v>
      </c>
      <c r="N75" s="125">
        <f t="shared" si="2"/>
        <v>0.7917142857</v>
      </c>
      <c r="O75" s="125"/>
      <c r="P75" s="125"/>
      <c r="Q75" s="125"/>
      <c r="R75" s="125"/>
      <c r="S75" s="628">
        <f t="shared" si="3"/>
        <v>1400</v>
      </c>
      <c r="T75" s="627">
        <v>0.0</v>
      </c>
      <c r="U75" s="627">
        <v>0.0</v>
      </c>
      <c r="V75" s="627">
        <v>20.0</v>
      </c>
      <c r="W75" s="627">
        <v>20.0</v>
      </c>
      <c r="X75" s="627">
        <v>18.0</v>
      </c>
      <c r="Y75" s="89"/>
    </row>
    <row r="76" ht="22.5" customHeight="1">
      <c r="A76" s="227" t="str">
        <f>IFERROR(__xludf.DUMMYFUNCTION("""COMPUTED_VALUE"""),"Nina_Bag_Maxi_STRIPES_JUNGLE_GREEN")</f>
        <v>Nina_Bag_Maxi_STRIPES_JUNGLE_GREEN</v>
      </c>
      <c r="B76" s="125"/>
      <c r="C76" s="125"/>
      <c r="D76" s="125" t="s">
        <v>2082</v>
      </c>
      <c r="E76" s="125" t="s">
        <v>319</v>
      </c>
      <c r="F76" s="125" t="s">
        <v>315</v>
      </c>
      <c r="G76" s="125">
        <v>70.0</v>
      </c>
      <c r="H76" s="125">
        <v>14.58</v>
      </c>
      <c r="I76" s="627">
        <v>25.0</v>
      </c>
      <c r="J76" s="125">
        <v>21.0</v>
      </c>
      <c r="K76" s="125">
        <v>4.0</v>
      </c>
      <c r="L76" s="125">
        <v>4.0</v>
      </c>
      <c r="M76" s="125">
        <f t="shared" si="1"/>
        <v>55.42</v>
      </c>
      <c r="N76" s="125">
        <f t="shared" si="2"/>
        <v>0.7917142857</v>
      </c>
      <c r="O76" s="125"/>
      <c r="P76" s="125"/>
      <c r="Q76" s="125"/>
      <c r="R76" s="125"/>
      <c r="S76" s="628">
        <f t="shared" si="3"/>
        <v>1470</v>
      </c>
      <c r="T76" s="627">
        <v>0.0</v>
      </c>
      <c r="U76" s="627">
        <v>0.0</v>
      </c>
      <c r="V76" s="627">
        <v>21.0</v>
      </c>
      <c r="W76" s="627">
        <v>21.0</v>
      </c>
      <c r="X76" s="627">
        <v>19.0</v>
      </c>
      <c r="Y76" s="89"/>
    </row>
    <row r="77" ht="22.5" customHeight="1">
      <c r="A77" s="227" t="str">
        <f>IFERROR(__xludf.DUMMYFUNCTION("""COMPUTED_VALUE"""),"Nina_Bag_Maxi_STRIPES_REED")</f>
        <v>Nina_Bag_Maxi_STRIPES_REED</v>
      </c>
      <c r="B77" s="125"/>
      <c r="C77" s="125"/>
      <c r="D77" s="125" t="s">
        <v>2082</v>
      </c>
      <c r="E77" s="125" t="s">
        <v>319</v>
      </c>
      <c r="F77" s="125" t="s">
        <v>324</v>
      </c>
      <c r="G77" s="125">
        <v>70.0</v>
      </c>
      <c r="H77" s="125">
        <v>14.58</v>
      </c>
      <c r="I77" s="627">
        <v>31.0</v>
      </c>
      <c r="J77" s="125">
        <v>29.0</v>
      </c>
      <c r="K77" s="125">
        <v>2.0</v>
      </c>
      <c r="L77" s="125">
        <v>2.0</v>
      </c>
      <c r="M77" s="125">
        <f t="shared" si="1"/>
        <v>55.42</v>
      </c>
      <c r="N77" s="125">
        <f t="shared" si="2"/>
        <v>0.7917142857</v>
      </c>
      <c r="O77" s="125"/>
      <c r="P77" s="125"/>
      <c r="Q77" s="125"/>
      <c r="R77" s="125"/>
      <c r="S77" s="628">
        <f t="shared" si="3"/>
        <v>2030</v>
      </c>
      <c r="T77" s="627">
        <v>2.0</v>
      </c>
      <c r="U77" s="627">
        <v>-2.0</v>
      </c>
      <c r="V77" s="627">
        <v>27.0</v>
      </c>
      <c r="W77" s="627">
        <v>29.0</v>
      </c>
      <c r="X77" s="627">
        <v>27.0</v>
      </c>
      <c r="Y77" s="89"/>
    </row>
    <row r="78" ht="22.5" customHeight="1">
      <c r="A78" s="227" t="str">
        <f>IFERROR(__xludf.DUMMYFUNCTION("""COMPUTED_VALUE"""),"Nina_Bag_Maxi_CHECKS_CHERRY_YELLOW")</f>
        <v>Nina_Bag_Maxi_CHECKS_CHERRY_YELLOW</v>
      </c>
      <c r="B78" s="125"/>
      <c r="C78" s="125"/>
      <c r="D78" s="125" t="s">
        <v>2082</v>
      </c>
      <c r="E78" s="125" t="s">
        <v>319</v>
      </c>
      <c r="F78" s="125" t="s">
        <v>325</v>
      </c>
      <c r="G78" s="125">
        <v>70.0</v>
      </c>
      <c r="H78" s="125">
        <v>14.58</v>
      </c>
      <c r="I78" s="627">
        <v>20.0</v>
      </c>
      <c r="J78" s="125">
        <v>20.0</v>
      </c>
      <c r="K78" s="125">
        <v>0.0</v>
      </c>
      <c r="L78" s="125">
        <v>0.0</v>
      </c>
      <c r="M78" s="125">
        <f t="shared" si="1"/>
        <v>55.42</v>
      </c>
      <c r="N78" s="125">
        <f t="shared" si="2"/>
        <v>0.7917142857</v>
      </c>
      <c r="O78" s="125"/>
      <c r="P78" s="125"/>
      <c r="Q78" s="125"/>
      <c r="R78" s="125"/>
      <c r="S78" s="628">
        <f t="shared" si="3"/>
        <v>1400</v>
      </c>
      <c r="T78" s="627">
        <v>0.0</v>
      </c>
      <c r="U78" s="627">
        <v>0.0</v>
      </c>
      <c r="V78" s="627">
        <v>20.0</v>
      </c>
      <c r="W78" s="627">
        <v>20.0</v>
      </c>
      <c r="X78" s="627">
        <v>18.0</v>
      </c>
      <c r="Y78" s="89"/>
    </row>
    <row r="79" ht="22.5" customHeight="1">
      <c r="A79" s="227" t="str">
        <f>IFERROR(__xludf.DUMMYFUNCTION("""COMPUTED_VALUE"""),"Airpod_Cover_7X9_STRIPES_LIME_PINK")</f>
        <v>Airpod_Cover_7X9_STRIPES_LIME_PINK</v>
      </c>
      <c r="B79" s="125"/>
      <c r="C79" s="125"/>
      <c r="D79" s="125" t="s">
        <v>2356</v>
      </c>
      <c r="E79" s="125" t="s">
        <v>327</v>
      </c>
      <c r="F79" s="125" t="s">
        <v>2357</v>
      </c>
      <c r="G79" s="125">
        <v>14.0</v>
      </c>
      <c r="H79" s="125">
        <v>2.48</v>
      </c>
      <c r="I79" s="627">
        <v>16.0</v>
      </c>
      <c r="J79" s="125">
        <v>16.0</v>
      </c>
      <c r="K79" s="125">
        <v>0.0</v>
      </c>
      <c r="L79" s="125">
        <v>0.0</v>
      </c>
      <c r="M79" s="125">
        <f t="shared" si="1"/>
        <v>11.52</v>
      </c>
      <c r="N79" s="125">
        <f t="shared" si="2"/>
        <v>0.8228571429</v>
      </c>
      <c r="O79" s="125"/>
      <c r="P79" s="125"/>
      <c r="Q79" s="125"/>
      <c r="R79" s="125"/>
      <c r="S79" s="628">
        <f t="shared" si="3"/>
        <v>224</v>
      </c>
      <c r="T79" s="627">
        <v>0.0</v>
      </c>
      <c r="U79" s="627">
        <v>0.0</v>
      </c>
      <c r="V79" s="627">
        <v>16.0</v>
      </c>
      <c r="W79" s="627">
        <v>16.0</v>
      </c>
      <c r="X79" s="627">
        <v>14.0</v>
      </c>
      <c r="Y79" s="89"/>
    </row>
    <row r="80" ht="22.5" customHeight="1">
      <c r="A80" s="227" t="str">
        <f>IFERROR(__xludf.DUMMYFUNCTION("""COMPUTED_VALUE"""),"Airpod_Cover_7X9_STRIPES_CANDY_PINK")</f>
        <v>Airpod_Cover_7X9_STRIPES_CANDY_PINK</v>
      </c>
      <c r="B80" s="125"/>
      <c r="C80" s="125"/>
      <c r="D80" s="125" t="s">
        <v>2356</v>
      </c>
      <c r="E80" s="125" t="s">
        <v>327</v>
      </c>
      <c r="F80" s="125" t="s">
        <v>2359</v>
      </c>
      <c r="G80" s="125">
        <v>14.0</v>
      </c>
      <c r="H80" s="125">
        <v>2.48</v>
      </c>
      <c r="I80" s="627">
        <v>9.0</v>
      </c>
      <c r="J80" s="125">
        <v>9.0</v>
      </c>
      <c r="K80" s="125">
        <v>0.0</v>
      </c>
      <c r="L80" s="125">
        <v>0.0</v>
      </c>
      <c r="M80" s="125">
        <f t="shared" si="1"/>
        <v>11.52</v>
      </c>
      <c r="N80" s="125">
        <f t="shared" si="2"/>
        <v>0.8228571429</v>
      </c>
      <c r="O80" s="125"/>
      <c r="P80" s="125"/>
      <c r="Q80" s="125"/>
      <c r="R80" s="125"/>
      <c r="S80" s="628">
        <f t="shared" si="3"/>
        <v>126</v>
      </c>
      <c r="T80" s="627">
        <v>0.0</v>
      </c>
      <c r="U80" s="627">
        <v>0.0</v>
      </c>
      <c r="V80" s="627">
        <v>9.0</v>
      </c>
      <c r="W80" s="627">
        <v>9.0</v>
      </c>
      <c r="X80" s="627">
        <v>7.0</v>
      </c>
      <c r="Y80" s="89"/>
    </row>
    <row r="81" ht="22.5" customHeight="1">
      <c r="A81" s="227" t="str">
        <f>IFERROR(__xludf.DUMMYFUNCTION("""COMPUTED_VALUE"""),"Airpod_Cover_7X9_STRIPES_RED")</f>
        <v>Airpod_Cover_7X9_STRIPES_RED</v>
      </c>
      <c r="B81" s="125"/>
      <c r="C81" s="125"/>
      <c r="D81" s="125" t="s">
        <v>2356</v>
      </c>
      <c r="E81" s="125" t="s">
        <v>327</v>
      </c>
      <c r="F81" s="125" t="s">
        <v>2361</v>
      </c>
      <c r="G81" s="125">
        <v>14.0</v>
      </c>
      <c r="H81" s="125">
        <v>2.48</v>
      </c>
      <c r="I81" s="627">
        <v>21.0</v>
      </c>
      <c r="J81" s="125">
        <v>21.0</v>
      </c>
      <c r="K81" s="125">
        <v>0.0</v>
      </c>
      <c r="L81" s="125">
        <v>0.0</v>
      </c>
      <c r="M81" s="125">
        <f t="shared" si="1"/>
        <v>11.52</v>
      </c>
      <c r="N81" s="125">
        <f t="shared" si="2"/>
        <v>0.8228571429</v>
      </c>
      <c r="O81" s="125"/>
      <c r="P81" s="125"/>
      <c r="Q81" s="125"/>
      <c r="R81" s="125"/>
      <c r="S81" s="628">
        <f t="shared" si="3"/>
        <v>294</v>
      </c>
      <c r="T81" s="627">
        <v>0.0</v>
      </c>
      <c r="U81" s="627">
        <v>0.0</v>
      </c>
      <c r="V81" s="627">
        <v>21.0</v>
      </c>
      <c r="W81" s="627">
        <v>21.0</v>
      </c>
      <c r="X81" s="627">
        <v>19.0</v>
      </c>
      <c r="Y81" s="89"/>
    </row>
    <row r="82" ht="22.5" customHeight="1">
      <c r="A82" s="227" t="str">
        <f>IFERROR(__xludf.DUMMYFUNCTION("""COMPUTED_VALUE"""),"Airpod_Cover_7X9_STRIPES_LIGHT_BLUE")</f>
        <v>Airpod_Cover_7X9_STRIPES_LIGHT_BLUE</v>
      </c>
      <c r="B82" s="125"/>
      <c r="C82" s="125"/>
      <c r="D82" s="125" t="s">
        <v>2356</v>
      </c>
      <c r="E82" s="125" t="s">
        <v>327</v>
      </c>
      <c r="F82" s="125" t="s">
        <v>2363</v>
      </c>
      <c r="G82" s="125">
        <v>14.0</v>
      </c>
      <c r="H82" s="125">
        <v>2.48</v>
      </c>
      <c r="I82" s="627">
        <v>19.0</v>
      </c>
      <c r="J82" s="125">
        <v>19.0</v>
      </c>
      <c r="K82" s="125">
        <v>0.0</v>
      </c>
      <c r="L82" s="125">
        <v>0.0</v>
      </c>
      <c r="M82" s="125">
        <f t="shared" si="1"/>
        <v>11.52</v>
      </c>
      <c r="N82" s="125">
        <f t="shared" si="2"/>
        <v>0.8228571429</v>
      </c>
      <c r="O82" s="125"/>
      <c r="P82" s="125"/>
      <c r="Q82" s="125"/>
      <c r="R82" s="125"/>
      <c r="S82" s="628">
        <f t="shared" si="3"/>
        <v>266</v>
      </c>
      <c r="T82" s="627">
        <v>0.0</v>
      </c>
      <c r="U82" s="627">
        <v>0.0</v>
      </c>
      <c r="V82" s="627">
        <v>19.0</v>
      </c>
      <c r="W82" s="627">
        <v>19.0</v>
      </c>
      <c r="X82" s="627">
        <v>17.0</v>
      </c>
      <c r="Y82" s="89"/>
    </row>
    <row r="83" ht="22.5" customHeight="1">
      <c r="A83" s="227" t="str">
        <f>IFERROR(__xludf.DUMMYFUNCTION("""COMPUTED_VALUE"""),"Airpod_Cover_7X9_CHECKS_CHERRY_PINK")</f>
        <v>Airpod_Cover_7X9_CHECKS_CHERRY_PINK</v>
      </c>
      <c r="B83" s="125"/>
      <c r="C83" s="125"/>
      <c r="D83" s="125" t="s">
        <v>2356</v>
      </c>
      <c r="E83" s="125" t="s">
        <v>327</v>
      </c>
      <c r="F83" s="125" t="s">
        <v>336</v>
      </c>
      <c r="G83" s="125">
        <v>14.0</v>
      </c>
      <c r="H83" s="125">
        <v>2.48</v>
      </c>
      <c r="I83" s="627">
        <v>16.0</v>
      </c>
      <c r="J83" s="125">
        <v>16.0</v>
      </c>
      <c r="K83" s="125">
        <v>0.0</v>
      </c>
      <c r="L83" s="125">
        <v>0.0</v>
      </c>
      <c r="M83" s="125">
        <f t="shared" si="1"/>
        <v>11.52</v>
      </c>
      <c r="N83" s="125">
        <f t="shared" si="2"/>
        <v>0.8228571429</v>
      </c>
      <c r="O83" s="125"/>
      <c r="P83" s="125"/>
      <c r="Q83" s="125"/>
      <c r="R83" s="125"/>
      <c r="S83" s="628">
        <f t="shared" si="3"/>
        <v>224</v>
      </c>
      <c r="T83" s="627">
        <v>0.0</v>
      </c>
      <c r="U83" s="627">
        <v>0.0</v>
      </c>
      <c r="V83" s="627">
        <v>16.0</v>
      </c>
      <c r="W83" s="627">
        <v>16.0</v>
      </c>
      <c r="X83" s="627">
        <v>14.0</v>
      </c>
      <c r="Y83" s="89"/>
    </row>
    <row r="84" ht="22.5" customHeight="1">
      <c r="A84" s="227" t="str">
        <f>IFERROR(__xludf.DUMMYFUNCTION("""COMPUTED_VALUE"""),"Airpod_Cover_7X9_CHECKS_FOREST_GREEN")</f>
        <v>Airpod_Cover_7X9_CHECKS_FOREST_GREEN</v>
      </c>
      <c r="B84" s="125"/>
      <c r="C84" s="125"/>
      <c r="D84" s="125" t="s">
        <v>2356</v>
      </c>
      <c r="E84" s="125" t="s">
        <v>327</v>
      </c>
      <c r="F84" s="125" t="s">
        <v>2366</v>
      </c>
      <c r="G84" s="125">
        <v>14.0</v>
      </c>
      <c r="H84" s="125">
        <v>2.48</v>
      </c>
      <c r="I84" s="627">
        <v>16.0</v>
      </c>
      <c r="J84" s="125">
        <v>14.0</v>
      </c>
      <c r="K84" s="125">
        <v>2.0</v>
      </c>
      <c r="L84" s="125">
        <v>2.0</v>
      </c>
      <c r="M84" s="125">
        <f t="shared" si="1"/>
        <v>11.52</v>
      </c>
      <c r="N84" s="125">
        <f t="shared" si="2"/>
        <v>0.8228571429</v>
      </c>
      <c r="O84" s="125"/>
      <c r="P84" s="125"/>
      <c r="Q84" s="125"/>
      <c r="R84" s="125"/>
      <c r="S84" s="628">
        <f t="shared" si="3"/>
        <v>196</v>
      </c>
      <c r="T84" s="627">
        <v>0.0</v>
      </c>
      <c r="U84" s="627">
        <v>0.0</v>
      </c>
      <c r="V84" s="627">
        <v>14.0</v>
      </c>
      <c r="W84" s="627">
        <v>14.0</v>
      </c>
      <c r="X84" s="627">
        <v>12.0</v>
      </c>
      <c r="Y84" s="89"/>
    </row>
    <row r="85" ht="22.5" customHeight="1">
      <c r="A85" s="227" t="str">
        <f>IFERROR(__xludf.DUMMYFUNCTION("""COMPUTED_VALUE"""),"Airpod_Cover_9X11_STRIPES_LIME_PINK")</f>
        <v>Airpod_Cover_9X11_STRIPES_LIME_PINK</v>
      </c>
      <c r="B85" s="125"/>
      <c r="C85" s="125"/>
      <c r="D85" s="125" t="s">
        <v>2356</v>
      </c>
      <c r="E85" s="125" t="s">
        <v>327</v>
      </c>
      <c r="F85" s="125" t="s">
        <v>2368</v>
      </c>
      <c r="G85" s="125">
        <v>16.0</v>
      </c>
      <c r="H85" s="125">
        <v>2.54</v>
      </c>
      <c r="I85" s="627">
        <v>15.0</v>
      </c>
      <c r="J85" s="125">
        <v>15.0</v>
      </c>
      <c r="K85" s="125">
        <v>0.0</v>
      </c>
      <c r="L85" s="125">
        <v>0.0</v>
      </c>
      <c r="M85" s="125">
        <f t="shared" si="1"/>
        <v>13.46</v>
      </c>
      <c r="N85" s="125">
        <f t="shared" si="2"/>
        <v>0.84125</v>
      </c>
      <c r="O85" s="125"/>
      <c r="P85" s="125"/>
      <c r="Q85" s="125"/>
      <c r="R85" s="125"/>
      <c r="S85" s="628">
        <f t="shared" si="3"/>
        <v>240</v>
      </c>
      <c r="T85" s="627">
        <v>0.0</v>
      </c>
      <c r="U85" s="627">
        <v>0.0</v>
      </c>
      <c r="V85" s="627">
        <v>15.0</v>
      </c>
      <c r="W85" s="627">
        <v>15.0</v>
      </c>
      <c r="X85" s="627">
        <v>13.0</v>
      </c>
      <c r="Y85" s="89"/>
    </row>
    <row r="86" ht="22.5" customHeight="1">
      <c r="A86" s="227" t="str">
        <f>IFERROR(__xludf.DUMMYFUNCTION("""COMPUTED_VALUE"""),"Airpod_Cover_9X11_STRIPES_CANDY_PINK")</f>
        <v>Airpod_Cover_9X11_STRIPES_CANDY_PINK</v>
      </c>
      <c r="B86" s="125"/>
      <c r="C86" s="125"/>
      <c r="D86" s="125" t="s">
        <v>2356</v>
      </c>
      <c r="E86" s="125" t="s">
        <v>327</v>
      </c>
      <c r="F86" s="125" t="s">
        <v>2370</v>
      </c>
      <c r="G86" s="125">
        <v>16.0</v>
      </c>
      <c r="H86" s="125">
        <v>2.54</v>
      </c>
      <c r="I86" s="627">
        <v>9.0</v>
      </c>
      <c r="J86" s="125">
        <v>9.0</v>
      </c>
      <c r="K86" s="125">
        <v>0.0</v>
      </c>
      <c r="L86" s="125">
        <v>0.0</v>
      </c>
      <c r="M86" s="125">
        <f t="shared" si="1"/>
        <v>13.46</v>
      </c>
      <c r="N86" s="125">
        <f t="shared" si="2"/>
        <v>0.84125</v>
      </c>
      <c r="O86" s="125"/>
      <c r="P86" s="125"/>
      <c r="Q86" s="125"/>
      <c r="R86" s="125"/>
      <c r="S86" s="628">
        <f t="shared" si="3"/>
        <v>144</v>
      </c>
      <c r="T86" s="627">
        <v>0.0</v>
      </c>
      <c r="U86" s="627">
        <v>0.0</v>
      </c>
      <c r="V86" s="627">
        <v>9.0</v>
      </c>
      <c r="W86" s="627">
        <v>9.0</v>
      </c>
      <c r="X86" s="627">
        <v>7.0</v>
      </c>
      <c r="Y86" s="89"/>
    </row>
    <row r="87" ht="22.5" customHeight="1">
      <c r="A87" s="227" t="str">
        <f>IFERROR(__xludf.DUMMYFUNCTION("""COMPUTED_VALUE"""),"Airpod_Cover_9X11_STRIPES_RED")</f>
        <v>Airpod_Cover_9X11_STRIPES_RED</v>
      </c>
      <c r="B87" s="125"/>
      <c r="C87" s="125"/>
      <c r="D87" s="125" t="s">
        <v>2356</v>
      </c>
      <c r="E87" s="125" t="s">
        <v>327</v>
      </c>
      <c r="F87" s="125" t="s">
        <v>2372</v>
      </c>
      <c r="G87" s="125">
        <v>16.0</v>
      </c>
      <c r="H87" s="125">
        <v>2.54</v>
      </c>
      <c r="I87" s="627">
        <v>21.0</v>
      </c>
      <c r="J87" s="125">
        <v>20.0</v>
      </c>
      <c r="K87" s="125">
        <v>1.0</v>
      </c>
      <c r="L87" s="125">
        <v>1.0</v>
      </c>
      <c r="M87" s="125">
        <f t="shared" si="1"/>
        <v>13.46</v>
      </c>
      <c r="N87" s="125">
        <f t="shared" si="2"/>
        <v>0.84125</v>
      </c>
      <c r="O87" s="125"/>
      <c r="P87" s="125"/>
      <c r="Q87" s="125"/>
      <c r="R87" s="125"/>
      <c r="S87" s="628">
        <f t="shared" si="3"/>
        <v>320</v>
      </c>
      <c r="T87" s="627">
        <v>0.0</v>
      </c>
      <c r="U87" s="627">
        <v>0.0</v>
      </c>
      <c r="V87" s="627">
        <v>20.0</v>
      </c>
      <c r="W87" s="627">
        <v>20.0</v>
      </c>
      <c r="X87" s="627">
        <v>18.0</v>
      </c>
      <c r="Y87" s="89"/>
    </row>
    <row r="88" ht="22.5" customHeight="1">
      <c r="A88" s="227" t="str">
        <f>IFERROR(__xludf.DUMMYFUNCTION("""COMPUTED_VALUE"""),"Airpod_Cover_9X11_STRIPES_LIGHT_BLUE")</f>
        <v>Airpod_Cover_9X11_STRIPES_LIGHT_BLUE</v>
      </c>
      <c r="B88" s="125"/>
      <c r="C88" s="125"/>
      <c r="D88" s="125" t="s">
        <v>2356</v>
      </c>
      <c r="E88" s="125" t="s">
        <v>327</v>
      </c>
      <c r="F88" s="125" t="s">
        <v>2374</v>
      </c>
      <c r="G88" s="125">
        <v>16.0</v>
      </c>
      <c r="H88" s="125">
        <v>2.54</v>
      </c>
      <c r="I88" s="627">
        <v>20.0</v>
      </c>
      <c r="J88" s="125">
        <v>19.0</v>
      </c>
      <c r="K88" s="125">
        <v>1.0</v>
      </c>
      <c r="L88" s="125">
        <v>1.0</v>
      </c>
      <c r="M88" s="125">
        <f t="shared" si="1"/>
        <v>13.46</v>
      </c>
      <c r="N88" s="125">
        <f t="shared" si="2"/>
        <v>0.84125</v>
      </c>
      <c r="O88" s="125"/>
      <c r="P88" s="125"/>
      <c r="Q88" s="125"/>
      <c r="R88" s="125"/>
      <c r="S88" s="628">
        <f t="shared" si="3"/>
        <v>304</v>
      </c>
      <c r="T88" s="627">
        <v>0.0</v>
      </c>
      <c r="U88" s="627">
        <v>0.0</v>
      </c>
      <c r="V88" s="627">
        <v>19.0</v>
      </c>
      <c r="W88" s="627">
        <v>19.0</v>
      </c>
      <c r="X88" s="627">
        <v>17.0</v>
      </c>
      <c r="Y88" s="89"/>
    </row>
    <row r="89" ht="22.5" customHeight="1">
      <c r="A89" s="227" t="str">
        <f>IFERROR(__xludf.DUMMYFUNCTION("""COMPUTED_VALUE"""),"Airpod_Cover_9X11_CHECKS_CHERRY_PINK")</f>
        <v>Airpod_Cover_9X11_CHECKS_CHERRY_PINK</v>
      </c>
      <c r="B89" s="125"/>
      <c r="C89" s="125"/>
      <c r="D89" s="125" t="s">
        <v>2356</v>
      </c>
      <c r="E89" s="125" t="s">
        <v>327</v>
      </c>
      <c r="F89" s="125" t="s">
        <v>348</v>
      </c>
      <c r="G89" s="125">
        <v>16.0</v>
      </c>
      <c r="H89" s="125">
        <v>2.54</v>
      </c>
      <c r="I89" s="627">
        <v>16.0</v>
      </c>
      <c r="J89" s="125">
        <v>16.0</v>
      </c>
      <c r="K89" s="125">
        <v>0.0</v>
      </c>
      <c r="L89" s="125">
        <v>0.0</v>
      </c>
      <c r="M89" s="125">
        <f t="shared" si="1"/>
        <v>13.46</v>
      </c>
      <c r="N89" s="125">
        <f t="shared" si="2"/>
        <v>0.84125</v>
      </c>
      <c r="O89" s="125"/>
      <c r="P89" s="125"/>
      <c r="Q89" s="125"/>
      <c r="R89" s="125"/>
      <c r="S89" s="628">
        <f t="shared" si="3"/>
        <v>256</v>
      </c>
      <c r="T89" s="627">
        <v>0.0</v>
      </c>
      <c r="U89" s="627">
        <v>0.0</v>
      </c>
      <c r="V89" s="627">
        <v>16.0</v>
      </c>
      <c r="W89" s="627">
        <v>16.0</v>
      </c>
      <c r="X89" s="627">
        <v>14.0</v>
      </c>
      <c r="Y89" s="89"/>
    </row>
    <row r="90" ht="22.5" customHeight="1">
      <c r="A90" s="227" t="str">
        <f>IFERROR(__xludf.DUMMYFUNCTION("""COMPUTED_VALUE"""),"Airpod_Cover_9X11_CHECKS_FOREST_GREEN")</f>
        <v>Airpod_Cover_9X11_CHECKS_FOREST_GREEN</v>
      </c>
      <c r="B90" s="125"/>
      <c r="C90" s="125"/>
      <c r="D90" s="125" t="s">
        <v>2356</v>
      </c>
      <c r="E90" s="125" t="s">
        <v>327</v>
      </c>
      <c r="F90" s="125" t="s">
        <v>2377</v>
      </c>
      <c r="G90" s="125">
        <v>16.0</v>
      </c>
      <c r="H90" s="125">
        <v>2.54</v>
      </c>
      <c r="I90" s="627">
        <v>15.0</v>
      </c>
      <c r="J90" s="125">
        <v>15.0</v>
      </c>
      <c r="K90" s="125">
        <v>0.0</v>
      </c>
      <c r="L90" s="125">
        <v>0.0</v>
      </c>
      <c r="M90" s="125">
        <f t="shared" si="1"/>
        <v>13.46</v>
      </c>
      <c r="N90" s="125">
        <f t="shared" si="2"/>
        <v>0.84125</v>
      </c>
      <c r="O90" s="125"/>
      <c r="P90" s="125"/>
      <c r="Q90" s="125"/>
      <c r="R90" s="125"/>
      <c r="S90" s="628">
        <f t="shared" si="3"/>
        <v>240</v>
      </c>
      <c r="T90" s="627">
        <v>0.0</v>
      </c>
      <c r="U90" s="627">
        <v>0.0</v>
      </c>
      <c r="V90" s="627">
        <v>15.0</v>
      </c>
      <c r="W90" s="627">
        <v>15.0</v>
      </c>
      <c r="X90" s="627">
        <v>13.0</v>
      </c>
      <c r="Y90" s="89"/>
    </row>
    <row r="91" ht="22.5" customHeight="1">
      <c r="A91" s="227" t="str">
        <f>IFERROR(__xludf.DUMMYFUNCTION("""COMPUTED_VALUE"""),"Sunglass_Cover_18X9_STRIPES_LIME_PINK")</f>
        <v>Sunglass_Cover_18X9_STRIPES_LIME_PINK</v>
      </c>
      <c r="B91" s="125"/>
      <c r="C91" s="125"/>
      <c r="D91" s="125" t="s">
        <v>2356</v>
      </c>
      <c r="E91" s="125" t="s">
        <v>352</v>
      </c>
      <c r="F91" s="125" t="s">
        <v>2379</v>
      </c>
      <c r="G91" s="125">
        <v>18.0</v>
      </c>
      <c r="H91" s="125">
        <v>2.89</v>
      </c>
      <c r="I91" s="627">
        <v>16.0</v>
      </c>
      <c r="J91" s="125">
        <v>14.0</v>
      </c>
      <c r="K91" s="125">
        <v>2.0</v>
      </c>
      <c r="L91" s="125">
        <v>2.0</v>
      </c>
      <c r="M91" s="125">
        <f t="shared" si="1"/>
        <v>15.11</v>
      </c>
      <c r="N91" s="125">
        <f t="shared" si="2"/>
        <v>0.8394444444</v>
      </c>
      <c r="O91" s="125"/>
      <c r="P91" s="125"/>
      <c r="Q91" s="125"/>
      <c r="R91" s="125"/>
      <c r="S91" s="628">
        <f t="shared" si="3"/>
        <v>252</v>
      </c>
      <c r="T91" s="627">
        <v>0.0</v>
      </c>
      <c r="U91" s="627">
        <v>0.0</v>
      </c>
      <c r="V91" s="627">
        <v>14.0</v>
      </c>
      <c r="W91" s="627">
        <v>14.0</v>
      </c>
      <c r="X91" s="627">
        <v>12.0</v>
      </c>
      <c r="Y91" s="89"/>
    </row>
    <row r="92" ht="22.5" customHeight="1">
      <c r="A92" s="227" t="str">
        <f>IFERROR(__xludf.DUMMYFUNCTION("""COMPUTED_VALUE"""),"Sunglass_Cover_18X9_STRIPES_CANDY_PINK")</f>
        <v>Sunglass_Cover_18X9_STRIPES_CANDY_PINK</v>
      </c>
      <c r="B92" s="125"/>
      <c r="C92" s="125"/>
      <c r="D92" s="125" t="s">
        <v>2356</v>
      </c>
      <c r="E92" s="125" t="s">
        <v>352</v>
      </c>
      <c r="F92" s="125" t="s">
        <v>2381</v>
      </c>
      <c r="G92" s="125">
        <v>18.0</v>
      </c>
      <c r="H92" s="125">
        <v>2.89</v>
      </c>
      <c r="I92" s="627">
        <v>9.0</v>
      </c>
      <c r="J92" s="125">
        <v>8.0</v>
      </c>
      <c r="K92" s="125">
        <v>1.0</v>
      </c>
      <c r="L92" s="125">
        <v>1.0</v>
      </c>
      <c r="M92" s="125">
        <f t="shared" si="1"/>
        <v>15.11</v>
      </c>
      <c r="N92" s="125">
        <f t="shared" si="2"/>
        <v>0.8394444444</v>
      </c>
      <c r="O92" s="125"/>
      <c r="P92" s="125"/>
      <c r="Q92" s="125"/>
      <c r="R92" s="125"/>
      <c r="S92" s="628">
        <f t="shared" si="3"/>
        <v>144</v>
      </c>
      <c r="T92" s="627">
        <v>0.0</v>
      </c>
      <c r="U92" s="627">
        <v>0.0</v>
      </c>
      <c r="V92" s="627">
        <v>8.0</v>
      </c>
      <c r="W92" s="627">
        <v>8.0</v>
      </c>
      <c r="X92" s="627">
        <v>6.0</v>
      </c>
      <c r="Y92" s="89"/>
    </row>
    <row r="93" ht="22.5" customHeight="1">
      <c r="A93" s="227" t="str">
        <f>IFERROR(__xludf.DUMMYFUNCTION("""COMPUTED_VALUE"""),"Sunglass_Cover_18X9_STRIPES_RED")</f>
        <v>Sunglass_Cover_18X9_STRIPES_RED</v>
      </c>
      <c r="B93" s="125"/>
      <c r="C93" s="125"/>
      <c r="D93" s="125" t="s">
        <v>2356</v>
      </c>
      <c r="E93" s="125" t="s">
        <v>352</v>
      </c>
      <c r="F93" s="125" t="s">
        <v>2383</v>
      </c>
      <c r="G93" s="125">
        <v>18.0</v>
      </c>
      <c r="H93" s="125">
        <v>2.89</v>
      </c>
      <c r="I93" s="627">
        <v>20.0</v>
      </c>
      <c r="J93" s="125">
        <v>19.0</v>
      </c>
      <c r="K93" s="125">
        <v>1.0</v>
      </c>
      <c r="L93" s="125">
        <v>1.0</v>
      </c>
      <c r="M93" s="125">
        <f t="shared" si="1"/>
        <v>15.11</v>
      </c>
      <c r="N93" s="125">
        <f t="shared" si="2"/>
        <v>0.8394444444</v>
      </c>
      <c r="O93" s="125"/>
      <c r="P93" s="125"/>
      <c r="Q93" s="125"/>
      <c r="R93" s="125"/>
      <c r="S93" s="628">
        <f t="shared" si="3"/>
        <v>342</v>
      </c>
      <c r="T93" s="627">
        <v>0.0</v>
      </c>
      <c r="U93" s="627">
        <v>0.0</v>
      </c>
      <c r="V93" s="627">
        <v>19.0</v>
      </c>
      <c r="W93" s="627">
        <v>19.0</v>
      </c>
      <c r="X93" s="627">
        <v>17.0</v>
      </c>
      <c r="Y93" s="89"/>
    </row>
    <row r="94" ht="22.5" customHeight="1">
      <c r="A94" s="227" t="str">
        <f>IFERROR(__xludf.DUMMYFUNCTION("""COMPUTED_VALUE"""),"Sunglass_Cover_18X9_STRIPES_LIGHT_BLUE")</f>
        <v>Sunglass_Cover_18X9_STRIPES_LIGHT_BLUE</v>
      </c>
      <c r="B94" s="125"/>
      <c r="C94" s="125"/>
      <c r="D94" s="125" t="s">
        <v>2356</v>
      </c>
      <c r="E94" s="125" t="s">
        <v>352</v>
      </c>
      <c r="F94" s="125" t="s">
        <v>2385</v>
      </c>
      <c r="G94" s="125">
        <v>18.0</v>
      </c>
      <c r="H94" s="125">
        <v>2.89</v>
      </c>
      <c r="I94" s="627">
        <v>20.0</v>
      </c>
      <c r="J94" s="125">
        <v>20.0</v>
      </c>
      <c r="K94" s="125">
        <v>0.0</v>
      </c>
      <c r="L94" s="125">
        <v>0.0</v>
      </c>
      <c r="M94" s="125">
        <f t="shared" si="1"/>
        <v>15.11</v>
      </c>
      <c r="N94" s="125">
        <f t="shared" si="2"/>
        <v>0.8394444444</v>
      </c>
      <c r="O94" s="125"/>
      <c r="P94" s="125"/>
      <c r="Q94" s="125"/>
      <c r="R94" s="125"/>
      <c r="S94" s="628">
        <f t="shared" si="3"/>
        <v>360</v>
      </c>
      <c r="T94" s="627">
        <v>0.0</v>
      </c>
      <c r="U94" s="627">
        <v>0.0</v>
      </c>
      <c r="V94" s="627">
        <v>20.0</v>
      </c>
      <c r="W94" s="627">
        <v>20.0</v>
      </c>
      <c r="X94" s="627">
        <v>18.0</v>
      </c>
      <c r="Y94" s="89"/>
    </row>
    <row r="95" ht="22.5" customHeight="1">
      <c r="A95" s="227" t="str">
        <f>IFERROR(__xludf.DUMMYFUNCTION("""COMPUTED_VALUE"""),"Sunglass_Cover_18X9_CHECKS_CHERRY_PINK")</f>
        <v>Sunglass_Cover_18X9_CHECKS_CHERRY_PINK</v>
      </c>
      <c r="B95" s="125"/>
      <c r="C95" s="125"/>
      <c r="D95" s="125" t="s">
        <v>2356</v>
      </c>
      <c r="E95" s="125" t="s">
        <v>352</v>
      </c>
      <c r="F95" s="125" t="s">
        <v>361</v>
      </c>
      <c r="G95" s="125">
        <v>18.0</v>
      </c>
      <c r="H95" s="125">
        <v>2.89</v>
      </c>
      <c r="I95" s="627">
        <v>16.0</v>
      </c>
      <c r="J95" s="125">
        <v>16.0</v>
      </c>
      <c r="K95" s="125">
        <v>0.0</v>
      </c>
      <c r="L95" s="125">
        <v>0.0</v>
      </c>
      <c r="M95" s="125">
        <f t="shared" si="1"/>
        <v>15.11</v>
      </c>
      <c r="N95" s="125">
        <f t="shared" si="2"/>
        <v>0.8394444444</v>
      </c>
      <c r="O95" s="125"/>
      <c r="P95" s="125"/>
      <c r="Q95" s="125"/>
      <c r="R95" s="125"/>
      <c r="S95" s="628">
        <f t="shared" si="3"/>
        <v>288</v>
      </c>
      <c r="T95" s="627">
        <v>0.0</v>
      </c>
      <c r="U95" s="627">
        <v>0.0</v>
      </c>
      <c r="V95" s="627">
        <v>16.0</v>
      </c>
      <c r="W95" s="627">
        <v>16.0</v>
      </c>
      <c r="X95" s="627">
        <v>14.0</v>
      </c>
      <c r="Y95" s="89"/>
    </row>
    <row r="96" ht="22.5" customHeight="1">
      <c r="A96" s="227" t="str">
        <f>IFERROR(__xludf.DUMMYFUNCTION("""COMPUTED_VALUE"""),"Sunglass_Cover_18X9_CHECKS_FOREST_GREEN")</f>
        <v>Sunglass_Cover_18X9_CHECKS_FOREST_GREEN</v>
      </c>
      <c r="B96" s="125"/>
      <c r="C96" s="125"/>
      <c r="D96" s="125" t="s">
        <v>2356</v>
      </c>
      <c r="E96" s="125" t="s">
        <v>352</v>
      </c>
      <c r="F96" s="125" t="s">
        <v>2388</v>
      </c>
      <c r="G96" s="125">
        <v>18.0</v>
      </c>
      <c r="H96" s="125">
        <v>2.89</v>
      </c>
      <c r="I96" s="627">
        <v>16.0</v>
      </c>
      <c r="J96" s="125">
        <v>16.0</v>
      </c>
      <c r="K96" s="125">
        <v>0.0</v>
      </c>
      <c r="L96" s="125">
        <v>0.0</v>
      </c>
      <c r="M96" s="125">
        <f t="shared" si="1"/>
        <v>15.11</v>
      </c>
      <c r="N96" s="125">
        <f t="shared" si="2"/>
        <v>0.8394444444</v>
      </c>
      <c r="O96" s="125"/>
      <c r="P96" s="125"/>
      <c r="Q96" s="125"/>
      <c r="R96" s="125"/>
      <c r="S96" s="628">
        <f t="shared" si="3"/>
        <v>288</v>
      </c>
      <c r="T96" s="627">
        <v>0.0</v>
      </c>
      <c r="U96" s="627">
        <v>0.0</v>
      </c>
      <c r="V96" s="627">
        <v>16.0</v>
      </c>
      <c r="W96" s="627">
        <v>16.0</v>
      </c>
      <c r="X96" s="627">
        <v>14.0</v>
      </c>
      <c r="Y96" s="89"/>
    </row>
    <row r="97" ht="22.5" customHeight="1">
      <c r="A97" s="227" t="str">
        <f>IFERROR(__xludf.DUMMYFUNCTION("""COMPUTED_VALUE"""),"Laptop_Cover_26X37_STRIPES_LIME_PINK")</f>
        <v>Laptop_Cover_26X37_STRIPES_LIME_PINK</v>
      </c>
      <c r="B97" s="125"/>
      <c r="C97" s="125"/>
      <c r="D97" s="125" t="s">
        <v>2356</v>
      </c>
      <c r="E97" s="125" t="s">
        <v>365</v>
      </c>
      <c r="F97" s="125" t="s">
        <v>2390</v>
      </c>
      <c r="G97" s="125">
        <v>45.0</v>
      </c>
      <c r="H97" s="125">
        <v>10.24</v>
      </c>
      <c r="I97" s="627">
        <v>15.0</v>
      </c>
      <c r="J97" s="125">
        <v>15.0</v>
      </c>
      <c r="K97" s="125">
        <v>0.0</v>
      </c>
      <c r="L97" s="125">
        <v>0.0</v>
      </c>
      <c r="M97" s="125">
        <f t="shared" si="1"/>
        <v>34.76</v>
      </c>
      <c r="N97" s="125">
        <f t="shared" si="2"/>
        <v>0.7724444444</v>
      </c>
      <c r="O97" s="125"/>
      <c r="P97" s="125"/>
      <c r="Q97" s="125"/>
      <c r="R97" s="125"/>
      <c r="S97" s="628">
        <f t="shared" si="3"/>
        <v>675</v>
      </c>
      <c r="T97" s="627">
        <v>0.0</v>
      </c>
      <c r="U97" s="627">
        <v>0.0</v>
      </c>
      <c r="V97" s="627">
        <v>15.0</v>
      </c>
      <c r="W97" s="627">
        <v>15.0</v>
      </c>
      <c r="X97" s="627">
        <v>13.0</v>
      </c>
      <c r="Y97" s="89"/>
    </row>
    <row r="98" ht="22.5" customHeight="1">
      <c r="A98" s="227" t="str">
        <f>IFERROR(__xludf.DUMMYFUNCTION("""COMPUTED_VALUE"""),"Laptop_Cover_26X37_STRIPES_CANDY_PINK")</f>
        <v>Laptop_Cover_26X37_STRIPES_CANDY_PINK</v>
      </c>
      <c r="B98" s="125"/>
      <c r="C98" s="125"/>
      <c r="D98" s="125" t="s">
        <v>2356</v>
      </c>
      <c r="E98" s="125" t="s">
        <v>365</v>
      </c>
      <c r="F98" s="125" t="s">
        <v>2392</v>
      </c>
      <c r="G98" s="125">
        <v>45.0</v>
      </c>
      <c r="H98" s="125">
        <v>10.24</v>
      </c>
      <c r="I98" s="627">
        <v>25.0</v>
      </c>
      <c r="J98" s="125">
        <v>24.0</v>
      </c>
      <c r="K98" s="125">
        <v>1.0</v>
      </c>
      <c r="L98" s="125">
        <v>0.0</v>
      </c>
      <c r="M98" s="125">
        <f t="shared" si="1"/>
        <v>34.76</v>
      </c>
      <c r="N98" s="125">
        <f t="shared" si="2"/>
        <v>0.7724444444</v>
      </c>
      <c r="O98" s="125"/>
      <c r="P98" s="125"/>
      <c r="Q98" s="125"/>
      <c r="R98" s="125"/>
      <c r="S98" s="628">
        <f t="shared" si="3"/>
        <v>1080</v>
      </c>
      <c r="T98" s="627">
        <v>0.0</v>
      </c>
      <c r="U98" s="627">
        <v>0.0</v>
      </c>
      <c r="V98" s="627">
        <v>24.0</v>
      </c>
      <c r="W98" s="627">
        <v>24.0</v>
      </c>
      <c r="X98" s="627">
        <v>22.0</v>
      </c>
      <c r="Y98" s="89"/>
    </row>
    <row r="99" ht="22.5" customHeight="1">
      <c r="A99" s="227" t="str">
        <f>IFERROR(__xludf.DUMMYFUNCTION("""COMPUTED_VALUE"""),"Laptop_Cover_26X37_STRIPES_RED")</f>
        <v>Laptop_Cover_26X37_STRIPES_RED</v>
      </c>
      <c r="B99" s="125"/>
      <c r="C99" s="125"/>
      <c r="D99" s="125" t="s">
        <v>2356</v>
      </c>
      <c r="E99" s="125" t="s">
        <v>365</v>
      </c>
      <c r="F99" s="125" t="s">
        <v>2394</v>
      </c>
      <c r="G99" s="125">
        <v>45.0</v>
      </c>
      <c r="H99" s="125">
        <v>10.24</v>
      </c>
      <c r="I99" s="627">
        <v>21.0</v>
      </c>
      <c r="J99" s="125">
        <v>20.0</v>
      </c>
      <c r="K99" s="125">
        <v>1.0</v>
      </c>
      <c r="L99" s="125">
        <v>1.0</v>
      </c>
      <c r="M99" s="125">
        <f t="shared" si="1"/>
        <v>34.76</v>
      </c>
      <c r="N99" s="125">
        <f t="shared" si="2"/>
        <v>0.7724444444</v>
      </c>
      <c r="O99" s="125"/>
      <c r="P99" s="125"/>
      <c r="Q99" s="125"/>
      <c r="R99" s="125"/>
      <c r="S99" s="628">
        <f t="shared" si="3"/>
        <v>900</v>
      </c>
      <c r="T99" s="627">
        <v>0.0</v>
      </c>
      <c r="U99" s="627">
        <v>0.0</v>
      </c>
      <c r="V99" s="627">
        <v>20.0</v>
      </c>
      <c r="W99" s="627">
        <v>20.0</v>
      </c>
      <c r="X99" s="627">
        <v>18.0</v>
      </c>
      <c r="Y99" s="89"/>
    </row>
    <row r="100" ht="22.5" customHeight="1">
      <c r="A100" s="227" t="str">
        <f>IFERROR(__xludf.DUMMYFUNCTION("""COMPUTED_VALUE"""),"Laptop_Cover_26X37_STRIPES_LIGHT_BLUE")</f>
        <v>Laptop_Cover_26X37_STRIPES_LIGHT_BLUE</v>
      </c>
      <c r="B100" s="125"/>
      <c r="C100" s="125"/>
      <c r="D100" s="125" t="s">
        <v>2356</v>
      </c>
      <c r="E100" s="125" t="s">
        <v>365</v>
      </c>
      <c r="F100" s="125" t="s">
        <v>2396</v>
      </c>
      <c r="G100" s="125">
        <v>45.0</v>
      </c>
      <c r="H100" s="125">
        <v>10.24</v>
      </c>
      <c r="I100" s="627">
        <v>20.0</v>
      </c>
      <c r="J100" s="125">
        <v>20.0</v>
      </c>
      <c r="K100" s="125">
        <v>0.0</v>
      </c>
      <c r="L100" s="125">
        <v>0.0</v>
      </c>
      <c r="M100" s="125">
        <f t="shared" si="1"/>
        <v>34.76</v>
      </c>
      <c r="N100" s="125">
        <f t="shared" si="2"/>
        <v>0.7724444444</v>
      </c>
      <c r="O100" s="125"/>
      <c r="P100" s="125"/>
      <c r="Q100" s="125"/>
      <c r="R100" s="125"/>
      <c r="S100" s="628">
        <f t="shared" si="3"/>
        <v>900</v>
      </c>
      <c r="T100" s="627">
        <v>0.0</v>
      </c>
      <c r="U100" s="627">
        <v>0.0</v>
      </c>
      <c r="V100" s="627">
        <v>20.0</v>
      </c>
      <c r="W100" s="627">
        <v>20.0</v>
      </c>
      <c r="X100" s="627">
        <v>18.0</v>
      </c>
      <c r="Y100" s="89"/>
    </row>
    <row r="101" ht="22.5" customHeight="1">
      <c r="A101" s="227" t="str">
        <f>IFERROR(__xludf.DUMMYFUNCTION("""COMPUTED_VALUE"""),"Laptop_Cover_26X37_STRIPES_CHERRY_PINK")</f>
        <v>Laptop_Cover_26X37_STRIPES_CHERRY_PINK</v>
      </c>
      <c r="B101" s="125"/>
      <c r="C101" s="125"/>
      <c r="D101" s="125" t="s">
        <v>2356</v>
      </c>
      <c r="E101" s="125" t="s">
        <v>365</v>
      </c>
      <c r="F101" s="125" t="s">
        <v>374</v>
      </c>
      <c r="G101" s="125">
        <v>45.0</v>
      </c>
      <c r="H101" s="125">
        <v>10.24</v>
      </c>
      <c r="I101" s="627">
        <v>24.0</v>
      </c>
      <c r="J101" s="125">
        <v>24.0</v>
      </c>
      <c r="K101" s="125">
        <v>0.0</v>
      </c>
      <c r="L101" s="125">
        <v>0.0</v>
      </c>
      <c r="M101" s="125">
        <f t="shared" si="1"/>
        <v>34.76</v>
      </c>
      <c r="N101" s="125">
        <f t="shared" si="2"/>
        <v>0.7724444444</v>
      </c>
      <c r="O101" s="125"/>
      <c r="P101" s="125"/>
      <c r="Q101" s="125"/>
      <c r="R101" s="125"/>
      <c r="S101" s="628">
        <f t="shared" si="3"/>
        <v>1080</v>
      </c>
      <c r="T101" s="627">
        <v>0.0</v>
      </c>
      <c r="U101" s="627">
        <v>0.0</v>
      </c>
      <c r="V101" s="627">
        <v>24.0</v>
      </c>
      <c r="W101" s="627">
        <v>24.0</v>
      </c>
      <c r="X101" s="627">
        <v>22.0</v>
      </c>
      <c r="Y101" s="89"/>
    </row>
    <row r="102" ht="22.5" customHeight="1">
      <c r="A102" s="227" t="str">
        <f>IFERROR(__xludf.DUMMYFUNCTION("""COMPUTED_VALUE"""),"Laptop_Cover_26X37_STRIPES_FOREST_GREEN")</f>
        <v>Laptop_Cover_26X37_STRIPES_FOREST_GREEN</v>
      </c>
      <c r="B102" s="125"/>
      <c r="C102" s="125"/>
      <c r="D102" s="125" t="s">
        <v>2356</v>
      </c>
      <c r="E102" s="125" t="s">
        <v>365</v>
      </c>
      <c r="F102" s="125" t="s">
        <v>2399</v>
      </c>
      <c r="G102" s="125">
        <v>45.0</v>
      </c>
      <c r="H102" s="125">
        <v>10.24</v>
      </c>
      <c r="I102" s="627">
        <v>22.0</v>
      </c>
      <c r="J102" s="125">
        <v>21.0</v>
      </c>
      <c r="K102" s="125">
        <v>1.0</v>
      </c>
      <c r="L102" s="125">
        <v>1.0</v>
      </c>
      <c r="M102" s="125">
        <f t="shared" si="1"/>
        <v>34.76</v>
      </c>
      <c r="N102" s="125">
        <f t="shared" si="2"/>
        <v>0.7724444444</v>
      </c>
      <c r="O102" s="125"/>
      <c r="P102" s="125"/>
      <c r="Q102" s="125"/>
      <c r="R102" s="125"/>
      <c r="S102" s="628">
        <f t="shared" si="3"/>
        <v>945</v>
      </c>
      <c r="T102" s="627">
        <v>0.0</v>
      </c>
      <c r="U102" s="627">
        <v>0.0</v>
      </c>
      <c r="V102" s="627">
        <v>21.0</v>
      </c>
      <c r="W102" s="627">
        <v>21.0</v>
      </c>
      <c r="X102" s="627">
        <v>19.0</v>
      </c>
      <c r="Y102" s="89"/>
    </row>
    <row r="103" ht="22.5" customHeight="1">
      <c r="A103" s="227" t="str">
        <f>IFERROR(__xludf.DUMMYFUNCTION("""COMPUTED_VALUE"""),"Laptop_Cover_26X37_CHECKS_ORANGE")</f>
        <v>Laptop_Cover_26X37_CHECKS_ORANGE</v>
      </c>
      <c r="B103" s="125"/>
      <c r="C103" s="125"/>
      <c r="D103" s="125" t="s">
        <v>2356</v>
      </c>
      <c r="E103" s="125" t="s">
        <v>365</v>
      </c>
      <c r="F103" s="125" t="s">
        <v>2401</v>
      </c>
      <c r="G103" s="125">
        <v>45.0</v>
      </c>
      <c r="H103" s="125">
        <v>10.24</v>
      </c>
      <c r="I103" s="627">
        <v>16.0</v>
      </c>
      <c r="J103" s="125">
        <v>16.0</v>
      </c>
      <c r="K103" s="125">
        <v>0.0</v>
      </c>
      <c r="L103" s="125">
        <v>0.0</v>
      </c>
      <c r="M103" s="125">
        <f t="shared" si="1"/>
        <v>34.76</v>
      </c>
      <c r="N103" s="125">
        <f t="shared" si="2"/>
        <v>0.7724444444</v>
      </c>
      <c r="O103" s="125"/>
      <c r="P103" s="125"/>
      <c r="Q103" s="125"/>
      <c r="R103" s="125"/>
      <c r="S103" s="628">
        <f t="shared" si="3"/>
        <v>720</v>
      </c>
      <c r="T103" s="627">
        <v>0.0</v>
      </c>
      <c r="U103" s="627">
        <v>0.0</v>
      </c>
      <c r="V103" s="627">
        <v>16.0</v>
      </c>
      <c r="W103" s="627">
        <v>16.0</v>
      </c>
      <c r="X103" s="627">
        <v>14.0</v>
      </c>
      <c r="Y103" s="89"/>
    </row>
    <row r="104" ht="22.5" customHeight="1">
      <c r="A104" s="227" t="str">
        <f>IFERROR(__xludf.DUMMYFUNCTION("""COMPUTED_VALUE"""),"Agata_Bag_PINK_CRYSTAL_BEADS")</f>
        <v>Agata_Bag_PINK_CRYSTAL_BEADS</v>
      </c>
      <c r="B104" s="125"/>
      <c r="C104" s="125"/>
      <c r="D104" s="125" t="s">
        <v>2082</v>
      </c>
      <c r="E104" s="125" t="s">
        <v>269</v>
      </c>
      <c r="F104" s="125" t="s">
        <v>380</v>
      </c>
      <c r="G104" s="125">
        <v>80.0</v>
      </c>
      <c r="H104" s="125">
        <v>19.0</v>
      </c>
      <c r="I104" s="627">
        <v>3.0</v>
      </c>
      <c r="J104" s="125">
        <v>0.0</v>
      </c>
      <c r="K104" s="125">
        <v>3.0</v>
      </c>
      <c r="L104" s="125">
        <v>2.0</v>
      </c>
      <c r="M104" s="125">
        <f t="shared" si="1"/>
        <v>61</v>
      </c>
      <c r="N104" s="125">
        <f t="shared" si="2"/>
        <v>0.7625</v>
      </c>
      <c r="O104" s="125"/>
      <c r="P104" s="125"/>
      <c r="Q104" s="125"/>
      <c r="R104" s="125"/>
      <c r="S104" s="628">
        <f t="shared" si="3"/>
        <v>0</v>
      </c>
      <c r="T104" s="627">
        <v>0.0</v>
      </c>
      <c r="U104" s="627">
        <v>0.0</v>
      </c>
      <c r="V104" s="627">
        <v>0.0</v>
      </c>
      <c r="W104" s="627">
        <v>0.0</v>
      </c>
      <c r="X104" s="627">
        <v>0.0</v>
      </c>
      <c r="Y104" s="89"/>
    </row>
    <row r="105" ht="22.5" customHeight="1">
      <c r="A105" s="227" t="str">
        <f>IFERROR(__xludf.DUMMYFUNCTION("""COMPUTED_VALUE"""),"Agata_Bag_FLORAL_LIGHT_BLUE")</f>
        <v>Agata_Bag_FLORAL_LIGHT_BLUE</v>
      </c>
      <c r="B105" s="125"/>
      <c r="C105" s="125"/>
      <c r="D105" s="125" t="s">
        <v>2082</v>
      </c>
      <c r="E105" s="125" t="s">
        <v>269</v>
      </c>
      <c r="F105" s="125" t="s">
        <v>382</v>
      </c>
      <c r="G105" s="125">
        <v>80.0</v>
      </c>
      <c r="H105" s="125">
        <v>19.0</v>
      </c>
      <c r="I105" s="627">
        <v>10.0</v>
      </c>
      <c r="J105" s="125">
        <v>1.0</v>
      </c>
      <c r="K105" s="125">
        <v>9.0</v>
      </c>
      <c r="L105" s="125">
        <v>9.0</v>
      </c>
      <c r="M105" s="125">
        <f t="shared" si="1"/>
        <v>61</v>
      </c>
      <c r="N105" s="125">
        <f t="shared" si="2"/>
        <v>0.7625</v>
      </c>
      <c r="O105" s="125"/>
      <c r="P105" s="125"/>
      <c r="Q105" s="125"/>
      <c r="R105" s="125"/>
      <c r="S105" s="628">
        <f t="shared" si="3"/>
        <v>80</v>
      </c>
      <c r="T105" s="627">
        <v>0.0</v>
      </c>
      <c r="U105" s="627">
        <v>0.0</v>
      </c>
      <c r="V105" s="627">
        <v>1.0</v>
      </c>
      <c r="W105" s="627">
        <v>1.0</v>
      </c>
      <c r="X105" s="627">
        <v>0.0</v>
      </c>
      <c r="Y105" s="89"/>
    </row>
    <row r="106" ht="22.5" customHeight="1">
      <c r="A106" s="227" t="str">
        <f>IFERROR(__xludf.DUMMYFUNCTION("""COMPUTED_VALUE"""),"Agata_Bag_FLORAL_GREY")</f>
        <v>Agata_Bag_FLORAL_GREY</v>
      </c>
      <c r="B106" s="125"/>
      <c r="C106" s="125"/>
      <c r="D106" s="125" t="s">
        <v>2082</v>
      </c>
      <c r="E106" s="125" t="s">
        <v>269</v>
      </c>
      <c r="F106" s="125" t="s">
        <v>384</v>
      </c>
      <c r="G106" s="125">
        <v>80.0</v>
      </c>
      <c r="H106" s="125">
        <v>19.0</v>
      </c>
      <c r="I106" s="627">
        <v>2.0</v>
      </c>
      <c r="J106" s="125">
        <v>0.0</v>
      </c>
      <c r="K106" s="125">
        <v>2.0</v>
      </c>
      <c r="L106" s="125">
        <v>2.0</v>
      </c>
      <c r="M106" s="125">
        <f t="shared" si="1"/>
        <v>61</v>
      </c>
      <c r="N106" s="125">
        <f t="shared" si="2"/>
        <v>0.7625</v>
      </c>
      <c r="O106" s="125"/>
      <c r="P106" s="125"/>
      <c r="Q106" s="125"/>
      <c r="R106" s="125"/>
      <c r="S106" s="628">
        <f t="shared" si="3"/>
        <v>0</v>
      </c>
      <c r="T106" s="627">
        <v>0.0</v>
      </c>
      <c r="U106" s="627">
        <v>0.0</v>
      </c>
      <c r="V106" s="627">
        <v>0.0</v>
      </c>
      <c r="W106" s="627">
        <v>0.0</v>
      </c>
      <c r="X106" s="627">
        <v>0.0</v>
      </c>
      <c r="Y106" s="89"/>
    </row>
    <row r="107" ht="22.5" customHeight="1">
      <c r="A107" s="227" t="str">
        <f>IFERROR(__xludf.DUMMYFUNCTION("""COMPUTED_VALUE"""),"Annie_Bag_PAILLETTES_CANDY_PINK")</f>
        <v>Annie_Bag_PAILLETTES_CANDY_PINK</v>
      </c>
      <c r="B107" s="125"/>
      <c r="C107" s="125"/>
      <c r="D107" s="125" t="s">
        <v>2082</v>
      </c>
      <c r="E107" s="125" t="s">
        <v>252</v>
      </c>
      <c r="F107" s="125" t="s">
        <v>386</v>
      </c>
      <c r="G107" s="125">
        <v>90.0</v>
      </c>
      <c r="H107" s="125">
        <v>16.5</v>
      </c>
      <c r="I107" s="627">
        <v>10.0</v>
      </c>
      <c r="J107" s="125">
        <v>7.0</v>
      </c>
      <c r="K107" s="125">
        <v>3.0</v>
      </c>
      <c r="L107" s="125">
        <v>3.0</v>
      </c>
      <c r="M107" s="125">
        <f t="shared" si="1"/>
        <v>73.5</v>
      </c>
      <c r="N107" s="125">
        <f t="shared" si="2"/>
        <v>0.8166666667</v>
      </c>
      <c r="O107" s="125"/>
      <c r="P107" s="125"/>
      <c r="Q107" s="125"/>
      <c r="R107" s="125"/>
      <c r="S107" s="628">
        <f t="shared" si="3"/>
        <v>630</v>
      </c>
      <c r="T107" s="627">
        <v>0.0</v>
      </c>
      <c r="U107" s="627">
        <v>0.0</v>
      </c>
      <c r="V107" s="627">
        <v>7.0</v>
      </c>
      <c r="W107" s="627">
        <v>7.0</v>
      </c>
      <c r="X107" s="627">
        <v>5.0</v>
      </c>
      <c r="Y107" s="89"/>
    </row>
    <row r="108" ht="22.5" customHeight="1">
      <c r="A108" s="227" t="str">
        <f>IFERROR(__xludf.DUMMYFUNCTION("""COMPUTED_VALUE"""),"Annie_Bag_PAILLETTES_PURPLE")</f>
        <v>Annie_Bag_PAILLETTES_PURPLE</v>
      </c>
      <c r="B108" s="125"/>
      <c r="C108" s="125"/>
      <c r="D108" s="125" t="s">
        <v>2082</v>
      </c>
      <c r="E108" s="125" t="s">
        <v>252</v>
      </c>
      <c r="F108" s="125" t="s">
        <v>388</v>
      </c>
      <c r="G108" s="125">
        <v>90.0</v>
      </c>
      <c r="H108" s="125">
        <v>16.5</v>
      </c>
      <c r="I108" s="627">
        <v>10.0</v>
      </c>
      <c r="J108" s="125">
        <v>5.0</v>
      </c>
      <c r="K108" s="125">
        <v>5.0</v>
      </c>
      <c r="L108" s="125">
        <v>5.0</v>
      </c>
      <c r="M108" s="125">
        <f t="shared" si="1"/>
        <v>73.5</v>
      </c>
      <c r="N108" s="125">
        <f t="shared" si="2"/>
        <v>0.8166666667</v>
      </c>
      <c r="O108" s="125"/>
      <c r="P108" s="125"/>
      <c r="Q108" s="125"/>
      <c r="R108" s="125"/>
      <c r="S108" s="628">
        <f t="shared" si="3"/>
        <v>450</v>
      </c>
      <c r="T108" s="627">
        <v>0.0</v>
      </c>
      <c r="U108" s="627">
        <v>0.0</v>
      </c>
      <c r="V108" s="627">
        <v>5.0</v>
      </c>
      <c r="W108" s="627">
        <v>5.0</v>
      </c>
      <c r="X108" s="627">
        <v>3.0</v>
      </c>
      <c r="Y108" s="89"/>
    </row>
    <row r="109" ht="22.5" customHeight="1">
      <c r="A109" s="125" t="str">
        <f>IFERROR(__xludf.DUMMYFUNCTION("""COMPUTED_VALUE"""),"Agata_Bag_FLORAL_LIGHT_GREY")</f>
        <v>Agata_Bag_FLORAL_LIGHT_GREY</v>
      </c>
      <c r="B109" s="125"/>
      <c r="C109" s="125"/>
      <c r="D109" s="125" t="s">
        <v>2082</v>
      </c>
      <c r="E109" s="125" t="s">
        <v>269</v>
      </c>
      <c r="F109" s="125" t="s">
        <v>390</v>
      </c>
      <c r="G109" s="125">
        <v>80.0</v>
      </c>
      <c r="H109" s="125">
        <v>19.0</v>
      </c>
      <c r="I109" s="627">
        <v>8.0</v>
      </c>
      <c r="J109" s="125">
        <v>5.0</v>
      </c>
      <c r="K109" s="125">
        <v>3.0</v>
      </c>
      <c r="L109" s="125">
        <v>3.0</v>
      </c>
      <c r="M109" s="125">
        <f t="shared" si="1"/>
        <v>61</v>
      </c>
      <c r="N109" s="125">
        <f t="shared" si="2"/>
        <v>0.7625</v>
      </c>
      <c r="O109" s="125"/>
      <c r="P109" s="125"/>
      <c r="Q109" s="125"/>
      <c r="R109" s="125"/>
      <c r="S109" s="628">
        <f t="shared" si="3"/>
        <v>400</v>
      </c>
      <c r="T109" s="627">
        <v>0.0</v>
      </c>
      <c r="U109" s="627">
        <v>0.0</v>
      </c>
      <c r="V109" s="627">
        <v>5.0</v>
      </c>
      <c r="W109" s="627">
        <v>5.0</v>
      </c>
      <c r="X109" s="627">
        <v>3.0</v>
      </c>
      <c r="Y109" s="89"/>
    </row>
    <row r="110" ht="22.5" customHeight="1">
      <c r="A110" s="125" t="str">
        <f>IFERROR(__xludf.DUMMYFUNCTION("""COMPUTED_VALUE"""),"Annie_Bag_PERSONALIZZAZIONE_Matrimonio")</f>
        <v>Annie_Bag_PERSONALIZZAZIONE_Matrimonio</v>
      </c>
      <c r="B110" s="125"/>
      <c r="C110" s="125"/>
      <c r="D110" s="125" t="s">
        <v>2082</v>
      </c>
      <c r="E110" s="125" t="s">
        <v>252</v>
      </c>
      <c r="F110" s="125" t="s">
        <v>392</v>
      </c>
      <c r="G110" s="125">
        <v>74.29</v>
      </c>
      <c r="H110" s="125">
        <v>15.0</v>
      </c>
      <c r="I110" s="627">
        <v>14.0</v>
      </c>
      <c r="J110" s="125">
        <v>0.0</v>
      </c>
      <c r="K110" s="125">
        <v>14.0</v>
      </c>
      <c r="L110" s="125">
        <v>0.0</v>
      </c>
      <c r="M110" s="125">
        <f t="shared" si="1"/>
        <v>59.29</v>
      </c>
      <c r="N110" s="125">
        <f t="shared" si="2"/>
        <v>0.7980885718</v>
      </c>
      <c r="O110" s="125"/>
      <c r="P110" s="125"/>
      <c r="Q110" s="125"/>
      <c r="R110" s="125"/>
      <c r="S110" s="628">
        <f t="shared" si="3"/>
        <v>0</v>
      </c>
      <c r="T110" s="627">
        <v>0.0</v>
      </c>
      <c r="U110" s="627">
        <v>0.0</v>
      </c>
      <c r="V110" s="627">
        <v>0.0</v>
      </c>
      <c r="W110" s="627">
        <v>0.0</v>
      </c>
      <c r="X110" s="627">
        <v>0.0</v>
      </c>
      <c r="Y110" s="89"/>
    </row>
    <row r="111" ht="22.5" customHeight="1">
      <c r="A111" s="125" t="str">
        <f>IFERROR(__xludf.DUMMYFUNCTION("""COMPUTED_VALUE"""),"Annie_Bag_STRIPES_PINK")</f>
        <v>Annie_Bag_STRIPES_PINK</v>
      </c>
      <c r="B111" s="125"/>
      <c r="C111" s="125"/>
      <c r="D111" s="125" t="s">
        <v>2082</v>
      </c>
      <c r="E111" s="125" t="s">
        <v>252</v>
      </c>
      <c r="F111" s="125" t="s">
        <v>2480</v>
      </c>
      <c r="G111" s="125">
        <v>90.0</v>
      </c>
      <c r="H111" s="125">
        <v>0.0</v>
      </c>
      <c r="I111" s="627">
        <v>3.0</v>
      </c>
      <c r="J111" s="125">
        <v>2.0</v>
      </c>
      <c r="K111" s="125">
        <v>1.0</v>
      </c>
      <c r="L111" s="125">
        <v>1.0</v>
      </c>
      <c r="M111" s="125" t="str">
        <f t="shared" si="1"/>
        <v/>
      </c>
      <c r="N111" s="125" t="str">
        <f t="shared" si="2"/>
        <v/>
      </c>
      <c r="O111" s="125"/>
      <c r="P111" s="125"/>
      <c r="Q111" s="125"/>
      <c r="R111" s="125"/>
      <c r="S111" s="628">
        <f t="shared" si="3"/>
        <v>180</v>
      </c>
      <c r="T111" s="627">
        <v>0.0</v>
      </c>
      <c r="U111" s="627">
        <v>0.0</v>
      </c>
      <c r="V111" s="627">
        <v>2.0</v>
      </c>
      <c r="W111" s="627">
        <v>2.0</v>
      </c>
      <c r="X111" s="627">
        <v>1.0</v>
      </c>
      <c r="Y111" s="89"/>
    </row>
    <row r="112" ht="22.5" customHeight="1">
      <c r="A112" s="125" t="str">
        <f>IFERROR(__xludf.DUMMYFUNCTION("""COMPUTED_VALUE"""),"Maria_Bag_GREEN_PIERCING")</f>
        <v>Maria_Bag_GREEN_PIERCING</v>
      </c>
      <c r="B112" s="125"/>
      <c r="C112" s="125"/>
      <c r="D112" s="125" t="s">
        <v>2082</v>
      </c>
      <c r="E112" s="125" t="s">
        <v>203</v>
      </c>
      <c r="F112" s="125" t="s">
        <v>2486</v>
      </c>
      <c r="G112" s="125">
        <v>120.0</v>
      </c>
      <c r="H112" s="125">
        <v>26.0</v>
      </c>
      <c r="I112" s="627">
        <v>6.0</v>
      </c>
      <c r="J112" s="125">
        <v>2.0</v>
      </c>
      <c r="K112" s="125">
        <v>4.0</v>
      </c>
      <c r="L112" s="125">
        <v>4.0</v>
      </c>
      <c r="M112" s="125">
        <f t="shared" si="1"/>
        <v>94</v>
      </c>
      <c r="N112" s="125">
        <f t="shared" si="2"/>
        <v>0.7833333333</v>
      </c>
      <c r="O112" s="125"/>
      <c r="P112" s="125"/>
      <c r="Q112" s="125"/>
      <c r="R112" s="125"/>
      <c r="S112" s="628">
        <f t="shared" si="3"/>
        <v>240</v>
      </c>
      <c r="T112" s="627">
        <v>0.0</v>
      </c>
      <c r="U112" s="627">
        <v>0.0</v>
      </c>
      <c r="V112" s="627">
        <v>2.0</v>
      </c>
      <c r="W112" s="627">
        <v>2.0</v>
      </c>
      <c r="X112" s="627">
        <v>1.0</v>
      </c>
      <c r="Y112" s="89"/>
    </row>
    <row r="113" ht="22.5" customHeight="1">
      <c r="A113" s="125" t="str">
        <f>IFERROR(__xludf.DUMMYFUNCTION("""COMPUTED_VALUE"""),"Maria_Bag_ICE_BLUE_PIERCING")</f>
        <v>Maria_Bag_ICE_BLUE_PIERCING</v>
      </c>
      <c r="B113" s="125"/>
      <c r="C113" s="125"/>
      <c r="D113" s="125" t="s">
        <v>2082</v>
      </c>
      <c r="E113" s="125" t="s">
        <v>203</v>
      </c>
      <c r="F113" s="125" t="s">
        <v>2488</v>
      </c>
      <c r="G113" s="125">
        <v>120.0</v>
      </c>
      <c r="H113" s="125">
        <v>26.0</v>
      </c>
      <c r="I113" s="627">
        <v>6.0</v>
      </c>
      <c r="J113" s="125">
        <v>5.0</v>
      </c>
      <c r="K113" s="125">
        <v>1.0</v>
      </c>
      <c r="L113" s="125">
        <v>1.0</v>
      </c>
      <c r="M113" s="125">
        <f t="shared" si="1"/>
        <v>94</v>
      </c>
      <c r="N113" s="125">
        <f t="shared" si="2"/>
        <v>0.7833333333</v>
      </c>
      <c r="O113" s="125"/>
      <c r="P113" s="125"/>
      <c r="Q113" s="125"/>
      <c r="R113" s="125"/>
      <c r="S113" s="628">
        <f t="shared" si="3"/>
        <v>600</v>
      </c>
      <c r="T113" s="627">
        <v>0.0</v>
      </c>
      <c r="U113" s="627">
        <v>0.0</v>
      </c>
      <c r="V113" s="627">
        <v>5.0</v>
      </c>
      <c r="W113" s="627">
        <v>5.0</v>
      </c>
      <c r="X113" s="627">
        <v>3.0</v>
      </c>
      <c r="Y113" s="89"/>
    </row>
    <row r="114" ht="22.5" customHeight="1">
      <c r="A114" s="125" t="str">
        <f>IFERROR(__xludf.DUMMYFUNCTION("""COMPUTED_VALUE"""),"Maria_Bag_BLACK_PIERCING")</f>
        <v>Maria_Bag_BLACK_PIERCING</v>
      </c>
      <c r="B114" s="125"/>
      <c r="C114" s="125"/>
      <c r="D114" s="125" t="s">
        <v>2082</v>
      </c>
      <c r="E114" s="125" t="s">
        <v>203</v>
      </c>
      <c r="F114" s="125" t="s">
        <v>2490</v>
      </c>
      <c r="G114" s="125">
        <v>120.0</v>
      </c>
      <c r="H114" s="125">
        <v>26.0</v>
      </c>
      <c r="I114" s="627">
        <v>10.0</v>
      </c>
      <c r="J114" s="125">
        <v>10.0</v>
      </c>
      <c r="K114" s="125">
        <v>0.0</v>
      </c>
      <c r="L114" s="125">
        <v>0.0</v>
      </c>
      <c r="M114" s="125">
        <f t="shared" si="1"/>
        <v>94</v>
      </c>
      <c r="N114" s="125">
        <f t="shared" si="2"/>
        <v>0.7833333333</v>
      </c>
      <c r="O114" s="125"/>
      <c r="P114" s="125"/>
      <c r="Q114" s="125"/>
      <c r="R114" s="125"/>
      <c r="S114" s="628">
        <f t="shared" si="3"/>
        <v>1200</v>
      </c>
      <c r="T114" s="627">
        <v>0.0</v>
      </c>
      <c r="U114" s="627">
        <v>0.0</v>
      </c>
      <c r="V114" s="627">
        <v>10.0</v>
      </c>
      <c r="W114" s="627">
        <v>10.0</v>
      </c>
      <c r="X114" s="627">
        <v>8.0</v>
      </c>
      <c r="Y114" s="89"/>
    </row>
    <row r="115" ht="22.5" customHeight="1">
      <c r="A115" s="125" t="str">
        <f>IFERROR(__xludf.DUMMYFUNCTION("""COMPUTED_VALUE"""),"Agata_Bag_EMBROIDERY_WHITE")</f>
        <v>Agata_Bag_EMBROIDERY_WHITE</v>
      </c>
      <c r="B115" s="125"/>
      <c r="C115" s="125"/>
      <c r="D115" s="125" t="s">
        <v>2082</v>
      </c>
      <c r="E115" s="125" t="s">
        <v>269</v>
      </c>
      <c r="F115" s="125" t="s">
        <v>2495</v>
      </c>
      <c r="G115" s="125">
        <v>80.0</v>
      </c>
      <c r="H115" s="125">
        <v>19.0</v>
      </c>
      <c r="I115" s="627">
        <v>5.0</v>
      </c>
      <c r="J115" s="125">
        <v>5.0</v>
      </c>
      <c r="K115" s="125">
        <v>0.0</v>
      </c>
      <c r="L115" s="125">
        <v>0.0</v>
      </c>
      <c r="M115" s="125">
        <f t="shared" si="1"/>
        <v>61</v>
      </c>
      <c r="N115" s="125">
        <f t="shared" si="2"/>
        <v>0.7625</v>
      </c>
      <c r="O115" s="125"/>
      <c r="P115" s="125"/>
      <c r="Q115" s="125"/>
      <c r="R115" s="125"/>
      <c r="S115" s="628">
        <f t="shared" si="3"/>
        <v>400</v>
      </c>
      <c r="T115" s="627">
        <v>0.0</v>
      </c>
      <c r="U115" s="627">
        <v>0.0</v>
      </c>
      <c r="V115" s="627">
        <v>5.0</v>
      </c>
      <c r="W115" s="627">
        <v>5.0</v>
      </c>
      <c r="X115" s="627">
        <v>3.0</v>
      </c>
      <c r="Y115" s="89"/>
    </row>
    <row r="116" ht="22.5" customHeight="1">
      <c r="A116" s="125"/>
      <c r="B116" s="125"/>
      <c r="C116" s="125"/>
      <c r="D116" s="125"/>
      <c r="E116" s="125"/>
      <c r="F116" s="125"/>
      <c r="G116" s="125"/>
      <c r="H116" s="125"/>
      <c r="I116" s="627" t="s">
        <v>51</v>
      </c>
      <c r="J116" s="125" t="s">
        <v>51</v>
      </c>
      <c r="K116" s="125" t="s">
        <v>51</v>
      </c>
      <c r="L116" s="125" t="s">
        <v>51</v>
      </c>
      <c r="M116" s="125" t="str">
        <f t="shared" si="1"/>
        <v/>
      </c>
      <c r="N116" s="125" t="str">
        <f t="shared" si="2"/>
        <v/>
      </c>
      <c r="O116" s="125"/>
      <c r="P116" s="125"/>
      <c r="Q116" s="125"/>
      <c r="R116" s="125"/>
      <c r="S116" s="628">
        <f t="shared" si="3"/>
        <v>0</v>
      </c>
      <c r="T116" s="627" t="s">
        <v>51</v>
      </c>
      <c r="U116" s="627" t="s">
        <v>51</v>
      </c>
      <c r="V116" s="627" t="s">
        <v>51</v>
      </c>
      <c r="W116" s="627" t="s">
        <v>51</v>
      </c>
      <c r="X116" s="627" t="s">
        <v>51</v>
      </c>
      <c r="Y116" s="89"/>
    </row>
    <row r="117" ht="22.5" customHeight="1">
      <c r="A117" s="125"/>
      <c r="B117" s="125"/>
      <c r="C117" s="125"/>
      <c r="D117" s="125"/>
      <c r="E117" s="125"/>
      <c r="F117" s="125"/>
      <c r="G117" s="125"/>
      <c r="H117" s="125"/>
      <c r="I117" s="627" t="s">
        <v>51</v>
      </c>
      <c r="J117" s="125" t="s">
        <v>51</v>
      </c>
      <c r="K117" s="125" t="s">
        <v>51</v>
      </c>
      <c r="L117" s="125" t="s">
        <v>51</v>
      </c>
      <c r="M117" s="125" t="str">
        <f t="shared" si="1"/>
        <v/>
      </c>
      <c r="N117" s="125" t="str">
        <f t="shared" si="2"/>
        <v/>
      </c>
      <c r="O117" s="125"/>
      <c r="P117" s="125"/>
      <c r="Q117" s="125"/>
      <c r="R117" s="125"/>
      <c r="S117" s="628">
        <f t="shared" si="3"/>
        <v>0</v>
      </c>
      <c r="T117" s="627" t="s">
        <v>51</v>
      </c>
      <c r="U117" s="627" t="s">
        <v>51</v>
      </c>
      <c r="V117" s="627" t="s">
        <v>51</v>
      </c>
      <c r="W117" s="627" t="s">
        <v>51</v>
      </c>
      <c r="X117" s="627" t="s">
        <v>51</v>
      </c>
      <c r="Y117" s="89"/>
    </row>
    <row r="118" ht="22.5" customHeight="1">
      <c r="A118" s="125"/>
      <c r="B118" s="125"/>
      <c r="C118" s="125"/>
      <c r="D118" s="125"/>
      <c r="E118" s="125"/>
      <c r="F118" s="125"/>
      <c r="G118" s="125"/>
      <c r="H118" s="125"/>
      <c r="I118" s="627" t="s">
        <v>51</v>
      </c>
      <c r="J118" s="125" t="s">
        <v>51</v>
      </c>
      <c r="K118" s="125" t="s">
        <v>51</v>
      </c>
      <c r="L118" s="125" t="s">
        <v>51</v>
      </c>
      <c r="M118" s="125" t="str">
        <f t="shared" si="1"/>
        <v/>
      </c>
      <c r="N118" s="125" t="str">
        <f t="shared" si="2"/>
        <v/>
      </c>
      <c r="O118" s="125"/>
      <c r="P118" s="125"/>
      <c r="Q118" s="125"/>
      <c r="R118" s="125"/>
      <c r="S118" s="628">
        <f t="shared" si="3"/>
        <v>0</v>
      </c>
      <c r="T118" s="627" t="s">
        <v>51</v>
      </c>
      <c r="U118" s="627" t="s">
        <v>51</v>
      </c>
      <c r="V118" s="627" t="s">
        <v>51</v>
      </c>
      <c r="W118" s="627" t="s">
        <v>51</v>
      </c>
      <c r="X118" s="627" t="s">
        <v>51</v>
      </c>
      <c r="Y118" s="89"/>
    </row>
    <row r="119" ht="22.5" customHeight="1">
      <c r="A119" s="125"/>
      <c r="B119" s="125"/>
      <c r="C119" s="125"/>
      <c r="D119" s="125"/>
      <c r="E119" s="125"/>
      <c r="F119" s="125"/>
      <c r="G119" s="125"/>
      <c r="H119" s="125"/>
      <c r="I119" s="627" t="s">
        <v>51</v>
      </c>
      <c r="J119" s="125" t="s">
        <v>51</v>
      </c>
      <c r="K119" s="125" t="s">
        <v>51</v>
      </c>
      <c r="L119" s="125" t="s">
        <v>51</v>
      </c>
      <c r="M119" s="125" t="str">
        <f t="shared" si="1"/>
        <v/>
      </c>
      <c r="N119" s="125" t="str">
        <f t="shared" si="2"/>
        <v/>
      </c>
      <c r="O119" s="125"/>
      <c r="P119" s="125"/>
      <c r="Q119" s="125"/>
      <c r="R119" s="125"/>
      <c r="S119" s="628">
        <f t="shared" si="3"/>
        <v>0</v>
      </c>
      <c r="T119" s="627" t="s">
        <v>51</v>
      </c>
      <c r="U119" s="627" t="s">
        <v>51</v>
      </c>
      <c r="V119" s="627" t="s">
        <v>51</v>
      </c>
      <c r="W119" s="627" t="s">
        <v>51</v>
      </c>
      <c r="X119" s="627" t="s">
        <v>51</v>
      </c>
      <c r="Y119" s="89"/>
    </row>
    <row r="120" ht="22.5" customHeight="1">
      <c r="A120" s="125"/>
      <c r="B120" s="125"/>
      <c r="C120" s="125"/>
      <c r="D120" s="125"/>
      <c r="E120" s="125"/>
      <c r="F120" s="125"/>
      <c r="G120" s="125"/>
      <c r="H120" s="125"/>
      <c r="I120" s="627" t="s">
        <v>51</v>
      </c>
      <c r="J120" s="125" t="s">
        <v>51</v>
      </c>
      <c r="K120" s="125" t="s">
        <v>51</v>
      </c>
      <c r="L120" s="125" t="s">
        <v>51</v>
      </c>
      <c r="M120" s="125" t="str">
        <f t="shared" si="1"/>
        <v/>
      </c>
      <c r="N120" s="125" t="str">
        <f t="shared" si="2"/>
        <v/>
      </c>
      <c r="O120" s="125"/>
      <c r="P120" s="125"/>
      <c r="Q120" s="125"/>
      <c r="R120" s="125"/>
      <c r="S120" s="628">
        <f t="shared" si="3"/>
        <v>0</v>
      </c>
      <c r="T120" s="627" t="s">
        <v>51</v>
      </c>
      <c r="U120" s="627" t="s">
        <v>51</v>
      </c>
      <c r="V120" s="627" t="s">
        <v>51</v>
      </c>
      <c r="W120" s="627" t="s">
        <v>51</v>
      </c>
      <c r="X120" s="627" t="s">
        <v>51</v>
      </c>
      <c r="Y120" s="89"/>
    </row>
    <row r="121" ht="22.5" customHeight="1">
      <c r="A121" s="125"/>
      <c r="B121" s="125"/>
      <c r="C121" s="125"/>
      <c r="D121" s="125"/>
      <c r="E121" s="125"/>
      <c r="F121" s="125"/>
      <c r="G121" s="125"/>
      <c r="H121" s="125"/>
      <c r="I121" s="627" t="s">
        <v>51</v>
      </c>
      <c r="J121" s="125" t="s">
        <v>51</v>
      </c>
      <c r="K121" s="125" t="s">
        <v>51</v>
      </c>
      <c r="L121" s="125" t="s">
        <v>51</v>
      </c>
      <c r="M121" s="125" t="str">
        <f t="shared" si="1"/>
        <v/>
      </c>
      <c r="N121" s="125" t="str">
        <f t="shared" si="2"/>
        <v/>
      </c>
      <c r="O121" s="125"/>
      <c r="P121" s="125"/>
      <c r="Q121" s="125"/>
      <c r="R121" s="125"/>
      <c r="S121" s="628">
        <f t="shared" si="3"/>
        <v>0</v>
      </c>
      <c r="T121" s="627" t="s">
        <v>51</v>
      </c>
      <c r="U121" s="627" t="s">
        <v>51</v>
      </c>
      <c r="V121" s="627" t="s">
        <v>51</v>
      </c>
      <c r="W121" s="627" t="s">
        <v>51</v>
      </c>
      <c r="X121" s="627" t="s">
        <v>51</v>
      </c>
      <c r="Y121" s="89"/>
    </row>
    <row r="122" ht="22.5" customHeight="1">
      <c r="A122" s="125"/>
      <c r="B122" s="125"/>
      <c r="C122" s="125"/>
      <c r="D122" s="125"/>
      <c r="E122" s="125"/>
      <c r="F122" s="125"/>
      <c r="G122" s="125"/>
      <c r="H122" s="125"/>
      <c r="I122" s="627" t="s">
        <v>51</v>
      </c>
      <c r="J122" s="125" t="s">
        <v>51</v>
      </c>
      <c r="K122" s="125" t="s">
        <v>51</v>
      </c>
      <c r="L122" s="125" t="s">
        <v>51</v>
      </c>
      <c r="M122" s="125" t="str">
        <f t="shared" si="1"/>
        <v/>
      </c>
      <c r="N122" s="125" t="str">
        <f t="shared" si="2"/>
        <v/>
      </c>
      <c r="O122" s="125"/>
      <c r="P122" s="125"/>
      <c r="Q122" s="125"/>
      <c r="R122" s="125"/>
      <c r="S122" s="628">
        <f t="shared" si="3"/>
        <v>0</v>
      </c>
      <c r="T122" s="627" t="s">
        <v>51</v>
      </c>
      <c r="U122" s="627" t="s">
        <v>51</v>
      </c>
      <c r="V122" s="627" t="s">
        <v>51</v>
      </c>
      <c r="W122" s="627" t="s">
        <v>51</v>
      </c>
      <c r="X122" s="627" t="s">
        <v>51</v>
      </c>
      <c r="Y122" s="89"/>
    </row>
    <row r="123" ht="22.5" customHeight="1">
      <c r="A123" s="125"/>
      <c r="B123" s="125"/>
      <c r="C123" s="125"/>
      <c r="D123" s="125"/>
      <c r="E123" s="125"/>
      <c r="F123" s="125"/>
      <c r="G123" s="125"/>
      <c r="H123" s="125"/>
      <c r="I123" s="627" t="s">
        <v>51</v>
      </c>
      <c r="J123" s="125" t="s">
        <v>51</v>
      </c>
      <c r="K123" s="125" t="s">
        <v>51</v>
      </c>
      <c r="L123" s="125" t="s">
        <v>51</v>
      </c>
      <c r="M123" s="125" t="str">
        <f t="shared" si="1"/>
        <v/>
      </c>
      <c r="N123" s="125" t="str">
        <f t="shared" si="2"/>
        <v/>
      </c>
      <c r="O123" s="125"/>
      <c r="P123" s="125"/>
      <c r="Q123" s="125"/>
      <c r="R123" s="125"/>
      <c r="S123" s="628">
        <f t="shared" si="3"/>
        <v>0</v>
      </c>
      <c r="T123" s="627" t="s">
        <v>51</v>
      </c>
      <c r="U123" s="627" t="s">
        <v>51</v>
      </c>
      <c r="V123" s="627" t="s">
        <v>51</v>
      </c>
      <c r="W123" s="627" t="s">
        <v>51</v>
      </c>
      <c r="X123" s="627" t="s">
        <v>51</v>
      </c>
      <c r="Y123" s="89"/>
    </row>
    <row r="124" ht="22.5" customHeight="1">
      <c r="A124" s="125"/>
      <c r="B124" s="125"/>
      <c r="C124" s="125"/>
      <c r="D124" s="125"/>
      <c r="E124" s="125"/>
      <c r="F124" s="125"/>
      <c r="G124" s="125"/>
      <c r="H124" s="125"/>
      <c r="I124" s="627" t="s">
        <v>51</v>
      </c>
      <c r="J124" s="125" t="s">
        <v>51</v>
      </c>
      <c r="K124" s="125" t="s">
        <v>51</v>
      </c>
      <c r="L124" s="125" t="s">
        <v>51</v>
      </c>
      <c r="M124" s="125" t="str">
        <f t="shared" si="1"/>
        <v/>
      </c>
      <c r="N124" s="125" t="str">
        <f t="shared" si="2"/>
        <v/>
      </c>
      <c r="O124" s="125"/>
      <c r="P124" s="125"/>
      <c r="Q124" s="125"/>
      <c r="R124" s="125"/>
      <c r="S124" s="628">
        <f t="shared" si="3"/>
        <v>0</v>
      </c>
      <c r="T124" s="627" t="s">
        <v>51</v>
      </c>
      <c r="U124" s="627" t="s">
        <v>51</v>
      </c>
      <c r="V124" s="627" t="s">
        <v>51</v>
      </c>
      <c r="W124" s="627" t="s">
        <v>51</v>
      </c>
      <c r="X124" s="627" t="s">
        <v>51</v>
      </c>
      <c r="Y124" s="89"/>
    </row>
    <row r="125" ht="22.5" customHeight="1">
      <c r="A125" s="125"/>
      <c r="B125" s="125"/>
      <c r="C125" s="125"/>
      <c r="D125" s="125"/>
      <c r="E125" s="125"/>
      <c r="F125" s="125"/>
      <c r="G125" s="125"/>
      <c r="H125" s="125"/>
      <c r="I125" s="627" t="s">
        <v>51</v>
      </c>
      <c r="J125" s="125" t="s">
        <v>51</v>
      </c>
      <c r="K125" s="125" t="s">
        <v>51</v>
      </c>
      <c r="L125" s="125" t="s">
        <v>51</v>
      </c>
      <c r="M125" s="125" t="str">
        <f t="shared" si="1"/>
        <v/>
      </c>
      <c r="N125" s="125" t="str">
        <f t="shared" si="2"/>
        <v/>
      </c>
      <c r="O125" s="125"/>
      <c r="P125" s="125"/>
      <c r="Q125" s="125"/>
      <c r="R125" s="125"/>
      <c r="S125" s="628">
        <f t="shared" si="3"/>
        <v>0</v>
      </c>
      <c r="T125" s="627" t="s">
        <v>51</v>
      </c>
      <c r="U125" s="627" t="s">
        <v>51</v>
      </c>
      <c r="V125" s="627" t="s">
        <v>51</v>
      </c>
      <c r="W125" s="627" t="s">
        <v>51</v>
      </c>
      <c r="X125" s="627" t="s">
        <v>51</v>
      </c>
      <c r="Y125" s="89"/>
    </row>
    <row r="126" ht="22.5" customHeight="1">
      <c r="A126" s="125"/>
      <c r="B126" s="125"/>
      <c r="C126" s="125"/>
      <c r="D126" s="125"/>
      <c r="E126" s="125"/>
      <c r="F126" s="125"/>
      <c r="G126" s="125"/>
      <c r="H126" s="125"/>
      <c r="I126" s="627" t="s">
        <v>51</v>
      </c>
      <c r="J126" s="125" t="s">
        <v>51</v>
      </c>
      <c r="K126" s="125" t="s">
        <v>51</v>
      </c>
      <c r="L126" s="125" t="s">
        <v>51</v>
      </c>
      <c r="M126" s="125" t="str">
        <f t="shared" si="1"/>
        <v/>
      </c>
      <c r="N126" s="125" t="str">
        <f t="shared" si="2"/>
        <v/>
      </c>
      <c r="O126" s="125"/>
      <c r="P126" s="125"/>
      <c r="Q126" s="125"/>
      <c r="R126" s="125"/>
      <c r="S126" s="628">
        <f t="shared" si="3"/>
        <v>0</v>
      </c>
      <c r="T126" s="627" t="s">
        <v>51</v>
      </c>
      <c r="U126" s="627" t="s">
        <v>51</v>
      </c>
      <c r="V126" s="627" t="s">
        <v>51</v>
      </c>
      <c r="W126" s="627" t="s">
        <v>51</v>
      </c>
      <c r="X126" s="627" t="s">
        <v>51</v>
      </c>
      <c r="Y126" s="89"/>
    </row>
    <row r="127" ht="22.5" customHeight="1">
      <c r="A127" s="125"/>
      <c r="B127" s="125"/>
      <c r="C127" s="125"/>
      <c r="D127" s="125"/>
      <c r="E127" s="125"/>
      <c r="F127" s="125"/>
      <c r="G127" s="125"/>
      <c r="H127" s="125"/>
      <c r="I127" s="627" t="s">
        <v>51</v>
      </c>
      <c r="J127" s="125" t="s">
        <v>51</v>
      </c>
      <c r="K127" s="125" t="s">
        <v>51</v>
      </c>
      <c r="L127" s="125" t="s">
        <v>51</v>
      </c>
      <c r="M127" s="125" t="str">
        <f t="shared" si="1"/>
        <v/>
      </c>
      <c r="N127" s="125" t="str">
        <f t="shared" si="2"/>
        <v/>
      </c>
      <c r="O127" s="125"/>
      <c r="P127" s="125"/>
      <c r="Q127" s="125"/>
      <c r="R127" s="125"/>
      <c r="S127" s="628">
        <f t="shared" si="3"/>
        <v>0</v>
      </c>
      <c r="T127" s="627" t="s">
        <v>51</v>
      </c>
      <c r="U127" s="627" t="s">
        <v>51</v>
      </c>
      <c r="V127" s="627" t="s">
        <v>51</v>
      </c>
      <c r="W127" s="627" t="s">
        <v>51</v>
      </c>
      <c r="X127" s="627" t="s">
        <v>51</v>
      </c>
      <c r="Y127" s="89"/>
    </row>
    <row r="128" ht="22.5" customHeight="1">
      <c r="A128" s="125"/>
      <c r="B128" s="125"/>
      <c r="C128" s="125"/>
      <c r="D128" s="125"/>
      <c r="E128" s="125"/>
      <c r="F128" s="125"/>
      <c r="G128" s="125"/>
      <c r="H128" s="125"/>
      <c r="I128" s="627" t="s">
        <v>51</v>
      </c>
      <c r="J128" s="125" t="s">
        <v>51</v>
      </c>
      <c r="K128" s="125" t="s">
        <v>51</v>
      </c>
      <c r="L128" s="125" t="s">
        <v>51</v>
      </c>
      <c r="M128" s="125" t="str">
        <f t="shared" si="1"/>
        <v/>
      </c>
      <c r="N128" s="125" t="str">
        <f t="shared" si="2"/>
        <v/>
      </c>
      <c r="O128" s="125"/>
      <c r="P128" s="125"/>
      <c r="Q128" s="125"/>
      <c r="R128" s="125"/>
      <c r="S128" s="628">
        <f t="shared" si="3"/>
        <v>0</v>
      </c>
      <c r="T128" s="627" t="s">
        <v>51</v>
      </c>
      <c r="U128" s="627" t="s">
        <v>51</v>
      </c>
      <c r="V128" s="627" t="s">
        <v>51</v>
      </c>
      <c r="W128" s="627" t="s">
        <v>51</v>
      </c>
      <c r="X128" s="627" t="s">
        <v>51</v>
      </c>
      <c r="Y128" s="89"/>
    </row>
    <row r="129" ht="22.5" customHeight="1">
      <c r="A129" s="125"/>
      <c r="B129" s="125"/>
      <c r="C129" s="125"/>
      <c r="D129" s="125"/>
      <c r="E129" s="125"/>
      <c r="F129" s="125"/>
      <c r="G129" s="125"/>
      <c r="H129" s="125"/>
      <c r="I129" s="627" t="s">
        <v>51</v>
      </c>
      <c r="J129" s="125" t="s">
        <v>51</v>
      </c>
      <c r="K129" s="125" t="s">
        <v>51</v>
      </c>
      <c r="L129" s="125" t="s">
        <v>51</v>
      </c>
      <c r="M129" s="125" t="str">
        <f t="shared" si="1"/>
        <v/>
      </c>
      <c r="N129" s="125" t="str">
        <f t="shared" si="2"/>
        <v/>
      </c>
      <c r="O129" s="125"/>
      <c r="P129" s="125"/>
      <c r="Q129" s="125"/>
      <c r="R129" s="125"/>
      <c r="S129" s="628">
        <f t="shared" si="3"/>
        <v>0</v>
      </c>
      <c r="T129" s="627" t="s">
        <v>51</v>
      </c>
      <c r="U129" s="627" t="s">
        <v>51</v>
      </c>
      <c r="V129" s="627" t="s">
        <v>51</v>
      </c>
      <c r="W129" s="627" t="s">
        <v>51</v>
      </c>
      <c r="X129" s="627" t="s">
        <v>51</v>
      </c>
      <c r="Y129" s="89"/>
    </row>
    <row r="130" ht="22.5" customHeight="1">
      <c r="A130" s="125"/>
      <c r="B130" s="125"/>
      <c r="C130" s="125"/>
      <c r="D130" s="125"/>
      <c r="E130" s="125"/>
      <c r="F130" s="125"/>
      <c r="G130" s="125"/>
      <c r="H130" s="125"/>
      <c r="I130" s="627" t="s">
        <v>51</v>
      </c>
      <c r="J130" s="125" t="s">
        <v>51</v>
      </c>
      <c r="K130" s="125" t="s">
        <v>51</v>
      </c>
      <c r="L130" s="125" t="s">
        <v>51</v>
      </c>
      <c r="M130" s="125" t="str">
        <f t="shared" si="1"/>
        <v/>
      </c>
      <c r="N130" s="125" t="str">
        <f t="shared" si="2"/>
        <v/>
      </c>
      <c r="O130" s="125"/>
      <c r="P130" s="125"/>
      <c r="Q130" s="125"/>
      <c r="R130" s="125"/>
      <c r="S130" s="628">
        <f t="shared" si="3"/>
        <v>0</v>
      </c>
      <c r="T130" s="627" t="s">
        <v>51</v>
      </c>
      <c r="U130" s="627" t="s">
        <v>51</v>
      </c>
      <c r="V130" s="627" t="s">
        <v>51</v>
      </c>
      <c r="W130" s="627" t="s">
        <v>51</v>
      </c>
      <c r="X130" s="627" t="s">
        <v>51</v>
      </c>
      <c r="Y130" s="89"/>
    </row>
    <row r="131" ht="22.5" customHeight="1">
      <c r="A131" s="125"/>
      <c r="B131" s="125"/>
      <c r="C131" s="125"/>
      <c r="D131" s="125"/>
      <c r="E131" s="125"/>
      <c r="F131" s="125"/>
      <c r="G131" s="125"/>
      <c r="H131" s="125"/>
      <c r="I131" s="627" t="s">
        <v>51</v>
      </c>
      <c r="J131" s="125" t="s">
        <v>51</v>
      </c>
      <c r="K131" s="125" t="s">
        <v>51</v>
      </c>
      <c r="L131" s="125" t="s">
        <v>51</v>
      </c>
      <c r="M131" s="125" t="str">
        <f t="shared" si="1"/>
        <v/>
      </c>
      <c r="N131" s="125" t="str">
        <f t="shared" si="2"/>
        <v/>
      </c>
      <c r="O131" s="125"/>
      <c r="P131" s="125"/>
      <c r="Q131" s="125"/>
      <c r="R131" s="125"/>
      <c r="S131" s="628">
        <f t="shared" si="3"/>
        <v>0</v>
      </c>
      <c r="T131" s="627" t="s">
        <v>51</v>
      </c>
      <c r="U131" s="627" t="s">
        <v>51</v>
      </c>
      <c r="V131" s="627" t="s">
        <v>51</v>
      </c>
      <c r="W131" s="627" t="s">
        <v>51</v>
      </c>
      <c r="X131" s="627" t="s">
        <v>51</v>
      </c>
      <c r="Y131" s="89"/>
    </row>
    <row r="132" ht="22.5" customHeight="1">
      <c r="A132" s="125"/>
      <c r="B132" s="125"/>
      <c r="C132" s="125"/>
      <c r="D132" s="125"/>
      <c r="E132" s="125"/>
      <c r="F132" s="125"/>
      <c r="G132" s="125"/>
      <c r="H132" s="125"/>
      <c r="I132" s="627" t="s">
        <v>51</v>
      </c>
      <c r="J132" s="125" t="s">
        <v>51</v>
      </c>
      <c r="K132" s="125" t="s">
        <v>51</v>
      </c>
      <c r="L132" s="125" t="s">
        <v>51</v>
      </c>
      <c r="M132" s="125" t="str">
        <f t="shared" si="1"/>
        <v/>
      </c>
      <c r="N132" s="125" t="str">
        <f t="shared" si="2"/>
        <v/>
      </c>
      <c r="O132" s="125"/>
      <c r="P132" s="125"/>
      <c r="Q132" s="125"/>
      <c r="R132" s="125"/>
      <c r="S132" s="628">
        <f t="shared" si="3"/>
        <v>0</v>
      </c>
      <c r="T132" s="627" t="s">
        <v>51</v>
      </c>
      <c r="U132" s="627" t="s">
        <v>51</v>
      </c>
      <c r="V132" s="627" t="s">
        <v>51</v>
      </c>
      <c r="W132" s="627" t="s">
        <v>51</v>
      </c>
      <c r="X132" s="627" t="s">
        <v>51</v>
      </c>
      <c r="Y132" s="89"/>
    </row>
    <row r="133" ht="22.5" customHeight="1">
      <c r="A133" s="125"/>
      <c r="B133" s="125"/>
      <c r="C133" s="125"/>
      <c r="D133" s="125"/>
      <c r="E133" s="125"/>
      <c r="F133" s="125"/>
      <c r="G133" s="125"/>
      <c r="H133" s="125"/>
      <c r="I133" s="627" t="s">
        <v>51</v>
      </c>
      <c r="J133" s="125" t="s">
        <v>51</v>
      </c>
      <c r="K133" s="125" t="s">
        <v>51</v>
      </c>
      <c r="L133" s="125" t="s">
        <v>51</v>
      </c>
      <c r="M133" s="125" t="str">
        <f t="shared" si="1"/>
        <v/>
      </c>
      <c r="N133" s="125" t="str">
        <f t="shared" si="2"/>
        <v/>
      </c>
      <c r="O133" s="125"/>
      <c r="P133" s="125"/>
      <c r="Q133" s="125"/>
      <c r="R133" s="125"/>
      <c r="S133" s="628">
        <f t="shared" si="3"/>
        <v>0</v>
      </c>
      <c r="T133" s="627" t="s">
        <v>51</v>
      </c>
      <c r="U133" s="627" t="s">
        <v>51</v>
      </c>
      <c r="V133" s="627" t="s">
        <v>51</v>
      </c>
      <c r="W133" s="627" t="s">
        <v>51</v>
      </c>
      <c r="X133" s="627" t="s">
        <v>51</v>
      </c>
      <c r="Y133" s="89"/>
    </row>
    <row r="134" ht="22.5" customHeight="1">
      <c r="A134" s="125"/>
      <c r="B134" s="125"/>
      <c r="C134" s="125"/>
      <c r="D134" s="125"/>
      <c r="E134" s="125"/>
      <c r="F134" s="125"/>
      <c r="G134" s="125"/>
      <c r="H134" s="125"/>
      <c r="I134" s="627" t="s">
        <v>51</v>
      </c>
      <c r="J134" s="125" t="s">
        <v>51</v>
      </c>
      <c r="K134" s="125" t="s">
        <v>51</v>
      </c>
      <c r="L134" s="125" t="s">
        <v>51</v>
      </c>
      <c r="M134" s="125" t="str">
        <f t="shared" si="1"/>
        <v/>
      </c>
      <c r="N134" s="125" t="str">
        <f t="shared" si="2"/>
        <v/>
      </c>
      <c r="O134" s="125"/>
      <c r="P134" s="125"/>
      <c r="Q134" s="125"/>
      <c r="R134" s="125"/>
      <c r="S134" s="628">
        <f t="shared" si="3"/>
        <v>0</v>
      </c>
      <c r="T134" s="627" t="s">
        <v>51</v>
      </c>
      <c r="U134" s="627" t="s">
        <v>51</v>
      </c>
      <c r="V134" s="627" t="s">
        <v>51</v>
      </c>
      <c r="W134" s="627" t="s">
        <v>51</v>
      </c>
      <c r="X134" s="627" t="s">
        <v>51</v>
      </c>
      <c r="Y134" s="89"/>
    </row>
    <row r="135" ht="22.5" customHeight="1">
      <c r="A135" s="125"/>
      <c r="B135" s="125"/>
      <c r="C135" s="125"/>
      <c r="D135" s="125"/>
      <c r="E135" s="125"/>
      <c r="F135" s="125"/>
      <c r="G135" s="125"/>
      <c r="H135" s="125"/>
      <c r="I135" s="627" t="s">
        <v>51</v>
      </c>
      <c r="J135" s="125" t="s">
        <v>51</v>
      </c>
      <c r="K135" s="125" t="s">
        <v>51</v>
      </c>
      <c r="L135" s="125" t="s">
        <v>51</v>
      </c>
      <c r="M135" s="125" t="str">
        <f t="shared" si="1"/>
        <v/>
      </c>
      <c r="N135" s="125" t="str">
        <f t="shared" si="2"/>
        <v/>
      </c>
      <c r="O135" s="125"/>
      <c r="P135" s="125"/>
      <c r="Q135" s="125"/>
      <c r="R135" s="125"/>
      <c r="S135" s="628">
        <f t="shared" si="3"/>
        <v>0</v>
      </c>
      <c r="T135" s="627" t="s">
        <v>51</v>
      </c>
      <c r="U135" s="627" t="s">
        <v>51</v>
      </c>
      <c r="V135" s="627" t="s">
        <v>51</v>
      </c>
      <c r="W135" s="627" t="s">
        <v>51</v>
      </c>
      <c r="X135" s="627" t="s">
        <v>51</v>
      </c>
      <c r="Y135" s="89"/>
    </row>
    <row r="136" ht="22.5" customHeight="1">
      <c r="A136" s="125"/>
      <c r="B136" s="125"/>
      <c r="C136" s="125"/>
      <c r="D136" s="125"/>
      <c r="E136" s="125"/>
      <c r="F136" s="125"/>
      <c r="G136" s="125"/>
      <c r="H136" s="125"/>
      <c r="I136" s="627" t="s">
        <v>51</v>
      </c>
      <c r="J136" s="125" t="s">
        <v>51</v>
      </c>
      <c r="K136" s="125" t="s">
        <v>51</v>
      </c>
      <c r="L136" s="125" t="s">
        <v>51</v>
      </c>
      <c r="M136" s="125" t="str">
        <f t="shared" si="1"/>
        <v/>
      </c>
      <c r="N136" s="125" t="str">
        <f t="shared" si="2"/>
        <v/>
      </c>
      <c r="O136" s="125"/>
      <c r="P136" s="125"/>
      <c r="Q136" s="125"/>
      <c r="R136" s="125"/>
      <c r="S136" s="628">
        <f t="shared" si="3"/>
        <v>0</v>
      </c>
      <c r="T136" s="627" t="s">
        <v>51</v>
      </c>
      <c r="U136" s="627" t="s">
        <v>51</v>
      </c>
      <c r="V136" s="627" t="s">
        <v>51</v>
      </c>
      <c r="W136" s="627" t="s">
        <v>51</v>
      </c>
      <c r="X136" s="627" t="s">
        <v>51</v>
      </c>
      <c r="Y136" s="89"/>
    </row>
    <row r="137" ht="22.5" customHeight="1">
      <c r="A137" s="125"/>
      <c r="B137" s="125"/>
      <c r="C137" s="125"/>
      <c r="D137" s="125"/>
      <c r="E137" s="125"/>
      <c r="F137" s="125"/>
      <c r="G137" s="125"/>
      <c r="H137" s="125"/>
      <c r="I137" s="627" t="s">
        <v>51</v>
      </c>
      <c r="J137" s="125" t="s">
        <v>51</v>
      </c>
      <c r="K137" s="125" t="s">
        <v>51</v>
      </c>
      <c r="L137" s="125" t="s">
        <v>51</v>
      </c>
      <c r="M137" s="125" t="str">
        <f t="shared" si="1"/>
        <v/>
      </c>
      <c r="N137" s="125" t="str">
        <f t="shared" si="2"/>
        <v/>
      </c>
      <c r="O137" s="125"/>
      <c r="P137" s="125"/>
      <c r="Q137" s="125"/>
      <c r="R137" s="125"/>
      <c r="S137" s="628">
        <f t="shared" si="3"/>
        <v>0</v>
      </c>
      <c r="T137" s="627" t="s">
        <v>51</v>
      </c>
      <c r="U137" s="627" t="s">
        <v>51</v>
      </c>
      <c r="V137" s="627" t="s">
        <v>51</v>
      </c>
      <c r="W137" s="627" t="s">
        <v>51</v>
      </c>
      <c r="X137" s="627" t="s">
        <v>51</v>
      </c>
      <c r="Y137" s="89"/>
    </row>
    <row r="138" ht="22.5" customHeight="1">
      <c r="A138" s="125"/>
      <c r="B138" s="125"/>
      <c r="C138" s="125"/>
      <c r="D138" s="125"/>
      <c r="E138" s="125"/>
      <c r="F138" s="125"/>
      <c r="G138" s="125"/>
      <c r="H138" s="125"/>
      <c r="I138" s="627" t="s">
        <v>51</v>
      </c>
      <c r="J138" s="125" t="s">
        <v>51</v>
      </c>
      <c r="K138" s="125" t="s">
        <v>51</v>
      </c>
      <c r="L138" s="125" t="s">
        <v>51</v>
      </c>
      <c r="M138" s="125" t="str">
        <f t="shared" si="1"/>
        <v/>
      </c>
      <c r="N138" s="125" t="str">
        <f t="shared" si="2"/>
        <v/>
      </c>
      <c r="O138" s="125"/>
      <c r="P138" s="125"/>
      <c r="Q138" s="125"/>
      <c r="R138" s="125"/>
      <c r="S138" s="628">
        <f t="shared" si="3"/>
        <v>0</v>
      </c>
      <c r="T138" s="627" t="s">
        <v>51</v>
      </c>
      <c r="U138" s="627" t="s">
        <v>51</v>
      </c>
      <c r="V138" s="627" t="s">
        <v>51</v>
      </c>
      <c r="W138" s="627" t="s">
        <v>51</v>
      </c>
      <c r="X138" s="627" t="s">
        <v>51</v>
      </c>
      <c r="Y138" s="89"/>
    </row>
    <row r="139" ht="22.5" customHeight="1">
      <c r="A139" s="125"/>
      <c r="B139" s="125"/>
      <c r="C139" s="125"/>
      <c r="D139" s="125"/>
      <c r="E139" s="125"/>
      <c r="F139" s="125"/>
      <c r="G139" s="125"/>
      <c r="H139" s="125"/>
      <c r="I139" s="627" t="s">
        <v>51</v>
      </c>
      <c r="J139" s="125" t="s">
        <v>51</v>
      </c>
      <c r="K139" s="125" t="s">
        <v>51</v>
      </c>
      <c r="L139" s="125" t="s">
        <v>51</v>
      </c>
      <c r="M139" s="125" t="str">
        <f t="shared" si="1"/>
        <v/>
      </c>
      <c r="N139" s="125" t="str">
        <f t="shared" si="2"/>
        <v/>
      </c>
      <c r="O139" s="125"/>
      <c r="P139" s="125"/>
      <c r="Q139" s="125"/>
      <c r="R139" s="125"/>
      <c r="S139" s="628">
        <f t="shared" si="3"/>
        <v>0</v>
      </c>
      <c r="T139" s="627" t="s">
        <v>51</v>
      </c>
      <c r="U139" s="627" t="s">
        <v>51</v>
      </c>
      <c r="V139" s="627" t="s">
        <v>51</v>
      </c>
      <c r="W139" s="627" t="s">
        <v>51</v>
      </c>
      <c r="X139" s="627" t="s">
        <v>51</v>
      </c>
      <c r="Y139" s="89"/>
    </row>
    <row r="140" ht="22.5" customHeight="1">
      <c r="A140" s="125"/>
      <c r="B140" s="125"/>
      <c r="C140" s="125"/>
      <c r="D140" s="125"/>
      <c r="E140" s="125"/>
      <c r="F140" s="125"/>
      <c r="G140" s="125"/>
      <c r="H140" s="125"/>
      <c r="I140" s="627" t="s">
        <v>51</v>
      </c>
      <c r="J140" s="125" t="s">
        <v>51</v>
      </c>
      <c r="K140" s="125" t="s">
        <v>51</v>
      </c>
      <c r="L140" s="125" t="s">
        <v>51</v>
      </c>
      <c r="M140" s="125" t="str">
        <f t="shared" si="1"/>
        <v/>
      </c>
      <c r="N140" s="125" t="str">
        <f t="shared" si="2"/>
        <v/>
      </c>
      <c r="O140" s="125"/>
      <c r="P140" s="125"/>
      <c r="Q140" s="125"/>
      <c r="R140" s="125"/>
      <c r="S140" s="628">
        <f t="shared" si="3"/>
        <v>0</v>
      </c>
      <c r="T140" s="627" t="s">
        <v>51</v>
      </c>
      <c r="U140" s="627" t="s">
        <v>51</v>
      </c>
      <c r="V140" s="627" t="s">
        <v>51</v>
      </c>
      <c r="W140" s="627" t="s">
        <v>51</v>
      </c>
      <c r="X140" s="627" t="s">
        <v>51</v>
      </c>
      <c r="Y140" s="89"/>
    </row>
    <row r="141" ht="22.5" customHeight="1">
      <c r="A141" s="125"/>
      <c r="B141" s="125"/>
      <c r="C141" s="125"/>
      <c r="D141" s="125"/>
      <c r="E141" s="125"/>
      <c r="F141" s="125"/>
      <c r="G141" s="125"/>
      <c r="H141" s="125"/>
      <c r="I141" s="627" t="s">
        <v>51</v>
      </c>
      <c r="J141" s="125" t="s">
        <v>51</v>
      </c>
      <c r="K141" s="125" t="s">
        <v>51</v>
      </c>
      <c r="L141" s="125" t="s">
        <v>51</v>
      </c>
      <c r="M141" s="125" t="str">
        <f t="shared" si="1"/>
        <v/>
      </c>
      <c r="N141" s="125" t="str">
        <f t="shared" si="2"/>
        <v/>
      </c>
      <c r="O141" s="125"/>
      <c r="P141" s="125"/>
      <c r="Q141" s="125"/>
      <c r="R141" s="125"/>
      <c r="S141" s="628">
        <f t="shared" si="3"/>
        <v>0</v>
      </c>
      <c r="T141" s="627" t="s">
        <v>51</v>
      </c>
      <c r="U141" s="627" t="s">
        <v>51</v>
      </c>
      <c r="V141" s="627" t="s">
        <v>51</v>
      </c>
      <c r="W141" s="627" t="s">
        <v>51</v>
      </c>
      <c r="X141" s="627" t="s">
        <v>51</v>
      </c>
      <c r="Y141" s="89"/>
    </row>
    <row r="142" ht="22.5" customHeight="1">
      <c r="A142" s="125"/>
      <c r="B142" s="125"/>
      <c r="C142" s="125"/>
      <c r="D142" s="125"/>
      <c r="E142" s="125"/>
      <c r="F142" s="125"/>
      <c r="G142" s="125"/>
      <c r="H142" s="125"/>
      <c r="I142" s="627" t="s">
        <v>51</v>
      </c>
      <c r="J142" s="125" t="s">
        <v>51</v>
      </c>
      <c r="K142" s="125" t="s">
        <v>51</v>
      </c>
      <c r="L142" s="125" t="s">
        <v>51</v>
      </c>
      <c r="M142" s="125" t="str">
        <f t="shared" si="1"/>
        <v/>
      </c>
      <c r="N142" s="125" t="str">
        <f t="shared" si="2"/>
        <v/>
      </c>
      <c r="O142" s="125"/>
      <c r="P142" s="125"/>
      <c r="Q142" s="125"/>
      <c r="R142" s="125"/>
      <c r="S142" s="628">
        <f t="shared" si="3"/>
        <v>0</v>
      </c>
      <c r="T142" s="627" t="s">
        <v>51</v>
      </c>
      <c r="U142" s="627" t="s">
        <v>51</v>
      </c>
      <c r="V142" s="627" t="s">
        <v>51</v>
      </c>
      <c r="W142" s="627" t="s">
        <v>51</v>
      </c>
      <c r="X142" s="627" t="s">
        <v>51</v>
      </c>
      <c r="Y142" s="89"/>
    </row>
    <row r="143" ht="22.5" customHeight="1">
      <c r="A143" s="125"/>
      <c r="B143" s="125"/>
      <c r="C143" s="125"/>
      <c r="D143" s="125"/>
      <c r="E143" s="125"/>
      <c r="F143" s="125"/>
      <c r="G143" s="125"/>
      <c r="H143" s="125"/>
      <c r="I143" s="627" t="s">
        <v>51</v>
      </c>
      <c r="J143" s="125" t="s">
        <v>51</v>
      </c>
      <c r="K143" s="125" t="s">
        <v>51</v>
      </c>
      <c r="L143" s="125" t="s">
        <v>51</v>
      </c>
      <c r="M143" s="125" t="str">
        <f t="shared" si="1"/>
        <v/>
      </c>
      <c r="N143" s="125" t="str">
        <f t="shared" si="2"/>
        <v/>
      </c>
      <c r="O143" s="125"/>
      <c r="P143" s="125"/>
      <c r="Q143" s="125"/>
      <c r="R143" s="125"/>
      <c r="S143" s="628">
        <f t="shared" si="3"/>
        <v>0</v>
      </c>
      <c r="T143" s="627" t="s">
        <v>51</v>
      </c>
      <c r="U143" s="627" t="s">
        <v>51</v>
      </c>
      <c r="V143" s="627" t="s">
        <v>51</v>
      </c>
      <c r="W143" s="627" t="s">
        <v>51</v>
      </c>
      <c r="X143" s="627" t="s">
        <v>51</v>
      </c>
      <c r="Y143" s="89"/>
    </row>
    <row r="144" ht="22.5" customHeight="1">
      <c r="A144" s="125"/>
      <c r="B144" s="125"/>
      <c r="C144" s="125"/>
      <c r="D144" s="125"/>
      <c r="E144" s="125"/>
      <c r="F144" s="125"/>
      <c r="G144" s="125"/>
      <c r="H144" s="125"/>
      <c r="I144" s="627" t="s">
        <v>51</v>
      </c>
      <c r="J144" s="125" t="s">
        <v>51</v>
      </c>
      <c r="K144" s="125" t="s">
        <v>51</v>
      </c>
      <c r="L144" s="125" t="s">
        <v>51</v>
      </c>
      <c r="M144" s="125" t="str">
        <f t="shared" si="1"/>
        <v/>
      </c>
      <c r="N144" s="125" t="str">
        <f t="shared" si="2"/>
        <v/>
      </c>
      <c r="O144" s="125"/>
      <c r="P144" s="125"/>
      <c r="Q144" s="125"/>
      <c r="R144" s="125"/>
      <c r="S144" s="628">
        <f t="shared" si="3"/>
        <v>0</v>
      </c>
      <c r="T144" s="627" t="s">
        <v>51</v>
      </c>
      <c r="U144" s="627" t="s">
        <v>51</v>
      </c>
      <c r="V144" s="627" t="s">
        <v>51</v>
      </c>
      <c r="W144" s="627" t="s">
        <v>51</v>
      </c>
      <c r="X144" s="627" t="s">
        <v>51</v>
      </c>
      <c r="Y144" s="89"/>
    </row>
    <row r="145" ht="22.5" customHeight="1">
      <c r="A145" s="125"/>
      <c r="B145" s="125"/>
      <c r="C145" s="125"/>
      <c r="D145" s="125"/>
      <c r="E145" s="125"/>
      <c r="F145" s="125"/>
      <c r="G145" s="125"/>
      <c r="H145" s="125"/>
      <c r="I145" s="627" t="s">
        <v>51</v>
      </c>
      <c r="J145" s="125" t="s">
        <v>51</v>
      </c>
      <c r="K145" s="125" t="s">
        <v>51</v>
      </c>
      <c r="L145" s="125" t="s">
        <v>51</v>
      </c>
      <c r="M145" s="125" t="str">
        <f t="shared" si="1"/>
        <v/>
      </c>
      <c r="N145" s="125" t="str">
        <f t="shared" si="2"/>
        <v/>
      </c>
      <c r="O145" s="125"/>
      <c r="P145" s="125"/>
      <c r="Q145" s="125"/>
      <c r="R145" s="125"/>
      <c r="S145" s="628">
        <f t="shared" si="3"/>
        <v>0</v>
      </c>
      <c r="T145" s="627" t="s">
        <v>51</v>
      </c>
      <c r="U145" s="627" t="s">
        <v>51</v>
      </c>
      <c r="V145" s="627" t="s">
        <v>51</v>
      </c>
      <c r="W145" s="627" t="s">
        <v>51</v>
      </c>
      <c r="X145" s="627" t="s">
        <v>51</v>
      </c>
      <c r="Y145" s="89"/>
    </row>
    <row r="146" ht="22.5" customHeight="1">
      <c r="A146" s="125"/>
      <c r="B146" s="125"/>
      <c r="C146" s="125"/>
      <c r="D146" s="125"/>
      <c r="E146" s="125"/>
      <c r="F146" s="125"/>
      <c r="G146" s="125"/>
      <c r="H146" s="125"/>
      <c r="I146" s="627" t="s">
        <v>51</v>
      </c>
      <c r="J146" s="125" t="s">
        <v>51</v>
      </c>
      <c r="K146" s="125" t="s">
        <v>51</v>
      </c>
      <c r="L146" s="125" t="s">
        <v>51</v>
      </c>
      <c r="M146" s="125" t="str">
        <f t="shared" si="1"/>
        <v/>
      </c>
      <c r="N146" s="125" t="str">
        <f t="shared" si="2"/>
        <v/>
      </c>
      <c r="O146" s="125"/>
      <c r="P146" s="125"/>
      <c r="Q146" s="125"/>
      <c r="R146" s="125"/>
      <c r="S146" s="628">
        <f t="shared" si="3"/>
        <v>0</v>
      </c>
      <c r="T146" s="627" t="s">
        <v>51</v>
      </c>
      <c r="U146" s="627" t="s">
        <v>51</v>
      </c>
      <c r="V146" s="627" t="s">
        <v>51</v>
      </c>
      <c r="W146" s="627" t="s">
        <v>51</v>
      </c>
      <c r="X146" s="627" t="s">
        <v>51</v>
      </c>
      <c r="Y146" s="89"/>
    </row>
    <row r="147" ht="22.5" customHeight="1">
      <c r="A147" s="125"/>
      <c r="B147" s="125"/>
      <c r="C147" s="125"/>
      <c r="D147" s="125"/>
      <c r="E147" s="125"/>
      <c r="F147" s="125"/>
      <c r="G147" s="125"/>
      <c r="H147" s="125"/>
      <c r="I147" s="627" t="s">
        <v>51</v>
      </c>
      <c r="J147" s="125" t="s">
        <v>51</v>
      </c>
      <c r="K147" s="125" t="s">
        <v>51</v>
      </c>
      <c r="L147" s="125" t="s">
        <v>51</v>
      </c>
      <c r="M147" s="125" t="str">
        <f t="shared" si="1"/>
        <v/>
      </c>
      <c r="N147" s="125" t="str">
        <f t="shared" si="2"/>
        <v/>
      </c>
      <c r="O147" s="125"/>
      <c r="P147" s="125"/>
      <c r="Q147" s="125"/>
      <c r="R147" s="125"/>
      <c r="S147" s="628">
        <f t="shared" si="3"/>
        <v>0</v>
      </c>
      <c r="T147" s="627" t="s">
        <v>51</v>
      </c>
      <c r="U147" s="627" t="s">
        <v>51</v>
      </c>
      <c r="V147" s="627" t="s">
        <v>51</v>
      </c>
      <c r="W147" s="627" t="s">
        <v>51</v>
      </c>
      <c r="X147" s="627" t="s">
        <v>51</v>
      </c>
      <c r="Y147" s="89"/>
    </row>
    <row r="148" ht="22.5" customHeight="1">
      <c r="A148" s="125"/>
      <c r="B148" s="125"/>
      <c r="C148" s="125"/>
      <c r="D148" s="125"/>
      <c r="E148" s="125"/>
      <c r="F148" s="125"/>
      <c r="G148" s="125"/>
      <c r="H148" s="125"/>
      <c r="I148" s="627" t="s">
        <v>51</v>
      </c>
      <c r="J148" s="125" t="s">
        <v>51</v>
      </c>
      <c r="K148" s="125" t="s">
        <v>51</v>
      </c>
      <c r="L148" s="125" t="s">
        <v>51</v>
      </c>
      <c r="M148" s="125" t="str">
        <f t="shared" si="1"/>
        <v/>
      </c>
      <c r="N148" s="125" t="str">
        <f t="shared" si="2"/>
        <v/>
      </c>
      <c r="O148" s="125"/>
      <c r="P148" s="125"/>
      <c r="Q148" s="125"/>
      <c r="R148" s="125"/>
      <c r="S148" s="628">
        <f t="shared" si="3"/>
        <v>0</v>
      </c>
      <c r="T148" s="627" t="s">
        <v>51</v>
      </c>
      <c r="U148" s="627" t="s">
        <v>51</v>
      </c>
      <c r="V148" s="627" t="s">
        <v>51</v>
      </c>
      <c r="W148" s="627" t="s">
        <v>51</v>
      </c>
      <c r="X148" s="627" t="s">
        <v>51</v>
      </c>
      <c r="Y148" s="89"/>
    </row>
    <row r="149" ht="22.5" customHeight="1">
      <c r="A149" s="125"/>
      <c r="B149" s="125"/>
      <c r="C149" s="125"/>
      <c r="D149" s="125"/>
      <c r="E149" s="125"/>
      <c r="F149" s="125"/>
      <c r="G149" s="125"/>
      <c r="H149" s="125"/>
      <c r="I149" s="627" t="s">
        <v>51</v>
      </c>
      <c r="J149" s="125" t="s">
        <v>51</v>
      </c>
      <c r="K149" s="125" t="s">
        <v>51</v>
      </c>
      <c r="L149" s="125" t="s">
        <v>51</v>
      </c>
      <c r="M149" s="125" t="str">
        <f t="shared" si="1"/>
        <v/>
      </c>
      <c r="N149" s="125" t="str">
        <f t="shared" si="2"/>
        <v/>
      </c>
      <c r="O149" s="125"/>
      <c r="P149" s="125"/>
      <c r="Q149" s="125"/>
      <c r="R149" s="125"/>
      <c r="S149" s="628">
        <f t="shared" si="3"/>
        <v>0</v>
      </c>
      <c r="T149" s="627" t="s">
        <v>51</v>
      </c>
      <c r="U149" s="627" t="s">
        <v>51</v>
      </c>
      <c r="V149" s="627" t="s">
        <v>51</v>
      </c>
      <c r="W149" s="627" t="s">
        <v>51</v>
      </c>
      <c r="X149" s="627" t="s">
        <v>51</v>
      </c>
      <c r="Y149" s="89"/>
    </row>
    <row r="150" ht="22.5" customHeight="1">
      <c r="A150" s="125"/>
      <c r="B150" s="125"/>
      <c r="C150" s="125"/>
      <c r="D150" s="125"/>
      <c r="E150" s="125"/>
      <c r="F150" s="125"/>
      <c r="G150" s="125"/>
      <c r="H150" s="125"/>
      <c r="I150" s="627" t="s">
        <v>51</v>
      </c>
      <c r="J150" s="125" t="s">
        <v>51</v>
      </c>
      <c r="K150" s="125" t="s">
        <v>51</v>
      </c>
      <c r="L150" s="125" t="s">
        <v>51</v>
      </c>
      <c r="M150" s="125" t="str">
        <f t="shared" si="1"/>
        <v/>
      </c>
      <c r="N150" s="125" t="str">
        <f t="shared" si="2"/>
        <v/>
      </c>
      <c r="O150" s="125"/>
      <c r="P150" s="125"/>
      <c r="Q150" s="125"/>
      <c r="R150" s="125"/>
      <c r="S150" s="628">
        <f t="shared" si="3"/>
        <v>0</v>
      </c>
      <c r="T150" s="627" t="s">
        <v>51</v>
      </c>
      <c r="U150" s="627" t="s">
        <v>51</v>
      </c>
      <c r="V150" s="627" t="s">
        <v>51</v>
      </c>
      <c r="W150" s="627" t="s">
        <v>51</v>
      </c>
      <c r="X150" s="627" t="s">
        <v>51</v>
      </c>
      <c r="Y150" s="89"/>
    </row>
    <row r="151" ht="22.5" customHeight="1">
      <c r="A151" s="125"/>
      <c r="B151" s="125"/>
      <c r="C151" s="125"/>
      <c r="D151" s="125"/>
      <c r="E151" s="125"/>
      <c r="F151" s="125"/>
      <c r="G151" s="125"/>
      <c r="H151" s="125"/>
      <c r="I151" s="627" t="s">
        <v>51</v>
      </c>
      <c r="J151" s="125" t="s">
        <v>51</v>
      </c>
      <c r="K151" s="125" t="s">
        <v>51</v>
      </c>
      <c r="L151" s="125" t="s">
        <v>51</v>
      </c>
      <c r="M151" s="125" t="str">
        <f t="shared" si="1"/>
        <v/>
      </c>
      <c r="N151" s="125" t="str">
        <f t="shared" si="2"/>
        <v/>
      </c>
      <c r="O151" s="125"/>
      <c r="P151" s="125"/>
      <c r="Q151" s="125"/>
      <c r="R151" s="125"/>
      <c r="S151" s="628">
        <f t="shared" si="3"/>
        <v>0</v>
      </c>
      <c r="T151" s="627" t="s">
        <v>51</v>
      </c>
      <c r="U151" s="627" t="s">
        <v>51</v>
      </c>
      <c r="V151" s="627" t="s">
        <v>51</v>
      </c>
      <c r="W151" s="627" t="s">
        <v>51</v>
      </c>
      <c r="X151" s="627" t="s">
        <v>51</v>
      </c>
      <c r="Y151" s="89"/>
    </row>
    <row r="152" ht="22.5" customHeight="1">
      <c r="A152" s="125"/>
      <c r="B152" s="125"/>
      <c r="C152" s="125"/>
      <c r="D152" s="125"/>
      <c r="E152" s="125"/>
      <c r="F152" s="125"/>
      <c r="G152" s="125"/>
      <c r="H152" s="125"/>
      <c r="I152" s="627" t="s">
        <v>51</v>
      </c>
      <c r="J152" s="125" t="s">
        <v>51</v>
      </c>
      <c r="K152" s="125" t="s">
        <v>51</v>
      </c>
      <c r="L152" s="125" t="s">
        <v>51</v>
      </c>
      <c r="M152" s="125" t="str">
        <f t="shared" si="1"/>
        <v/>
      </c>
      <c r="N152" s="125" t="str">
        <f t="shared" si="2"/>
        <v/>
      </c>
      <c r="O152" s="125"/>
      <c r="P152" s="125"/>
      <c r="Q152" s="125"/>
      <c r="R152" s="125"/>
      <c r="S152" s="628">
        <f t="shared" si="3"/>
        <v>0</v>
      </c>
      <c r="T152" s="627" t="s">
        <v>51</v>
      </c>
      <c r="U152" s="627" t="s">
        <v>51</v>
      </c>
      <c r="V152" s="627" t="s">
        <v>51</v>
      </c>
      <c r="W152" s="627" t="s">
        <v>51</v>
      </c>
      <c r="X152" s="627" t="s">
        <v>51</v>
      </c>
      <c r="Y152" s="89"/>
    </row>
    <row r="153" ht="22.5" customHeight="1">
      <c r="A153" s="125"/>
      <c r="B153" s="125"/>
      <c r="C153" s="125"/>
      <c r="D153" s="125"/>
      <c r="E153" s="125"/>
      <c r="F153" s="125"/>
      <c r="G153" s="125"/>
      <c r="H153" s="125"/>
      <c r="I153" s="627" t="s">
        <v>51</v>
      </c>
      <c r="J153" s="125" t="s">
        <v>51</v>
      </c>
      <c r="K153" s="125" t="s">
        <v>51</v>
      </c>
      <c r="L153" s="125" t="s">
        <v>51</v>
      </c>
      <c r="M153" s="125" t="str">
        <f t="shared" si="1"/>
        <v/>
      </c>
      <c r="N153" s="125" t="str">
        <f t="shared" si="2"/>
        <v/>
      </c>
      <c r="O153" s="125"/>
      <c r="P153" s="125"/>
      <c r="Q153" s="125"/>
      <c r="R153" s="125"/>
      <c r="S153" s="628">
        <f t="shared" si="3"/>
        <v>0</v>
      </c>
      <c r="T153" s="627" t="s">
        <v>51</v>
      </c>
      <c r="U153" s="627" t="s">
        <v>51</v>
      </c>
      <c r="V153" s="627" t="s">
        <v>51</v>
      </c>
      <c r="W153" s="627" t="s">
        <v>51</v>
      </c>
      <c r="X153" s="627" t="s">
        <v>51</v>
      </c>
      <c r="Y153" s="89"/>
    </row>
    <row r="154" ht="22.5" customHeight="1">
      <c r="A154" s="125"/>
      <c r="B154" s="125"/>
      <c r="C154" s="125"/>
      <c r="D154" s="125"/>
      <c r="E154" s="125"/>
      <c r="F154" s="125"/>
      <c r="G154" s="125"/>
      <c r="H154" s="125"/>
      <c r="I154" s="627" t="s">
        <v>51</v>
      </c>
      <c r="J154" s="125" t="s">
        <v>51</v>
      </c>
      <c r="K154" s="125" t="s">
        <v>51</v>
      </c>
      <c r="L154" s="125" t="s">
        <v>51</v>
      </c>
      <c r="M154" s="125" t="str">
        <f t="shared" si="1"/>
        <v/>
      </c>
      <c r="N154" s="125" t="str">
        <f t="shared" si="2"/>
        <v/>
      </c>
      <c r="O154" s="125"/>
      <c r="P154" s="125"/>
      <c r="Q154" s="125"/>
      <c r="R154" s="125"/>
      <c r="S154" s="628">
        <f t="shared" si="3"/>
        <v>0</v>
      </c>
      <c r="T154" s="627" t="s">
        <v>51</v>
      </c>
      <c r="U154" s="627" t="s">
        <v>51</v>
      </c>
      <c r="V154" s="627" t="s">
        <v>51</v>
      </c>
      <c r="W154" s="627" t="s">
        <v>51</v>
      </c>
      <c r="X154" s="627" t="s">
        <v>51</v>
      </c>
      <c r="Y154" s="89"/>
    </row>
    <row r="155" ht="22.5" customHeight="1">
      <c r="A155" s="125"/>
      <c r="B155" s="125"/>
      <c r="C155" s="125"/>
      <c r="D155" s="125"/>
      <c r="E155" s="125"/>
      <c r="F155" s="125"/>
      <c r="G155" s="125"/>
      <c r="H155" s="125"/>
      <c r="I155" s="627" t="s">
        <v>51</v>
      </c>
      <c r="J155" s="125" t="s">
        <v>51</v>
      </c>
      <c r="K155" s="125" t="s">
        <v>51</v>
      </c>
      <c r="L155" s="125" t="s">
        <v>51</v>
      </c>
      <c r="M155" s="125" t="str">
        <f t="shared" si="1"/>
        <v/>
      </c>
      <c r="N155" s="125" t="str">
        <f t="shared" si="2"/>
        <v/>
      </c>
      <c r="O155" s="125"/>
      <c r="P155" s="125"/>
      <c r="Q155" s="125"/>
      <c r="R155" s="125"/>
      <c r="S155" s="628">
        <f t="shared" si="3"/>
        <v>0</v>
      </c>
      <c r="T155" s="627" t="s">
        <v>51</v>
      </c>
      <c r="U155" s="627" t="s">
        <v>51</v>
      </c>
      <c r="V155" s="627" t="s">
        <v>51</v>
      </c>
      <c r="W155" s="627" t="s">
        <v>51</v>
      </c>
      <c r="X155" s="627" t="s">
        <v>51</v>
      </c>
      <c r="Y155" s="89"/>
    </row>
    <row r="156" ht="22.5" customHeight="1">
      <c r="A156" s="125"/>
      <c r="B156" s="125"/>
      <c r="C156" s="125"/>
      <c r="D156" s="125"/>
      <c r="E156" s="125"/>
      <c r="F156" s="125"/>
      <c r="G156" s="125"/>
      <c r="H156" s="125"/>
      <c r="I156" s="627" t="s">
        <v>51</v>
      </c>
      <c r="J156" s="125" t="s">
        <v>51</v>
      </c>
      <c r="K156" s="125" t="s">
        <v>51</v>
      </c>
      <c r="L156" s="125" t="s">
        <v>51</v>
      </c>
      <c r="M156" s="125" t="str">
        <f t="shared" si="1"/>
        <v/>
      </c>
      <c r="N156" s="125" t="str">
        <f t="shared" si="2"/>
        <v/>
      </c>
      <c r="O156" s="125"/>
      <c r="P156" s="125"/>
      <c r="Q156" s="125"/>
      <c r="R156" s="125"/>
      <c r="S156" s="628">
        <f t="shared" si="3"/>
        <v>0</v>
      </c>
      <c r="T156" s="627" t="s">
        <v>51</v>
      </c>
      <c r="U156" s="627" t="s">
        <v>51</v>
      </c>
      <c r="V156" s="627" t="s">
        <v>51</v>
      </c>
      <c r="W156" s="627" t="s">
        <v>51</v>
      </c>
      <c r="X156" s="627" t="s">
        <v>51</v>
      </c>
      <c r="Y156" s="89"/>
    </row>
    <row r="157" ht="22.5" customHeight="1">
      <c r="A157" s="125"/>
      <c r="B157" s="125"/>
      <c r="C157" s="125"/>
      <c r="D157" s="125"/>
      <c r="E157" s="125"/>
      <c r="F157" s="125"/>
      <c r="G157" s="125"/>
      <c r="H157" s="125"/>
      <c r="I157" s="627" t="s">
        <v>51</v>
      </c>
      <c r="J157" s="125" t="s">
        <v>51</v>
      </c>
      <c r="K157" s="125" t="s">
        <v>51</v>
      </c>
      <c r="L157" s="125" t="s">
        <v>51</v>
      </c>
      <c r="M157" s="125" t="str">
        <f t="shared" si="1"/>
        <v/>
      </c>
      <c r="N157" s="125" t="str">
        <f t="shared" si="2"/>
        <v/>
      </c>
      <c r="O157" s="125"/>
      <c r="P157" s="125"/>
      <c r="Q157" s="125"/>
      <c r="R157" s="125"/>
      <c r="S157" s="628">
        <f t="shared" si="3"/>
        <v>0</v>
      </c>
      <c r="T157" s="627" t="s">
        <v>51</v>
      </c>
      <c r="U157" s="627" t="s">
        <v>51</v>
      </c>
      <c r="V157" s="627" t="s">
        <v>51</v>
      </c>
      <c r="W157" s="627" t="s">
        <v>51</v>
      </c>
      <c r="X157" s="627" t="s">
        <v>51</v>
      </c>
      <c r="Y157" s="89"/>
    </row>
    <row r="158" ht="22.5" customHeight="1">
      <c r="A158" s="125"/>
      <c r="B158" s="125"/>
      <c r="C158" s="125"/>
      <c r="D158" s="125"/>
      <c r="E158" s="125"/>
      <c r="F158" s="125"/>
      <c r="G158" s="125"/>
      <c r="H158" s="125"/>
      <c r="I158" s="627" t="s">
        <v>51</v>
      </c>
      <c r="J158" s="125" t="s">
        <v>51</v>
      </c>
      <c r="K158" s="125" t="s">
        <v>51</v>
      </c>
      <c r="L158" s="125" t="s">
        <v>51</v>
      </c>
      <c r="M158" s="125" t="str">
        <f t="shared" si="1"/>
        <v/>
      </c>
      <c r="N158" s="125" t="str">
        <f t="shared" si="2"/>
        <v/>
      </c>
      <c r="O158" s="125"/>
      <c r="P158" s="125"/>
      <c r="Q158" s="125"/>
      <c r="R158" s="125"/>
      <c r="S158" s="628">
        <f t="shared" si="3"/>
        <v>0</v>
      </c>
      <c r="T158" s="627" t="s">
        <v>51</v>
      </c>
      <c r="U158" s="627" t="s">
        <v>51</v>
      </c>
      <c r="V158" s="627" t="s">
        <v>51</v>
      </c>
      <c r="W158" s="627" t="s">
        <v>51</v>
      </c>
      <c r="X158" s="627" t="s">
        <v>51</v>
      </c>
      <c r="Y158" s="89"/>
    </row>
    <row r="159" ht="22.5" customHeight="1">
      <c r="A159" s="125"/>
      <c r="B159" s="125"/>
      <c r="C159" s="125"/>
      <c r="D159" s="125"/>
      <c r="E159" s="125"/>
      <c r="F159" s="125"/>
      <c r="G159" s="125"/>
      <c r="H159" s="125"/>
      <c r="I159" s="627" t="s">
        <v>51</v>
      </c>
      <c r="J159" s="125" t="s">
        <v>51</v>
      </c>
      <c r="K159" s="125" t="s">
        <v>51</v>
      </c>
      <c r="L159" s="125" t="s">
        <v>51</v>
      </c>
      <c r="M159" s="125" t="str">
        <f t="shared" si="1"/>
        <v/>
      </c>
      <c r="N159" s="125" t="str">
        <f t="shared" si="2"/>
        <v/>
      </c>
      <c r="O159" s="125"/>
      <c r="P159" s="125"/>
      <c r="Q159" s="125"/>
      <c r="R159" s="125"/>
      <c r="S159" s="628">
        <f t="shared" si="3"/>
        <v>0</v>
      </c>
      <c r="T159" s="627" t="s">
        <v>51</v>
      </c>
      <c r="U159" s="627" t="s">
        <v>51</v>
      </c>
      <c r="V159" s="627" t="s">
        <v>51</v>
      </c>
      <c r="W159" s="627" t="s">
        <v>51</v>
      </c>
      <c r="X159" s="627" t="s">
        <v>51</v>
      </c>
      <c r="Y159" s="89"/>
    </row>
    <row r="160" ht="22.5" customHeight="1">
      <c r="A160" s="125"/>
      <c r="B160" s="125"/>
      <c r="C160" s="125"/>
      <c r="D160" s="125"/>
      <c r="E160" s="125"/>
      <c r="F160" s="125"/>
      <c r="G160" s="125"/>
      <c r="H160" s="125"/>
      <c r="I160" s="627" t="s">
        <v>51</v>
      </c>
      <c r="J160" s="125" t="s">
        <v>51</v>
      </c>
      <c r="K160" s="125" t="s">
        <v>51</v>
      </c>
      <c r="L160" s="125" t="s">
        <v>51</v>
      </c>
      <c r="M160" s="125" t="str">
        <f t="shared" si="1"/>
        <v/>
      </c>
      <c r="N160" s="125" t="str">
        <f t="shared" si="2"/>
        <v/>
      </c>
      <c r="O160" s="125"/>
      <c r="P160" s="125"/>
      <c r="Q160" s="125"/>
      <c r="R160" s="125"/>
      <c r="S160" s="628">
        <f t="shared" si="3"/>
        <v>0</v>
      </c>
      <c r="T160" s="627" t="s">
        <v>51</v>
      </c>
      <c r="U160" s="627" t="s">
        <v>51</v>
      </c>
      <c r="V160" s="627" t="s">
        <v>51</v>
      </c>
      <c r="W160" s="627" t="s">
        <v>51</v>
      </c>
      <c r="X160" s="627" t="s">
        <v>51</v>
      </c>
      <c r="Y160" s="89"/>
    </row>
    <row r="161" ht="22.5" customHeight="1">
      <c r="A161" s="125"/>
      <c r="B161" s="125"/>
      <c r="C161" s="125"/>
      <c r="D161" s="125"/>
      <c r="E161" s="125"/>
      <c r="F161" s="125"/>
      <c r="G161" s="125"/>
      <c r="H161" s="125"/>
      <c r="I161" s="627" t="s">
        <v>51</v>
      </c>
      <c r="J161" s="125" t="s">
        <v>51</v>
      </c>
      <c r="K161" s="125" t="s">
        <v>51</v>
      </c>
      <c r="L161" s="125" t="s">
        <v>51</v>
      </c>
      <c r="M161" s="125" t="str">
        <f t="shared" si="1"/>
        <v/>
      </c>
      <c r="N161" s="125" t="str">
        <f t="shared" si="2"/>
        <v/>
      </c>
      <c r="O161" s="125"/>
      <c r="P161" s="125"/>
      <c r="Q161" s="125"/>
      <c r="R161" s="125"/>
      <c r="S161" s="628">
        <f t="shared" si="3"/>
        <v>0</v>
      </c>
      <c r="T161" s="627" t="s">
        <v>51</v>
      </c>
      <c r="U161" s="627" t="s">
        <v>51</v>
      </c>
      <c r="V161" s="627" t="s">
        <v>51</v>
      </c>
      <c r="W161" s="627" t="s">
        <v>51</v>
      </c>
      <c r="X161" s="627" t="s">
        <v>51</v>
      </c>
      <c r="Y161" s="89"/>
    </row>
    <row r="162" ht="22.5" customHeight="1">
      <c r="A162" s="125"/>
      <c r="B162" s="125"/>
      <c r="C162" s="125"/>
      <c r="D162" s="125"/>
      <c r="E162" s="125"/>
      <c r="F162" s="125"/>
      <c r="G162" s="125"/>
      <c r="H162" s="125"/>
      <c r="I162" s="627" t="s">
        <v>51</v>
      </c>
      <c r="J162" s="125" t="s">
        <v>51</v>
      </c>
      <c r="K162" s="125" t="s">
        <v>51</v>
      </c>
      <c r="L162" s="125" t="s">
        <v>51</v>
      </c>
      <c r="M162" s="125" t="str">
        <f t="shared" si="1"/>
        <v/>
      </c>
      <c r="N162" s="125" t="str">
        <f t="shared" si="2"/>
        <v/>
      </c>
      <c r="O162" s="125"/>
      <c r="P162" s="125"/>
      <c r="Q162" s="125"/>
      <c r="R162" s="125"/>
      <c r="S162" s="628">
        <f t="shared" si="3"/>
        <v>0</v>
      </c>
      <c r="T162" s="627" t="s">
        <v>51</v>
      </c>
      <c r="U162" s="627" t="s">
        <v>51</v>
      </c>
      <c r="V162" s="627" t="s">
        <v>51</v>
      </c>
      <c r="W162" s="627" t="s">
        <v>51</v>
      </c>
      <c r="X162" s="627" t="s">
        <v>51</v>
      </c>
      <c r="Y162" s="89"/>
    </row>
    <row r="163" ht="22.5" customHeight="1">
      <c r="A163" s="125"/>
      <c r="B163" s="125"/>
      <c r="C163" s="125"/>
      <c r="D163" s="125"/>
      <c r="E163" s="125"/>
      <c r="F163" s="125"/>
      <c r="G163" s="125"/>
      <c r="H163" s="125"/>
      <c r="I163" s="627" t="s">
        <v>51</v>
      </c>
      <c r="J163" s="125" t="s">
        <v>51</v>
      </c>
      <c r="K163" s="125" t="s">
        <v>51</v>
      </c>
      <c r="L163" s="125" t="s">
        <v>51</v>
      </c>
      <c r="M163" s="125" t="str">
        <f t="shared" si="1"/>
        <v/>
      </c>
      <c r="N163" s="125" t="str">
        <f t="shared" si="2"/>
        <v/>
      </c>
      <c r="O163" s="125"/>
      <c r="P163" s="125"/>
      <c r="Q163" s="125"/>
      <c r="R163" s="125"/>
      <c r="S163" s="628">
        <f t="shared" si="3"/>
        <v>0</v>
      </c>
      <c r="T163" s="627" t="s">
        <v>51</v>
      </c>
      <c r="U163" s="627" t="s">
        <v>51</v>
      </c>
      <c r="V163" s="627" t="s">
        <v>51</v>
      </c>
      <c r="W163" s="627" t="s">
        <v>51</v>
      </c>
      <c r="X163" s="627" t="s">
        <v>51</v>
      </c>
      <c r="Y163" s="89"/>
    </row>
    <row r="164" ht="22.5" customHeight="1">
      <c r="A164" s="125"/>
      <c r="B164" s="125"/>
      <c r="C164" s="125"/>
      <c r="D164" s="125"/>
      <c r="E164" s="125"/>
      <c r="F164" s="125"/>
      <c r="G164" s="125"/>
      <c r="H164" s="125"/>
      <c r="I164" s="627" t="s">
        <v>51</v>
      </c>
      <c r="J164" s="125" t="s">
        <v>51</v>
      </c>
      <c r="K164" s="125" t="s">
        <v>51</v>
      </c>
      <c r="L164" s="125" t="s">
        <v>51</v>
      </c>
      <c r="M164" s="125" t="str">
        <f t="shared" si="1"/>
        <v/>
      </c>
      <c r="N164" s="125" t="str">
        <f t="shared" si="2"/>
        <v/>
      </c>
      <c r="O164" s="125"/>
      <c r="P164" s="125"/>
      <c r="Q164" s="125"/>
      <c r="R164" s="125"/>
      <c r="S164" s="628">
        <f t="shared" si="3"/>
        <v>0</v>
      </c>
      <c r="T164" s="627" t="s">
        <v>51</v>
      </c>
      <c r="U164" s="627" t="s">
        <v>51</v>
      </c>
      <c r="V164" s="627" t="s">
        <v>51</v>
      </c>
      <c r="W164" s="627" t="s">
        <v>51</v>
      </c>
      <c r="X164" s="627" t="s">
        <v>51</v>
      </c>
      <c r="Y164" s="89"/>
    </row>
    <row r="165" ht="22.5" customHeight="1">
      <c r="A165" s="125"/>
      <c r="B165" s="125"/>
      <c r="C165" s="125"/>
      <c r="D165" s="125"/>
      <c r="E165" s="125"/>
      <c r="F165" s="125"/>
      <c r="G165" s="125"/>
      <c r="H165" s="125"/>
      <c r="I165" s="627" t="s">
        <v>51</v>
      </c>
      <c r="J165" s="125" t="s">
        <v>51</v>
      </c>
      <c r="K165" s="125" t="s">
        <v>51</v>
      </c>
      <c r="L165" s="125" t="s">
        <v>51</v>
      </c>
      <c r="M165" s="125" t="str">
        <f t="shared" si="1"/>
        <v/>
      </c>
      <c r="N165" s="125" t="str">
        <f t="shared" si="2"/>
        <v/>
      </c>
      <c r="O165" s="125"/>
      <c r="P165" s="125"/>
      <c r="Q165" s="125"/>
      <c r="R165" s="125"/>
      <c r="S165" s="628">
        <f t="shared" si="3"/>
        <v>0</v>
      </c>
      <c r="T165" s="627" t="s">
        <v>51</v>
      </c>
      <c r="U165" s="627" t="s">
        <v>51</v>
      </c>
      <c r="V165" s="627" t="s">
        <v>51</v>
      </c>
      <c r="W165" s="627" t="s">
        <v>51</v>
      </c>
      <c r="X165" s="627" t="s">
        <v>51</v>
      </c>
      <c r="Y165" s="89"/>
    </row>
    <row r="166" ht="22.5" customHeight="1">
      <c r="A166" s="125"/>
      <c r="B166" s="125"/>
      <c r="C166" s="125"/>
      <c r="D166" s="125"/>
      <c r="E166" s="125"/>
      <c r="F166" s="125"/>
      <c r="G166" s="125"/>
      <c r="H166" s="125"/>
      <c r="I166" s="627" t="s">
        <v>51</v>
      </c>
      <c r="J166" s="125" t="s">
        <v>51</v>
      </c>
      <c r="K166" s="125" t="s">
        <v>51</v>
      </c>
      <c r="L166" s="125" t="s">
        <v>51</v>
      </c>
      <c r="M166" s="125" t="str">
        <f t="shared" si="1"/>
        <v/>
      </c>
      <c r="N166" s="125" t="str">
        <f t="shared" si="2"/>
        <v/>
      </c>
      <c r="O166" s="125"/>
      <c r="P166" s="125"/>
      <c r="Q166" s="125"/>
      <c r="R166" s="125"/>
      <c r="S166" s="628">
        <f t="shared" si="3"/>
        <v>0</v>
      </c>
      <c r="T166" s="627" t="s">
        <v>51</v>
      </c>
      <c r="U166" s="627" t="s">
        <v>51</v>
      </c>
      <c r="V166" s="627" t="s">
        <v>51</v>
      </c>
      <c r="W166" s="627" t="s">
        <v>51</v>
      </c>
      <c r="X166" s="627" t="s">
        <v>51</v>
      </c>
      <c r="Y166" s="89"/>
    </row>
    <row r="167" ht="22.5" customHeight="1">
      <c r="A167" s="125"/>
      <c r="B167" s="125"/>
      <c r="C167" s="125"/>
      <c r="D167" s="125"/>
      <c r="E167" s="125"/>
      <c r="F167" s="125"/>
      <c r="G167" s="125"/>
      <c r="H167" s="125"/>
      <c r="I167" s="627" t="s">
        <v>51</v>
      </c>
      <c r="J167" s="125" t="s">
        <v>51</v>
      </c>
      <c r="K167" s="125" t="s">
        <v>51</v>
      </c>
      <c r="L167" s="125" t="s">
        <v>51</v>
      </c>
      <c r="M167" s="125" t="str">
        <f t="shared" si="1"/>
        <v/>
      </c>
      <c r="N167" s="125" t="str">
        <f t="shared" si="2"/>
        <v/>
      </c>
      <c r="O167" s="125"/>
      <c r="P167" s="125"/>
      <c r="Q167" s="125"/>
      <c r="R167" s="125"/>
      <c r="S167" s="628">
        <f t="shared" si="3"/>
        <v>0</v>
      </c>
      <c r="T167" s="627" t="s">
        <v>51</v>
      </c>
      <c r="U167" s="627" t="s">
        <v>51</v>
      </c>
      <c r="V167" s="627" t="s">
        <v>51</v>
      </c>
      <c r="W167" s="627" t="s">
        <v>51</v>
      </c>
      <c r="X167" s="627" t="s">
        <v>51</v>
      </c>
      <c r="Y167" s="89"/>
    </row>
    <row r="168" ht="22.5" customHeight="1">
      <c r="A168" s="125"/>
      <c r="B168" s="125"/>
      <c r="C168" s="125"/>
      <c r="D168" s="125"/>
      <c r="E168" s="125"/>
      <c r="F168" s="125"/>
      <c r="G168" s="125"/>
      <c r="H168" s="125"/>
      <c r="I168" s="627" t="s">
        <v>51</v>
      </c>
      <c r="J168" s="125" t="s">
        <v>51</v>
      </c>
      <c r="K168" s="125" t="s">
        <v>51</v>
      </c>
      <c r="L168" s="125" t="s">
        <v>51</v>
      </c>
      <c r="M168" s="125" t="str">
        <f t="shared" si="1"/>
        <v/>
      </c>
      <c r="N168" s="125" t="str">
        <f t="shared" si="2"/>
        <v/>
      </c>
      <c r="O168" s="125"/>
      <c r="P168" s="125"/>
      <c r="Q168" s="125"/>
      <c r="R168" s="125"/>
      <c r="S168" s="628">
        <f t="shared" si="3"/>
        <v>0</v>
      </c>
      <c r="T168" s="627" t="s">
        <v>51</v>
      </c>
      <c r="U168" s="627" t="s">
        <v>51</v>
      </c>
      <c r="V168" s="627" t="s">
        <v>51</v>
      </c>
      <c r="W168" s="627" t="s">
        <v>51</v>
      </c>
      <c r="X168" s="627" t="s">
        <v>51</v>
      </c>
      <c r="Y168" s="89"/>
    </row>
    <row r="169" ht="22.5" customHeight="1">
      <c r="A169" s="125"/>
      <c r="B169" s="125"/>
      <c r="C169" s="125"/>
      <c r="D169" s="125"/>
      <c r="E169" s="125"/>
      <c r="F169" s="125"/>
      <c r="G169" s="125"/>
      <c r="H169" s="125"/>
      <c r="I169" s="627" t="s">
        <v>51</v>
      </c>
      <c r="J169" s="125" t="s">
        <v>51</v>
      </c>
      <c r="K169" s="125" t="s">
        <v>51</v>
      </c>
      <c r="L169" s="125" t="s">
        <v>51</v>
      </c>
      <c r="M169" s="125" t="str">
        <f t="shared" si="1"/>
        <v/>
      </c>
      <c r="N169" s="125" t="str">
        <f t="shared" si="2"/>
        <v/>
      </c>
      <c r="O169" s="125"/>
      <c r="P169" s="125"/>
      <c r="Q169" s="125"/>
      <c r="R169" s="125"/>
      <c r="S169" s="628">
        <f t="shared" si="3"/>
        <v>0</v>
      </c>
      <c r="T169" s="627" t="s">
        <v>51</v>
      </c>
      <c r="U169" s="627" t="s">
        <v>51</v>
      </c>
      <c r="V169" s="627" t="s">
        <v>51</v>
      </c>
      <c r="W169" s="627" t="s">
        <v>51</v>
      </c>
      <c r="X169" s="627" t="s">
        <v>51</v>
      </c>
      <c r="Y169" s="89"/>
    </row>
    <row r="170" ht="22.5" customHeight="1">
      <c r="A170" s="125"/>
      <c r="B170" s="125"/>
      <c r="C170" s="125"/>
      <c r="D170" s="125"/>
      <c r="E170" s="125"/>
      <c r="F170" s="125"/>
      <c r="G170" s="125"/>
      <c r="H170" s="125"/>
      <c r="I170" s="627" t="s">
        <v>51</v>
      </c>
      <c r="J170" s="125" t="s">
        <v>51</v>
      </c>
      <c r="K170" s="125" t="s">
        <v>51</v>
      </c>
      <c r="L170" s="125" t="s">
        <v>51</v>
      </c>
      <c r="M170" s="125" t="str">
        <f t="shared" si="1"/>
        <v/>
      </c>
      <c r="N170" s="125" t="str">
        <f t="shared" si="2"/>
        <v/>
      </c>
      <c r="O170" s="125"/>
      <c r="P170" s="125"/>
      <c r="Q170" s="125"/>
      <c r="R170" s="125"/>
      <c r="S170" s="628">
        <f t="shared" si="3"/>
        <v>0</v>
      </c>
      <c r="T170" s="627" t="s">
        <v>51</v>
      </c>
      <c r="U170" s="627" t="s">
        <v>51</v>
      </c>
      <c r="V170" s="627" t="s">
        <v>51</v>
      </c>
      <c r="W170" s="627" t="s">
        <v>51</v>
      </c>
      <c r="X170" s="627" t="s">
        <v>51</v>
      </c>
      <c r="Y170" s="89"/>
    </row>
    <row r="171" ht="22.5" customHeight="1">
      <c r="A171" s="125"/>
      <c r="B171" s="125"/>
      <c r="C171" s="125"/>
      <c r="D171" s="125"/>
      <c r="E171" s="125"/>
      <c r="F171" s="125"/>
      <c r="G171" s="125"/>
      <c r="H171" s="125"/>
      <c r="I171" s="627" t="s">
        <v>51</v>
      </c>
      <c r="J171" s="125" t="s">
        <v>51</v>
      </c>
      <c r="K171" s="125" t="s">
        <v>51</v>
      </c>
      <c r="L171" s="125" t="s">
        <v>51</v>
      </c>
      <c r="M171" s="125" t="str">
        <f t="shared" si="1"/>
        <v/>
      </c>
      <c r="N171" s="125" t="str">
        <f t="shared" si="2"/>
        <v/>
      </c>
      <c r="O171" s="125"/>
      <c r="P171" s="125"/>
      <c r="Q171" s="125"/>
      <c r="R171" s="125"/>
      <c r="S171" s="628">
        <f t="shared" si="3"/>
        <v>0</v>
      </c>
      <c r="T171" s="627" t="s">
        <v>51</v>
      </c>
      <c r="U171" s="627" t="s">
        <v>51</v>
      </c>
      <c r="V171" s="627" t="s">
        <v>51</v>
      </c>
      <c r="W171" s="627" t="s">
        <v>51</v>
      </c>
      <c r="X171" s="627" t="s">
        <v>51</v>
      </c>
      <c r="Y171" s="89"/>
    </row>
    <row r="172" ht="22.5" customHeight="1">
      <c r="A172" s="125"/>
      <c r="B172" s="125"/>
      <c r="C172" s="125"/>
      <c r="D172" s="125"/>
      <c r="E172" s="125"/>
      <c r="F172" s="125"/>
      <c r="G172" s="125"/>
      <c r="H172" s="125"/>
      <c r="I172" s="627" t="s">
        <v>51</v>
      </c>
      <c r="J172" s="125" t="s">
        <v>51</v>
      </c>
      <c r="K172" s="125" t="s">
        <v>51</v>
      </c>
      <c r="L172" s="125" t="s">
        <v>51</v>
      </c>
      <c r="M172" s="125" t="str">
        <f t="shared" si="1"/>
        <v/>
      </c>
      <c r="N172" s="125" t="str">
        <f t="shared" si="2"/>
        <v/>
      </c>
      <c r="O172" s="125"/>
      <c r="P172" s="125"/>
      <c r="Q172" s="125"/>
      <c r="R172" s="125"/>
      <c r="S172" s="628">
        <f t="shared" si="3"/>
        <v>0</v>
      </c>
      <c r="T172" s="627" t="s">
        <v>51</v>
      </c>
      <c r="U172" s="627" t="s">
        <v>51</v>
      </c>
      <c r="V172" s="627" t="s">
        <v>51</v>
      </c>
      <c r="W172" s="627" t="s">
        <v>51</v>
      </c>
      <c r="X172" s="627" t="s">
        <v>51</v>
      </c>
      <c r="Y172" s="89"/>
    </row>
    <row r="173" ht="22.5" customHeight="1">
      <c r="A173" s="125"/>
      <c r="B173" s="125"/>
      <c r="C173" s="125"/>
      <c r="D173" s="125"/>
      <c r="E173" s="125"/>
      <c r="F173" s="125"/>
      <c r="G173" s="125"/>
      <c r="H173" s="125"/>
      <c r="I173" s="627" t="s">
        <v>51</v>
      </c>
      <c r="J173" s="125" t="s">
        <v>51</v>
      </c>
      <c r="K173" s="125" t="s">
        <v>51</v>
      </c>
      <c r="L173" s="125" t="s">
        <v>51</v>
      </c>
      <c r="M173" s="125" t="str">
        <f t="shared" si="1"/>
        <v/>
      </c>
      <c r="N173" s="125" t="str">
        <f t="shared" si="2"/>
        <v/>
      </c>
      <c r="O173" s="125"/>
      <c r="P173" s="125"/>
      <c r="Q173" s="125"/>
      <c r="R173" s="125"/>
      <c r="S173" s="628">
        <f t="shared" si="3"/>
        <v>0</v>
      </c>
      <c r="T173" s="627" t="s">
        <v>51</v>
      </c>
      <c r="U173" s="627" t="s">
        <v>51</v>
      </c>
      <c r="V173" s="627" t="s">
        <v>51</v>
      </c>
      <c r="W173" s="627" t="s">
        <v>51</v>
      </c>
      <c r="X173" s="627" t="s">
        <v>51</v>
      </c>
      <c r="Y173" s="89"/>
    </row>
    <row r="174" ht="22.5" customHeight="1">
      <c r="A174" s="125"/>
      <c r="B174" s="125"/>
      <c r="C174" s="125"/>
      <c r="D174" s="125"/>
      <c r="E174" s="125"/>
      <c r="F174" s="125"/>
      <c r="G174" s="125"/>
      <c r="H174" s="125"/>
      <c r="I174" s="627" t="s">
        <v>51</v>
      </c>
      <c r="J174" s="125" t="s">
        <v>51</v>
      </c>
      <c r="K174" s="125" t="s">
        <v>51</v>
      </c>
      <c r="L174" s="125" t="s">
        <v>51</v>
      </c>
      <c r="M174" s="125" t="str">
        <f t="shared" si="1"/>
        <v/>
      </c>
      <c r="N174" s="125" t="str">
        <f t="shared" si="2"/>
        <v/>
      </c>
      <c r="O174" s="125"/>
      <c r="P174" s="125"/>
      <c r="Q174" s="125"/>
      <c r="R174" s="125"/>
      <c r="S174" s="628">
        <f t="shared" si="3"/>
        <v>0</v>
      </c>
      <c r="T174" s="627" t="s">
        <v>51</v>
      </c>
      <c r="U174" s="627" t="s">
        <v>51</v>
      </c>
      <c r="V174" s="627" t="s">
        <v>51</v>
      </c>
      <c r="W174" s="627" t="s">
        <v>51</v>
      </c>
      <c r="X174" s="627" t="s">
        <v>51</v>
      </c>
      <c r="Y174" s="89"/>
    </row>
    <row r="175" ht="22.5" customHeight="1">
      <c r="A175" s="125"/>
      <c r="B175" s="125"/>
      <c r="C175" s="125"/>
      <c r="D175" s="125"/>
      <c r="E175" s="125"/>
      <c r="F175" s="125"/>
      <c r="G175" s="125"/>
      <c r="H175" s="125"/>
      <c r="I175" s="627" t="s">
        <v>51</v>
      </c>
      <c r="J175" s="125" t="s">
        <v>51</v>
      </c>
      <c r="K175" s="125" t="s">
        <v>51</v>
      </c>
      <c r="L175" s="125" t="s">
        <v>51</v>
      </c>
      <c r="M175" s="125" t="str">
        <f t="shared" si="1"/>
        <v/>
      </c>
      <c r="N175" s="125" t="str">
        <f t="shared" si="2"/>
        <v/>
      </c>
      <c r="O175" s="125"/>
      <c r="P175" s="125"/>
      <c r="Q175" s="125"/>
      <c r="R175" s="125"/>
      <c r="S175" s="628">
        <f t="shared" si="3"/>
        <v>0</v>
      </c>
      <c r="T175" s="627" t="s">
        <v>51</v>
      </c>
      <c r="U175" s="627" t="s">
        <v>51</v>
      </c>
      <c r="V175" s="627" t="s">
        <v>51</v>
      </c>
      <c r="W175" s="627" t="s">
        <v>51</v>
      </c>
      <c r="X175" s="627" t="s">
        <v>51</v>
      </c>
      <c r="Y175" s="89"/>
    </row>
    <row r="176" ht="22.5" customHeight="1">
      <c r="A176" s="125"/>
      <c r="B176" s="125"/>
      <c r="C176" s="125"/>
      <c r="D176" s="125"/>
      <c r="E176" s="125"/>
      <c r="F176" s="125"/>
      <c r="G176" s="125"/>
      <c r="H176" s="125"/>
      <c r="I176" s="627" t="s">
        <v>51</v>
      </c>
      <c r="J176" s="125" t="s">
        <v>51</v>
      </c>
      <c r="K176" s="125" t="s">
        <v>51</v>
      </c>
      <c r="L176" s="125" t="s">
        <v>51</v>
      </c>
      <c r="M176" s="125" t="str">
        <f t="shared" si="1"/>
        <v/>
      </c>
      <c r="N176" s="125" t="str">
        <f t="shared" si="2"/>
        <v/>
      </c>
      <c r="O176" s="125"/>
      <c r="P176" s="125"/>
      <c r="Q176" s="125"/>
      <c r="R176" s="125"/>
      <c r="S176" s="628">
        <f t="shared" si="3"/>
        <v>0</v>
      </c>
      <c r="T176" s="627" t="s">
        <v>51</v>
      </c>
      <c r="U176" s="627" t="s">
        <v>51</v>
      </c>
      <c r="V176" s="627" t="s">
        <v>51</v>
      </c>
      <c r="W176" s="627" t="s">
        <v>51</v>
      </c>
      <c r="X176" s="627" t="s">
        <v>51</v>
      </c>
      <c r="Y176" s="89"/>
    </row>
    <row r="177" ht="22.5" customHeight="1">
      <c r="A177" s="125"/>
      <c r="B177" s="125"/>
      <c r="C177" s="125"/>
      <c r="D177" s="125"/>
      <c r="E177" s="125"/>
      <c r="F177" s="125"/>
      <c r="G177" s="125"/>
      <c r="H177" s="125"/>
      <c r="I177" s="627" t="s">
        <v>51</v>
      </c>
      <c r="J177" s="125" t="s">
        <v>51</v>
      </c>
      <c r="K177" s="125" t="s">
        <v>51</v>
      </c>
      <c r="L177" s="125" t="s">
        <v>51</v>
      </c>
      <c r="M177" s="125" t="str">
        <f t="shared" si="1"/>
        <v/>
      </c>
      <c r="N177" s="125" t="str">
        <f t="shared" si="2"/>
        <v/>
      </c>
      <c r="O177" s="125"/>
      <c r="P177" s="125"/>
      <c r="Q177" s="125"/>
      <c r="R177" s="125"/>
      <c r="S177" s="628">
        <f t="shared" si="3"/>
        <v>0</v>
      </c>
      <c r="T177" s="627" t="s">
        <v>51</v>
      </c>
      <c r="U177" s="627" t="s">
        <v>51</v>
      </c>
      <c r="V177" s="627" t="s">
        <v>51</v>
      </c>
      <c r="W177" s="627" t="s">
        <v>51</v>
      </c>
      <c r="X177" s="627" t="s">
        <v>51</v>
      </c>
      <c r="Y177" s="89"/>
    </row>
    <row r="178" ht="22.5" customHeight="1">
      <c r="A178" s="125"/>
      <c r="B178" s="125"/>
      <c r="C178" s="125"/>
      <c r="D178" s="125"/>
      <c r="E178" s="125"/>
      <c r="F178" s="125"/>
      <c r="G178" s="125"/>
      <c r="H178" s="125"/>
      <c r="I178" s="627" t="s">
        <v>51</v>
      </c>
      <c r="J178" s="125" t="s">
        <v>51</v>
      </c>
      <c r="K178" s="125" t="s">
        <v>51</v>
      </c>
      <c r="L178" s="125" t="s">
        <v>51</v>
      </c>
      <c r="M178" s="125" t="str">
        <f t="shared" si="1"/>
        <v/>
      </c>
      <c r="N178" s="125" t="str">
        <f t="shared" si="2"/>
        <v/>
      </c>
      <c r="O178" s="125"/>
      <c r="P178" s="125"/>
      <c r="Q178" s="125"/>
      <c r="R178" s="125"/>
      <c r="S178" s="628">
        <f t="shared" si="3"/>
        <v>0</v>
      </c>
      <c r="T178" s="627" t="s">
        <v>51</v>
      </c>
      <c r="U178" s="627" t="s">
        <v>51</v>
      </c>
      <c r="V178" s="627" t="s">
        <v>51</v>
      </c>
      <c r="W178" s="627" t="s">
        <v>51</v>
      </c>
      <c r="X178" s="627" t="s">
        <v>51</v>
      </c>
      <c r="Y178" s="89"/>
    </row>
    <row r="179" ht="22.5" customHeight="1">
      <c r="A179" s="125"/>
      <c r="B179" s="125"/>
      <c r="C179" s="125"/>
      <c r="D179" s="125"/>
      <c r="E179" s="125"/>
      <c r="F179" s="125"/>
      <c r="G179" s="125"/>
      <c r="H179" s="125"/>
      <c r="I179" s="627" t="s">
        <v>51</v>
      </c>
      <c r="J179" s="125" t="s">
        <v>51</v>
      </c>
      <c r="K179" s="125" t="s">
        <v>51</v>
      </c>
      <c r="L179" s="125" t="s">
        <v>51</v>
      </c>
      <c r="M179" s="125" t="str">
        <f t="shared" si="1"/>
        <v/>
      </c>
      <c r="N179" s="125" t="str">
        <f t="shared" si="2"/>
        <v/>
      </c>
      <c r="O179" s="125"/>
      <c r="P179" s="125"/>
      <c r="Q179" s="125"/>
      <c r="R179" s="125"/>
      <c r="S179" s="628">
        <f t="shared" si="3"/>
        <v>0</v>
      </c>
      <c r="T179" s="627" t="s">
        <v>51</v>
      </c>
      <c r="U179" s="627" t="s">
        <v>51</v>
      </c>
      <c r="V179" s="627" t="s">
        <v>51</v>
      </c>
      <c r="W179" s="627" t="s">
        <v>51</v>
      </c>
      <c r="X179" s="627" t="s">
        <v>51</v>
      </c>
      <c r="Y179" s="89"/>
    </row>
    <row r="180" ht="22.5" customHeight="1">
      <c r="A180" s="125"/>
      <c r="B180" s="125"/>
      <c r="C180" s="125"/>
      <c r="D180" s="125"/>
      <c r="E180" s="125"/>
      <c r="F180" s="125"/>
      <c r="G180" s="125"/>
      <c r="H180" s="125"/>
      <c r="I180" s="627" t="s">
        <v>51</v>
      </c>
      <c r="J180" s="125" t="s">
        <v>51</v>
      </c>
      <c r="K180" s="125" t="s">
        <v>51</v>
      </c>
      <c r="L180" s="125" t="s">
        <v>51</v>
      </c>
      <c r="M180" s="125" t="str">
        <f t="shared" si="1"/>
        <v/>
      </c>
      <c r="N180" s="125" t="str">
        <f t="shared" si="2"/>
        <v/>
      </c>
      <c r="O180" s="125"/>
      <c r="P180" s="125"/>
      <c r="Q180" s="125"/>
      <c r="R180" s="125"/>
      <c r="S180" s="628">
        <f t="shared" si="3"/>
        <v>0</v>
      </c>
      <c r="T180" s="627" t="s">
        <v>51</v>
      </c>
      <c r="U180" s="627" t="s">
        <v>51</v>
      </c>
      <c r="V180" s="627" t="s">
        <v>51</v>
      </c>
      <c r="W180" s="627" t="s">
        <v>51</v>
      </c>
      <c r="X180" s="627" t="s">
        <v>51</v>
      </c>
      <c r="Y180" s="89"/>
    </row>
    <row r="181" ht="22.5" customHeight="1">
      <c r="A181" s="125"/>
      <c r="B181" s="125"/>
      <c r="C181" s="125"/>
      <c r="D181" s="125"/>
      <c r="E181" s="125"/>
      <c r="F181" s="125"/>
      <c r="G181" s="125"/>
      <c r="H181" s="125"/>
      <c r="I181" s="627" t="s">
        <v>51</v>
      </c>
      <c r="J181" s="125" t="s">
        <v>51</v>
      </c>
      <c r="K181" s="125" t="s">
        <v>51</v>
      </c>
      <c r="L181" s="125" t="s">
        <v>51</v>
      </c>
      <c r="M181" s="125" t="str">
        <f t="shared" si="1"/>
        <v/>
      </c>
      <c r="N181" s="125" t="str">
        <f t="shared" si="2"/>
        <v/>
      </c>
      <c r="O181" s="125"/>
      <c r="P181" s="125"/>
      <c r="Q181" s="125"/>
      <c r="R181" s="125"/>
      <c r="S181" s="628">
        <f t="shared" si="3"/>
        <v>0</v>
      </c>
      <c r="T181" s="627" t="s">
        <v>51</v>
      </c>
      <c r="U181" s="627" t="s">
        <v>51</v>
      </c>
      <c r="V181" s="627" t="s">
        <v>51</v>
      </c>
      <c r="W181" s="627" t="s">
        <v>51</v>
      </c>
      <c r="X181" s="627" t="s">
        <v>51</v>
      </c>
      <c r="Y181" s="89"/>
    </row>
    <row r="182" ht="22.5" customHeight="1">
      <c r="A182" s="125"/>
      <c r="B182" s="125"/>
      <c r="C182" s="125"/>
      <c r="D182" s="125"/>
      <c r="E182" s="125"/>
      <c r="F182" s="125"/>
      <c r="G182" s="125"/>
      <c r="H182" s="125"/>
      <c r="I182" s="627" t="s">
        <v>51</v>
      </c>
      <c r="J182" s="125" t="s">
        <v>51</v>
      </c>
      <c r="K182" s="125" t="s">
        <v>51</v>
      </c>
      <c r="L182" s="125" t="s">
        <v>51</v>
      </c>
      <c r="M182" s="125" t="str">
        <f t="shared" si="1"/>
        <v/>
      </c>
      <c r="N182" s="125" t="str">
        <f t="shared" si="2"/>
        <v/>
      </c>
      <c r="O182" s="125"/>
      <c r="P182" s="125"/>
      <c r="Q182" s="125"/>
      <c r="R182" s="125"/>
      <c r="S182" s="628">
        <f t="shared" si="3"/>
        <v>0</v>
      </c>
      <c r="T182" s="627" t="s">
        <v>51</v>
      </c>
      <c r="U182" s="627" t="s">
        <v>51</v>
      </c>
      <c r="V182" s="627" t="s">
        <v>51</v>
      </c>
      <c r="W182" s="627" t="s">
        <v>51</v>
      </c>
      <c r="X182" s="627" t="s">
        <v>51</v>
      </c>
      <c r="Y182" s="89"/>
    </row>
    <row r="183" ht="22.5" customHeight="1">
      <c r="A183" s="125"/>
      <c r="B183" s="125"/>
      <c r="C183" s="125"/>
      <c r="D183" s="125"/>
      <c r="E183" s="125"/>
      <c r="F183" s="125"/>
      <c r="G183" s="125"/>
      <c r="H183" s="125"/>
      <c r="I183" s="627" t="s">
        <v>51</v>
      </c>
      <c r="J183" s="125" t="s">
        <v>51</v>
      </c>
      <c r="K183" s="125" t="s">
        <v>51</v>
      </c>
      <c r="L183" s="125" t="s">
        <v>51</v>
      </c>
      <c r="M183" s="125" t="str">
        <f t="shared" si="1"/>
        <v/>
      </c>
      <c r="N183" s="125" t="str">
        <f t="shared" si="2"/>
        <v/>
      </c>
      <c r="O183" s="125"/>
      <c r="P183" s="125"/>
      <c r="Q183" s="125"/>
      <c r="R183" s="125"/>
      <c r="S183" s="628">
        <f t="shared" si="3"/>
        <v>0</v>
      </c>
      <c r="T183" s="627" t="s">
        <v>51</v>
      </c>
      <c r="U183" s="627" t="s">
        <v>51</v>
      </c>
      <c r="V183" s="627" t="s">
        <v>51</v>
      </c>
      <c r="W183" s="627" t="s">
        <v>51</v>
      </c>
      <c r="X183" s="627" t="s">
        <v>51</v>
      </c>
      <c r="Y183" s="89"/>
    </row>
    <row r="184" ht="22.5" customHeight="1">
      <c r="A184" s="125"/>
      <c r="B184" s="125"/>
      <c r="C184" s="125"/>
      <c r="D184" s="125"/>
      <c r="E184" s="125"/>
      <c r="F184" s="125"/>
      <c r="G184" s="125"/>
      <c r="H184" s="125"/>
      <c r="I184" s="627" t="s">
        <v>51</v>
      </c>
      <c r="J184" s="125" t="s">
        <v>51</v>
      </c>
      <c r="K184" s="125" t="s">
        <v>51</v>
      </c>
      <c r="L184" s="125" t="s">
        <v>51</v>
      </c>
      <c r="M184" s="125" t="str">
        <f t="shared" si="1"/>
        <v/>
      </c>
      <c r="N184" s="125" t="str">
        <f t="shared" si="2"/>
        <v/>
      </c>
      <c r="O184" s="125"/>
      <c r="P184" s="125"/>
      <c r="Q184" s="125"/>
      <c r="R184" s="125"/>
      <c r="S184" s="628">
        <f t="shared" si="3"/>
        <v>0</v>
      </c>
      <c r="T184" s="627" t="s">
        <v>51</v>
      </c>
      <c r="U184" s="627" t="s">
        <v>51</v>
      </c>
      <c r="V184" s="627" t="s">
        <v>51</v>
      </c>
      <c r="W184" s="627" t="s">
        <v>51</v>
      </c>
      <c r="X184" s="627" t="s">
        <v>51</v>
      </c>
      <c r="Y184" s="89"/>
    </row>
    <row r="185" ht="22.5" customHeight="1">
      <c r="A185" s="125"/>
      <c r="B185" s="125"/>
      <c r="C185" s="125"/>
      <c r="D185" s="125"/>
      <c r="E185" s="125"/>
      <c r="F185" s="125"/>
      <c r="G185" s="125"/>
      <c r="H185" s="125"/>
      <c r="I185" s="627" t="s">
        <v>51</v>
      </c>
      <c r="J185" s="125" t="s">
        <v>51</v>
      </c>
      <c r="K185" s="125" t="s">
        <v>51</v>
      </c>
      <c r="L185" s="125" t="s">
        <v>51</v>
      </c>
      <c r="M185" s="125" t="str">
        <f t="shared" si="1"/>
        <v/>
      </c>
      <c r="N185" s="125" t="str">
        <f t="shared" si="2"/>
        <v/>
      </c>
      <c r="O185" s="125"/>
      <c r="P185" s="125"/>
      <c r="Q185" s="125"/>
      <c r="R185" s="125"/>
      <c r="S185" s="628">
        <f t="shared" si="3"/>
        <v>0</v>
      </c>
      <c r="T185" s="627" t="s">
        <v>51</v>
      </c>
      <c r="U185" s="627" t="s">
        <v>51</v>
      </c>
      <c r="V185" s="627" t="s">
        <v>51</v>
      </c>
      <c r="W185" s="627" t="s">
        <v>51</v>
      </c>
      <c r="X185" s="627" t="s">
        <v>51</v>
      </c>
      <c r="Y185" s="89"/>
    </row>
    <row r="186" ht="22.5" customHeight="1">
      <c r="A186" s="125"/>
      <c r="B186" s="125"/>
      <c r="C186" s="125"/>
      <c r="D186" s="125"/>
      <c r="E186" s="125"/>
      <c r="F186" s="125"/>
      <c r="G186" s="125"/>
      <c r="H186" s="125"/>
      <c r="I186" s="627" t="s">
        <v>51</v>
      </c>
      <c r="J186" s="125" t="s">
        <v>51</v>
      </c>
      <c r="K186" s="125" t="s">
        <v>51</v>
      </c>
      <c r="L186" s="125" t="s">
        <v>51</v>
      </c>
      <c r="M186" s="125" t="str">
        <f t="shared" si="1"/>
        <v/>
      </c>
      <c r="N186" s="125" t="str">
        <f t="shared" si="2"/>
        <v/>
      </c>
      <c r="O186" s="125"/>
      <c r="P186" s="125"/>
      <c r="Q186" s="125"/>
      <c r="R186" s="125"/>
      <c r="S186" s="628">
        <f t="shared" si="3"/>
        <v>0</v>
      </c>
      <c r="T186" s="627" t="s">
        <v>51</v>
      </c>
      <c r="U186" s="627" t="s">
        <v>51</v>
      </c>
      <c r="V186" s="627" t="s">
        <v>51</v>
      </c>
      <c r="W186" s="627" t="s">
        <v>51</v>
      </c>
      <c r="X186" s="627" t="s">
        <v>51</v>
      </c>
      <c r="Y186" s="89"/>
    </row>
    <row r="187" ht="22.5" customHeight="1">
      <c r="A187" s="125"/>
      <c r="B187" s="125"/>
      <c r="C187" s="125"/>
      <c r="D187" s="125"/>
      <c r="E187" s="125"/>
      <c r="F187" s="125"/>
      <c r="G187" s="125"/>
      <c r="H187" s="125"/>
      <c r="I187" s="627" t="s">
        <v>51</v>
      </c>
      <c r="J187" s="125" t="s">
        <v>51</v>
      </c>
      <c r="K187" s="125" t="s">
        <v>51</v>
      </c>
      <c r="L187" s="125" t="s">
        <v>51</v>
      </c>
      <c r="M187" s="125" t="str">
        <f t="shared" si="1"/>
        <v/>
      </c>
      <c r="N187" s="125" t="str">
        <f t="shared" si="2"/>
        <v/>
      </c>
      <c r="O187" s="125"/>
      <c r="P187" s="125"/>
      <c r="Q187" s="125"/>
      <c r="R187" s="125"/>
      <c r="S187" s="628">
        <f t="shared" si="3"/>
        <v>0</v>
      </c>
      <c r="T187" s="627" t="s">
        <v>51</v>
      </c>
      <c r="U187" s="627" t="s">
        <v>51</v>
      </c>
      <c r="V187" s="627" t="s">
        <v>51</v>
      </c>
      <c r="W187" s="627" t="s">
        <v>51</v>
      </c>
      <c r="X187" s="627" t="s">
        <v>51</v>
      </c>
      <c r="Y187" s="89"/>
    </row>
    <row r="188" ht="22.5" customHeight="1">
      <c r="A188" s="125"/>
      <c r="B188" s="125"/>
      <c r="C188" s="125"/>
      <c r="D188" s="125"/>
      <c r="E188" s="125"/>
      <c r="F188" s="125"/>
      <c r="G188" s="125"/>
      <c r="H188" s="125"/>
      <c r="I188" s="627" t="s">
        <v>51</v>
      </c>
      <c r="J188" s="125" t="s">
        <v>51</v>
      </c>
      <c r="K188" s="125" t="s">
        <v>51</v>
      </c>
      <c r="L188" s="125" t="s">
        <v>51</v>
      </c>
      <c r="M188" s="125" t="str">
        <f t="shared" si="1"/>
        <v/>
      </c>
      <c r="N188" s="125" t="str">
        <f t="shared" si="2"/>
        <v/>
      </c>
      <c r="O188" s="125"/>
      <c r="P188" s="125"/>
      <c r="Q188" s="125"/>
      <c r="R188" s="125"/>
      <c r="S188" s="628">
        <f t="shared" si="3"/>
        <v>0</v>
      </c>
      <c r="T188" s="627" t="s">
        <v>51</v>
      </c>
      <c r="U188" s="627" t="s">
        <v>51</v>
      </c>
      <c r="V188" s="627" t="s">
        <v>51</v>
      </c>
      <c r="W188" s="627" t="s">
        <v>51</v>
      </c>
      <c r="X188" s="627" t="s">
        <v>51</v>
      </c>
      <c r="Y188" s="89"/>
    </row>
    <row r="189" ht="22.5" customHeight="1">
      <c r="A189" s="125"/>
      <c r="B189" s="125"/>
      <c r="C189" s="125"/>
      <c r="D189" s="125"/>
      <c r="E189" s="125"/>
      <c r="F189" s="125"/>
      <c r="G189" s="125"/>
      <c r="H189" s="125"/>
      <c r="I189" s="627" t="s">
        <v>51</v>
      </c>
      <c r="J189" s="125" t="s">
        <v>51</v>
      </c>
      <c r="K189" s="125" t="s">
        <v>51</v>
      </c>
      <c r="L189" s="125" t="s">
        <v>51</v>
      </c>
      <c r="M189" s="125" t="str">
        <f t="shared" si="1"/>
        <v/>
      </c>
      <c r="N189" s="125" t="str">
        <f t="shared" si="2"/>
        <v/>
      </c>
      <c r="O189" s="125"/>
      <c r="P189" s="125"/>
      <c r="Q189" s="125"/>
      <c r="R189" s="125"/>
      <c r="S189" s="628">
        <f t="shared" si="3"/>
        <v>0</v>
      </c>
      <c r="T189" s="627" t="s">
        <v>51</v>
      </c>
      <c r="U189" s="627" t="s">
        <v>51</v>
      </c>
      <c r="V189" s="627" t="s">
        <v>51</v>
      </c>
      <c r="W189" s="627" t="s">
        <v>51</v>
      </c>
      <c r="X189" s="627" t="s">
        <v>51</v>
      </c>
      <c r="Y189" s="89"/>
    </row>
    <row r="190" ht="22.5" customHeight="1">
      <c r="A190" s="125"/>
      <c r="B190" s="125"/>
      <c r="C190" s="125"/>
      <c r="D190" s="125"/>
      <c r="E190" s="125"/>
      <c r="F190" s="125"/>
      <c r="G190" s="125"/>
      <c r="H190" s="125"/>
      <c r="I190" s="627" t="s">
        <v>51</v>
      </c>
      <c r="J190" s="125" t="s">
        <v>51</v>
      </c>
      <c r="K190" s="125" t="s">
        <v>51</v>
      </c>
      <c r="L190" s="125" t="s">
        <v>51</v>
      </c>
      <c r="M190" s="125" t="str">
        <f t="shared" si="1"/>
        <v/>
      </c>
      <c r="N190" s="125" t="str">
        <f t="shared" si="2"/>
        <v/>
      </c>
      <c r="O190" s="125"/>
      <c r="P190" s="125"/>
      <c r="Q190" s="125"/>
      <c r="R190" s="125"/>
      <c r="S190" s="628">
        <f t="shared" si="3"/>
        <v>0</v>
      </c>
      <c r="T190" s="627" t="s">
        <v>51</v>
      </c>
      <c r="U190" s="627" t="s">
        <v>51</v>
      </c>
      <c r="V190" s="627" t="s">
        <v>51</v>
      </c>
      <c r="W190" s="627" t="s">
        <v>51</v>
      </c>
      <c r="X190" s="627" t="s">
        <v>51</v>
      </c>
      <c r="Y190" s="89"/>
    </row>
    <row r="191" ht="22.5" customHeight="1">
      <c r="A191" s="125"/>
      <c r="B191" s="125"/>
      <c r="C191" s="125"/>
      <c r="D191" s="125"/>
      <c r="E191" s="125"/>
      <c r="F191" s="125"/>
      <c r="G191" s="125"/>
      <c r="H191" s="125"/>
      <c r="I191" s="627" t="s">
        <v>51</v>
      </c>
      <c r="J191" s="125" t="s">
        <v>51</v>
      </c>
      <c r="K191" s="125" t="s">
        <v>51</v>
      </c>
      <c r="L191" s="125" t="s">
        <v>51</v>
      </c>
      <c r="M191" s="125" t="str">
        <f t="shared" si="1"/>
        <v/>
      </c>
      <c r="N191" s="125" t="str">
        <f t="shared" si="2"/>
        <v/>
      </c>
      <c r="O191" s="125"/>
      <c r="P191" s="125"/>
      <c r="Q191" s="125"/>
      <c r="R191" s="125"/>
      <c r="S191" s="628">
        <f t="shared" si="3"/>
        <v>0</v>
      </c>
      <c r="T191" s="627" t="s">
        <v>51</v>
      </c>
      <c r="U191" s="627" t="s">
        <v>51</v>
      </c>
      <c r="V191" s="627" t="s">
        <v>51</v>
      </c>
      <c r="W191" s="627" t="s">
        <v>51</v>
      </c>
      <c r="X191" s="627" t="s">
        <v>51</v>
      </c>
      <c r="Y191" s="89"/>
    </row>
    <row r="192" ht="22.5" customHeight="1">
      <c r="A192" s="125"/>
      <c r="B192" s="125"/>
      <c r="C192" s="125"/>
      <c r="D192" s="125"/>
      <c r="E192" s="125"/>
      <c r="F192" s="125"/>
      <c r="G192" s="125"/>
      <c r="H192" s="125"/>
      <c r="I192" s="627" t="s">
        <v>51</v>
      </c>
      <c r="J192" s="125" t="s">
        <v>51</v>
      </c>
      <c r="K192" s="125" t="s">
        <v>51</v>
      </c>
      <c r="L192" s="125" t="s">
        <v>51</v>
      </c>
      <c r="M192" s="125" t="str">
        <f t="shared" si="1"/>
        <v/>
      </c>
      <c r="N192" s="125" t="str">
        <f t="shared" si="2"/>
        <v/>
      </c>
      <c r="O192" s="125"/>
      <c r="P192" s="125"/>
      <c r="Q192" s="125"/>
      <c r="R192" s="125"/>
      <c r="S192" s="628">
        <f t="shared" si="3"/>
        <v>0</v>
      </c>
      <c r="T192" s="627" t="s">
        <v>51</v>
      </c>
      <c r="U192" s="627" t="s">
        <v>51</v>
      </c>
      <c r="V192" s="627" t="s">
        <v>51</v>
      </c>
      <c r="W192" s="627" t="s">
        <v>51</v>
      </c>
      <c r="X192" s="627" t="s">
        <v>51</v>
      </c>
      <c r="Y192" s="89"/>
    </row>
    <row r="193" ht="22.5" customHeight="1">
      <c r="A193" s="125"/>
      <c r="B193" s="125"/>
      <c r="C193" s="125"/>
      <c r="D193" s="125"/>
      <c r="E193" s="125"/>
      <c r="F193" s="125"/>
      <c r="G193" s="125"/>
      <c r="H193" s="125"/>
      <c r="I193" s="627" t="s">
        <v>51</v>
      </c>
      <c r="J193" s="125" t="s">
        <v>51</v>
      </c>
      <c r="K193" s="125" t="s">
        <v>51</v>
      </c>
      <c r="L193" s="125" t="s">
        <v>51</v>
      </c>
      <c r="M193" s="125" t="str">
        <f t="shared" si="1"/>
        <v/>
      </c>
      <c r="N193" s="125" t="str">
        <f t="shared" si="2"/>
        <v/>
      </c>
      <c r="O193" s="125"/>
      <c r="P193" s="125"/>
      <c r="Q193" s="125"/>
      <c r="R193" s="125"/>
      <c r="S193" s="628">
        <f t="shared" si="3"/>
        <v>0</v>
      </c>
      <c r="T193" s="627" t="s">
        <v>51</v>
      </c>
      <c r="U193" s="627" t="s">
        <v>51</v>
      </c>
      <c r="V193" s="627" t="s">
        <v>51</v>
      </c>
      <c r="W193" s="627" t="s">
        <v>51</v>
      </c>
      <c r="X193" s="627" t="s">
        <v>51</v>
      </c>
      <c r="Y193" s="89"/>
    </row>
    <row r="194" ht="22.5" customHeight="1">
      <c r="A194" s="125"/>
      <c r="B194" s="125"/>
      <c r="C194" s="125"/>
      <c r="D194" s="125"/>
      <c r="E194" s="125"/>
      <c r="F194" s="125"/>
      <c r="G194" s="125"/>
      <c r="H194" s="125"/>
      <c r="I194" s="627" t="s">
        <v>51</v>
      </c>
      <c r="J194" s="125" t="s">
        <v>51</v>
      </c>
      <c r="K194" s="125" t="s">
        <v>51</v>
      </c>
      <c r="L194" s="125" t="s">
        <v>51</v>
      </c>
      <c r="M194" s="125" t="str">
        <f t="shared" si="1"/>
        <v/>
      </c>
      <c r="N194" s="125" t="str">
        <f t="shared" si="2"/>
        <v/>
      </c>
      <c r="O194" s="125"/>
      <c r="P194" s="125"/>
      <c r="Q194" s="125"/>
      <c r="R194" s="125"/>
      <c r="S194" s="628">
        <f t="shared" si="3"/>
        <v>0</v>
      </c>
      <c r="T194" s="627" t="s">
        <v>51</v>
      </c>
      <c r="U194" s="627" t="s">
        <v>51</v>
      </c>
      <c r="V194" s="627" t="s">
        <v>51</v>
      </c>
      <c r="W194" s="627" t="s">
        <v>51</v>
      </c>
      <c r="X194" s="627" t="s">
        <v>51</v>
      </c>
      <c r="Y194" s="89"/>
    </row>
    <row r="195" ht="22.5" customHeight="1">
      <c r="A195" s="125"/>
      <c r="B195" s="125"/>
      <c r="C195" s="125"/>
      <c r="D195" s="125"/>
      <c r="E195" s="125"/>
      <c r="F195" s="125"/>
      <c r="G195" s="125"/>
      <c r="H195" s="125"/>
      <c r="I195" s="627" t="s">
        <v>51</v>
      </c>
      <c r="J195" s="125" t="s">
        <v>51</v>
      </c>
      <c r="K195" s="125" t="s">
        <v>51</v>
      </c>
      <c r="L195" s="125" t="s">
        <v>51</v>
      </c>
      <c r="M195" s="125" t="str">
        <f t="shared" si="1"/>
        <v/>
      </c>
      <c r="N195" s="125" t="str">
        <f t="shared" si="2"/>
        <v/>
      </c>
      <c r="O195" s="125"/>
      <c r="P195" s="125"/>
      <c r="Q195" s="125"/>
      <c r="R195" s="125"/>
      <c r="S195" s="628">
        <f t="shared" si="3"/>
        <v>0</v>
      </c>
      <c r="T195" s="627" t="s">
        <v>51</v>
      </c>
      <c r="U195" s="627" t="s">
        <v>51</v>
      </c>
      <c r="V195" s="627" t="s">
        <v>51</v>
      </c>
      <c r="W195" s="627" t="s">
        <v>51</v>
      </c>
      <c r="X195" s="627" t="s">
        <v>51</v>
      </c>
      <c r="Y195" s="89"/>
    </row>
    <row r="196" ht="22.5" customHeight="1">
      <c r="A196" s="125"/>
      <c r="B196" s="125"/>
      <c r="C196" s="125"/>
      <c r="D196" s="125"/>
      <c r="E196" s="125"/>
      <c r="F196" s="125"/>
      <c r="G196" s="125"/>
      <c r="H196" s="125"/>
      <c r="I196" s="627" t="s">
        <v>51</v>
      </c>
      <c r="J196" s="125" t="s">
        <v>51</v>
      </c>
      <c r="K196" s="125" t="s">
        <v>51</v>
      </c>
      <c r="L196" s="125" t="s">
        <v>51</v>
      </c>
      <c r="M196" s="125" t="str">
        <f t="shared" si="1"/>
        <v/>
      </c>
      <c r="N196" s="125" t="str">
        <f t="shared" si="2"/>
        <v/>
      </c>
      <c r="O196" s="125"/>
      <c r="P196" s="125"/>
      <c r="Q196" s="125"/>
      <c r="R196" s="125"/>
      <c r="S196" s="628">
        <f t="shared" si="3"/>
        <v>0</v>
      </c>
      <c r="T196" s="627" t="s">
        <v>51</v>
      </c>
      <c r="U196" s="627" t="s">
        <v>51</v>
      </c>
      <c r="V196" s="627" t="s">
        <v>51</v>
      </c>
      <c r="W196" s="627" t="s">
        <v>51</v>
      </c>
      <c r="X196" s="627" t="s">
        <v>51</v>
      </c>
      <c r="Y196" s="89"/>
    </row>
    <row r="197" ht="22.5" customHeight="1">
      <c r="A197" s="125"/>
      <c r="B197" s="125"/>
      <c r="C197" s="125"/>
      <c r="D197" s="125"/>
      <c r="E197" s="125"/>
      <c r="F197" s="125"/>
      <c r="G197" s="125"/>
      <c r="H197" s="125"/>
      <c r="I197" s="627" t="s">
        <v>51</v>
      </c>
      <c r="J197" s="125" t="s">
        <v>51</v>
      </c>
      <c r="K197" s="125" t="s">
        <v>51</v>
      </c>
      <c r="L197" s="125" t="s">
        <v>51</v>
      </c>
      <c r="M197" s="125" t="str">
        <f t="shared" si="1"/>
        <v/>
      </c>
      <c r="N197" s="125" t="str">
        <f t="shared" si="2"/>
        <v/>
      </c>
      <c r="O197" s="125"/>
      <c r="P197" s="125"/>
      <c r="Q197" s="125"/>
      <c r="R197" s="125"/>
      <c r="S197" s="628">
        <f t="shared" si="3"/>
        <v>0</v>
      </c>
      <c r="T197" s="627" t="s">
        <v>51</v>
      </c>
      <c r="U197" s="627" t="s">
        <v>51</v>
      </c>
      <c r="V197" s="627" t="s">
        <v>51</v>
      </c>
      <c r="W197" s="627" t="s">
        <v>51</v>
      </c>
      <c r="X197" s="627" t="s">
        <v>51</v>
      </c>
      <c r="Y197" s="89"/>
    </row>
    <row r="198" ht="22.5" customHeight="1">
      <c r="A198" s="125"/>
      <c r="B198" s="125"/>
      <c r="C198" s="125"/>
      <c r="D198" s="125"/>
      <c r="E198" s="125"/>
      <c r="F198" s="125"/>
      <c r="G198" s="125"/>
      <c r="H198" s="125"/>
      <c r="I198" s="627" t="s">
        <v>51</v>
      </c>
      <c r="J198" s="125" t="s">
        <v>51</v>
      </c>
      <c r="K198" s="125" t="s">
        <v>51</v>
      </c>
      <c r="L198" s="125" t="s">
        <v>51</v>
      </c>
      <c r="M198" s="125" t="str">
        <f t="shared" si="1"/>
        <v/>
      </c>
      <c r="N198" s="125" t="str">
        <f t="shared" si="2"/>
        <v/>
      </c>
      <c r="O198" s="125"/>
      <c r="P198" s="125"/>
      <c r="Q198" s="125"/>
      <c r="R198" s="125"/>
      <c r="S198" s="628">
        <f t="shared" si="3"/>
        <v>0</v>
      </c>
      <c r="T198" s="627" t="s">
        <v>51</v>
      </c>
      <c r="U198" s="627" t="s">
        <v>51</v>
      </c>
      <c r="V198" s="627" t="s">
        <v>51</v>
      </c>
      <c r="W198" s="627" t="s">
        <v>51</v>
      </c>
      <c r="X198" s="627" t="s">
        <v>51</v>
      </c>
      <c r="Y198" s="89"/>
    </row>
    <row r="199" ht="22.5" customHeight="1">
      <c r="A199" s="125"/>
      <c r="B199" s="125"/>
      <c r="C199" s="125"/>
      <c r="D199" s="125"/>
      <c r="E199" s="125"/>
      <c r="F199" s="125"/>
      <c r="G199" s="125"/>
      <c r="H199" s="125"/>
      <c r="I199" s="627" t="s">
        <v>51</v>
      </c>
      <c r="J199" s="125" t="s">
        <v>51</v>
      </c>
      <c r="K199" s="125" t="s">
        <v>51</v>
      </c>
      <c r="L199" s="125" t="s">
        <v>51</v>
      </c>
      <c r="M199" s="125" t="str">
        <f t="shared" si="1"/>
        <v/>
      </c>
      <c r="N199" s="125" t="str">
        <f t="shared" si="2"/>
        <v/>
      </c>
      <c r="O199" s="125"/>
      <c r="P199" s="125"/>
      <c r="Q199" s="125"/>
      <c r="R199" s="125"/>
      <c r="S199" s="628">
        <f t="shared" si="3"/>
        <v>0</v>
      </c>
      <c r="T199" s="627" t="s">
        <v>51</v>
      </c>
      <c r="U199" s="627" t="s">
        <v>51</v>
      </c>
      <c r="V199" s="627" t="s">
        <v>51</v>
      </c>
      <c r="W199" s="627" t="s">
        <v>51</v>
      </c>
      <c r="X199" s="627" t="s">
        <v>51</v>
      </c>
      <c r="Y199" s="89"/>
    </row>
    <row r="200" ht="22.5" customHeight="1">
      <c r="A200" s="125"/>
      <c r="B200" s="125"/>
      <c r="C200" s="125"/>
      <c r="D200" s="125"/>
      <c r="E200" s="125"/>
      <c r="F200" s="125"/>
      <c r="G200" s="125"/>
      <c r="H200" s="125"/>
      <c r="I200" s="627" t="s">
        <v>51</v>
      </c>
      <c r="J200" s="125" t="s">
        <v>51</v>
      </c>
      <c r="K200" s="125" t="s">
        <v>51</v>
      </c>
      <c r="L200" s="125" t="s">
        <v>51</v>
      </c>
      <c r="M200" s="125" t="str">
        <f t="shared" si="1"/>
        <v/>
      </c>
      <c r="N200" s="125" t="str">
        <f t="shared" si="2"/>
        <v/>
      </c>
      <c r="O200" s="125"/>
      <c r="P200" s="125"/>
      <c r="Q200" s="125"/>
      <c r="R200" s="125"/>
      <c r="S200" s="628">
        <f t="shared" si="3"/>
        <v>0</v>
      </c>
      <c r="T200" s="627" t="s">
        <v>51</v>
      </c>
      <c r="U200" s="627" t="s">
        <v>51</v>
      </c>
      <c r="V200" s="627" t="s">
        <v>51</v>
      </c>
      <c r="W200" s="627" t="s">
        <v>51</v>
      </c>
      <c r="X200" s="627" t="s">
        <v>51</v>
      </c>
      <c r="Y200" s="89"/>
    </row>
    <row r="201" ht="22.5" customHeight="1">
      <c r="A201" s="125"/>
      <c r="B201" s="125"/>
      <c r="C201" s="125"/>
      <c r="D201" s="125"/>
      <c r="E201" s="125"/>
      <c r="F201" s="125"/>
      <c r="G201" s="125"/>
      <c r="H201" s="125"/>
      <c r="I201" s="627" t="s">
        <v>51</v>
      </c>
      <c r="J201" s="125" t="s">
        <v>51</v>
      </c>
      <c r="K201" s="125" t="s">
        <v>51</v>
      </c>
      <c r="L201" s="125" t="s">
        <v>51</v>
      </c>
      <c r="M201" s="125" t="str">
        <f t="shared" si="1"/>
        <v/>
      </c>
      <c r="N201" s="125" t="str">
        <f t="shared" si="2"/>
        <v/>
      </c>
      <c r="O201" s="125"/>
      <c r="P201" s="125"/>
      <c r="Q201" s="125"/>
      <c r="R201" s="125"/>
      <c r="S201" s="628">
        <f t="shared" si="3"/>
        <v>0</v>
      </c>
      <c r="T201" s="627" t="s">
        <v>51</v>
      </c>
      <c r="U201" s="627" t="s">
        <v>51</v>
      </c>
      <c r="V201" s="627" t="s">
        <v>51</v>
      </c>
      <c r="W201" s="627" t="s">
        <v>51</v>
      </c>
      <c r="X201" s="627" t="s">
        <v>51</v>
      </c>
      <c r="Y201" s="89"/>
    </row>
    <row r="202" ht="22.5" customHeight="1">
      <c r="A202" s="125"/>
      <c r="B202" s="125"/>
      <c r="C202" s="125"/>
      <c r="D202" s="125"/>
      <c r="E202" s="125"/>
      <c r="F202" s="125"/>
      <c r="G202" s="125"/>
      <c r="H202" s="125"/>
      <c r="I202" s="627" t="s">
        <v>51</v>
      </c>
      <c r="J202" s="125" t="s">
        <v>51</v>
      </c>
      <c r="K202" s="125" t="s">
        <v>51</v>
      </c>
      <c r="L202" s="125" t="s">
        <v>51</v>
      </c>
      <c r="M202" s="125" t="str">
        <f t="shared" si="1"/>
        <v/>
      </c>
      <c r="N202" s="125" t="str">
        <f t="shared" si="2"/>
        <v/>
      </c>
      <c r="O202" s="125"/>
      <c r="P202" s="125"/>
      <c r="Q202" s="125"/>
      <c r="R202" s="125"/>
      <c r="S202" s="628">
        <f t="shared" si="3"/>
        <v>0</v>
      </c>
      <c r="T202" s="627" t="s">
        <v>51</v>
      </c>
      <c r="U202" s="627" t="s">
        <v>51</v>
      </c>
      <c r="V202" s="627" t="s">
        <v>51</v>
      </c>
      <c r="W202" s="627" t="s">
        <v>51</v>
      </c>
      <c r="X202" s="627" t="s">
        <v>51</v>
      </c>
      <c r="Y202" s="89"/>
    </row>
    <row r="203" ht="22.5" customHeight="1">
      <c r="A203" s="125"/>
      <c r="B203" s="125"/>
      <c r="C203" s="125"/>
      <c r="D203" s="125"/>
      <c r="E203" s="125"/>
      <c r="F203" s="125"/>
      <c r="G203" s="125"/>
      <c r="H203" s="125"/>
      <c r="I203" s="627" t="s">
        <v>51</v>
      </c>
      <c r="J203" s="125" t="s">
        <v>51</v>
      </c>
      <c r="K203" s="125" t="s">
        <v>51</v>
      </c>
      <c r="L203" s="125" t="s">
        <v>51</v>
      </c>
      <c r="M203" s="125" t="str">
        <f t="shared" si="1"/>
        <v/>
      </c>
      <c r="N203" s="125" t="str">
        <f t="shared" si="2"/>
        <v/>
      </c>
      <c r="O203" s="125"/>
      <c r="P203" s="125"/>
      <c r="Q203" s="125"/>
      <c r="R203" s="125"/>
      <c r="S203" s="628">
        <f t="shared" si="3"/>
        <v>0</v>
      </c>
      <c r="T203" s="627" t="s">
        <v>51</v>
      </c>
      <c r="U203" s="627" t="s">
        <v>51</v>
      </c>
      <c r="V203" s="627" t="s">
        <v>51</v>
      </c>
      <c r="W203" s="627" t="s">
        <v>51</v>
      </c>
      <c r="X203" s="627" t="s">
        <v>51</v>
      </c>
      <c r="Y203" s="89"/>
    </row>
    <row r="204" ht="22.5" customHeight="1">
      <c r="A204" s="125"/>
      <c r="B204" s="125"/>
      <c r="C204" s="125"/>
      <c r="D204" s="125"/>
      <c r="E204" s="125"/>
      <c r="F204" s="125"/>
      <c r="G204" s="125"/>
      <c r="H204" s="125"/>
      <c r="I204" s="627" t="s">
        <v>51</v>
      </c>
      <c r="J204" s="125" t="s">
        <v>51</v>
      </c>
      <c r="K204" s="125" t="s">
        <v>51</v>
      </c>
      <c r="L204" s="125" t="s">
        <v>51</v>
      </c>
      <c r="M204" s="125" t="str">
        <f t="shared" si="1"/>
        <v/>
      </c>
      <c r="N204" s="125" t="str">
        <f t="shared" si="2"/>
        <v/>
      </c>
      <c r="O204" s="125"/>
      <c r="P204" s="125"/>
      <c r="Q204" s="125"/>
      <c r="R204" s="125"/>
      <c r="S204" s="628">
        <f t="shared" si="3"/>
        <v>0</v>
      </c>
      <c r="T204" s="627" t="s">
        <v>51</v>
      </c>
      <c r="U204" s="627" t="s">
        <v>51</v>
      </c>
      <c r="V204" s="627" t="s">
        <v>51</v>
      </c>
      <c r="W204" s="627" t="s">
        <v>51</v>
      </c>
      <c r="X204" s="627" t="s">
        <v>51</v>
      </c>
      <c r="Y204" s="89"/>
    </row>
    <row r="205" ht="22.5" customHeight="1">
      <c r="A205" s="125"/>
      <c r="B205" s="125"/>
      <c r="C205" s="125"/>
      <c r="D205" s="125"/>
      <c r="E205" s="125"/>
      <c r="F205" s="125"/>
      <c r="G205" s="125"/>
      <c r="H205" s="125"/>
      <c r="I205" s="627" t="s">
        <v>51</v>
      </c>
      <c r="J205" s="125" t="s">
        <v>51</v>
      </c>
      <c r="K205" s="125" t="s">
        <v>51</v>
      </c>
      <c r="L205" s="125" t="s">
        <v>51</v>
      </c>
      <c r="M205" s="125" t="str">
        <f t="shared" si="1"/>
        <v/>
      </c>
      <c r="N205" s="125" t="str">
        <f t="shared" si="2"/>
        <v/>
      </c>
      <c r="O205" s="125"/>
      <c r="P205" s="125"/>
      <c r="Q205" s="125"/>
      <c r="R205" s="125"/>
      <c r="S205" s="628">
        <f t="shared" si="3"/>
        <v>0</v>
      </c>
      <c r="T205" s="627" t="s">
        <v>51</v>
      </c>
      <c r="U205" s="627" t="s">
        <v>51</v>
      </c>
      <c r="V205" s="627" t="s">
        <v>51</v>
      </c>
      <c r="W205" s="627" t="s">
        <v>51</v>
      </c>
      <c r="X205" s="627" t="s">
        <v>51</v>
      </c>
      <c r="Y205" s="89"/>
    </row>
    <row r="206" ht="22.5" customHeight="1">
      <c r="A206" s="125"/>
      <c r="B206" s="125"/>
      <c r="C206" s="125"/>
      <c r="D206" s="125"/>
      <c r="E206" s="125"/>
      <c r="F206" s="125"/>
      <c r="G206" s="125"/>
      <c r="H206" s="125"/>
      <c r="I206" s="627" t="s">
        <v>51</v>
      </c>
      <c r="J206" s="125" t="s">
        <v>51</v>
      </c>
      <c r="K206" s="125" t="s">
        <v>51</v>
      </c>
      <c r="L206" s="125" t="s">
        <v>51</v>
      </c>
      <c r="M206" s="125" t="str">
        <f t="shared" si="1"/>
        <v/>
      </c>
      <c r="N206" s="125" t="str">
        <f t="shared" si="2"/>
        <v/>
      </c>
      <c r="O206" s="125"/>
      <c r="P206" s="125"/>
      <c r="Q206" s="125"/>
      <c r="R206" s="125"/>
      <c r="S206" s="628">
        <f t="shared" si="3"/>
        <v>0</v>
      </c>
      <c r="T206" s="627" t="s">
        <v>51</v>
      </c>
      <c r="U206" s="627" t="s">
        <v>51</v>
      </c>
      <c r="V206" s="627" t="s">
        <v>51</v>
      </c>
      <c r="W206" s="627" t="s">
        <v>51</v>
      </c>
      <c r="X206" s="627" t="s">
        <v>51</v>
      </c>
      <c r="Y206" s="89"/>
    </row>
    <row r="207" ht="22.5" customHeight="1">
      <c r="A207" s="125"/>
      <c r="B207" s="125"/>
      <c r="C207" s="125"/>
      <c r="D207" s="125"/>
      <c r="E207" s="125"/>
      <c r="F207" s="125"/>
      <c r="G207" s="125"/>
      <c r="H207" s="125"/>
      <c r="I207" s="627" t="s">
        <v>51</v>
      </c>
      <c r="J207" s="125" t="s">
        <v>51</v>
      </c>
      <c r="K207" s="125" t="s">
        <v>51</v>
      </c>
      <c r="L207" s="125" t="s">
        <v>51</v>
      </c>
      <c r="M207" s="125" t="str">
        <f t="shared" si="1"/>
        <v/>
      </c>
      <c r="N207" s="125" t="str">
        <f t="shared" si="2"/>
        <v/>
      </c>
      <c r="O207" s="125"/>
      <c r="P207" s="125"/>
      <c r="Q207" s="125"/>
      <c r="R207" s="125"/>
      <c r="S207" s="628">
        <f t="shared" si="3"/>
        <v>0</v>
      </c>
      <c r="T207" s="627" t="s">
        <v>51</v>
      </c>
      <c r="U207" s="627" t="s">
        <v>51</v>
      </c>
      <c r="V207" s="627" t="s">
        <v>51</v>
      </c>
      <c r="W207" s="627" t="s">
        <v>51</v>
      </c>
      <c r="X207" s="627" t="s">
        <v>51</v>
      </c>
      <c r="Y207" s="89"/>
    </row>
    <row r="208" ht="22.5" customHeight="1">
      <c r="A208" s="125"/>
      <c r="B208" s="125"/>
      <c r="C208" s="125"/>
      <c r="D208" s="125"/>
      <c r="E208" s="125"/>
      <c r="F208" s="125"/>
      <c r="G208" s="125"/>
      <c r="H208" s="125"/>
      <c r="I208" s="627" t="s">
        <v>51</v>
      </c>
      <c r="J208" s="125" t="s">
        <v>51</v>
      </c>
      <c r="K208" s="125" t="s">
        <v>51</v>
      </c>
      <c r="L208" s="125" t="s">
        <v>51</v>
      </c>
      <c r="M208" s="125" t="str">
        <f t="shared" si="1"/>
        <v/>
      </c>
      <c r="N208" s="125" t="str">
        <f t="shared" si="2"/>
        <v/>
      </c>
      <c r="O208" s="125"/>
      <c r="P208" s="125"/>
      <c r="Q208" s="125"/>
      <c r="R208" s="125"/>
      <c r="S208" s="628">
        <f t="shared" si="3"/>
        <v>0</v>
      </c>
      <c r="T208" s="627" t="s">
        <v>51</v>
      </c>
      <c r="U208" s="627" t="s">
        <v>51</v>
      </c>
      <c r="V208" s="627" t="s">
        <v>51</v>
      </c>
      <c r="W208" s="627" t="s">
        <v>51</v>
      </c>
      <c r="X208" s="627" t="s">
        <v>51</v>
      </c>
      <c r="Y208" s="89"/>
    </row>
    <row r="209" ht="22.5" customHeight="1">
      <c r="A209" s="125"/>
      <c r="B209" s="125"/>
      <c r="C209" s="125"/>
      <c r="D209" s="125"/>
      <c r="E209" s="125"/>
      <c r="F209" s="125"/>
      <c r="G209" s="125"/>
      <c r="H209" s="125"/>
      <c r="I209" s="627" t="s">
        <v>51</v>
      </c>
      <c r="J209" s="125" t="s">
        <v>51</v>
      </c>
      <c r="K209" s="125" t="s">
        <v>51</v>
      </c>
      <c r="L209" s="125" t="s">
        <v>51</v>
      </c>
      <c r="M209" s="125" t="str">
        <f t="shared" si="1"/>
        <v/>
      </c>
      <c r="N209" s="125" t="str">
        <f t="shared" si="2"/>
        <v/>
      </c>
      <c r="O209" s="125"/>
      <c r="P209" s="125"/>
      <c r="Q209" s="125"/>
      <c r="R209" s="125"/>
      <c r="S209" s="628">
        <f t="shared" si="3"/>
        <v>0</v>
      </c>
      <c r="T209" s="627" t="s">
        <v>51</v>
      </c>
      <c r="U209" s="627" t="s">
        <v>51</v>
      </c>
      <c r="V209" s="627" t="s">
        <v>51</v>
      </c>
      <c r="W209" s="627" t="s">
        <v>51</v>
      </c>
      <c r="X209" s="627" t="s">
        <v>51</v>
      </c>
      <c r="Y209" s="89"/>
    </row>
    <row r="210" ht="22.5" customHeight="1">
      <c r="A210" s="125"/>
      <c r="B210" s="125"/>
      <c r="C210" s="125"/>
      <c r="D210" s="125"/>
      <c r="E210" s="125"/>
      <c r="F210" s="125"/>
      <c r="G210" s="125"/>
      <c r="H210" s="125"/>
      <c r="I210" s="627" t="s">
        <v>51</v>
      </c>
      <c r="J210" s="125" t="s">
        <v>51</v>
      </c>
      <c r="K210" s="125" t="s">
        <v>51</v>
      </c>
      <c r="L210" s="125" t="s">
        <v>51</v>
      </c>
      <c r="M210" s="125" t="str">
        <f t="shared" si="1"/>
        <v/>
      </c>
      <c r="N210" s="125" t="str">
        <f t="shared" si="2"/>
        <v/>
      </c>
      <c r="O210" s="125"/>
      <c r="P210" s="125"/>
      <c r="Q210" s="125"/>
      <c r="R210" s="125"/>
      <c r="S210" s="628">
        <f t="shared" si="3"/>
        <v>0</v>
      </c>
      <c r="T210" s="627" t="s">
        <v>51</v>
      </c>
      <c r="U210" s="627" t="s">
        <v>51</v>
      </c>
      <c r="V210" s="627" t="s">
        <v>51</v>
      </c>
      <c r="W210" s="627" t="s">
        <v>51</v>
      </c>
      <c r="X210" s="627" t="s">
        <v>51</v>
      </c>
      <c r="Y210" s="89"/>
    </row>
    <row r="211" ht="22.5" customHeight="1">
      <c r="A211" s="125"/>
      <c r="B211" s="125"/>
      <c r="C211" s="125"/>
      <c r="D211" s="125"/>
      <c r="E211" s="125"/>
      <c r="F211" s="125"/>
      <c r="G211" s="125"/>
      <c r="H211" s="125"/>
      <c r="I211" s="627" t="s">
        <v>51</v>
      </c>
      <c r="J211" s="125" t="s">
        <v>51</v>
      </c>
      <c r="K211" s="125" t="s">
        <v>51</v>
      </c>
      <c r="L211" s="125" t="s">
        <v>51</v>
      </c>
      <c r="M211" s="125" t="str">
        <f t="shared" si="1"/>
        <v/>
      </c>
      <c r="N211" s="125" t="str">
        <f t="shared" si="2"/>
        <v/>
      </c>
      <c r="O211" s="125"/>
      <c r="P211" s="125"/>
      <c r="Q211" s="125"/>
      <c r="R211" s="125"/>
      <c r="S211" s="628">
        <f t="shared" si="3"/>
        <v>0</v>
      </c>
      <c r="T211" s="627" t="s">
        <v>51</v>
      </c>
      <c r="U211" s="627" t="s">
        <v>51</v>
      </c>
      <c r="V211" s="627" t="s">
        <v>51</v>
      </c>
      <c r="W211" s="627" t="s">
        <v>51</v>
      </c>
      <c r="X211" s="627" t="s">
        <v>51</v>
      </c>
      <c r="Y211" s="89"/>
    </row>
    <row r="212" ht="22.5" customHeight="1">
      <c r="A212" s="125"/>
      <c r="B212" s="125"/>
      <c r="C212" s="125"/>
      <c r="D212" s="125"/>
      <c r="E212" s="125"/>
      <c r="F212" s="125"/>
      <c r="G212" s="125"/>
      <c r="H212" s="125"/>
      <c r="I212" s="627" t="s">
        <v>51</v>
      </c>
      <c r="J212" s="125" t="s">
        <v>51</v>
      </c>
      <c r="K212" s="125" t="s">
        <v>51</v>
      </c>
      <c r="L212" s="125" t="s">
        <v>51</v>
      </c>
      <c r="M212" s="125" t="str">
        <f t="shared" si="1"/>
        <v/>
      </c>
      <c r="N212" s="125" t="str">
        <f t="shared" si="2"/>
        <v/>
      </c>
      <c r="O212" s="125"/>
      <c r="P212" s="125"/>
      <c r="Q212" s="125"/>
      <c r="R212" s="125"/>
      <c r="S212" s="628">
        <f t="shared" si="3"/>
        <v>0</v>
      </c>
      <c r="T212" s="627" t="s">
        <v>51</v>
      </c>
      <c r="U212" s="627" t="s">
        <v>51</v>
      </c>
      <c r="V212" s="627" t="s">
        <v>51</v>
      </c>
      <c r="W212" s="627" t="s">
        <v>51</v>
      </c>
      <c r="X212" s="627" t="s">
        <v>51</v>
      </c>
      <c r="Y212" s="89"/>
    </row>
    <row r="213" ht="22.5" customHeight="1">
      <c r="A213" s="125"/>
      <c r="B213" s="125"/>
      <c r="C213" s="125"/>
      <c r="D213" s="125"/>
      <c r="E213" s="125"/>
      <c r="F213" s="125"/>
      <c r="G213" s="125"/>
      <c r="H213" s="125"/>
      <c r="I213" s="627" t="s">
        <v>51</v>
      </c>
      <c r="J213" s="125" t="s">
        <v>51</v>
      </c>
      <c r="K213" s="125" t="s">
        <v>51</v>
      </c>
      <c r="L213" s="125" t="s">
        <v>51</v>
      </c>
      <c r="M213" s="125" t="str">
        <f t="shared" si="1"/>
        <v/>
      </c>
      <c r="N213" s="125" t="str">
        <f t="shared" si="2"/>
        <v/>
      </c>
      <c r="O213" s="125"/>
      <c r="P213" s="125"/>
      <c r="Q213" s="125"/>
      <c r="R213" s="125"/>
      <c r="S213" s="628">
        <f t="shared" si="3"/>
        <v>0</v>
      </c>
      <c r="T213" s="627" t="s">
        <v>51</v>
      </c>
      <c r="U213" s="627" t="s">
        <v>51</v>
      </c>
      <c r="V213" s="627" t="s">
        <v>51</v>
      </c>
      <c r="W213" s="627" t="s">
        <v>51</v>
      </c>
      <c r="X213" s="627" t="s">
        <v>51</v>
      </c>
      <c r="Y213" s="89"/>
    </row>
    <row r="214" ht="22.5" customHeight="1">
      <c r="A214" s="125"/>
      <c r="B214" s="125"/>
      <c r="C214" s="125"/>
      <c r="D214" s="125"/>
      <c r="E214" s="125"/>
      <c r="F214" s="125"/>
      <c r="G214" s="125"/>
      <c r="H214" s="125"/>
      <c r="I214" s="627" t="s">
        <v>51</v>
      </c>
      <c r="J214" s="125" t="s">
        <v>51</v>
      </c>
      <c r="K214" s="125" t="s">
        <v>51</v>
      </c>
      <c r="L214" s="125" t="s">
        <v>51</v>
      </c>
      <c r="M214" s="125" t="str">
        <f t="shared" si="1"/>
        <v/>
      </c>
      <c r="N214" s="125" t="str">
        <f t="shared" si="2"/>
        <v/>
      </c>
      <c r="O214" s="125"/>
      <c r="P214" s="125"/>
      <c r="Q214" s="125"/>
      <c r="R214" s="125"/>
      <c r="S214" s="628">
        <f t="shared" si="3"/>
        <v>0</v>
      </c>
      <c r="T214" s="627" t="s">
        <v>51</v>
      </c>
      <c r="U214" s="627" t="s">
        <v>51</v>
      </c>
      <c r="V214" s="627" t="s">
        <v>51</v>
      </c>
      <c r="W214" s="627" t="s">
        <v>51</v>
      </c>
      <c r="X214" s="627" t="s">
        <v>51</v>
      </c>
      <c r="Y214" s="89"/>
    </row>
    <row r="215" ht="22.5" customHeight="1">
      <c r="A215" s="125"/>
      <c r="B215" s="125"/>
      <c r="C215" s="125"/>
      <c r="D215" s="125"/>
      <c r="E215" s="125"/>
      <c r="F215" s="125"/>
      <c r="G215" s="125"/>
      <c r="H215" s="125"/>
      <c r="I215" s="627" t="s">
        <v>51</v>
      </c>
      <c r="J215" s="125" t="s">
        <v>51</v>
      </c>
      <c r="K215" s="125" t="s">
        <v>51</v>
      </c>
      <c r="L215" s="125" t="s">
        <v>51</v>
      </c>
      <c r="M215" s="125" t="str">
        <f t="shared" si="1"/>
        <v/>
      </c>
      <c r="N215" s="125" t="str">
        <f t="shared" si="2"/>
        <v/>
      </c>
      <c r="O215" s="125"/>
      <c r="P215" s="125"/>
      <c r="Q215" s="125"/>
      <c r="R215" s="125"/>
      <c r="S215" s="628">
        <f t="shared" si="3"/>
        <v>0</v>
      </c>
      <c r="T215" s="627" t="s">
        <v>51</v>
      </c>
      <c r="U215" s="627" t="s">
        <v>51</v>
      </c>
      <c r="V215" s="627" t="s">
        <v>51</v>
      </c>
      <c r="W215" s="627" t="s">
        <v>51</v>
      </c>
      <c r="X215" s="627" t="s">
        <v>51</v>
      </c>
      <c r="Y215" s="89"/>
    </row>
    <row r="216" ht="22.5" customHeight="1">
      <c r="A216" s="125"/>
      <c r="B216" s="125"/>
      <c r="C216" s="125"/>
      <c r="D216" s="125"/>
      <c r="E216" s="125"/>
      <c r="F216" s="125"/>
      <c r="G216" s="125"/>
      <c r="H216" s="125"/>
      <c r="I216" s="627" t="s">
        <v>51</v>
      </c>
      <c r="J216" s="125" t="s">
        <v>51</v>
      </c>
      <c r="K216" s="125" t="s">
        <v>51</v>
      </c>
      <c r="L216" s="125" t="s">
        <v>51</v>
      </c>
      <c r="M216" s="125" t="str">
        <f t="shared" si="1"/>
        <v/>
      </c>
      <c r="N216" s="125" t="str">
        <f t="shared" si="2"/>
        <v/>
      </c>
      <c r="O216" s="125"/>
      <c r="P216" s="125"/>
      <c r="Q216" s="125"/>
      <c r="R216" s="125"/>
      <c r="S216" s="628">
        <f t="shared" si="3"/>
        <v>0</v>
      </c>
      <c r="T216" s="627" t="s">
        <v>51</v>
      </c>
      <c r="U216" s="627" t="s">
        <v>51</v>
      </c>
      <c r="V216" s="627" t="s">
        <v>51</v>
      </c>
      <c r="W216" s="627" t="s">
        <v>51</v>
      </c>
      <c r="X216" s="627" t="s">
        <v>51</v>
      </c>
      <c r="Y216" s="89"/>
    </row>
    <row r="217" ht="22.5" customHeight="1">
      <c r="A217" s="125"/>
      <c r="B217" s="125"/>
      <c r="C217" s="125"/>
      <c r="D217" s="125"/>
      <c r="E217" s="125"/>
      <c r="F217" s="125"/>
      <c r="G217" s="125"/>
      <c r="H217" s="125"/>
      <c r="I217" s="627" t="s">
        <v>51</v>
      </c>
      <c r="J217" s="125" t="s">
        <v>51</v>
      </c>
      <c r="K217" s="125" t="s">
        <v>51</v>
      </c>
      <c r="L217" s="125" t="s">
        <v>51</v>
      </c>
      <c r="M217" s="125" t="str">
        <f t="shared" si="1"/>
        <v/>
      </c>
      <c r="N217" s="125" t="str">
        <f t="shared" si="2"/>
        <v/>
      </c>
      <c r="O217" s="125"/>
      <c r="P217" s="125"/>
      <c r="Q217" s="125"/>
      <c r="R217" s="125"/>
      <c r="S217" s="628">
        <f t="shared" si="3"/>
        <v>0</v>
      </c>
      <c r="T217" s="627" t="s">
        <v>51</v>
      </c>
      <c r="U217" s="627" t="s">
        <v>51</v>
      </c>
      <c r="V217" s="627" t="s">
        <v>51</v>
      </c>
      <c r="W217" s="627" t="s">
        <v>51</v>
      </c>
      <c r="X217" s="627" t="s">
        <v>51</v>
      </c>
      <c r="Y217" s="89"/>
    </row>
    <row r="218" ht="22.5" customHeight="1">
      <c r="A218" s="125"/>
      <c r="B218" s="125"/>
      <c r="C218" s="125"/>
      <c r="D218" s="125"/>
      <c r="E218" s="125"/>
      <c r="F218" s="125"/>
      <c r="G218" s="125"/>
      <c r="H218" s="125"/>
      <c r="I218" s="627" t="s">
        <v>51</v>
      </c>
      <c r="J218" s="125" t="s">
        <v>51</v>
      </c>
      <c r="K218" s="125" t="s">
        <v>51</v>
      </c>
      <c r="L218" s="125" t="s">
        <v>51</v>
      </c>
      <c r="M218" s="125" t="str">
        <f t="shared" si="1"/>
        <v/>
      </c>
      <c r="N218" s="125" t="str">
        <f t="shared" si="2"/>
        <v/>
      </c>
      <c r="O218" s="125"/>
      <c r="P218" s="125"/>
      <c r="Q218" s="125"/>
      <c r="R218" s="125"/>
      <c r="S218" s="628">
        <f t="shared" si="3"/>
        <v>0</v>
      </c>
      <c r="T218" s="627" t="s">
        <v>51</v>
      </c>
      <c r="U218" s="627" t="s">
        <v>51</v>
      </c>
      <c r="V218" s="627" t="s">
        <v>51</v>
      </c>
      <c r="W218" s="627" t="s">
        <v>51</v>
      </c>
      <c r="X218" s="627" t="s">
        <v>51</v>
      </c>
      <c r="Y218" s="89"/>
    </row>
    <row r="219" ht="22.5" customHeight="1">
      <c r="A219" s="125"/>
      <c r="B219" s="125"/>
      <c r="C219" s="125"/>
      <c r="D219" s="125"/>
      <c r="E219" s="125"/>
      <c r="F219" s="125"/>
      <c r="G219" s="125"/>
      <c r="H219" s="125"/>
      <c r="I219" s="627" t="s">
        <v>51</v>
      </c>
      <c r="J219" s="125" t="s">
        <v>51</v>
      </c>
      <c r="K219" s="125" t="s">
        <v>51</v>
      </c>
      <c r="L219" s="125" t="s">
        <v>51</v>
      </c>
      <c r="M219" s="125" t="str">
        <f t="shared" si="1"/>
        <v/>
      </c>
      <c r="N219" s="125" t="str">
        <f t="shared" si="2"/>
        <v/>
      </c>
      <c r="O219" s="125"/>
      <c r="P219" s="125"/>
      <c r="Q219" s="125"/>
      <c r="R219" s="125"/>
      <c r="S219" s="628">
        <f t="shared" si="3"/>
        <v>0</v>
      </c>
      <c r="T219" s="627" t="s">
        <v>51</v>
      </c>
      <c r="U219" s="627" t="s">
        <v>51</v>
      </c>
      <c r="V219" s="627" t="s">
        <v>51</v>
      </c>
      <c r="W219" s="627" t="s">
        <v>51</v>
      </c>
      <c r="X219" s="627" t="s">
        <v>51</v>
      </c>
      <c r="Y219" s="89"/>
    </row>
    <row r="220" ht="22.5" customHeight="1">
      <c r="A220" s="125"/>
      <c r="B220" s="125"/>
      <c r="C220" s="125"/>
      <c r="D220" s="125"/>
      <c r="E220" s="125"/>
      <c r="F220" s="125"/>
      <c r="G220" s="125"/>
      <c r="H220" s="125"/>
      <c r="I220" s="627" t="s">
        <v>51</v>
      </c>
      <c r="J220" s="125" t="s">
        <v>51</v>
      </c>
      <c r="K220" s="125" t="s">
        <v>51</v>
      </c>
      <c r="L220" s="125" t="s">
        <v>51</v>
      </c>
      <c r="M220" s="125" t="str">
        <f t="shared" si="1"/>
        <v/>
      </c>
      <c r="N220" s="125" t="str">
        <f t="shared" si="2"/>
        <v/>
      </c>
      <c r="O220" s="125"/>
      <c r="P220" s="125"/>
      <c r="Q220" s="125"/>
      <c r="R220" s="125"/>
      <c r="S220" s="628">
        <f t="shared" si="3"/>
        <v>0</v>
      </c>
      <c r="T220" s="627" t="s">
        <v>51</v>
      </c>
      <c r="U220" s="627" t="s">
        <v>51</v>
      </c>
      <c r="V220" s="627" t="s">
        <v>51</v>
      </c>
      <c r="W220" s="627" t="s">
        <v>51</v>
      </c>
      <c r="X220" s="627" t="s">
        <v>51</v>
      </c>
      <c r="Y220" s="89"/>
    </row>
    <row r="221" ht="22.5" customHeight="1">
      <c r="A221" s="125"/>
      <c r="B221" s="125"/>
      <c r="C221" s="125"/>
      <c r="D221" s="125"/>
      <c r="E221" s="125"/>
      <c r="F221" s="125"/>
      <c r="G221" s="125"/>
      <c r="H221" s="125"/>
      <c r="I221" s="627" t="s">
        <v>51</v>
      </c>
      <c r="J221" s="125" t="s">
        <v>51</v>
      </c>
      <c r="K221" s="125" t="s">
        <v>51</v>
      </c>
      <c r="L221" s="125" t="s">
        <v>51</v>
      </c>
      <c r="M221" s="125" t="str">
        <f t="shared" si="1"/>
        <v/>
      </c>
      <c r="N221" s="125" t="str">
        <f t="shared" si="2"/>
        <v/>
      </c>
      <c r="O221" s="125"/>
      <c r="P221" s="125"/>
      <c r="Q221" s="125"/>
      <c r="R221" s="125"/>
      <c r="S221" s="628">
        <f t="shared" si="3"/>
        <v>0</v>
      </c>
      <c r="T221" s="627" t="s">
        <v>51</v>
      </c>
      <c r="U221" s="627" t="s">
        <v>51</v>
      </c>
      <c r="V221" s="627" t="s">
        <v>51</v>
      </c>
      <c r="W221" s="627" t="s">
        <v>51</v>
      </c>
      <c r="X221" s="627" t="s">
        <v>51</v>
      </c>
      <c r="Y221" s="89"/>
    </row>
    <row r="222" ht="22.5" customHeight="1">
      <c r="A222" s="125"/>
      <c r="B222" s="125"/>
      <c r="C222" s="125"/>
      <c r="D222" s="125"/>
      <c r="E222" s="125"/>
      <c r="F222" s="125"/>
      <c r="G222" s="125"/>
      <c r="H222" s="125"/>
      <c r="I222" s="627" t="s">
        <v>51</v>
      </c>
      <c r="J222" s="125" t="s">
        <v>51</v>
      </c>
      <c r="K222" s="125" t="s">
        <v>51</v>
      </c>
      <c r="L222" s="125" t="s">
        <v>51</v>
      </c>
      <c r="M222" s="125" t="str">
        <f t="shared" si="1"/>
        <v/>
      </c>
      <c r="N222" s="125" t="str">
        <f t="shared" si="2"/>
        <v/>
      </c>
      <c r="O222" s="125"/>
      <c r="P222" s="125"/>
      <c r="Q222" s="125"/>
      <c r="R222" s="125"/>
      <c r="S222" s="628">
        <f t="shared" si="3"/>
        <v>0</v>
      </c>
      <c r="T222" s="627" t="s">
        <v>51</v>
      </c>
      <c r="U222" s="627" t="s">
        <v>51</v>
      </c>
      <c r="V222" s="627" t="s">
        <v>51</v>
      </c>
      <c r="W222" s="627" t="s">
        <v>51</v>
      </c>
      <c r="X222" s="627" t="s">
        <v>51</v>
      </c>
      <c r="Y222" s="89"/>
    </row>
    <row r="223" ht="22.5" customHeight="1">
      <c r="A223" s="125"/>
      <c r="B223" s="125"/>
      <c r="C223" s="125"/>
      <c r="D223" s="125"/>
      <c r="E223" s="125"/>
      <c r="F223" s="125"/>
      <c r="G223" s="125"/>
      <c r="H223" s="125"/>
      <c r="I223" s="627" t="s">
        <v>51</v>
      </c>
      <c r="J223" s="125" t="s">
        <v>51</v>
      </c>
      <c r="K223" s="125" t="s">
        <v>51</v>
      </c>
      <c r="L223" s="125" t="s">
        <v>51</v>
      </c>
      <c r="M223" s="125" t="str">
        <f t="shared" si="1"/>
        <v/>
      </c>
      <c r="N223" s="125" t="str">
        <f t="shared" si="2"/>
        <v/>
      </c>
      <c r="O223" s="125"/>
      <c r="P223" s="125"/>
      <c r="Q223" s="125"/>
      <c r="R223" s="125"/>
      <c r="S223" s="628">
        <f t="shared" si="3"/>
        <v>0</v>
      </c>
      <c r="T223" s="627" t="s">
        <v>51</v>
      </c>
      <c r="U223" s="627" t="s">
        <v>51</v>
      </c>
      <c r="V223" s="627" t="s">
        <v>51</v>
      </c>
      <c r="W223" s="627" t="s">
        <v>51</v>
      </c>
      <c r="X223" s="627" t="s">
        <v>51</v>
      </c>
      <c r="Y223" s="89"/>
    </row>
    <row r="224" ht="22.5" customHeight="1">
      <c r="A224" s="125"/>
      <c r="B224" s="125"/>
      <c r="C224" s="125"/>
      <c r="D224" s="125"/>
      <c r="E224" s="125"/>
      <c r="F224" s="125"/>
      <c r="G224" s="125"/>
      <c r="H224" s="125"/>
      <c r="I224" s="627" t="s">
        <v>51</v>
      </c>
      <c r="J224" s="125" t="s">
        <v>51</v>
      </c>
      <c r="K224" s="125" t="s">
        <v>51</v>
      </c>
      <c r="L224" s="125" t="s">
        <v>51</v>
      </c>
      <c r="M224" s="125" t="str">
        <f t="shared" si="1"/>
        <v/>
      </c>
      <c r="N224" s="125" t="str">
        <f t="shared" si="2"/>
        <v/>
      </c>
      <c r="O224" s="125"/>
      <c r="P224" s="125"/>
      <c r="Q224" s="125"/>
      <c r="R224" s="125"/>
      <c r="S224" s="628">
        <f t="shared" si="3"/>
        <v>0</v>
      </c>
      <c r="T224" s="627" t="s">
        <v>51</v>
      </c>
      <c r="U224" s="627" t="s">
        <v>51</v>
      </c>
      <c r="V224" s="627" t="s">
        <v>51</v>
      </c>
      <c r="W224" s="627" t="s">
        <v>51</v>
      </c>
      <c r="X224" s="627" t="s">
        <v>51</v>
      </c>
      <c r="Y224" s="89"/>
    </row>
    <row r="225" ht="22.5" customHeight="1">
      <c r="A225" s="125"/>
      <c r="B225" s="125"/>
      <c r="C225" s="125"/>
      <c r="D225" s="125"/>
      <c r="E225" s="125"/>
      <c r="F225" s="125"/>
      <c r="G225" s="125"/>
      <c r="H225" s="125"/>
      <c r="I225" s="627" t="s">
        <v>51</v>
      </c>
      <c r="J225" s="125" t="s">
        <v>51</v>
      </c>
      <c r="K225" s="125" t="s">
        <v>51</v>
      </c>
      <c r="L225" s="125" t="s">
        <v>51</v>
      </c>
      <c r="M225" s="125" t="str">
        <f t="shared" si="1"/>
        <v/>
      </c>
      <c r="N225" s="125" t="str">
        <f t="shared" si="2"/>
        <v/>
      </c>
      <c r="O225" s="125"/>
      <c r="P225" s="125"/>
      <c r="Q225" s="125"/>
      <c r="R225" s="125"/>
      <c r="S225" s="628">
        <f t="shared" si="3"/>
        <v>0</v>
      </c>
      <c r="T225" s="627" t="s">
        <v>51</v>
      </c>
      <c r="U225" s="627" t="s">
        <v>51</v>
      </c>
      <c r="V225" s="627" t="s">
        <v>51</v>
      </c>
      <c r="W225" s="627" t="s">
        <v>51</v>
      </c>
      <c r="X225" s="627" t="s">
        <v>51</v>
      </c>
      <c r="Y225" s="89"/>
    </row>
    <row r="226" ht="22.5" customHeight="1">
      <c r="A226" s="125"/>
      <c r="B226" s="125"/>
      <c r="C226" s="125"/>
      <c r="D226" s="125"/>
      <c r="E226" s="125"/>
      <c r="F226" s="125"/>
      <c r="G226" s="125"/>
      <c r="H226" s="125"/>
      <c r="I226" s="627" t="s">
        <v>51</v>
      </c>
      <c r="J226" s="125" t="s">
        <v>51</v>
      </c>
      <c r="K226" s="125" t="s">
        <v>51</v>
      </c>
      <c r="L226" s="125" t="s">
        <v>51</v>
      </c>
      <c r="M226" s="125" t="str">
        <f t="shared" si="1"/>
        <v/>
      </c>
      <c r="N226" s="125" t="str">
        <f t="shared" si="2"/>
        <v/>
      </c>
      <c r="O226" s="125"/>
      <c r="P226" s="125"/>
      <c r="Q226" s="125"/>
      <c r="R226" s="125"/>
      <c r="S226" s="628">
        <f t="shared" si="3"/>
        <v>0</v>
      </c>
      <c r="T226" s="627" t="s">
        <v>51</v>
      </c>
      <c r="U226" s="627" t="s">
        <v>51</v>
      </c>
      <c r="V226" s="627" t="s">
        <v>51</v>
      </c>
      <c r="W226" s="627" t="s">
        <v>51</v>
      </c>
      <c r="X226" s="627" t="s">
        <v>51</v>
      </c>
      <c r="Y226" s="89"/>
    </row>
    <row r="227" ht="22.5" customHeight="1">
      <c r="A227" s="125"/>
      <c r="B227" s="125"/>
      <c r="C227" s="125"/>
      <c r="D227" s="125"/>
      <c r="E227" s="125"/>
      <c r="F227" s="125"/>
      <c r="G227" s="125"/>
      <c r="H227" s="125"/>
      <c r="I227" s="627" t="s">
        <v>51</v>
      </c>
      <c r="J227" s="125" t="s">
        <v>51</v>
      </c>
      <c r="K227" s="125" t="s">
        <v>51</v>
      </c>
      <c r="L227" s="125" t="s">
        <v>51</v>
      </c>
      <c r="M227" s="125" t="str">
        <f t="shared" si="1"/>
        <v/>
      </c>
      <c r="N227" s="125" t="str">
        <f t="shared" si="2"/>
        <v/>
      </c>
      <c r="O227" s="125"/>
      <c r="P227" s="125"/>
      <c r="Q227" s="125"/>
      <c r="R227" s="125"/>
      <c r="S227" s="628">
        <f t="shared" si="3"/>
        <v>0</v>
      </c>
      <c r="T227" s="627" t="s">
        <v>51</v>
      </c>
      <c r="U227" s="627" t="s">
        <v>51</v>
      </c>
      <c r="V227" s="627" t="s">
        <v>51</v>
      </c>
      <c r="W227" s="627" t="s">
        <v>51</v>
      </c>
      <c r="X227" s="627" t="s">
        <v>51</v>
      </c>
      <c r="Y227" s="89"/>
    </row>
    <row r="228" ht="22.5" customHeight="1">
      <c r="A228" s="125"/>
      <c r="B228" s="125"/>
      <c r="C228" s="125"/>
      <c r="D228" s="125"/>
      <c r="E228" s="125"/>
      <c r="F228" s="125"/>
      <c r="G228" s="125"/>
      <c r="H228" s="125"/>
      <c r="I228" s="627" t="s">
        <v>51</v>
      </c>
      <c r="J228" s="125" t="s">
        <v>51</v>
      </c>
      <c r="K228" s="125" t="s">
        <v>51</v>
      </c>
      <c r="L228" s="125" t="s">
        <v>51</v>
      </c>
      <c r="M228" s="125" t="str">
        <f t="shared" si="1"/>
        <v/>
      </c>
      <c r="N228" s="125" t="str">
        <f t="shared" si="2"/>
        <v/>
      </c>
      <c r="O228" s="125"/>
      <c r="P228" s="125"/>
      <c r="Q228" s="125"/>
      <c r="R228" s="125"/>
      <c r="S228" s="628">
        <f t="shared" si="3"/>
        <v>0</v>
      </c>
      <c r="T228" s="627" t="s">
        <v>51</v>
      </c>
      <c r="U228" s="627" t="s">
        <v>51</v>
      </c>
      <c r="V228" s="627" t="s">
        <v>51</v>
      </c>
      <c r="W228" s="627" t="s">
        <v>51</v>
      </c>
      <c r="X228" s="627" t="s">
        <v>51</v>
      </c>
      <c r="Y228" s="89"/>
    </row>
    <row r="229" ht="22.5" customHeight="1">
      <c r="A229" s="125"/>
      <c r="B229" s="125"/>
      <c r="C229" s="125"/>
      <c r="D229" s="125"/>
      <c r="E229" s="125"/>
      <c r="F229" s="125"/>
      <c r="G229" s="125"/>
      <c r="H229" s="125"/>
      <c r="I229" s="627" t="s">
        <v>51</v>
      </c>
      <c r="J229" s="125" t="s">
        <v>51</v>
      </c>
      <c r="K229" s="125" t="s">
        <v>51</v>
      </c>
      <c r="L229" s="125" t="s">
        <v>51</v>
      </c>
      <c r="M229" s="125" t="str">
        <f t="shared" si="1"/>
        <v/>
      </c>
      <c r="N229" s="125" t="str">
        <f t="shared" si="2"/>
        <v/>
      </c>
      <c r="O229" s="125"/>
      <c r="P229" s="125"/>
      <c r="Q229" s="125"/>
      <c r="R229" s="125"/>
      <c r="S229" s="628">
        <f t="shared" si="3"/>
        <v>0</v>
      </c>
      <c r="T229" s="627" t="s">
        <v>51</v>
      </c>
      <c r="U229" s="627" t="s">
        <v>51</v>
      </c>
      <c r="V229" s="627" t="s">
        <v>51</v>
      </c>
      <c r="W229" s="627" t="s">
        <v>51</v>
      </c>
      <c r="X229" s="627" t="s">
        <v>51</v>
      </c>
      <c r="Y229" s="89"/>
    </row>
    <row r="230" ht="22.5" customHeight="1">
      <c r="A230" s="125"/>
      <c r="B230" s="125"/>
      <c r="C230" s="125"/>
      <c r="D230" s="125"/>
      <c r="E230" s="125"/>
      <c r="F230" s="125"/>
      <c r="G230" s="125"/>
      <c r="H230" s="125"/>
      <c r="I230" s="627" t="s">
        <v>51</v>
      </c>
      <c r="J230" s="125" t="s">
        <v>51</v>
      </c>
      <c r="K230" s="125" t="s">
        <v>51</v>
      </c>
      <c r="L230" s="125" t="s">
        <v>51</v>
      </c>
      <c r="M230" s="125" t="str">
        <f t="shared" si="1"/>
        <v/>
      </c>
      <c r="N230" s="125" t="str">
        <f t="shared" si="2"/>
        <v/>
      </c>
      <c r="O230" s="125"/>
      <c r="P230" s="125"/>
      <c r="Q230" s="125"/>
      <c r="R230" s="125"/>
      <c r="S230" s="628">
        <f t="shared" si="3"/>
        <v>0</v>
      </c>
      <c r="T230" s="627" t="s">
        <v>51</v>
      </c>
      <c r="U230" s="627" t="s">
        <v>51</v>
      </c>
      <c r="V230" s="627" t="s">
        <v>51</v>
      </c>
      <c r="W230" s="627" t="s">
        <v>51</v>
      </c>
      <c r="X230" s="627" t="s">
        <v>51</v>
      </c>
      <c r="Y230" s="89"/>
    </row>
    <row r="231" ht="22.5" customHeight="1">
      <c r="A231" s="125"/>
      <c r="B231" s="125"/>
      <c r="C231" s="125"/>
      <c r="D231" s="125"/>
      <c r="E231" s="125"/>
      <c r="F231" s="125"/>
      <c r="G231" s="125"/>
      <c r="H231" s="125"/>
      <c r="I231" s="627" t="s">
        <v>51</v>
      </c>
      <c r="J231" s="125" t="s">
        <v>51</v>
      </c>
      <c r="K231" s="125" t="s">
        <v>51</v>
      </c>
      <c r="L231" s="125" t="s">
        <v>51</v>
      </c>
      <c r="M231" s="125" t="str">
        <f t="shared" si="1"/>
        <v/>
      </c>
      <c r="N231" s="125" t="str">
        <f t="shared" si="2"/>
        <v/>
      </c>
      <c r="O231" s="125"/>
      <c r="P231" s="125"/>
      <c r="Q231" s="125"/>
      <c r="R231" s="125"/>
      <c r="S231" s="628">
        <f t="shared" si="3"/>
        <v>0</v>
      </c>
      <c r="T231" s="627" t="s">
        <v>51</v>
      </c>
      <c r="U231" s="627" t="s">
        <v>51</v>
      </c>
      <c r="V231" s="627" t="s">
        <v>51</v>
      </c>
      <c r="W231" s="627" t="s">
        <v>51</v>
      </c>
      <c r="X231" s="627" t="s">
        <v>51</v>
      </c>
      <c r="Y231" s="89"/>
    </row>
    <row r="232" ht="22.5" customHeight="1">
      <c r="A232" s="125"/>
      <c r="B232" s="125"/>
      <c r="C232" s="125"/>
      <c r="D232" s="125"/>
      <c r="E232" s="125"/>
      <c r="F232" s="125"/>
      <c r="G232" s="125"/>
      <c r="H232" s="125"/>
      <c r="I232" s="627" t="s">
        <v>51</v>
      </c>
      <c r="J232" s="125" t="s">
        <v>51</v>
      </c>
      <c r="K232" s="125" t="s">
        <v>51</v>
      </c>
      <c r="L232" s="125" t="s">
        <v>51</v>
      </c>
      <c r="M232" s="125" t="str">
        <f t="shared" si="1"/>
        <v/>
      </c>
      <c r="N232" s="125" t="str">
        <f t="shared" si="2"/>
        <v/>
      </c>
      <c r="O232" s="125"/>
      <c r="P232" s="125"/>
      <c r="Q232" s="125"/>
      <c r="R232" s="125"/>
      <c r="S232" s="628">
        <f t="shared" si="3"/>
        <v>0</v>
      </c>
      <c r="T232" s="627" t="s">
        <v>51</v>
      </c>
      <c r="U232" s="627" t="s">
        <v>51</v>
      </c>
      <c r="V232" s="627" t="s">
        <v>51</v>
      </c>
      <c r="W232" s="627" t="s">
        <v>51</v>
      </c>
      <c r="X232" s="627" t="s">
        <v>51</v>
      </c>
      <c r="Y232" s="89"/>
    </row>
    <row r="233" ht="22.5" customHeight="1">
      <c r="A233" s="125"/>
      <c r="B233" s="125"/>
      <c r="C233" s="125"/>
      <c r="D233" s="125"/>
      <c r="E233" s="125"/>
      <c r="F233" s="125"/>
      <c r="G233" s="125"/>
      <c r="H233" s="125"/>
      <c r="I233" s="627" t="s">
        <v>51</v>
      </c>
      <c r="J233" s="125" t="s">
        <v>51</v>
      </c>
      <c r="K233" s="125" t="s">
        <v>51</v>
      </c>
      <c r="L233" s="125" t="s">
        <v>51</v>
      </c>
      <c r="M233" s="125" t="str">
        <f t="shared" si="1"/>
        <v/>
      </c>
      <c r="N233" s="125" t="str">
        <f t="shared" si="2"/>
        <v/>
      </c>
      <c r="O233" s="125"/>
      <c r="P233" s="125"/>
      <c r="Q233" s="125"/>
      <c r="R233" s="125"/>
      <c r="S233" s="628">
        <f t="shared" si="3"/>
        <v>0</v>
      </c>
      <c r="T233" s="627" t="s">
        <v>51</v>
      </c>
      <c r="U233" s="627" t="s">
        <v>51</v>
      </c>
      <c r="V233" s="627" t="s">
        <v>51</v>
      </c>
      <c r="W233" s="627" t="s">
        <v>51</v>
      </c>
      <c r="X233" s="627" t="s">
        <v>51</v>
      </c>
      <c r="Y233" s="89"/>
    </row>
    <row r="234" ht="22.5" customHeight="1">
      <c r="A234" s="125"/>
      <c r="B234" s="125"/>
      <c r="C234" s="125"/>
      <c r="D234" s="125"/>
      <c r="E234" s="125"/>
      <c r="F234" s="125"/>
      <c r="G234" s="125"/>
      <c r="H234" s="125"/>
      <c r="I234" s="627" t="s">
        <v>51</v>
      </c>
      <c r="J234" s="125" t="s">
        <v>51</v>
      </c>
      <c r="K234" s="125" t="s">
        <v>51</v>
      </c>
      <c r="L234" s="125" t="s">
        <v>51</v>
      </c>
      <c r="M234" s="125" t="str">
        <f t="shared" si="1"/>
        <v/>
      </c>
      <c r="N234" s="125" t="str">
        <f t="shared" si="2"/>
        <v/>
      </c>
      <c r="O234" s="125"/>
      <c r="P234" s="125"/>
      <c r="Q234" s="125"/>
      <c r="R234" s="125"/>
      <c r="S234" s="628">
        <f t="shared" si="3"/>
        <v>0</v>
      </c>
      <c r="T234" s="627" t="s">
        <v>51</v>
      </c>
      <c r="U234" s="627" t="s">
        <v>51</v>
      </c>
      <c r="V234" s="627" t="s">
        <v>51</v>
      </c>
      <c r="W234" s="627" t="s">
        <v>51</v>
      </c>
      <c r="X234" s="627" t="s">
        <v>51</v>
      </c>
      <c r="Y234" s="89"/>
    </row>
    <row r="235" ht="22.5" customHeight="1">
      <c r="A235" s="125"/>
      <c r="B235" s="125"/>
      <c r="C235" s="125"/>
      <c r="D235" s="125"/>
      <c r="E235" s="125"/>
      <c r="F235" s="125"/>
      <c r="G235" s="125"/>
      <c r="H235" s="125"/>
      <c r="I235" s="627" t="s">
        <v>51</v>
      </c>
      <c r="J235" s="125" t="s">
        <v>51</v>
      </c>
      <c r="K235" s="125" t="s">
        <v>51</v>
      </c>
      <c r="L235" s="125" t="s">
        <v>51</v>
      </c>
      <c r="M235" s="125" t="str">
        <f t="shared" si="1"/>
        <v/>
      </c>
      <c r="N235" s="125" t="str">
        <f t="shared" si="2"/>
        <v/>
      </c>
      <c r="O235" s="125"/>
      <c r="P235" s="125"/>
      <c r="Q235" s="125"/>
      <c r="R235" s="125"/>
      <c r="S235" s="628">
        <f t="shared" si="3"/>
        <v>0</v>
      </c>
      <c r="T235" s="627" t="s">
        <v>51</v>
      </c>
      <c r="U235" s="627" t="s">
        <v>51</v>
      </c>
      <c r="V235" s="627" t="s">
        <v>51</v>
      </c>
      <c r="W235" s="627" t="s">
        <v>51</v>
      </c>
      <c r="X235" s="627" t="s">
        <v>51</v>
      </c>
      <c r="Y235" s="89"/>
    </row>
    <row r="236" ht="22.5" customHeight="1">
      <c r="A236" s="125"/>
      <c r="B236" s="125"/>
      <c r="C236" s="125"/>
      <c r="D236" s="125"/>
      <c r="E236" s="125"/>
      <c r="F236" s="125"/>
      <c r="G236" s="125"/>
      <c r="H236" s="125"/>
      <c r="I236" s="627" t="s">
        <v>51</v>
      </c>
      <c r="J236" s="125" t="s">
        <v>51</v>
      </c>
      <c r="K236" s="125" t="s">
        <v>51</v>
      </c>
      <c r="L236" s="125" t="s">
        <v>51</v>
      </c>
      <c r="M236" s="125" t="str">
        <f t="shared" si="1"/>
        <v/>
      </c>
      <c r="N236" s="125" t="str">
        <f t="shared" si="2"/>
        <v/>
      </c>
      <c r="O236" s="125"/>
      <c r="P236" s="125"/>
      <c r="Q236" s="125"/>
      <c r="R236" s="125"/>
      <c r="S236" s="628">
        <f t="shared" si="3"/>
        <v>0</v>
      </c>
      <c r="T236" s="627" t="s">
        <v>51</v>
      </c>
      <c r="U236" s="627" t="s">
        <v>51</v>
      </c>
      <c r="V236" s="627" t="s">
        <v>51</v>
      </c>
      <c r="W236" s="627" t="s">
        <v>51</v>
      </c>
      <c r="X236" s="627" t="s">
        <v>51</v>
      </c>
      <c r="Y236" s="89"/>
    </row>
    <row r="237" ht="22.5" customHeight="1">
      <c r="A237" s="125"/>
      <c r="B237" s="125"/>
      <c r="C237" s="125"/>
      <c r="D237" s="125"/>
      <c r="E237" s="125"/>
      <c r="F237" s="125"/>
      <c r="G237" s="125"/>
      <c r="H237" s="125"/>
      <c r="I237" s="627" t="s">
        <v>51</v>
      </c>
      <c r="J237" s="125" t="s">
        <v>51</v>
      </c>
      <c r="K237" s="125" t="s">
        <v>51</v>
      </c>
      <c r="L237" s="125" t="s">
        <v>51</v>
      </c>
      <c r="M237" s="125" t="str">
        <f t="shared" si="1"/>
        <v/>
      </c>
      <c r="N237" s="125" t="str">
        <f t="shared" si="2"/>
        <v/>
      </c>
      <c r="O237" s="125"/>
      <c r="P237" s="125"/>
      <c r="Q237" s="125"/>
      <c r="R237" s="125"/>
      <c r="S237" s="628">
        <f t="shared" si="3"/>
        <v>0</v>
      </c>
      <c r="T237" s="627" t="s">
        <v>51</v>
      </c>
      <c r="U237" s="627" t="s">
        <v>51</v>
      </c>
      <c r="V237" s="627" t="s">
        <v>51</v>
      </c>
      <c r="W237" s="627" t="s">
        <v>51</v>
      </c>
      <c r="X237" s="627" t="s">
        <v>51</v>
      </c>
      <c r="Y237" s="89"/>
    </row>
    <row r="238" ht="22.5" customHeight="1">
      <c r="A238" s="125"/>
      <c r="B238" s="125"/>
      <c r="C238" s="125"/>
      <c r="D238" s="125"/>
      <c r="E238" s="125"/>
      <c r="F238" s="125"/>
      <c r="G238" s="125"/>
      <c r="H238" s="125"/>
      <c r="I238" s="627" t="s">
        <v>51</v>
      </c>
      <c r="J238" s="125" t="s">
        <v>51</v>
      </c>
      <c r="K238" s="125" t="s">
        <v>51</v>
      </c>
      <c r="L238" s="125" t="s">
        <v>51</v>
      </c>
      <c r="M238" s="125" t="str">
        <f t="shared" si="1"/>
        <v/>
      </c>
      <c r="N238" s="125" t="str">
        <f t="shared" si="2"/>
        <v/>
      </c>
      <c r="O238" s="125"/>
      <c r="P238" s="125"/>
      <c r="Q238" s="125"/>
      <c r="R238" s="125"/>
      <c r="S238" s="628">
        <f t="shared" si="3"/>
        <v>0</v>
      </c>
      <c r="T238" s="627" t="s">
        <v>51</v>
      </c>
      <c r="U238" s="627" t="s">
        <v>51</v>
      </c>
      <c r="V238" s="627" t="s">
        <v>51</v>
      </c>
      <c r="W238" s="627" t="s">
        <v>51</v>
      </c>
      <c r="X238" s="627" t="s">
        <v>51</v>
      </c>
      <c r="Y238" s="89"/>
    </row>
    <row r="239" ht="22.5" customHeight="1">
      <c r="A239" s="125"/>
      <c r="B239" s="125"/>
      <c r="C239" s="125"/>
      <c r="D239" s="125"/>
      <c r="E239" s="125"/>
      <c r="F239" s="125"/>
      <c r="G239" s="125"/>
      <c r="H239" s="125"/>
      <c r="I239" s="627" t="s">
        <v>51</v>
      </c>
      <c r="J239" s="125" t="s">
        <v>51</v>
      </c>
      <c r="K239" s="125" t="s">
        <v>51</v>
      </c>
      <c r="L239" s="125" t="s">
        <v>51</v>
      </c>
      <c r="M239" s="125" t="str">
        <f t="shared" si="1"/>
        <v/>
      </c>
      <c r="N239" s="125" t="str">
        <f t="shared" si="2"/>
        <v/>
      </c>
      <c r="O239" s="125"/>
      <c r="P239" s="125"/>
      <c r="Q239" s="125"/>
      <c r="R239" s="125"/>
      <c r="S239" s="628">
        <f t="shared" si="3"/>
        <v>0</v>
      </c>
      <c r="T239" s="627" t="s">
        <v>51</v>
      </c>
      <c r="U239" s="627" t="s">
        <v>51</v>
      </c>
      <c r="V239" s="627" t="s">
        <v>51</v>
      </c>
      <c r="W239" s="627" t="s">
        <v>51</v>
      </c>
      <c r="X239" s="627" t="s">
        <v>51</v>
      </c>
      <c r="Y239" s="89"/>
    </row>
    <row r="240" ht="22.5" customHeight="1">
      <c r="A240" s="125"/>
      <c r="B240" s="125"/>
      <c r="C240" s="125"/>
      <c r="D240" s="125"/>
      <c r="E240" s="125"/>
      <c r="F240" s="125"/>
      <c r="G240" s="125"/>
      <c r="H240" s="125"/>
      <c r="I240" s="627" t="s">
        <v>51</v>
      </c>
      <c r="J240" s="125" t="s">
        <v>51</v>
      </c>
      <c r="K240" s="125" t="s">
        <v>51</v>
      </c>
      <c r="L240" s="125" t="s">
        <v>51</v>
      </c>
      <c r="M240" s="125" t="str">
        <f t="shared" si="1"/>
        <v/>
      </c>
      <c r="N240" s="125" t="str">
        <f t="shared" si="2"/>
        <v/>
      </c>
      <c r="O240" s="125"/>
      <c r="P240" s="125"/>
      <c r="Q240" s="125"/>
      <c r="R240" s="125"/>
      <c r="S240" s="628">
        <f t="shared" si="3"/>
        <v>0</v>
      </c>
      <c r="T240" s="627" t="s">
        <v>51</v>
      </c>
      <c r="U240" s="627" t="s">
        <v>51</v>
      </c>
      <c r="V240" s="627" t="s">
        <v>51</v>
      </c>
      <c r="W240" s="627" t="s">
        <v>51</v>
      </c>
      <c r="X240" s="627" t="s">
        <v>51</v>
      </c>
      <c r="Y240" s="89"/>
    </row>
    <row r="241" ht="22.5" customHeight="1">
      <c r="A241" s="125"/>
      <c r="B241" s="125"/>
      <c r="C241" s="125"/>
      <c r="D241" s="125"/>
      <c r="E241" s="125"/>
      <c r="F241" s="125"/>
      <c r="G241" s="125"/>
      <c r="H241" s="125"/>
      <c r="I241" s="627" t="s">
        <v>51</v>
      </c>
      <c r="J241" s="125" t="s">
        <v>51</v>
      </c>
      <c r="K241" s="125" t="s">
        <v>51</v>
      </c>
      <c r="L241" s="125" t="s">
        <v>51</v>
      </c>
      <c r="M241" s="125" t="str">
        <f t="shared" si="1"/>
        <v/>
      </c>
      <c r="N241" s="125" t="str">
        <f t="shared" si="2"/>
        <v/>
      </c>
      <c r="O241" s="125"/>
      <c r="P241" s="125"/>
      <c r="Q241" s="125"/>
      <c r="R241" s="125"/>
      <c r="S241" s="628">
        <f t="shared" si="3"/>
        <v>0</v>
      </c>
      <c r="T241" s="627" t="s">
        <v>51</v>
      </c>
      <c r="U241" s="627" t="s">
        <v>51</v>
      </c>
      <c r="V241" s="627" t="s">
        <v>51</v>
      </c>
      <c r="W241" s="627" t="s">
        <v>51</v>
      </c>
      <c r="X241" s="627" t="s">
        <v>51</v>
      </c>
      <c r="Y241" s="89"/>
    </row>
    <row r="242" ht="22.5" customHeight="1">
      <c r="A242" s="125"/>
      <c r="B242" s="125"/>
      <c r="C242" s="125"/>
      <c r="D242" s="125"/>
      <c r="E242" s="125"/>
      <c r="F242" s="125"/>
      <c r="G242" s="125"/>
      <c r="H242" s="125"/>
      <c r="I242" s="627" t="s">
        <v>51</v>
      </c>
      <c r="J242" s="125" t="s">
        <v>51</v>
      </c>
      <c r="K242" s="125" t="s">
        <v>51</v>
      </c>
      <c r="L242" s="125" t="s">
        <v>51</v>
      </c>
      <c r="M242" s="125" t="str">
        <f t="shared" si="1"/>
        <v/>
      </c>
      <c r="N242" s="125" t="str">
        <f t="shared" si="2"/>
        <v/>
      </c>
      <c r="O242" s="125"/>
      <c r="P242" s="125"/>
      <c r="Q242" s="125"/>
      <c r="R242" s="125"/>
      <c r="S242" s="628">
        <f t="shared" si="3"/>
        <v>0</v>
      </c>
      <c r="T242" s="627" t="s">
        <v>51</v>
      </c>
      <c r="U242" s="627" t="s">
        <v>51</v>
      </c>
      <c r="V242" s="627" t="s">
        <v>51</v>
      </c>
      <c r="W242" s="627" t="s">
        <v>51</v>
      </c>
      <c r="X242" s="627" t="s">
        <v>51</v>
      </c>
      <c r="Y242" s="89"/>
    </row>
    <row r="243" ht="22.5" customHeight="1">
      <c r="A243" s="125"/>
      <c r="B243" s="125"/>
      <c r="C243" s="125"/>
      <c r="D243" s="125"/>
      <c r="E243" s="125"/>
      <c r="F243" s="125"/>
      <c r="G243" s="125"/>
      <c r="H243" s="125"/>
      <c r="I243" s="627" t="s">
        <v>51</v>
      </c>
      <c r="J243" s="125" t="s">
        <v>51</v>
      </c>
      <c r="K243" s="125" t="s">
        <v>51</v>
      </c>
      <c r="L243" s="125" t="s">
        <v>51</v>
      </c>
      <c r="M243" s="125" t="str">
        <f t="shared" si="1"/>
        <v/>
      </c>
      <c r="N243" s="125" t="str">
        <f t="shared" si="2"/>
        <v/>
      </c>
      <c r="O243" s="125"/>
      <c r="P243" s="125"/>
      <c r="Q243" s="125"/>
      <c r="R243" s="125"/>
      <c r="S243" s="628">
        <f t="shared" si="3"/>
        <v>0</v>
      </c>
      <c r="T243" s="627" t="s">
        <v>51</v>
      </c>
      <c r="U243" s="627" t="s">
        <v>51</v>
      </c>
      <c r="V243" s="627" t="s">
        <v>51</v>
      </c>
      <c r="W243" s="627" t="s">
        <v>51</v>
      </c>
      <c r="X243" s="627" t="s">
        <v>51</v>
      </c>
      <c r="Y243" s="89"/>
    </row>
    <row r="244" ht="22.5" customHeight="1">
      <c r="A244" s="125"/>
      <c r="B244" s="125"/>
      <c r="C244" s="125"/>
      <c r="D244" s="125"/>
      <c r="E244" s="125"/>
      <c r="F244" s="125"/>
      <c r="G244" s="125"/>
      <c r="H244" s="125"/>
      <c r="I244" s="627" t="s">
        <v>51</v>
      </c>
      <c r="J244" s="125" t="s">
        <v>51</v>
      </c>
      <c r="K244" s="125" t="s">
        <v>51</v>
      </c>
      <c r="L244" s="125" t="s">
        <v>51</v>
      </c>
      <c r="M244" s="125" t="str">
        <f t="shared" si="1"/>
        <v/>
      </c>
      <c r="N244" s="125" t="str">
        <f t="shared" si="2"/>
        <v/>
      </c>
      <c r="O244" s="125"/>
      <c r="P244" s="125"/>
      <c r="Q244" s="125"/>
      <c r="R244" s="125"/>
      <c r="S244" s="628">
        <f t="shared" si="3"/>
        <v>0</v>
      </c>
      <c r="T244" s="627" t="s">
        <v>51</v>
      </c>
      <c r="U244" s="627" t="s">
        <v>51</v>
      </c>
      <c r="V244" s="627" t="s">
        <v>51</v>
      </c>
      <c r="W244" s="627" t="s">
        <v>51</v>
      </c>
      <c r="X244" s="627" t="s">
        <v>51</v>
      </c>
      <c r="Y244" s="89"/>
    </row>
    <row r="245" ht="22.5" customHeight="1">
      <c r="A245" s="125"/>
      <c r="B245" s="125"/>
      <c r="C245" s="125"/>
      <c r="D245" s="125"/>
      <c r="E245" s="125"/>
      <c r="F245" s="125"/>
      <c r="G245" s="125"/>
      <c r="H245" s="125"/>
      <c r="I245" s="627" t="s">
        <v>51</v>
      </c>
      <c r="J245" s="125" t="s">
        <v>51</v>
      </c>
      <c r="K245" s="125" t="s">
        <v>51</v>
      </c>
      <c r="L245" s="125" t="s">
        <v>51</v>
      </c>
      <c r="M245" s="125" t="str">
        <f t="shared" si="1"/>
        <v/>
      </c>
      <c r="N245" s="125" t="str">
        <f t="shared" si="2"/>
        <v/>
      </c>
      <c r="O245" s="125"/>
      <c r="P245" s="125"/>
      <c r="Q245" s="125"/>
      <c r="R245" s="125"/>
      <c r="S245" s="628">
        <f t="shared" si="3"/>
        <v>0</v>
      </c>
      <c r="T245" s="627" t="s">
        <v>51</v>
      </c>
      <c r="U245" s="627" t="s">
        <v>51</v>
      </c>
      <c r="V245" s="627" t="s">
        <v>51</v>
      </c>
      <c r="W245" s="627" t="s">
        <v>51</v>
      </c>
      <c r="X245" s="627" t="s">
        <v>51</v>
      </c>
      <c r="Y245" s="89"/>
    </row>
    <row r="246" ht="22.5" customHeight="1">
      <c r="A246" s="125"/>
      <c r="B246" s="125"/>
      <c r="C246" s="125"/>
      <c r="D246" s="125"/>
      <c r="E246" s="125"/>
      <c r="F246" s="125"/>
      <c r="G246" s="125"/>
      <c r="H246" s="125"/>
      <c r="I246" s="627" t="s">
        <v>51</v>
      </c>
      <c r="J246" s="125" t="s">
        <v>51</v>
      </c>
      <c r="K246" s="125" t="s">
        <v>51</v>
      </c>
      <c r="L246" s="125" t="s">
        <v>51</v>
      </c>
      <c r="M246" s="125" t="str">
        <f t="shared" si="1"/>
        <v/>
      </c>
      <c r="N246" s="125" t="str">
        <f t="shared" si="2"/>
        <v/>
      </c>
      <c r="O246" s="125"/>
      <c r="P246" s="125"/>
      <c r="Q246" s="125"/>
      <c r="R246" s="125"/>
      <c r="S246" s="628">
        <f t="shared" si="3"/>
        <v>0</v>
      </c>
      <c r="T246" s="627" t="s">
        <v>51</v>
      </c>
      <c r="U246" s="627" t="s">
        <v>51</v>
      </c>
      <c r="V246" s="627" t="s">
        <v>51</v>
      </c>
      <c r="W246" s="627" t="s">
        <v>51</v>
      </c>
      <c r="X246" s="627" t="s">
        <v>51</v>
      </c>
      <c r="Y246" s="89"/>
    </row>
    <row r="247" ht="22.5" customHeight="1">
      <c r="A247" s="125"/>
      <c r="B247" s="125"/>
      <c r="C247" s="125"/>
      <c r="D247" s="125"/>
      <c r="E247" s="125"/>
      <c r="F247" s="125"/>
      <c r="G247" s="125"/>
      <c r="H247" s="125"/>
      <c r="I247" s="627" t="s">
        <v>51</v>
      </c>
      <c r="J247" s="125" t="s">
        <v>51</v>
      </c>
      <c r="K247" s="125" t="s">
        <v>51</v>
      </c>
      <c r="L247" s="125" t="s">
        <v>51</v>
      </c>
      <c r="M247" s="125" t="str">
        <f t="shared" si="1"/>
        <v/>
      </c>
      <c r="N247" s="125" t="str">
        <f t="shared" si="2"/>
        <v/>
      </c>
      <c r="O247" s="125"/>
      <c r="P247" s="125"/>
      <c r="Q247" s="125"/>
      <c r="R247" s="125"/>
      <c r="S247" s="628">
        <f t="shared" si="3"/>
        <v>0</v>
      </c>
      <c r="T247" s="627" t="s">
        <v>51</v>
      </c>
      <c r="U247" s="627" t="s">
        <v>51</v>
      </c>
      <c r="V247" s="627" t="s">
        <v>51</v>
      </c>
      <c r="W247" s="627" t="s">
        <v>51</v>
      </c>
      <c r="X247" s="627" t="s">
        <v>51</v>
      </c>
      <c r="Y247" s="89"/>
    </row>
    <row r="248" ht="22.5" customHeight="1">
      <c r="A248" s="125"/>
      <c r="B248" s="125"/>
      <c r="C248" s="125"/>
      <c r="D248" s="125"/>
      <c r="E248" s="125"/>
      <c r="F248" s="125"/>
      <c r="G248" s="125"/>
      <c r="H248" s="125"/>
      <c r="I248" s="627" t="s">
        <v>51</v>
      </c>
      <c r="J248" s="125" t="s">
        <v>51</v>
      </c>
      <c r="K248" s="125" t="s">
        <v>51</v>
      </c>
      <c r="L248" s="125" t="s">
        <v>51</v>
      </c>
      <c r="M248" s="125" t="str">
        <f t="shared" si="1"/>
        <v/>
      </c>
      <c r="N248" s="125" t="str">
        <f t="shared" si="2"/>
        <v/>
      </c>
      <c r="O248" s="125"/>
      <c r="P248" s="125"/>
      <c r="Q248" s="125"/>
      <c r="R248" s="125"/>
      <c r="S248" s="628">
        <f t="shared" si="3"/>
        <v>0</v>
      </c>
      <c r="T248" s="627" t="s">
        <v>51</v>
      </c>
      <c r="U248" s="627" t="s">
        <v>51</v>
      </c>
      <c r="V248" s="627" t="s">
        <v>51</v>
      </c>
      <c r="W248" s="627" t="s">
        <v>51</v>
      </c>
      <c r="X248" s="627" t="s">
        <v>51</v>
      </c>
      <c r="Y248" s="89"/>
    </row>
    <row r="249" ht="22.5" customHeight="1">
      <c r="A249" s="125"/>
      <c r="B249" s="125"/>
      <c r="C249" s="125"/>
      <c r="D249" s="125"/>
      <c r="E249" s="125"/>
      <c r="F249" s="125"/>
      <c r="G249" s="125"/>
      <c r="H249" s="125"/>
      <c r="I249" s="627" t="s">
        <v>51</v>
      </c>
      <c r="J249" s="125" t="s">
        <v>51</v>
      </c>
      <c r="K249" s="125" t="s">
        <v>51</v>
      </c>
      <c r="L249" s="125" t="s">
        <v>51</v>
      </c>
      <c r="M249" s="125" t="str">
        <f t="shared" si="1"/>
        <v/>
      </c>
      <c r="N249" s="125" t="str">
        <f t="shared" si="2"/>
        <v/>
      </c>
      <c r="O249" s="125"/>
      <c r="P249" s="125"/>
      <c r="Q249" s="125"/>
      <c r="R249" s="125"/>
      <c r="S249" s="628">
        <f t="shared" si="3"/>
        <v>0</v>
      </c>
      <c r="T249" s="627" t="s">
        <v>51</v>
      </c>
      <c r="U249" s="627" t="s">
        <v>51</v>
      </c>
      <c r="V249" s="627" t="s">
        <v>51</v>
      </c>
      <c r="W249" s="627" t="s">
        <v>51</v>
      </c>
      <c r="X249" s="627" t="s">
        <v>51</v>
      </c>
      <c r="Y249" s="89"/>
    </row>
    <row r="250" ht="22.5" customHeight="1">
      <c r="A250" s="125"/>
      <c r="B250" s="125"/>
      <c r="C250" s="125"/>
      <c r="D250" s="125"/>
      <c r="E250" s="125"/>
      <c r="F250" s="125"/>
      <c r="G250" s="125"/>
      <c r="H250" s="125"/>
      <c r="I250" s="627" t="s">
        <v>51</v>
      </c>
      <c r="J250" s="125" t="s">
        <v>51</v>
      </c>
      <c r="K250" s="125" t="s">
        <v>51</v>
      </c>
      <c r="L250" s="125" t="s">
        <v>51</v>
      </c>
      <c r="M250" s="125" t="str">
        <f t="shared" si="1"/>
        <v/>
      </c>
      <c r="N250" s="125" t="str">
        <f t="shared" si="2"/>
        <v/>
      </c>
      <c r="O250" s="125"/>
      <c r="P250" s="125"/>
      <c r="Q250" s="125"/>
      <c r="R250" s="125"/>
      <c r="S250" s="628">
        <f t="shared" si="3"/>
        <v>0</v>
      </c>
      <c r="T250" s="627" t="s">
        <v>51</v>
      </c>
      <c r="U250" s="627" t="s">
        <v>51</v>
      </c>
      <c r="V250" s="627" t="s">
        <v>51</v>
      </c>
      <c r="W250" s="627" t="s">
        <v>51</v>
      </c>
      <c r="X250" s="627" t="s">
        <v>51</v>
      </c>
      <c r="Y250" s="89"/>
    </row>
    <row r="251" ht="22.5" customHeight="1">
      <c r="A251" s="125"/>
      <c r="B251" s="125"/>
      <c r="C251" s="125"/>
      <c r="D251" s="125"/>
      <c r="E251" s="125"/>
      <c r="F251" s="125"/>
      <c r="G251" s="125"/>
      <c r="H251" s="125"/>
      <c r="I251" s="627" t="s">
        <v>51</v>
      </c>
      <c r="J251" s="125" t="s">
        <v>51</v>
      </c>
      <c r="K251" s="125" t="s">
        <v>51</v>
      </c>
      <c r="L251" s="125" t="s">
        <v>51</v>
      </c>
      <c r="M251" s="125" t="str">
        <f t="shared" si="1"/>
        <v/>
      </c>
      <c r="N251" s="125" t="str">
        <f t="shared" si="2"/>
        <v/>
      </c>
      <c r="O251" s="125"/>
      <c r="P251" s="125"/>
      <c r="Q251" s="125"/>
      <c r="R251" s="125"/>
      <c r="S251" s="628">
        <f t="shared" si="3"/>
        <v>0</v>
      </c>
      <c r="T251" s="627" t="s">
        <v>51</v>
      </c>
      <c r="U251" s="627" t="s">
        <v>51</v>
      </c>
      <c r="V251" s="627" t="s">
        <v>51</v>
      </c>
      <c r="W251" s="627" t="s">
        <v>51</v>
      </c>
      <c r="X251" s="627" t="s">
        <v>51</v>
      </c>
      <c r="Y251" s="89"/>
    </row>
    <row r="252" ht="22.5" customHeight="1">
      <c r="A252" s="125"/>
      <c r="B252" s="125"/>
      <c r="C252" s="125"/>
      <c r="D252" s="125"/>
      <c r="E252" s="125"/>
      <c r="F252" s="125"/>
      <c r="G252" s="125"/>
      <c r="H252" s="125"/>
      <c r="I252" s="627" t="s">
        <v>51</v>
      </c>
      <c r="J252" s="125" t="s">
        <v>51</v>
      </c>
      <c r="K252" s="125" t="s">
        <v>51</v>
      </c>
      <c r="L252" s="125" t="s">
        <v>51</v>
      </c>
      <c r="M252" s="125" t="str">
        <f t="shared" si="1"/>
        <v/>
      </c>
      <c r="N252" s="125" t="str">
        <f t="shared" si="2"/>
        <v/>
      </c>
      <c r="O252" s="125"/>
      <c r="P252" s="125"/>
      <c r="Q252" s="125"/>
      <c r="R252" s="125"/>
      <c r="S252" s="628">
        <f t="shared" si="3"/>
        <v>0</v>
      </c>
      <c r="T252" s="627" t="s">
        <v>51</v>
      </c>
      <c r="U252" s="627" t="s">
        <v>51</v>
      </c>
      <c r="V252" s="627" t="s">
        <v>51</v>
      </c>
      <c r="W252" s="627" t="s">
        <v>51</v>
      </c>
      <c r="X252" s="627" t="s">
        <v>51</v>
      </c>
      <c r="Y252" s="89"/>
    </row>
    <row r="253" ht="22.5" customHeight="1">
      <c r="A253" s="125"/>
      <c r="B253" s="125"/>
      <c r="C253" s="125"/>
      <c r="D253" s="125"/>
      <c r="E253" s="125"/>
      <c r="F253" s="125"/>
      <c r="G253" s="125"/>
      <c r="H253" s="125"/>
      <c r="I253" s="627" t="s">
        <v>51</v>
      </c>
      <c r="J253" s="125" t="s">
        <v>51</v>
      </c>
      <c r="K253" s="125" t="s">
        <v>51</v>
      </c>
      <c r="L253" s="125" t="s">
        <v>51</v>
      </c>
      <c r="M253" s="125" t="str">
        <f t="shared" si="1"/>
        <v/>
      </c>
      <c r="N253" s="125" t="str">
        <f t="shared" si="2"/>
        <v/>
      </c>
      <c r="O253" s="125"/>
      <c r="P253" s="125"/>
      <c r="Q253" s="125"/>
      <c r="R253" s="125"/>
      <c r="S253" s="628">
        <f t="shared" si="3"/>
        <v>0</v>
      </c>
      <c r="T253" s="627" t="s">
        <v>51</v>
      </c>
      <c r="U253" s="627" t="s">
        <v>51</v>
      </c>
      <c r="V253" s="627" t="s">
        <v>51</v>
      </c>
      <c r="W253" s="627" t="s">
        <v>51</v>
      </c>
      <c r="X253" s="627" t="s">
        <v>51</v>
      </c>
      <c r="Y253" s="89"/>
    </row>
    <row r="254" ht="22.5" customHeight="1">
      <c r="A254" s="125"/>
      <c r="B254" s="125"/>
      <c r="C254" s="125"/>
      <c r="D254" s="125"/>
      <c r="E254" s="125"/>
      <c r="F254" s="125"/>
      <c r="G254" s="125"/>
      <c r="H254" s="125"/>
      <c r="I254" s="627" t="s">
        <v>51</v>
      </c>
      <c r="J254" s="125" t="s">
        <v>51</v>
      </c>
      <c r="K254" s="125" t="s">
        <v>51</v>
      </c>
      <c r="L254" s="125" t="s">
        <v>51</v>
      </c>
      <c r="M254" s="125" t="str">
        <f t="shared" si="1"/>
        <v/>
      </c>
      <c r="N254" s="125" t="str">
        <f t="shared" si="2"/>
        <v/>
      </c>
      <c r="O254" s="125"/>
      <c r="P254" s="125"/>
      <c r="Q254" s="125"/>
      <c r="R254" s="125"/>
      <c r="S254" s="628">
        <f t="shared" si="3"/>
        <v>0</v>
      </c>
      <c r="T254" s="627" t="s">
        <v>51</v>
      </c>
      <c r="U254" s="627" t="s">
        <v>51</v>
      </c>
      <c r="V254" s="627" t="s">
        <v>51</v>
      </c>
      <c r="W254" s="627" t="s">
        <v>51</v>
      </c>
      <c r="X254" s="627" t="s">
        <v>51</v>
      </c>
      <c r="Y254" s="89"/>
    </row>
    <row r="255" ht="22.5" customHeight="1">
      <c r="A255" s="125"/>
      <c r="B255" s="125"/>
      <c r="C255" s="125"/>
      <c r="D255" s="125"/>
      <c r="E255" s="125"/>
      <c r="F255" s="125"/>
      <c r="G255" s="125"/>
      <c r="H255" s="125"/>
      <c r="I255" s="627" t="s">
        <v>51</v>
      </c>
      <c r="J255" s="125" t="s">
        <v>51</v>
      </c>
      <c r="K255" s="125" t="s">
        <v>51</v>
      </c>
      <c r="L255" s="125" t="s">
        <v>51</v>
      </c>
      <c r="M255" s="125" t="str">
        <f t="shared" si="1"/>
        <v/>
      </c>
      <c r="N255" s="125" t="str">
        <f t="shared" si="2"/>
        <v/>
      </c>
      <c r="O255" s="125"/>
      <c r="P255" s="125"/>
      <c r="Q255" s="125"/>
      <c r="R255" s="125"/>
      <c r="S255" s="628">
        <f t="shared" si="3"/>
        <v>0</v>
      </c>
      <c r="T255" s="627" t="s">
        <v>51</v>
      </c>
      <c r="U255" s="627" t="s">
        <v>51</v>
      </c>
      <c r="V255" s="627" t="s">
        <v>51</v>
      </c>
      <c r="W255" s="627" t="s">
        <v>51</v>
      </c>
      <c r="X255" s="627" t="s">
        <v>51</v>
      </c>
      <c r="Y255" s="89"/>
    </row>
    <row r="256" ht="22.5" customHeight="1">
      <c r="A256" s="125"/>
      <c r="B256" s="125"/>
      <c r="C256" s="125"/>
      <c r="D256" s="125"/>
      <c r="E256" s="125"/>
      <c r="F256" s="125"/>
      <c r="G256" s="125"/>
      <c r="H256" s="125"/>
      <c r="I256" s="627" t="s">
        <v>51</v>
      </c>
      <c r="J256" s="125" t="s">
        <v>51</v>
      </c>
      <c r="K256" s="125" t="s">
        <v>51</v>
      </c>
      <c r="L256" s="125" t="s">
        <v>51</v>
      </c>
      <c r="M256" s="125" t="str">
        <f t="shared" si="1"/>
        <v/>
      </c>
      <c r="N256" s="125" t="str">
        <f t="shared" si="2"/>
        <v/>
      </c>
      <c r="O256" s="125"/>
      <c r="P256" s="125"/>
      <c r="Q256" s="125"/>
      <c r="R256" s="125"/>
      <c r="S256" s="628">
        <f t="shared" si="3"/>
        <v>0</v>
      </c>
      <c r="T256" s="627" t="s">
        <v>51</v>
      </c>
      <c r="U256" s="627" t="s">
        <v>51</v>
      </c>
      <c r="V256" s="627" t="s">
        <v>51</v>
      </c>
      <c r="W256" s="627" t="s">
        <v>51</v>
      </c>
      <c r="X256" s="627" t="s">
        <v>51</v>
      </c>
      <c r="Y256" s="89"/>
    </row>
    <row r="257" ht="22.5" customHeight="1">
      <c r="A257" s="125"/>
      <c r="B257" s="125"/>
      <c r="C257" s="125"/>
      <c r="D257" s="125"/>
      <c r="E257" s="125"/>
      <c r="F257" s="125"/>
      <c r="G257" s="125"/>
      <c r="H257" s="125"/>
      <c r="I257" s="627" t="s">
        <v>51</v>
      </c>
      <c r="J257" s="125" t="s">
        <v>51</v>
      </c>
      <c r="K257" s="125" t="s">
        <v>51</v>
      </c>
      <c r="L257" s="125" t="s">
        <v>51</v>
      </c>
      <c r="M257" s="125" t="str">
        <f t="shared" si="1"/>
        <v/>
      </c>
      <c r="N257" s="125" t="str">
        <f t="shared" si="2"/>
        <v/>
      </c>
      <c r="O257" s="125"/>
      <c r="P257" s="125"/>
      <c r="Q257" s="125"/>
      <c r="R257" s="125"/>
      <c r="S257" s="628">
        <f t="shared" si="3"/>
        <v>0</v>
      </c>
      <c r="T257" s="627" t="s">
        <v>51</v>
      </c>
      <c r="U257" s="627" t="s">
        <v>51</v>
      </c>
      <c r="V257" s="627" t="s">
        <v>51</v>
      </c>
      <c r="W257" s="627" t="s">
        <v>51</v>
      </c>
      <c r="X257" s="627" t="s">
        <v>51</v>
      </c>
      <c r="Y257" s="89"/>
    </row>
    <row r="258" ht="22.5" customHeight="1">
      <c r="A258" s="125"/>
      <c r="B258" s="125"/>
      <c r="C258" s="125"/>
      <c r="D258" s="125"/>
      <c r="E258" s="125"/>
      <c r="F258" s="125"/>
      <c r="G258" s="125"/>
      <c r="H258" s="125"/>
      <c r="I258" s="627" t="s">
        <v>51</v>
      </c>
      <c r="J258" s="125" t="s">
        <v>51</v>
      </c>
      <c r="K258" s="125" t="s">
        <v>51</v>
      </c>
      <c r="L258" s="125" t="s">
        <v>51</v>
      </c>
      <c r="M258" s="125" t="str">
        <f t="shared" si="1"/>
        <v/>
      </c>
      <c r="N258" s="125" t="str">
        <f t="shared" si="2"/>
        <v/>
      </c>
      <c r="O258" s="125"/>
      <c r="P258" s="125"/>
      <c r="Q258" s="125"/>
      <c r="R258" s="125"/>
      <c r="S258" s="628">
        <f t="shared" si="3"/>
        <v>0</v>
      </c>
      <c r="T258" s="627" t="s">
        <v>51</v>
      </c>
      <c r="U258" s="627" t="s">
        <v>51</v>
      </c>
      <c r="V258" s="627" t="s">
        <v>51</v>
      </c>
      <c r="W258" s="627" t="s">
        <v>51</v>
      </c>
      <c r="X258" s="627" t="s">
        <v>51</v>
      </c>
      <c r="Y258" s="89"/>
    </row>
    <row r="259" ht="22.5" customHeight="1">
      <c r="A259" s="125"/>
      <c r="B259" s="125"/>
      <c r="C259" s="125"/>
      <c r="D259" s="125"/>
      <c r="E259" s="125"/>
      <c r="F259" s="125"/>
      <c r="G259" s="125"/>
      <c r="H259" s="125"/>
      <c r="I259" s="627" t="s">
        <v>51</v>
      </c>
      <c r="J259" s="125" t="s">
        <v>51</v>
      </c>
      <c r="K259" s="125" t="s">
        <v>51</v>
      </c>
      <c r="L259" s="125" t="s">
        <v>51</v>
      </c>
      <c r="M259" s="125" t="str">
        <f t="shared" si="1"/>
        <v/>
      </c>
      <c r="N259" s="125" t="str">
        <f t="shared" si="2"/>
        <v/>
      </c>
      <c r="O259" s="125"/>
      <c r="P259" s="125"/>
      <c r="Q259" s="125"/>
      <c r="R259" s="125"/>
      <c r="S259" s="628">
        <f t="shared" si="3"/>
        <v>0</v>
      </c>
      <c r="T259" s="627" t="s">
        <v>51</v>
      </c>
      <c r="U259" s="627" t="s">
        <v>51</v>
      </c>
      <c r="V259" s="627" t="s">
        <v>51</v>
      </c>
      <c r="W259" s="627" t="s">
        <v>51</v>
      </c>
      <c r="X259" s="627" t="s">
        <v>51</v>
      </c>
      <c r="Y259" s="89"/>
    </row>
    <row r="260" ht="22.5" customHeight="1">
      <c r="A260" s="125"/>
      <c r="B260" s="125"/>
      <c r="C260" s="125"/>
      <c r="D260" s="125"/>
      <c r="E260" s="125"/>
      <c r="F260" s="125"/>
      <c r="G260" s="125"/>
      <c r="H260" s="125"/>
      <c r="I260" s="627" t="s">
        <v>51</v>
      </c>
      <c r="J260" s="125" t="s">
        <v>51</v>
      </c>
      <c r="K260" s="125" t="s">
        <v>51</v>
      </c>
      <c r="L260" s="125" t="s">
        <v>51</v>
      </c>
      <c r="M260" s="125" t="str">
        <f t="shared" si="1"/>
        <v/>
      </c>
      <c r="N260" s="125" t="str">
        <f t="shared" si="2"/>
        <v/>
      </c>
      <c r="O260" s="125"/>
      <c r="P260" s="125"/>
      <c r="Q260" s="125"/>
      <c r="R260" s="125"/>
      <c r="S260" s="628">
        <f t="shared" si="3"/>
        <v>0</v>
      </c>
      <c r="T260" s="627" t="s">
        <v>51</v>
      </c>
      <c r="U260" s="627" t="s">
        <v>51</v>
      </c>
      <c r="V260" s="627" t="s">
        <v>51</v>
      </c>
      <c r="W260" s="627" t="s">
        <v>51</v>
      </c>
      <c r="X260" s="627" t="s">
        <v>51</v>
      </c>
      <c r="Y260" s="89"/>
    </row>
    <row r="261" ht="22.5" customHeight="1">
      <c r="A261" s="125"/>
      <c r="B261" s="125"/>
      <c r="C261" s="125"/>
      <c r="D261" s="125"/>
      <c r="E261" s="125"/>
      <c r="F261" s="125"/>
      <c r="G261" s="125"/>
      <c r="H261" s="125"/>
      <c r="I261" s="627" t="s">
        <v>51</v>
      </c>
      <c r="J261" s="125" t="s">
        <v>51</v>
      </c>
      <c r="K261" s="125" t="s">
        <v>51</v>
      </c>
      <c r="L261" s="125" t="s">
        <v>51</v>
      </c>
      <c r="M261" s="125" t="str">
        <f t="shared" si="1"/>
        <v/>
      </c>
      <c r="N261" s="125" t="str">
        <f t="shared" si="2"/>
        <v/>
      </c>
      <c r="O261" s="125"/>
      <c r="P261" s="125"/>
      <c r="Q261" s="125"/>
      <c r="R261" s="125"/>
      <c r="S261" s="628">
        <f t="shared" si="3"/>
        <v>0</v>
      </c>
      <c r="T261" s="627" t="s">
        <v>51</v>
      </c>
      <c r="U261" s="627" t="s">
        <v>51</v>
      </c>
      <c r="V261" s="627" t="s">
        <v>51</v>
      </c>
      <c r="W261" s="627" t="s">
        <v>51</v>
      </c>
      <c r="X261" s="627" t="s">
        <v>51</v>
      </c>
      <c r="Y261" s="89"/>
    </row>
    <row r="262" ht="22.5" customHeight="1">
      <c r="A262" s="125"/>
      <c r="B262" s="125"/>
      <c r="C262" s="125"/>
      <c r="D262" s="125"/>
      <c r="E262" s="125"/>
      <c r="F262" s="125"/>
      <c r="G262" s="125"/>
      <c r="H262" s="125"/>
      <c r="I262" s="627" t="s">
        <v>51</v>
      </c>
      <c r="J262" s="125" t="s">
        <v>51</v>
      </c>
      <c r="K262" s="125" t="s">
        <v>51</v>
      </c>
      <c r="L262" s="125" t="s">
        <v>51</v>
      </c>
      <c r="M262" s="125" t="str">
        <f t="shared" si="1"/>
        <v/>
      </c>
      <c r="N262" s="125" t="str">
        <f t="shared" si="2"/>
        <v/>
      </c>
      <c r="O262" s="125"/>
      <c r="P262" s="125"/>
      <c r="Q262" s="125"/>
      <c r="R262" s="125"/>
      <c r="S262" s="628">
        <f t="shared" si="3"/>
        <v>0</v>
      </c>
      <c r="T262" s="627" t="s">
        <v>51</v>
      </c>
      <c r="U262" s="627" t="s">
        <v>51</v>
      </c>
      <c r="V262" s="627" t="s">
        <v>51</v>
      </c>
      <c r="W262" s="627" t="s">
        <v>51</v>
      </c>
      <c r="X262" s="627" t="s">
        <v>51</v>
      </c>
      <c r="Y262" s="89"/>
    </row>
    <row r="263" ht="22.5" customHeight="1">
      <c r="A263" s="125"/>
      <c r="B263" s="125"/>
      <c r="C263" s="125"/>
      <c r="D263" s="125"/>
      <c r="E263" s="125"/>
      <c r="F263" s="125"/>
      <c r="G263" s="125"/>
      <c r="H263" s="125"/>
      <c r="I263" s="627" t="s">
        <v>51</v>
      </c>
      <c r="J263" s="125" t="s">
        <v>51</v>
      </c>
      <c r="K263" s="125" t="s">
        <v>51</v>
      </c>
      <c r="L263" s="125" t="s">
        <v>51</v>
      </c>
      <c r="M263" s="125" t="str">
        <f t="shared" si="1"/>
        <v/>
      </c>
      <c r="N263" s="125" t="str">
        <f t="shared" si="2"/>
        <v/>
      </c>
      <c r="O263" s="125"/>
      <c r="P263" s="125"/>
      <c r="Q263" s="125"/>
      <c r="R263" s="125"/>
      <c r="S263" s="628">
        <f t="shared" si="3"/>
        <v>0</v>
      </c>
      <c r="T263" s="627" t="s">
        <v>51</v>
      </c>
      <c r="U263" s="627" t="s">
        <v>51</v>
      </c>
      <c r="V263" s="627" t="s">
        <v>51</v>
      </c>
      <c r="W263" s="627" t="s">
        <v>51</v>
      </c>
      <c r="X263" s="627" t="s">
        <v>51</v>
      </c>
      <c r="Y263" s="89"/>
    </row>
    <row r="264" ht="22.5" customHeight="1">
      <c r="A264" s="125"/>
      <c r="B264" s="125"/>
      <c r="C264" s="125"/>
      <c r="D264" s="125"/>
      <c r="E264" s="125"/>
      <c r="F264" s="125"/>
      <c r="G264" s="125"/>
      <c r="H264" s="125"/>
      <c r="I264" s="627" t="s">
        <v>51</v>
      </c>
      <c r="J264" s="125" t="s">
        <v>51</v>
      </c>
      <c r="K264" s="125" t="s">
        <v>51</v>
      </c>
      <c r="L264" s="125" t="s">
        <v>51</v>
      </c>
      <c r="M264" s="125" t="str">
        <f t="shared" si="1"/>
        <v/>
      </c>
      <c r="N264" s="125" t="str">
        <f t="shared" si="2"/>
        <v/>
      </c>
      <c r="O264" s="125"/>
      <c r="P264" s="125"/>
      <c r="Q264" s="125"/>
      <c r="R264" s="125"/>
      <c r="S264" s="628">
        <f t="shared" si="3"/>
        <v>0</v>
      </c>
      <c r="T264" s="627" t="s">
        <v>51</v>
      </c>
      <c r="U264" s="627" t="s">
        <v>51</v>
      </c>
      <c r="V264" s="627" t="s">
        <v>51</v>
      </c>
      <c r="W264" s="627" t="s">
        <v>51</v>
      </c>
      <c r="X264" s="627" t="s">
        <v>51</v>
      </c>
      <c r="Y264" s="89"/>
    </row>
    <row r="265" ht="22.5" customHeight="1">
      <c r="A265" s="125"/>
      <c r="B265" s="125"/>
      <c r="C265" s="125"/>
      <c r="D265" s="125"/>
      <c r="E265" s="125"/>
      <c r="F265" s="125"/>
      <c r="G265" s="125"/>
      <c r="H265" s="125"/>
      <c r="I265" s="627" t="s">
        <v>51</v>
      </c>
      <c r="J265" s="125" t="s">
        <v>51</v>
      </c>
      <c r="K265" s="125" t="s">
        <v>51</v>
      </c>
      <c r="L265" s="125" t="s">
        <v>51</v>
      </c>
      <c r="M265" s="125" t="str">
        <f t="shared" si="1"/>
        <v/>
      </c>
      <c r="N265" s="125" t="str">
        <f t="shared" si="2"/>
        <v/>
      </c>
      <c r="O265" s="125"/>
      <c r="P265" s="125"/>
      <c r="Q265" s="125"/>
      <c r="R265" s="125"/>
      <c r="S265" s="628">
        <f t="shared" si="3"/>
        <v>0</v>
      </c>
      <c r="T265" s="627" t="s">
        <v>51</v>
      </c>
      <c r="U265" s="627" t="s">
        <v>51</v>
      </c>
      <c r="V265" s="627" t="s">
        <v>51</v>
      </c>
      <c r="W265" s="627" t="s">
        <v>51</v>
      </c>
      <c r="X265" s="627" t="s">
        <v>51</v>
      </c>
      <c r="Y265" s="89"/>
    </row>
    <row r="266" ht="22.5" customHeight="1">
      <c r="A266" s="125"/>
      <c r="B266" s="125"/>
      <c r="C266" s="125"/>
      <c r="D266" s="125"/>
      <c r="E266" s="125"/>
      <c r="F266" s="125"/>
      <c r="G266" s="125"/>
      <c r="H266" s="125"/>
      <c r="I266" s="627" t="s">
        <v>51</v>
      </c>
      <c r="J266" s="125" t="s">
        <v>51</v>
      </c>
      <c r="K266" s="125" t="s">
        <v>51</v>
      </c>
      <c r="L266" s="125" t="s">
        <v>51</v>
      </c>
      <c r="M266" s="125" t="str">
        <f t="shared" si="1"/>
        <v/>
      </c>
      <c r="N266" s="125" t="str">
        <f t="shared" si="2"/>
        <v/>
      </c>
      <c r="O266" s="125"/>
      <c r="P266" s="125"/>
      <c r="Q266" s="125"/>
      <c r="R266" s="125"/>
      <c r="S266" s="628">
        <f t="shared" si="3"/>
        <v>0</v>
      </c>
      <c r="T266" s="627" t="s">
        <v>51</v>
      </c>
      <c r="U266" s="627" t="s">
        <v>51</v>
      </c>
      <c r="V266" s="627" t="s">
        <v>51</v>
      </c>
      <c r="W266" s="627" t="s">
        <v>51</v>
      </c>
      <c r="X266" s="627" t="s">
        <v>51</v>
      </c>
      <c r="Y266" s="89"/>
    </row>
    <row r="267" ht="22.5" customHeight="1">
      <c r="A267" s="125"/>
      <c r="B267" s="125"/>
      <c r="C267" s="125"/>
      <c r="D267" s="125"/>
      <c r="E267" s="125"/>
      <c r="F267" s="125"/>
      <c r="G267" s="125"/>
      <c r="H267" s="125"/>
      <c r="I267" s="627" t="s">
        <v>51</v>
      </c>
      <c r="J267" s="125" t="s">
        <v>51</v>
      </c>
      <c r="K267" s="125" t="s">
        <v>51</v>
      </c>
      <c r="L267" s="125" t="s">
        <v>51</v>
      </c>
      <c r="M267" s="125" t="str">
        <f t="shared" si="1"/>
        <v/>
      </c>
      <c r="N267" s="125" t="str">
        <f t="shared" si="2"/>
        <v/>
      </c>
      <c r="O267" s="125"/>
      <c r="P267" s="125"/>
      <c r="Q267" s="125"/>
      <c r="R267" s="125"/>
      <c r="S267" s="628">
        <f t="shared" si="3"/>
        <v>0</v>
      </c>
      <c r="T267" s="627" t="s">
        <v>51</v>
      </c>
      <c r="U267" s="627" t="s">
        <v>51</v>
      </c>
      <c r="V267" s="627" t="s">
        <v>51</v>
      </c>
      <c r="W267" s="627" t="s">
        <v>51</v>
      </c>
      <c r="X267" s="627" t="s">
        <v>51</v>
      </c>
      <c r="Y267" s="89"/>
    </row>
    <row r="268" ht="22.5" customHeight="1">
      <c r="A268" s="125"/>
      <c r="B268" s="125"/>
      <c r="C268" s="125"/>
      <c r="D268" s="125"/>
      <c r="E268" s="125"/>
      <c r="F268" s="125"/>
      <c r="G268" s="125"/>
      <c r="H268" s="125"/>
      <c r="I268" s="627" t="s">
        <v>51</v>
      </c>
      <c r="J268" s="125" t="s">
        <v>51</v>
      </c>
      <c r="K268" s="125" t="s">
        <v>51</v>
      </c>
      <c r="L268" s="125" t="s">
        <v>51</v>
      </c>
      <c r="M268" s="125" t="str">
        <f t="shared" si="1"/>
        <v/>
      </c>
      <c r="N268" s="125" t="str">
        <f t="shared" si="2"/>
        <v/>
      </c>
      <c r="O268" s="125"/>
      <c r="P268" s="125"/>
      <c r="Q268" s="125"/>
      <c r="R268" s="125"/>
      <c r="S268" s="628">
        <f t="shared" si="3"/>
        <v>0</v>
      </c>
      <c r="T268" s="627" t="s">
        <v>51</v>
      </c>
      <c r="U268" s="627" t="s">
        <v>51</v>
      </c>
      <c r="V268" s="627" t="s">
        <v>51</v>
      </c>
      <c r="W268" s="627" t="s">
        <v>51</v>
      </c>
      <c r="X268" s="627" t="s">
        <v>51</v>
      </c>
      <c r="Y268" s="89"/>
    </row>
    <row r="269" ht="22.5" customHeight="1">
      <c r="A269" s="125"/>
      <c r="B269" s="125"/>
      <c r="C269" s="125"/>
      <c r="D269" s="125"/>
      <c r="E269" s="125"/>
      <c r="F269" s="125"/>
      <c r="G269" s="125"/>
      <c r="H269" s="125"/>
      <c r="I269" s="627" t="s">
        <v>51</v>
      </c>
      <c r="J269" s="125" t="s">
        <v>51</v>
      </c>
      <c r="K269" s="125" t="s">
        <v>51</v>
      </c>
      <c r="L269" s="125" t="s">
        <v>51</v>
      </c>
      <c r="M269" s="125" t="str">
        <f t="shared" si="1"/>
        <v/>
      </c>
      <c r="N269" s="125" t="str">
        <f t="shared" si="2"/>
        <v/>
      </c>
      <c r="O269" s="125"/>
      <c r="P269" s="125"/>
      <c r="Q269" s="125"/>
      <c r="R269" s="125"/>
      <c r="S269" s="628">
        <f t="shared" si="3"/>
        <v>0</v>
      </c>
      <c r="T269" s="627" t="s">
        <v>51</v>
      </c>
      <c r="U269" s="627" t="s">
        <v>51</v>
      </c>
      <c r="V269" s="627" t="s">
        <v>51</v>
      </c>
      <c r="W269" s="627" t="s">
        <v>51</v>
      </c>
      <c r="X269" s="627" t="s">
        <v>51</v>
      </c>
      <c r="Y269" s="89"/>
    </row>
    <row r="270" ht="22.5" customHeight="1">
      <c r="A270" s="125"/>
      <c r="B270" s="125"/>
      <c r="C270" s="125"/>
      <c r="D270" s="125"/>
      <c r="E270" s="125"/>
      <c r="F270" s="125"/>
      <c r="G270" s="125"/>
      <c r="H270" s="125"/>
      <c r="I270" s="627" t="s">
        <v>51</v>
      </c>
      <c r="J270" s="125" t="s">
        <v>51</v>
      </c>
      <c r="K270" s="125" t="s">
        <v>51</v>
      </c>
      <c r="L270" s="125" t="s">
        <v>51</v>
      </c>
      <c r="M270" s="125" t="str">
        <f t="shared" si="1"/>
        <v/>
      </c>
      <c r="N270" s="125" t="str">
        <f t="shared" si="2"/>
        <v/>
      </c>
      <c r="O270" s="125"/>
      <c r="P270" s="125"/>
      <c r="Q270" s="125"/>
      <c r="R270" s="125"/>
      <c r="S270" s="628">
        <f t="shared" si="3"/>
        <v>0</v>
      </c>
      <c r="T270" s="627" t="s">
        <v>51</v>
      </c>
      <c r="U270" s="627" t="s">
        <v>51</v>
      </c>
      <c r="V270" s="627" t="s">
        <v>51</v>
      </c>
      <c r="W270" s="627" t="s">
        <v>51</v>
      </c>
      <c r="X270" s="627" t="s">
        <v>51</v>
      </c>
      <c r="Y270" s="89"/>
    </row>
    <row r="271" ht="22.5" customHeight="1">
      <c r="A271" s="125"/>
      <c r="B271" s="125"/>
      <c r="C271" s="125"/>
      <c r="D271" s="125"/>
      <c r="E271" s="125"/>
      <c r="F271" s="125"/>
      <c r="G271" s="125"/>
      <c r="H271" s="125"/>
      <c r="I271" s="627" t="s">
        <v>51</v>
      </c>
      <c r="J271" s="125" t="s">
        <v>51</v>
      </c>
      <c r="K271" s="125" t="s">
        <v>51</v>
      </c>
      <c r="L271" s="125" t="s">
        <v>51</v>
      </c>
      <c r="M271" s="125" t="str">
        <f t="shared" si="1"/>
        <v/>
      </c>
      <c r="N271" s="125" t="str">
        <f t="shared" si="2"/>
        <v/>
      </c>
      <c r="O271" s="125"/>
      <c r="P271" s="125"/>
      <c r="Q271" s="125"/>
      <c r="R271" s="125"/>
      <c r="S271" s="628">
        <f t="shared" si="3"/>
        <v>0</v>
      </c>
      <c r="T271" s="627" t="s">
        <v>51</v>
      </c>
      <c r="U271" s="627" t="s">
        <v>51</v>
      </c>
      <c r="V271" s="627" t="s">
        <v>51</v>
      </c>
      <c r="W271" s="627" t="s">
        <v>51</v>
      </c>
      <c r="X271" s="627" t="s">
        <v>51</v>
      </c>
      <c r="Y271" s="89"/>
    </row>
    <row r="272" ht="22.5" customHeight="1">
      <c r="A272" s="125"/>
      <c r="B272" s="125"/>
      <c r="C272" s="125"/>
      <c r="D272" s="125"/>
      <c r="E272" s="125"/>
      <c r="F272" s="125"/>
      <c r="G272" s="125"/>
      <c r="H272" s="125"/>
      <c r="I272" s="627" t="s">
        <v>51</v>
      </c>
      <c r="J272" s="125" t="s">
        <v>51</v>
      </c>
      <c r="K272" s="125" t="s">
        <v>51</v>
      </c>
      <c r="L272" s="125" t="s">
        <v>51</v>
      </c>
      <c r="M272" s="125" t="str">
        <f t="shared" si="1"/>
        <v/>
      </c>
      <c r="N272" s="125" t="str">
        <f t="shared" si="2"/>
        <v/>
      </c>
      <c r="O272" s="125"/>
      <c r="P272" s="125"/>
      <c r="Q272" s="125"/>
      <c r="R272" s="125"/>
      <c r="S272" s="628">
        <f t="shared" si="3"/>
        <v>0</v>
      </c>
      <c r="T272" s="627" t="s">
        <v>51</v>
      </c>
      <c r="U272" s="627" t="s">
        <v>51</v>
      </c>
      <c r="V272" s="627" t="s">
        <v>51</v>
      </c>
      <c r="W272" s="627" t="s">
        <v>51</v>
      </c>
      <c r="X272" s="627" t="s">
        <v>51</v>
      </c>
      <c r="Y272" s="89"/>
    </row>
    <row r="273" ht="22.5" customHeight="1">
      <c r="A273" s="125"/>
      <c r="B273" s="125"/>
      <c r="C273" s="125"/>
      <c r="D273" s="125"/>
      <c r="E273" s="125"/>
      <c r="F273" s="125"/>
      <c r="G273" s="125"/>
      <c r="H273" s="125"/>
      <c r="I273" s="627" t="s">
        <v>51</v>
      </c>
      <c r="J273" s="125" t="s">
        <v>51</v>
      </c>
      <c r="K273" s="125" t="s">
        <v>51</v>
      </c>
      <c r="L273" s="125" t="s">
        <v>51</v>
      </c>
      <c r="M273" s="125" t="str">
        <f t="shared" si="1"/>
        <v/>
      </c>
      <c r="N273" s="125" t="str">
        <f t="shared" si="2"/>
        <v/>
      </c>
      <c r="O273" s="125"/>
      <c r="P273" s="125"/>
      <c r="Q273" s="125"/>
      <c r="R273" s="125"/>
      <c r="S273" s="628">
        <f t="shared" si="3"/>
        <v>0</v>
      </c>
      <c r="T273" s="627" t="s">
        <v>51</v>
      </c>
      <c r="U273" s="627" t="s">
        <v>51</v>
      </c>
      <c r="V273" s="627" t="s">
        <v>51</v>
      </c>
      <c r="W273" s="627" t="s">
        <v>51</v>
      </c>
      <c r="X273" s="627" t="s">
        <v>51</v>
      </c>
      <c r="Y273" s="89"/>
    </row>
    <row r="274" ht="22.5" customHeight="1">
      <c r="A274" s="125"/>
      <c r="B274" s="125"/>
      <c r="C274" s="125"/>
      <c r="D274" s="125"/>
      <c r="E274" s="125"/>
      <c r="F274" s="125"/>
      <c r="G274" s="125"/>
      <c r="H274" s="125"/>
      <c r="I274" s="627" t="s">
        <v>51</v>
      </c>
      <c r="J274" s="125" t="s">
        <v>51</v>
      </c>
      <c r="K274" s="125" t="s">
        <v>51</v>
      </c>
      <c r="L274" s="125" t="s">
        <v>51</v>
      </c>
      <c r="M274" s="125" t="str">
        <f t="shared" si="1"/>
        <v/>
      </c>
      <c r="N274" s="125" t="str">
        <f t="shared" si="2"/>
        <v/>
      </c>
      <c r="O274" s="125"/>
      <c r="P274" s="125"/>
      <c r="Q274" s="125"/>
      <c r="R274" s="125"/>
      <c r="S274" s="628">
        <f t="shared" si="3"/>
        <v>0</v>
      </c>
      <c r="T274" s="627" t="s">
        <v>51</v>
      </c>
      <c r="U274" s="627" t="s">
        <v>51</v>
      </c>
      <c r="V274" s="627" t="s">
        <v>51</v>
      </c>
      <c r="W274" s="627" t="s">
        <v>51</v>
      </c>
      <c r="X274" s="627" t="s">
        <v>51</v>
      </c>
      <c r="Y274" s="89"/>
    </row>
    <row r="275" ht="22.5" customHeight="1">
      <c r="A275" s="125"/>
      <c r="B275" s="125"/>
      <c r="C275" s="125"/>
      <c r="D275" s="125"/>
      <c r="E275" s="125"/>
      <c r="F275" s="125"/>
      <c r="G275" s="125"/>
      <c r="H275" s="125"/>
      <c r="I275" s="627" t="s">
        <v>51</v>
      </c>
      <c r="J275" s="125" t="s">
        <v>51</v>
      </c>
      <c r="K275" s="125" t="s">
        <v>51</v>
      </c>
      <c r="L275" s="125" t="s">
        <v>51</v>
      </c>
      <c r="M275" s="125" t="str">
        <f t="shared" si="1"/>
        <v/>
      </c>
      <c r="N275" s="125" t="str">
        <f t="shared" si="2"/>
        <v/>
      </c>
      <c r="O275" s="125"/>
      <c r="P275" s="125"/>
      <c r="Q275" s="125"/>
      <c r="R275" s="125"/>
      <c r="S275" s="628">
        <f t="shared" si="3"/>
        <v>0</v>
      </c>
      <c r="T275" s="627" t="s">
        <v>51</v>
      </c>
      <c r="U275" s="627" t="s">
        <v>51</v>
      </c>
      <c r="V275" s="627" t="s">
        <v>51</v>
      </c>
      <c r="W275" s="627" t="s">
        <v>51</v>
      </c>
      <c r="X275" s="627" t="s">
        <v>51</v>
      </c>
      <c r="Y275" s="89"/>
    </row>
    <row r="276" ht="22.5" customHeight="1">
      <c r="A276" s="125"/>
      <c r="B276" s="125"/>
      <c r="C276" s="125"/>
      <c r="D276" s="125"/>
      <c r="E276" s="125"/>
      <c r="F276" s="125"/>
      <c r="G276" s="125"/>
      <c r="H276" s="125"/>
      <c r="I276" s="627" t="s">
        <v>51</v>
      </c>
      <c r="J276" s="125" t="s">
        <v>51</v>
      </c>
      <c r="K276" s="125" t="s">
        <v>51</v>
      </c>
      <c r="L276" s="125" t="s">
        <v>51</v>
      </c>
      <c r="M276" s="125" t="str">
        <f t="shared" si="1"/>
        <v/>
      </c>
      <c r="N276" s="125" t="str">
        <f t="shared" si="2"/>
        <v/>
      </c>
      <c r="O276" s="125"/>
      <c r="P276" s="125"/>
      <c r="Q276" s="125"/>
      <c r="R276" s="125"/>
      <c r="S276" s="628">
        <f t="shared" si="3"/>
        <v>0</v>
      </c>
      <c r="T276" s="627" t="s">
        <v>51</v>
      </c>
      <c r="U276" s="627" t="s">
        <v>51</v>
      </c>
      <c r="V276" s="627" t="s">
        <v>51</v>
      </c>
      <c r="W276" s="627" t="s">
        <v>51</v>
      </c>
      <c r="X276" s="627" t="s">
        <v>51</v>
      </c>
      <c r="Y276" s="89"/>
    </row>
    <row r="277" ht="22.5" customHeight="1">
      <c r="A277" s="125"/>
      <c r="B277" s="125"/>
      <c r="C277" s="125"/>
      <c r="D277" s="125"/>
      <c r="E277" s="125"/>
      <c r="F277" s="125"/>
      <c r="G277" s="125"/>
      <c r="H277" s="125"/>
      <c r="I277" s="627" t="s">
        <v>51</v>
      </c>
      <c r="J277" s="125" t="s">
        <v>51</v>
      </c>
      <c r="K277" s="125" t="s">
        <v>51</v>
      </c>
      <c r="L277" s="125" t="s">
        <v>51</v>
      </c>
      <c r="M277" s="125" t="str">
        <f t="shared" si="1"/>
        <v/>
      </c>
      <c r="N277" s="125" t="str">
        <f t="shared" si="2"/>
        <v/>
      </c>
      <c r="O277" s="125"/>
      <c r="P277" s="125"/>
      <c r="Q277" s="125"/>
      <c r="R277" s="125"/>
      <c r="S277" s="628">
        <f t="shared" si="3"/>
        <v>0</v>
      </c>
      <c r="T277" s="627" t="s">
        <v>51</v>
      </c>
      <c r="U277" s="627" t="s">
        <v>51</v>
      </c>
      <c r="V277" s="627" t="s">
        <v>51</v>
      </c>
      <c r="W277" s="627" t="s">
        <v>51</v>
      </c>
      <c r="X277" s="627" t="s">
        <v>51</v>
      </c>
      <c r="Y277" s="89"/>
    </row>
    <row r="278" ht="22.5" customHeight="1">
      <c r="A278" s="125"/>
      <c r="B278" s="125"/>
      <c r="C278" s="125"/>
      <c r="D278" s="125"/>
      <c r="E278" s="125"/>
      <c r="F278" s="125"/>
      <c r="G278" s="125"/>
      <c r="H278" s="125"/>
      <c r="I278" s="627" t="s">
        <v>51</v>
      </c>
      <c r="J278" s="125" t="s">
        <v>51</v>
      </c>
      <c r="K278" s="125" t="s">
        <v>51</v>
      </c>
      <c r="L278" s="125" t="s">
        <v>51</v>
      </c>
      <c r="M278" s="125" t="str">
        <f t="shared" si="1"/>
        <v/>
      </c>
      <c r="N278" s="125" t="str">
        <f t="shared" si="2"/>
        <v/>
      </c>
      <c r="O278" s="125"/>
      <c r="P278" s="125"/>
      <c r="Q278" s="125"/>
      <c r="R278" s="125"/>
      <c r="S278" s="628">
        <f t="shared" si="3"/>
        <v>0</v>
      </c>
      <c r="T278" s="627" t="s">
        <v>51</v>
      </c>
      <c r="U278" s="627" t="s">
        <v>51</v>
      </c>
      <c r="V278" s="627" t="s">
        <v>51</v>
      </c>
      <c r="W278" s="627" t="s">
        <v>51</v>
      </c>
      <c r="X278" s="627" t="s">
        <v>51</v>
      </c>
      <c r="Y278" s="89"/>
    </row>
    <row r="279" ht="22.5" customHeight="1">
      <c r="A279" s="125"/>
      <c r="B279" s="125"/>
      <c r="C279" s="125"/>
      <c r="D279" s="125"/>
      <c r="E279" s="125"/>
      <c r="F279" s="125"/>
      <c r="G279" s="125"/>
      <c r="H279" s="125"/>
      <c r="I279" s="627" t="s">
        <v>51</v>
      </c>
      <c r="J279" s="125" t="s">
        <v>51</v>
      </c>
      <c r="K279" s="125" t="s">
        <v>51</v>
      </c>
      <c r="L279" s="125" t="s">
        <v>51</v>
      </c>
      <c r="M279" s="125" t="str">
        <f t="shared" si="1"/>
        <v/>
      </c>
      <c r="N279" s="125" t="str">
        <f t="shared" si="2"/>
        <v/>
      </c>
      <c r="O279" s="125"/>
      <c r="P279" s="125"/>
      <c r="Q279" s="125"/>
      <c r="R279" s="125"/>
      <c r="S279" s="628">
        <f t="shared" si="3"/>
        <v>0</v>
      </c>
      <c r="T279" s="627" t="s">
        <v>51</v>
      </c>
      <c r="U279" s="627" t="s">
        <v>51</v>
      </c>
      <c r="V279" s="627" t="s">
        <v>51</v>
      </c>
      <c r="W279" s="627" t="s">
        <v>51</v>
      </c>
      <c r="X279" s="627" t="s">
        <v>51</v>
      </c>
      <c r="Y279" s="89"/>
    </row>
    <row r="280" ht="22.5" customHeight="1">
      <c r="A280" s="125"/>
      <c r="B280" s="125"/>
      <c r="C280" s="125"/>
      <c r="D280" s="125"/>
      <c r="E280" s="125"/>
      <c r="F280" s="125"/>
      <c r="G280" s="125"/>
      <c r="H280" s="125"/>
      <c r="I280" s="627" t="s">
        <v>51</v>
      </c>
      <c r="J280" s="125" t="s">
        <v>51</v>
      </c>
      <c r="K280" s="125" t="s">
        <v>51</v>
      </c>
      <c r="L280" s="125" t="s">
        <v>51</v>
      </c>
      <c r="M280" s="125" t="str">
        <f t="shared" si="1"/>
        <v/>
      </c>
      <c r="N280" s="125" t="str">
        <f t="shared" si="2"/>
        <v/>
      </c>
      <c r="O280" s="125"/>
      <c r="P280" s="125"/>
      <c r="Q280" s="125"/>
      <c r="R280" s="125"/>
      <c r="S280" s="628">
        <f t="shared" si="3"/>
        <v>0</v>
      </c>
      <c r="T280" s="627" t="s">
        <v>51</v>
      </c>
      <c r="U280" s="627" t="s">
        <v>51</v>
      </c>
      <c r="V280" s="627" t="s">
        <v>51</v>
      </c>
      <c r="W280" s="627" t="s">
        <v>51</v>
      </c>
      <c r="X280" s="627" t="s">
        <v>51</v>
      </c>
      <c r="Y280" s="89"/>
    </row>
    <row r="281" ht="22.5" customHeight="1">
      <c r="A281" s="125"/>
      <c r="B281" s="125"/>
      <c r="C281" s="125"/>
      <c r="D281" s="125"/>
      <c r="E281" s="125"/>
      <c r="F281" s="125"/>
      <c r="G281" s="125"/>
      <c r="H281" s="125"/>
      <c r="I281" s="627" t="s">
        <v>51</v>
      </c>
      <c r="J281" s="125" t="s">
        <v>51</v>
      </c>
      <c r="K281" s="125" t="s">
        <v>51</v>
      </c>
      <c r="L281" s="125" t="s">
        <v>51</v>
      </c>
      <c r="M281" s="125" t="str">
        <f t="shared" si="1"/>
        <v/>
      </c>
      <c r="N281" s="125" t="str">
        <f t="shared" si="2"/>
        <v/>
      </c>
      <c r="O281" s="125"/>
      <c r="P281" s="125"/>
      <c r="Q281" s="125"/>
      <c r="R281" s="125"/>
      <c r="S281" s="628">
        <f t="shared" si="3"/>
        <v>0</v>
      </c>
      <c r="T281" s="627" t="s">
        <v>51</v>
      </c>
      <c r="U281" s="627" t="s">
        <v>51</v>
      </c>
      <c r="V281" s="627" t="s">
        <v>51</v>
      </c>
      <c r="W281" s="627" t="s">
        <v>51</v>
      </c>
      <c r="X281" s="627" t="s">
        <v>51</v>
      </c>
      <c r="Y281" s="89"/>
    </row>
    <row r="282" ht="22.5" customHeight="1">
      <c r="A282" s="125"/>
      <c r="B282" s="125"/>
      <c r="C282" s="125"/>
      <c r="D282" s="125"/>
      <c r="E282" s="125"/>
      <c r="F282" s="125"/>
      <c r="G282" s="125"/>
      <c r="H282" s="125"/>
      <c r="I282" s="627" t="s">
        <v>51</v>
      </c>
      <c r="J282" s="125" t="s">
        <v>51</v>
      </c>
      <c r="K282" s="125" t="s">
        <v>51</v>
      </c>
      <c r="L282" s="125" t="s">
        <v>51</v>
      </c>
      <c r="M282" s="125" t="str">
        <f t="shared" si="1"/>
        <v/>
      </c>
      <c r="N282" s="125" t="str">
        <f t="shared" si="2"/>
        <v/>
      </c>
      <c r="O282" s="125"/>
      <c r="P282" s="125"/>
      <c r="Q282" s="125"/>
      <c r="R282" s="125"/>
      <c r="S282" s="628">
        <f t="shared" si="3"/>
        <v>0</v>
      </c>
      <c r="T282" s="627" t="s">
        <v>51</v>
      </c>
      <c r="U282" s="627" t="s">
        <v>51</v>
      </c>
      <c r="V282" s="627" t="s">
        <v>51</v>
      </c>
      <c r="W282" s="627" t="s">
        <v>51</v>
      </c>
      <c r="X282" s="627" t="s">
        <v>51</v>
      </c>
      <c r="Y282" s="89"/>
    </row>
    <row r="283" ht="22.5" customHeight="1">
      <c r="A283" s="125"/>
      <c r="B283" s="125"/>
      <c r="C283" s="125"/>
      <c r="D283" s="125"/>
      <c r="E283" s="125"/>
      <c r="F283" s="125"/>
      <c r="G283" s="125"/>
      <c r="H283" s="125"/>
      <c r="I283" s="627" t="s">
        <v>51</v>
      </c>
      <c r="J283" s="125" t="s">
        <v>51</v>
      </c>
      <c r="K283" s="125" t="s">
        <v>51</v>
      </c>
      <c r="L283" s="125" t="s">
        <v>51</v>
      </c>
      <c r="M283" s="125" t="str">
        <f t="shared" si="1"/>
        <v/>
      </c>
      <c r="N283" s="125" t="str">
        <f t="shared" si="2"/>
        <v/>
      </c>
      <c r="O283" s="125"/>
      <c r="P283" s="125"/>
      <c r="Q283" s="125"/>
      <c r="R283" s="125"/>
      <c r="S283" s="628">
        <f t="shared" si="3"/>
        <v>0</v>
      </c>
      <c r="T283" s="627" t="s">
        <v>51</v>
      </c>
      <c r="U283" s="627" t="s">
        <v>51</v>
      </c>
      <c r="V283" s="627" t="s">
        <v>51</v>
      </c>
      <c r="W283" s="627" t="s">
        <v>51</v>
      </c>
      <c r="X283" s="627" t="s">
        <v>51</v>
      </c>
      <c r="Y283" s="89"/>
    </row>
    <row r="284" ht="22.5" customHeight="1">
      <c r="A284" s="125"/>
      <c r="B284" s="125"/>
      <c r="C284" s="125"/>
      <c r="D284" s="125"/>
      <c r="E284" s="125"/>
      <c r="F284" s="125"/>
      <c r="G284" s="125"/>
      <c r="H284" s="125"/>
      <c r="I284" s="627" t="s">
        <v>51</v>
      </c>
      <c r="J284" s="125" t="s">
        <v>51</v>
      </c>
      <c r="K284" s="125" t="s">
        <v>51</v>
      </c>
      <c r="L284" s="125" t="s">
        <v>51</v>
      </c>
      <c r="M284" s="125" t="str">
        <f t="shared" si="1"/>
        <v/>
      </c>
      <c r="N284" s="125" t="str">
        <f t="shared" si="2"/>
        <v/>
      </c>
      <c r="O284" s="125"/>
      <c r="P284" s="125"/>
      <c r="Q284" s="125"/>
      <c r="R284" s="125"/>
      <c r="S284" s="628">
        <f t="shared" si="3"/>
        <v>0</v>
      </c>
      <c r="T284" s="627" t="s">
        <v>51</v>
      </c>
      <c r="U284" s="627" t="s">
        <v>51</v>
      </c>
      <c r="V284" s="627" t="s">
        <v>51</v>
      </c>
      <c r="W284" s="627" t="s">
        <v>51</v>
      </c>
      <c r="X284" s="627" t="s">
        <v>51</v>
      </c>
      <c r="Y284" s="89"/>
    </row>
    <row r="285" ht="22.5" customHeight="1">
      <c r="A285" s="125"/>
      <c r="B285" s="125"/>
      <c r="C285" s="125"/>
      <c r="D285" s="125"/>
      <c r="E285" s="125"/>
      <c r="F285" s="125"/>
      <c r="G285" s="125"/>
      <c r="H285" s="125"/>
      <c r="I285" s="627" t="s">
        <v>51</v>
      </c>
      <c r="J285" s="125" t="s">
        <v>51</v>
      </c>
      <c r="K285" s="125" t="s">
        <v>51</v>
      </c>
      <c r="L285" s="125" t="s">
        <v>51</v>
      </c>
      <c r="M285" s="125" t="str">
        <f t="shared" si="1"/>
        <v/>
      </c>
      <c r="N285" s="125" t="str">
        <f t="shared" si="2"/>
        <v/>
      </c>
      <c r="O285" s="125"/>
      <c r="P285" s="125"/>
      <c r="Q285" s="125"/>
      <c r="R285" s="125"/>
      <c r="S285" s="628">
        <f t="shared" si="3"/>
        <v>0</v>
      </c>
      <c r="T285" s="627" t="s">
        <v>51</v>
      </c>
      <c r="U285" s="627" t="s">
        <v>51</v>
      </c>
      <c r="V285" s="627" t="s">
        <v>51</v>
      </c>
      <c r="W285" s="627" t="s">
        <v>51</v>
      </c>
      <c r="X285" s="627" t="s">
        <v>51</v>
      </c>
      <c r="Y285" s="89"/>
    </row>
    <row r="286" ht="22.5" customHeight="1">
      <c r="A286" s="125"/>
      <c r="B286" s="125"/>
      <c r="C286" s="125"/>
      <c r="D286" s="125"/>
      <c r="E286" s="125"/>
      <c r="F286" s="125"/>
      <c r="G286" s="125"/>
      <c r="H286" s="125"/>
      <c r="I286" s="627" t="s">
        <v>51</v>
      </c>
      <c r="J286" s="125" t="s">
        <v>51</v>
      </c>
      <c r="K286" s="125" t="s">
        <v>51</v>
      </c>
      <c r="L286" s="125" t="s">
        <v>51</v>
      </c>
      <c r="M286" s="125" t="str">
        <f t="shared" si="1"/>
        <v/>
      </c>
      <c r="N286" s="125" t="str">
        <f t="shared" si="2"/>
        <v/>
      </c>
      <c r="O286" s="125"/>
      <c r="P286" s="125"/>
      <c r="Q286" s="125"/>
      <c r="R286" s="125"/>
      <c r="S286" s="628">
        <f t="shared" si="3"/>
        <v>0</v>
      </c>
      <c r="T286" s="627" t="s">
        <v>51</v>
      </c>
      <c r="U286" s="627" t="s">
        <v>51</v>
      </c>
      <c r="V286" s="627" t="s">
        <v>51</v>
      </c>
      <c r="W286" s="627" t="s">
        <v>51</v>
      </c>
      <c r="X286" s="627" t="s">
        <v>51</v>
      </c>
      <c r="Y286" s="89"/>
    </row>
    <row r="287" ht="22.5" customHeight="1">
      <c r="A287" s="125"/>
      <c r="B287" s="125"/>
      <c r="C287" s="125"/>
      <c r="D287" s="125"/>
      <c r="E287" s="125"/>
      <c r="F287" s="125"/>
      <c r="G287" s="125"/>
      <c r="H287" s="125"/>
      <c r="I287" s="627" t="s">
        <v>51</v>
      </c>
      <c r="J287" s="125" t="s">
        <v>51</v>
      </c>
      <c r="K287" s="125" t="s">
        <v>51</v>
      </c>
      <c r="L287" s="125" t="s">
        <v>51</v>
      </c>
      <c r="M287" s="125" t="str">
        <f t="shared" si="1"/>
        <v/>
      </c>
      <c r="N287" s="125" t="str">
        <f t="shared" si="2"/>
        <v/>
      </c>
      <c r="O287" s="125"/>
      <c r="P287" s="125"/>
      <c r="Q287" s="125"/>
      <c r="R287" s="125"/>
      <c r="S287" s="628">
        <f t="shared" si="3"/>
        <v>0</v>
      </c>
      <c r="T287" s="627" t="s">
        <v>51</v>
      </c>
      <c r="U287" s="627" t="s">
        <v>51</v>
      </c>
      <c r="V287" s="627" t="s">
        <v>51</v>
      </c>
      <c r="W287" s="627" t="s">
        <v>51</v>
      </c>
      <c r="X287" s="627" t="s">
        <v>51</v>
      </c>
      <c r="Y287" s="89"/>
    </row>
    <row r="288" ht="22.5" customHeight="1">
      <c r="A288" s="125"/>
      <c r="B288" s="125"/>
      <c r="C288" s="125"/>
      <c r="D288" s="125"/>
      <c r="E288" s="125"/>
      <c r="F288" s="125"/>
      <c r="G288" s="125"/>
      <c r="H288" s="125"/>
      <c r="I288" s="627" t="s">
        <v>51</v>
      </c>
      <c r="J288" s="125" t="s">
        <v>51</v>
      </c>
      <c r="K288" s="125" t="s">
        <v>51</v>
      </c>
      <c r="L288" s="125" t="s">
        <v>51</v>
      </c>
      <c r="M288" s="125" t="str">
        <f t="shared" si="1"/>
        <v/>
      </c>
      <c r="N288" s="125" t="str">
        <f t="shared" si="2"/>
        <v/>
      </c>
      <c r="O288" s="125"/>
      <c r="P288" s="125"/>
      <c r="Q288" s="125"/>
      <c r="R288" s="125"/>
      <c r="S288" s="628">
        <f t="shared" si="3"/>
        <v>0</v>
      </c>
      <c r="T288" s="627" t="s">
        <v>51</v>
      </c>
      <c r="U288" s="627" t="s">
        <v>51</v>
      </c>
      <c r="V288" s="627" t="s">
        <v>51</v>
      </c>
      <c r="W288" s="627" t="s">
        <v>51</v>
      </c>
      <c r="X288" s="627" t="s">
        <v>51</v>
      </c>
      <c r="Y288" s="89"/>
    </row>
    <row r="289" ht="22.5" customHeight="1">
      <c r="A289" s="125"/>
      <c r="B289" s="125"/>
      <c r="C289" s="125"/>
      <c r="D289" s="125"/>
      <c r="E289" s="125"/>
      <c r="F289" s="125"/>
      <c r="G289" s="125"/>
      <c r="H289" s="125"/>
      <c r="I289" s="627" t="s">
        <v>51</v>
      </c>
      <c r="J289" s="125" t="s">
        <v>51</v>
      </c>
      <c r="K289" s="125" t="s">
        <v>51</v>
      </c>
      <c r="L289" s="125" t="s">
        <v>51</v>
      </c>
      <c r="M289" s="125" t="str">
        <f t="shared" si="1"/>
        <v/>
      </c>
      <c r="N289" s="125" t="str">
        <f t="shared" si="2"/>
        <v/>
      </c>
      <c r="O289" s="125"/>
      <c r="P289" s="125"/>
      <c r="Q289" s="125"/>
      <c r="R289" s="125"/>
      <c r="S289" s="628">
        <f t="shared" si="3"/>
        <v>0</v>
      </c>
      <c r="T289" s="627" t="s">
        <v>51</v>
      </c>
      <c r="U289" s="627" t="s">
        <v>51</v>
      </c>
      <c r="V289" s="627" t="s">
        <v>51</v>
      </c>
      <c r="W289" s="627" t="s">
        <v>51</v>
      </c>
      <c r="X289" s="627" t="s">
        <v>51</v>
      </c>
      <c r="Y289" s="89"/>
    </row>
    <row r="290" ht="22.5" customHeight="1">
      <c r="A290" s="125"/>
      <c r="B290" s="125"/>
      <c r="C290" s="125"/>
      <c r="D290" s="125"/>
      <c r="E290" s="125"/>
      <c r="F290" s="125"/>
      <c r="G290" s="125"/>
      <c r="H290" s="125"/>
      <c r="I290" s="627" t="s">
        <v>51</v>
      </c>
      <c r="J290" s="125" t="s">
        <v>51</v>
      </c>
      <c r="K290" s="125" t="s">
        <v>51</v>
      </c>
      <c r="L290" s="125" t="s">
        <v>51</v>
      </c>
      <c r="M290" s="125" t="str">
        <f t="shared" si="1"/>
        <v/>
      </c>
      <c r="N290" s="125" t="str">
        <f t="shared" si="2"/>
        <v/>
      </c>
      <c r="O290" s="125"/>
      <c r="P290" s="125"/>
      <c r="Q290" s="125"/>
      <c r="R290" s="125"/>
      <c r="S290" s="628">
        <f t="shared" si="3"/>
        <v>0</v>
      </c>
      <c r="T290" s="627" t="s">
        <v>51</v>
      </c>
      <c r="U290" s="627" t="s">
        <v>51</v>
      </c>
      <c r="V290" s="627" t="s">
        <v>51</v>
      </c>
      <c r="W290" s="627" t="s">
        <v>51</v>
      </c>
      <c r="X290" s="627" t="s">
        <v>51</v>
      </c>
      <c r="Y290" s="89"/>
    </row>
    <row r="291" ht="22.5" customHeight="1">
      <c r="A291" s="125"/>
      <c r="B291" s="125"/>
      <c r="C291" s="125"/>
      <c r="D291" s="125"/>
      <c r="E291" s="125"/>
      <c r="F291" s="125"/>
      <c r="G291" s="125"/>
      <c r="H291" s="125"/>
      <c r="I291" s="627" t="s">
        <v>51</v>
      </c>
      <c r="J291" s="125" t="s">
        <v>51</v>
      </c>
      <c r="K291" s="125" t="s">
        <v>51</v>
      </c>
      <c r="L291" s="125" t="s">
        <v>51</v>
      </c>
      <c r="M291" s="125" t="str">
        <f t="shared" si="1"/>
        <v/>
      </c>
      <c r="N291" s="125" t="str">
        <f t="shared" si="2"/>
        <v/>
      </c>
      <c r="O291" s="125"/>
      <c r="P291" s="125"/>
      <c r="Q291" s="125"/>
      <c r="R291" s="125"/>
      <c r="S291" s="628">
        <f t="shared" si="3"/>
        <v>0</v>
      </c>
      <c r="T291" s="627" t="s">
        <v>51</v>
      </c>
      <c r="U291" s="627" t="s">
        <v>51</v>
      </c>
      <c r="V291" s="627" t="s">
        <v>51</v>
      </c>
      <c r="W291" s="627" t="s">
        <v>51</v>
      </c>
      <c r="X291" s="627" t="s">
        <v>51</v>
      </c>
      <c r="Y291" s="89"/>
    </row>
    <row r="292" ht="22.5" customHeight="1">
      <c r="A292" s="125"/>
      <c r="B292" s="125"/>
      <c r="C292" s="125"/>
      <c r="D292" s="125"/>
      <c r="E292" s="125"/>
      <c r="F292" s="125"/>
      <c r="G292" s="125"/>
      <c r="H292" s="125"/>
      <c r="I292" s="627" t="s">
        <v>51</v>
      </c>
      <c r="J292" s="125" t="s">
        <v>51</v>
      </c>
      <c r="K292" s="125" t="s">
        <v>51</v>
      </c>
      <c r="L292" s="125" t="s">
        <v>51</v>
      </c>
      <c r="M292" s="125" t="str">
        <f t="shared" si="1"/>
        <v/>
      </c>
      <c r="N292" s="125" t="str">
        <f t="shared" si="2"/>
        <v/>
      </c>
      <c r="O292" s="125"/>
      <c r="P292" s="125"/>
      <c r="Q292" s="125"/>
      <c r="R292" s="125"/>
      <c r="S292" s="628">
        <f t="shared" si="3"/>
        <v>0</v>
      </c>
      <c r="T292" s="627" t="s">
        <v>51</v>
      </c>
      <c r="U292" s="627" t="s">
        <v>51</v>
      </c>
      <c r="V292" s="627" t="s">
        <v>51</v>
      </c>
      <c r="W292" s="627" t="s">
        <v>51</v>
      </c>
      <c r="X292" s="627" t="s">
        <v>51</v>
      </c>
      <c r="Y292" s="89"/>
    </row>
    <row r="293" ht="22.5" customHeight="1">
      <c r="A293" s="125"/>
      <c r="B293" s="125"/>
      <c r="C293" s="125"/>
      <c r="D293" s="125"/>
      <c r="E293" s="125"/>
      <c r="F293" s="125"/>
      <c r="G293" s="125"/>
      <c r="H293" s="125"/>
      <c r="I293" s="627" t="s">
        <v>51</v>
      </c>
      <c r="J293" s="125" t="s">
        <v>51</v>
      </c>
      <c r="K293" s="125" t="s">
        <v>51</v>
      </c>
      <c r="L293" s="125" t="s">
        <v>51</v>
      </c>
      <c r="M293" s="125" t="str">
        <f t="shared" si="1"/>
        <v/>
      </c>
      <c r="N293" s="125" t="str">
        <f t="shared" si="2"/>
        <v/>
      </c>
      <c r="O293" s="125"/>
      <c r="P293" s="125"/>
      <c r="Q293" s="125"/>
      <c r="R293" s="125"/>
      <c r="S293" s="628">
        <f t="shared" si="3"/>
        <v>0</v>
      </c>
      <c r="T293" s="627" t="s">
        <v>51</v>
      </c>
      <c r="U293" s="627" t="s">
        <v>51</v>
      </c>
      <c r="V293" s="627" t="s">
        <v>51</v>
      </c>
      <c r="W293" s="627" t="s">
        <v>51</v>
      </c>
      <c r="X293" s="627" t="s">
        <v>51</v>
      </c>
      <c r="Y293" s="89"/>
    </row>
    <row r="294" ht="22.5" customHeight="1">
      <c r="A294" s="125"/>
      <c r="B294" s="125"/>
      <c r="C294" s="125"/>
      <c r="D294" s="125"/>
      <c r="E294" s="125"/>
      <c r="F294" s="125"/>
      <c r="G294" s="125"/>
      <c r="H294" s="125"/>
      <c r="I294" s="627" t="s">
        <v>51</v>
      </c>
      <c r="J294" s="125" t="s">
        <v>51</v>
      </c>
      <c r="K294" s="125" t="s">
        <v>51</v>
      </c>
      <c r="L294" s="125" t="s">
        <v>51</v>
      </c>
      <c r="M294" s="125" t="str">
        <f t="shared" si="1"/>
        <v/>
      </c>
      <c r="N294" s="125" t="str">
        <f t="shared" si="2"/>
        <v/>
      </c>
      <c r="O294" s="125"/>
      <c r="P294" s="125"/>
      <c r="Q294" s="125"/>
      <c r="R294" s="125"/>
      <c r="S294" s="628">
        <f t="shared" si="3"/>
        <v>0</v>
      </c>
      <c r="T294" s="627" t="s">
        <v>51</v>
      </c>
      <c r="U294" s="627" t="s">
        <v>51</v>
      </c>
      <c r="V294" s="627" t="s">
        <v>51</v>
      </c>
      <c r="W294" s="627" t="s">
        <v>51</v>
      </c>
      <c r="X294" s="627" t="s">
        <v>51</v>
      </c>
      <c r="Y294" s="89"/>
    </row>
    <row r="295" ht="22.5" customHeight="1">
      <c r="A295" s="125"/>
      <c r="B295" s="125"/>
      <c r="C295" s="125"/>
      <c r="D295" s="125"/>
      <c r="E295" s="125"/>
      <c r="F295" s="125"/>
      <c r="G295" s="125"/>
      <c r="H295" s="125"/>
      <c r="I295" s="627" t="s">
        <v>51</v>
      </c>
      <c r="J295" s="125" t="s">
        <v>51</v>
      </c>
      <c r="K295" s="125" t="s">
        <v>51</v>
      </c>
      <c r="L295" s="125" t="s">
        <v>51</v>
      </c>
      <c r="M295" s="125" t="str">
        <f t="shared" si="1"/>
        <v/>
      </c>
      <c r="N295" s="125" t="str">
        <f t="shared" si="2"/>
        <v/>
      </c>
      <c r="O295" s="125"/>
      <c r="P295" s="125"/>
      <c r="Q295" s="125"/>
      <c r="R295" s="125"/>
      <c r="S295" s="628">
        <f t="shared" si="3"/>
        <v>0</v>
      </c>
      <c r="T295" s="627" t="s">
        <v>51</v>
      </c>
      <c r="U295" s="627" t="s">
        <v>51</v>
      </c>
      <c r="V295" s="627" t="s">
        <v>51</v>
      </c>
      <c r="W295" s="627" t="s">
        <v>51</v>
      </c>
      <c r="X295" s="627" t="s">
        <v>51</v>
      </c>
      <c r="Y295" s="89"/>
    </row>
    <row r="296" ht="22.5" customHeight="1">
      <c r="A296" s="125"/>
      <c r="B296" s="125"/>
      <c r="C296" s="125"/>
      <c r="D296" s="125"/>
      <c r="E296" s="125"/>
      <c r="F296" s="125"/>
      <c r="G296" s="125"/>
      <c r="H296" s="125"/>
      <c r="I296" s="627" t="s">
        <v>51</v>
      </c>
      <c r="J296" s="125" t="s">
        <v>51</v>
      </c>
      <c r="K296" s="125" t="s">
        <v>51</v>
      </c>
      <c r="L296" s="125" t="s">
        <v>51</v>
      </c>
      <c r="M296" s="125" t="str">
        <f t="shared" si="1"/>
        <v/>
      </c>
      <c r="N296" s="125" t="str">
        <f t="shared" si="2"/>
        <v/>
      </c>
      <c r="O296" s="125"/>
      <c r="P296" s="125"/>
      <c r="Q296" s="125"/>
      <c r="R296" s="125"/>
      <c r="S296" s="628">
        <f t="shared" si="3"/>
        <v>0</v>
      </c>
      <c r="T296" s="627" t="s">
        <v>51</v>
      </c>
      <c r="U296" s="627" t="s">
        <v>51</v>
      </c>
      <c r="V296" s="627" t="s">
        <v>51</v>
      </c>
      <c r="W296" s="627" t="s">
        <v>51</v>
      </c>
      <c r="X296" s="627" t="s">
        <v>51</v>
      </c>
      <c r="Y296" s="89"/>
    </row>
    <row r="297" ht="22.5" customHeight="1">
      <c r="A297" s="125"/>
      <c r="B297" s="125"/>
      <c r="C297" s="125"/>
      <c r="D297" s="125"/>
      <c r="E297" s="125"/>
      <c r="F297" s="125"/>
      <c r="G297" s="125"/>
      <c r="H297" s="125"/>
      <c r="I297" s="627" t="s">
        <v>51</v>
      </c>
      <c r="J297" s="125" t="s">
        <v>51</v>
      </c>
      <c r="K297" s="125" t="s">
        <v>51</v>
      </c>
      <c r="L297" s="125" t="s">
        <v>51</v>
      </c>
      <c r="M297" s="125" t="str">
        <f t="shared" si="1"/>
        <v/>
      </c>
      <c r="N297" s="125" t="str">
        <f t="shared" si="2"/>
        <v/>
      </c>
      <c r="O297" s="125"/>
      <c r="P297" s="125"/>
      <c r="Q297" s="125"/>
      <c r="R297" s="125"/>
      <c r="S297" s="628">
        <f t="shared" si="3"/>
        <v>0</v>
      </c>
      <c r="T297" s="627" t="s">
        <v>51</v>
      </c>
      <c r="U297" s="627" t="s">
        <v>51</v>
      </c>
      <c r="V297" s="627" t="s">
        <v>51</v>
      </c>
      <c r="W297" s="627" t="s">
        <v>51</v>
      </c>
      <c r="X297" s="627" t="s">
        <v>51</v>
      </c>
      <c r="Y297" s="89"/>
    </row>
    <row r="298" ht="22.5" customHeight="1">
      <c r="A298" s="125"/>
      <c r="B298" s="125"/>
      <c r="C298" s="125"/>
      <c r="D298" s="125"/>
      <c r="E298" s="125"/>
      <c r="F298" s="125"/>
      <c r="G298" s="125"/>
      <c r="H298" s="125"/>
      <c r="I298" s="627" t="s">
        <v>51</v>
      </c>
      <c r="J298" s="125" t="s">
        <v>51</v>
      </c>
      <c r="K298" s="125" t="s">
        <v>51</v>
      </c>
      <c r="L298" s="125" t="s">
        <v>51</v>
      </c>
      <c r="M298" s="125" t="str">
        <f t="shared" si="1"/>
        <v/>
      </c>
      <c r="N298" s="125" t="str">
        <f t="shared" si="2"/>
        <v/>
      </c>
      <c r="O298" s="125"/>
      <c r="P298" s="125"/>
      <c r="Q298" s="125"/>
      <c r="R298" s="125"/>
      <c r="S298" s="628">
        <f t="shared" si="3"/>
        <v>0</v>
      </c>
      <c r="T298" s="627" t="s">
        <v>51</v>
      </c>
      <c r="U298" s="627" t="s">
        <v>51</v>
      </c>
      <c r="V298" s="627" t="s">
        <v>51</v>
      </c>
      <c r="W298" s="627" t="s">
        <v>51</v>
      </c>
      <c r="X298" s="627" t="s">
        <v>51</v>
      </c>
      <c r="Y298" s="89"/>
    </row>
    <row r="299" ht="22.5" customHeight="1">
      <c r="A299" s="125"/>
      <c r="B299" s="125"/>
      <c r="C299" s="125"/>
      <c r="D299" s="125"/>
      <c r="E299" s="125"/>
      <c r="F299" s="125"/>
      <c r="G299" s="125"/>
      <c r="H299" s="125"/>
      <c r="I299" s="627" t="s">
        <v>51</v>
      </c>
      <c r="J299" s="125" t="s">
        <v>51</v>
      </c>
      <c r="K299" s="125" t="s">
        <v>51</v>
      </c>
      <c r="L299" s="125" t="s">
        <v>51</v>
      </c>
      <c r="M299" s="125" t="str">
        <f t="shared" si="1"/>
        <v/>
      </c>
      <c r="N299" s="125" t="str">
        <f t="shared" si="2"/>
        <v/>
      </c>
      <c r="O299" s="125"/>
      <c r="P299" s="125"/>
      <c r="Q299" s="125"/>
      <c r="R299" s="125"/>
      <c r="S299" s="628">
        <f t="shared" si="3"/>
        <v>0</v>
      </c>
      <c r="T299" s="627" t="s">
        <v>51</v>
      </c>
      <c r="U299" s="627" t="s">
        <v>51</v>
      </c>
      <c r="V299" s="627" t="s">
        <v>51</v>
      </c>
      <c r="W299" s="627" t="s">
        <v>51</v>
      </c>
      <c r="X299" s="627" t="s">
        <v>51</v>
      </c>
      <c r="Y299" s="89"/>
    </row>
    <row r="300" ht="22.5" customHeight="1">
      <c r="A300" s="125"/>
      <c r="B300" s="125"/>
      <c r="C300" s="125"/>
      <c r="D300" s="125"/>
      <c r="E300" s="125"/>
      <c r="F300" s="125"/>
      <c r="G300" s="125"/>
      <c r="H300" s="125"/>
      <c r="I300" s="627" t="s">
        <v>51</v>
      </c>
      <c r="J300" s="125" t="s">
        <v>51</v>
      </c>
      <c r="K300" s="125" t="s">
        <v>51</v>
      </c>
      <c r="L300" s="125" t="s">
        <v>51</v>
      </c>
      <c r="M300" s="125" t="str">
        <f t="shared" si="1"/>
        <v/>
      </c>
      <c r="N300" s="125" t="str">
        <f t="shared" si="2"/>
        <v/>
      </c>
      <c r="O300" s="125"/>
      <c r="P300" s="125"/>
      <c r="Q300" s="125"/>
      <c r="R300" s="125"/>
      <c r="S300" s="628">
        <f t="shared" si="3"/>
        <v>0</v>
      </c>
      <c r="T300" s="627" t="s">
        <v>51</v>
      </c>
      <c r="U300" s="627" t="s">
        <v>51</v>
      </c>
      <c r="V300" s="627" t="s">
        <v>51</v>
      </c>
      <c r="W300" s="627" t="s">
        <v>51</v>
      </c>
      <c r="X300" s="627" t="s">
        <v>51</v>
      </c>
      <c r="Y300" s="89"/>
    </row>
    <row r="301" ht="22.5" customHeight="1">
      <c r="A301" s="125"/>
      <c r="B301" s="125"/>
      <c r="C301" s="125"/>
      <c r="D301" s="125"/>
      <c r="E301" s="125"/>
      <c r="F301" s="125"/>
      <c r="G301" s="125"/>
      <c r="H301" s="125"/>
      <c r="I301" s="627" t="s">
        <v>51</v>
      </c>
      <c r="J301" s="125" t="s">
        <v>51</v>
      </c>
      <c r="K301" s="125" t="s">
        <v>51</v>
      </c>
      <c r="L301" s="125" t="s">
        <v>51</v>
      </c>
      <c r="M301" s="125" t="str">
        <f t="shared" si="1"/>
        <v/>
      </c>
      <c r="N301" s="125" t="str">
        <f t="shared" si="2"/>
        <v/>
      </c>
      <c r="O301" s="125"/>
      <c r="P301" s="125"/>
      <c r="Q301" s="125"/>
      <c r="R301" s="125"/>
      <c r="S301" s="628">
        <f t="shared" si="3"/>
        <v>0</v>
      </c>
      <c r="T301" s="627" t="s">
        <v>51</v>
      </c>
      <c r="U301" s="627" t="s">
        <v>51</v>
      </c>
      <c r="V301" s="627" t="s">
        <v>51</v>
      </c>
      <c r="W301" s="627" t="s">
        <v>51</v>
      </c>
      <c r="X301" s="627" t="s">
        <v>51</v>
      </c>
      <c r="Y301" s="89"/>
    </row>
    <row r="302" ht="22.5" customHeight="1">
      <c r="A302" s="125"/>
      <c r="B302" s="125"/>
      <c r="C302" s="125"/>
      <c r="D302" s="125"/>
      <c r="E302" s="125"/>
      <c r="F302" s="125"/>
      <c r="G302" s="125"/>
      <c r="H302" s="125"/>
      <c r="I302" s="627" t="s">
        <v>51</v>
      </c>
      <c r="J302" s="125" t="s">
        <v>51</v>
      </c>
      <c r="K302" s="125" t="s">
        <v>51</v>
      </c>
      <c r="L302" s="125" t="s">
        <v>51</v>
      </c>
      <c r="M302" s="125" t="str">
        <f t="shared" si="1"/>
        <v/>
      </c>
      <c r="N302" s="125" t="str">
        <f t="shared" si="2"/>
        <v/>
      </c>
      <c r="O302" s="125"/>
      <c r="P302" s="125"/>
      <c r="Q302" s="125"/>
      <c r="R302" s="125"/>
      <c r="S302" s="628">
        <f t="shared" si="3"/>
        <v>0</v>
      </c>
      <c r="T302" s="627" t="s">
        <v>51</v>
      </c>
      <c r="U302" s="627" t="s">
        <v>51</v>
      </c>
      <c r="V302" s="627" t="s">
        <v>51</v>
      </c>
      <c r="W302" s="627" t="s">
        <v>51</v>
      </c>
      <c r="X302" s="627" t="s">
        <v>51</v>
      </c>
      <c r="Y302" s="89"/>
    </row>
    <row r="303" ht="22.5" customHeight="1">
      <c r="A303" s="125"/>
      <c r="B303" s="125"/>
      <c r="C303" s="125"/>
      <c r="D303" s="125"/>
      <c r="E303" s="125"/>
      <c r="F303" s="125"/>
      <c r="G303" s="125"/>
      <c r="H303" s="125"/>
      <c r="I303" s="627" t="s">
        <v>51</v>
      </c>
      <c r="J303" s="125" t="s">
        <v>51</v>
      </c>
      <c r="K303" s="125" t="s">
        <v>51</v>
      </c>
      <c r="L303" s="125" t="s">
        <v>51</v>
      </c>
      <c r="M303" s="125" t="str">
        <f t="shared" si="1"/>
        <v/>
      </c>
      <c r="N303" s="125" t="str">
        <f t="shared" si="2"/>
        <v/>
      </c>
      <c r="O303" s="125"/>
      <c r="P303" s="125"/>
      <c r="Q303" s="125"/>
      <c r="R303" s="125"/>
      <c r="S303" s="628">
        <f t="shared" si="3"/>
        <v>0</v>
      </c>
      <c r="T303" s="627" t="s">
        <v>51</v>
      </c>
      <c r="U303" s="627" t="s">
        <v>51</v>
      </c>
      <c r="V303" s="627" t="s">
        <v>51</v>
      </c>
      <c r="W303" s="627" t="s">
        <v>51</v>
      </c>
      <c r="X303" s="627" t="s">
        <v>51</v>
      </c>
      <c r="Y303" s="89"/>
    </row>
    <row r="304" ht="22.5" customHeight="1">
      <c r="A304" s="125"/>
      <c r="B304" s="125"/>
      <c r="C304" s="125"/>
      <c r="D304" s="125"/>
      <c r="E304" s="125"/>
      <c r="F304" s="125"/>
      <c r="G304" s="125"/>
      <c r="H304" s="125"/>
      <c r="I304" s="627" t="s">
        <v>51</v>
      </c>
      <c r="J304" s="125" t="s">
        <v>51</v>
      </c>
      <c r="K304" s="125" t="s">
        <v>51</v>
      </c>
      <c r="L304" s="125" t="s">
        <v>51</v>
      </c>
      <c r="M304" s="125" t="str">
        <f t="shared" si="1"/>
        <v/>
      </c>
      <c r="N304" s="125" t="str">
        <f t="shared" si="2"/>
        <v/>
      </c>
      <c r="O304" s="125"/>
      <c r="P304" s="125"/>
      <c r="Q304" s="125"/>
      <c r="R304" s="125"/>
      <c r="S304" s="628">
        <f t="shared" si="3"/>
        <v>0</v>
      </c>
      <c r="T304" s="627" t="s">
        <v>51</v>
      </c>
      <c r="U304" s="627" t="s">
        <v>51</v>
      </c>
      <c r="V304" s="627" t="s">
        <v>51</v>
      </c>
      <c r="W304" s="627" t="s">
        <v>51</v>
      </c>
      <c r="X304" s="627" t="s">
        <v>51</v>
      </c>
      <c r="Y304" s="89"/>
    </row>
    <row r="305" ht="22.5" customHeight="1">
      <c r="A305" s="125"/>
      <c r="B305" s="125"/>
      <c r="C305" s="125"/>
      <c r="D305" s="125"/>
      <c r="E305" s="125"/>
      <c r="F305" s="125"/>
      <c r="G305" s="125"/>
      <c r="H305" s="125"/>
      <c r="I305" s="627" t="s">
        <v>51</v>
      </c>
      <c r="J305" s="125" t="s">
        <v>51</v>
      </c>
      <c r="K305" s="125" t="s">
        <v>51</v>
      </c>
      <c r="L305" s="125" t="s">
        <v>51</v>
      </c>
      <c r="M305" s="125" t="str">
        <f t="shared" si="1"/>
        <v/>
      </c>
      <c r="N305" s="125" t="str">
        <f t="shared" si="2"/>
        <v/>
      </c>
      <c r="O305" s="125"/>
      <c r="P305" s="125"/>
      <c r="Q305" s="125"/>
      <c r="R305" s="125"/>
      <c r="S305" s="628">
        <f t="shared" si="3"/>
        <v>0</v>
      </c>
      <c r="T305" s="627" t="s">
        <v>51</v>
      </c>
      <c r="U305" s="627" t="s">
        <v>51</v>
      </c>
      <c r="V305" s="627" t="s">
        <v>51</v>
      </c>
      <c r="W305" s="627" t="s">
        <v>51</v>
      </c>
      <c r="X305" s="627" t="s">
        <v>51</v>
      </c>
      <c r="Y305" s="89"/>
    </row>
    <row r="306" ht="22.5" customHeight="1">
      <c r="A306" s="125"/>
      <c r="B306" s="125"/>
      <c r="C306" s="125"/>
      <c r="D306" s="125"/>
      <c r="E306" s="125"/>
      <c r="F306" s="125"/>
      <c r="G306" s="125"/>
      <c r="H306" s="125"/>
      <c r="I306" s="627" t="s">
        <v>51</v>
      </c>
      <c r="J306" s="125" t="s">
        <v>51</v>
      </c>
      <c r="K306" s="125" t="s">
        <v>51</v>
      </c>
      <c r="L306" s="125" t="s">
        <v>51</v>
      </c>
      <c r="M306" s="125" t="str">
        <f t="shared" si="1"/>
        <v/>
      </c>
      <c r="N306" s="125" t="str">
        <f t="shared" si="2"/>
        <v/>
      </c>
      <c r="O306" s="125"/>
      <c r="P306" s="125"/>
      <c r="Q306" s="125"/>
      <c r="R306" s="125"/>
      <c r="S306" s="628">
        <f t="shared" si="3"/>
        <v>0</v>
      </c>
      <c r="T306" s="627" t="s">
        <v>51</v>
      </c>
      <c r="U306" s="627" t="s">
        <v>51</v>
      </c>
      <c r="V306" s="627" t="s">
        <v>51</v>
      </c>
      <c r="W306" s="627" t="s">
        <v>51</v>
      </c>
      <c r="X306" s="627" t="s">
        <v>51</v>
      </c>
      <c r="Y306" s="89"/>
    </row>
    <row r="307" ht="22.5" customHeight="1">
      <c r="A307" s="125"/>
      <c r="B307" s="125"/>
      <c r="C307" s="125"/>
      <c r="D307" s="125"/>
      <c r="E307" s="125"/>
      <c r="F307" s="125"/>
      <c r="G307" s="125"/>
      <c r="H307" s="125"/>
      <c r="I307" s="627" t="s">
        <v>51</v>
      </c>
      <c r="J307" s="125" t="s">
        <v>51</v>
      </c>
      <c r="K307" s="125" t="s">
        <v>51</v>
      </c>
      <c r="L307" s="125" t="s">
        <v>51</v>
      </c>
      <c r="M307" s="125" t="str">
        <f t="shared" si="1"/>
        <v/>
      </c>
      <c r="N307" s="125" t="str">
        <f t="shared" si="2"/>
        <v/>
      </c>
      <c r="O307" s="125"/>
      <c r="P307" s="125"/>
      <c r="Q307" s="125"/>
      <c r="R307" s="125"/>
      <c r="S307" s="628">
        <f t="shared" si="3"/>
        <v>0</v>
      </c>
      <c r="T307" s="627" t="s">
        <v>51</v>
      </c>
      <c r="U307" s="627" t="s">
        <v>51</v>
      </c>
      <c r="V307" s="627" t="s">
        <v>51</v>
      </c>
      <c r="W307" s="627" t="s">
        <v>51</v>
      </c>
      <c r="X307" s="627" t="s">
        <v>51</v>
      </c>
      <c r="Y307" s="89"/>
    </row>
    <row r="308" ht="22.5" customHeight="1">
      <c r="A308" s="125"/>
      <c r="B308" s="125"/>
      <c r="C308" s="125"/>
      <c r="D308" s="125"/>
      <c r="E308" s="125"/>
      <c r="F308" s="125"/>
      <c r="G308" s="125"/>
      <c r="H308" s="125"/>
      <c r="I308" s="627" t="s">
        <v>51</v>
      </c>
      <c r="J308" s="125" t="s">
        <v>51</v>
      </c>
      <c r="K308" s="125" t="s">
        <v>51</v>
      </c>
      <c r="L308" s="125" t="s">
        <v>51</v>
      </c>
      <c r="M308" s="125" t="str">
        <f t="shared" si="1"/>
        <v/>
      </c>
      <c r="N308" s="125" t="str">
        <f t="shared" si="2"/>
        <v/>
      </c>
      <c r="O308" s="125"/>
      <c r="P308" s="125"/>
      <c r="Q308" s="125"/>
      <c r="R308" s="125"/>
      <c r="S308" s="628">
        <f t="shared" si="3"/>
        <v>0</v>
      </c>
      <c r="T308" s="627" t="s">
        <v>51</v>
      </c>
      <c r="U308" s="627" t="s">
        <v>51</v>
      </c>
      <c r="V308" s="627" t="s">
        <v>51</v>
      </c>
      <c r="W308" s="627" t="s">
        <v>51</v>
      </c>
      <c r="X308" s="627" t="s">
        <v>51</v>
      </c>
      <c r="Y308" s="89"/>
    </row>
    <row r="309" ht="22.5" customHeight="1">
      <c r="A309" s="125"/>
      <c r="B309" s="125"/>
      <c r="C309" s="125"/>
      <c r="D309" s="125"/>
      <c r="E309" s="125"/>
      <c r="F309" s="125"/>
      <c r="G309" s="125"/>
      <c r="H309" s="125"/>
      <c r="I309" s="627" t="s">
        <v>51</v>
      </c>
      <c r="J309" s="125" t="s">
        <v>51</v>
      </c>
      <c r="K309" s="125" t="s">
        <v>51</v>
      </c>
      <c r="L309" s="125" t="s">
        <v>51</v>
      </c>
      <c r="M309" s="125" t="str">
        <f t="shared" si="1"/>
        <v/>
      </c>
      <c r="N309" s="125" t="str">
        <f t="shared" si="2"/>
        <v/>
      </c>
      <c r="O309" s="125"/>
      <c r="P309" s="125"/>
      <c r="Q309" s="125"/>
      <c r="R309" s="125"/>
      <c r="S309" s="628">
        <f t="shared" si="3"/>
        <v>0</v>
      </c>
      <c r="T309" s="627" t="s">
        <v>51</v>
      </c>
      <c r="U309" s="627" t="s">
        <v>51</v>
      </c>
      <c r="V309" s="627" t="s">
        <v>51</v>
      </c>
      <c r="W309" s="627" t="s">
        <v>51</v>
      </c>
      <c r="X309" s="627" t="s">
        <v>51</v>
      </c>
      <c r="Y309" s="89"/>
    </row>
    <row r="310" ht="22.5" customHeight="1">
      <c r="A310" s="125"/>
      <c r="B310" s="125"/>
      <c r="C310" s="125"/>
      <c r="D310" s="125"/>
      <c r="E310" s="125"/>
      <c r="F310" s="125"/>
      <c r="G310" s="125"/>
      <c r="H310" s="125"/>
      <c r="I310" s="627" t="s">
        <v>51</v>
      </c>
      <c r="J310" s="125" t="s">
        <v>51</v>
      </c>
      <c r="K310" s="125" t="s">
        <v>51</v>
      </c>
      <c r="L310" s="125" t="s">
        <v>51</v>
      </c>
      <c r="M310" s="125" t="str">
        <f t="shared" si="1"/>
        <v/>
      </c>
      <c r="N310" s="125" t="str">
        <f t="shared" si="2"/>
        <v/>
      </c>
      <c r="O310" s="125"/>
      <c r="P310" s="125"/>
      <c r="Q310" s="125"/>
      <c r="R310" s="125"/>
      <c r="S310" s="628">
        <f t="shared" si="3"/>
        <v>0</v>
      </c>
      <c r="T310" s="627" t="s">
        <v>51</v>
      </c>
      <c r="U310" s="627" t="s">
        <v>51</v>
      </c>
      <c r="V310" s="627" t="s">
        <v>51</v>
      </c>
      <c r="W310" s="627" t="s">
        <v>51</v>
      </c>
      <c r="X310" s="627" t="s">
        <v>51</v>
      </c>
      <c r="Y310" s="89"/>
    </row>
    <row r="311" ht="22.5" customHeight="1">
      <c r="A311" s="125"/>
      <c r="B311" s="125"/>
      <c r="C311" s="125"/>
      <c r="D311" s="125"/>
      <c r="E311" s="125"/>
      <c r="F311" s="125"/>
      <c r="G311" s="125"/>
      <c r="H311" s="125"/>
      <c r="I311" s="627" t="s">
        <v>51</v>
      </c>
      <c r="J311" s="125" t="s">
        <v>51</v>
      </c>
      <c r="K311" s="125" t="s">
        <v>51</v>
      </c>
      <c r="L311" s="125" t="s">
        <v>51</v>
      </c>
      <c r="M311" s="125" t="str">
        <f t="shared" si="1"/>
        <v/>
      </c>
      <c r="N311" s="125" t="str">
        <f t="shared" si="2"/>
        <v/>
      </c>
      <c r="O311" s="125"/>
      <c r="P311" s="125"/>
      <c r="Q311" s="125"/>
      <c r="R311" s="125"/>
      <c r="S311" s="628">
        <f t="shared" si="3"/>
        <v>0</v>
      </c>
      <c r="T311" s="627" t="s">
        <v>51</v>
      </c>
      <c r="U311" s="627" t="s">
        <v>51</v>
      </c>
      <c r="V311" s="627" t="s">
        <v>51</v>
      </c>
      <c r="W311" s="627" t="s">
        <v>51</v>
      </c>
      <c r="X311" s="627" t="s">
        <v>51</v>
      </c>
      <c r="Y311" s="89"/>
    </row>
    <row r="312" ht="22.5" customHeight="1">
      <c r="A312" s="125"/>
      <c r="B312" s="125"/>
      <c r="C312" s="125"/>
      <c r="D312" s="125"/>
      <c r="E312" s="125"/>
      <c r="F312" s="125"/>
      <c r="G312" s="125"/>
      <c r="H312" s="125"/>
      <c r="I312" s="627" t="s">
        <v>51</v>
      </c>
      <c r="J312" s="125" t="s">
        <v>51</v>
      </c>
      <c r="K312" s="125" t="s">
        <v>51</v>
      </c>
      <c r="L312" s="125" t="s">
        <v>51</v>
      </c>
      <c r="M312" s="125" t="str">
        <f t="shared" si="1"/>
        <v/>
      </c>
      <c r="N312" s="125" t="str">
        <f t="shared" si="2"/>
        <v/>
      </c>
      <c r="O312" s="125"/>
      <c r="P312" s="125"/>
      <c r="Q312" s="125"/>
      <c r="R312" s="125"/>
      <c r="S312" s="628">
        <f t="shared" si="3"/>
        <v>0</v>
      </c>
      <c r="T312" s="627" t="s">
        <v>51</v>
      </c>
      <c r="U312" s="627" t="s">
        <v>51</v>
      </c>
      <c r="V312" s="627" t="s">
        <v>51</v>
      </c>
      <c r="W312" s="627" t="s">
        <v>51</v>
      </c>
      <c r="X312" s="627" t="s">
        <v>51</v>
      </c>
      <c r="Y312" s="89"/>
    </row>
    <row r="313" ht="22.5" customHeight="1">
      <c r="A313" s="125"/>
      <c r="B313" s="125"/>
      <c r="C313" s="125"/>
      <c r="D313" s="125"/>
      <c r="E313" s="125"/>
      <c r="F313" s="125"/>
      <c r="G313" s="125"/>
      <c r="H313" s="125"/>
      <c r="I313" s="627" t="s">
        <v>51</v>
      </c>
      <c r="J313" s="125" t="s">
        <v>51</v>
      </c>
      <c r="K313" s="125" t="s">
        <v>51</v>
      </c>
      <c r="L313" s="125" t="s">
        <v>51</v>
      </c>
      <c r="M313" s="125" t="str">
        <f t="shared" si="1"/>
        <v/>
      </c>
      <c r="N313" s="125" t="str">
        <f t="shared" si="2"/>
        <v/>
      </c>
      <c r="O313" s="125"/>
      <c r="P313" s="125"/>
      <c r="Q313" s="125"/>
      <c r="R313" s="125"/>
      <c r="S313" s="628">
        <f t="shared" si="3"/>
        <v>0</v>
      </c>
      <c r="T313" s="627" t="s">
        <v>51</v>
      </c>
      <c r="U313" s="627" t="s">
        <v>51</v>
      </c>
      <c r="V313" s="627" t="s">
        <v>51</v>
      </c>
      <c r="W313" s="627" t="s">
        <v>51</v>
      </c>
      <c r="X313" s="627" t="s">
        <v>51</v>
      </c>
      <c r="Y313" s="89"/>
    </row>
    <row r="314" ht="22.5" customHeight="1">
      <c r="A314" s="125"/>
      <c r="B314" s="125"/>
      <c r="C314" s="125"/>
      <c r="D314" s="125"/>
      <c r="E314" s="125"/>
      <c r="F314" s="125"/>
      <c r="G314" s="125"/>
      <c r="H314" s="125"/>
      <c r="I314" s="627" t="s">
        <v>51</v>
      </c>
      <c r="J314" s="125" t="s">
        <v>51</v>
      </c>
      <c r="K314" s="125" t="s">
        <v>51</v>
      </c>
      <c r="L314" s="125" t="s">
        <v>51</v>
      </c>
      <c r="M314" s="125" t="str">
        <f t="shared" si="1"/>
        <v/>
      </c>
      <c r="N314" s="125" t="str">
        <f t="shared" si="2"/>
        <v/>
      </c>
      <c r="O314" s="125"/>
      <c r="P314" s="125"/>
      <c r="Q314" s="125"/>
      <c r="R314" s="125"/>
      <c r="S314" s="628">
        <f t="shared" si="3"/>
        <v>0</v>
      </c>
      <c r="T314" s="627" t="s">
        <v>51</v>
      </c>
      <c r="U314" s="627" t="s">
        <v>51</v>
      </c>
      <c r="V314" s="627" t="s">
        <v>51</v>
      </c>
      <c r="W314" s="627" t="s">
        <v>51</v>
      </c>
      <c r="X314" s="627" t="s">
        <v>51</v>
      </c>
      <c r="Y314" s="89"/>
    </row>
    <row r="315" ht="22.5" customHeight="1">
      <c r="A315" s="125"/>
      <c r="B315" s="125"/>
      <c r="C315" s="125"/>
      <c r="D315" s="125"/>
      <c r="E315" s="125"/>
      <c r="F315" s="125"/>
      <c r="G315" s="125"/>
      <c r="H315" s="125"/>
      <c r="I315" s="627" t="s">
        <v>51</v>
      </c>
      <c r="J315" s="125" t="s">
        <v>51</v>
      </c>
      <c r="K315" s="125" t="s">
        <v>51</v>
      </c>
      <c r="L315" s="125" t="s">
        <v>51</v>
      </c>
      <c r="M315" s="125" t="str">
        <f t="shared" si="1"/>
        <v/>
      </c>
      <c r="N315" s="125" t="str">
        <f t="shared" si="2"/>
        <v/>
      </c>
      <c r="O315" s="125"/>
      <c r="P315" s="125"/>
      <c r="Q315" s="125"/>
      <c r="R315" s="125"/>
      <c r="S315" s="628">
        <f t="shared" si="3"/>
        <v>0</v>
      </c>
      <c r="T315" s="627" t="s">
        <v>51</v>
      </c>
      <c r="U315" s="627" t="s">
        <v>51</v>
      </c>
      <c r="V315" s="627" t="s">
        <v>51</v>
      </c>
      <c r="W315" s="627" t="s">
        <v>51</v>
      </c>
      <c r="X315" s="627" t="s">
        <v>51</v>
      </c>
      <c r="Y315" s="89"/>
    </row>
    <row r="316" ht="22.5" customHeight="1">
      <c r="A316" s="125"/>
      <c r="B316" s="125"/>
      <c r="C316" s="125"/>
      <c r="D316" s="125"/>
      <c r="E316" s="125"/>
      <c r="F316" s="125"/>
      <c r="G316" s="125"/>
      <c r="H316" s="125"/>
      <c r="I316" s="627" t="s">
        <v>51</v>
      </c>
      <c r="J316" s="125" t="s">
        <v>51</v>
      </c>
      <c r="K316" s="125" t="s">
        <v>51</v>
      </c>
      <c r="L316" s="125" t="s">
        <v>51</v>
      </c>
      <c r="M316" s="125" t="str">
        <f t="shared" si="1"/>
        <v/>
      </c>
      <c r="N316" s="125" t="str">
        <f t="shared" si="2"/>
        <v/>
      </c>
      <c r="O316" s="125"/>
      <c r="P316" s="125"/>
      <c r="Q316" s="125"/>
      <c r="R316" s="125"/>
      <c r="S316" s="628">
        <f t="shared" si="3"/>
        <v>0</v>
      </c>
      <c r="T316" s="627" t="s">
        <v>51</v>
      </c>
      <c r="U316" s="627" t="s">
        <v>51</v>
      </c>
      <c r="V316" s="627" t="s">
        <v>51</v>
      </c>
      <c r="W316" s="627" t="s">
        <v>51</v>
      </c>
      <c r="X316" s="627" t="s">
        <v>51</v>
      </c>
      <c r="Y316" s="89"/>
    </row>
    <row r="317" ht="22.5" customHeight="1">
      <c r="A317" s="125"/>
      <c r="B317" s="125"/>
      <c r="C317" s="125"/>
      <c r="D317" s="125"/>
      <c r="E317" s="125"/>
      <c r="F317" s="125"/>
      <c r="G317" s="125"/>
      <c r="H317" s="125"/>
      <c r="I317" s="627" t="s">
        <v>51</v>
      </c>
      <c r="J317" s="125" t="s">
        <v>51</v>
      </c>
      <c r="K317" s="125" t="s">
        <v>51</v>
      </c>
      <c r="L317" s="125" t="s">
        <v>51</v>
      </c>
      <c r="M317" s="125" t="str">
        <f t="shared" si="1"/>
        <v/>
      </c>
      <c r="N317" s="125" t="str">
        <f t="shared" si="2"/>
        <v/>
      </c>
      <c r="O317" s="125"/>
      <c r="P317" s="125"/>
      <c r="Q317" s="125"/>
      <c r="R317" s="125"/>
      <c r="S317" s="628">
        <f t="shared" si="3"/>
        <v>0</v>
      </c>
      <c r="T317" s="627" t="s">
        <v>51</v>
      </c>
      <c r="U317" s="627" t="s">
        <v>51</v>
      </c>
      <c r="V317" s="627" t="s">
        <v>51</v>
      </c>
      <c r="W317" s="627" t="s">
        <v>51</v>
      </c>
      <c r="X317" s="627" t="s">
        <v>51</v>
      </c>
      <c r="Y317" s="89"/>
    </row>
    <row r="318" ht="22.5" customHeight="1">
      <c r="A318" s="125"/>
      <c r="B318" s="125"/>
      <c r="C318" s="125"/>
      <c r="D318" s="125"/>
      <c r="E318" s="125"/>
      <c r="F318" s="125"/>
      <c r="G318" s="125"/>
      <c r="H318" s="125"/>
      <c r="I318" s="627" t="s">
        <v>51</v>
      </c>
      <c r="J318" s="125" t="s">
        <v>51</v>
      </c>
      <c r="K318" s="125" t="s">
        <v>51</v>
      </c>
      <c r="L318" s="125" t="s">
        <v>51</v>
      </c>
      <c r="M318" s="125" t="str">
        <f t="shared" si="1"/>
        <v/>
      </c>
      <c r="N318" s="125" t="str">
        <f t="shared" si="2"/>
        <v/>
      </c>
      <c r="O318" s="125"/>
      <c r="P318" s="125"/>
      <c r="Q318" s="125"/>
      <c r="R318" s="125"/>
      <c r="S318" s="628">
        <f t="shared" si="3"/>
        <v>0</v>
      </c>
      <c r="T318" s="627" t="s">
        <v>51</v>
      </c>
      <c r="U318" s="627" t="s">
        <v>51</v>
      </c>
      <c r="V318" s="627" t="s">
        <v>51</v>
      </c>
      <c r="W318" s="627" t="s">
        <v>51</v>
      </c>
      <c r="X318" s="627" t="s">
        <v>51</v>
      </c>
      <c r="Y318" s="89"/>
    </row>
    <row r="319" ht="22.5" customHeight="1">
      <c r="A319" s="125"/>
      <c r="B319" s="125"/>
      <c r="C319" s="125"/>
      <c r="D319" s="125"/>
      <c r="E319" s="125"/>
      <c r="F319" s="125"/>
      <c r="G319" s="125"/>
      <c r="H319" s="125"/>
      <c r="I319" s="627" t="s">
        <v>51</v>
      </c>
      <c r="J319" s="125" t="s">
        <v>51</v>
      </c>
      <c r="K319" s="125" t="s">
        <v>51</v>
      </c>
      <c r="L319" s="125" t="s">
        <v>51</v>
      </c>
      <c r="M319" s="125" t="str">
        <f t="shared" si="1"/>
        <v/>
      </c>
      <c r="N319" s="125" t="str">
        <f t="shared" si="2"/>
        <v/>
      </c>
      <c r="O319" s="125"/>
      <c r="P319" s="125"/>
      <c r="Q319" s="125"/>
      <c r="R319" s="125"/>
      <c r="S319" s="628">
        <f t="shared" si="3"/>
        <v>0</v>
      </c>
      <c r="T319" s="627" t="s">
        <v>51</v>
      </c>
      <c r="U319" s="627" t="s">
        <v>51</v>
      </c>
      <c r="V319" s="627" t="s">
        <v>51</v>
      </c>
      <c r="W319" s="627" t="s">
        <v>51</v>
      </c>
      <c r="X319" s="627" t="s">
        <v>51</v>
      </c>
      <c r="Y319" s="89"/>
    </row>
    <row r="320" ht="22.5" customHeight="1">
      <c r="A320" s="125"/>
      <c r="B320" s="125"/>
      <c r="C320" s="125"/>
      <c r="D320" s="125"/>
      <c r="E320" s="125"/>
      <c r="F320" s="125"/>
      <c r="G320" s="125"/>
      <c r="H320" s="125"/>
      <c r="I320" s="627" t="s">
        <v>51</v>
      </c>
      <c r="J320" s="125" t="s">
        <v>51</v>
      </c>
      <c r="K320" s="125" t="s">
        <v>51</v>
      </c>
      <c r="L320" s="125" t="s">
        <v>51</v>
      </c>
      <c r="M320" s="125" t="str">
        <f t="shared" si="1"/>
        <v/>
      </c>
      <c r="N320" s="125" t="str">
        <f t="shared" si="2"/>
        <v/>
      </c>
      <c r="O320" s="125"/>
      <c r="P320" s="125"/>
      <c r="Q320" s="125"/>
      <c r="R320" s="125"/>
      <c r="S320" s="628">
        <f t="shared" si="3"/>
        <v>0</v>
      </c>
      <c r="T320" s="627" t="s">
        <v>51</v>
      </c>
      <c r="U320" s="627" t="s">
        <v>51</v>
      </c>
      <c r="V320" s="627" t="s">
        <v>51</v>
      </c>
      <c r="W320" s="627" t="s">
        <v>51</v>
      </c>
      <c r="X320" s="627" t="s">
        <v>51</v>
      </c>
      <c r="Y320" s="89"/>
    </row>
    <row r="321" ht="22.5" customHeight="1">
      <c r="A321" s="125"/>
      <c r="B321" s="125"/>
      <c r="C321" s="125"/>
      <c r="D321" s="125"/>
      <c r="E321" s="125"/>
      <c r="F321" s="125"/>
      <c r="G321" s="125"/>
      <c r="H321" s="125"/>
      <c r="I321" s="627" t="s">
        <v>51</v>
      </c>
      <c r="J321" s="125" t="s">
        <v>51</v>
      </c>
      <c r="K321" s="125" t="s">
        <v>51</v>
      </c>
      <c r="L321" s="125" t="s">
        <v>51</v>
      </c>
      <c r="M321" s="125" t="str">
        <f t="shared" si="1"/>
        <v/>
      </c>
      <c r="N321" s="125" t="str">
        <f t="shared" si="2"/>
        <v/>
      </c>
      <c r="O321" s="125"/>
      <c r="P321" s="125"/>
      <c r="Q321" s="125"/>
      <c r="R321" s="125"/>
      <c r="S321" s="628">
        <f t="shared" si="3"/>
        <v>0</v>
      </c>
      <c r="T321" s="627" t="s">
        <v>51</v>
      </c>
      <c r="U321" s="627" t="s">
        <v>51</v>
      </c>
      <c r="V321" s="627" t="s">
        <v>51</v>
      </c>
      <c r="W321" s="627" t="s">
        <v>51</v>
      </c>
      <c r="X321" s="627" t="s">
        <v>51</v>
      </c>
      <c r="Y321" s="89"/>
    </row>
    <row r="322" ht="22.5" customHeight="1">
      <c r="A322" s="125"/>
      <c r="B322" s="125"/>
      <c r="C322" s="125"/>
      <c r="D322" s="125"/>
      <c r="E322" s="125"/>
      <c r="F322" s="125"/>
      <c r="G322" s="125"/>
      <c r="H322" s="125"/>
      <c r="I322" s="627" t="s">
        <v>51</v>
      </c>
      <c r="J322" s="125" t="s">
        <v>51</v>
      </c>
      <c r="K322" s="125" t="s">
        <v>51</v>
      </c>
      <c r="L322" s="125" t="s">
        <v>51</v>
      </c>
      <c r="M322" s="125" t="str">
        <f t="shared" si="1"/>
        <v/>
      </c>
      <c r="N322" s="125" t="str">
        <f t="shared" si="2"/>
        <v/>
      </c>
      <c r="O322" s="125"/>
      <c r="P322" s="125"/>
      <c r="Q322" s="125"/>
      <c r="R322" s="125"/>
      <c r="S322" s="628">
        <f t="shared" si="3"/>
        <v>0</v>
      </c>
      <c r="T322" s="627" t="s">
        <v>51</v>
      </c>
      <c r="U322" s="627" t="s">
        <v>51</v>
      </c>
      <c r="V322" s="627" t="s">
        <v>51</v>
      </c>
      <c r="W322" s="627" t="s">
        <v>51</v>
      </c>
      <c r="X322" s="627" t="s">
        <v>51</v>
      </c>
      <c r="Y322" s="89"/>
    </row>
    <row r="323" ht="22.5" customHeight="1">
      <c r="A323" s="125"/>
      <c r="B323" s="125"/>
      <c r="C323" s="125"/>
      <c r="D323" s="125"/>
      <c r="E323" s="125"/>
      <c r="F323" s="125"/>
      <c r="G323" s="125"/>
      <c r="H323" s="125"/>
      <c r="I323" s="627" t="s">
        <v>51</v>
      </c>
      <c r="J323" s="125" t="s">
        <v>51</v>
      </c>
      <c r="K323" s="125" t="s">
        <v>51</v>
      </c>
      <c r="L323" s="125" t="s">
        <v>51</v>
      </c>
      <c r="M323" s="125" t="str">
        <f t="shared" si="1"/>
        <v/>
      </c>
      <c r="N323" s="125" t="str">
        <f t="shared" si="2"/>
        <v/>
      </c>
      <c r="O323" s="125"/>
      <c r="P323" s="125"/>
      <c r="Q323" s="125"/>
      <c r="R323" s="125"/>
      <c r="S323" s="628">
        <f t="shared" si="3"/>
        <v>0</v>
      </c>
      <c r="T323" s="627" t="s">
        <v>51</v>
      </c>
      <c r="U323" s="627" t="s">
        <v>51</v>
      </c>
      <c r="V323" s="627" t="s">
        <v>51</v>
      </c>
      <c r="W323" s="627" t="s">
        <v>51</v>
      </c>
      <c r="X323" s="627" t="s">
        <v>51</v>
      </c>
      <c r="Y323" s="89"/>
    </row>
    <row r="324" ht="22.5" customHeight="1">
      <c r="A324" s="125"/>
      <c r="B324" s="125"/>
      <c r="C324" s="125"/>
      <c r="D324" s="125"/>
      <c r="E324" s="125"/>
      <c r="F324" s="125"/>
      <c r="G324" s="125"/>
      <c r="H324" s="125"/>
      <c r="I324" s="627" t="s">
        <v>51</v>
      </c>
      <c r="J324" s="125" t="s">
        <v>51</v>
      </c>
      <c r="K324" s="125" t="s">
        <v>51</v>
      </c>
      <c r="L324" s="125" t="s">
        <v>51</v>
      </c>
      <c r="M324" s="125" t="str">
        <f t="shared" si="1"/>
        <v/>
      </c>
      <c r="N324" s="125" t="str">
        <f t="shared" si="2"/>
        <v/>
      </c>
      <c r="O324" s="125"/>
      <c r="P324" s="125"/>
      <c r="Q324" s="125"/>
      <c r="R324" s="125"/>
      <c r="S324" s="628">
        <f t="shared" si="3"/>
        <v>0</v>
      </c>
      <c r="T324" s="627" t="s">
        <v>51</v>
      </c>
      <c r="U324" s="627" t="s">
        <v>51</v>
      </c>
      <c r="V324" s="627" t="s">
        <v>51</v>
      </c>
      <c r="W324" s="627" t="s">
        <v>51</v>
      </c>
      <c r="X324" s="627" t="s">
        <v>51</v>
      </c>
      <c r="Y324" s="89"/>
    </row>
    <row r="325" ht="22.5" customHeight="1">
      <c r="A325" s="125"/>
      <c r="B325" s="125"/>
      <c r="C325" s="125"/>
      <c r="D325" s="125"/>
      <c r="E325" s="125"/>
      <c r="F325" s="125"/>
      <c r="G325" s="125"/>
      <c r="H325" s="125"/>
      <c r="I325" s="627" t="s">
        <v>51</v>
      </c>
      <c r="J325" s="125" t="s">
        <v>51</v>
      </c>
      <c r="K325" s="125" t="s">
        <v>51</v>
      </c>
      <c r="L325" s="125" t="s">
        <v>51</v>
      </c>
      <c r="M325" s="125" t="str">
        <f t="shared" si="1"/>
        <v/>
      </c>
      <c r="N325" s="125" t="str">
        <f t="shared" si="2"/>
        <v/>
      </c>
      <c r="O325" s="125"/>
      <c r="P325" s="125"/>
      <c r="Q325" s="125"/>
      <c r="R325" s="125"/>
      <c r="S325" s="628">
        <f t="shared" si="3"/>
        <v>0</v>
      </c>
      <c r="T325" s="627" t="s">
        <v>51</v>
      </c>
      <c r="U325" s="627" t="s">
        <v>51</v>
      </c>
      <c r="V325" s="627" t="s">
        <v>51</v>
      </c>
      <c r="W325" s="627" t="s">
        <v>51</v>
      </c>
      <c r="X325" s="627" t="s">
        <v>51</v>
      </c>
      <c r="Y325" s="89"/>
    </row>
    <row r="326" ht="22.5" customHeight="1">
      <c r="A326" s="125"/>
      <c r="B326" s="125"/>
      <c r="C326" s="125"/>
      <c r="D326" s="125"/>
      <c r="E326" s="125"/>
      <c r="F326" s="125"/>
      <c r="G326" s="125"/>
      <c r="H326" s="125"/>
      <c r="I326" s="627" t="s">
        <v>51</v>
      </c>
      <c r="J326" s="125" t="s">
        <v>51</v>
      </c>
      <c r="K326" s="125" t="s">
        <v>51</v>
      </c>
      <c r="L326" s="125" t="s">
        <v>51</v>
      </c>
      <c r="M326" s="125" t="str">
        <f t="shared" si="1"/>
        <v/>
      </c>
      <c r="N326" s="125" t="str">
        <f t="shared" si="2"/>
        <v/>
      </c>
      <c r="O326" s="125"/>
      <c r="P326" s="125"/>
      <c r="Q326" s="125"/>
      <c r="R326" s="125"/>
      <c r="S326" s="628">
        <f t="shared" si="3"/>
        <v>0</v>
      </c>
      <c r="T326" s="627" t="s">
        <v>51</v>
      </c>
      <c r="U326" s="627" t="s">
        <v>51</v>
      </c>
      <c r="V326" s="627" t="s">
        <v>51</v>
      </c>
      <c r="W326" s="627" t="s">
        <v>51</v>
      </c>
      <c r="X326" s="627" t="s">
        <v>51</v>
      </c>
      <c r="Y326" s="89"/>
    </row>
    <row r="327" ht="22.5" customHeight="1">
      <c r="A327" s="125"/>
      <c r="B327" s="125"/>
      <c r="C327" s="125"/>
      <c r="D327" s="125"/>
      <c r="E327" s="125"/>
      <c r="F327" s="125"/>
      <c r="G327" s="125"/>
      <c r="H327" s="125"/>
      <c r="I327" s="627" t="s">
        <v>51</v>
      </c>
      <c r="J327" s="125" t="s">
        <v>51</v>
      </c>
      <c r="K327" s="125" t="s">
        <v>51</v>
      </c>
      <c r="L327" s="125" t="s">
        <v>51</v>
      </c>
      <c r="M327" s="125" t="str">
        <f t="shared" si="1"/>
        <v/>
      </c>
      <c r="N327" s="125" t="str">
        <f t="shared" si="2"/>
        <v/>
      </c>
      <c r="O327" s="125"/>
      <c r="P327" s="125"/>
      <c r="Q327" s="125"/>
      <c r="R327" s="125"/>
      <c r="S327" s="628">
        <f t="shared" si="3"/>
        <v>0</v>
      </c>
      <c r="T327" s="627" t="s">
        <v>51</v>
      </c>
      <c r="U327" s="627" t="s">
        <v>51</v>
      </c>
      <c r="V327" s="627" t="s">
        <v>51</v>
      </c>
      <c r="W327" s="627" t="s">
        <v>51</v>
      </c>
      <c r="X327" s="627" t="s">
        <v>51</v>
      </c>
      <c r="Y327" s="89"/>
    </row>
    <row r="328" ht="22.5" customHeight="1">
      <c r="A328" s="125"/>
      <c r="B328" s="125"/>
      <c r="C328" s="125"/>
      <c r="D328" s="125"/>
      <c r="E328" s="125"/>
      <c r="F328" s="125"/>
      <c r="G328" s="125"/>
      <c r="H328" s="125"/>
      <c r="I328" s="627" t="s">
        <v>51</v>
      </c>
      <c r="J328" s="125" t="s">
        <v>51</v>
      </c>
      <c r="K328" s="125" t="s">
        <v>51</v>
      </c>
      <c r="L328" s="125" t="s">
        <v>51</v>
      </c>
      <c r="M328" s="125" t="str">
        <f t="shared" si="1"/>
        <v/>
      </c>
      <c r="N328" s="125" t="str">
        <f t="shared" si="2"/>
        <v/>
      </c>
      <c r="O328" s="125"/>
      <c r="P328" s="125"/>
      <c r="Q328" s="125"/>
      <c r="R328" s="125"/>
      <c r="S328" s="628">
        <f t="shared" si="3"/>
        <v>0</v>
      </c>
      <c r="T328" s="627" t="s">
        <v>51</v>
      </c>
      <c r="U328" s="627" t="s">
        <v>51</v>
      </c>
      <c r="V328" s="627" t="s">
        <v>51</v>
      </c>
      <c r="W328" s="627" t="s">
        <v>51</v>
      </c>
      <c r="X328" s="627" t="s">
        <v>51</v>
      </c>
      <c r="Y328" s="89"/>
    </row>
    <row r="329" ht="22.5" customHeight="1">
      <c r="A329" s="125"/>
      <c r="B329" s="125"/>
      <c r="C329" s="125"/>
      <c r="D329" s="125"/>
      <c r="E329" s="125"/>
      <c r="F329" s="125"/>
      <c r="G329" s="125"/>
      <c r="H329" s="125"/>
      <c r="I329" s="627" t="s">
        <v>51</v>
      </c>
      <c r="J329" s="125" t="s">
        <v>51</v>
      </c>
      <c r="K329" s="125" t="s">
        <v>51</v>
      </c>
      <c r="L329" s="125" t="s">
        <v>51</v>
      </c>
      <c r="M329" s="125" t="str">
        <f t="shared" si="1"/>
        <v/>
      </c>
      <c r="N329" s="125" t="str">
        <f t="shared" si="2"/>
        <v/>
      </c>
      <c r="O329" s="125"/>
      <c r="P329" s="125"/>
      <c r="Q329" s="125"/>
      <c r="R329" s="125"/>
      <c r="S329" s="628">
        <f t="shared" si="3"/>
        <v>0</v>
      </c>
      <c r="T329" s="627" t="s">
        <v>51</v>
      </c>
      <c r="U329" s="627" t="s">
        <v>51</v>
      </c>
      <c r="V329" s="627" t="s">
        <v>51</v>
      </c>
      <c r="W329" s="627" t="s">
        <v>51</v>
      </c>
      <c r="X329" s="627" t="s">
        <v>51</v>
      </c>
      <c r="Y329" s="89"/>
    </row>
    <row r="330" ht="22.5" customHeight="1">
      <c r="A330" s="125"/>
      <c r="B330" s="125"/>
      <c r="C330" s="125"/>
      <c r="D330" s="125"/>
      <c r="E330" s="125"/>
      <c r="F330" s="125"/>
      <c r="G330" s="125"/>
      <c r="H330" s="125"/>
      <c r="I330" s="627" t="s">
        <v>51</v>
      </c>
      <c r="J330" s="125" t="s">
        <v>51</v>
      </c>
      <c r="K330" s="125" t="s">
        <v>51</v>
      </c>
      <c r="L330" s="125" t="s">
        <v>51</v>
      </c>
      <c r="M330" s="125" t="str">
        <f t="shared" si="1"/>
        <v/>
      </c>
      <c r="N330" s="125" t="str">
        <f t="shared" si="2"/>
        <v/>
      </c>
      <c r="O330" s="125"/>
      <c r="P330" s="125"/>
      <c r="Q330" s="125"/>
      <c r="R330" s="125"/>
      <c r="S330" s="628">
        <f t="shared" si="3"/>
        <v>0</v>
      </c>
      <c r="T330" s="627" t="s">
        <v>51</v>
      </c>
      <c r="U330" s="627" t="s">
        <v>51</v>
      </c>
      <c r="V330" s="627" t="s">
        <v>51</v>
      </c>
      <c r="W330" s="627" t="s">
        <v>51</v>
      </c>
      <c r="X330" s="627" t="s">
        <v>51</v>
      </c>
      <c r="Y330" s="89"/>
    </row>
    <row r="331" ht="22.5" customHeight="1">
      <c r="A331" s="125"/>
      <c r="B331" s="125"/>
      <c r="C331" s="125"/>
      <c r="D331" s="125"/>
      <c r="E331" s="125"/>
      <c r="F331" s="125"/>
      <c r="G331" s="125"/>
      <c r="H331" s="125"/>
      <c r="I331" s="627" t="s">
        <v>51</v>
      </c>
      <c r="J331" s="125" t="s">
        <v>51</v>
      </c>
      <c r="K331" s="125" t="s">
        <v>51</v>
      </c>
      <c r="L331" s="125" t="s">
        <v>51</v>
      </c>
      <c r="M331" s="125" t="str">
        <f t="shared" si="1"/>
        <v/>
      </c>
      <c r="N331" s="125" t="str">
        <f t="shared" si="2"/>
        <v/>
      </c>
      <c r="O331" s="125"/>
      <c r="P331" s="125"/>
      <c r="Q331" s="125"/>
      <c r="R331" s="125"/>
      <c r="S331" s="628">
        <f t="shared" si="3"/>
        <v>0</v>
      </c>
      <c r="T331" s="627" t="s">
        <v>51</v>
      </c>
      <c r="U331" s="627" t="s">
        <v>51</v>
      </c>
      <c r="V331" s="627" t="s">
        <v>51</v>
      </c>
      <c r="W331" s="627" t="s">
        <v>51</v>
      </c>
      <c r="X331" s="627" t="s">
        <v>51</v>
      </c>
      <c r="Y331" s="89"/>
    </row>
    <row r="332" ht="22.5" customHeight="1">
      <c r="A332" s="125"/>
      <c r="B332" s="125"/>
      <c r="C332" s="125"/>
      <c r="D332" s="125"/>
      <c r="E332" s="125"/>
      <c r="F332" s="125"/>
      <c r="G332" s="125"/>
      <c r="H332" s="125"/>
      <c r="I332" s="627" t="s">
        <v>51</v>
      </c>
      <c r="J332" s="125" t="s">
        <v>51</v>
      </c>
      <c r="K332" s="125" t="s">
        <v>51</v>
      </c>
      <c r="L332" s="125" t="s">
        <v>51</v>
      </c>
      <c r="M332" s="125" t="str">
        <f t="shared" si="1"/>
        <v/>
      </c>
      <c r="N332" s="125" t="str">
        <f t="shared" si="2"/>
        <v/>
      </c>
      <c r="O332" s="125"/>
      <c r="P332" s="125"/>
      <c r="Q332" s="125"/>
      <c r="R332" s="125"/>
      <c r="S332" s="628">
        <f t="shared" si="3"/>
        <v>0</v>
      </c>
      <c r="T332" s="627" t="s">
        <v>51</v>
      </c>
      <c r="U332" s="627" t="s">
        <v>51</v>
      </c>
      <c r="V332" s="627" t="s">
        <v>51</v>
      </c>
      <c r="W332" s="627" t="s">
        <v>51</v>
      </c>
      <c r="X332" s="627" t="s">
        <v>51</v>
      </c>
      <c r="Y332" s="89"/>
    </row>
    <row r="333" ht="22.5" customHeight="1">
      <c r="A333" s="125"/>
      <c r="B333" s="125"/>
      <c r="C333" s="125"/>
      <c r="D333" s="125"/>
      <c r="E333" s="125"/>
      <c r="F333" s="125"/>
      <c r="G333" s="125"/>
      <c r="H333" s="125"/>
      <c r="I333" s="627" t="s">
        <v>51</v>
      </c>
      <c r="J333" s="125" t="s">
        <v>51</v>
      </c>
      <c r="K333" s="125" t="s">
        <v>51</v>
      </c>
      <c r="L333" s="125" t="s">
        <v>51</v>
      </c>
      <c r="M333" s="125" t="str">
        <f t="shared" si="1"/>
        <v/>
      </c>
      <c r="N333" s="125" t="str">
        <f t="shared" si="2"/>
        <v/>
      </c>
      <c r="O333" s="125"/>
      <c r="P333" s="125"/>
      <c r="Q333" s="125"/>
      <c r="R333" s="125"/>
      <c r="S333" s="628">
        <f t="shared" si="3"/>
        <v>0</v>
      </c>
      <c r="T333" s="627" t="s">
        <v>51</v>
      </c>
      <c r="U333" s="627" t="s">
        <v>51</v>
      </c>
      <c r="V333" s="627" t="s">
        <v>51</v>
      </c>
      <c r="W333" s="627" t="s">
        <v>51</v>
      </c>
      <c r="X333" s="627" t="s">
        <v>51</v>
      </c>
      <c r="Y333" s="89"/>
    </row>
    <row r="334" ht="22.5" customHeight="1">
      <c r="A334" s="125"/>
      <c r="B334" s="125"/>
      <c r="C334" s="125"/>
      <c r="D334" s="125"/>
      <c r="E334" s="125"/>
      <c r="F334" s="125"/>
      <c r="G334" s="125"/>
      <c r="H334" s="125"/>
      <c r="I334" s="627" t="s">
        <v>51</v>
      </c>
      <c r="J334" s="125" t="s">
        <v>51</v>
      </c>
      <c r="K334" s="125" t="s">
        <v>51</v>
      </c>
      <c r="L334" s="125" t="s">
        <v>51</v>
      </c>
      <c r="M334" s="125" t="str">
        <f t="shared" si="1"/>
        <v/>
      </c>
      <c r="N334" s="125" t="str">
        <f t="shared" si="2"/>
        <v/>
      </c>
      <c r="O334" s="125"/>
      <c r="P334" s="125"/>
      <c r="Q334" s="125"/>
      <c r="R334" s="125"/>
      <c r="S334" s="628">
        <f t="shared" si="3"/>
        <v>0</v>
      </c>
      <c r="T334" s="627" t="s">
        <v>51</v>
      </c>
      <c r="U334" s="627" t="s">
        <v>51</v>
      </c>
      <c r="V334" s="627" t="s">
        <v>51</v>
      </c>
      <c r="W334" s="627" t="s">
        <v>51</v>
      </c>
      <c r="X334" s="627" t="s">
        <v>51</v>
      </c>
      <c r="Y334" s="89"/>
    </row>
    <row r="335" ht="22.5" customHeight="1">
      <c r="A335" s="125"/>
      <c r="B335" s="125"/>
      <c r="C335" s="125"/>
      <c r="D335" s="125"/>
      <c r="E335" s="125"/>
      <c r="F335" s="125"/>
      <c r="G335" s="125"/>
      <c r="H335" s="125"/>
      <c r="I335" s="627" t="s">
        <v>51</v>
      </c>
      <c r="J335" s="125" t="s">
        <v>51</v>
      </c>
      <c r="K335" s="125" t="s">
        <v>51</v>
      </c>
      <c r="L335" s="125" t="s">
        <v>51</v>
      </c>
      <c r="M335" s="125" t="str">
        <f t="shared" si="1"/>
        <v/>
      </c>
      <c r="N335" s="125" t="str">
        <f t="shared" si="2"/>
        <v/>
      </c>
      <c r="O335" s="125"/>
      <c r="P335" s="125"/>
      <c r="Q335" s="125"/>
      <c r="R335" s="125"/>
      <c r="S335" s="628">
        <f t="shared" si="3"/>
        <v>0</v>
      </c>
      <c r="T335" s="627" t="s">
        <v>51</v>
      </c>
      <c r="U335" s="627" t="s">
        <v>51</v>
      </c>
      <c r="V335" s="627" t="s">
        <v>51</v>
      </c>
      <c r="W335" s="627" t="s">
        <v>51</v>
      </c>
      <c r="X335" s="627" t="s">
        <v>51</v>
      </c>
      <c r="Y335" s="89"/>
    </row>
    <row r="336" ht="22.5" customHeight="1">
      <c r="A336" s="125"/>
      <c r="B336" s="125"/>
      <c r="C336" s="125"/>
      <c r="D336" s="125"/>
      <c r="E336" s="125"/>
      <c r="F336" s="125"/>
      <c r="G336" s="125"/>
      <c r="H336" s="125"/>
      <c r="I336" s="627" t="s">
        <v>51</v>
      </c>
      <c r="J336" s="125" t="s">
        <v>51</v>
      </c>
      <c r="K336" s="125" t="s">
        <v>51</v>
      </c>
      <c r="L336" s="125" t="s">
        <v>51</v>
      </c>
      <c r="M336" s="125" t="str">
        <f t="shared" si="1"/>
        <v/>
      </c>
      <c r="N336" s="125" t="str">
        <f t="shared" si="2"/>
        <v/>
      </c>
      <c r="O336" s="125"/>
      <c r="P336" s="125"/>
      <c r="Q336" s="125"/>
      <c r="R336" s="125"/>
      <c r="S336" s="628">
        <f t="shared" si="3"/>
        <v>0</v>
      </c>
      <c r="T336" s="627" t="s">
        <v>51</v>
      </c>
      <c r="U336" s="627" t="s">
        <v>51</v>
      </c>
      <c r="V336" s="627" t="s">
        <v>51</v>
      </c>
      <c r="W336" s="627" t="s">
        <v>51</v>
      </c>
      <c r="X336" s="627" t="s">
        <v>51</v>
      </c>
      <c r="Y336" s="89"/>
    </row>
    <row r="337" ht="22.5" customHeight="1">
      <c r="A337" s="125"/>
      <c r="B337" s="125"/>
      <c r="C337" s="125"/>
      <c r="D337" s="125"/>
      <c r="E337" s="125"/>
      <c r="F337" s="125"/>
      <c r="G337" s="125"/>
      <c r="H337" s="125"/>
      <c r="I337" s="627" t="s">
        <v>51</v>
      </c>
      <c r="J337" s="125" t="s">
        <v>51</v>
      </c>
      <c r="K337" s="125" t="s">
        <v>51</v>
      </c>
      <c r="L337" s="125" t="s">
        <v>51</v>
      </c>
      <c r="M337" s="125" t="str">
        <f t="shared" si="1"/>
        <v/>
      </c>
      <c r="N337" s="125" t="str">
        <f t="shared" si="2"/>
        <v/>
      </c>
      <c r="O337" s="125"/>
      <c r="P337" s="125"/>
      <c r="Q337" s="125"/>
      <c r="R337" s="125"/>
      <c r="S337" s="628">
        <f t="shared" si="3"/>
        <v>0</v>
      </c>
      <c r="T337" s="627" t="s">
        <v>51</v>
      </c>
      <c r="U337" s="627" t="s">
        <v>51</v>
      </c>
      <c r="V337" s="627" t="s">
        <v>51</v>
      </c>
      <c r="W337" s="627" t="s">
        <v>51</v>
      </c>
      <c r="X337" s="627" t="s">
        <v>51</v>
      </c>
      <c r="Y337" s="89"/>
    </row>
    <row r="338" ht="22.5" customHeight="1">
      <c r="A338" s="125"/>
      <c r="B338" s="125"/>
      <c r="C338" s="125"/>
      <c r="D338" s="125"/>
      <c r="E338" s="125"/>
      <c r="F338" s="125"/>
      <c r="G338" s="125"/>
      <c r="H338" s="125"/>
      <c r="I338" s="627" t="s">
        <v>51</v>
      </c>
      <c r="J338" s="125" t="s">
        <v>51</v>
      </c>
      <c r="K338" s="125" t="s">
        <v>51</v>
      </c>
      <c r="L338" s="125" t="s">
        <v>51</v>
      </c>
      <c r="M338" s="125" t="str">
        <f t="shared" si="1"/>
        <v/>
      </c>
      <c r="N338" s="125" t="str">
        <f t="shared" si="2"/>
        <v/>
      </c>
      <c r="O338" s="125"/>
      <c r="P338" s="125"/>
      <c r="Q338" s="125"/>
      <c r="R338" s="125"/>
      <c r="S338" s="628">
        <f t="shared" si="3"/>
        <v>0</v>
      </c>
      <c r="T338" s="627" t="s">
        <v>51</v>
      </c>
      <c r="U338" s="627" t="s">
        <v>51</v>
      </c>
      <c r="V338" s="627" t="s">
        <v>51</v>
      </c>
      <c r="W338" s="627" t="s">
        <v>51</v>
      </c>
      <c r="X338" s="627" t="s">
        <v>51</v>
      </c>
      <c r="Y338" s="89"/>
    </row>
    <row r="339" ht="22.5" customHeight="1">
      <c r="A339" s="125"/>
      <c r="B339" s="125"/>
      <c r="C339" s="125"/>
      <c r="D339" s="125"/>
      <c r="E339" s="125"/>
      <c r="F339" s="125"/>
      <c r="G339" s="125"/>
      <c r="H339" s="125"/>
      <c r="I339" s="627" t="s">
        <v>51</v>
      </c>
      <c r="J339" s="125" t="s">
        <v>51</v>
      </c>
      <c r="K339" s="125" t="s">
        <v>51</v>
      </c>
      <c r="L339" s="125" t="s">
        <v>51</v>
      </c>
      <c r="M339" s="125" t="str">
        <f t="shared" si="1"/>
        <v/>
      </c>
      <c r="N339" s="125" t="str">
        <f t="shared" si="2"/>
        <v/>
      </c>
      <c r="O339" s="125"/>
      <c r="P339" s="125"/>
      <c r="Q339" s="125"/>
      <c r="R339" s="125"/>
      <c r="S339" s="628">
        <f t="shared" si="3"/>
        <v>0</v>
      </c>
      <c r="T339" s="627" t="s">
        <v>51</v>
      </c>
      <c r="U339" s="627" t="s">
        <v>51</v>
      </c>
      <c r="V339" s="627" t="s">
        <v>51</v>
      </c>
      <c r="W339" s="627" t="s">
        <v>51</v>
      </c>
      <c r="X339" s="627" t="s">
        <v>51</v>
      </c>
      <c r="Y339" s="89"/>
    </row>
    <row r="340" ht="22.5" customHeight="1">
      <c r="A340" s="125"/>
      <c r="B340" s="125"/>
      <c r="C340" s="125"/>
      <c r="D340" s="125"/>
      <c r="E340" s="125"/>
      <c r="F340" s="125"/>
      <c r="G340" s="125"/>
      <c r="H340" s="125"/>
      <c r="I340" s="627" t="s">
        <v>51</v>
      </c>
      <c r="J340" s="125" t="s">
        <v>51</v>
      </c>
      <c r="K340" s="125" t="s">
        <v>51</v>
      </c>
      <c r="L340" s="125" t="s">
        <v>51</v>
      </c>
      <c r="M340" s="125" t="str">
        <f t="shared" si="1"/>
        <v/>
      </c>
      <c r="N340" s="125" t="str">
        <f t="shared" si="2"/>
        <v/>
      </c>
      <c r="O340" s="125"/>
      <c r="P340" s="125"/>
      <c r="Q340" s="125"/>
      <c r="R340" s="125"/>
      <c r="S340" s="628">
        <f t="shared" si="3"/>
        <v>0</v>
      </c>
      <c r="T340" s="627" t="s">
        <v>51</v>
      </c>
      <c r="U340" s="627" t="s">
        <v>51</v>
      </c>
      <c r="V340" s="627" t="s">
        <v>51</v>
      </c>
      <c r="W340" s="627" t="s">
        <v>51</v>
      </c>
      <c r="X340" s="627" t="s">
        <v>51</v>
      </c>
      <c r="Y340" s="89"/>
    </row>
    <row r="341" ht="22.5" customHeight="1">
      <c r="A341" s="125"/>
      <c r="B341" s="125"/>
      <c r="C341" s="125"/>
      <c r="D341" s="125"/>
      <c r="E341" s="125"/>
      <c r="F341" s="125"/>
      <c r="G341" s="125"/>
      <c r="H341" s="125"/>
      <c r="I341" s="627" t="s">
        <v>51</v>
      </c>
      <c r="J341" s="125" t="s">
        <v>51</v>
      </c>
      <c r="K341" s="125" t="s">
        <v>51</v>
      </c>
      <c r="L341" s="125" t="s">
        <v>51</v>
      </c>
      <c r="M341" s="125" t="str">
        <f t="shared" si="1"/>
        <v/>
      </c>
      <c r="N341" s="125" t="str">
        <f t="shared" si="2"/>
        <v/>
      </c>
      <c r="O341" s="125"/>
      <c r="P341" s="125"/>
      <c r="Q341" s="125"/>
      <c r="R341" s="125"/>
      <c r="S341" s="628">
        <f t="shared" si="3"/>
        <v>0</v>
      </c>
      <c r="T341" s="627" t="s">
        <v>51</v>
      </c>
      <c r="U341" s="627" t="s">
        <v>51</v>
      </c>
      <c r="V341" s="627" t="s">
        <v>51</v>
      </c>
      <c r="W341" s="627" t="s">
        <v>51</v>
      </c>
      <c r="X341" s="627" t="s">
        <v>51</v>
      </c>
      <c r="Y341" s="89"/>
    </row>
    <row r="342" ht="22.5" customHeight="1">
      <c r="A342" s="125"/>
      <c r="B342" s="125"/>
      <c r="C342" s="125"/>
      <c r="D342" s="125"/>
      <c r="E342" s="125"/>
      <c r="F342" s="125"/>
      <c r="G342" s="125"/>
      <c r="H342" s="125"/>
      <c r="I342" s="627" t="s">
        <v>51</v>
      </c>
      <c r="J342" s="125" t="s">
        <v>51</v>
      </c>
      <c r="K342" s="125" t="s">
        <v>51</v>
      </c>
      <c r="L342" s="125" t="s">
        <v>51</v>
      </c>
      <c r="M342" s="125" t="str">
        <f t="shared" si="1"/>
        <v/>
      </c>
      <c r="N342" s="125" t="str">
        <f t="shared" si="2"/>
        <v/>
      </c>
      <c r="O342" s="125"/>
      <c r="P342" s="125"/>
      <c r="Q342" s="125"/>
      <c r="R342" s="125"/>
      <c r="S342" s="628">
        <f t="shared" si="3"/>
        <v>0</v>
      </c>
      <c r="T342" s="627" t="s">
        <v>51</v>
      </c>
      <c r="U342" s="627" t="s">
        <v>51</v>
      </c>
      <c r="V342" s="627" t="s">
        <v>51</v>
      </c>
      <c r="W342" s="627" t="s">
        <v>51</v>
      </c>
      <c r="X342" s="627" t="s">
        <v>51</v>
      </c>
      <c r="Y342" s="89"/>
    </row>
    <row r="343" ht="22.5" customHeight="1">
      <c r="A343" s="125"/>
      <c r="B343" s="125"/>
      <c r="C343" s="125"/>
      <c r="D343" s="125"/>
      <c r="E343" s="125"/>
      <c r="F343" s="125"/>
      <c r="G343" s="125"/>
      <c r="H343" s="125"/>
      <c r="I343" s="627" t="s">
        <v>51</v>
      </c>
      <c r="J343" s="125" t="s">
        <v>51</v>
      </c>
      <c r="K343" s="125" t="s">
        <v>51</v>
      </c>
      <c r="L343" s="125" t="s">
        <v>51</v>
      </c>
      <c r="M343" s="125" t="str">
        <f t="shared" si="1"/>
        <v/>
      </c>
      <c r="N343" s="125" t="str">
        <f t="shared" si="2"/>
        <v/>
      </c>
      <c r="O343" s="125"/>
      <c r="P343" s="125"/>
      <c r="Q343" s="125"/>
      <c r="R343" s="125"/>
      <c r="S343" s="628">
        <f t="shared" si="3"/>
        <v>0</v>
      </c>
      <c r="T343" s="627" t="s">
        <v>51</v>
      </c>
      <c r="U343" s="627" t="s">
        <v>51</v>
      </c>
      <c r="V343" s="627" t="s">
        <v>51</v>
      </c>
      <c r="W343" s="627" t="s">
        <v>51</v>
      </c>
      <c r="X343" s="627" t="s">
        <v>51</v>
      </c>
      <c r="Y343" s="89"/>
    </row>
    <row r="344" ht="22.5" customHeight="1">
      <c r="A344" s="125"/>
      <c r="B344" s="125"/>
      <c r="C344" s="125"/>
      <c r="D344" s="125"/>
      <c r="E344" s="125"/>
      <c r="F344" s="125"/>
      <c r="G344" s="125"/>
      <c r="H344" s="125"/>
      <c r="I344" s="627" t="s">
        <v>51</v>
      </c>
      <c r="J344" s="125" t="s">
        <v>51</v>
      </c>
      <c r="K344" s="125" t="s">
        <v>51</v>
      </c>
      <c r="L344" s="125" t="s">
        <v>51</v>
      </c>
      <c r="M344" s="125" t="str">
        <f t="shared" si="1"/>
        <v/>
      </c>
      <c r="N344" s="125" t="str">
        <f t="shared" si="2"/>
        <v/>
      </c>
      <c r="O344" s="125"/>
      <c r="P344" s="125"/>
      <c r="Q344" s="125"/>
      <c r="R344" s="125"/>
      <c r="S344" s="628">
        <f t="shared" si="3"/>
        <v>0</v>
      </c>
      <c r="T344" s="627" t="s">
        <v>51</v>
      </c>
      <c r="U344" s="627" t="s">
        <v>51</v>
      </c>
      <c r="V344" s="627" t="s">
        <v>51</v>
      </c>
      <c r="W344" s="627" t="s">
        <v>51</v>
      </c>
      <c r="X344" s="627" t="s">
        <v>51</v>
      </c>
      <c r="Y344" s="89"/>
    </row>
    <row r="345" ht="22.5" customHeight="1">
      <c r="A345" s="125"/>
      <c r="B345" s="125"/>
      <c r="C345" s="125"/>
      <c r="D345" s="125"/>
      <c r="E345" s="125"/>
      <c r="F345" s="125"/>
      <c r="G345" s="125"/>
      <c r="H345" s="125"/>
      <c r="I345" s="627" t="s">
        <v>51</v>
      </c>
      <c r="J345" s="125" t="s">
        <v>51</v>
      </c>
      <c r="K345" s="125" t="s">
        <v>51</v>
      </c>
      <c r="L345" s="125" t="s">
        <v>51</v>
      </c>
      <c r="M345" s="125" t="str">
        <f t="shared" si="1"/>
        <v/>
      </c>
      <c r="N345" s="125" t="str">
        <f t="shared" si="2"/>
        <v/>
      </c>
      <c r="O345" s="125"/>
      <c r="P345" s="125"/>
      <c r="Q345" s="125"/>
      <c r="R345" s="125"/>
      <c r="S345" s="628">
        <f t="shared" si="3"/>
        <v>0</v>
      </c>
      <c r="T345" s="627" t="s">
        <v>51</v>
      </c>
      <c r="U345" s="627" t="s">
        <v>51</v>
      </c>
      <c r="V345" s="627" t="s">
        <v>51</v>
      </c>
      <c r="W345" s="627" t="s">
        <v>51</v>
      </c>
      <c r="X345" s="627" t="s">
        <v>51</v>
      </c>
      <c r="Y345" s="89"/>
    </row>
    <row r="346" ht="22.5" customHeight="1">
      <c r="A346" s="125"/>
      <c r="B346" s="125"/>
      <c r="C346" s="125"/>
      <c r="D346" s="125"/>
      <c r="E346" s="125"/>
      <c r="F346" s="125"/>
      <c r="G346" s="125"/>
      <c r="H346" s="125"/>
      <c r="I346" s="627" t="s">
        <v>51</v>
      </c>
      <c r="J346" s="125" t="s">
        <v>51</v>
      </c>
      <c r="K346" s="125" t="s">
        <v>51</v>
      </c>
      <c r="L346" s="125" t="s">
        <v>51</v>
      </c>
      <c r="M346" s="125" t="str">
        <f t="shared" si="1"/>
        <v/>
      </c>
      <c r="N346" s="125" t="str">
        <f t="shared" si="2"/>
        <v/>
      </c>
      <c r="O346" s="125"/>
      <c r="P346" s="125"/>
      <c r="Q346" s="125"/>
      <c r="R346" s="125"/>
      <c r="S346" s="628">
        <f t="shared" si="3"/>
        <v>0</v>
      </c>
      <c r="T346" s="627" t="s">
        <v>51</v>
      </c>
      <c r="U346" s="627" t="s">
        <v>51</v>
      </c>
      <c r="V346" s="627" t="s">
        <v>51</v>
      </c>
      <c r="W346" s="627" t="s">
        <v>51</v>
      </c>
      <c r="X346" s="627" t="s">
        <v>51</v>
      </c>
      <c r="Y346" s="89"/>
    </row>
    <row r="347" ht="22.5" customHeight="1">
      <c r="A347" s="125"/>
      <c r="B347" s="125"/>
      <c r="C347" s="125"/>
      <c r="D347" s="125"/>
      <c r="E347" s="125"/>
      <c r="F347" s="125"/>
      <c r="G347" s="125"/>
      <c r="H347" s="125"/>
      <c r="I347" s="627" t="s">
        <v>51</v>
      </c>
      <c r="J347" s="125" t="s">
        <v>51</v>
      </c>
      <c r="K347" s="125" t="s">
        <v>51</v>
      </c>
      <c r="L347" s="125" t="s">
        <v>51</v>
      </c>
      <c r="M347" s="125" t="str">
        <f t="shared" si="1"/>
        <v/>
      </c>
      <c r="N347" s="125" t="str">
        <f t="shared" si="2"/>
        <v/>
      </c>
      <c r="O347" s="125"/>
      <c r="P347" s="125"/>
      <c r="Q347" s="125"/>
      <c r="R347" s="125"/>
      <c r="S347" s="628">
        <f t="shared" si="3"/>
        <v>0</v>
      </c>
      <c r="T347" s="627" t="s">
        <v>51</v>
      </c>
      <c r="U347" s="627" t="s">
        <v>51</v>
      </c>
      <c r="V347" s="627" t="s">
        <v>51</v>
      </c>
      <c r="W347" s="627" t="s">
        <v>51</v>
      </c>
      <c r="X347" s="627" t="s">
        <v>51</v>
      </c>
      <c r="Y347" s="89"/>
    </row>
    <row r="348" ht="22.5" customHeight="1">
      <c r="A348" s="125"/>
      <c r="B348" s="125"/>
      <c r="C348" s="125"/>
      <c r="D348" s="125"/>
      <c r="E348" s="125"/>
      <c r="F348" s="125"/>
      <c r="G348" s="125"/>
      <c r="H348" s="125"/>
      <c r="I348" s="627" t="s">
        <v>51</v>
      </c>
      <c r="J348" s="125" t="s">
        <v>51</v>
      </c>
      <c r="K348" s="125" t="s">
        <v>51</v>
      </c>
      <c r="L348" s="125" t="s">
        <v>51</v>
      </c>
      <c r="M348" s="125" t="str">
        <f t="shared" si="1"/>
        <v/>
      </c>
      <c r="N348" s="125" t="str">
        <f t="shared" si="2"/>
        <v/>
      </c>
      <c r="O348" s="125"/>
      <c r="P348" s="125"/>
      <c r="Q348" s="125"/>
      <c r="R348" s="125"/>
      <c r="S348" s="628">
        <f t="shared" si="3"/>
        <v>0</v>
      </c>
      <c r="T348" s="627" t="s">
        <v>51</v>
      </c>
      <c r="U348" s="627" t="s">
        <v>51</v>
      </c>
      <c r="V348" s="627" t="s">
        <v>51</v>
      </c>
      <c r="W348" s="627" t="s">
        <v>51</v>
      </c>
      <c r="X348" s="627" t="s">
        <v>51</v>
      </c>
      <c r="Y348" s="89"/>
    </row>
    <row r="349" ht="22.5" customHeight="1">
      <c r="A349" s="125"/>
      <c r="B349" s="125"/>
      <c r="C349" s="125"/>
      <c r="D349" s="125"/>
      <c r="E349" s="125"/>
      <c r="F349" s="125"/>
      <c r="G349" s="125"/>
      <c r="H349" s="125"/>
      <c r="I349" s="627" t="s">
        <v>51</v>
      </c>
      <c r="J349" s="125" t="s">
        <v>51</v>
      </c>
      <c r="K349" s="125" t="s">
        <v>51</v>
      </c>
      <c r="L349" s="125" t="s">
        <v>51</v>
      </c>
      <c r="M349" s="125" t="str">
        <f t="shared" si="1"/>
        <v/>
      </c>
      <c r="N349" s="125" t="str">
        <f t="shared" si="2"/>
        <v/>
      </c>
      <c r="O349" s="125"/>
      <c r="P349" s="125"/>
      <c r="Q349" s="125"/>
      <c r="R349" s="125"/>
      <c r="S349" s="628">
        <f t="shared" si="3"/>
        <v>0</v>
      </c>
      <c r="T349" s="627" t="s">
        <v>51</v>
      </c>
      <c r="U349" s="627" t="s">
        <v>51</v>
      </c>
      <c r="V349" s="627" t="s">
        <v>51</v>
      </c>
      <c r="W349" s="627" t="s">
        <v>51</v>
      </c>
      <c r="X349" s="627" t="s">
        <v>51</v>
      </c>
      <c r="Y349" s="89"/>
    </row>
    <row r="350" ht="22.5" customHeight="1">
      <c r="A350" s="125"/>
      <c r="B350" s="125"/>
      <c r="C350" s="125"/>
      <c r="D350" s="125"/>
      <c r="E350" s="125"/>
      <c r="F350" s="125"/>
      <c r="G350" s="125"/>
      <c r="H350" s="125"/>
      <c r="I350" s="627" t="s">
        <v>51</v>
      </c>
      <c r="J350" s="125" t="s">
        <v>51</v>
      </c>
      <c r="K350" s="125" t="s">
        <v>51</v>
      </c>
      <c r="L350" s="125" t="s">
        <v>51</v>
      </c>
      <c r="M350" s="125" t="str">
        <f t="shared" si="1"/>
        <v/>
      </c>
      <c r="N350" s="125" t="str">
        <f t="shared" si="2"/>
        <v/>
      </c>
      <c r="O350" s="125"/>
      <c r="P350" s="125"/>
      <c r="Q350" s="125"/>
      <c r="R350" s="125"/>
      <c r="S350" s="628">
        <f t="shared" si="3"/>
        <v>0</v>
      </c>
      <c r="T350" s="627" t="s">
        <v>51</v>
      </c>
      <c r="U350" s="627" t="s">
        <v>51</v>
      </c>
      <c r="V350" s="627" t="s">
        <v>51</v>
      </c>
      <c r="W350" s="627" t="s">
        <v>51</v>
      </c>
      <c r="X350" s="627" t="s">
        <v>51</v>
      </c>
      <c r="Y350" s="89"/>
    </row>
    <row r="351" ht="22.5" customHeight="1">
      <c r="A351" s="125"/>
      <c r="B351" s="125"/>
      <c r="C351" s="125"/>
      <c r="D351" s="125"/>
      <c r="E351" s="125"/>
      <c r="F351" s="125"/>
      <c r="G351" s="125"/>
      <c r="H351" s="125"/>
      <c r="I351" s="627" t="s">
        <v>51</v>
      </c>
      <c r="J351" s="125" t="s">
        <v>51</v>
      </c>
      <c r="K351" s="125" t="s">
        <v>51</v>
      </c>
      <c r="L351" s="125" t="s">
        <v>51</v>
      </c>
      <c r="M351" s="125" t="str">
        <f t="shared" si="1"/>
        <v/>
      </c>
      <c r="N351" s="125" t="str">
        <f t="shared" si="2"/>
        <v/>
      </c>
      <c r="O351" s="125"/>
      <c r="P351" s="125"/>
      <c r="Q351" s="125"/>
      <c r="R351" s="125"/>
      <c r="S351" s="628">
        <f t="shared" si="3"/>
        <v>0</v>
      </c>
      <c r="T351" s="627" t="s">
        <v>51</v>
      </c>
      <c r="U351" s="627" t="s">
        <v>51</v>
      </c>
      <c r="V351" s="627" t="s">
        <v>51</v>
      </c>
      <c r="W351" s="627" t="s">
        <v>51</v>
      </c>
      <c r="X351" s="627" t="s">
        <v>51</v>
      </c>
      <c r="Y351" s="89"/>
    </row>
    <row r="352" ht="22.5" customHeight="1">
      <c r="A352" s="125"/>
      <c r="B352" s="125"/>
      <c r="C352" s="125"/>
      <c r="D352" s="125"/>
      <c r="E352" s="125"/>
      <c r="F352" s="125"/>
      <c r="G352" s="125"/>
      <c r="H352" s="125"/>
      <c r="I352" s="627" t="s">
        <v>51</v>
      </c>
      <c r="J352" s="125" t="s">
        <v>51</v>
      </c>
      <c r="K352" s="125" t="s">
        <v>51</v>
      </c>
      <c r="L352" s="125" t="s">
        <v>51</v>
      </c>
      <c r="M352" s="125" t="str">
        <f t="shared" si="1"/>
        <v/>
      </c>
      <c r="N352" s="125" t="str">
        <f t="shared" si="2"/>
        <v/>
      </c>
      <c r="O352" s="125"/>
      <c r="P352" s="125"/>
      <c r="Q352" s="125"/>
      <c r="R352" s="125"/>
      <c r="S352" s="628">
        <f t="shared" si="3"/>
        <v>0</v>
      </c>
      <c r="T352" s="627" t="s">
        <v>51</v>
      </c>
      <c r="U352" s="627" t="s">
        <v>51</v>
      </c>
      <c r="V352" s="627" t="s">
        <v>51</v>
      </c>
      <c r="W352" s="627" t="s">
        <v>51</v>
      </c>
      <c r="X352" s="627" t="s">
        <v>51</v>
      </c>
      <c r="Y352" s="89"/>
    </row>
    <row r="353" ht="22.5" customHeight="1">
      <c r="A353" s="125"/>
      <c r="B353" s="125"/>
      <c r="C353" s="125"/>
      <c r="D353" s="125"/>
      <c r="E353" s="125"/>
      <c r="F353" s="125"/>
      <c r="G353" s="125"/>
      <c r="H353" s="125"/>
      <c r="I353" s="627" t="s">
        <v>51</v>
      </c>
      <c r="J353" s="125" t="s">
        <v>51</v>
      </c>
      <c r="K353" s="125" t="s">
        <v>51</v>
      </c>
      <c r="L353" s="125" t="s">
        <v>51</v>
      </c>
      <c r="M353" s="125" t="str">
        <f t="shared" si="1"/>
        <v/>
      </c>
      <c r="N353" s="125" t="str">
        <f t="shared" si="2"/>
        <v/>
      </c>
      <c r="O353" s="125"/>
      <c r="P353" s="125"/>
      <c r="Q353" s="125"/>
      <c r="R353" s="125"/>
      <c r="S353" s="628">
        <f t="shared" si="3"/>
        <v>0</v>
      </c>
      <c r="T353" s="627" t="s">
        <v>51</v>
      </c>
      <c r="U353" s="627" t="s">
        <v>51</v>
      </c>
      <c r="V353" s="627" t="s">
        <v>51</v>
      </c>
      <c r="W353" s="627" t="s">
        <v>51</v>
      </c>
      <c r="X353" s="627" t="s">
        <v>51</v>
      </c>
      <c r="Y353" s="89"/>
    </row>
    <row r="354" ht="22.5" customHeight="1">
      <c r="A354" s="125"/>
      <c r="B354" s="125"/>
      <c r="C354" s="125"/>
      <c r="D354" s="125"/>
      <c r="E354" s="125"/>
      <c r="F354" s="125"/>
      <c r="G354" s="125"/>
      <c r="H354" s="125"/>
      <c r="I354" s="627" t="s">
        <v>51</v>
      </c>
      <c r="J354" s="125" t="s">
        <v>51</v>
      </c>
      <c r="K354" s="125" t="s">
        <v>51</v>
      </c>
      <c r="L354" s="125" t="s">
        <v>51</v>
      </c>
      <c r="M354" s="125" t="str">
        <f t="shared" si="1"/>
        <v/>
      </c>
      <c r="N354" s="125" t="str">
        <f t="shared" si="2"/>
        <v/>
      </c>
      <c r="O354" s="125"/>
      <c r="P354" s="125"/>
      <c r="Q354" s="125"/>
      <c r="R354" s="125"/>
      <c r="S354" s="628">
        <f t="shared" si="3"/>
        <v>0</v>
      </c>
      <c r="T354" s="627" t="s">
        <v>51</v>
      </c>
      <c r="U354" s="627" t="s">
        <v>51</v>
      </c>
      <c r="V354" s="627" t="s">
        <v>51</v>
      </c>
      <c r="W354" s="627" t="s">
        <v>51</v>
      </c>
      <c r="X354" s="627" t="s">
        <v>51</v>
      </c>
      <c r="Y354" s="89"/>
    </row>
    <row r="355" ht="22.5" customHeight="1">
      <c r="A355" s="125"/>
      <c r="B355" s="125"/>
      <c r="C355" s="125"/>
      <c r="D355" s="125"/>
      <c r="E355" s="125"/>
      <c r="F355" s="125"/>
      <c r="G355" s="125"/>
      <c r="H355" s="125"/>
      <c r="I355" s="627" t="s">
        <v>51</v>
      </c>
      <c r="J355" s="125" t="s">
        <v>51</v>
      </c>
      <c r="K355" s="125" t="s">
        <v>51</v>
      </c>
      <c r="L355" s="125" t="s">
        <v>51</v>
      </c>
      <c r="M355" s="125" t="str">
        <f t="shared" si="1"/>
        <v/>
      </c>
      <c r="N355" s="125" t="str">
        <f t="shared" si="2"/>
        <v/>
      </c>
      <c r="O355" s="125"/>
      <c r="P355" s="125"/>
      <c r="Q355" s="125"/>
      <c r="R355" s="125"/>
      <c r="S355" s="628">
        <f t="shared" si="3"/>
        <v>0</v>
      </c>
      <c r="T355" s="627" t="s">
        <v>51</v>
      </c>
      <c r="U355" s="627" t="s">
        <v>51</v>
      </c>
      <c r="V355" s="627" t="s">
        <v>51</v>
      </c>
      <c r="W355" s="627" t="s">
        <v>51</v>
      </c>
      <c r="X355" s="627" t="s">
        <v>51</v>
      </c>
      <c r="Y355" s="89"/>
    </row>
    <row r="356" ht="22.5" customHeight="1">
      <c r="A356" s="125"/>
      <c r="B356" s="125"/>
      <c r="C356" s="125"/>
      <c r="D356" s="125"/>
      <c r="E356" s="125"/>
      <c r="F356" s="125"/>
      <c r="G356" s="125"/>
      <c r="H356" s="125"/>
      <c r="I356" s="627" t="s">
        <v>51</v>
      </c>
      <c r="J356" s="125" t="s">
        <v>51</v>
      </c>
      <c r="K356" s="125" t="s">
        <v>51</v>
      </c>
      <c r="L356" s="125" t="s">
        <v>51</v>
      </c>
      <c r="M356" s="125" t="str">
        <f t="shared" si="1"/>
        <v/>
      </c>
      <c r="N356" s="125" t="str">
        <f t="shared" si="2"/>
        <v/>
      </c>
      <c r="O356" s="125"/>
      <c r="P356" s="125"/>
      <c r="Q356" s="125"/>
      <c r="R356" s="125"/>
      <c r="S356" s="628">
        <f t="shared" si="3"/>
        <v>0</v>
      </c>
      <c r="T356" s="627" t="s">
        <v>51</v>
      </c>
      <c r="U356" s="627" t="s">
        <v>51</v>
      </c>
      <c r="V356" s="627" t="s">
        <v>51</v>
      </c>
      <c r="W356" s="627" t="s">
        <v>51</v>
      </c>
      <c r="X356" s="627" t="s">
        <v>51</v>
      </c>
      <c r="Y356" s="89"/>
    </row>
    <row r="357" ht="22.5" customHeight="1">
      <c r="A357" s="125"/>
      <c r="B357" s="125"/>
      <c r="C357" s="125"/>
      <c r="D357" s="125"/>
      <c r="E357" s="125"/>
      <c r="F357" s="125"/>
      <c r="G357" s="125"/>
      <c r="H357" s="125"/>
      <c r="I357" s="627" t="s">
        <v>51</v>
      </c>
      <c r="J357" s="125" t="s">
        <v>51</v>
      </c>
      <c r="K357" s="125" t="s">
        <v>51</v>
      </c>
      <c r="L357" s="125" t="s">
        <v>51</v>
      </c>
      <c r="M357" s="125" t="str">
        <f t="shared" si="1"/>
        <v/>
      </c>
      <c r="N357" s="125" t="str">
        <f t="shared" si="2"/>
        <v/>
      </c>
      <c r="O357" s="125"/>
      <c r="P357" s="125"/>
      <c r="Q357" s="125"/>
      <c r="R357" s="125"/>
      <c r="S357" s="628">
        <f t="shared" si="3"/>
        <v>0</v>
      </c>
      <c r="T357" s="627" t="s">
        <v>51</v>
      </c>
      <c r="U357" s="627" t="s">
        <v>51</v>
      </c>
      <c r="V357" s="627" t="s">
        <v>51</v>
      </c>
      <c r="W357" s="627" t="s">
        <v>51</v>
      </c>
      <c r="X357" s="627" t="s">
        <v>51</v>
      </c>
      <c r="Y357" s="89"/>
    </row>
    <row r="358" ht="22.5" customHeight="1">
      <c r="A358" s="125"/>
      <c r="B358" s="125"/>
      <c r="C358" s="125"/>
      <c r="D358" s="125"/>
      <c r="E358" s="125"/>
      <c r="F358" s="125"/>
      <c r="G358" s="125"/>
      <c r="H358" s="125"/>
      <c r="I358" s="627" t="s">
        <v>51</v>
      </c>
      <c r="J358" s="125" t="s">
        <v>51</v>
      </c>
      <c r="K358" s="125" t="s">
        <v>51</v>
      </c>
      <c r="L358" s="125" t="s">
        <v>51</v>
      </c>
      <c r="M358" s="125" t="str">
        <f t="shared" si="1"/>
        <v/>
      </c>
      <c r="N358" s="125" t="str">
        <f t="shared" si="2"/>
        <v/>
      </c>
      <c r="O358" s="125"/>
      <c r="P358" s="125"/>
      <c r="Q358" s="125"/>
      <c r="R358" s="125"/>
      <c r="S358" s="628">
        <f t="shared" si="3"/>
        <v>0</v>
      </c>
      <c r="T358" s="627" t="s">
        <v>51</v>
      </c>
      <c r="U358" s="627" t="s">
        <v>51</v>
      </c>
      <c r="V358" s="627" t="s">
        <v>51</v>
      </c>
      <c r="W358" s="627" t="s">
        <v>51</v>
      </c>
      <c r="X358" s="627" t="s">
        <v>51</v>
      </c>
      <c r="Y358" s="89"/>
    </row>
    <row r="359" ht="22.5" customHeight="1">
      <c r="A359" s="125"/>
      <c r="B359" s="125"/>
      <c r="C359" s="125"/>
      <c r="D359" s="125"/>
      <c r="E359" s="125"/>
      <c r="F359" s="125"/>
      <c r="G359" s="125"/>
      <c r="H359" s="125"/>
      <c r="I359" s="627" t="s">
        <v>51</v>
      </c>
      <c r="J359" s="125" t="s">
        <v>51</v>
      </c>
      <c r="K359" s="125" t="s">
        <v>51</v>
      </c>
      <c r="L359" s="125" t="s">
        <v>51</v>
      </c>
      <c r="M359" s="125" t="str">
        <f t="shared" si="1"/>
        <v/>
      </c>
      <c r="N359" s="125" t="str">
        <f t="shared" si="2"/>
        <v/>
      </c>
      <c r="O359" s="125"/>
      <c r="P359" s="125"/>
      <c r="Q359" s="125"/>
      <c r="R359" s="125"/>
      <c r="S359" s="628">
        <f t="shared" si="3"/>
        <v>0</v>
      </c>
      <c r="T359" s="627" t="s">
        <v>51</v>
      </c>
      <c r="U359" s="627" t="s">
        <v>51</v>
      </c>
      <c r="V359" s="627" t="s">
        <v>51</v>
      </c>
      <c r="W359" s="627" t="s">
        <v>51</v>
      </c>
      <c r="X359" s="627" t="s">
        <v>51</v>
      </c>
      <c r="Y359" s="89"/>
    </row>
    <row r="360" ht="22.5" customHeight="1">
      <c r="A360" s="125"/>
      <c r="B360" s="125"/>
      <c r="C360" s="125"/>
      <c r="D360" s="125"/>
      <c r="E360" s="125"/>
      <c r="F360" s="125"/>
      <c r="G360" s="125"/>
      <c r="H360" s="125"/>
      <c r="I360" s="627" t="s">
        <v>51</v>
      </c>
      <c r="J360" s="125" t="s">
        <v>51</v>
      </c>
      <c r="K360" s="125" t="s">
        <v>51</v>
      </c>
      <c r="L360" s="125" t="s">
        <v>51</v>
      </c>
      <c r="M360" s="125" t="str">
        <f t="shared" si="1"/>
        <v/>
      </c>
      <c r="N360" s="125" t="str">
        <f t="shared" si="2"/>
        <v/>
      </c>
      <c r="O360" s="125"/>
      <c r="P360" s="125"/>
      <c r="Q360" s="125"/>
      <c r="R360" s="125"/>
      <c r="S360" s="628">
        <f t="shared" si="3"/>
        <v>0</v>
      </c>
      <c r="T360" s="627" t="s">
        <v>51</v>
      </c>
      <c r="U360" s="627" t="s">
        <v>51</v>
      </c>
      <c r="V360" s="627" t="s">
        <v>51</v>
      </c>
      <c r="W360" s="627" t="s">
        <v>51</v>
      </c>
      <c r="X360" s="627" t="s">
        <v>51</v>
      </c>
      <c r="Y360" s="89"/>
    </row>
    <row r="361" ht="22.5" customHeight="1">
      <c r="A361" s="125"/>
      <c r="B361" s="125"/>
      <c r="C361" s="125"/>
      <c r="D361" s="125"/>
      <c r="E361" s="125"/>
      <c r="F361" s="125"/>
      <c r="G361" s="125"/>
      <c r="H361" s="125"/>
      <c r="I361" s="627" t="s">
        <v>51</v>
      </c>
      <c r="J361" s="125" t="s">
        <v>51</v>
      </c>
      <c r="K361" s="125" t="s">
        <v>51</v>
      </c>
      <c r="L361" s="125" t="s">
        <v>51</v>
      </c>
      <c r="M361" s="125" t="str">
        <f t="shared" si="1"/>
        <v/>
      </c>
      <c r="N361" s="125" t="str">
        <f t="shared" si="2"/>
        <v/>
      </c>
      <c r="O361" s="125"/>
      <c r="P361" s="125"/>
      <c r="Q361" s="125"/>
      <c r="R361" s="125"/>
      <c r="S361" s="628">
        <f t="shared" si="3"/>
        <v>0</v>
      </c>
      <c r="T361" s="627" t="s">
        <v>51</v>
      </c>
      <c r="U361" s="627" t="s">
        <v>51</v>
      </c>
      <c r="V361" s="627" t="s">
        <v>51</v>
      </c>
      <c r="W361" s="627" t="s">
        <v>51</v>
      </c>
      <c r="X361" s="627" t="s">
        <v>51</v>
      </c>
      <c r="Y361" s="89"/>
    </row>
    <row r="362" ht="22.5" customHeight="1">
      <c r="A362" s="125"/>
      <c r="B362" s="125"/>
      <c r="C362" s="125"/>
      <c r="D362" s="125"/>
      <c r="E362" s="125"/>
      <c r="F362" s="125"/>
      <c r="G362" s="125"/>
      <c r="H362" s="125"/>
      <c r="I362" s="627" t="s">
        <v>51</v>
      </c>
      <c r="J362" s="125" t="s">
        <v>51</v>
      </c>
      <c r="K362" s="125" t="s">
        <v>51</v>
      </c>
      <c r="L362" s="125" t="s">
        <v>51</v>
      </c>
      <c r="M362" s="125" t="str">
        <f t="shared" si="1"/>
        <v/>
      </c>
      <c r="N362" s="125" t="str">
        <f t="shared" si="2"/>
        <v/>
      </c>
      <c r="O362" s="125"/>
      <c r="P362" s="125"/>
      <c r="Q362" s="125"/>
      <c r="R362" s="125"/>
      <c r="S362" s="628">
        <f t="shared" si="3"/>
        <v>0</v>
      </c>
      <c r="T362" s="627" t="s">
        <v>51</v>
      </c>
      <c r="U362" s="627" t="s">
        <v>51</v>
      </c>
      <c r="V362" s="627" t="s">
        <v>51</v>
      </c>
      <c r="W362" s="627" t="s">
        <v>51</v>
      </c>
      <c r="X362" s="627" t="s">
        <v>51</v>
      </c>
      <c r="Y362" s="89"/>
    </row>
    <row r="363" ht="22.5" customHeight="1">
      <c r="A363" s="125"/>
      <c r="B363" s="125"/>
      <c r="C363" s="125"/>
      <c r="D363" s="125"/>
      <c r="E363" s="125"/>
      <c r="F363" s="125"/>
      <c r="G363" s="125"/>
      <c r="H363" s="125"/>
      <c r="I363" s="627" t="s">
        <v>51</v>
      </c>
      <c r="J363" s="125" t="s">
        <v>51</v>
      </c>
      <c r="K363" s="125" t="s">
        <v>51</v>
      </c>
      <c r="L363" s="125" t="s">
        <v>51</v>
      </c>
      <c r="M363" s="125" t="str">
        <f t="shared" si="1"/>
        <v/>
      </c>
      <c r="N363" s="125" t="str">
        <f t="shared" si="2"/>
        <v/>
      </c>
      <c r="O363" s="125"/>
      <c r="P363" s="125"/>
      <c r="Q363" s="125"/>
      <c r="R363" s="125"/>
      <c r="S363" s="628">
        <f t="shared" si="3"/>
        <v>0</v>
      </c>
      <c r="T363" s="627" t="s">
        <v>51</v>
      </c>
      <c r="U363" s="627" t="s">
        <v>51</v>
      </c>
      <c r="V363" s="627" t="s">
        <v>51</v>
      </c>
      <c r="W363" s="627" t="s">
        <v>51</v>
      </c>
      <c r="X363" s="627" t="s">
        <v>51</v>
      </c>
      <c r="Y363" s="89"/>
    </row>
    <row r="364" ht="22.5" customHeight="1">
      <c r="A364" s="125"/>
      <c r="B364" s="125"/>
      <c r="C364" s="125"/>
      <c r="D364" s="125"/>
      <c r="E364" s="125"/>
      <c r="F364" s="125"/>
      <c r="G364" s="125"/>
      <c r="H364" s="125"/>
      <c r="I364" s="627" t="s">
        <v>51</v>
      </c>
      <c r="J364" s="125" t="s">
        <v>51</v>
      </c>
      <c r="K364" s="125" t="s">
        <v>51</v>
      </c>
      <c r="L364" s="125" t="s">
        <v>51</v>
      </c>
      <c r="M364" s="125" t="str">
        <f t="shared" si="1"/>
        <v/>
      </c>
      <c r="N364" s="125" t="str">
        <f t="shared" si="2"/>
        <v/>
      </c>
      <c r="O364" s="125"/>
      <c r="P364" s="125"/>
      <c r="Q364" s="125"/>
      <c r="R364" s="125"/>
      <c r="S364" s="628">
        <f t="shared" si="3"/>
        <v>0</v>
      </c>
      <c r="T364" s="627" t="s">
        <v>51</v>
      </c>
      <c r="U364" s="627" t="s">
        <v>51</v>
      </c>
      <c r="V364" s="627" t="s">
        <v>51</v>
      </c>
      <c r="W364" s="627" t="s">
        <v>51</v>
      </c>
      <c r="X364" s="627" t="s">
        <v>51</v>
      </c>
      <c r="Y364" s="89"/>
    </row>
    <row r="365" ht="22.5" customHeight="1">
      <c r="A365" s="125"/>
      <c r="B365" s="125"/>
      <c r="C365" s="125"/>
      <c r="D365" s="125"/>
      <c r="E365" s="125"/>
      <c r="F365" s="125"/>
      <c r="G365" s="125"/>
      <c r="H365" s="125"/>
      <c r="I365" s="627" t="s">
        <v>51</v>
      </c>
      <c r="J365" s="125" t="s">
        <v>51</v>
      </c>
      <c r="K365" s="125" t="s">
        <v>51</v>
      </c>
      <c r="L365" s="125" t="s">
        <v>51</v>
      </c>
      <c r="M365" s="125" t="str">
        <f t="shared" si="1"/>
        <v/>
      </c>
      <c r="N365" s="125" t="str">
        <f t="shared" si="2"/>
        <v/>
      </c>
      <c r="O365" s="125"/>
      <c r="P365" s="125"/>
      <c r="Q365" s="125"/>
      <c r="R365" s="125"/>
      <c r="S365" s="628">
        <f t="shared" si="3"/>
        <v>0</v>
      </c>
      <c r="T365" s="627" t="s">
        <v>51</v>
      </c>
      <c r="U365" s="627" t="s">
        <v>51</v>
      </c>
      <c r="V365" s="627" t="s">
        <v>51</v>
      </c>
      <c r="W365" s="627" t="s">
        <v>51</v>
      </c>
      <c r="X365" s="627" t="s">
        <v>51</v>
      </c>
      <c r="Y365" s="89"/>
    </row>
    <row r="366" ht="22.5" customHeight="1">
      <c r="A366" s="125"/>
      <c r="B366" s="125"/>
      <c r="C366" s="125"/>
      <c r="D366" s="125"/>
      <c r="E366" s="125"/>
      <c r="F366" s="125"/>
      <c r="G366" s="125"/>
      <c r="H366" s="125"/>
      <c r="I366" s="627" t="s">
        <v>51</v>
      </c>
      <c r="J366" s="125" t="s">
        <v>51</v>
      </c>
      <c r="K366" s="125" t="s">
        <v>51</v>
      </c>
      <c r="L366" s="125" t="s">
        <v>51</v>
      </c>
      <c r="M366" s="125" t="str">
        <f t="shared" si="1"/>
        <v/>
      </c>
      <c r="N366" s="125" t="str">
        <f t="shared" si="2"/>
        <v/>
      </c>
      <c r="O366" s="125"/>
      <c r="P366" s="125"/>
      <c r="Q366" s="125"/>
      <c r="R366" s="125"/>
      <c r="S366" s="628">
        <f t="shared" si="3"/>
        <v>0</v>
      </c>
      <c r="T366" s="627" t="s">
        <v>51</v>
      </c>
      <c r="U366" s="627" t="s">
        <v>51</v>
      </c>
      <c r="V366" s="627" t="s">
        <v>51</v>
      </c>
      <c r="W366" s="627" t="s">
        <v>51</v>
      </c>
      <c r="X366" s="627" t="s">
        <v>51</v>
      </c>
      <c r="Y366" s="89"/>
    </row>
    <row r="367" ht="22.5" customHeight="1">
      <c r="A367" s="125"/>
      <c r="B367" s="125"/>
      <c r="C367" s="125"/>
      <c r="D367" s="125"/>
      <c r="E367" s="125"/>
      <c r="F367" s="125"/>
      <c r="G367" s="125"/>
      <c r="H367" s="125"/>
      <c r="I367" s="627" t="s">
        <v>51</v>
      </c>
      <c r="J367" s="125" t="s">
        <v>51</v>
      </c>
      <c r="K367" s="125" t="s">
        <v>51</v>
      </c>
      <c r="L367" s="125" t="s">
        <v>51</v>
      </c>
      <c r="M367" s="125" t="str">
        <f t="shared" si="1"/>
        <v/>
      </c>
      <c r="N367" s="125" t="str">
        <f t="shared" si="2"/>
        <v/>
      </c>
      <c r="O367" s="125"/>
      <c r="P367" s="125"/>
      <c r="Q367" s="125"/>
      <c r="R367" s="125"/>
      <c r="S367" s="628">
        <f t="shared" si="3"/>
        <v>0</v>
      </c>
      <c r="T367" s="627" t="s">
        <v>51</v>
      </c>
      <c r="U367" s="627" t="s">
        <v>51</v>
      </c>
      <c r="V367" s="627" t="s">
        <v>51</v>
      </c>
      <c r="W367" s="627" t="s">
        <v>51</v>
      </c>
      <c r="X367" s="627" t="s">
        <v>51</v>
      </c>
      <c r="Y367" s="89"/>
    </row>
    <row r="368" ht="22.5" customHeight="1">
      <c r="A368" s="125"/>
      <c r="B368" s="125"/>
      <c r="C368" s="125"/>
      <c r="D368" s="125"/>
      <c r="E368" s="125"/>
      <c r="F368" s="125"/>
      <c r="G368" s="125"/>
      <c r="H368" s="125"/>
      <c r="I368" s="627" t="s">
        <v>51</v>
      </c>
      <c r="J368" s="125" t="s">
        <v>51</v>
      </c>
      <c r="K368" s="125" t="s">
        <v>51</v>
      </c>
      <c r="L368" s="125" t="s">
        <v>51</v>
      </c>
      <c r="M368" s="125" t="str">
        <f t="shared" si="1"/>
        <v/>
      </c>
      <c r="N368" s="125" t="str">
        <f t="shared" si="2"/>
        <v/>
      </c>
      <c r="O368" s="125"/>
      <c r="P368" s="125"/>
      <c r="Q368" s="125"/>
      <c r="R368" s="125"/>
      <c r="S368" s="628">
        <f t="shared" si="3"/>
        <v>0</v>
      </c>
      <c r="T368" s="627" t="s">
        <v>51</v>
      </c>
      <c r="U368" s="627" t="s">
        <v>51</v>
      </c>
      <c r="V368" s="627" t="s">
        <v>51</v>
      </c>
      <c r="W368" s="627" t="s">
        <v>51</v>
      </c>
      <c r="X368" s="627" t="s">
        <v>51</v>
      </c>
      <c r="Y368" s="89"/>
    </row>
    <row r="369" ht="22.5" customHeight="1">
      <c r="A369" s="125"/>
      <c r="B369" s="125"/>
      <c r="C369" s="125"/>
      <c r="D369" s="125"/>
      <c r="E369" s="125"/>
      <c r="F369" s="125"/>
      <c r="G369" s="125"/>
      <c r="H369" s="125"/>
      <c r="I369" s="627" t="s">
        <v>51</v>
      </c>
      <c r="J369" s="125" t="s">
        <v>51</v>
      </c>
      <c r="K369" s="125" t="s">
        <v>51</v>
      </c>
      <c r="L369" s="125" t="s">
        <v>51</v>
      </c>
      <c r="M369" s="125" t="str">
        <f t="shared" si="1"/>
        <v/>
      </c>
      <c r="N369" s="125" t="str">
        <f t="shared" si="2"/>
        <v/>
      </c>
      <c r="O369" s="125"/>
      <c r="P369" s="125"/>
      <c r="Q369" s="125"/>
      <c r="R369" s="125"/>
      <c r="S369" s="628">
        <f t="shared" si="3"/>
        <v>0</v>
      </c>
      <c r="T369" s="627" t="s">
        <v>51</v>
      </c>
      <c r="U369" s="627" t="s">
        <v>51</v>
      </c>
      <c r="V369" s="627" t="s">
        <v>51</v>
      </c>
      <c r="W369" s="627" t="s">
        <v>51</v>
      </c>
      <c r="X369" s="627" t="s">
        <v>51</v>
      </c>
      <c r="Y369" s="89"/>
    </row>
    <row r="370" ht="22.5" customHeight="1">
      <c r="A370" s="125"/>
      <c r="B370" s="125"/>
      <c r="C370" s="125"/>
      <c r="D370" s="125"/>
      <c r="E370" s="125"/>
      <c r="F370" s="125"/>
      <c r="G370" s="125"/>
      <c r="H370" s="125"/>
      <c r="I370" s="627" t="s">
        <v>51</v>
      </c>
      <c r="J370" s="125" t="s">
        <v>51</v>
      </c>
      <c r="K370" s="125" t="s">
        <v>51</v>
      </c>
      <c r="L370" s="125" t="s">
        <v>51</v>
      </c>
      <c r="M370" s="125" t="str">
        <f t="shared" si="1"/>
        <v/>
      </c>
      <c r="N370" s="125" t="str">
        <f t="shared" si="2"/>
        <v/>
      </c>
      <c r="O370" s="125"/>
      <c r="P370" s="125"/>
      <c r="Q370" s="125"/>
      <c r="R370" s="125"/>
      <c r="S370" s="628">
        <f t="shared" si="3"/>
        <v>0</v>
      </c>
      <c r="T370" s="627" t="s">
        <v>51</v>
      </c>
      <c r="U370" s="627" t="s">
        <v>51</v>
      </c>
      <c r="V370" s="627" t="s">
        <v>51</v>
      </c>
      <c r="W370" s="627" t="s">
        <v>51</v>
      </c>
      <c r="X370" s="627" t="s">
        <v>51</v>
      </c>
      <c r="Y370" s="89"/>
    </row>
    <row r="371" ht="22.5" customHeight="1">
      <c r="A371" s="125"/>
      <c r="B371" s="125"/>
      <c r="C371" s="125"/>
      <c r="D371" s="125"/>
      <c r="E371" s="125"/>
      <c r="F371" s="125"/>
      <c r="G371" s="125"/>
      <c r="H371" s="125"/>
      <c r="I371" s="627" t="s">
        <v>51</v>
      </c>
      <c r="J371" s="125" t="s">
        <v>51</v>
      </c>
      <c r="K371" s="125" t="s">
        <v>51</v>
      </c>
      <c r="L371" s="125" t="s">
        <v>51</v>
      </c>
      <c r="M371" s="125" t="str">
        <f t="shared" si="1"/>
        <v/>
      </c>
      <c r="N371" s="125" t="str">
        <f t="shared" si="2"/>
        <v/>
      </c>
      <c r="O371" s="125"/>
      <c r="P371" s="125"/>
      <c r="Q371" s="125"/>
      <c r="R371" s="125"/>
      <c r="S371" s="628">
        <f t="shared" si="3"/>
        <v>0</v>
      </c>
      <c r="T371" s="627" t="s">
        <v>51</v>
      </c>
      <c r="U371" s="627" t="s">
        <v>51</v>
      </c>
      <c r="V371" s="627" t="s">
        <v>51</v>
      </c>
      <c r="W371" s="627" t="s">
        <v>51</v>
      </c>
      <c r="X371" s="627" t="s">
        <v>51</v>
      </c>
      <c r="Y371" s="89"/>
    </row>
    <row r="372" ht="22.5" customHeight="1">
      <c r="A372" s="125"/>
      <c r="B372" s="125"/>
      <c r="C372" s="125"/>
      <c r="D372" s="125"/>
      <c r="E372" s="125"/>
      <c r="F372" s="125"/>
      <c r="G372" s="125"/>
      <c r="H372" s="125"/>
      <c r="I372" s="627" t="s">
        <v>51</v>
      </c>
      <c r="J372" s="125" t="s">
        <v>51</v>
      </c>
      <c r="K372" s="125" t="s">
        <v>51</v>
      </c>
      <c r="L372" s="125" t="s">
        <v>51</v>
      </c>
      <c r="M372" s="125" t="str">
        <f t="shared" si="1"/>
        <v/>
      </c>
      <c r="N372" s="125" t="str">
        <f t="shared" si="2"/>
        <v/>
      </c>
      <c r="O372" s="125"/>
      <c r="P372" s="125"/>
      <c r="Q372" s="125"/>
      <c r="R372" s="125"/>
      <c r="S372" s="628">
        <f t="shared" si="3"/>
        <v>0</v>
      </c>
      <c r="T372" s="627" t="s">
        <v>51</v>
      </c>
      <c r="U372" s="627" t="s">
        <v>51</v>
      </c>
      <c r="V372" s="627" t="s">
        <v>51</v>
      </c>
      <c r="W372" s="627" t="s">
        <v>51</v>
      </c>
      <c r="X372" s="627" t="s">
        <v>51</v>
      </c>
      <c r="Y372" s="89"/>
    </row>
    <row r="373" ht="22.5" customHeight="1">
      <c r="A373" s="125"/>
      <c r="B373" s="125"/>
      <c r="C373" s="125"/>
      <c r="D373" s="125"/>
      <c r="E373" s="125"/>
      <c r="F373" s="125"/>
      <c r="G373" s="125"/>
      <c r="H373" s="125"/>
      <c r="I373" s="627" t="s">
        <v>51</v>
      </c>
      <c r="J373" s="125" t="s">
        <v>51</v>
      </c>
      <c r="K373" s="125" t="s">
        <v>51</v>
      </c>
      <c r="L373" s="125" t="s">
        <v>51</v>
      </c>
      <c r="M373" s="125" t="str">
        <f t="shared" si="1"/>
        <v/>
      </c>
      <c r="N373" s="125" t="str">
        <f t="shared" si="2"/>
        <v/>
      </c>
      <c r="O373" s="125"/>
      <c r="P373" s="125"/>
      <c r="Q373" s="125"/>
      <c r="R373" s="125"/>
      <c r="S373" s="628">
        <f t="shared" si="3"/>
        <v>0</v>
      </c>
      <c r="T373" s="627" t="s">
        <v>51</v>
      </c>
      <c r="U373" s="627" t="s">
        <v>51</v>
      </c>
      <c r="V373" s="627" t="s">
        <v>51</v>
      </c>
      <c r="W373" s="627" t="s">
        <v>51</v>
      </c>
      <c r="X373" s="627" t="s">
        <v>51</v>
      </c>
      <c r="Y373" s="89"/>
    </row>
    <row r="374" ht="22.5" customHeight="1">
      <c r="A374" s="125"/>
      <c r="B374" s="125"/>
      <c r="C374" s="125"/>
      <c r="D374" s="125"/>
      <c r="E374" s="125"/>
      <c r="F374" s="125"/>
      <c r="G374" s="125"/>
      <c r="H374" s="125"/>
      <c r="I374" s="627" t="s">
        <v>51</v>
      </c>
      <c r="J374" s="125" t="s">
        <v>51</v>
      </c>
      <c r="K374" s="125" t="s">
        <v>51</v>
      </c>
      <c r="L374" s="125" t="s">
        <v>51</v>
      </c>
      <c r="M374" s="125" t="str">
        <f t="shared" si="1"/>
        <v/>
      </c>
      <c r="N374" s="125" t="str">
        <f t="shared" si="2"/>
        <v/>
      </c>
      <c r="O374" s="125"/>
      <c r="P374" s="125"/>
      <c r="Q374" s="125"/>
      <c r="R374" s="125"/>
      <c r="S374" s="628">
        <f t="shared" si="3"/>
        <v>0</v>
      </c>
      <c r="T374" s="627" t="s">
        <v>51</v>
      </c>
      <c r="U374" s="627" t="s">
        <v>51</v>
      </c>
      <c r="V374" s="627" t="s">
        <v>51</v>
      </c>
      <c r="W374" s="627" t="s">
        <v>51</v>
      </c>
      <c r="X374" s="627" t="s">
        <v>51</v>
      </c>
      <c r="Y374" s="89"/>
    </row>
    <row r="375" ht="22.5" customHeight="1">
      <c r="A375" s="125"/>
      <c r="B375" s="125"/>
      <c r="C375" s="125"/>
      <c r="D375" s="125"/>
      <c r="E375" s="125"/>
      <c r="F375" s="125"/>
      <c r="G375" s="125"/>
      <c r="H375" s="125"/>
      <c r="I375" s="627" t="s">
        <v>51</v>
      </c>
      <c r="J375" s="125" t="s">
        <v>51</v>
      </c>
      <c r="K375" s="125" t="s">
        <v>51</v>
      </c>
      <c r="L375" s="125" t="s">
        <v>51</v>
      </c>
      <c r="M375" s="125" t="str">
        <f t="shared" si="1"/>
        <v/>
      </c>
      <c r="N375" s="125" t="str">
        <f t="shared" si="2"/>
        <v/>
      </c>
      <c r="O375" s="125"/>
      <c r="P375" s="125"/>
      <c r="Q375" s="125"/>
      <c r="R375" s="125"/>
      <c r="S375" s="628">
        <f t="shared" si="3"/>
        <v>0</v>
      </c>
      <c r="T375" s="627" t="s">
        <v>51</v>
      </c>
      <c r="U375" s="627" t="s">
        <v>51</v>
      </c>
      <c r="V375" s="627" t="s">
        <v>51</v>
      </c>
      <c r="W375" s="627" t="s">
        <v>51</v>
      </c>
      <c r="X375" s="627" t="s">
        <v>51</v>
      </c>
      <c r="Y375" s="89"/>
    </row>
    <row r="376" ht="22.5" customHeight="1">
      <c r="A376" s="125"/>
      <c r="B376" s="125"/>
      <c r="C376" s="125"/>
      <c r="D376" s="125"/>
      <c r="E376" s="125"/>
      <c r="F376" s="125"/>
      <c r="G376" s="125"/>
      <c r="H376" s="125"/>
      <c r="I376" s="627" t="s">
        <v>51</v>
      </c>
      <c r="J376" s="125" t="s">
        <v>51</v>
      </c>
      <c r="K376" s="125" t="s">
        <v>51</v>
      </c>
      <c r="L376" s="125" t="s">
        <v>51</v>
      </c>
      <c r="M376" s="125" t="str">
        <f t="shared" si="1"/>
        <v/>
      </c>
      <c r="N376" s="125" t="str">
        <f t="shared" si="2"/>
        <v/>
      </c>
      <c r="O376" s="125"/>
      <c r="P376" s="125"/>
      <c r="Q376" s="125"/>
      <c r="R376" s="125"/>
      <c r="S376" s="628">
        <f t="shared" si="3"/>
        <v>0</v>
      </c>
      <c r="T376" s="627" t="s">
        <v>51</v>
      </c>
      <c r="U376" s="627" t="s">
        <v>51</v>
      </c>
      <c r="V376" s="627" t="s">
        <v>51</v>
      </c>
      <c r="W376" s="627" t="s">
        <v>51</v>
      </c>
      <c r="X376" s="627" t="s">
        <v>51</v>
      </c>
      <c r="Y376" s="89"/>
    </row>
    <row r="377" ht="22.5" customHeight="1">
      <c r="A377" s="125"/>
      <c r="B377" s="125"/>
      <c r="C377" s="125"/>
      <c r="D377" s="125"/>
      <c r="E377" s="125"/>
      <c r="F377" s="125"/>
      <c r="G377" s="125"/>
      <c r="H377" s="125"/>
      <c r="I377" s="627" t="s">
        <v>51</v>
      </c>
      <c r="J377" s="125" t="s">
        <v>51</v>
      </c>
      <c r="K377" s="125" t="s">
        <v>51</v>
      </c>
      <c r="L377" s="125" t="s">
        <v>51</v>
      </c>
      <c r="M377" s="125" t="str">
        <f t="shared" si="1"/>
        <v/>
      </c>
      <c r="N377" s="125" t="str">
        <f t="shared" si="2"/>
        <v/>
      </c>
      <c r="O377" s="125"/>
      <c r="P377" s="125"/>
      <c r="Q377" s="125"/>
      <c r="R377" s="125"/>
      <c r="S377" s="628">
        <f t="shared" si="3"/>
        <v>0</v>
      </c>
      <c r="T377" s="627" t="s">
        <v>51</v>
      </c>
      <c r="U377" s="627" t="s">
        <v>51</v>
      </c>
      <c r="V377" s="627" t="s">
        <v>51</v>
      </c>
      <c r="W377" s="627" t="s">
        <v>51</v>
      </c>
      <c r="X377" s="627" t="s">
        <v>51</v>
      </c>
      <c r="Y377" s="89"/>
    </row>
    <row r="378" ht="22.5" customHeight="1">
      <c r="A378" s="125"/>
      <c r="B378" s="125"/>
      <c r="C378" s="125"/>
      <c r="D378" s="125"/>
      <c r="E378" s="125"/>
      <c r="F378" s="125"/>
      <c r="G378" s="125"/>
      <c r="H378" s="125"/>
      <c r="I378" s="627" t="s">
        <v>51</v>
      </c>
      <c r="J378" s="125" t="s">
        <v>51</v>
      </c>
      <c r="K378" s="125" t="s">
        <v>51</v>
      </c>
      <c r="L378" s="125" t="s">
        <v>51</v>
      </c>
      <c r="M378" s="125" t="str">
        <f t="shared" si="1"/>
        <v/>
      </c>
      <c r="N378" s="125" t="str">
        <f t="shared" si="2"/>
        <v/>
      </c>
      <c r="O378" s="125"/>
      <c r="P378" s="125"/>
      <c r="Q378" s="125"/>
      <c r="R378" s="125"/>
      <c r="S378" s="628">
        <f t="shared" si="3"/>
        <v>0</v>
      </c>
      <c r="T378" s="627" t="s">
        <v>51</v>
      </c>
      <c r="U378" s="627" t="s">
        <v>51</v>
      </c>
      <c r="V378" s="627" t="s">
        <v>51</v>
      </c>
      <c r="W378" s="627" t="s">
        <v>51</v>
      </c>
      <c r="X378" s="627" t="s">
        <v>51</v>
      </c>
      <c r="Y378" s="89"/>
    </row>
    <row r="379" ht="22.5" customHeight="1">
      <c r="A379" s="125"/>
      <c r="B379" s="125"/>
      <c r="C379" s="125"/>
      <c r="D379" s="125"/>
      <c r="E379" s="125"/>
      <c r="F379" s="125"/>
      <c r="G379" s="125"/>
      <c r="H379" s="125"/>
      <c r="I379" s="627" t="s">
        <v>51</v>
      </c>
      <c r="J379" s="125" t="s">
        <v>51</v>
      </c>
      <c r="K379" s="125" t="s">
        <v>51</v>
      </c>
      <c r="L379" s="125" t="s">
        <v>51</v>
      </c>
      <c r="M379" s="125" t="str">
        <f t="shared" si="1"/>
        <v/>
      </c>
      <c r="N379" s="125" t="str">
        <f t="shared" si="2"/>
        <v/>
      </c>
      <c r="O379" s="125"/>
      <c r="P379" s="125"/>
      <c r="Q379" s="125"/>
      <c r="R379" s="125"/>
      <c r="S379" s="628">
        <f t="shared" si="3"/>
        <v>0</v>
      </c>
      <c r="T379" s="627" t="s">
        <v>51</v>
      </c>
      <c r="U379" s="627" t="s">
        <v>51</v>
      </c>
      <c r="V379" s="627" t="s">
        <v>51</v>
      </c>
      <c r="W379" s="627" t="s">
        <v>51</v>
      </c>
      <c r="X379" s="627" t="s">
        <v>51</v>
      </c>
      <c r="Y379" s="89"/>
    </row>
    <row r="380" ht="22.5" customHeight="1">
      <c r="A380" s="125"/>
      <c r="B380" s="125"/>
      <c r="C380" s="125"/>
      <c r="D380" s="125"/>
      <c r="E380" s="125"/>
      <c r="F380" s="125"/>
      <c r="G380" s="125"/>
      <c r="H380" s="125"/>
      <c r="I380" s="627" t="s">
        <v>51</v>
      </c>
      <c r="J380" s="125" t="s">
        <v>51</v>
      </c>
      <c r="K380" s="125" t="s">
        <v>51</v>
      </c>
      <c r="L380" s="125" t="s">
        <v>51</v>
      </c>
      <c r="M380" s="125" t="str">
        <f t="shared" si="1"/>
        <v/>
      </c>
      <c r="N380" s="125" t="str">
        <f t="shared" si="2"/>
        <v/>
      </c>
      <c r="O380" s="125"/>
      <c r="P380" s="125"/>
      <c r="Q380" s="125"/>
      <c r="R380" s="125"/>
      <c r="S380" s="628">
        <f t="shared" si="3"/>
        <v>0</v>
      </c>
      <c r="T380" s="627" t="s">
        <v>51</v>
      </c>
      <c r="U380" s="627" t="s">
        <v>51</v>
      </c>
      <c r="V380" s="627" t="s">
        <v>51</v>
      </c>
      <c r="W380" s="627" t="s">
        <v>51</v>
      </c>
      <c r="X380" s="627" t="s">
        <v>51</v>
      </c>
      <c r="Y380" s="89"/>
    </row>
    <row r="381" ht="22.5" customHeight="1">
      <c r="A381" s="125"/>
      <c r="B381" s="125"/>
      <c r="C381" s="125"/>
      <c r="D381" s="125"/>
      <c r="E381" s="125"/>
      <c r="F381" s="125"/>
      <c r="G381" s="125"/>
      <c r="H381" s="125"/>
      <c r="I381" s="627" t="s">
        <v>51</v>
      </c>
      <c r="J381" s="125" t="s">
        <v>51</v>
      </c>
      <c r="K381" s="125" t="s">
        <v>51</v>
      </c>
      <c r="L381" s="125" t="s">
        <v>51</v>
      </c>
      <c r="M381" s="125" t="str">
        <f t="shared" si="1"/>
        <v/>
      </c>
      <c r="N381" s="125" t="str">
        <f t="shared" si="2"/>
        <v/>
      </c>
      <c r="O381" s="125"/>
      <c r="P381" s="125"/>
      <c r="Q381" s="125"/>
      <c r="R381" s="125"/>
      <c r="S381" s="628">
        <f t="shared" si="3"/>
        <v>0</v>
      </c>
      <c r="T381" s="627" t="s">
        <v>51</v>
      </c>
      <c r="U381" s="627" t="s">
        <v>51</v>
      </c>
      <c r="V381" s="627" t="s">
        <v>51</v>
      </c>
      <c r="W381" s="627" t="s">
        <v>51</v>
      </c>
      <c r="X381" s="627" t="s">
        <v>51</v>
      </c>
      <c r="Y381" s="89"/>
    </row>
    <row r="382" ht="22.5" customHeight="1">
      <c r="A382" s="125"/>
      <c r="B382" s="125"/>
      <c r="C382" s="125"/>
      <c r="D382" s="125"/>
      <c r="E382" s="125"/>
      <c r="F382" s="125"/>
      <c r="G382" s="125"/>
      <c r="H382" s="125"/>
      <c r="I382" s="627" t="s">
        <v>51</v>
      </c>
      <c r="J382" s="125" t="s">
        <v>51</v>
      </c>
      <c r="K382" s="125" t="s">
        <v>51</v>
      </c>
      <c r="L382" s="125" t="s">
        <v>51</v>
      </c>
      <c r="M382" s="125" t="str">
        <f t="shared" si="1"/>
        <v/>
      </c>
      <c r="N382" s="125" t="str">
        <f t="shared" si="2"/>
        <v/>
      </c>
      <c r="O382" s="125"/>
      <c r="P382" s="125"/>
      <c r="Q382" s="125"/>
      <c r="R382" s="125"/>
      <c r="S382" s="628">
        <f t="shared" si="3"/>
        <v>0</v>
      </c>
      <c r="T382" s="627" t="s">
        <v>51</v>
      </c>
      <c r="U382" s="627" t="s">
        <v>51</v>
      </c>
      <c r="V382" s="627" t="s">
        <v>51</v>
      </c>
      <c r="W382" s="627" t="s">
        <v>51</v>
      </c>
      <c r="X382" s="627" t="s">
        <v>51</v>
      </c>
      <c r="Y382" s="89"/>
    </row>
    <row r="383" ht="22.5" customHeight="1">
      <c r="A383" s="125"/>
      <c r="B383" s="125"/>
      <c r="C383" s="125"/>
      <c r="D383" s="125"/>
      <c r="E383" s="125"/>
      <c r="F383" s="125"/>
      <c r="G383" s="125"/>
      <c r="H383" s="125"/>
      <c r="I383" s="627" t="s">
        <v>51</v>
      </c>
      <c r="J383" s="125" t="s">
        <v>51</v>
      </c>
      <c r="K383" s="125" t="s">
        <v>51</v>
      </c>
      <c r="L383" s="125" t="s">
        <v>51</v>
      </c>
      <c r="M383" s="125" t="str">
        <f t="shared" si="1"/>
        <v/>
      </c>
      <c r="N383" s="125" t="str">
        <f t="shared" si="2"/>
        <v/>
      </c>
      <c r="O383" s="125"/>
      <c r="P383" s="125"/>
      <c r="Q383" s="125"/>
      <c r="R383" s="125"/>
      <c r="S383" s="628">
        <f t="shared" si="3"/>
        <v>0</v>
      </c>
      <c r="T383" s="627" t="s">
        <v>51</v>
      </c>
      <c r="U383" s="627" t="s">
        <v>51</v>
      </c>
      <c r="V383" s="627" t="s">
        <v>51</v>
      </c>
      <c r="W383" s="627" t="s">
        <v>51</v>
      </c>
      <c r="X383" s="627" t="s">
        <v>51</v>
      </c>
      <c r="Y383" s="89"/>
    </row>
    <row r="384" ht="22.5" customHeight="1">
      <c r="A384" s="125"/>
      <c r="B384" s="125"/>
      <c r="C384" s="125"/>
      <c r="D384" s="125"/>
      <c r="E384" s="125"/>
      <c r="F384" s="125"/>
      <c r="G384" s="125"/>
      <c r="H384" s="125"/>
      <c r="I384" s="627" t="s">
        <v>51</v>
      </c>
      <c r="J384" s="125" t="s">
        <v>51</v>
      </c>
      <c r="K384" s="125" t="s">
        <v>51</v>
      </c>
      <c r="L384" s="125" t="s">
        <v>51</v>
      </c>
      <c r="M384" s="125" t="str">
        <f t="shared" si="1"/>
        <v/>
      </c>
      <c r="N384" s="125" t="str">
        <f t="shared" si="2"/>
        <v/>
      </c>
      <c r="O384" s="125"/>
      <c r="P384" s="125"/>
      <c r="Q384" s="125"/>
      <c r="R384" s="125"/>
      <c r="S384" s="628">
        <f t="shared" si="3"/>
        <v>0</v>
      </c>
      <c r="T384" s="627" t="s">
        <v>51</v>
      </c>
      <c r="U384" s="627" t="s">
        <v>51</v>
      </c>
      <c r="V384" s="627" t="s">
        <v>51</v>
      </c>
      <c r="W384" s="627" t="s">
        <v>51</v>
      </c>
      <c r="X384" s="627" t="s">
        <v>51</v>
      </c>
      <c r="Y384" s="89"/>
    </row>
    <row r="385" ht="22.5" customHeight="1">
      <c r="A385" s="125"/>
      <c r="B385" s="125"/>
      <c r="C385" s="125"/>
      <c r="D385" s="125"/>
      <c r="E385" s="125"/>
      <c r="F385" s="125"/>
      <c r="G385" s="125"/>
      <c r="H385" s="125"/>
      <c r="I385" s="627" t="s">
        <v>51</v>
      </c>
      <c r="J385" s="125" t="s">
        <v>51</v>
      </c>
      <c r="K385" s="125" t="s">
        <v>51</v>
      </c>
      <c r="L385" s="125" t="s">
        <v>51</v>
      </c>
      <c r="M385" s="125" t="str">
        <f t="shared" si="1"/>
        <v/>
      </c>
      <c r="N385" s="125" t="str">
        <f t="shared" si="2"/>
        <v/>
      </c>
      <c r="O385" s="125"/>
      <c r="P385" s="125"/>
      <c r="Q385" s="125"/>
      <c r="R385" s="125"/>
      <c r="S385" s="628">
        <f t="shared" si="3"/>
        <v>0</v>
      </c>
      <c r="T385" s="627" t="s">
        <v>51</v>
      </c>
      <c r="U385" s="627" t="s">
        <v>51</v>
      </c>
      <c r="V385" s="627" t="s">
        <v>51</v>
      </c>
      <c r="W385" s="627" t="s">
        <v>51</v>
      </c>
      <c r="X385" s="627" t="s">
        <v>51</v>
      </c>
      <c r="Y385" s="89"/>
    </row>
    <row r="386" ht="22.5" customHeight="1">
      <c r="A386" s="125"/>
      <c r="B386" s="125"/>
      <c r="C386" s="125"/>
      <c r="D386" s="125"/>
      <c r="E386" s="125"/>
      <c r="F386" s="125"/>
      <c r="G386" s="125"/>
      <c r="H386" s="125"/>
      <c r="I386" s="627" t="s">
        <v>51</v>
      </c>
      <c r="J386" s="125" t="s">
        <v>51</v>
      </c>
      <c r="K386" s="125" t="s">
        <v>51</v>
      </c>
      <c r="L386" s="125" t="s">
        <v>51</v>
      </c>
      <c r="M386" s="125" t="str">
        <f t="shared" si="1"/>
        <v/>
      </c>
      <c r="N386" s="125" t="str">
        <f t="shared" si="2"/>
        <v/>
      </c>
      <c r="O386" s="125"/>
      <c r="P386" s="125"/>
      <c r="Q386" s="125"/>
      <c r="R386" s="125"/>
      <c r="S386" s="628">
        <f t="shared" si="3"/>
        <v>0</v>
      </c>
      <c r="T386" s="627" t="s">
        <v>51</v>
      </c>
      <c r="U386" s="627" t="s">
        <v>51</v>
      </c>
      <c r="V386" s="627" t="s">
        <v>51</v>
      </c>
      <c r="W386" s="627" t="s">
        <v>51</v>
      </c>
      <c r="X386" s="627" t="s">
        <v>51</v>
      </c>
      <c r="Y386" s="89"/>
    </row>
    <row r="387" ht="22.5" customHeight="1">
      <c r="A387" s="125"/>
      <c r="B387" s="125"/>
      <c r="C387" s="125"/>
      <c r="D387" s="125"/>
      <c r="E387" s="125"/>
      <c r="F387" s="125"/>
      <c r="G387" s="125"/>
      <c r="H387" s="125"/>
      <c r="I387" s="627" t="s">
        <v>51</v>
      </c>
      <c r="J387" s="125" t="s">
        <v>51</v>
      </c>
      <c r="K387" s="125" t="s">
        <v>51</v>
      </c>
      <c r="L387" s="125" t="s">
        <v>51</v>
      </c>
      <c r="M387" s="125" t="str">
        <f t="shared" si="1"/>
        <v/>
      </c>
      <c r="N387" s="125" t="str">
        <f t="shared" si="2"/>
        <v/>
      </c>
      <c r="O387" s="125"/>
      <c r="P387" s="125"/>
      <c r="Q387" s="125"/>
      <c r="R387" s="125"/>
      <c r="S387" s="628">
        <f t="shared" si="3"/>
        <v>0</v>
      </c>
      <c r="T387" s="627" t="s">
        <v>51</v>
      </c>
      <c r="U387" s="627" t="s">
        <v>51</v>
      </c>
      <c r="V387" s="627" t="s">
        <v>51</v>
      </c>
      <c r="W387" s="627" t="s">
        <v>51</v>
      </c>
      <c r="X387" s="627" t="s">
        <v>51</v>
      </c>
      <c r="Y387" s="89"/>
    </row>
    <row r="388" ht="22.5" customHeight="1">
      <c r="A388" s="125"/>
      <c r="B388" s="125"/>
      <c r="C388" s="125"/>
      <c r="D388" s="125"/>
      <c r="E388" s="125"/>
      <c r="F388" s="125"/>
      <c r="G388" s="125"/>
      <c r="H388" s="125"/>
      <c r="I388" s="627" t="s">
        <v>51</v>
      </c>
      <c r="J388" s="125" t="s">
        <v>51</v>
      </c>
      <c r="K388" s="125" t="s">
        <v>51</v>
      </c>
      <c r="L388" s="125" t="s">
        <v>51</v>
      </c>
      <c r="M388" s="125" t="str">
        <f t="shared" si="1"/>
        <v/>
      </c>
      <c r="N388" s="125" t="str">
        <f t="shared" si="2"/>
        <v/>
      </c>
      <c r="O388" s="125"/>
      <c r="P388" s="125"/>
      <c r="Q388" s="125"/>
      <c r="R388" s="125"/>
      <c r="S388" s="628">
        <f t="shared" si="3"/>
        <v>0</v>
      </c>
      <c r="T388" s="627" t="s">
        <v>51</v>
      </c>
      <c r="U388" s="627" t="s">
        <v>51</v>
      </c>
      <c r="V388" s="627" t="s">
        <v>51</v>
      </c>
      <c r="W388" s="627" t="s">
        <v>51</v>
      </c>
      <c r="X388" s="627" t="s">
        <v>51</v>
      </c>
      <c r="Y388" s="89"/>
    </row>
    <row r="389" ht="22.5" customHeight="1">
      <c r="A389" s="125"/>
      <c r="B389" s="125"/>
      <c r="C389" s="125"/>
      <c r="D389" s="125"/>
      <c r="E389" s="125"/>
      <c r="F389" s="125"/>
      <c r="G389" s="125"/>
      <c r="H389" s="125"/>
      <c r="I389" s="627" t="s">
        <v>51</v>
      </c>
      <c r="J389" s="125" t="s">
        <v>51</v>
      </c>
      <c r="K389" s="125" t="s">
        <v>51</v>
      </c>
      <c r="L389" s="125" t="s">
        <v>51</v>
      </c>
      <c r="M389" s="125" t="str">
        <f t="shared" si="1"/>
        <v/>
      </c>
      <c r="N389" s="125" t="str">
        <f t="shared" si="2"/>
        <v/>
      </c>
      <c r="O389" s="125"/>
      <c r="P389" s="125"/>
      <c r="Q389" s="125"/>
      <c r="R389" s="125"/>
      <c r="S389" s="628">
        <f t="shared" si="3"/>
        <v>0</v>
      </c>
      <c r="T389" s="627" t="s">
        <v>51</v>
      </c>
      <c r="U389" s="627" t="s">
        <v>51</v>
      </c>
      <c r="V389" s="627" t="s">
        <v>51</v>
      </c>
      <c r="W389" s="627" t="s">
        <v>51</v>
      </c>
      <c r="X389" s="627" t="s">
        <v>51</v>
      </c>
      <c r="Y389" s="89"/>
    </row>
    <row r="390" ht="22.5" customHeight="1">
      <c r="A390" s="125"/>
      <c r="B390" s="125"/>
      <c r="C390" s="125"/>
      <c r="D390" s="125"/>
      <c r="E390" s="125"/>
      <c r="F390" s="125"/>
      <c r="G390" s="125"/>
      <c r="H390" s="125"/>
      <c r="I390" s="627" t="s">
        <v>51</v>
      </c>
      <c r="J390" s="125" t="s">
        <v>51</v>
      </c>
      <c r="K390" s="125" t="s">
        <v>51</v>
      </c>
      <c r="L390" s="125" t="s">
        <v>51</v>
      </c>
      <c r="M390" s="125" t="str">
        <f t="shared" si="1"/>
        <v/>
      </c>
      <c r="N390" s="125" t="str">
        <f t="shared" si="2"/>
        <v/>
      </c>
      <c r="O390" s="125"/>
      <c r="P390" s="125"/>
      <c r="Q390" s="125"/>
      <c r="R390" s="125"/>
      <c r="S390" s="628">
        <f t="shared" si="3"/>
        <v>0</v>
      </c>
      <c r="T390" s="627" t="s">
        <v>51</v>
      </c>
      <c r="U390" s="627" t="s">
        <v>51</v>
      </c>
      <c r="V390" s="627" t="s">
        <v>51</v>
      </c>
      <c r="W390" s="627" t="s">
        <v>51</v>
      </c>
      <c r="X390" s="627" t="s">
        <v>51</v>
      </c>
      <c r="Y390" s="89"/>
    </row>
    <row r="391" ht="22.5" customHeight="1">
      <c r="A391" s="125"/>
      <c r="B391" s="125"/>
      <c r="C391" s="125"/>
      <c r="D391" s="125"/>
      <c r="E391" s="125"/>
      <c r="F391" s="125"/>
      <c r="G391" s="125"/>
      <c r="H391" s="125"/>
      <c r="I391" s="627" t="s">
        <v>51</v>
      </c>
      <c r="J391" s="125" t="s">
        <v>51</v>
      </c>
      <c r="K391" s="125" t="s">
        <v>51</v>
      </c>
      <c r="L391" s="125" t="s">
        <v>51</v>
      </c>
      <c r="M391" s="125" t="str">
        <f t="shared" si="1"/>
        <v/>
      </c>
      <c r="N391" s="125" t="str">
        <f t="shared" si="2"/>
        <v/>
      </c>
      <c r="O391" s="125"/>
      <c r="P391" s="125"/>
      <c r="Q391" s="125"/>
      <c r="R391" s="125"/>
      <c r="S391" s="628">
        <f t="shared" si="3"/>
        <v>0</v>
      </c>
      <c r="T391" s="627" t="s">
        <v>51</v>
      </c>
      <c r="U391" s="627" t="s">
        <v>51</v>
      </c>
      <c r="V391" s="627" t="s">
        <v>51</v>
      </c>
      <c r="W391" s="627" t="s">
        <v>51</v>
      </c>
      <c r="X391" s="627" t="s">
        <v>51</v>
      </c>
      <c r="Y391" s="89"/>
    </row>
    <row r="392" ht="22.5" customHeight="1">
      <c r="A392" s="125"/>
      <c r="B392" s="125"/>
      <c r="C392" s="125"/>
      <c r="D392" s="125"/>
      <c r="E392" s="125"/>
      <c r="F392" s="125"/>
      <c r="G392" s="125"/>
      <c r="H392" s="125"/>
      <c r="I392" s="627" t="s">
        <v>51</v>
      </c>
      <c r="J392" s="125" t="s">
        <v>51</v>
      </c>
      <c r="K392" s="125" t="s">
        <v>51</v>
      </c>
      <c r="L392" s="125" t="s">
        <v>51</v>
      </c>
      <c r="M392" s="125" t="str">
        <f t="shared" si="1"/>
        <v/>
      </c>
      <c r="N392" s="125" t="str">
        <f t="shared" si="2"/>
        <v/>
      </c>
      <c r="O392" s="125"/>
      <c r="P392" s="125"/>
      <c r="Q392" s="125"/>
      <c r="R392" s="125"/>
      <c r="S392" s="628">
        <f t="shared" si="3"/>
        <v>0</v>
      </c>
      <c r="T392" s="627" t="s">
        <v>51</v>
      </c>
      <c r="U392" s="627" t="s">
        <v>51</v>
      </c>
      <c r="V392" s="627" t="s">
        <v>51</v>
      </c>
      <c r="W392" s="627" t="s">
        <v>51</v>
      </c>
      <c r="X392" s="627" t="s">
        <v>51</v>
      </c>
      <c r="Y392" s="89"/>
    </row>
    <row r="393" ht="22.5" customHeight="1">
      <c r="A393" s="125"/>
      <c r="B393" s="125"/>
      <c r="C393" s="125"/>
      <c r="D393" s="125"/>
      <c r="E393" s="125"/>
      <c r="F393" s="125"/>
      <c r="G393" s="125"/>
      <c r="H393" s="125"/>
      <c r="I393" s="627" t="s">
        <v>51</v>
      </c>
      <c r="J393" s="125" t="s">
        <v>51</v>
      </c>
      <c r="K393" s="125" t="s">
        <v>51</v>
      </c>
      <c r="L393" s="125" t="s">
        <v>51</v>
      </c>
      <c r="M393" s="125" t="str">
        <f t="shared" si="1"/>
        <v/>
      </c>
      <c r="N393" s="125" t="str">
        <f t="shared" si="2"/>
        <v/>
      </c>
      <c r="O393" s="125"/>
      <c r="P393" s="125"/>
      <c r="Q393" s="125"/>
      <c r="R393" s="125"/>
      <c r="S393" s="628">
        <f t="shared" si="3"/>
        <v>0</v>
      </c>
      <c r="T393" s="627" t="s">
        <v>51</v>
      </c>
      <c r="U393" s="627" t="s">
        <v>51</v>
      </c>
      <c r="V393" s="627" t="s">
        <v>51</v>
      </c>
      <c r="W393" s="627" t="s">
        <v>51</v>
      </c>
      <c r="X393" s="627" t="s">
        <v>51</v>
      </c>
      <c r="Y393" s="89"/>
    </row>
    <row r="394" ht="22.5" customHeight="1">
      <c r="A394" s="125"/>
      <c r="B394" s="125"/>
      <c r="C394" s="125"/>
      <c r="D394" s="125"/>
      <c r="E394" s="125"/>
      <c r="F394" s="125"/>
      <c r="G394" s="125"/>
      <c r="H394" s="125"/>
      <c r="I394" s="627" t="s">
        <v>51</v>
      </c>
      <c r="J394" s="125" t="s">
        <v>51</v>
      </c>
      <c r="K394" s="125" t="s">
        <v>51</v>
      </c>
      <c r="L394" s="125" t="s">
        <v>51</v>
      </c>
      <c r="M394" s="125" t="str">
        <f t="shared" si="1"/>
        <v/>
      </c>
      <c r="N394" s="125" t="str">
        <f t="shared" si="2"/>
        <v/>
      </c>
      <c r="O394" s="125"/>
      <c r="P394" s="125"/>
      <c r="Q394" s="125"/>
      <c r="R394" s="125"/>
      <c r="S394" s="628">
        <f t="shared" si="3"/>
        <v>0</v>
      </c>
      <c r="T394" s="627" t="s">
        <v>51</v>
      </c>
      <c r="U394" s="627" t="s">
        <v>51</v>
      </c>
      <c r="V394" s="627" t="s">
        <v>51</v>
      </c>
      <c r="W394" s="627" t="s">
        <v>51</v>
      </c>
      <c r="X394" s="627" t="s">
        <v>51</v>
      </c>
      <c r="Y394" s="89"/>
    </row>
    <row r="395" ht="22.5" customHeight="1">
      <c r="A395" s="125"/>
      <c r="B395" s="125"/>
      <c r="C395" s="125"/>
      <c r="D395" s="125"/>
      <c r="E395" s="125"/>
      <c r="F395" s="125"/>
      <c r="G395" s="125"/>
      <c r="H395" s="125"/>
      <c r="I395" s="627" t="s">
        <v>51</v>
      </c>
      <c r="J395" s="125" t="s">
        <v>51</v>
      </c>
      <c r="K395" s="125" t="s">
        <v>51</v>
      </c>
      <c r="L395" s="125" t="s">
        <v>51</v>
      </c>
      <c r="M395" s="125" t="str">
        <f t="shared" si="1"/>
        <v/>
      </c>
      <c r="N395" s="125" t="str">
        <f t="shared" si="2"/>
        <v/>
      </c>
      <c r="O395" s="125"/>
      <c r="P395" s="125"/>
      <c r="Q395" s="125"/>
      <c r="R395" s="125"/>
      <c r="S395" s="628">
        <f t="shared" si="3"/>
        <v>0</v>
      </c>
      <c r="T395" s="627" t="s">
        <v>51</v>
      </c>
      <c r="U395" s="627" t="s">
        <v>51</v>
      </c>
      <c r="V395" s="627" t="s">
        <v>51</v>
      </c>
      <c r="W395" s="627" t="s">
        <v>51</v>
      </c>
      <c r="X395" s="627" t="s">
        <v>51</v>
      </c>
      <c r="Y395" s="89"/>
    </row>
    <row r="396" ht="22.5" customHeight="1">
      <c r="A396" s="125"/>
      <c r="B396" s="125"/>
      <c r="C396" s="125"/>
      <c r="D396" s="125"/>
      <c r="E396" s="125"/>
      <c r="F396" s="125"/>
      <c r="G396" s="125"/>
      <c r="H396" s="125"/>
      <c r="I396" s="627" t="s">
        <v>51</v>
      </c>
      <c r="J396" s="125" t="s">
        <v>51</v>
      </c>
      <c r="K396" s="125" t="s">
        <v>51</v>
      </c>
      <c r="L396" s="125" t="s">
        <v>51</v>
      </c>
      <c r="M396" s="125" t="str">
        <f t="shared" si="1"/>
        <v/>
      </c>
      <c r="N396" s="125" t="str">
        <f t="shared" si="2"/>
        <v/>
      </c>
      <c r="O396" s="125"/>
      <c r="P396" s="125"/>
      <c r="Q396" s="125"/>
      <c r="R396" s="125"/>
      <c r="S396" s="628">
        <f t="shared" si="3"/>
        <v>0</v>
      </c>
      <c r="T396" s="627" t="s">
        <v>51</v>
      </c>
      <c r="U396" s="627" t="s">
        <v>51</v>
      </c>
      <c r="V396" s="627" t="s">
        <v>51</v>
      </c>
      <c r="W396" s="627" t="s">
        <v>51</v>
      </c>
      <c r="X396" s="627" t="s">
        <v>51</v>
      </c>
      <c r="Y396" s="89"/>
    </row>
    <row r="397" ht="22.5" customHeight="1">
      <c r="A397" s="125"/>
      <c r="B397" s="125"/>
      <c r="C397" s="125"/>
      <c r="D397" s="125"/>
      <c r="E397" s="125"/>
      <c r="F397" s="125"/>
      <c r="G397" s="125"/>
      <c r="H397" s="125"/>
      <c r="I397" s="627" t="s">
        <v>51</v>
      </c>
      <c r="J397" s="125" t="s">
        <v>51</v>
      </c>
      <c r="K397" s="125" t="s">
        <v>51</v>
      </c>
      <c r="L397" s="125" t="s">
        <v>51</v>
      </c>
      <c r="M397" s="125" t="str">
        <f t="shared" si="1"/>
        <v/>
      </c>
      <c r="N397" s="125" t="str">
        <f t="shared" si="2"/>
        <v/>
      </c>
      <c r="O397" s="125"/>
      <c r="P397" s="125"/>
      <c r="Q397" s="125"/>
      <c r="R397" s="125"/>
      <c r="S397" s="628">
        <f t="shared" si="3"/>
        <v>0</v>
      </c>
      <c r="T397" s="627" t="s">
        <v>51</v>
      </c>
      <c r="U397" s="627" t="s">
        <v>51</v>
      </c>
      <c r="V397" s="627" t="s">
        <v>51</v>
      </c>
      <c r="W397" s="627" t="s">
        <v>51</v>
      </c>
      <c r="X397" s="627" t="s">
        <v>51</v>
      </c>
      <c r="Y397" s="89"/>
    </row>
    <row r="398" ht="22.5" customHeight="1">
      <c r="A398" s="125"/>
      <c r="B398" s="125"/>
      <c r="C398" s="125"/>
      <c r="D398" s="125"/>
      <c r="E398" s="125"/>
      <c r="F398" s="125"/>
      <c r="G398" s="125"/>
      <c r="H398" s="125"/>
      <c r="I398" s="627" t="s">
        <v>51</v>
      </c>
      <c r="J398" s="125" t="s">
        <v>51</v>
      </c>
      <c r="K398" s="125" t="s">
        <v>51</v>
      </c>
      <c r="L398" s="125" t="s">
        <v>51</v>
      </c>
      <c r="M398" s="125" t="str">
        <f t="shared" si="1"/>
        <v/>
      </c>
      <c r="N398" s="125" t="str">
        <f t="shared" si="2"/>
        <v/>
      </c>
      <c r="O398" s="125"/>
      <c r="P398" s="125"/>
      <c r="Q398" s="125"/>
      <c r="R398" s="125"/>
      <c r="S398" s="628">
        <f t="shared" si="3"/>
        <v>0</v>
      </c>
      <c r="T398" s="627" t="s">
        <v>51</v>
      </c>
      <c r="U398" s="627" t="s">
        <v>51</v>
      </c>
      <c r="V398" s="627" t="s">
        <v>51</v>
      </c>
      <c r="W398" s="627" t="s">
        <v>51</v>
      </c>
      <c r="X398" s="627" t="s">
        <v>51</v>
      </c>
      <c r="Y398" s="89"/>
    </row>
    <row r="399" ht="22.5" customHeight="1">
      <c r="A399" s="125"/>
      <c r="B399" s="125"/>
      <c r="C399" s="125"/>
      <c r="D399" s="125"/>
      <c r="E399" s="125"/>
      <c r="F399" s="125"/>
      <c r="G399" s="125"/>
      <c r="H399" s="125"/>
      <c r="I399" s="627" t="s">
        <v>51</v>
      </c>
      <c r="J399" s="125" t="s">
        <v>51</v>
      </c>
      <c r="K399" s="125" t="s">
        <v>51</v>
      </c>
      <c r="L399" s="125" t="s">
        <v>51</v>
      </c>
      <c r="M399" s="125" t="str">
        <f t="shared" si="1"/>
        <v/>
      </c>
      <c r="N399" s="125" t="str">
        <f t="shared" si="2"/>
        <v/>
      </c>
      <c r="O399" s="125"/>
      <c r="P399" s="125"/>
      <c r="Q399" s="125"/>
      <c r="R399" s="125"/>
      <c r="S399" s="628">
        <f t="shared" si="3"/>
        <v>0</v>
      </c>
      <c r="T399" s="627" t="s">
        <v>51</v>
      </c>
      <c r="U399" s="627" t="s">
        <v>51</v>
      </c>
      <c r="V399" s="627" t="s">
        <v>51</v>
      </c>
      <c r="W399" s="627" t="s">
        <v>51</v>
      </c>
      <c r="X399" s="627" t="s">
        <v>51</v>
      </c>
      <c r="Y399" s="89"/>
    </row>
    <row r="400" ht="22.5" customHeight="1">
      <c r="A400" s="125"/>
      <c r="B400" s="125"/>
      <c r="C400" s="125"/>
      <c r="D400" s="125"/>
      <c r="E400" s="125"/>
      <c r="F400" s="125"/>
      <c r="G400" s="125"/>
      <c r="H400" s="125"/>
      <c r="I400" s="627" t="s">
        <v>51</v>
      </c>
      <c r="J400" s="125" t="s">
        <v>51</v>
      </c>
      <c r="K400" s="125" t="s">
        <v>51</v>
      </c>
      <c r="L400" s="125" t="s">
        <v>51</v>
      </c>
      <c r="M400" s="125" t="str">
        <f t="shared" si="1"/>
        <v/>
      </c>
      <c r="N400" s="125" t="str">
        <f t="shared" si="2"/>
        <v/>
      </c>
      <c r="O400" s="125"/>
      <c r="P400" s="125"/>
      <c r="Q400" s="125"/>
      <c r="R400" s="125"/>
      <c r="S400" s="628">
        <f t="shared" si="3"/>
        <v>0</v>
      </c>
      <c r="T400" s="627" t="s">
        <v>51</v>
      </c>
      <c r="U400" s="627" t="s">
        <v>51</v>
      </c>
      <c r="V400" s="627" t="s">
        <v>51</v>
      </c>
      <c r="W400" s="627" t="s">
        <v>51</v>
      </c>
      <c r="X400" s="627" t="s">
        <v>51</v>
      </c>
      <c r="Y400" s="89"/>
    </row>
    <row r="401" ht="22.5" customHeight="1">
      <c r="A401" s="125"/>
      <c r="B401" s="125"/>
      <c r="C401" s="125"/>
      <c r="D401" s="125"/>
      <c r="E401" s="125"/>
      <c r="F401" s="125"/>
      <c r="G401" s="125"/>
      <c r="H401" s="125"/>
      <c r="I401" s="627" t="s">
        <v>51</v>
      </c>
      <c r="J401" s="125" t="s">
        <v>51</v>
      </c>
      <c r="K401" s="125" t="s">
        <v>51</v>
      </c>
      <c r="L401" s="125" t="s">
        <v>51</v>
      </c>
      <c r="M401" s="125" t="str">
        <f t="shared" si="1"/>
        <v/>
      </c>
      <c r="N401" s="125" t="str">
        <f t="shared" si="2"/>
        <v/>
      </c>
      <c r="O401" s="125"/>
      <c r="P401" s="125"/>
      <c r="Q401" s="125"/>
      <c r="R401" s="125"/>
      <c r="S401" s="628">
        <f t="shared" si="3"/>
        <v>0</v>
      </c>
      <c r="T401" s="627" t="s">
        <v>51</v>
      </c>
      <c r="U401" s="627" t="s">
        <v>51</v>
      </c>
      <c r="V401" s="627" t="s">
        <v>51</v>
      </c>
      <c r="W401" s="627" t="s">
        <v>51</v>
      </c>
      <c r="X401" s="627" t="s">
        <v>51</v>
      </c>
      <c r="Y401" s="89"/>
    </row>
    <row r="402" ht="22.5" customHeight="1">
      <c r="A402" s="125"/>
      <c r="B402" s="125"/>
      <c r="C402" s="125"/>
      <c r="D402" s="125"/>
      <c r="E402" s="125"/>
      <c r="F402" s="125"/>
      <c r="G402" s="125"/>
      <c r="H402" s="125"/>
      <c r="I402" s="627" t="s">
        <v>51</v>
      </c>
      <c r="J402" s="125" t="s">
        <v>51</v>
      </c>
      <c r="K402" s="125" t="s">
        <v>51</v>
      </c>
      <c r="L402" s="125" t="s">
        <v>51</v>
      </c>
      <c r="M402" s="125" t="str">
        <f t="shared" si="1"/>
        <v/>
      </c>
      <c r="N402" s="125" t="str">
        <f t="shared" si="2"/>
        <v/>
      </c>
      <c r="O402" s="125"/>
      <c r="P402" s="125"/>
      <c r="Q402" s="125"/>
      <c r="R402" s="125"/>
      <c r="S402" s="628">
        <f t="shared" si="3"/>
        <v>0</v>
      </c>
      <c r="T402" s="627" t="s">
        <v>51</v>
      </c>
      <c r="U402" s="627" t="s">
        <v>51</v>
      </c>
      <c r="V402" s="627" t="s">
        <v>51</v>
      </c>
      <c r="W402" s="627" t="s">
        <v>51</v>
      </c>
      <c r="X402" s="627" t="s">
        <v>51</v>
      </c>
      <c r="Y402" s="89"/>
    </row>
    <row r="403" ht="22.5" customHeight="1">
      <c r="A403" s="125"/>
      <c r="B403" s="125"/>
      <c r="C403" s="125"/>
      <c r="D403" s="125"/>
      <c r="E403" s="125"/>
      <c r="F403" s="125"/>
      <c r="G403" s="125"/>
      <c r="H403" s="125"/>
      <c r="I403" s="627" t="s">
        <v>51</v>
      </c>
      <c r="J403" s="125" t="s">
        <v>51</v>
      </c>
      <c r="K403" s="125" t="s">
        <v>51</v>
      </c>
      <c r="L403" s="125" t="s">
        <v>51</v>
      </c>
      <c r="M403" s="125" t="str">
        <f t="shared" si="1"/>
        <v/>
      </c>
      <c r="N403" s="125" t="str">
        <f t="shared" si="2"/>
        <v/>
      </c>
      <c r="O403" s="125"/>
      <c r="P403" s="125"/>
      <c r="Q403" s="125"/>
      <c r="R403" s="125"/>
      <c r="S403" s="628">
        <f t="shared" si="3"/>
        <v>0</v>
      </c>
      <c r="T403" s="627" t="s">
        <v>51</v>
      </c>
      <c r="U403" s="627" t="s">
        <v>51</v>
      </c>
      <c r="V403" s="627" t="s">
        <v>51</v>
      </c>
      <c r="W403" s="627" t="s">
        <v>51</v>
      </c>
      <c r="X403" s="627" t="s">
        <v>51</v>
      </c>
      <c r="Y403" s="89"/>
    </row>
    <row r="404" ht="22.5" customHeight="1">
      <c r="A404" s="125"/>
      <c r="B404" s="125"/>
      <c r="C404" s="125"/>
      <c r="D404" s="125"/>
      <c r="E404" s="125"/>
      <c r="F404" s="125"/>
      <c r="G404" s="125"/>
      <c r="H404" s="125"/>
      <c r="I404" s="627" t="s">
        <v>51</v>
      </c>
      <c r="J404" s="125" t="s">
        <v>51</v>
      </c>
      <c r="K404" s="125" t="s">
        <v>51</v>
      </c>
      <c r="L404" s="125" t="s">
        <v>51</v>
      </c>
      <c r="M404" s="125" t="str">
        <f t="shared" si="1"/>
        <v/>
      </c>
      <c r="N404" s="125" t="str">
        <f t="shared" si="2"/>
        <v/>
      </c>
      <c r="O404" s="125"/>
      <c r="P404" s="125"/>
      <c r="Q404" s="125"/>
      <c r="R404" s="125"/>
      <c r="S404" s="628">
        <f t="shared" si="3"/>
        <v>0</v>
      </c>
      <c r="T404" s="627" t="s">
        <v>51</v>
      </c>
      <c r="U404" s="627" t="s">
        <v>51</v>
      </c>
      <c r="V404" s="627" t="s">
        <v>51</v>
      </c>
      <c r="W404" s="627" t="s">
        <v>51</v>
      </c>
      <c r="X404" s="627" t="s">
        <v>51</v>
      </c>
      <c r="Y404" s="89"/>
    </row>
    <row r="405" ht="22.5" customHeight="1">
      <c r="A405" s="125"/>
      <c r="B405" s="125"/>
      <c r="C405" s="125"/>
      <c r="D405" s="125"/>
      <c r="E405" s="125"/>
      <c r="F405" s="125"/>
      <c r="G405" s="125"/>
      <c r="H405" s="125"/>
      <c r="I405" s="627" t="s">
        <v>51</v>
      </c>
      <c r="J405" s="125" t="s">
        <v>51</v>
      </c>
      <c r="K405" s="125" t="s">
        <v>51</v>
      </c>
      <c r="L405" s="125" t="s">
        <v>51</v>
      </c>
      <c r="M405" s="125" t="str">
        <f t="shared" si="1"/>
        <v/>
      </c>
      <c r="N405" s="125" t="str">
        <f t="shared" si="2"/>
        <v/>
      </c>
      <c r="O405" s="125"/>
      <c r="P405" s="125"/>
      <c r="Q405" s="125"/>
      <c r="R405" s="125"/>
      <c r="S405" s="628">
        <f t="shared" si="3"/>
        <v>0</v>
      </c>
      <c r="T405" s="627" t="s">
        <v>51</v>
      </c>
      <c r="U405" s="627" t="s">
        <v>51</v>
      </c>
      <c r="V405" s="627" t="s">
        <v>51</v>
      </c>
      <c r="W405" s="627" t="s">
        <v>51</v>
      </c>
      <c r="X405" s="627" t="s">
        <v>51</v>
      </c>
      <c r="Y405" s="89"/>
    </row>
    <row r="406" ht="22.5" customHeight="1">
      <c r="A406" s="125"/>
      <c r="B406" s="125"/>
      <c r="C406" s="125"/>
      <c r="D406" s="125"/>
      <c r="E406" s="125"/>
      <c r="F406" s="125"/>
      <c r="G406" s="125"/>
      <c r="H406" s="125"/>
      <c r="I406" s="627" t="s">
        <v>51</v>
      </c>
      <c r="J406" s="125" t="s">
        <v>51</v>
      </c>
      <c r="K406" s="125" t="s">
        <v>51</v>
      </c>
      <c r="L406" s="125" t="s">
        <v>51</v>
      </c>
      <c r="M406" s="125" t="str">
        <f t="shared" si="1"/>
        <v/>
      </c>
      <c r="N406" s="125" t="str">
        <f t="shared" si="2"/>
        <v/>
      </c>
      <c r="O406" s="125"/>
      <c r="P406" s="125"/>
      <c r="Q406" s="125"/>
      <c r="R406" s="125"/>
      <c r="S406" s="628">
        <f t="shared" si="3"/>
        <v>0</v>
      </c>
      <c r="T406" s="627" t="s">
        <v>51</v>
      </c>
      <c r="U406" s="627" t="s">
        <v>51</v>
      </c>
      <c r="V406" s="627" t="s">
        <v>51</v>
      </c>
      <c r="W406" s="627" t="s">
        <v>51</v>
      </c>
      <c r="X406" s="627" t="s">
        <v>51</v>
      </c>
      <c r="Y406" s="89"/>
    </row>
    <row r="407" ht="22.5" customHeight="1">
      <c r="A407" s="125"/>
      <c r="B407" s="125"/>
      <c r="C407" s="125"/>
      <c r="D407" s="125"/>
      <c r="E407" s="125"/>
      <c r="F407" s="125"/>
      <c r="G407" s="125"/>
      <c r="H407" s="125"/>
      <c r="I407" s="627" t="s">
        <v>51</v>
      </c>
      <c r="J407" s="125" t="s">
        <v>51</v>
      </c>
      <c r="K407" s="125" t="s">
        <v>51</v>
      </c>
      <c r="L407" s="125" t="s">
        <v>51</v>
      </c>
      <c r="M407" s="125" t="str">
        <f t="shared" si="1"/>
        <v/>
      </c>
      <c r="N407" s="125" t="str">
        <f t="shared" si="2"/>
        <v/>
      </c>
      <c r="O407" s="125"/>
      <c r="P407" s="125"/>
      <c r="Q407" s="125"/>
      <c r="R407" s="125"/>
      <c r="S407" s="628">
        <f t="shared" si="3"/>
        <v>0</v>
      </c>
      <c r="T407" s="627" t="s">
        <v>51</v>
      </c>
      <c r="U407" s="627" t="s">
        <v>51</v>
      </c>
      <c r="V407" s="627" t="s">
        <v>51</v>
      </c>
      <c r="W407" s="627" t="s">
        <v>51</v>
      </c>
      <c r="X407" s="627" t="s">
        <v>51</v>
      </c>
      <c r="Y407" s="89"/>
    </row>
    <row r="408" ht="22.5" customHeight="1">
      <c r="A408" s="125"/>
      <c r="B408" s="125"/>
      <c r="C408" s="125"/>
      <c r="D408" s="125"/>
      <c r="E408" s="125"/>
      <c r="F408" s="125"/>
      <c r="G408" s="125"/>
      <c r="H408" s="125"/>
      <c r="I408" s="627" t="s">
        <v>51</v>
      </c>
      <c r="J408" s="125" t="s">
        <v>51</v>
      </c>
      <c r="K408" s="125" t="s">
        <v>51</v>
      </c>
      <c r="L408" s="125" t="s">
        <v>51</v>
      </c>
      <c r="M408" s="125" t="str">
        <f t="shared" si="1"/>
        <v/>
      </c>
      <c r="N408" s="125" t="str">
        <f t="shared" si="2"/>
        <v/>
      </c>
      <c r="O408" s="125"/>
      <c r="P408" s="125"/>
      <c r="Q408" s="125"/>
      <c r="R408" s="125"/>
      <c r="S408" s="628">
        <f t="shared" si="3"/>
        <v>0</v>
      </c>
      <c r="T408" s="627" t="s">
        <v>51</v>
      </c>
      <c r="U408" s="627" t="s">
        <v>51</v>
      </c>
      <c r="V408" s="627" t="s">
        <v>51</v>
      </c>
      <c r="W408" s="627" t="s">
        <v>51</v>
      </c>
      <c r="X408" s="627" t="s">
        <v>51</v>
      </c>
      <c r="Y408" s="89"/>
    </row>
    <row r="409" ht="22.5" customHeight="1">
      <c r="A409" s="125"/>
      <c r="B409" s="125"/>
      <c r="C409" s="125"/>
      <c r="D409" s="125"/>
      <c r="E409" s="125"/>
      <c r="F409" s="125"/>
      <c r="G409" s="125"/>
      <c r="H409" s="125"/>
      <c r="I409" s="627" t="s">
        <v>51</v>
      </c>
      <c r="J409" s="125" t="s">
        <v>51</v>
      </c>
      <c r="K409" s="125" t="s">
        <v>51</v>
      </c>
      <c r="L409" s="125" t="s">
        <v>51</v>
      </c>
      <c r="M409" s="125" t="str">
        <f t="shared" si="1"/>
        <v/>
      </c>
      <c r="N409" s="125" t="str">
        <f t="shared" si="2"/>
        <v/>
      </c>
      <c r="O409" s="125"/>
      <c r="P409" s="125"/>
      <c r="Q409" s="125"/>
      <c r="R409" s="125"/>
      <c r="S409" s="628">
        <f t="shared" si="3"/>
        <v>0</v>
      </c>
      <c r="T409" s="627" t="s">
        <v>51</v>
      </c>
      <c r="U409" s="627" t="s">
        <v>51</v>
      </c>
      <c r="V409" s="627" t="s">
        <v>51</v>
      </c>
      <c r="W409" s="627" t="s">
        <v>51</v>
      </c>
      <c r="X409" s="627" t="s">
        <v>51</v>
      </c>
      <c r="Y409" s="89"/>
    </row>
    <row r="410" ht="22.5" customHeight="1">
      <c r="A410" s="125"/>
      <c r="B410" s="125"/>
      <c r="C410" s="125"/>
      <c r="D410" s="125"/>
      <c r="E410" s="125"/>
      <c r="F410" s="125"/>
      <c r="G410" s="125"/>
      <c r="H410" s="125"/>
      <c r="I410" s="627" t="s">
        <v>51</v>
      </c>
      <c r="J410" s="125" t="s">
        <v>51</v>
      </c>
      <c r="K410" s="125" t="s">
        <v>51</v>
      </c>
      <c r="L410" s="125" t="s">
        <v>51</v>
      </c>
      <c r="M410" s="125" t="str">
        <f t="shared" si="1"/>
        <v/>
      </c>
      <c r="N410" s="125" t="str">
        <f t="shared" si="2"/>
        <v/>
      </c>
      <c r="O410" s="125"/>
      <c r="P410" s="125"/>
      <c r="Q410" s="125"/>
      <c r="R410" s="125"/>
      <c r="S410" s="628">
        <f t="shared" si="3"/>
        <v>0</v>
      </c>
      <c r="T410" s="627" t="s">
        <v>51</v>
      </c>
      <c r="U410" s="627" t="s">
        <v>51</v>
      </c>
      <c r="V410" s="627" t="s">
        <v>51</v>
      </c>
      <c r="W410" s="627" t="s">
        <v>51</v>
      </c>
      <c r="X410" s="627" t="s">
        <v>51</v>
      </c>
      <c r="Y410" s="89"/>
    </row>
    <row r="411" ht="22.5" customHeight="1">
      <c r="A411" s="125"/>
      <c r="B411" s="125"/>
      <c r="C411" s="125"/>
      <c r="D411" s="125"/>
      <c r="E411" s="125"/>
      <c r="F411" s="125"/>
      <c r="G411" s="125"/>
      <c r="H411" s="125"/>
      <c r="I411" s="627" t="s">
        <v>51</v>
      </c>
      <c r="J411" s="125" t="s">
        <v>51</v>
      </c>
      <c r="K411" s="125" t="s">
        <v>51</v>
      </c>
      <c r="L411" s="125" t="s">
        <v>51</v>
      </c>
      <c r="M411" s="125" t="str">
        <f t="shared" si="1"/>
        <v/>
      </c>
      <c r="N411" s="125" t="str">
        <f t="shared" si="2"/>
        <v/>
      </c>
      <c r="O411" s="125"/>
      <c r="P411" s="125"/>
      <c r="Q411" s="125"/>
      <c r="R411" s="125"/>
      <c r="S411" s="628">
        <f t="shared" si="3"/>
        <v>0</v>
      </c>
      <c r="T411" s="627" t="s">
        <v>51</v>
      </c>
      <c r="U411" s="627" t="s">
        <v>51</v>
      </c>
      <c r="V411" s="627" t="s">
        <v>51</v>
      </c>
      <c r="W411" s="627" t="s">
        <v>51</v>
      </c>
      <c r="X411" s="627" t="s">
        <v>51</v>
      </c>
      <c r="Y411" s="89"/>
    </row>
    <row r="412" ht="22.5" customHeight="1">
      <c r="A412" s="125"/>
      <c r="B412" s="125"/>
      <c r="C412" s="125"/>
      <c r="D412" s="125"/>
      <c r="E412" s="125"/>
      <c r="F412" s="125"/>
      <c r="G412" s="125"/>
      <c r="H412" s="125"/>
      <c r="I412" s="627" t="s">
        <v>51</v>
      </c>
      <c r="J412" s="125" t="s">
        <v>51</v>
      </c>
      <c r="K412" s="125" t="s">
        <v>51</v>
      </c>
      <c r="L412" s="125" t="s">
        <v>51</v>
      </c>
      <c r="M412" s="125" t="str">
        <f t="shared" si="1"/>
        <v/>
      </c>
      <c r="N412" s="125" t="str">
        <f t="shared" si="2"/>
        <v/>
      </c>
      <c r="O412" s="125"/>
      <c r="P412" s="125"/>
      <c r="Q412" s="125"/>
      <c r="R412" s="125"/>
      <c r="S412" s="628">
        <f t="shared" si="3"/>
        <v>0</v>
      </c>
      <c r="T412" s="627" t="s">
        <v>51</v>
      </c>
      <c r="U412" s="627" t="s">
        <v>51</v>
      </c>
      <c r="V412" s="627" t="s">
        <v>51</v>
      </c>
      <c r="W412" s="627" t="s">
        <v>51</v>
      </c>
      <c r="X412" s="627" t="s">
        <v>51</v>
      </c>
      <c r="Y412" s="89"/>
    </row>
    <row r="413" ht="22.5" customHeight="1">
      <c r="A413" s="125"/>
      <c r="B413" s="125"/>
      <c r="C413" s="125"/>
      <c r="D413" s="125"/>
      <c r="E413" s="125"/>
      <c r="F413" s="125"/>
      <c r="G413" s="125"/>
      <c r="H413" s="125"/>
      <c r="I413" s="627" t="s">
        <v>51</v>
      </c>
      <c r="J413" s="125" t="s">
        <v>51</v>
      </c>
      <c r="K413" s="125" t="s">
        <v>51</v>
      </c>
      <c r="L413" s="125" t="s">
        <v>51</v>
      </c>
      <c r="M413" s="125" t="str">
        <f t="shared" si="1"/>
        <v/>
      </c>
      <c r="N413" s="125" t="str">
        <f t="shared" si="2"/>
        <v/>
      </c>
      <c r="O413" s="125"/>
      <c r="P413" s="125"/>
      <c r="Q413" s="125"/>
      <c r="R413" s="125"/>
      <c r="S413" s="628">
        <f t="shared" si="3"/>
        <v>0</v>
      </c>
      <c r="T413" s="627" t="s">
        <v>51</v>
      </c>
      <c r="U413" s="627" t="s">
        <v>51</v>
      </c>
      <c r="V413" s="627" t="s">
        <v>51</v>
      </c>
      <c r="W413" s="627" t="s">
        <v>51</v>
      </c>
      <c r="X413" s="627" t="s">
        <v>51</v>
      </c>
      <c r="Y413" s="89"/>
    </row>
    <row r="414" ht="22.5" customHeight="1">
      <c r="A414" s="125"/>
      <c r="B414" s="125"/>
      <c r="C414" s="125"/>
      <c r="D414" s="125"/>
      <c r="E414" s="125"/>
      <c r="F414" s="125"/>
      <c r="G414" s="125"/>
      <c r="H414" s="125"/>
      <c r="I414" s="627" t="s">
        <v>51</v>
      </c>
      <c r="J414" s="125" t="s">
        <v>51</v>
      </c>
      <c r="K414" s="125" t="s">
        <v>51</v>
      </c>
      <c r="L414" s="125" t="s">
        <v>51</v>
      </c>
      <c r="M414" s="125" t="str">
        <f t="shared" si="1"/>
        <v/>
      </c>
      <c r="N414" s="125" t="str">
        <f t="shared" si="2"/>
        <v/>
      </c>
      <c r="O414" s="125"/>
      <c r="P414" s="125"/>
      <c r="Q414" s="125"/>
      <c r="R414" s="125"/>
      <c r="S414" s="628">
        <f t="shared" si="3"/>
        <v>0</v>
      </c>
      <c r="T414" s="627" t="s">
        <v>51</v>
      </c>
      <c r="U414" s="627" t="s">
        <v>51</v>
      </c>
      <c r="V414" s="627" t="s">
        <v>51</v>
      </c>
      <c r="W414" s="627" t="s">
        <v>51</v>
      </c>
      <c r="X414" s="627" t="s">
        <v>51</v>
      </c>
      <c r="Y414" s="89"/>
    </row>
    <row r="415" ht="22.5" customHeight="1">
      <c r="A415" s="125"/>
      <c r="B415" s="125"/>
      <c r="C415" s="125"/>
      <c r="D415" s="125"/>
      <c r="E415" s="125"/>
      <c r="F415" s="125"/>
      <c r="G415" s="125"/>
      <c r="H415" s="125"/>
      <c r="I415" s="627" t="s">
        <v>51</v>
      </c>
      <c r="J415" s="125" t="s">
        <v>51</v>
      </c>
      <c r="K415" s="125" t="s">
        <v>51</v>
      </c>
      <c r="L415" s="125" t="s">
        <v>51</v>
      </c>
      <c r="M415" s="125" t="str">
        <f t="shared" si="1"/>
        <v/>
      </c>
      <c r="N415" s="125" t="str">
        <f t="shared" si="2"/>
        <v/>
      </c>
      <c r="O415" s="125"/>
      <c r="P415" s="125"/>
      <c r="Q415" s="125"/>
      <c r="R415" s="125"/>
      <c r="S415" s="628">
        <f t="shared" si="3"/>
        <v>0</v>
      </c>
      <c r="T415" s="627" t="s">
        <v>51</v>
      </c>
      <c r="U415" s="627" t="s">
        <v>51</v>
      </c>
      <c r="V415" s="627" t="s">
        <v>51</v>
      </c>
      <c r="W415" s="627" t="s">
        <v>51</v>
      </c>
      <c r="X415" s="627" t="s">
        <v>51</v>
      </c>
      <c r="Y415" s="89"/>
    </row>
    <row r="416" ht="22.5" customHeight="1">
      <c r="A416" s="125"/>
      <c r="B416" s="125"/>
      <c r="C416" s="125"/>
      <c r="D416" s="125"/>
      <c r="E416" s="125"/>
      <c r="F416" s="125"/>
      <c r="G416" s="125"/>
      <c r="H416" s="125"/>
      <c r="I416" s="627" t="s">
        <v>51</v>
      </c>
      <c r="J416" s="125" t="s">
        <v>51</v>
      </c>
      <c r="K416" s="125" t="s">
        <v>51</v>
      </c>
      <c r="L416" s="125" t="s">
        <v>51</v>
      </c>
      <c r="M416" s="125" t="str">
        <f t="shared" si="1"/>
        <v/>
      </c>
      <c r="N416" s="125" t="str">
        <f t="shared" si="2"/>
        <v/>
      </c>
      <c r="O416" s="125"/>
      <c r="P416" s="125"/>
      <c r="Q416" s="125"/>
      <c r="R416" s="125"/>
      <c r="S416" s="628">
        <f t="shared" si="3"/>
        <v>0</v>
      </c>
      <c r="T416" s="627" t="s">
        <v>51</v>
      </c>
      <c r="U416" s="627" t="s">
        <v>51</v>
      </c>
      <c r="V416" s="627" t="s">
        <v>51</v>
      </c>
      <c r="W416" s="627" t="s">
        <v>51</v>
      </c>
      <c r="X416" s="627" t="s">
        <v>51</v>
      </c>
      <c r="Y416" s="89"/>
    </row>
    <row r="417" ht="22.5" customHeight="1">
      <c r="A417" s="125"/>
      <c r="B417" s="125"/>
      <c r="C417" s="125"/>
      <c r="D417" s="125"/>
      <c r="E417" s="125"/>
      <c r="F417" s="125"/>
      <c r="G417" s="125"/>
      <c r="H417" s="125"/>
      <c r="I417" s="627" t="s">
        <v>51</v>
      </c>
      <c r="J417" s="125" t="s">
        <v>51</v>
      </c>
      <c r="K417" s="125" t="s">
        <v>51</v>
      </c>
      <c r="L417" s="125" t="s">
        <v>51</v>
      </c>
      <c r="M417" s="125" t="str">
        <f t="shared" si="1"/>
        <v/>
      </c>
      <c r="N417" s="125" t="str">
        <f t="shared" si="2"/>
        <v/>
      </c>
      <c r="O417" s="125"/>
      <c r="P417" s="125"/>
      <c r="Q417" s="125"/>
      <c r="R417" s="125"/>
      <c r="S417" s="628">
        <f t="shared" si="3"/>
        <v>0</v>
      </c>
      <c r="T417" s="627" t="s">
        <v>51</v>
      </c>
      <c r="U417" s="627" t="s">
        <v>51</v>
      </c>
      <c r="V417" s="627" t="s">
        <v>51</v>
      </c>
      <c r="W417" s="627" t="s">
        <v>51</v>
      </c>
      <c r="X417" s="627" t="s">
        <v>51</v>
      </c>
      <c r="Y417" s="89"/>
    </row>
    <row r="418" ht="22.5" customHeight="1">
      <c r="A418" s="125"/>
      <c r="B418" s="125"/>
      <c r="C418" s="125"/>
      <c r="D418" s="125"/>
      <c r="E418" s="125"/>
      <c r="F418" s="125"/>
      <c r="G418" s="125"/>
      <c r="H418" s="125"/>
      <c r="I418" s="627" t="s">
        <v>51</v>
      </c>
      <c r="J418" s="125" t="s">
        <v>51</v>
      </c>
      <c r="K418" s="125" t="s">
        <v>51</v>
      </c>
      <c r="L418" s="125" t="s">
        <v>51</v>
      </c>
      <c r="M418" s="125" t="str">
        <f t="shared" si="1"/>
        <v/>
      </c>
      <c r="N418" s="125" t="str">
        <f t="shared" si="2"/>
        <v/>
      </c>
      <c r="O418" s="125"/>
      <c r="P418" s="125"/>
      <c r="Q418" s="125"/>
      <c r="R418" s="125"/>
      <c r="S418" s="628">
        <f t="shared" si="3"/>
        <v>0</v>
      </c>
      <c r="T418" s="627" t="s">
        <v>51</v>
      </c>
      <c r="U418" s="627" t="s">
        <v>51</v>
      </c>
      <c r="V418" s="627" t="s">
        <v>51</v>
      </c>
      <c r="W418" s="627" t="s">
        <v>51</v>
      </c>
      <c r="X418" s="627" t="s">
        <v>51</v>
      </c>
      <c r="Y418" s="89"/>
    </row>
    <row r="419" ht="22.5" customHeight="1">
      <c r="A419" s="125"/>
      <c r="B419" s="125"/>
      <c r="C419" s="125"/>
      <c r="D419" s="125"/>
      <c r="E419" s="125"/>
      <c r="F419" s="125"/>
      <c r="G419" s="125"/>
      <c r="H419" s="125"/>
      <c r="I419" s="627" t="s">
        <v>51</v>
      </c>
      <c r="J419" s="125" t="s">
        <v>51</v>
      </c>
      <c r="K419" s="125" t="s">
        <v>51</v>
      </c>
      <c r="L419" s="125" t="s">
        <v>51</v>
      </c>
      <c r="M419" s="125" t="str">
        <f t="shared" si="1"/>
        <v/>
      </c>
      <c r="N419" s="125" t="str">
        <f t="shared" si="2"/>
        <v/>
      </c>
      <c r="O419" s="125"/>
      <c r="P419" s="125"/>
      <c r="Q419" s="125"/>
      <c r="R419" s="125"/>
      <c r="S419" s="628">
        <f t="shared" si="3"/>
        <v>0</v>
      </c>
      <c r="T419" s="627" t="s">
        <v>51</v>
      </c>
      <c r="U419" s="627" t="s">
        <v>51</v>
      </c>
      <c r="V419" s="627" t="s">
        <v>51</v>
      </c>
      <c r="W419" s="627" t="s">
        <v>51</v>
      </c>
      <c r="X419" s="627" t="s">
        <v>51</v>
      </c>
      <c r="Y419" s="89"/>
    </row>
    <row r="420" ht="22.5" customHeight="1">
      <c r="A420" s="125"/>
      <c r="B420" s="125"/>
      <c r="C420" s="125"/>
      <c r="D420" s="125"/>
      <c r="E420" s="125"/>
      <c r="F420" s="125"/>
      <c r="G420" s="125"/>
      <c r="H420" s="125"/>
      <c r="I420" s="627" t="s">
        <v>51</v>
      </c>
      <c r="J420" s="125" t="s">
        <v>51</v>
      </c>
      <c r="K420" s="125" t="s">
        <v>51</v>
      </c>
      <c r="L420" s="125" t="s">
        <v>51</v>
      </c>
      <c r="M420" s="125" t="str">
        <f t="shared" si="1"/>
        <v/>
      </c>
      <c r="N420" s="125" t="str">
        <f t="shared" si="2"/>
        <v/>
      </c>
      <c r="O420" s="125"/>
      <c r="P420" s="125"/>
      <c r="Q420" s="125"/>
      <c r="R420" s="125"/>
      <c r="S420" s="628">
        <f t="shared" si="3"/>
        <v>0</v>
      </c>
      <c r="T420" s="627" t="s">
        <v>51</v>
      </c>
      <c r="U420" s="627" t="s">
        <v>51</v>
      </c>
      <c r="V420" s="627" t="s">
        <v>51</v>
      </c>
      <c r="W420" s="627" t="s">
        <v>51</v>
      </c>
      <c r="X420" s="627" t="s">
        <v>51</v>
      </c>
      <c r="Y420" s="89"/>
    </row>
    <row r="421" ht="22.5" customHeight="1">
      <c r="A421" s="125"/>
      <c r="B421" s="125"/>
      <c r="C421" s="125"/>
      <c r="D421" s="125"/>
      <c r="E421" s="125"/>
      <c r="F421" s="125"/>
      <c r="G421" s="125"/>
      <c r="H421" s="125"/>
      <c r="I421" s="627" t="s">
        <v>51</v>
      </c>
      <c r="J421" s="125" t="s">
        <v>51</v>
      </c>
      <c r="K421" s="125" t="s">
        <v>51</v>
      </c>
      <c r="L421" s="125" t="s">
        <v>51</v>
      </c>
      <c r="M421" s="125" t="str">
        <f t="shared" si="1"/>
        <v/>
      </c>
      <c r="N421" s="125" t="str">
        <f t="shared" si="2"/>
        <v/>
      </c>
      <c r="O421" s="125"/>
      <c r="P421" s="125"/>
      <c r="Q421" s="125"/>
      <c r="R421" s="125"/>
      <c r="S421" s="628">
        <f t="shared" si="3"/>
        <v>0</v>
      </c>
      <c r="T421" s="627" t="s">
        <v>51</v>
      </c>
      <c r="U421" s="627" t="s">
        <v>51</v>
      </c>
      <c r="V421" s="627" t="s">
        <v>51</v>
      </c>
      <c r="W421" s="627" t="s">
        <v>51</v>
      </c>
      <c r="X421" s="627" t="s">
        <v>51</v>
      </c>
      <c r="Y421" s="89"/>
    </row>
    <row r="422" ht="22.5" customHeight="1">
      <c r="A422" s="125"/>
      <c r="B422" s="125"/>
      <c r="C422" s="125"/>
      <c r="D422" s="125"/>
      <c r="E422" s="125"/>
      <c r="F422" s="125"/>
      <c r="G422" s="125"/>
      <c r="H422" s="125"/>
      <c r="I422" s="627" t="s">
        <v>51</v>
      </c>
      <c r="J422" s="125" t="s">
        <v>51</v>
      </c>
      <c r="K422" s="125" t="s">
        <v>51</v>
      </c>
      <c r="L422" s="125" t="s">
        <v>51</v>
      </c>
      <c r="M422" s="125" t="str">
        <f t="shared" si="1"/>
        <v/>
      </c>
      <c r="N422" s="125" t="str">
        <f t="shared" si="2"/>
        <v/>
      </c>
      <c r="O422" s="125"/>
      <c r="P422" s="125"/>
      <c r="Q422" s="125"/>
      <c r="R422" s="125"/>
      <c r="S422" s="628">
        <f t="shared" si="3"/>
        <v>0</v>
      </c>
      <c r="T422" s="627" t="s">
        <v>51</v>
      </c>
      <c r="U422" s="627" t="s">
        <v>51</v>
      </c>
      <c r="V422" s="627" t="s">
        <v>51</v>
      </c>
      <c r="W422" s="627" t="s">
        <v>51</v>
      </c>
      <c r="X422" s="627" t="s">
        <v>51</v>
      </c>
      <c r="Y422" s="89"/>
    </row>
    <row r="423" ht="22.5" customHeight="1">
      <c r="A423" s="125"/>
      <c r="B423" s="125"/>
      <c r="C423" s="125"/>
      <c r="D423" s="125"/>
      <c r="E423" s="125"/>
      <c r="F423" s="125"/>
      <c r="G423" s="125"/>
      <c r="H423" s="125"/>
      <c r="I423" s="627" t="s">
        <v>51</v>
      </c>
      <c r="J423" s="125" t="s">
        <v>51</v>
      </c>
      <c r="K423" s="125" t="s">
        <v>51</v>
      </c>
      <c r="L423" s="125" t="s">
        <v>51</v>
      </c>
      <c r="M423" s="125" t="str">
        <f t="shared" si="1"/>
        <v/>
      </c>
      <c r="N423" s="125" t="str">
        <f t="shared" si="2"/>
        <v/>
      </c>
      <c r="O423" s="125"/>
      <c r="P423" s="125"/>
      <c r="Q423" s="125"/>
      <c r="R423" s="125"/>
      <c r="S423" s="628">
        <f t="shared" si="3"/>
        <v>0</v>
      </c>
      <c r="T423" s="627" t="s">
        <v>51</v>
      </c>
      <c r="U423" s="627" t="s">
        <v>51</v>
      </c>
      <c r="V423" s="627" t="s">
        <v>51</v>
      </c>
      <c r="W423" s="627" t="s">
        <v>51</v>
      </c>
      <c r="X423" s="627" t="s">
        <v>51</v>
      </c>
      <c r="Y423" s="89"/>
    </row>
    <row r="424" ht="22.5" customHeight="1">
      <c r="A424" s="125"/>
      <c r="B424" s="125"/>
      <c r="C424" s="125"/>
      <c r="D424" s="125"/>
      <c r="E424" s="125"/>
      <c r="F424" s="125"/>
      <c r="G424" s="125"/>
      <c r="H424" s="125"/>
      <c r="I424" s="627" t="s">
        <v>51</v>
      </c>
      <c r="J424" s="125" t="s">
        <v>51</v>
      </c>
      <c r="K424" s="125" t="s">
        <v>51</v>
      </c>
      <c r="L424" s="125" t="s">
        <v>51</v>
      </c>
      <c r="M424" s="125" t="str">
        <f t="shared" si="1"/>
        <v/>
      </c>
      <c r="N424" s="125" t="str">
        <f t="shared" si="2"/>
        <v/>
      </c>
      <c r="O424" s="125"/>
      <c r="P424" s="125"/>
      <c r="Q424" s="125"/>
      <c r="R424" s="125"/>
      <c r="S424" s="628">
        <f t="shared" si="3"/>
        <v>0</v>
      </c>
      <c r="T424" s="627" t="s">
        <v>51</v>
      </c>
      <c r="U424" s="627" t="s">
        <v>51</v>
      </c>
      <c r="V424" s="627" t="s">
        <v>51</v>
      </c>
      <c r="W424" s="627" t="s">
        <v>51</v>
      </c>
      <c r="X424" s="627" t="s">
        <v>51</v>
      </c>
      <c r="Y424" s="89"/>
    </row>
    <row r="425" ht="22.5" customHeight="1">
      <c r="A425" s="125"/>
      <c r="B425" s="125"/>
      <c r="C425" s="125"/>
      <c r="D425" s="125"/>
      <c r="E425" s="125"/>
      <c r="F425" s="125"/>
      <c r="G425" s="125"/>
      <c r="H425" s="125"/>
      <c r="I425" s="627" t="s">
        <v>51</v>
      </c>
      <c r="J425" s="125" t="s">
        <v>51</v>
      </c>
      <c r="K425" s="125" t="s">
        <v>51</v>
      </c>
      <c r="L425" s="125" t="s">
        <v>51</v>
      </c>
      <c r="M425" s="125" t="str">
        <f t="shared" si="1"/>
        <v/>
      </c>
      <c r="N425" s="125" t="str">
        <f t="shared" si="2"/>
        <v/>
      </c>
      <c r="O425" s="125"/>
      <c r="P425" s="125"/>
      <c r="Q425" s="125"/>
      <c r="R425" s="125"/>
      <c r="S425" s="628">
        <f t="shared" si="3"/>
        <v>0</v>
      </c>
      <c r="T425" s="627" t="s">
        <v>51</v>
      </c>
      <c r="U425" s="627" t="s">
        <v>51</v>
      </c>
      <c r="V425" s="627" t="s">
        <v>51</v>
      </c>
      <c r="W425" s="627" t="s">
        <v>51</v>
      </c>
      <c r="X425" s="627" t="s">
        <v>51</v>
      </c>
      <c r="Y425" s="89"/>
    </row>
    <row r="426" ht="22.5" customHeight="1">
      <c r="A426" s="125"/>
      <c r="B426" s="125"/>
      <c r="C426" s="125"/>
      <c r="D426" s="125"/>
      <c r="E426" s="125"/>
      <c r="F426" s="125"/>
      <c r="G426" s="125"/>
      <c r="H426" s="125"/>
      <c r="I426" s="627" t="s">
        <v>51</v>
      </c>
      <c r="J426" s="125" t="s">
        <v>51</v>
      </c>
      <c r="K426" s="125" t="s">
        <v>51</v>
      </c>
      <c r="L426" s="125" t="s">
        <v>51</v>
      </c>
      <c r="M426" s="125" t="str">
        <f t="shared" si="1"/>
        <v/>
      </c>
      <c r="N426" s="125" t="str">
        <f t="shared" si="2"/>
        <v/>
      </c>
      <c r="O426" s="125"/>
      <c r="P426" s="125"/>
      <c r="Q426" s="125"/>
      <c r="R426" s="125"/>
      <c r="S426" s="628">
        <f t="shared" si="3"/>
        <v>0</v>
      </c>
      <c r="T426" s="627" t="s">
        <v>51</v>
      </c>
      <c r="U426" s="627" t="s">
        <v>51</v>
      </c>
      <c r="V426" s="627" t="s">
        <v>51</v>
      </c>
      <c r="W426" s="627" t="s">
        <v>51</v>
      </c>
      <c r="X426" s="627" t="s">
        <v>51</v>
      </c>
      <c r="Y426" s="89"/>
    </row>
    <row r="427" ht="22.5" customHeight="1">
      <c r="A427" s="125"/>
      <c r="B427" s="125"/>
      <c r="C427" s="125"/>
      <c r="D427" s="125"/>
      <c r="E427" s="125"/>
      <c r="F427" s="125"/>
      <c r="G427" s="125"/>
      <c r="H427" s="125"/>
      <c r="I427" s="627" t="s">
        <v>51</v>
      </c>
      <c r="J427" s="125" t="s">
        <v>51</v>
      </c>
      <c r="K427" s="125" t="s">
        <v>51</v>
      </c>
      <c r="L427" s="125" t="s">
        <v>51</v>
      </c>
      <c r="M427" s="125" t="str">
        <f t="shared" si="1"/>
        <v/>
      </c>
      <c r="N427" s="125" t="str">
        <f t="shared" si="2"/>
        <v/>
      </c>
      <c r="O427" s="125"/>
      <c r="P427" s="125"/>
      <c r="Q427" s="125"/>
      <c r="R427" s="125"/>
      <c r="S427" s="628">
        <f t="shared" si="3"/>
        <v>0</v>
      </c>
      <c r="T427" s="627" t="s">
        <v>51</v>
      </c>
      <c r="U427" s="627" t="s">
        <v>51</v>
      </c>
      <c r="V427" s="627" t="s">
        <v>51</v>
      </c>
      <c r="W427" s="627" t="s">
        <v>51</v>
      </c>
      <c r="X427" s="627" t="s">
        <v>51</v>
      </c>
      <c r="Y427" s="89"/>
    </row>
    <row r="428" ht="22.5" customHeight="1">
      <c r="A428" s="125"/>
      <c r="B428" s="125"/>
      <c r="C428" s="125"/>
      <c r="D428" s="125"/>
      <c r="E428" s="125"/>
      <c r="F428" s="125"/>
      <c r="G428" s="125"/>
      <c r="H428" s="125"/>
      <c r="I428" s="627" t="s">
        <v>51</v>
      </c>
      <c r="J428" s="125" t="s">
        <v>51</v>
      </c>
      <c r="K428" s="125" t="s">
        <v>51</v>
      </c>
      <c r="L428" s="125" t="s">
        <v>51</v>
      </c>
      <c r="M428" s="125" t="str">
        <f t="shared" si="1"/>
        <v/>
      </c>
      <c r="N428" s="125" t="str">
        <f t="shared" si="2"/>
        <v/>
      </c>
      <c r="O428" s="125"/>
      <c r="P428" s="125"/>
      <c r="Q428" s="125"/>
      <c r="R428" s="125"/>
      <c r="S428" s="628">
        <f t="shared" si="3"/>
        <v>0</v>
      </c>
      <c r="T428" s="627" t="s">
        <v>51</v>
      </c>
      <c r="U428" s="627" t="s">
        <v>51</v>
      </c>
      <c r="V428" s="627" t="s">
        <v>51</v>
      </c>
      <c r="W428" s="627" t="s">
        <v>51</v>
      </c>
      <c r="X428" s="627" t="s">
        <v>51</v>
      </c>
      <c r="Y428" s="89"/>
    </row>
    <row r="429" ht="22.5" customHeight="1">
      <c r="A429" s="125"/>
      <c r="B429" s="125"/>
      <c r="C429" s="125"/>
      <c r="D429" s="125"/>
      <c r="E429" s="125"/>
      <c r="F429" s="125"/>
      <c r="G429" s="125"/>
      <c r="H429" s="125"/>
      <c r="I429" s="627" t="s">
        <v>51</v>
      </c>
      <c r="J429" s="125" t="s">
        <v>51</v>
      </c>
      <c r="K429" s="125" t="s">
        <v>51</v>
      </c>
      <c r="L429" s="125" t="s">
        <v>51</v>
      </c>
      <c r="M429" s="125" t="str">
        <f t="shared" si="1"/>
        <v/>
      </c>
      <c r="N429" s="125" t="str">
        <f t="shared" si="2"/>
        <v/>
      </c>
      <c r="O429" s="125"/>
      <c r="P429" s="125"/>
      <c r="Q429" s="125"/>
      <c r="R429" s="125"/>
      <c r="S429" s="628">
        <f t="shared" si="3"/>
        <v>0</v>
      </c>
      <c r="T429" s="627" t="s">
        <v>51</v>
      </c>
      <c r="U429" s="627" t="s">
        <v>51</v>
      </c>
      <c r="V429" s="627" t="s">
        <v>51</v>
      </c>
      <c r="W429" s="627" t="s">
        <v>51</v>
      </c>
      <c r="X429" s="627" t="s">
        <v>51</v>
      </c>
      <c r="Y429" s="89"/>
    </row>
    <row r="430" ht="22.5" customHeight="1">
      <c r="A430" s="125"/>
      <c r="B430" s="125"/>
      <c r="C430" s="125"/>
      <c r="D430" s="125"/>
      <c r="E430" s="125"/>
      <c r="F430" s="125"/>
      <c r="G430" s="125"/>
      <c r="H430" s="125"/>
      <c r="I430" s="627" t="s">
        <v>51</v>
      </c>
      <c r="J430" s="125" t="s">
        <v>51</v>
      </c>
      <c r="K430" s="125" t="s">
        <v>51</v>
      </c>
      <c r="L430" s="125" t="s">
        <v>51</v>
      </c>
      <c r="M430" s="125" t="str">
        <f t="shared" si="1"/>
        <v/>
      </c>
      <c r="N430" s="125" t="str">
        <f t="shared" si="2"/>
        <v/>
      </c>
      <c r="O430" s="125"/>
      <c r="P430" s="125"/>
      <c r="Q430" s="125"/>
      <c r="R430" s="125"/>
      <c r="S430" s="628">
        <f t="shared" si="3"/>
        <v>0</v>
      </c>
      <c r="T430" s="627" t="s">
        <v>51</v>
      </c>
      <c r="U430" s="627" t="s">
        <v>51</v>
      </c>
      <c r="V430" s="627" t="s">
        <v>51</v>
      </c>
      <c r="W430" s="627" t="s">
        <v>51</v>
      </c>
      <c r="X430" s="627" t="s">
        <v>51</v>
      </c>
      <c r="Y430" s="89"/>
    </row>
    <row r="431" ht="22.5" customHeight="1">
      <c r="A431" s="125"/>
      <c r="B431" s="125"/>
      <c r="C431" s="125"/>
      <c r="D431" s="125"/>
      <c r="E431" s="125"/>
      <c r="F431" s="125"/>
      <c r="G431" s="125"/>
      <c r="H431" s="125"/>
      <c r="I431" s="627" t="s">
        <v>51</v>
      </c>
      <c r="J431" s="125" t="s">
        <v>51</v>
      </c>
      <c r="K431" s="125" t="s">
        <v>51</v>
      </c>
      <c r="L431" s="125" t="s">
        <v>51</v>
      </c>
      <c r="M431" s="125" t="str">
        <f t="shared" si="1"/>
        <v/>
      </c>
      <c r="N431" s="125" t="str">
        <f t="shared" si="2"/>
        <v/>
      </c>
      <c r="O431" s="125"/>
      <c r="P431" s="125"/>
      <c r="Q431" s="125"/>
      <c r="R431" s="125"/>
      <c r="S431" s="628">
        <f t="shared" si="3"/>
        <v>0</v>
      </c>
      <c r="T431" s="627" t="s">
        <v>51</v>
      </c>
      <c r="U431" s="627" t="s">
        <v>51</v>
      </c>
      <c r="V431" s="627" t="s">
        <v>51</v>
      </c>
      <c r="W431" s="627" t="s">
        <v>51</v>
      </c>
      <c r="X431" s="627" t="s">
        <v>51</v>
      </c>
      <c r="Y431" s="89"/>
    </row>
    <row r="432" ht="22.5" customHeight="1">
      <c r="A432" s="125"/>
      <c r="B432" s="125"/>
      <c r="C432" s="125"/>
      <c r="D432" s="125"/>
      <c r="E432" s="125"/>
      <c r="F432" s="125"/>
      <c r="G432" s="125"/>
      <c r="H432" s="125"/>
      <c r="I432" s="627" t="s">
        <v>51</v>
      </c>
      <c r="J432" s="125" t="s">
        <v>51</v>
      </c>
      <c r="K432" s="125" t="s">
        <v>51</v>
      </c>
      <c r="L432" s="125" t="s">
        <v>51</v>
      </c>
      <c r="M432" s="125" t="str">
        <f t="shared" si="1"/>
        <v/>
      </c>
      <c r="N432" s="125" t="str">
        <f t="shared" si="2"/>
        <v/>
      </c>
      <c r="O432" s="125"/>
      <c r="P432" s="125"/>
      <c r="Q432" s="125"/>
      <c r="R432" s="125"/>
      <c r="S432" s="628">
        <f t="shared" si="3"/>
        <v>0</v>
      </c>
      <c r="T432" s="627" t="s">
        <v>51</v>
      </c>
      <c r="U432" s="627" t="s">
        <v>51</v>
      </c>
      <c r="V432" s="627" t="s">
        <v>51</v>
      </c>
      <c r="W432" s="627" t="s">
        <v>51</v>
      </c>
      <c r="X432" s="627" t="s">
        <v>51</v>
      </c>
      <c r="Y432" s="89"/>
    </row>
    <row r="433" ht="22.5" customHeight="1">
      <c r="A433" s="125"/>
      <c r="B433" s="125"/>
      <c r="C433" s="125"/>
      <c r="D433" s="125"/>
      <c r="E433" s="125"/>
      <c r="F433" s="125"/>
      <c r="G433" s="125"/>
      <c r="H433" s="125"/>
      <c r="I433" s="627" t="s">
        <v>51</v>
      </c>
      <c r="J433" s="125" t="s">
        <v>51</v>
      </c>
      <c r="K433" s="125" t="s">
        <v>51</v>
      </c>
      <c r="L433" s="125" t="s">
        <v>51</v>
      </c>
      <c r="M433" s="125" t="str">
        <f t="shared" si="1"/>
        <v/>
      </c>
      <c r="N433" s="125" t="str">
        <f t="shared" si="2"/>
        <v/>
      </c>
      <c r="O433" s="125"/>
      <c r="P433" s="125"/>
      <c r="Q433" s="125"/>
      <c r="R433" s="125"/>
      <c r="S433" s="628">
        <f t="shared" si="3"/>
        <v>0</v>
      </c>
      <c r="T433" s="627" t="s">
        <v>51</v>
      </c>
      <c r="U433" s="627" t="s">
        <v>51</v>
      </c>
      <c r="V433" s="627" t="s">
        <v>51</v>
      </c>
      <c r="W433" s="627" t="s">
        <v>51</v>
      </c>
      <c r="X433" s="627" t="s">
        <v>51</v>
      </c>
      <c r="Y433" s="89"/>
    </row>
    <row r="434" ht="22.5" customHeight="1">
      <c r="A434" s="125"/>
      <c r="B434" s="125"/>
      <c r="C434" s="125"/>
      <c r="D434" s="125"/>
      <c r="E434" s="125"/>
      <c r="F434" s="125"/>
      <c r="G434" s="125"/>
      <c r="H434" s="125"/>
      <c r="I434" s="627" t="s">
        <v>51</v>
      </c>
      <c r="J434" s="125" t="s">
        <v>51</v>
      </c>
      <c r="K434" s="125" t="s">
        <v>51</v>
      </c>
      <c r="L434" s="125" t="s">
        <v>51</v>
      </c>
      <c r="M434" s="125" t="str">
        <f t="shared" si="1"/>
        <v/>
      </c>
      <c r="N434" s="125" t="str">
        <f t="shared" si="2"/>
        <v/>
      </c>
      <c r="O434" s="125"/>
      <c r="P434" s="125"/>
      <c r="Q434" s="125"/>
      <c r="R434" s="125"/>
      <c r="S434" s="628">
        <f t="shared" si="3"/>
        <v>0</v>
      </c>
      <c r="T434" s="627" t="s">
        <v>51</v>
      </c>
      <c r="U434" s="627" t="s">
        <v>51</v>
      </c>
      <c r="V434" s="627" t="s">
        <v>51</v>
      </c>
      <c r="W434" s="627" t="s">
        <v>51</v>
      </c>
      <c r="X434" s="627" t="s">
        <v>51</v>
      </c>
      <c r="Y434" s="89"/>
    </row>
    <row r="435" ht="22.5" customHeight="1">
      <c r="A435" s="125"/>
      <c r="B435" s="125"/>
      <c r="C435" s="125"/>
      <c r="D435" s="125"/>
      <c r="E435" s="125"/>
      <c r="F435" s="125"/>
      <c r="G435" s="125"/>
      <c r="H435" s="125"/>
      <c r="I435" s="627" t="s">
        <v>51</v>
      </c>
      <c r="J435" s="125" t="s">
        <v>51</v>
      </c>
      <c r="K435" s="125" t="s">
        <v>51</v>
      </c>
      <c r="L435" s="125" t="s">
        <v>51</v>
      </c>
      <c r="M435" s="125" t="str">
        <f t="shared" si="1"/>
        <v/>
      </c>
      <c r="N435" s="125" t="str">
        <f t="shared" si="2"/>
        <v/>
      </c>
      <c r="O435" s="125"/>
      <c r="P435" s="125"/>
      <c r="Q435" s="125"/>
      <c r="R435" s="125"/>
      <c r="S435" s="628">
        <f t="shared" si="3"/>
        <v>0</v>
      </c>
      <c r="T435" s="627" t="s">
        <v>51</v>
      </c>
      <c r="U435" s="627" t="s">
        <v>51</v>
      </c>
      <c r="V435" s="627" t="s">
        <v>51</v>
      </c>
      <c r="W435" s="627" t="s">
        <v>51</v>
      </c>
      <c r="X435" s="627" t="s">
        <v>51</v>
      </c>
      <c r="Y435" s="89"/>
    </row>
    <row r="436" ht="22.5" customHeight="1">
      <c r="A436" s="125"/>
      <c r="B436" s="125"/>
      <c r="C436" s="125"/>
      <c r="D436" s="125"/>
      <c r="E436" s="125"/>
      <c r="F436" s="125"/>
      <c r="G436" s="125"/>
      <c r="H436" s="125"/>
      <c r="I436" s="627" t="s">
        <v>51</v>
      </c>
      <c r="J436" s="125" t="s">
        <v>51</v>
      </c>
      <c r="K436" s="125" t="s">
        <v>51</v>
      </c>
      <c r="L436" s="125" t="s">
        <v>51</v>
      </c>
      <c r="M436" s="125" t="str">
        <f t="shared" si="1"/>
        <v/>
      </c>
      <c r="N436" s="125" t="str">
        <f t="shared" si="2"/>
        <v/>
      </c>
      <c r="O436" s="125"/>
      <c r="P436" s="125"/>
      <c r="Q436" s="125"/>
      <c r="R436" s="125"/>
      <c r="S436" s="628">
        <f t="shared" si="3"/>
        <v>0</v>
      </c>
      <c r="T436" s="627" t="s">
        <v>51</v>
      </c>
      <c r="U436" s="627" t="s">
        <v>51</v>
      </c>
      <c r="V436" s="627" t="s">
        <v>51</v>
      </c>
      <c r="W436" s="627" t="s">
        <v>51</v>
      </c>
      <c r="X436" s="627" t="s">
        <v>51</v>
      </c>
      <c r="Y436" s="89"/>
    </row>
    <row r="437" ht="22.5" customHeight="1">
      <c r="A437" s="125"/>
      <c r="B437" s="125"/>
      <c r="C437" s="125"/>
      <c r="D437" s="125"/>
      <c r="E437" s="125"/>
      <c r="F437" s="125"/>
      <c r="G437" s="125"/>
      <c r="H437" s="125"/>
      <c r="I437" s="627" t="s">
        <v>51</v>
      </c>
      <c r="J437" s="125" t="s">
        <v>51</v>
      </c>
      <c r="K437" s="125" t="s">
        <v>51</v>
      </c>
      <c r="L437" s="125" t="s">
        <v>51</v>
      </c>
      <c r="M437" s="125" t="str">
        <f t="shared" si="1"/>
        <v/>
      </c>
      <c r="N437" s="125" t="str">
        <f t="shared" si="2"/>
        <v/>
      </c>
      <c r="O437" s="125"/>
      <c r="P437" s="125"/>
      <c r="Q437" s="125"/>
      <c r="R437" s="125"/>
      <c r="S437" s="628">
        <f t="shared" si="3"/>
        <v>0</v>
      </c>
      <c r="T437" s="627" t="s">
        <v>51</v>
      </c>
      <c r="U437" s="627" t="s">
        <v>51</v>
      </c>
      <c r="V437" s="627" t="s">
        <v>51</v>
      </c>
      <c r="W437" s="627" t="s">
        <v>51</v>
      </c>
      <c r="X437" s="627" t="s">
        <v>51</v>
      </c>
      <c r="Y437" s="89"/>
    </row>
    <row r="438" ht="22.5" customHeight="1">
      <c r="A438" s="125"/>
      <c r="B438" s="125"/>
      <c r="C438" s="125"/>
      <c r="D438" s="125"/>
      <c r="E438" s="125"/>
      <c r="F438" s="125"/>
      <c r="G438" s="125"/>
      <c r="H438" s="125"/>
      <c r="I438" s="627" t="s">
        <v>51</v>
      </c>
      <c r="J438" s="125" t="s">
        <v>51</v>
      </c>
      <c r="K438" s="125" t="s">
        <v>51</v>
      </c>
      <c r="L438" s="125" t="s">
        <v>51</v>
      </c>
      <c r="M438" s="125" t="str">
        <f t="shared" si="1"/>
        <v/>
      </c>
      <c r="N438" s="125" t="str">
        <f t="shared" si="2"/>
        <v/>
      </c>
      <c r="O438" s="125"/>
      <c r="P438" s="125"/>
      <c r="Q438" s="125"/>
      <c r="R438" s="125"/>
      <c r="S438" s="628">
        <f t="shared" si="3"/>
        <v>0</v>
      </c>
      <c r="T438" s="627" t="s">
        <v>51</v>
      </c>
      <c r="U438" s="627" t="s">
        <v>51</v>
      </c>
      <c r="V438" s="627" t="s">
        <v>51</v>
      </c>
      <c r="W438" s="627" t="s">
        <v>51</v>
      </c>
      <c r="X438" s="627" t="s">
        <v>51</v>
      </c>
      <c r="Y438" s="89"/>
    </row>
    <row r="439" ht="22.5" customHeight="1">
      <c r="A439" s="125"/>
      <c r="B439" s="125"/>
      <c r="C439" s="125"/>
      <c r="D439" s="125"/>
      <c r="E439" s="125"/>
      <c r="F439" s="125"/>
      <c r="G439" s="125"/>
      <c r="H439" s="125"/>
      <c r="I439" s="627" t="s">
        <v>51</v>
      </c>
      <c r="J439" s="125" t="s">
        <v>51</v>
      </c>
      <c r="K439" s="125" t="s">
        <v>51</v>
      </c>
      <c r="L439" s="125" t="s">
        <v>51</v>
      </c>
      <c r="M439" s="125" t="str">
        <f t="shared" si="1"/>
        <v/>
      </c>
      <c r="N439" s="125" t="str">
        <f t="shared" si="2"/>
        <v/>
      </c>
      <c r="O439" s="125"/>
      <c r="P439" s="125"/>
      <c r="Q439" s="125"/>
      <c r="R439" s="125"/>
      <c r="S439" s="628">
        <f t="shared" si="3"/>
        <v>0</v>
      </c>
      <c r="T439" s="627" t="s">
        <v>51</v>
      </c>
      <c r="U439" s="627" t="s">
        <v>51</v>
      </c>
      <c r="V439" s="627" t="s">
        <v>51</v>
      </c>
      <c r="W439" s="627" t="s">
        <v>51</v>
      </c>
      <c r="X439" s="627" t="s">
        <v>51</v>
      </c>
      <c r="Y439" s="89"/>
    </row>
    <row r="440" ht="22.5" customHeight="1">
      <c r="A440" s="125"/>
      <c r="B440" s="125"/>
      <c r="C440" s="125"/>
      <c r="D440" s="125"/>
      <c r="E440" s="125"/>
      <c r="F440" s="125"/>
      <c r="G440" s="125"/>
      <c r="H440" s="125"/>
      <c r="I440" s="627" t="s">
        <v>51</v>
      </c>
      <c r="J440" s="125" t="s">
        <v>51</v>
      </c>
      <c r="K440" s="125" t="s">
        <v>51</v>
      </c>
      <c r="L440" s="125" t="s">
        <v>51</v>
      </c>
      <c r="M440" s="125" t="str">
        <f t="shared" si="1"/>
        <v/>
      </c>
      <c r="N440" s="125" t="str">
        <f t="shared" si="2"/>
        <v/>
      </c>
      <c r="O440" s="125"/>
      <c r="P440" s="125"/>
      <c r="Q440" s="125"/>
      <c r="R440" s="125"/>
      <c r="S440" s="628">
        <f t="shared" si="3"/>
        <v>0</v>
      </c>
      <c r="T440" s="627" t="s">
        <v>51</v>
      </c>
      <c r="U440" s="627" t="s">
        <v>51</v>
      </c>
      <c r="V440" s="627" t="s">
        <v>51</v>
      </c>
      <c r="W440" s="627" t="s">
        <v>51</v>
      </c>
      <c r="X440" s="627" t="s">
        <v>51</v>
      </c>
      <c r="Y440" s="89"/>
    </row>
    <row r="441" ht="22.5" customHeight="1">
      <c r="A441" s="125"/>
      <c r="B441" s="125"/>
      <c r="C441" s="125"/>
      <c r="D441" s="125"/>
      <c r="E441" s="125"/>
      <c r="F441" s="125"/>
      <c r="G441" s="125"/>
      <c r="H441" s="125"/>
      <c r="I441" s="627" t="s">
        <v>51</v>
      </c>
      <c r="J441" s="125" t="s">
        <v>51</v>
      </c>
      <c r="K441" s="125" t="s">
        <v>51</v>
      </c>
      <c r="L441" s="125" t="s">
        <v>51</v>
      </c>
      <c r="M441" s="125" t="str">
        <f t="shared" si="1"/>
        <v/>
      </c>
      <c r="N441" s="125" t="str">
        <f t="shared" si="2"/>
        <v/>
      </c>
      <c r="O441" s="125"/>
      <c r="P441" s="125"/>
      <c r="Q441" s="125"/>
      <c r="R441" s="125"/>
      <c r="S441" s="628">
        <f t="shared" si="3"/>
        <v>0</v>
      </c>
      <c r="T441" s="627" t="s">
        <v>51</v>
      </c>
      <c r="U441" s="627" t="s">
        <v>51</v>
      </c>
      <c r="V441" s="627" t="s">
        <v>51</v>
      </c>
      <c r="W441" s="627" t="s">
        <v>51</v>
      </c>
      <c r="X441" s="627" t="s">
        <v>51</v>
      </c>
      <c r="Y441" s="89"/>
    </row>
    <row r="442" ht="22.5" customHeight="1">
      <c r="A442" s="125"/>
      <c r="B442" s="125"/>
      <c r="C442" s="125"/>
      <c r="D442" s="125"/>
      <c r="E442" s="125"/>
      <c r="F442" s="125"/>
      <c r="G442" s="125"/>
      <c r="H442" s="125"/>
      <c r="I442" s="627" t="s">
        <v>51</v>
      </c>
      <c r="J442" s="125" t="s">
        <v>51</v>
      </c>
      <c r="K442" s="125" t="s">
        <v>51</v>
      </c>
      <c r="L442" s="125" t="s">
        <v>51</v>
      </c>
      <c r="M442" s="125" t="str">
        <f t="shared" si="1"/>
        <v/>
      </c>
      <c r="N442" s="125" t="str">
        <f t="shared" si="2"/>
        <v/>
      </c>
      <c r="O442" s="125"/>
      <c r="P442" s="125"/>
      <c r="Q442" s="125"/>
      <c r="R442" s="125"/>
      <c r="S442" s="628">
        <f t="shared" si="3"/>
        <v>0</v>
      </c>
      <c r="T442" s="627" t="s">
        <v>51</v>
      </c>
      <c r="U442" s="627" t="s">
        <v>51</v>
      </c>
      <c r="V442" s="627" t="s">
        <v>51</v>
      </c>
      <c r="W442" s="627" t="s">
        <v>51</v>
      </c>
      <c r="X442" s="627" t="s">
        <v>51</v>
      </c>
      <c r="Y442" s="89"/>
    </row>
    <row r="443" ht="22.5" customHeight="1">
      <c r="A443" s="125"/>
      <c r="B443" s="125"/>
      <c r="C443" s="125"/>
      <c r="D443" s="125"/>
      <c r="E443" s="125"/>
      <c r="F443" s="125"/>
      <c r="G443" s="125"/>
      <c r="H443" s="125"/>
      <c r="I443" s="627" t="s">
        <v>51</v>
      </c>
      <c r="J443" s="125" t="s">
        <v>51</v>
      </c>
      <c r="K443" s="125" t="s">
        <v>51</v>
      </c>
      <c r="L443" s="125" t="s">
        <v>51</v>
      </c>
      <c r="M443" s="125" t="str">
        <f t="shared" si="1"/>
        <v/>
      </c>
      <c r="N443" s="125" t="str">
        <f t="shared" si="2"/>
        <v/>
      </c>
      <c r="O443" s="125"/>
      <c r="P443" s="125"/>
      <c r="Q443" s="125"/>
      <c r="R443" s="125"/>
      <c r="S443" s="628">
        <f t="shared" si="3"/>
        <v>0</v>
      </c>
      <c r="T443" s="627" t="s">
        <v>51</v>
      </c>
      <c r="U443" s="627" t="s">
        <v>51</v>
      </c>
      <c r="V443" s="627" t="s">
        <v>51</v>
      </c>
      <c r="W443" s="627" t="s">
        <v>51</v>
      </c>
      <c r="X443" s="627" t="s">
        <v>51</v>
      </c>
      <c r="Y443" s="89"/>
    </row>
    <row r="444" ht="22.5" customHeight="1">
      <c r="A444" s="125"/>
      <c r="B444" s="125"/>
      <c r="C444" s="125"/>
      <c r="D444" s="125"/>
      <c r="E444" s="125"/>
      <c r="F444" s="125"/>
      <c r="G444" s="125"/>
      <c r="H444" s="125"/>
      <c r="I444" s="627" t="s">
        <v>51</v>
      </c>
      <c r="J444" s="125" t="s">
        <v>51</v>
      </c>
      <c r="K444" s="125" t="s">
        <v>51</v>
      </c>
      <c r="L444" s="125" t="s">
        <v>51</v>
      </c>
      <c r="M444" s="125" t="str">
        <f t="shared" si="1"/>
        <v/>
      </c>
      <c r="N444" s="125" t="str">
        <f t="shared" si="2"/>
        <v/>
      </c>
      <c r="O444" s="125"/>
      <c r="P444" s="125"/>
      <c r="Q444" s="125"/>
      <c r="R444" s="125"/>
      <c r="S444" s="628">
        <f t="shared" si="3"/>
        <v>0</v>
      </c>
      <c r="T444" s="627" t="s">
        <v>51</v>
      </c>
      <c r="U444" s="627" t="s">
        <v>51</v>
      </c>
      <c r="V444" s="627" t="s">
        <v>51</v>
      </c>
      <c r="W444" s="627" t="s">
        <v>51</v>
      </c>
      <c r="X444" s="627" t="s">
        <v>51</v>
      </c>
      <c r="Y444" s="89"/>
    </row>
    <row r="445" ht="22.5" customHeight="1">
      <c r="A445" s="125"/>
      <c r="B445" s="125"/>
      <c r="C445" s="125"/>
      <c r="D445" s="125"/>
      <c r="E445" s="125"/>
      <c r="F445" s="125"/>
      <c r="G445" s="125"/>
      <c r="H445" s="125"/>
      <c r="I445" s="627" t="s">
        <v>51</v>
      </c>
      <c r="J445" s="125" t="s">
        <v>51</v>
      </c>
      <c r="K445" s="125" t="s">
        <v>51</v>
      </c>
      <c r="L445" s="125" t="s">
        <v>51</v>
      </c>
      <c r="M445" s="125" t="str">
        <f t="shared" si="1"/>
        <v/>
      </c>
      <c r="N445" s="125" t="str">
        <f t="shared" si="2"/>
        <v/>
      </c>
      <c r="O445" s="125"/>
      <c r="P445" s="125"/>
      <c r="Q445" s="125"/>
      <c r="R445" s="125"/>
      <c r="S445" s="628">
        <f t="shared" si="3"/>
        <v>0</v>
      </c>
      <c r="T445" s="627" t="s">
        <v>51</v>
      </c>
      <c r="U445" s="627" t="s">
        <v>51</v>
      </c>
      <c r="V445" s="627" t="s">
        <v>51</v>
      </c>
      <c r="W445" s="627" t="s">
        <v>51</v>
      </c>
      <c r="X445" s="627" t="s">
        <v>51</v>
      </c>
      <c r="Y445" s="89"/>
    </row>
    <row r="446" ht="22.5" customHeight="1">
      <c r="A446" s="125"/>
      <c r="B446" s="125"/>
      <c r="C446" s="125"/>
      <c r="D446" s="125"/>
      <c r="E446" s="125"/>
      <c r="F446" s="125"/>
      <c r="G446" s="125"/>
      <c r="H446" s="125"/>
      <c r="I446" s="627" t="s">
        <v>51</v>
      </c>
      <c r="J446" s="125" t="s">
        <v>51</v>
      </c>
      <c r="K446" s="125" t="s">
        <v>51</v>
      </c>
      <c r="L446" s="125" t="s">
        <v>51</v>
      </c>
      <c r="M446" s="125" t="str">
        <f t="shared" si="1"/>
        <v/>
      </c>
      <c r="N446" s="125" t="str">
        <f t="shared" si="2"/>
        <v/>
      </c>
      <c r="O446" s="125"/>
      <c r="P446" s="125"/>
      <c r="Q446" s="125"/>
      <c r="R446" s="125"/>
      <c r="S446" s="628">
        <f t="shared" si="3"/>
        <v>0</v>
      </c>
      <c r="T446" s="627" t="s">
        <v>51</v>
      </c>
      <c r="U446" s="627" t="s">
        <v>51</v>
      </c>
      <c r="V446" s="627" t="s">
        <v>51</v>
      </c>
      <c r="W446" s="627" t="s">
        <v>51</v>
      </c>
      <c r="X446" s="627" t="s">
        <v>51</v>
      </c>
      <c r="Y446" s="89"/>
    </row>
    <row r="447" ht="22.5" customHeight="1">
      <c r="A447" s="125"/>
      <c r="B447" s="125"/>
      <c r="C447" s="125"/>
      <c r="D447" s="125"/>
      <c r="E447" s="125"/>
      <c r="F447" s="125"/>
      <c r="G447" s="125"/>
      <c r="H447" s="125"/>
      <c r="I447" s="627" t="s">
        <v>51</v>
      </c>
      <c r="J447" s="125" t="s">
        <v>51</v>
      </c>
      <c r="K447" s="125" t="s">
        <v>51</v>
      </c>
      <c r="L447" s="125" t="s">
        <v>51</v>
      </c>
      <c r="M447" s="125" t="str">
        <f t="shared" si="1"/>
        <v/>
      </c>
      <c r="N447" s="125" t="str">
        <f t="shared" si="2"/>
        <v/>
      </c>
      <c r="O447" s="125"/>
      <c r="P447" s="125"/>
      <c r="Q447" s="125"/>
      <c r="R447" s="125"/>
      <c r="S447" s="628">
        <f t="shared" si="3"/>
        <v>0</v>
      </c>
      <c r="T447" s="627" t="s">
        <v>51</v>
      </c>
      <c r="U447" s="627" t="s">
        <v>51</v>
      </c>
      <c r="V447" s="627" t="s">
        <v>51</v>
      </c>
      <c r="W447" s="627" t="s">
        <v>51</v>
      </c>
      <c r="X447" s="627" t="s">
        <v>51</v>
      </c>
      <c r="Y447" s="89"/>
    </row>
    <row r="448" ht="22.5" customHeight="1">
      <c r="A448" s="125"/>
      <c r="B448" s="125"/>
      <c r="C448" s="125"/>
      <c r="D448" s="125"/>
      <c r="E448" s="125"/>
      <c r="F448" s="125"/>
      <c r="G448" s="125"/>
      <c r="H448" s="125"/>
      <c r="I448" s="627" t="s">
        <v>51</v>
      </c>
      <c r="J448" s="125" t="s">
        <v>51</v>
      </c>
      <c r="K448" s="125" t="s">
        <v>51</v>
      </c>
      <c r="L448" s="125" t="s">
        <v>51</v>
      </c>
      <c r="M448" s="125" t="str">
        <f t="shared" si="1"/>
        <v/>
      </c>
      <c r="N448" s="125" t="str">
        <f t="shared" si="2"/>
        <v/>
      </c>
      <c r="O448" s="125"/>
      <c r="P448" s="125"/>
      <c r="Q448" s="125"/>
      <c r="R448" s="125"/>
      <c r="S448" s="628">
        <f t="shared" si="3"/>
        <v>0</v>
      </c>
      <c r="T448" s="627" t="s">
        <v>51</v>
      </c>
      <c r="U448" s="627" t="s">
        <v>51</v>
      </c>
      <c r="V448" s="627" t="s">
        <v>51</v>
      </c>
      <c r="W448" s="627" t="s">
        <v>51</v>
      </c>
      <c r="X448" s="627" t="s">
        <v>51</v>
      </c>
      <c r="Y448" s="89"/>
    </row>
    <row r="449" ht="22.5" customHeight="1">
      <c r="A449" s="125"/>
      <c r="B449" s="125"/>
      <c r="C449" s="125"/>
      <c r="D449" s="125"/>
      <c r="E449" s="125"/>
      <c r="F449" s="125"/>
      <c r="G449" s="125"/>
      <c r="H449" s="125"/>
      <c r="I449" s="627" t="s">
        <v>51</v>
      </c>
      <c r="J449" s="125" t="s">
        <v>51</v>
      </c>
      <c r="K449" s="125" t="s">
        <v>51</v>
      </c>
      <c r="L449" s="125" t="s">
        <v>51</v>
      </c>
      <c r="M449" s="125" t="str">
        <f t="shared" si="1"/>
        <v/>
      </c>
      <c r="N449" s="125" t="str">
        <f t="shared" si="2"/>
        <v/>
      </c>
      <c r="O449" s="125"/>
      <c r="P449" s="125"/>
      <c r="Q449" s="125"/>
      <c r="R449" s="125"/>
      <c r="S449" s="628">
        <f t="shared" si="3"/>
        <v>0</v>
      </c>
      <c r="T449" s="627" t="s">
        <v>51</v>
      </c>
      <c r="U449" s="627" t="s">
        <v>51</v>
      </c>
      <c r="V449" s="627" t="s">
        <v>51</v>
      </c>
      <c r="W449" s="627" t="s">
        <v>51</v>
      </c>
      <c r="X449" s="627" t="s">
        <v>51</v>
      </c>
      <c r="Y449" s="89"/>
    </row>
    <row r="450" ht="22.5" customHeight="1">
      <c r="A450" s="125"/>
      <c r="B450" s="125"/>
      <c r="C450" s="125"/>
      <c r="D450" s="125"/>
      <c r="E450" s="125"/>
      <c r="F450" s="125"/>
      <c r="G450" s="125"/>
      <c r="H450" s="125"/>
      <c r="I450" s="627" t="s">
        <v>51</v>
      </c>
      <c r="J450" s="125" t="s">
        <v>51</v>
      </c>
      <c r="K450" s="125" t="s">
        <v>51</v>
      </c>
      <c r="L450" s="125" t="s">
        <v>51</v>
      </c>
      <c r="M450" s="125" t="str">
        <f t="shared" si="1"/>
        <v/>
      </c>
      <c r="N450" s="125" t="str">
        <f t="shared" si="2"/>
        <v/>
      </c>
      <c r="O450" s="125"/>
      <c r="P450" s="125"/>
      <c r="Q450" s="125"/>
      <c r="R450" s="125"/>
      <c r="S450" s="628">
        <f t="shared" si="3"/>
        <v>0</v>
      </c>
      <c r="T450" s="627" t="s">
        <v>51</v>
      </c>
      <c r="U450" s="627" t="s">
        <v>51</v>
      </c>
      <c r="V450" s="627" t="s">
        <v>51</v>
      </c>
      <c r="W450" s="627" t="s">
        <v>51</v>
      </c>
      <c r="X450" s="627" t="s">
        <v>51</v>
      </c>
      <c r="Y450" s="89"/>
    </row>
    <row r="451" ht="22.5" customHeight="1">
      <c r="A451" s="125"/>
      <c r="B451" s="125"/>
      <c r="C451" s="125"/>
      <c r="D451" s="125"/>
      <c r="E451" s="125"/>
      <c r="F451" s="125"/>
      <c r="G451" s="125"/>
      <c r="H451" s="125"/>
      <c r="I451" s="627" t="s">
        <v>51</v>
      </c>
      <c r="J451" s="125" t="s">
        <v>51</v>
      </c>
      <c r="K451" s="125" t="s">
        <v>51</v>
      </c>
      <c r="L451" s="125" t="s">
        <v>51</v>
      </c>
      <c r="M451" s="125" t="str">
        <f t="shared" si="1"/>
        <v/>
      </c>
      <c r="N451" s="125" t="str">
        <f t="shared" si="2"/>
        <v/>
      </c>
      <c r="O451" s="125"/>
      <c r="P451" s="125"/>
      <c r="Q451" s="125"/>
      <c r="R451" s="125"/>
      <c r="S451" s="628">
        <f t="shared" si="3"/>
        <v>0</v>
      </c>
      <c r="T451" s="627" t="s">
        <v>51</v>
      </c>
      <c r="U451" s="627" t="s">
        <v>51</v>
      </c>
      <c r="V451" s="627" t="s">
        <v>51</v>
      </c>
      <c r="W451" s="627" t="s">
        <v>51</v>
      </c>
      <c r="X451" s="627" t="s">
        <v>51</v>
      </c>
      <c r="Y451" s="89"/>
    </row>
    <row r="452" ht="22.5" customHeight="1">
      <c r="A452" s="125"/>
      <c r="B452" s="125"/>
      <c r="C452" s="125"/>
      <c r="D452" s="125"/>
      <c r="E452" s="125"/>
      <c r="F452" s="125"/>
      <c r="G452" s="125"/>
      <c r="H452" s="125"/>
      <c r="I452" s="627" t="s">
        <v>51</v>
      </c>
      <c r="J452" s="125" t="s">
        <v>51</v>
      </c>
      <c r="K452" s="125" t="s">
        <v>51</v>
      </c>
      <c r="L452" s="125" t="s">
        <v>51</v>
      </c>
      <c r="M452" s="125" t="str">
        <f t="shared" si="1"/>
        <v/>
      </c>
      <c r="N452" s="125" t="str">
        <f t="shared" si="2"/>
        <v/>
      </c>
      <c r="O452" s="125"/>
      <c r="P452" s="125"/>
      <c r="Q452" s="125"/>
      <c r="R452" s="125"/>
      <c r="S452" s="628">
        <f t="shared" si="3"/>
        <v>0</v>
      </c>
      <c r="T452" s="627" t="s">
        <v>51</v>
      </c>
      <c r="U452" s="627" t="s">
        <v>51</v>
      </c>
      <c r="V452" s="627" t="s">
        <v>51</v>
      </c>
      <c r="W452" s="627" t="s">
        <v>51</v>
      </c>
      <c r="X452" s="627" t="s">
        <v>51</v>
      </c>
      <c r="Y452" s="89"/>
    </row>
    <row r="453" ht="22.5" customHeight="1">
      <c r="A453" s="125"/>
      <c r="B453" s="125"/>
      <c r="C453" s="125"/>
      <c r="D453" s="125"/>
      <c r="E453" s="125"/>
      <c r="F453" s="125"/>
      <c r="G453" s="125"/>
      <c r="H453" s="125"/>
      <c r="I453" s="627" t="s">
        <v>51</v>
      </c>
      <c r="J453" s="125" t="s">
        <v>51</v>
      </c>
      <c r="K453" s="125" t="s">
        <v>51</v>
      </c>
      <c r="L453" s="125" t="s">
        <v>51</v>
      </c>
      <c r="M453" s="125" t="str">
        <f t="shared" si="1"/>
        <v/>
      </c>
      <c r="N453" s="125" t="str">
        <f t="shared" si="2"/>
        <v/>
      </c>
      <c r="O453" s="125"/>
      <c r="P453" s="125"/>
      <c r="Q453" s="125"/>
      <c r="R453" s="125"/>
      <c r="S453" s="628">
        <f t="shared" si="3"/>
        <v>0</v>
      </c>
      <c r="T453" s="627" t="s">
        <v>51</v>
      </c>
      <c r="U453" s="627" t="s">
        <v>51</v>
      </c>
      <c r="V453" s="627" t="s">
        <v>51</v>
      </c>
      <c r="W453" s="627" t="s">
        <v>51</v>
      </c>
      <c r="X453" s="627" t="s">
        <v>51</v>
      </c>
      <c r="Y453" s="89"/>
    </row>
    <row r="454" ht="22.5" customHeight="1">
      <c r="A454" s="125"/>
      <c r="B454" s="125"/>
      <c r="C454" s="125"/>
      <c r="D454" s="125"/>
      <c r="E454" s="125"/>
      <c r="F454" s="125"/>
      <c r="G454" s="125"/>
      <c r="H454" s="125"/>
      <c r="I454" s="627" t="s">
        <v>51</v>
      </c>
      <c r="J454" s="125" t="s">
        <v>51</v>
      </c>
      <c r="K454" s="125" t="s">
        <v>51</v>
      </c>
      <c r="L454" s="125" t="s">
        <v>51</v>
      </c>
      <c r="M454" s="125" t="str">
        <f t="shared" si="1"/>
        <v/>
      </c>
      <c r="N454" s="125" t="str">
        <f t="shared" si="2"/>
        <v/>
      </c>
      <c r="O454" s="125"/>
      <c r="P454" s="125"/>
      <c r="Q454" s="125"/>
      <c r="R454" s="125"/>
      <c r="S454" s="628">
        <f t="shared" si="3"/>
        <v>0</v>
      </c>
      <c r="T454" s="627" t="s">
        <v>51</v>
      </c>
      <c r="U454" s="627" t="s">
        <v>51</v>
      </c>
      <c r="V454" s="627" t="s">
        <v>51</v>
      </c>
      <c r="W454" s="627" t="s">
        <v>51</v>
      </c>
      <c r="X454" s="627" t="s">
        <v>51</v>
      </c>
      <c r="Y454" s="89"/>
    </row>
    <row r="455" ht="22.5" customHeight="1">
      <c r="A455" s="125"/>
      <c r="B455" s="125"/>
      <c r="C455" s="125"/>
      <c r="D455" s="125"/>
      <c r="E455" s="125"/>
      <c r="F455" s="125"/>
      <c r="G455" s="125"/>
      <c r="H455" s="125"/>
      <c r="I455" s="627" t="s">
        <v>51</v>
      </c>
      <c r="J455" s="125" t="s">
        <v>51</v>
      </c>
      <c r="K455" s="125" t="s">
        <v>51</v>
      </c>
      <c r="L455" s="125" t="s">
        <v>51</v>
      </c>
      <c r="M455" s="125" t="str">
        <f t="shared" si="1"/>
        <v/>
      </c>
      <c r="N455" s="125" t="str">
        <f t="shared" si="2"/>
        <v/>
      </c>
      <c r="O455" s="125"/>
      <c r="P455" s="125"/>
      <c r="Q455" s="125"/>
      <c r="R455" s="125"/>
      <c r="S455" s="628">
        <f t="shared" si="3"/>
        <v>0</v>
      </c>
      <c r="T455" s="627" t="s">
        <v>51</v>
      </c>
      <c r="U455" s="627" t="s">
        <v>51</v>
      </c>
      <c r="V455" s="627" t="s">
        <v>51</v>
      </c>
      <c r="W455" s="627" t="s">
        <v>51</v>
      </c>
      <c r="X455" s="627" t="s">
        <v>51</v>
      </c>
      <c r="Y455" s="89"/>
    </row>
    <row r="456" ht="22.5" customHeight="1">
      <c r="A456" s="125"/>
      <c r="B456" s="125"/>
      <c r="C456" s="125"/>
      <c r="D456" s="125"/>
      <c r="E456" s="125"/>
      <c r="F456" s="125"/>
      <c r="G456" s="125"/>
      <c r="H456" s="125"/>
      <c r="I456" s="627" t="s">
        <v>51</v>
      </c>
      <c r="J456" s="125" t="s">
        <v>51</v>
      </c>
      <c r="K456" s="125" t="s">
        <v>51</v>
      </c>
      <c r="L456" s="125" t="s">
        <v>51</v>
      </c>
      <c r="M456" s="125" t="str">
        <f t="shared" si="1"/>
        <v/>
      </c>
      <c r="N456" s="125" t="str">
        <f t="shared" si="2"/>
        <v/>
      </c>
      <c r="O456" s="125"/>
      <c r="P456" s="125"/>
      <c r="Q456" s="125"/>
      <c r="R456" s="125"/>
      <c r="S456" s="628">
        <f t="shared" si="3"/>
        <v>0</v>
      </c>
      <c r="T456" s="627" t="s">
        <v>51</v>
      </c>
      <c r="U456" s="627" t="s">
        <v>51</v>
      </c>
      <c r="V456" s="627" t="s">
        <v>51</v>
      </c>
      <c r="W456" s="627" t="s">
        <v>51</v>
      </c>
      <c r="X456" s="627" t="s">
        <v>51</v>
      </c>
      <c r="Y456" s="89"/>
    </row>
    <row r="457" ht="22.5" customHeight="1">
      <c r="A457" s="125"/>
      <c r="B457" s="125"/>
      <c r="C457" s="125"/>
      <c r="D457" s="125"/>
      <c r="E457" s="125"/>
      <c r="F457" s="125"/>
      <c r="G457" s="125"/>
      <c r="H457" s="125"/>
      <c r="I457" s="627" t="s">
        <v>51</v>
      </c>
      <c r="J457" s="125" t="s">
        <v>51</v>
      </c>
      <c r="K457" s="125" t="s">
        <v>51</v>
      </c>
      <c r="L457" s="125" t="s">
        <v>51</v>
      </c>
      <c r="M457" s="125" t="str">
        <f t="shared" si="1"/>
        <v/>
      </c>
      <c r="N457" s="125" t="str">
        <f t="shared" si="2"/>
        <v/>
      </c>
      <c r="O457" s="125"/>
      <c r="P457" s="125"/>
      <c r="Q457" s="125"/>
      <c r="R457" s="125"/>
      <c r="S457" s="628">
        <f t="shared" si="3"/>
        <v>0</v>
      </c>
      <c r="T457" s="627" t="s">
        <v>51</v>
      </c>
      <c r="U457" s="627" t="s">
        <v>51</v>
      </c>
      <c r="V457" s="627" t="s">
        <v>51</v>
      </c>
      <c r="W457" s="627" t="s">
        <v>51</v>
      </c>
      <c r="X457" s="627" t="s">
        <v>51</v>
      </c>
      <c r="Y457" s="89"/>
    </row>
    <row r="458" ht="22.5" customHeight="1">
      <c r="A458" s="125"/>
      <c r="B458" s="125"/>
      <c r="C458" s="125"/>
      <c r="D458" s="125"/>
      <c r="E458" s="125"/>
      <c r="F458" s="125"/>
      <c r="G458" s="125"/>
      <c r="H458" s="125"/>
      <c r="I458" s="627" t="s">
        <v>51</v>
      </c>
      <c r="J458" s="125" t="s">
        <v>51</v>
      </c>
      <c r="K458" s="125" t="s">
        <v>51</v>
      </c>
      <c r="L458" s="125" t="s">
        <v>51</v>
      </c>
      <c r="M458" s="125" t="str">
        <f t="shared" si="1"/>
        <v/>
      </c>
      <c r="N458" s="125" t="str">
        <f t="shared" si="2"/>
        <v/>
      </c>
      <c r="O458" s="125"/>
      <c r="P458" s="125"/>
      <c r="Q458" s="125"/>
      <c r="R458" s="125"/>
      <c r="S458" s="628">
        <f t="shared" si="3"/>
        <v>0</v>
      </c>
      <c r="T458" s="627" t="s">
        <v>51</v>
      </c>
      <c r="U458" s="627" t="s">
        <v>51</v>
      </c>
      <c r="V458" s="627" t="s">
        <v>51</v>
      </c>
      <c r="W458" s="627" t="s">
        <v>51</v>
      </c>
      <c r="X458" s="627" t="s">
        <v>51</v>
      </c>
      <c r="Y458" s="89"/>
    </row>
    <row r="459" ht="22.5" customHeight="1">
      <c r="A459" s="125"/>
      <c r="B459" s="125"/>
      <c r="C459" s="125"/>
      <c r="D459" s="125"/>
      <c r="E459" s="125"/>
      <c r="F459" s="125"/>
      <c r="G459" s="125"/>
      <c r="H459" s="125"/>
      <c r="I459" s="627" t="s">
        <v>51</v>
      </c>
      <c r="J459" s="125" t="s">
        <v>51</v>
      </c>
      <c r="K459" s="125" t="s">
        <v>51</v>
      </c>
      <c r="L459" s="125" t="s">
        <v>51</v>
      </c>
      <c r="M459" s="125" t="str">
        <f t="shared" si="1"/>
        <v/>
      </c>
      <c r="N459" s="125" t="str">
        <f t="shared" si="2"/>
        <v/>
      </c>
      <c r="O459" s="125"/>
      <c r="P459" s="125"/>
      <c r="Q459" s="125"/>
      <c r="R459" s="125"/>
      <c r="S459" s="628">
        <f t="shared" si="3"/>
        <v>0</v>
      </c>
      <c r="T459" s="627" t="s">
        <v>51</v>
      </c>
      <c r="U459" s="627" t="s">
        <v>51</v>
      </c>
      <c r="V459" s="627" t="s">
        <v>51</v>
      </c>
      <c r="W459" s="627" t="s">
        <v>51</v>
      </c>
      <c r="X459" s="627" t="s">
        <v>51</v>
      </c>
      <c r="Y459" s="89"/>
    </row>
    <row r="460" ht="22.5" customHeight="1">
      <c r="A460" s="125"/>
      <c r="B460" s="125"/>
      <c r="C460" s="125"/>
      <c r="D460" s="125"/>
      <c r="E460" s="125"/>
      <c r="F460" s="125"/>
      <c r="G460" s="125"/>
      <c r="H460" s="125"/>
      <c r="I460" s="627" t="s">
        <v>51</v>
      </c>
      <c r="J460" s="125" t="s">
        <v>51</v>
      </c>
      <c r="K460" s="125" t="s">
        <v>51</v>
      </c>
      <c r="L460" s="125" t="s">
        <v>51</v>
      </c>
      <c r="M460" s="125" t="str">
        <f t="shared" si="1"/>
        <v/>
      </c>
      <c r="N460" s="125" t="str">
        <f t="shared" si="2"/>
        <v/>
      </c>
      <c r="O460" s="125"/>
      <c r="P460" s="125"/>
      <c r="Q460" s="125"/>
      <c r="R460" s="125"/>
      <c r="S460" s="628">
        <f t="shared" si="3"/>
        <v>0</v>
      </c>
      <c r="T460" s="627" t="s">
        <v>51</v>
      </c>
      <c r="U460" s="627" t="s">
        <v>51</v>
      </c>
      <c r="V460" s="627" t="s">
        <v>51</v>
      </c>
      <c r="W460" s="627" t="s">
        <v>51</v>
      </c>
      <c r="X460" s="627" t="s">
        <v>51</v>
      </c>
      <c r="Y460" s="89"/>
    </row>
    <row r="461" ht="22.5" customHeight="1">
      <c r="A461" s="125"/>
      <c r="B461" s="125"/>
      <c r="C461" s="125"/>
      <c r="D461" s="125"/>
      <c r="E461" s="125"/>
      <c r="F461" s="125"/>
      <c r="G461" s="125"/>
      <c r="H461" s="125"/>
      <c r="I461" s="627" t="s">
        <v>51</v>
      </c>
      <c r="J461" s="125" t="s">
        <v>51</v>
      </c>
      <c r="K461" s="125" t="s">
        <v>51</v>
      </c>
      <c r="L461" s="125" t="s">
        <v>51</v>
      </c>
      <c r="M461" s="125" t="str">
        <f t="shared" si="1"/>
        <v/>
      </c>
      <c r="N461" s="125" t="str">
        <f t="shared" si="2"/>
        <v/>
      </c>
      <c r="O461" s="125"/>
      <c r="P461" s="125"/>
      <c r="Q461" s="125"/>
      <c r="R461" s="125"/>
      <c r="S461" s="628">
        <f t="shared" si="3"/>
        <v>0</v>
      </c>
      <c r="T461" s="627" t="s">
        <v>51</v>
      </c>
      <c r="U461" s="627" t="s">
        <v>51</v>
      </c>
      <c r="V461" s="627" t="s">
        <v>51</v>
      </c>
      <c r="W461" s="627" t="s">
        <v>51</v>
      </c>
      <c r="X461" s="627" t="s">
        <v>51</v>
      </c>
      <c r="Y461" s="89"/>
    </row>
    <row r="462" ht="22.5" customHeight="1">
      <c r="A462" s="125"/>
      <c r="B462" s="125"/>
      <c r="C462" s="125"/>
      <c r="D462" s="125"/>
      <c r="E462" s="125"/>
      <c r="F462" s="125"/>
      <c r="G462" s="125"/>
      <c r="H462" s="125"/>
      <c r="I462" s="627" t="s">
        <v>51</v>
      </c>
      <c r="J462" s="125" t="s">
        <v>51</v>
      </c>
      <c r="K462" s="125" t="s">
        <v>51</v>
      </c>
      <c r="L462" s="125" t="s">
        <v>51</v>
      </c>
      <c r="M462" s="125" t="str">
        <f t="shared" si="1"/>
        <v/>
      </c>
      <c r="N462" s="125" t="str">
        <f t="shared" si="2"/>
        <v/>
      </c>
      <c r="O462" s="125"/>
      <c r="P462" s="125"/>
      <c r="Q462" s="125"/>
      <c r="R462" s="125"/>
      <c r="S462" s="628">
        <f t="shared" si="3"/>
        <v>0</v>
      </c>
      <c r="T462" s="627" t="s">
        <v>51</v>
      </c>
      <c r="U462" s="627" t="s">
        <v>51</v>
      </c>
      <c r="V462" s="627" t="s">
        <v>51</v>
      </c>
      <c r="W462" s="627" t="s">
        <v>51</v>
      </c>
      <c r="X462" s="627" t="s">
        <v>51</v>
      </c>
      <c r="Y462" s="89"/>
    </row>
    <row r="463" ht="22.5" customHeight="1">
      <c r="A463" s="125"/>
      <c r="B463" s="125"/>
      <c r="C463" s="125"/>
      <c r="D463" s="125"/>
      <c r="E463" s="125"/>
      <c r="F463" s="125"/>
      <c r="G463" s="125"/>
      <c r="H463" s="125"/>
      <c r="I463" s="627" t="s">
        <v>51</v>
      </c>
      <c r="J463" s="125" t="s">
        <v>51</v>
      </c>
      <c r="K463" s="125" t="s">
        <v>51</v>
      </c>
      <c r="L463" s="125" t="s">
        <v>51</v>
      </c>
      <c r="M463" s="125" t="str">
        <f t="shared" si="1"/>
        <v/>
      </c>
      <c r="N463" s="125" t="str">
        <f t="shared" si="2"/>
        <v/>
      </c>
      <c r="O463" s="125"/>
      <c r="P463" s="125"/>
      <c r="Q463" s="125"/>
      <c r="R463" s="125"/>
      <c r="S463" s="628">
        <f t="shared" si="3"/>
        <v>0</v>
      </c>
      <c r="T463" s="627" t="s">
        <v>51</v>
      </c>
      <c r="U463" s="627" t="s">
        <v>51</v>
      </c>
      <c r="V463" s="627" t="s">
        <v>51</v>
      </c>
      <c r="W463" s="627" t="s">
        <v>51</v>
      </c>
      <c r="X463" s="627" t="s">
        <v>51</v>
      </c>
      <c r="Y463" s="89"/>
    </row>
    <row r="464" ht="22.5" customHeight="1">
      <c r="A464" s="125"/>
      <c r="B464" s="125"/>
      <c r="C464" s="125"/>
      <c r="D464" s="125"/>
      <c r="E464" s="125"/>
      <c r="F464" s="125"/>
      <c r="G464" s="125"/>
      <c r="H464" s="125"/>
      <c r="I464" s="627" t="s">
        <v>51</v>
      </c>
      <c r="J464" s="125" t="s">
        <v>51</v>
      </c>
      <c r="K464" s="125" t="s">
        <v>51</v>
      </c>
      <c r="L464" s="125" t="s">
        <v>51</v>
      </c>
      <c r="M464" s="125" t="str">
        <f t="shared" si="1"/>
        <v/>
      </c>
      <c r="N464" s="125" t="str">
        <f t="shared" si="2"/>
        <v/>
      </c>
      <c r="O464" s="125"/>
      <c r="P464" s="125"/>
      <c r="Q464" s="125"/>
      <c r="R464" s="125"/>
      <c r="S464" s="628">
        <f t="shared" si="3"/>
        <v>0</v>
      </c>
      <c r="T464" s="627" t="s">
        <v>51</v>
      </c>
      <c r="U464" s="627" t="s">
        <v>51</v>
      </c>
      <c r="V464" s="627" t="s">
        <v>51</v>
      </c>
      <c r="W464" s="627" t="s">
        <v>51</v>
      </c>
      <c r="X464" s="627" t="s">
        <v>51</v>
      </c>
      <c r="Y464" s="89"/>
    </row>
    <row r="465" ht="22.5" customHeight="1">
      <c r="A465" s="125"/>
      <c r="B465" s="125"/>
      <c r="C465" s="125"/>
      <c r="D465" s="125"/>
      <c r="E465" s="125"/>
      <c r="F465" s="125"/>
      <c r="G465" s="125"/>
      <c r="H465" s="125"/>
      <c r="I465" s="627" t="s">
        <v>51</v>
      </c>
      <c r="J465" s="125" t="s">
        <v>51</v>
      </c>
      <c r="K465" s="125" t="s">
        <v>51</v>
      </c>
      <c r="L465" s="125" t="s">
        <v>51</v>
      </c>
      <c r="M465" s="125" t="str">
        <f t="shared" si="1"/>
        <v/>
      </c>
      <c r="N465" s="125" t="str">
        <f t="shared" si="2"/>
        <v/>
      </c>
      <c r="O465" s="125"/>
      <c r="P465" s="125"/>
      <c r="Q465" s="125"/>
      <c r="R465" s="125"/>
      <c r="S465" s="628">
        <f t="shared" si="3"/>
        <v>0</v>
      </c>
      <c r="T465" s="627" t="s">
        <v>51</v>
      </c>
      <c r="U465" s="627" t="s">
        <v>51</v>
      </c>
      <c r="V465" s="627" t="s">
        <v>51</v>
      </c>
      <c r="W465" s="627" t="s">
        <v>51</v>
      </c>
      <c r="X465" s="627" t="s">
        <v>51</v>
      </c>
      <c r="Y465" s="89"/>
    </row>
    <row r="466" ht="22.5" customHeight="1">
      <c r="A466" s="125"/>
      <c r="B466" s="125"/>
      <c r="C466" s="125"/>
      <c r="D466" s="125"/>
      <c r="E466" s="125"/>
      <c r="F466" s="125"/>
      <c r="G466" s="125"/>
      <c r="H466" s="125"/>
      <c r="I466" s="627" t="s">
        <v>51</v>
      </c>
      <c r="J466" s="125" t="s">
        <v>51</v>
      </c>
      <c r="K466" s="125" t="s">
        <v>51</v>
      </c>
      <c r="L466" s="125" t="s">
        <v>51</v>
      </c>
      <c r="M466" s="125" t="str">
        <f t="shared" si="1"/>
        <v/>
      </c>
      <c r="N466" s="125" t="str">
        <f t="shared" si="2"/>
        <v/>
      </c>
      <c r="O466" s="125"/>
      <c r="P466" s="125"/>
      <c r="Q466" s="125"/>
      <c r="R466" s="125"/>
      <c r="S466" s="628">
        <f t="shared" si="3"/>
        <v>0</v>
      </c>
      <c r="T466" s="627" t="s">
        <v>51</v>
      </c>
      <c r="U466" s="627" t="s">
        <v>51</v>
      </c>
      <c r="V466" s="627" t="s">
        <v>51</v>
      </c>
      <c r="W466" s="627" t="s">
        <v>51</v>
      </c>
      <c r="X466" s="627" t="s">
        <v>51</v>
      </c>
      <c r="Y466" s="89"/>
    </row>
    <row r="467" ht="22.5" customHeight="1">
      <c r="A467" s="125"/>
      <c r="B467" s="125"/>
      <c r="C467" s="125"/>
      <c r="D467" s="125"/>
      <c r="E467" s="125"/>
      <c r="F467" s="125"/>
      <c r="G467" s="125"/>
      <c r="H467" s="125"/>
      <c r="I467" s="627" t="s">
        <v>51</v>
      </c>
      <c r="J467" s="125" t="s">
        <v>51</v>
      </c>
      <c r="K467" s="125" t="s">
        <v>51</v>
      </c>
      <c r="L467" s="125" t="s">
        <v>51</v>
      </c>
      <c r="M467" s="125" t="str">
        <f t="shared" si="1"/>
        <v/>
      </c>
      <c r="N467" s="125" t="str">
        <f t="shared" si="2"/>
        <v/>
      </c>
      <c r="O467" s="125"/>
      <c r="P467" s="125"/>
      <c r="Q467" s="125"/>
      <c r="R467" s="125"/>
      <c r="S467" s="628">
        <f t="shared" si="3"/>
        <v>0</v>
      </c>
      <c r="T467" s="627" t="s">
        <v>51</v>
      </c>
      <c r="U467" s="627" t="s">
        <v>51</v>
      </c>
      <c r="V467" s="627" t="s">
        <v>51</v>
      </c>
      <c r="W467" s="627" t="s">
        <v>51</v>
      </c>
      <c r="X467" s="627" t="s">
        <v>51</v>
      </c>
      <c r="Y467" s="89"/>
    </row>
    <row r="468" ht="22.5" customHeight="1">
      <c r="A468" s="125"/>
      <c r="B468" s="125"/>
      <c r="C468" s="125"/>
      <c r="D468" s="125"/>
      <c r="E468" s="125"/>
      <c r="F468" s="125"/>
      <c r="G468" s="125"/>
      <c r="H468" s="125"/>
      <c r="I468" s="627" t="s">
        <v>51</v>
      </c>
      <c r="J468" s="125" t="s">
        <v>51</v>
      </c>
      <c r="K468" s="125" t="s">
        <v>51</v>
      </c>
      <c r="L468" s="125" t="s">
        <v>51</v>
      </c>
      <c r="M468" s="125" t="str">
        <f t="shared" si="1"/>
        <v/>
      </c>
      <c r="N468" s="125" t="str">
        <f t="shared" si="2"/>
        <v/>
      </c>
      <c r="O468" s="125"/>
      <c r="P468" s="125"/>
      <c r="Q468" s="125"/>
      <c r="R468" s="125"/>
      <c r="S468" s="628">
        <f t="shared" si="3"/>
        <v>0</v>
      </c>
      <c r="T468" s="627" t="s">
        <v>51</v>
      </c>
      <c r="U468" s="627" t="s">
        <v>51</v>
      </c>
      <c r="V468" s="627" t="s">
        <v>51</v>
      </c>
      <c r="W468" s="627" t="s">
        <v>51</v>
      </c>
      <c r="X468" s="627" t="s">
        <v>51</v>
      </c>
      <c r="Y468" s="89"/>
    </row>
    <row r="469" ht="22.5" customHeight="1">
      <c r="A469" s="125"/>
      <c r="B469" s="125"/>
      <c r="C469" s="125"/>
      <c r="D469" s="125"/>
      <c r="E469" s="125"/>
      <c r="F469" s="125"/>
      <c r="G469" s="125"/>
      <c r="H469" s="125"/>
      <c r="I469" s="627" t="s">
        <v>51</v>
      </c>
      <c r="J469" s="125" t="s">
        <v>51</v>
      </c>
      <c r="K469" s="125" t="s">
        <v>51</v>
      </c>
      <c r="L469" s="125" t="s">
        <v>51</v>
      </c>
      <c r="M469" s="125" t="str">
        <f t="shared" si="1"/>
        <v/>
      </c>
      <c r="N469" s="125" t="str">
        <f t="shared" si="2"/>
        <v/>
      </c>
      <c r="O469" s="125"/>
      <c r="P469" s="125"/>
      <c r="Q469" s="125"/>
      <c r="R469" s="125"/>
      <c r="S469" s="628">
        <f t="shared" si="3"/>
        <v>0</v>
      </c>
      <c r="T469" s="627" t="s">
        <v>51</v>
      </c>
      <c r="U469" s="627" t="s">
        <v>51</v>
      </c>
      <c r="V469" s="627" t="s">
        <v>51</v>
      </c>
      <c r="W469" s="627" t="s">
        <v>51</v>
      </c>
      <c r="X469" s="627" t="s">
        <v>51</v>
      </c>
      <c r="Y469" s="89"/>
    </row>
    <row r="470" ht="22.5" customHeight="1">
      <c r="A470" s="125"/>
      <c r="B470" s="125"/>
      <c r="C470" s="125"/>
      <c r="D470" s="125"/>
      <c r="E470" s="125"/>
      <c r="F470" s="125"/>
      <c r="G470" s="125"/>
      <c r="H470" s="125"/>
      <c r="I470" s="627" t="s">
        <v>51</v>
      </c>
      <c r="J470" s="125" t="s">
        <v>51</v>
      </c>
      <c r="K470" s="125" t="s">
        <v>51</v>
      </c>
      <c r="L470" s="125" t="s">
        <v>51</v>
      </c>
      <c r="M470" s="125" t="str">
        <f t="shared" si="1"/>
        <v/>
      </c>
      <c r="N470" s="125" t="str">
        <f t="shared" si="2"/>
        <v/>
      </c>
      <c r="O470" s="125"/>
      <c r="P470" s="125"/>
      <c r="Q470" s="125"/>
      <c r="R470" s="125"/>
      <c r="S470" s="628">
        <f t="shared" si="3"/>
        <v>0</v>
      </c>
      <c r="T470" s="627" t="s">
        <v>51</v>
      </c>
      <c r="U470" s="627" t="s">
        <v>51</v>
      </c>
      <c r="V470" s="627" t="s">
        <v>51</v>
      </c>
      <c r="W470" s="627" t="s">
        <v>51</v>
      </c>
      <c r="X470" s="627" t="s">
        <v>51</v>
      </c>
      <c r="Y470" s="89"/>
    </row>
    <row r="471" ht="22.5" customHeight="1">
      <c r="A471" s="125"/>
      <c r="B471" s="125"/>
      <c r="C471" s="125"/>
      <c r="D471" s="125"/>
      <c r="E471" s="125"/>
      <c r="F471" s="125"/>
      <c r="G471" s="125"/>
      <c r="H471" s="125"/>
      <c r="I471" s="627" t="s">
        <v>51</v>
      </c>
      <c r="J471" s="125" t="s">
        <v>51</v>
      </c>
      <c r="K471" s="125" t="s">
        <v>51</v>
      </c>
      <c r="L471" s="125" t="s">
        <v>51</v>
      </c>
      <c r="M471" s="125" t="str">
        <f t="shared" si="1"/>
        <v/>
      </c>
      <c r="N471" s="125" t="str">
        <f t="shared" si="2"/>
        <v/>
      </c>
      <c r="O471" s="125"/>
      <c r="P471" s="125"/>
      <c r="Q471" s="125"/>
      <c r="R471" s="125"/>
      <c r="S471" s="628">
        <f t="shared" si="3"/>
        <v>0</v>
      </c>
      <c r="T471" s="627" t="s">
        <v>51</v>
      </c>
      <c r="U471" s="627" t="s">
        <v>51</v>
      </c>
      <c r="V471" s="627" t="s">
        <v>51</v>
      </c>
      <c r="W471" s="627" t="s">
        <v>51</v>
      </c>
      <c r="X471" s="627" t="s">
        <v>51</v>
      </c>
      <c r="Y471" s="89"/>
    </row>
    <row r="472" ht="22.5" customHeight="1">
      <c r="A472" s="125"/>
      <c r="B472" s="125"/>
      <c r="C472" s="125"/>
      <c r="D472" s="125"/>
      <c r="E472" s="125"/>
      <c r="F472" s="125"/>
      <c r="G472" s="125"/>
      <c r="H472" s="125"/>
      <c r="I472" s="627" t="s">
        <v>51</v>
      </c>
      <c r="J472" s="125" t="s">
        <v>51</v>
      </c>
      <c r="K472" s="125" t="s">
        <v>51</v>
      </c>
      <c r="L472" s="125" t="s">
        <v>51</v>
      </c>
      <c r="M472" s="125" t="str">
        <f t="shared" si="1"/>
        <v/>
      </c>
      <c r="N472" s="125" t="str">
        <f t="shared" si="2"/>
        <v/>
      </c>
      <c r="O472" s="125"/>
      <c r="P472" s="125"/>
      <c r="Q472" s="125"/>
      <c r="R472" s="125"/>
      <c r="S472" s="628">
        <f t="shared" si="3"/>
        <v>0</v>
      </c>
      <c r="T472" s="627" t="s">
        <v>51</v>
      </c>
      <c r="U472" s="627" t="s">
        <v>51</v>
      </c>
      <c r="V472" s="627" t="s">
        <v>51</v>
      </c>
      <c r="W472" s="627" t="s">
        <v>51</v>
      </c>
      <c r="X472" s="627" t="s">
        <v>51</v>
      </c>
      <c r="Y472" s="89"/>
    </row>
    <row r="473" ht="22.5" customHeight="1">
      <c r="A473" s="125"/>
      <c r="B473" s="125"/>
      <c r="C473" s="125"/>
      <c r="D473" s="125"/>
      <c r="E473" s="125"/>
      <c r="F473" s="125"/>
      <c r="G473" s="125"/>
      <c r="H473" s="125"/>
      <c r="I473" s="627" t="s">
        <v>51</v>
      </c>
      <c r="J473" s="125" t="s">
        <v>51</v>
      </c>
      <c r="K473" s="125" t="s">
        <v>51</v>
      </c>
      <c r="L473" s="125" t="s">
        <v>51</v>
      </c>
      <c r="M473" s="125" t="str">
        <f t="shared" si="1"/>
        <v/>
      </c>
      <c r="N473" s="125" t="str">
        <f t="shared" si="2"/>
        <v/>
      </c>
      <c r="O473" s="125"/>
      <c r="P473" s="125"/>
      <c r="Q473" s="125"/>
      <c r="R473" s="125"/>
      <c r="S473" s="628">
        <f t="shared" si="3"/>
        <v>0</v>
      </c>
      <c r="T473" s="627" t="s">
        <v>51</v>
      </c>
      <c r="U473" s="627" t="s">
        <v>51</v>
      </c>
      <c r="V473" s="627" t="s">
        <v>51</v>
      </c>
      <c r="W473" s="627" t="s">
        <v>51</v>
      </c>
      <c r="X473" s="627" t="s">
        <v>51</v>
      </c>
      <c r="Y473" s="89"/>
    </row>
    <row r="474" ht="22.5" customHeight="1">
      <c r="A474" s="125"/>
      <c r="B474" s="125"/>
      <c r="C474" s="125"/>
      <c r="D474" s="125"/>
      <c r="E474" s="125"/>
      <c r="F474" s="125"/>
      <c r="G474" s="125"/>
      <c r="H474" s="125"/>
      <c r="I474" s="627" t="s">
        <v>51</v>
      </c>
      <c r="J474" s="125" t="s">
        <v>51</v>
      </c>
      <c r="K474" s="125" t="s">
        <v>51</v>
      </c>
      <c r="L474" s="125" t="s">
        <v>51</v>
      </c>
      <c r="M474" s="125" t="str">
        <f t="shared" si="1"/>
        <v/>
      </c>
      <c r="N474" s="125" t="str">
        <f t="shared" si="2"/>
        <v/>
      </c>
      <c r="O474" s="125"/>
      <c r="P474" s="125"/>
      <c r="Q474" s="125"/>
      <c r="R474" s="125"/>
      <c r="S474" s="628">
        <f t="shared" si="3"/>
        <v>0</v>
      </c>
      <c r="T474" s="627" t="s">
        <v>51</v>
      </c>
      <c r="U474" s="627" t="s">
        <v>51</v>
      </c>
      <c r="V474" s="627" t="s">
        <v>51</v>
      </c>
      <c r="W474" s="627" t="s">
        <v>51</v>
      </c>
      <c r="X474" s="627" t="s">
        <v>51</v>
      </c>
      <c r="Y474" s="89"/>
    </row>
    <row r="475" ht="22.5" customHeight="1">
      <c r="A475" s="125"/>
      <c r="B475" s="125"/>
      <c r="C475" s="125"/>
      <c r="D475" s="125"/>
      <c r="E475" s="125"/>
      <c r="F475" s="125"/>
      <c r="G475" s="125"/>
      <c r="H475" s="125"/>
      <c r="I475" s="627" t="s">
        <v>51</v>
      </c>
      <c r="J475" s="125" t="s">
        <v>51</v>
      </c>
      <c r="K475" s="125" t="s">
        <v>51</v>
      </c>
      <c r="L475" s="125" t="s">
        <v>51</v>
      </c>
      <c r="M475" s="125" t="str">
        <f t="shared" si="1"/>
        <v/>
      </c>
      <c r="N475" s="125" t="str">
        <f t="shared" si="2"/>
        <v/>
      </c>
      <c r="O475" s="125"/>
      <c r="P475" s="125"/>
      <c r="Q475" s="125"/>
      <c r="R475" s="125"/>
      <c r="S475" s="628">
        <f t="shared" si="3"/>
        <v>0</v>
      </c>
      <c r="T475" s="627" t="s">
        <v>51</v>
      </c>
      <c r="U475" s="627" t="s">
        <v>51</v>
      </c>
      <c r="V475" s="627" t="s">
        <v>51</v>
      </c>
      <c r="W475" s="627" t="s">
        <v>51</v>
      </c>
      <c r="X475" s="627" t="s">
        <v>51</v>
      </c>
      <c r="Y475" s="89"/>
    </row>
    <row r="476" ht="22.5" customHeight="1">
      <c r="A476" s="125"/>
      <c r="B476" s="125"/>
      <c r="C476" s="125"/>
      <c r="D476" s="125"/>
      <c r="E476" s="125"/>
      <c r="F476" s="125"/>
      <c r="G476" s="125"/>
      <c r="H476" s="125"/>
      <c r="I476" s="627" t="s">
        <v>51</v>
      </c>
      <c r="J476" s="125" t="s">
        <v>51</v>
      </c>
      <c r="K476" s="125" t="s">
        <v>51</v>
      </c>
      <c r="L476" s="125" t="s">
        <v>51</v>
      </c>
      <c r="M476" s="125" t="str">
        <f t="shared" si="1"/>
        <v/>
      </c>
      <c r="N476" s="125" t="str">
        <f t="shared" si="2"/>
        <v/>
      </c>
      <c r="O476" s="125"/>
      <c r="P476" s="125"/>
      <c r="Q476" s="125"/>
      <c r="R476" s="125"/>
      <c r="S476" s="628">
        <f t="shared" si="3"/>
        <v>0</v>
      </c>
      <c r="T476" s="627" t="s">
        <v>51</v>
      </c>
      <c r="U476" s="627" t="s">
        <v>51</v>
      </c>
      <c r="V476" s="627" t="s">
        <v>51</v>
      </c>
      <c r="W476" s="627" t="s">
        <v>51</v>
      </c>
      <c r="X476" s="627" t="s">
        <v>51</v>
      </c>
      <c r="Y476" s="89"/>
    </row>
    <row r="477" ht="22.5" customHeight="1">
      <c r="A477" s="125"/>
      <c r="B477" s="125"/>
      <c r="C477" s="125"/>
      <c r="D477" s="125"/>
      <c r="E477" s="125"/>
      <c r="F477" s="125"/>
      <c r="G477" s="125"/>
      <c r="H477" s="125"/>
      <c r="I477" s="627" t="s">
        <v>51</v>
      </c>
      <c r="J477" s="125" t="s">
        <v>51</v>
      </c>
      <c r="K477" s="125" t="s">
        <v>51</v>
      </c>
      <c r="L477" s="125" t="s">
        <v>51</v>
      </c>
      <c r="M477" s="125" t="str">
        <f t="shared" si="1"/>
        <v/>
      </c>
      <c r="N477" s="125" t="str">
        <f t="shared" si="2"/>
        <v/>
      </c>
      <c r="O477" s="125"/>
      <c r="P477" s="125"/>
      <c r="Q477" s="125"/>
      <c r="R477" s="125"/>
      <c r="S477" s="628">
        <f t="shared" si="3"/>
        <v>0</v>
      </c>
      <c r="T477" s="627" t="s">
        <v>51</v>
      </c>
      <c r="U477" s="627" t="s">
        <v>51</v>
      </c>
      <c r="V477" s="627" t="s">
        <v>51</v>
      </c>
      <c r="W477" s="627" t="s">
        <v>51</v>
      </c>
      <c r="X477" s="627" t="s">
        <v>51</v>
      </c>
      <c r="Y477" s="89"/>
    </row>
    <row r="478" ht="22.5" customHeight="1">
      <c r="A478" s="125"/>
      <c r="B478" s="125"/>
      <c r="C478" s="125"/>
      <c r="D478" s="125"/>
      <c r="E478" s="125"/>
      <c r="F478" s="125"/>
      <c r="G478" s="125"/>
      <c r="H478" s="125"/>
      <c r="I478" s="627" t="s">
        <v>51</v>
      </c>
      <c r="J478" s="125" t="s">
        <v>51</v>
      </c>
      <c r="K478" s="125" t="s">
        <v>51</v>
      </c>
      <c r="L478" s="125" t="s">
        <v>51</v>
      </c>
      <c r="M478" s="125" t="str">
        <f t="shared" si="1"/>
        <v/>
      </c>
      <c r="N478" s="125" t="str">
        <f t="shared" si="2"/>
        <v/>
      </c>
      <c r="O478" s="125"/>
      <c r="P478" s="125"/>
      <c r="Q478" s="125"/>
      <c r="R478" s="125"/>
      <c r="S478" s="628">
        <f t="shared" si="3"/>
        <v>0</v>
      </c>
      <c r="T478" s="627" t="s">
        <v>51</v>
      </c>
      <c r="U478" s="627" t="s">
        <v>51</v>
      </c>
      <c r="V478" s="627" t="s">
        <v>51</v>
      </c>
      <c r="W478" s="627" t="s">
        <v>51</v>
      </c>
      <c r="X478" s="627" t="s">
        <v>51</v>
      </c>
      <c r="Y478" s="89"/>
    </row>
    <row r="479" ht="22.5" customHeight="1">
      <c r="A479" s="125"/>
      <c r="B479" s="125"/>
      <c r="C479" s="125"/>
      <c r="D479" s="125"/>
      <c r="E479" s="125"/>
      <c r="F479" s="125"/>
      <c r="G479" s="125"/>
      <c r="H479" s="125"/>
      <c r="I479" s="627" t="s">
        <v>51</v>
      </c>
      <c r="J479" s="125" t="s">
        <v>51</v>
      </c>
      <c r="K479" s="125" t="s">
        <v>51</v>
      </c>
      <c r="L479" s="125" t="s">
        <v>51</v>
      </c>
      <c r="M479" s="125" t="str">
        <f t="shared" si="1"/>
        <v/>
      </c>
      <c r="N479" s="125" t="str">
        <f t="shared" si="2"/>
        <v/>
      </c>
      <c r="O479" s="125"/>
      <c r="P479" s="125"/>
      <c r="Q479" s="125"/>
      <c r="R479" s="125"/>
      <c r="S479" s="628">
        <f t="shared" si="3"/>
        <v>0</v>
      </c>
      <c r="T479" s="627" t="s">
        <v>51</v>
      </c>
      <c r="U479" s="627" t="s">
        <v>51</v>
      </c>
      <c r="V479" s="627" t="s">
        <v>51</v>
      </c>
      <c r="W479" s="627" t="s">
        <v>51</v>
      </c>
      <c r="X479" s="627" t="s">
        <v>51</v>
      </c>
      <c r="Y479" s="89"/>
    </row>
    <row r="480" ht="22.5" customHeight="1">
      <c r="A480" s="125"/>
      <c r="B480" s="125"/>
      <c r="C480" s="125"/>
      <c r="D480" s="125"/>
      <c r="E480" s="125"/>
      <c r="F480" s="125"/>
      <c r="G480" s="125"/>
      <c r="H480" s="125"/>
      <c r="I480" s="627" t="s">
        <v>51</v>
      </c>
      <c r="J480" s="125" t="s">
        <v>51</v>
      </c>
      <c r="K480" s="125" t="s">
        <v>51</v>
      </c>
      <c r="L480" s="125" t="s">
        <v>51</v>
      </c>
      <c r="M480" s="125" t="str">
        <f t="shared" si="1"/>
        <v/>
      </c>
      <c r="N480" s="125" t="str">
        <f t="shared" si="2"/>
        <v/>
      </c>
      <c r="O480" s="125"/>
      <c r="P480" s="125"/>
      <c r="Q480" s="125"/>
      <c r="R480" s="125"/>
      <c r="S480" s="628">
        <f t="shared" si="3"/>
        <v>0</v>
      </c>
      <c r="T480" s="627" t="s">
        <v>51</v>
      </c>
      <c r="U480" s="627" t="s">
        <v>51</v>
      </c>
      <c r="V480" s="627" t="s">
        <v>51</v>
      </c>
      <c r="W480" s="627" t="s">
        <v>51</v>
      </c>
      <c r="X480" s="627" t="s">
        <v>51</v>
      </c>
      <c r="Y480" s="89"/>
    </row>
    <row r="481" ht="22.5" customHeight="1">
      <c r="A481" s="125"/>
      <c r="B481" s="125"/>
      <c r="C481" s="125"/>
      <c r="D481" s="125"/>
      <c r="E481" s="125"/>
      <c r="F481" s="125"/>
      <c r="G481" s="125"/>
      <c r="H481" s="125"/>
      <c r="I481" s="627" t="s">
        <v>51</v>
      </c>
      <c r="J481" s="125" t="s">
        <v>51</v>
      </c>
      <c r="K481" s="125" t="s">
        <v>51</v>
      </c>
      <c r="L481" s="125" t="s">
        <v>51</v>
      </c>
      <c r="M481" s="125" t="str">
        <f t="shared" si="1"/>
        <v/>
      </c>
      <c r="N481" s="125" t="str">
        <f t="shared" si="2"/>
        <v/>
      </c>
      <c r="O481" s="125"/>
      <c r="P481" s="125"/>
      <c r="Q481" s="125"/>
      <c r="R481" s="125"/>
      <c r="S481" s="628">
        <f t="shared" si="3"/>
        <v>0</v>
      </c>
      <c r="T481" s="627" t="s">
        <v>51</v>
      </c>
      <c r="U481" s="627" t="s">
        <v>51</v>
      </c>
      <c r="V481" s="627" t="s">
        <v>51</v>
      </c>
      <c r="W481" s="627" t="s">
        <v>51</v>
      </c>
      <c r="X481" s="627" t="s">
        <v>51</v>
      </c>
      <c r="Y481" s="89"/>
    </row>
    <row r="482" ht="22.5" customHeight="1">
      <c r="A482" s="125"/>
      <c r="B482" s="125"/>
      <c r="C482" s="125"/>
      <c r="D482" s="125"/>
      <c r="E482" s="125"/>
      <c r="F482" s="125"/>
      <c r="G482" s="125"/>
      <c r="H482" s="125"/>
      <c r="I482" s="627" t="s">
        <v>51</v>
      </c>
      <c r="J482" s="125" t="s">
        <v>51</v>
      </c>
      <c r="K482" s="125" t="s">
        <v>51</v>
      </c>
      <c r="L482" s="125" t="s">
        <v>51</v>
      </c>
      <c r="M482" s="125" t="str">
        <f t="shared" si="1"/>
        <v/>
      </c>
      <c r="N482" s="125" t="str">
        <f t="shared" si="2"/>
        <v/>
      </c>
      <c r="O482" s="125"/>
      <c r="P482" s="125"/>
      <c r="Q482" s="125"/>
      <c r="R482" s="125"/>
      <c r="S482" s="628">
        <f t="shared" si="3"/>
        <v>0</v>
      </c>
      <c r="T482" s="627" t="s">
        <v>51</v>
      </c>
      <c r="U482" s="627" t="s">
        <v>51</v>
      </c>
      <c r="V482" s="627" t="s">
        <v>51</v>
      </c>
      <c r="W482" s="627" t="s">
        <v>51</v>
      </c>
      <c r="X482" s="627" t="s">
        <v>51</v>
      </c>
      <c r="Y482" s="89"/>
    </row>
    <row r="483" ht="22.5" customHeight="1">
      <c r="A483" s="125"/>
      <c r="B483" s="125"/>
      <c r="C483" s="125"/>
      <c r="D483" s="125"/>
      <c r="E483" s="125"/>
      <c r="F483" s="125"/>
      <c r="G483" s="125"/>
      <c r="H483" s="125"/>
      <c r="I483" s="627" t="s">
        <v>51</v>
      </c>
      <c r="J483" s="125" t="s">
        <v>51</v>
      </c>
      <c r="K483" s="125" t="s">
        <v>51</v>
      </c>
      <c r="L483" s="125" t="s">
        <v>51</v>
      </c>
      <c r="M483" s="125" t="str">
        <f t="shared" si="1"/>
        <v/>
      </c>
      <c r="N483" s="125" t="str">
        <f t="shared" si="2"/>
        <v/>
      </c>
      <c r="O483" s="125"/>
      <c r="P483" s="125"/>
      <c r="Q483" s="125"/>
      <c r="R483" s="125"/>
      <c r="S483" s="628">
        <f t="shared" si="3"/>
        <v>0</v>
      </c>
      <c r="T483" s="627" t="s">
        <v>51</v>
      </c>
      <c r="U483" s="627" t="s">
        <v>51</v>
      </c>
      <c r="V483" s="627" t="s">
        <v>51</v>
      </c>
      <c r="W483" s="627" t="s">
        <v>51</v>
      </c>
      <c r="X483" s="627" t="s">
        <v>51</v>
      </c>
      <c r="Y483" s="89"/>
    </row>
    <row r="484" ht="22.5" customHeight="1">
      <c r="A484" s="125"/>
      <c r="B484" s="125"/>
      <c r="C484" s="125"/>
      <c r="D484" s="125"/>
      <c r="E484" s="125"/>
      <c r="F484" s="125"/>
      <c r="G484" s="125"/>
      <c r="H484" s="125"/>
      <c r="I484" s="627" t="s">
        <v>51</v>
      </c>
      <c r="J484" s="125" t="s">
        <v>51</v>
      </c>
      <c r="K484" s="125" t="s">
        <v>51</v>
      </c>
      <c r="L484" s="125" t="s">
        <v>51</v>
      </c>
      <c r="M484" s="125" t="str">
        <f t="shared" si="1"/>
        <v/>
      </c>
      <c r="N484" s="125" t="str">
        <f t="shared" si="2"/>
        <v/>
      </c>
      <c r="O484" s="125"/>
      <c r="P484" s="125"/>
      <c r="Q484" s="125"/>
      <c r="R484" s="125"/>
      <c r="S484" s="628">
        <f t="shared" si="3"/>
        <v>0</v>
      </c>
      <c r="T484" s="627" t="s">
        <v>51</v>
      </c>
      <c r="U484" s="627" t="s">
        <v>51</v>
      </c>
      <c r="V484" s="627" t="s">
        <v>51</v>
      </c>
      <c r="W484" s="627" t="s">
        <v>51</v>
      </c>
      <c r="X484" s="627" t="s">
        <v>51</v>
      </c>
      <c r="Y484" s="89"/>
    </row>
    <row r="485" ht="22.5" customHeight="1">
      <c r="A485" s="125"/>
      <c r="B485" s="125"/>
      <c r="C485" s="125"/>
      <c r="D485" s="125"/>
      <c r="E485" s="125"/>
      <c r="F485" s="125"/>
      <c r="G485" s="125"/>
      <c r="H485" s="125"/>
      <c r="I485" s="627" t="s">
        <v>51</v>
      </c>
      <c r="J485" s="125" t="s">
        <v>51</v>
      </c>
      <c r="K485" s="125" t="s">
        <v>51</v>
      </c>
      <c r="L485" s="125" t="s">
        <v>51</v>
      </c>
      <c r="M485" s="125" t="str">
        <f t="shared" si="1"/>
        <v/>
      </c>
      <c r="N485" s="125" t="str">
        <f t="shared" si="2"/>
        <v/>
      </c>
      <c r="O485" s="125"/>
      <c r="P485" s="125"/>
      <c r="Q485" s="125"/>
      <c r="R485" s="125"/>
      <c r="S485" s="628">
        <f t="shared" si="3"/>
        <v>0</v>
      </c>
      <c r="T485" s="627" t="s">
        <v>51</v>
      </c>
      <c r="U485" s="627" t="s">
        <v>51</v>
      </c>
      <c r="V485" s="627" t="s">
        <v>51</v>
      </c>
      <c r="W485" s="627" t="s">
        <v>51</v>
      </c>
      <c r="X485" s="627" t="s">
        <v>51</v>
      </c>
      <c r="Y485" s="89"/>
    </row>
    <row r="486" ht="22.5" customHeight="1">
      <c r="A486" s="125"/>
      <c r="B486" s="125"/>
      <c r="C486" s="125"/>
      <c r="D486" s="125"/>
      <c r="E486" s="125"/>
      <c r="F486" s="125"/>
      <c r="G486" s="125"/>
      <c r="H486" s="125"/>
      <c r="I486" s="627" t="s">
        <v>51</v>
      </c>
      <c r="J486" s="125" t="s">
        <v>51</v>
      </c>
      <c r="K486" s="125" t="s">
        <v>51</v>
      </c>
      <c r="L486" s="125" t="s">
        <v>51</v>
      </c>
      <c r="M486" s="125" t="str">
        <f t="shared" si="1"/>
        <v/>
      </c>
      <c r="N486" s="125" t="str">
        <f t="shared" si="2"/>
        <v/>
      </c>
      <c r="O486" s="125"/>
      <c r="P486" s="125"/>
      <c r="Q486" s="125"/>
      <c r="R486" s="125"/>
      <c r="S486" s="628">
        <f t="shared" si="3"/>
        <v>0</v>
      </c>
      <c r="T486" s="627" t="s">
        <v>51</v>
      </c>
      <c r="U486" s="627" t="s">
        <v>51</v>
      </c>
      <c r="V486" s="627" t="s">
        <v>51</v>
      </c>
      <c r="W486" s="627" t="s">
        <v>51</v>
      </c>
      <c r="X486" s="627" t="s">
        <v>51</v>
      </c>
      <c r="Y486" s="89"/>
    </row>
    <row r="487" ht="22.5" customHeight="1">
      <c r="A487" s="125"/>
      <c r="B487" s="125"/>
      <c r="C487" s="125"/>
      <c r="D487" s="125"/>
      <c r="E487" s="125"/>
      <c r="F487" s="125"/>
      <c r="G487" s="125"/>
      <c r="H487" s="125"/>
      <c r="I487" s="627" t="s">
        <v>51</v>
      </c>
      <c r="J487" s="125" t="s">
        <v>51</v>
      </c>
      <c r="K487" s="125" t="s">
        <v>51</v>
      </c>
      <c r="L487" s="125" t="s">
        <v>51</v>
      </c>
      <c r="M487" s="125" t="str">
        <f t="shared" si="1"/>
        <v/>
      </c>
      <c r="N487" s="125" t="str">
        <f t="shared" si="2"/>
        <v/>
      </c>
      <c r="O487" s="125"/>
      <c r="P487" s="125"/>
      <c r="Q487" s="125"/>
      <c r="R487" s="125"/>
      <c r="S487" s="628">
        <f t="shared" si="3"/>
        <v>0</v>
      </c>
      <c r="T487" s="627" t="s">
        <v>51</v>
      </c>
      <c r="U487" s="627" t="s">
        <v>51</v>
      </c>
      <c r="V487" s="627" t="s">
        <v>51</v>
      </c>
      <c r="W487" s="627" t="s">
        <v>51</v>
      </c>
      <c r="X487" s="627" t="s">
        <v>51</v>
      </c>
      <c r="Y487" s="89"/>
    </row>
    <row r="488" ht="22.5" customHeight="1">
      <c r="A488" s="125"/>
      <c r="B488" s="125"/>
      <c r="C488" s="125"/>
      <c r="D488" s="125"/>
      <c r="E488" s="125"/>
      <c r="F488" s="125"/>
      <c r="G488" s="125"/>
      <c r="H488" s="125"/>
      <c r="I488" s="627" t="s">
        <v>51</v>
      </c>
      <c r="J488" s="125" t="s">
        <v>51</v>
      </c>
      <c r="K488" s="125" t="s">
        <v>51</v>
      </c>
      <c r="L488" s="125" t="s">
        <v>51</v>
      </c>
      <c r="M488" s="125" t="str">
        <f t="shared" si="1"/>
        <v/>
      </c>
      <c r="N488" s="125" t="str">
        <f t="shared" si="2"/>
        <v/>
      </c>
      <c r="O488" s="125"/>
      <c r="P488" s="125"/>
      <c r="Q488" s="125"/>
      <c r="R488" s="125"/>
      <c r="S488" s="628">
        <f t="shared" si="3"/>
        <v>0</v>
      </c>
      <c r="T488" s="627" t="s">
        <v>51</v>
      </c>
      <c r="U488" s="627" t="s">
        <v>51</v>
      </c>
      <c r="V488" s="627" t="s">
        <v>51</v>
      </c>
      <c r="W488" s="627" t="s">
        <v>51</v>
      </c>
      <c r="X488" s="627" t="s">
        <v>51</v>
      </c>
      <c r="Y488" s="89"/>
    </row>
    <row r="489" ht="22.5" customHeight="1">
      <c r="A489" s="125"/>
      <c r="B489" s="125"/>
      <c r="C489" s="125"/>
      <c r="D489" s="125"/>
      <c r="E489" s="125"/>
      <c r="F489" s="125"/>
      <c r="G489" s="125"/>
      <c r="H489" s="125"/>
      <c r="I489" s="627" t="s">
        <v>51</v>
      </c>
      <c r="J489" s="125" t="s">
        <v>51</v>
      </c>
      <c r="K489" s="125" t="s">
        <v>51</v>
      </c>
      <c r="L489" s="125" t="s">
        <v>51</v>
      </c>
      <c r="M489" s="125" t="str">
        <f t="shared" si="1"/>
        <v/>
      </c>
      <c r="N489" s="125" t="str">
        <f t="shared" si="2"/>
        <v/>
      </c>
      <c r="O489" s="125"/>
      <c r="P489" s="125"/>
      <c r="Q489" s="125"/>
      <c r="R489" s="125"/>
      <c r="S489" s="628">
        <f t="shared" si="3"/>
        <v>0</v>
      </c>
      <c r="T489" s="627" t="s">
        <v>51</v>
      </c>
      <c r="U489" s="627" t="s">
        <v>51</v>
      </c>
      <c r="V489" s="627" t="s">
        <v>51</v>
      </c>
      <c r="W489" s="627" t="s">
        <v>51</v>
      </c>
      <c r="X489" s="627" t="s">
        <v>51</v>
      </c>
      <c r="Y489" s="89"/>
    </row>
    <row r="490" ht="22.5" customHeight="1">
      <c r="A490" s="125"/>
      <c r="B490" s="125"/>
      <c r="C490" s="125"/>
      <c r="D490" s="125"/>
      <c r="E490" s="125"/>
      <c r="F490" s="125"/>
      <c r="G490" s="125"/>
      <c r="H490" s="125"/>
      <c r="I490" s="627" t="s">
        <v>51</v>
      </c>
      <c r="J490" s="125" t="s">
        <v>51</v>
      </c>
      <c r="K490" s="125" t="s">
        <v>51</v>
      </c>
      <c r="L490" s="125" t="s">
        <v>51</v>
      </c>
      <c r="M490" s="125" t="str">
        <f t="shared" si="1"/>
        <v/>
      </c>
      <c r="N490" s="125" t="str">
        <f t="shared" si="2"/>
        <v/>
      </c>
      <c r="O490" s="125"/>
      <c r="P490" s="125"/>
      <c r="Q490" s="125"/>
      <c r="R490" s="125"/>
      <c r="S490" s="628">
        <f t="shared" si="3"/>
        <v>0</v>
      </c>
      <c r="T490" s="627" t="s">
        <v>51</v>
      </c>
      <c r="U490" s="627" t="s">
        <v>51</v>
      </c>
      <c r="V490" s="627" t="s">
        <v>51</v>
      </c>
      <c r="W490" s="627" t="s">
        <v>51</v>
      </c>
      <c r="X490" s="627" t="s">
        <v>51</v>
      </c>
      <c r="Y490" s="89"/>
    </row>
    <row r="491" ht="22.5" customHeight="1">
      <c r="A491" s="125"/>
      <c r="B491" s="125"/>
      <c r="C491" s="125"/>
      <c r="D491" s="125"/>
      <c r="E491" s="125"/>
      <c r="F491" s="125"/>
      <c r="G491" s="125"/>
      <c r="H491" s="125"/>
      <c r="I491" s="627" t="s">
        <v>51</v>
      </c>
      <c r="J491" s="125" t="s">
        <v>51</v>
      </c>
      <c r="K491" s="125" t="s">
        <v>51</v>
      </c>
      <c r="L491" s="125" t="s">
        <v>51</v>
      </c>
      <c r="M491" s="125" t="str">
        <f t="shared" si="1"/>
        <v/>
      </c>
      <c r="N491" s="125" t="str">
        <f t="shared" si="2"/>
        <v/>
      </c>
      <c r="O491" s="125"/>
      <c r="P491" s="125"/>
      <c r="Q491" s="125"/>
      <c r="R491" s="125"/>
      <c r="S491" s="628">
        <f t="shared" si="3"/>
        <v>0</v>
      </c>
      <c r="T491" s="627" t="s">
        <v>51</v>
      </c>
      <c r="U491" s="627" t="s">
        <v>51</v>
      </c>
      <c r="V491" s="627" t="s">
        <v>51</v>
      </c>
      <c r="W491" s="627" t="s">
        <v>51</v>
      </c>
      <c r="X491" s="627" t="s">
        <v>51</v>
      </c>
      <c r="Y491" s="89"/>
    </row>
    <row r="492" ht="22.5" customHeight="1">
      <c r="A492" s="125"/>
      <c r="B492" s="125"/>
      <c r="C492" s="125"/>
      <c r="D492" s="125"/>
      <c r="E492" s="125"/>
      <c r="F492" s="125"/>
      <c r="G492" s="125"/>
      <c r="H492" s="125"/>
      <c r="I492" s="627" t="s">
        <v>51</v>
      </c>
      <c r="J492" s="125" t="s">
        <v>51</v>
      </c>
      <c r="K492" s="125" t="s">
        <v>51</v>
      </c>
      <c r="L492" s="125" t="s">
        <v>51</v>
      </c>
      <c r="M492" s="125" t="str">
        <f t="shared" si="1"/>
        <v/>
      </c>
      <c r="N492" s="125" t="str">
        <f t="shared" si="2"/>
        <v/>
      </c>
      <c r="O492" s="125"/>
      <c r="P492" s="125"/>
      <c r="Q492" s="125"/>
      <c r="R492" s="125"/>
      <c r="S492" s="628">
        <f t="shared" si="3"/>
        <v>0</v>
      </c>
      <c r="T492" s="627" t="s">
        <v>51</v>
      </c>
      <c r="U492" s="627" t="s">
        <v>51</v>
      </c>
      <c r="V492" s="627" t="s">
        <v>51</v>
      </c>
      <c r="W492" s="627" t="s">
        <v>51</v>
      </c>
      <c r="X492" s="627" t="s">
        <v>51</v>
      </c>
      <c r="Y492" s="89"/>
    </row>
    <row r="493" ht="22.5" customHeight="1">
      <c r="A493" s="125"/>
      <c r="B493" s="125"/>
      <c r="C493" s="125"/>
      <c r="D493" s="125"/>
      <c r="E493" s="125"/>
      <c r="F493" s="125"/>
      <c r="G493" s="125"/>
      <c r="H493" s="125"/>
      <c r="I493" s="627" t="s">
        <v>51</v>
      </c>
      <c r="J493" s="125" t="s">
        <v>51</v>
      </c>
      <c r="K493" s="125" t="s">
        <v>51</v>
      </c>
      <c r="L493" s="125" t="s">
        <v>51</v>
      </c>
      <c r="M493" s="125" t="str">
        <f t="shared" si="1"/>
        <v/>
      </c>
      <c r="N493" s="125" t="str">
        <f t="shared" si="2"/>
        <v/>
      </c>
      <c r="O493" s="125"/>
      <c r="P493" s="125"/>
      <c r="Q493" s="125"/>
      <c r="R493" s="125"/>
      <c r="S493" s="628">
        <f t="shared" si="3"/>
        <v>0</v>
      </c>
      <c r="T493" s="627" t="s">
        <v>51</v>
      </c>
      <c r="U493" s="627" t="s">
        <v>51</v>
      </c>
      <c r="V493" s="627" t="s">
        <v>51</v>
      </c>
      <c r="W493" s="627" t="s">
        <v>51</v>
      </c>
      <c r="X493" s="627" t="s">
        <v>51</v>
      </c>
      <c r="Y493" s="89"/>
    </row>
    <row r="494" ht="22.5" customHeight="1">
      <c r="A494" s="125"/>
      <c r="B494" s="125"/>
      <c r="C494" s="125"/>
      <c r="D494" s="125"/>
      <c r="E494" s="125"/>
      <c r="F494" s="125"/>
      <c r="G494" s="125"/>
      <c r="H494" s="125"/>
      <c r="I494" s="627" t="s">
        <v>51</v>
      </c>
      <c r="J494" s="125" t="s">
        <v>51</v>
      </c>
      <c r="K494" s="125" t="s">
        <v>51</v>
      </c>
      <c r="L494" s="125" t="s">
        <v>51</v>
      </c>
      <c r="M494" s="125" t="str">
        <f t="shared" si="1"/>
        <v/>
      </c>
      <c r="N494" s="125" t="str">
        <f t="shared" si="2"/>
        <v/>
      </c>
      <c r="O494" s="125"/>
      <c r="P494" s="125"/>
      <c r="Q494" s="125"/>
      <c r="R494" s="125"/>
      <c r="S494" s="628">
        <f t="shared" si="3"/>
        <v>0</v>
      </c>
      <c r="T494" s="627" t="s">
        <v>51</v>
      </c>
      <c r="U494" s="627" t="s">
        <v>51</v>
      </c>
      <c r="V494" s="627" t="s">
        <v>51</v>
      </c>
      <c r="W494" s="627" t="s">
        <v>51</v>
      </c>
      <c r="X494" s="627" t="s">
        <v>51</v>
      </c>
      <c r="Y494" s="89"/>
    </row>
    <row r="495" ht="22.5" customHeight="1">
      <c r="A495" s="125"/>
      <c r="B495" s="125"/>
      <c r="C495" s="125"/>
      <c r="D495" s="125"/>
      <c r="E495" s="125"/>
      <c r="F495" s="125"/>
      <c r="G495" s="125"/>
      <c r="H495" s="125"/>
      <c r="I495" s="627" t="s">
        <v>51</v>
      </c>
      <c r="J495" s="125" t="s">
        <v>51</v>
      </c>
      <c r="K495" s="125" t="s">
        <v>51</v>
      </c>
      <c r="L495" s="125" t="s">
        <v>51</v>
      </c>
      <c r="M495" s="125" t="str">
        <f t="shared" si="1"/>
        <v/>
      </c>
      <c r="N495" s="125" t="str">
        <f t="shared" si="2"/>
        <v/>
      </c>
      <c r="O495" s="125"/>
      <c r="P495" s="125"/>
      <c r="Q495" s="125"/>
      <c r="R495" s="125"/>
      <c r="S495" s="628">
        <f t="shared" si="3"/>
        <v>0</v>
      </c>
      <c r="T495" s="627" t="s">
        <v>51</v>
      </c>
      <c r="U495" s="627" t="s">
        <v>51</v>
      </c>
      <c r="V495" s="627" t="s">
        <v>51</v>
      </c>
      <c r="W495" s="627" t="s">
        <v>51</v>
      </c>
      <c r="X495" s="627" t="s">
        <v>51</v>
      </c>
      <c r="Y495" s="89"/>
    </row>
    <row r="496" ht="22.5" customHeight="1">
      <c r="A496" s="125"/>
      <c r="B496" s="125"/>
      <c r="C496" s="125"/>
      <c r="D496" s="125"/>
      <c r="E496" s="125"/>
      <c r="F496" s="125"/>
      <c r="G496" s="125"/>
      <c r="H496" s="125"/>
      <c r="I496" s="627" t="s">
        <v>51</v>
      </c>
      <c r="J496" s="125" t="s">
        <v>51</v>
      </c>
      <c r="K496" s="125" t="s">
        <v>51</v>
      </c>
      <c r="L496" s="125" t="s">
        <v>51</v>
      </c>
      <c r="M496" s="125" t="str">
        <f t="shared" si="1"/>
        <v/>
      </c>
      <c r="N496" s="125" t="str">
        <f t="shared" si="2"/>
        <v/>
      </c>
      <c r="O496" s="125"/>
      <c r="P496" s="125"/>
      <c r="Q496" s="125"/>
      <c r="R496" s="125"/>
      <c r="S496" s="628">
        <f t="shared" si="3"/>
        <v>0</v>
      </c>
      <c r="T496" s="627" t="s">
        <v>51</v>
      </c>
      <c r="U496" s="627" t="s">
        <v>51</v>
      </c>
      <c r="V496" s="627" t="s">
        <v>51</v>
      </c>
      <c r="W496" s="627" t="s">
        <v>51</v>
      </c>
      <c r="X496" s="627" t="s">
        <v>51</v>
      </c>
      <c r="Y496" s="89"/>
    </row>
    <row r="497" ht="22.5" customHeight="1">
      <c r="A497" s="125"/>
      <c r="B497" s="125"/>
      <c r="C497" s="125"/>
      <c r="D497" s="125"/>
      <c r="E497" s="125"/>
      <c r="F497" s="125"/>
      <c r="G497" s="125"/>
      <c r="H497" s="125"/>
      <c r="I497" s="627" t="s">
        <v>51</v>
      </c>
      <c r="J497" s="125" t="s">
        <v>51</v>
      </c>
      <c r="K497" s="125" t="s">
        <v>51</v>
      </c>
      <c r="L497" s="125" t="s">
        <v>51</v>
      </c>
      <c r="M497" s="125" t="str">
        <f t="shared" si="1"/>
        <v/>
      </c>
      <c r="N497" s="125" t="str">
        <f t="shared" si="2"/>
        <v/>
      </c>
      <c r="O497" s="125"/>
      <c r="P497" s="125"/>
      <c r="Q497" s="125"/>
      <c r="R497" s="125"/>
      <c r="S497" s="628">
        <f t="shared" si="3"/>
        <v>0</v>
      </c>
      <c r="T497" s="627" t="s">
        <v>51</v>
      </c>
      <c r="U497" s="627" t="s">
        <v>51</v>
      </c>
      <c r="V497" s="627" t="s">
        <v>51</v>
      </c>
      <c r="W497" s="627" t="s">
        <v>51</v>
      </c>
      <c r="X497" s="627" t="s">
        <v>51</v>
      </c>
      <c r="Y497" s="89"/>
    </row>
    <row r="498" ht="22.5" customHeight="1">
      <c r="A498" s="125"/>
      <c r="B498" s="125"/>
      <c r="C498" s="125"/>
      <c r="D498" s="125"/>
      <c r="E498" s="125"/>
      <c r="F498" s="125"/>
      <c r="G498" s="125"/>
      <c r="H498" s="125"/>
      <c r="I498" s="627" t="s">
        <v>51</v>
      </c>
      <c r="J498" s="125" t="s">
        <v>51</v>
      </c>
      <c r="K498" s="125" t="s">
        <v>51</v>
      </c>
      <c r="L498" s="125" t="s">
        <v>51</v>
      </c>
      <c r="M498" s="125" t="str">
        <f t="shared" si="1"/>
        <v/>
      </c>
      <c r="N498" s="125" t="str">
        <f t="shared" si="2"/>
        <v/>
      </c>
      <c r="O498" s="125"/>
      <c r="P498" s="125"/>
      <c r="Q498" s="125"/>
      <c r="R498" s="125"/>
      <c r="S498" s="628">
        <f t="shared" si="3"/>
        <v>0</v>
      </c>
      <c r="T498" s="627" t="s">
        <v>51</v>
      </c>
      <c r="U498" s="627" t="s">
        <v>51</v>
      </c>
      <c r="V498" s="627" t="s">
        <v>51</v>
      </c>
      <c r="W498" s="627" t="s">
        <v>51</v>
      </c>
      <c r="X498" s="627" t="s">
        <v>51</v>
      </c>
      <c r="Y498" s="89"/>
    </row>
    <row r="499" ht="22.5" customHeight="1">
      <c r="A499" s="125"/>
      <c r="B499" s="125"/>
      <c r="C499" s="125"/>
      <c r="D499" s="125"/>
      <c r="E499" s="125"/>
      <c r="F499" s="125"/>
      <c r="G499" s="125"/>
      <c r="H499" s="125"/>
      <c r="I499" s="627" t="s">
        <v>51</v>
      </c>
      <c r="J499" s="125" t="s">
        <v>51</v>
      </c>
      <c r="K499" s="125" t="s">
        <v>51</v>
      </c>
      <c r="L499" s="125" t="s">
        <v>51</v>
      </c>
      <c r="M499" s="125" t="str">
        <f t="shared" si="1"/>
        <v/>
      </c>
      <c r="N499" s="125" t="str">
        <f t="shared" si="2"/>
        <v/>
      </c>
      <c r="O499" s="125"/>
      <c r="P499" s="125"/>
      <c r="Q499" s="125"/>
      <c r="R499" s="125"/>
      <c r="S499" s="628">
        <f t="shared" si="3"/>
        <v>0</v>
      </c>
      <c r="T499" s="627" t="s">
        <v>51</v>
      </c>
      <c r="U499" s="627" t="s">
        <v>51</v>
      </c>
      <c r="V499" s="627" t="s">
        <v>51</v>
      </c>
      <c r="W499" s="627" t="s">
        <v>51</v>
      </c>
      <c r="X499" s="627" t="s">
        <v>51</v>
      </c>
      <c r="Y499" s="89"/>
    </row>
    <row r="500" ht="22.5" customHeight="1">
      <c r="A500" s="125"/>
      <c r="B500" s="125"/>
      <c r="C500" s="125"/>
      <c r="D500" s="125"/>
      <c r="E500" s="125"/>
      <c r="F500" s="125"/>
      <c r="G500" s="125"/>
      <c r="H500" s="125"/>
      <c r="I500" s="627" t="s">
        <v>51</v>
      </c>
      <c r="J500" s="125" t="s">
        <v>51</v>
      </c>
      <c r="K500" s="125" t="s">
        <v>51</v>
      </c>
      <c r="L500" s="125" t="s">
        <v>51</v>
      </c>
      <c r="M500" s="125" t="str">
        <f t="shared" si="1"/>
        <v/>
      </c>
      <c r="N500" s="125" t="str">
        <f t="shared" si="2"/>
        <v/>
      </c>
      <c r="O500" s="125"/>
      <c r="P500" s="125"/>
      <c r="Q500" s="125"/>
      <c r="R500" s="125"/>
      <c r="S500" s="628">
        <f t="shared" si="3"/>
        <v>0</v>
      </c>
      <c r="T500" s="627" t="s">
        <v>51</v>
      </c>
      <c r="U500" s="627" t="s">
        <v>51</v>
      </c>
      <c r="V500" s="627" t="s">
        <v>51</v>
      </c>
      <c r="W500" s="627" t="s">
        <v>51</v>
      </c>
      <c r="X500" s="627" t="s">
        <v>51</v>
      </c>
      <c r="Y500" s="89"/>
    </row>
    <row r="501" ht="22.5" customHeight="1">
      <c r="A501" s="125"/>
      <c r="B501" s="125"/>
      <c r="C501" s="125"/>
      <c r="D501" s="125"/>
      <c r="E501" s="125"/>
      <c r="F501" s="125"/>
      <c r="G501" s="125"/>
      <c r="H501" s="125"/>
      <c r="I501" s="627" t="s">
        <v>51</v>
      </c>
      <c r="J501" s="125" t="s">
        <v>51</v>
      </c>
      <c r="K501" s="125" t="s">
        <v>51</v>
      </c>
      <c r="L501" s="125" t="s">
        <v>51</v>
      </c>
      <c r="M501" s="125" t="str">
        <f t="shared" si="1"/>
        <v/>
      </c>
      <c r="N501" s="125" t="str">
        <f t="shared" si="2"/>
        <v/>
      </c>
      <c r="O501" s="125"/>
      <c r="P501" s="125"/>
      <c r="Q501" s="125"/>
      <c r="R501" s="125"/>
      <c r="S501" s="628">
        <f t="shared" si="3"/>
        <v>0</v>
      </c>
      <c r="T501" s="627" t="s">
        <v>51</v>
      </c>
      <c r="U501" s="627" t="s">
        <v>51</v>
      </c>
      <c r="V501" s="627" t="s">
        <v>51</v>
      </c>
      <c r="W501" s="627" t="s">
        <v>51</v>
      </c>
      <c r="X501" s="627" t="s">
        <v>51</v>
      </c>
      <c r="Y501" s="89"/>
    </row>
    <row r="502" ht="22.5" customHeight="1">
      <c r="A502" s="125"/>
      <c r="B502" s="125"/>
      <c r="C502" s="125"/>
      <c r="D502" s="125"/>
      <c r="E502" s="125"/>
      <c r="F502" s="125"/>
      <c r="G502" s="125"/>
      <c r="H502" s="125"/>
      <c r="I502" s="627" t="s">
        <v>51</v>
      </c>
      <c r="J502" s="125" t="s">
        <v>51</v>
      </c>
      <c r="K502" s="125" t="s">
        <v>51</v>
      </c>
      <c r="L502" s="125" t="s">
        <v>51</v>
      </c>
      <c r="M502" s="125" t="str">
        <f t="shared" si="1"/>
        <v/>
      </c>
      <c r="N502" s="125" t="str">
        <f t="shared" si="2"/>
        <v/>
      </c>
      <c r="O502" s="125"/>
      <c r="P502" s="125"/>
      <c r="Q502" s="125"/>
      <c r="R502" s="125"/>
      <c r="S502" s="628">
        <f t="shared" si="3"/>
        <v>0</v>
      </c>
      <c r="T502" s="627" t="s">
        <v>51</v>
      </c>
      <c r="U502" s="627" t="s">
        <v>51</v>
      </c>
      <c r="V502" s="627" t="s">
        <v>51</v>
      </c>
      <c r="W502" s="627" t="s">
        <v>51</v>
      </c>
      <c r="X502" s="627" t="s">
        <v>51</v>
      </c>
      <c r="Y502" s="89"/>
    </row>
    <row r="503" ht="22.5" customHeight="1">
      <c r="A503" s="125"/>
      <c r="B503" s="125"/>
      <c r="C503" s="125"/>
      <c r="D503" s="125"/>
      <c r="E503" s="125"/>
      <c r="F503" s="125"/>
      <c r="G503" s="125"/>
      <c r="H503" s="125"/>
      <c r="I503" s="627" t="s">
        <v>51</v>
      </c>
      <c r="J503" s="125" t="s">
        <v>51</v>
      </c>
      <c r="K503" s="125" t="s">
        <v>51</v>
      </c>
      <c r="L503" s="125" t="s">
        <v>51</v>
      </c>
      <c r="M503" s="125" t="str">
        <f t="shared" si="1"/>
        <v/>
      </c>
      <c r="N503" s="125" t="str">
        <f t="shared" si="2"/>
        <v/>
      </c>
      <c r="O503" s="125"/>
      <c r="P503" s="125"/>
      <c r="Q503" s="125"/>
      <c r="R503" s="125"/>
      <c r="S503" s="628">
        <f t="shared" si="3"/>
        <v>0</v>
      </c>
      <c r="T503" s="627" t="s">
        <v>51</v>
      </c>
      <c r="U503" s="627" t="s">
        <v>51</v>
      </c>
      <c r="V503" s="627" t="s">
        <v>51</v>
      </c>
      <c r="W503" s="627" t="s">
        <v>51</v>
      </c>
      <c r="X503" s="627" t="s">
        <v>51</v>
      </c>
      <c r="Y503" s="89"/>
    </row>
    <row r="504" ht="22.5" customHeight="1">
      <c r="A504" s="125"/>
      <c r="B504" s="125"/>
      <c r="C504" s="125"/>
      <c r="D504" s="125"/>
      <c r="E504" s="125"/>
      <c r="F504" s="125"/>
      <c r="G504" s="125"/>
      <c r="H504" s="125"/>
      <c r="I504" s="627" t="s">
        <v>51</v>
      </c>
      <c r="J504" s="125" t="s">
        <v>51</v>
      </c>
      <c r="K504" s="125" t="s">
        <v>51</v>
      </c>
      <c r="L504" s="125" t="s">
        <v>51</v>
      </c>
      <c r="M504" s="125" t="str">
        <f t="shared" si="1"/>
        <v/>
      </c>
      <c r="N504" s="125" t="str">
        <f t="shared" si="2"/>
        <v/>
      </c>
      <c r="O504" s="125"/>
      <c r="P504" s="125"/>
      <c r="Q504" s="125"/>
      <c r="R504" s="125"/>
      <c r="S504" s="628">
        <f t="shared" si="3"/>
        <v>0</v>
      </c>
      <c r="T504" s="627" t="s">
        <v>51</v>
      </c>
      <c r="U504" s="627" t="s">
        <v>51</v>
      </c>
      <c r="V504" s="627" t="s">
        <v>51</v>
      </c>
      <c r="W504" s="627" t="s">
        <v>51</v>
      </c>
      <c r="X504" s="627" t="s">
        <v>51</v>
      </c>
      <c r="Y504" s="89"/>
    </row>
    <row r="505" ht="22.5" customHeight="1">
      <c r="A505" s="125"/>
      <c r="B505" s="125"/>
      <c r="C505" s="125"/>
      <c r="D505" s="125"/>
      <c r="E505" s="125"/>
      <c r="F505" s="125"/>
      <c r="G505" s="125"/>
      <c r="H505" s="125"/>
      <c r="I505" s="627" t="s">
        <v>51</v>
      </c>
      <c r="J505" s="125" t="s">
        <v>51</v>
      </c>
      <c r="K505" s="125" t="s">
        <v>51</v>
      </c>
      <c r="L505" s="125" t="s">
        <v>51</v>
      </c>
      <c r="M505" s="125" t="str">
        <f t="shared" si="1"/>
        <v/>
      </c>
      <c r="N505" s="125" t="str">
        <f t="shared" si="2"/>
        <v/>
      </c>
      <c r="O505" s="125"/>
      <c r="P505" s="125"/>
      <c r="Q505" s="125"/>
      <c r="R505" s="125"/>
      <c r="S505" s="628">
        <f t="shared" si="3"/>
        <v>0</v>
      </c>
      <c r="T505" s="627" t="s">
        <v>51</v>
      </c>
      <c r="U505" s="627" t="s">
        <v>51</v>
      </c>
      <c r="V505" s="627" t="s">
        <v>51</v>
      </c>
      <c r="W505" s="627" t="s">
        <v>51</v>
      </c>
      <c r="X505" s="627" t="s">
        <v>51</v>
      </c>
      <c r="Y505" s="89"/>
    </row>
    <row r="506" ht="22.5" customHeight="1">
      <c r="A506" s="125"/>
      <c r="B506" s="125"/>
      <c r="C506" s="125"/>
      <c r="D506" s="125"/>
      <c r="E506" s="125"/>
      <c r="F506" s="125"/>
      <c r="G506" s="125"/>
      <c r="H506" s="125"/>
      <c r="I506" s="627" t="s">
        <v>51</v>
      </c>
      <c r="J506" s="125" t="s">
        <v>51</v>
      </c>
      <c r="K506" s="125" t="s">
        <v>51</v>
      </c>
      <c r="L506" s="125" t="s">
        <v>51</v>
      </c>
      <c r="M506" s="125" t="str">
        <f t="shared" si="1"/>
        <v/>
      </c>
      <c r="N506" s="125" t="str">
        <f t="shared" si="2"/>
        <v/>
      </c>
      <c r="O506" s="125"/>
      <c r="P506" s="125"/>
      <c r="Q506" s="125"/>
      <c r="R506" s="125"/>
      <c r="S506" s="628">
        <f t="shared" si="3"/>
        <v>0</v>
      </c>
      <c r="T506" s="627" t="s">
        <v>51</v>
      </c>
      <c r="U506" s="627" t="s">
        <v>51</v>
      </c>
      <c r="V506" s="627" t="s">
        <v>51</v>
      </c>
      <c r="W506" s="627" t="s">
        <v>51</v>
      </c>
      <c r="X506" s="627" t="s">
        <v>51</v>
      </c>
      <c r="Y506" s="89"/>
    </row>
    <row r="507" ht="22.5" customHeight="1">
      <c r="A507" s="125"/>
      <c r="B507" s="125"/>
      <c r="C507" s="125"/>
      <c r="D507" s="125"/>
      <c r="E507" s="125"/>
      <c r="F507" s="125"/>
      <c r="G507" s="125"/>
      <c r="H507" s="125"/>
      <c r="I507" s="627" t="s">
        <v>51</v>
      </c>
      <c r="J507" s="125" t="s">
        <v>51</v>
      </c>
      <c r="K507" s="125" t="s">
        <v>51</v>
      </c>
      <c r="L507" s="125" t="s">
        <v>51</v>
      </c>
      <c r="M507" s="125" t="str">
        <f t="shared" si="1"/>
        <v/>
      </c>
      <c r="N507" s="125" t="str">
        <f t="shared" si="2"/>
        <v/>
      </c>
      <c r="O507" s="125"/>
      <c r="P507" s="125"/>
      <c r="Q507" s="125"/>
      <c r="R507" s="125"/>
      <c r="S507" s="628">
        <f t="shared" si="3"/>
        <v>0</v>
      </c>
      <c r="T507" s="627" t="s">
        <v>51</v>
      </c>
      <c r="U507" s="627" t="s">
        <v>51</v>
      </c>
      <c r="V507" s="627" t="s">
        <v>51</v>
      </c>
      <c r="W507" s="627" t="s">
        <v>51</v>
      </c>
      <c r="X507" s="627" t="s">
        <v>51</v>
      </c>
      <c r="Y507" s="89"/>
    </row>
    <row r="508" ht="22.5" customHeight="1">
      <c r="A508" s="125"/>
      <c r="B508" s="125"/>
      <c r="C508" s="125"/>
      <c r="D508" s="125"/>
      <c r="E508" s="125"/>
      <c r="F508" s="125"/>
      <c r="G508" s="125"/>
      <c r="H508" s="125"/>
      <c r="I508" s="627" t="s">
        <v>51</v>
      </c>
      <c r="J508" s="125" t="s">
        <v>51</v>
      </c>
      <c r="K508" s="125" t="s">
        <v>51</v>
      </c>
      <c r="L508" s="125" t="s">
        <v>51</v>
      </c>
      <c r="M508" s="125" t="str">
        <f t="shared" si="1"/>
        <v/>
      </c>
      <c r="N508" s="125" t="str">
        <f t="shared" si="2"/>
        <v/>
      </c>
      <c r="O508" s="125"/>
      <c r="P508" s="125"/>
      <c r="Q508" s="125"/>
      <c r="R508" s="125"/>
      <c r="S508" s="628">
        <f t="shared" si="3"/>
        <v>0</v>
      </c>
      <c r="T508" s="627" t="s">
        <v>51</v>
      </c>
      <c r="U508" s="627" t="s">
        <v>51</v>
      </c>
      <c r="V508" s="627" t="s">
        <v>51</v>
      </c>
      <c r="W508" s="627" t="s">
        <v>51</v>
      </c>
      <c r="X508" s="627" t="s">
        <v>51</v>
      </c>
      <c r="Y508" s="89"/>
    </row>
    <row r="509" ht="22.5" customHeight="1">
      <c r="A509" s="125"/>
      <c r="B509" s="125"/>
      <c r="C509" s="125"/>
      <c r="D509" s="125"/>
      <c r="E509" s="125"/>
      <c r="F509" s="125"/>
      <c r="G509" s="125"/>
      <c r="H509" s="125"/>
      <c r="I509" s="627" t="s">
        <v>51</v>
      </c>
      <c r="J509" s="125" t="s">
        <v>51</v>
      </c>
      <c r="K509" s="125" t="s">
        <v>51</v>
      </c>
      <c r="L509" s="125" t="s">
        <v>51</v>
      </c>
      <c r="M509" s="125" t="str">
        <f t="shared" si="1"/>
        <v/>
      </c>
      <c r="N509" s="125" t="str">
        <f t="shared" si="2"/>
        <v/>
      </c>
      <c r="O509" s="125"/>
      <c r="P509" s="125"/>
      <c r="Q509" s="125"/>
      <c r="R509" s="125"/>
      <c r="S509" s="628">
        <f t="shared" si="3"/>
        <v>0</v>
      </c>
      <c r="T509" s="627" t="s">
        <v>51</v>
      </c>
      <c r="U509" s="627" t="s">
        <v>51</v>
      </c>
      <c r="V509" s="627" t="s">
        <v>51</v>
      </c>
      <c r="W509" s="627" t="s">
        <v>51</v>
      </c>
      <c r="X509" s="627" t="s">
        <v>51</v>
      </c>
      <c r="Y509" s="89"/>
    </row>
    <row r="510" ht="22.5" customHeight="1">
      <c r="A510" s="125"/>
      <c r="B510" s="125"/>
      <c r="C510" s="125"/>
      <c r="D510" s="125"/>
      <c r="E510" s="125"/>
      <c r="F510" s="125"/>
      <c r="G510" s="125"/>
      <c r="H510" s="125"/>
      <c r="I510" s="627" t="s">
        <v>51</v>
      </c>
      <c r="J510" s="125" t="s">
        <v>51</v>
      </c>
      <c r="K510" s="125" t="s">
        <v>51</v>
      </c>
      <c r="L510" s="125" t="s">
        <v>51</v>
      </c>
      <c r="M510" s="125" t="str">
        <f t="shared" si="1"/>
        <v/>
      </c>
      <c r="N510" s="125" t="str">
        <f t="shared" si="2"/>
        <v/>
      </c>
      <c r="O510" s="125"/>
      <c r="P510" s="125"/>
      <c r="Q510" s="125"/>
      <c r="R510" s="125"/>
      <c r="S510" s="628">
        <f t="shared" si="3"/>
        <v>0</v>
      </c>
      <c r="T510" s="627" t="s">
        <v>51</v>
      </c>
      <c r="U510" s="627" t="s">
        <v>51</v>
      </c>
      <c r="V510" s="627" t="s">
        <v>51</v>
      </c>
      <c r="W510" s="627" t="s">
        <v>51</v>
      </c>
      <c r="X510" s="627" t="s">
        <v>51</v>
      </c>
      <c r="Y510" s="89"/>
    </row>
    <row r="511" ht="22.5" customHeight="1">
      <c r="A511" s="125"/>
      <c r="B511" s="125"/>
      <c r="C511" s="125"/>
      <c r="D511" s="125"/>
      <c r="E511" s="125"/>
      <c r="F511" s="125"/>
      <c r="G511" s="125"/>
      <c r="H511" s="125"/>
      <c r="I511" s="627" t="s">
        <v>51</v>
      </c>
      <c r="J511" s="125" t="s">
        <v>51</v>
      </c>
      <c r="K511" s="125" t="s">
        <v>51</v>
      </c>
      <c r="L511" s="125" t="s">
        <v>51</v>
      </c>
      <c r="M511" s="125" t="str">
        <f t="shared" si="1"/>
        <v/>
      </c>
      <c r="N511" s="125" t="str">
        <f t="shared" si="2"/>
        <v/>
      </c>
      <c r="O511" s="125"/>
      <c r="P511" s="125"/>
      <c r="Q511" s="125"/>
      <c r="R511" s="125"/>
      <c r="S511" s="628">
        <f t="shared" si="3"/>
        <v>0</v>
      </c>
      <c r="T511" s="627" t="s">
        <v>51</v>
      </c>
      <c r="U511" s="627" t="s">
        <v>51</v>
      </c>
      <c r="V511" s="627" t="s">
        <v>51</v>
      </c>
      <c r="W511" s="627" t="s">
        <v>51</v>
      </c>
      <c r="X511" s="627" t="s">
        <v>51</v>
      </c>
      <c r="Y511" s="89"/>
    </row>
    <row r="512" ht="22.5" customHeight="1">
      <c r="A512" s="125"/>
      <c r="B512" s="125"/>
      <c r="C512" s="125"/>
      <c r="D512" s="125"/>
      <c r="E512" s="125"/>
      <c r="F512" s="125"/>
      <c r="G512" s="125"/>
      <c r="H512" s="125"/>
      <c r="I512" s="627" t="s">
        <v>51</v>
      </c>
      <c r="J512" s="125" t="s">
        <v>51</v>
      </c>
      <c r="K512" s="125" t="s">
        <v>51</v>
      </c>
      <c r="L512" s="125" t="s">
        <v>51</v>
      </c>
      <c r="M512" s="125" t="str">
        <f t="shared" si="1"/>
        <v/>
      </c>
      <c r="N512" s="125" t="str">
        <f t="shared" si="2"/>
        <v/>
      </c>
      <c r="O512" s="125"/>
      <c r="P512" s="125"/>
      <c r="Q512" s="125"/>
      <c r="R512" s="125"/>
      <c r="S512" s="628">
        <f t="shared" si="3"/>
        <v>0</v>
      </c>
      <c r="T512" s="627" t="s">
        <v>51</v>
      </c>
      <c r="U512" s="627" t="s">
        <v>51</v>
      </c>
      <c r="V512" s="627" t="s">
        <v>51</v>
      </c>
      <c r="W512" s="627" t="s">
        <v>51</v>
      </c>
      <c r="X512" s="627" t="s">
        <v>51</v>
      </c>
      <c r="Y512" s="89"/>
    </row>
    <row r="513" ht="22.5" customHeight="1">
      <c r="A513" s="125"/>
      <c r="B513" s="125"/>
      <c r="C513" s="125"/>
      <c r="D513" s="125"/>
      <c r="E513" s="125"/>
      <c r="F513" s="125"/>
      <c r="G513" s="125"/>
      <c r="H513" s="125"/>
      <c r="I513" s="627" t="s">
        <v>51</v>
      </c>
      <c r="J513" s="125" t="s">
        <v>51</v>
      </c>
      <c r="K513" s="125" t="s">
        <v>51</v>
      </c>
      <c r="L513" s="125" t="s">
        <v>51</v>
      </c>
      <c r="M513" s="125" t="str">
        <f t="shared" si="1"/>
        <v/>
      </c>
      <c r="N513" s="125" t="str">
        <f t="shared" si="2"/>
        <v/>
      </c>
      <c r="O513" s="125"/>
      <c r="P513" s="125"/>
      <c r="Q513" s="125"/>
      <c r="R513" s="125"/>
      <c r="S513" s="628">
        <f t="shared" si="3"/>
        <v>0</v>
      </c>
      <c r="T513" s="627" t="s">
        <v>51</v>
      </c>
      <c r="U513" s="627" t="s">
        <v>51</v>
      </c>
      <c r="V513" s="627" t="s">
        <v>51</v>
      </c>
      <c r="W513" s="627" t="s">
        <v>51</v>
      </c>
      <c r="X513" s="627" t="s">
        <v>51</v>
      </c>
      <c r="Y513" s="89"/>
    </row>
    <row r="514" ht="22.5" customHeight="1">
      <c r="A514" s="125"/>
      <c r="B514" s="125"/>
      <c r="C514" s="125"/>
      <c r="D514" s="125"/>
      <c r="E514" s="125"/>
      <c r="F514" s="125"/>
      <c r="G514" s="125"/>
      <c r="H514" s="125"/>
      <c r="I514" s="627" t="s">
        <v>51</v>
      </c>
      <c r="J514" s="125" t="s">
        <v>51</v>
      </c>
      <c r="K514" s="125" t="s">
        <v>51</v>
      </c>
      <c r="L514" s="125" t="s">
        <v>51</v>
      </c>
      <c r="M514" s="125" t="str">
        <f t="shared" si="1"/>
        <v/>
      </c>
      <c r="N514" s="125" t="str">
        <f t="shared" si="2"/>
        <v/>
      </c>
      <c r="O514" s="125"/>
      <c r="P514" s="125"/>
      <c r="Q514" s="125"/>
      <c r="R514" s="125"/>
      <c r="S514" s="628">
        <f t="shared" si="3"/>
        <v>0</v>
      </c>
      <c r="T514" s="627" t="s">
        <v>51</v>
      </c>
      <c r="U514" s="627" t="s">
        <v>51</v>
      </c>
      <c r="V514" s="627" t="s">
        <v>51</v>
      </c>
      <c r="W514" s="627" t="s">
        <v>51</v>
      </c>
      <c r="X514" s="627" t="s">
        <v>51</v>
      </c>
      <c r="Y514" s="89"/>
    </row>
    <row r="515" ht="22.5" customHeight="1">
      <c r="A515" s="125"/>
      <c r="B515" s="125"/>
      <c r="C515" s="125"/>
      <c r="D515" s="125"/>
      <c r="E515" s="125"/>
      <c r="F515" s="125"/>
      <c r="G515" s="125"/>
      <c r="H515" s="125"/>
      <c r="I515" s="627" t="s">
        <v>51</v>
      </c>
      <c r="J515" s="125" t="s">
        <v>51</v>
      </c>
      <c r="K515" s="125" t="s">
        <v>51</v>
      </c>
      <c r="L515" s="125" t="s">
        <v>51</v>
      </c>
      <c r="M515" s="125" t="str">
        <f t="shared" si="1"/>
        <v/>
      </c>
      <c r="N515" s="125" t="str">
        <f t="shared" si="2"/>
        <v/>
      </c>
      <c r="O515" s="125"/>
      <c r="P515" s="125"/>
      <c r="Q515" s="125"/>
      <c r="R515" s="125"/>
      <c r="S515" s="628">
        <f t="shared" si="3"/>
        <v>0</v>
      </c>
      <c r="T515" s="627" t="s">
        <v>51</v>
      </c>
      <c r="U515" s="627" t="s">
        <v>51</v>
      </c>
      <c r="V515" s="627" t="s">
        <v>51</v>
      </c>
      <c r="W515" s="627" t="s">
        <v>51</v>
      </c>
      <c r="X515" s="627" t="s">
        <v>51</v>
      </c>
      <c r="Y515" s="89"/>
    </row>
    <row r="516" ht="22.5" customHeight="1">
      <c r="A516" s="125"/>
      <c r="B516" s="125"/>
      <c r="C516" s="125"/>
      <c r="D516" s="125"/>
      <c r="E516" s="125"/>
      <c r="F516" s="125"/>
      <c r="G516" s="125"/>
      <c r="H516" s="125"/>
      <c r="I516" s="627" t="s">
        <v>51</v>
      </c>
      <c r="J516" s="125" t="s">
        <v>51</v>
      </c>
      <c r="K516" s="125" t="s">
        <v>51</v>
      </c>
      <c r="L516" s="125" t="s">
        <v>51</v>
      </c>
      <c r="M516" s="125" t="str">
        <f t="shared" si="1"/>
        <v/>
      </c>
      <c r="N516" s="125" t="str">
        <f t="shared" si="2"/>
        <v/>
      </c>
      <c r="O516" s="125"/>
      <c r="P516" s="125"/>
      <c r="Q516" s="125"/>
      <c r="R516" s="125"/>
      <c r="S516" s="628">
        <f t="shared" si="3"/>
        <v>0</v>
      </c>
      <c r="T516" s="627" t="s">
        <v>51</v>
      </c>
      <c r="U516" s="627" t="s">
        <v>51</v>
      </c>
      <c r="V516" s="627" t="s">
        <v>51</v>
      </c>
      <c r="W516" s="627" t="s">
        <v>51</v>
      </c>
      <c r="X516" s="627" t="s">
        <v>51</v>
      </c>
      <c r="Y516" s="89"/>
    </row>
    <row r="517" ht="22.5" customHeight="1">
      <c r="A517" s="125"/>
      <c r="B517" s="125"/>
      <c r="C517" s="125"/>
      <c r="D517" s="125"/>
      <c r="E517" s="125"/>
      <c r="F517" s="125"/>
      <c r="G517" s="125"/>
      <c r="H517" s="125"/>
      <c r="I517" s="627" t="s">
        <v>51</v>
      </c>
      <c r="J517" s="125" t="s">
        <v>51</v>
      </c>
      <c r="K517" s="125" t="s">
        <v>51</v>
      </c>
      <c r="L517" s="125" t="s">
        <v>51</v>
      </c>
      <c r="M517" s="125" t="str">
        <f t="shared" si="1"/>
        <v/>
      </c>
      <c r="N517" s="125" t="str">
        <f t="shared" si="2"/>
        <v/>
      </c>
      <c r="O517" s="125"/>
      <c r="P517" s="125"/>
      <c r="Q517" s="125"/>
      <c r="R517" s="125"/>
      <c r="S517" s="628">
        <f t="shared" si="3"/>
        <v>0</v>
      </c>
      <c r="T517" s="627" t="s">
        <v>51</v>
      </c>
      <c r="U517" s="627" t="s">
        <v>51</v>
      </c>
      <c r="V517" s="627" t="s">
        <v>51</v>
      </c>
      <c r="W517" s="627" t="s">
        <v>51</v>
      </c>
      <c r="X517" s="627" t="s">
        <v>51</v>
      </c>
      <c r="Y517" s="89"/>
    </row>
    <row r="518" ht="22.5" customHeight="1">
      <c r="A518" s="125"/>
      <c r="B518" s="125"/>
      <c r="C518" s="125"/>
      <c r="D518" s="125"/>
      <c r="E518" s="125"/>
      <c r="F518" s="125"/>
      <c r="G518" s="125"/>
      <c r="H518" s="125"/>
      <c r="I518" s="627" t="s">
        <v>51</v>
      </c>
      <c r="J518" s="125" t="s">
        <v>51</v>
      </c>
      <c r="K518" s="125" t="s">
        <v>51</v>
      </c>
      <c r="L518" s="125" t="s">
        <v>51</v>
      </c>
      <c r="M518" s="125" t="str">
        <f t="shared" si="1"/>
        <v/>
      </c>
      <c r="N518" s="125" t="str">
        <f t="shared" si="2"/>
        <v/>
      </c>
      <c r="O518" s="125"/>
      <c r="P518" s="125"/>
      <c r="Q518" s="125"/>
      <c r="R518" s="125"/>
      <c r="S518" s="628">
        <f t="shared" si="3"/>
        <v>0</v>
      </c>
      <c r="T518" s="627" t="s">
        <v>51</v>
      </c>
      <c r="U518" s="627" t="s">
        <v>51</v>
      </c>
      <c r="V518" s="627" t="s">
        <v>51</v>
      </c>
      <c r="W518" s="627" t="s">
        <v>51</v>
      </c>
      <c r="X518" s="627" t="s">
        <v>51</v>
      </c>
      <c r="Y518" s="89"/>
    </row>
    <row r="519" ht="22.5" customHeight="1">
      <c r="A519" s="125"/>
      <c r="B519" s="125"/>
      <c r="C519" s="125"/>
      <c r="D519" s="125"/>
      <c r="E519" s="125"/>
      <c r="F519" s="125"/>
      <c r="G519" s="125"/>
      <c r="H519" s="125"/>
      <c r="I519" s="627" t="s">
        <v>51</v>
      </c>
      <c r="J519" s="125" t="s">
        <v>51</v>
      </c>
      <c r="K519" s="125" t="s">
        <v>51</v>
      </c>
      <c r="L519" s="125" t="s">
        <v>51</v>
      </c>
      <c r="M519" s="125" t="str">
        <f t="shared" si="1"/>
        <v/>
      </c>
      <c r="N519" s="125" t="str">
        <f t="shared" si="2"/>
        <v/>
      </c>
      <c r="O519" s="125"/>
      <c r="P519" s="125"/>
      <c r="Q519" s="125"/>
      <c r="R519" s="125"/>
      <c r="S519" s="628">
        <f t="shared" si="3"/>
        <v>0</v>
      </c>
      <c r="T519" s="627" t="s">
        <v>51</v>
      </c>
      <c r="U519" s="627" t="s">
        <v>51</v>
      </c>
      <c r="V519" s="627" t="s">
        <v>51</v>
      </c>
      <c r="W519" s="627" t="s">
        <v>51</v>
      </c>
      <c r="X519" s="627" t="s">
        <v>51</v>
      </c>
      <c r="Y519" s="89"/>
    </row>
    <row r="520" ht="22.5" customHeight="1">
      <c r="A520" s="125"/>
      <c r="B520" s="125"/>
      <c r="C520" s="125"/>
      <c r="D520" s="125"/>
      <c r="E520" s="125"/>
      <c r="F520" s="125"/>
      <c r="G520" s="125"/>
      <c r="H520" s="125"/>
      <c r="I520" s="627" t="s">
        <v>51</v>
      </c>
      <c r="J520" s="125" t="s">
        <v>51</v>
      </c>
      <c r="K520" s="125" t="s">
        <v>51</v>
      </c>
      <c r="L520" s="125" t="s">
        <v>51</v>
      </c>
      <c r="M520" s="125" t="str">
        <f t="shared" si="1"/>
        <v/>
      </c>
      <c r="N520" s="125" t="str">
        <f t="shared" si="2"/>
        <v/>
      </c>
      <c r="O520" s="125"/>
      <c r="P520" s="125"/>
      <c r="Q520" s="125"/>
      <c r="R520" s="125"/>
      <c r="S520" s="628">
        <f t="shared" si="3"/>
        <v>0</v>
      </c>
      <c r="T520" s="627" t="s">
        <v>51</v>
      </c>
      <c r="U520" s="627" t="s">
        <v>51</v>
      </c>
      <c r="V520" s="627" t="s">
        <v>51</v>
      </c>
      <c r="W520" s="627" t="s">
        <v>51</v>
      </c>
      <c r="X520" s="627" t="s">
        <v>51</v>
      </c>
      <c r="Y520" s="89"/>
    </row>
    <row r="521" ht="22.5" customHeight="1">
      <c r="A521" s="125"/>
      <c r="B521" s="125"/>
      <c r="C521" s="125"/>
      <c r="D521" s="125"/>
      <c r="E521" s="125"/>
      <c r="F521" s="125"/>
      <c r="G521" s="125"/>
      <c r="H521" s="125"/>
      <c r="I521" s="627" t="s">
        <v>51</v>
      </c>
      <c r="J521" s="125" t="s">
        <v>51</v>
      </c>
      <c r="K521" s="125" t="s">
        <v>51</v>
      </c>
      <c r="L521" s="125" t="s">
        <v>51</v>
      </c>
      <c r="M521" s="125" t="str">
        <f t="shared" si="1"/>
        <v/>
      </c>
      <c r="N521" s="125" t="str">
        <f t="shared" si="2"/>
        <v/>
      </c>
      <c r="O521" s="125"/>
      <c r="P521" s="125"/>
      <c r="Q521" s="125"/>
      <c r="R521" s="125"/>
      <c r="S521" s="628">
        <f t="shared" si="3"/>
        <v>0</v>
      </c>
      <c r="T521" s="627" t="s">
        <v>51</v>
      </c>
      <c r="U521" s="627" t="s">
        <v>51</v>
      </c>
      <c r="V521" s="627" t="s">
        <v>51</v>
      </c>
      <c r="W521" s="627" t="s">
        <v>51</v>
      </c>
      <c r="X521" s="627" t="s">
        <v>51</v>
      </c>
      <c r="Y521" s="89"/>
    </row>
    <row r="522" ht="22.5" customHeight="1">
      <c r="A522" s="125"/>
      <c r="B522" s="125"/>
      <c r="C522" s="125"/>
      <c r="D522" s="125"/>
      <c r="E522" s="125"/>
      <c r="F522" s="125"/>
      <c r="G522" s="125"/>
      <c r="H522" s="125"/>
      <c r="I522" s="627" t="s">
        <v>51</v>
      </c>
      <c r="J522" s="125" t="s">
        <v>51</v>
      </c>
      <c r="K522" s="125" t="s">
        <v>51</v>
      </c>
      <c r="L522" s="125" t="s">
        <v>51</v>
      </c>
      <c r="M522" s="125" t="str">
        <f t="shared" si="1"/>
        <v/>
      </c>
      <c r="N522" s="125" t="str">
        <f t="shared" si="2"/>
        <v/>
      </c>
      <c r="O522" s="125"/>
      <c r="P522" s="125"/>
      <c r="Q522" s="125"/>
      <c r="R522" s="125"/>
      <c r="S522" s="628">
        <f t="shared" si="3"/>
        <v>0</v>
      </c>
      <c r="T522" s="627" t="s">
        <v>51</v>
      </c>
      <c r="U522" s="627" t="s">
        <v>51</v>
      </c>
      <c r="V522" s="627" t="s">
        <v>51</v>
      </c>
      <c r="W522" s="627" t="s">
        <v>51</v>
      </c>
      <c r="X522" s="627" t="s">
        <v>51</v>
      </c>
      <c r="Y522" s="89"/>
    </row>
    <row r="523" ht="22.5" customHeight="1">
      <c r="A523" s="125"/>
      <c r="B523" s="125"/>
      <c r="C523" s="125"/>
      <c r="D523" s="125"/>
      <c r="E523" s="125"/>
      <c r="F523" s="125"/>
      <c r="G523" s="125"/>
      <c r="H523" s="125"/>
      <c r="I523" s="627" t="s">
        <v>51</v>
      </c>
      <c r="J523" s="125" t="s">
        <v>51</v>
      </c>
      <c r="K523" s="125" t="s">
        <v>51</v>
      </c>
      <c r="L523" s="125" t="s">
        <v>51</v>
      </c>
      <c r="M523" s="125" t="str">
        <f t="shared" si="1"/>
        <v/>
      </c>
      <c r="N523" s="125" t="str">
        <f t="shared" si="2"/>
        <v/>
      </c>
      <c r="O523" s="125"/>
      <c r="P523" s="125"/>
      <c r="Q523" s="125"/>
      <c r="R523" s="125"/>
      <c r="S523" s="628">
        <f t="shared" si="3"/>
        <v>0</v>
      </c>
      <c r="T523" s="627" t="s">
        <v>51</v>
      </c>
      <c r="U523" s="627" t="s">
        <v>51</v>
      </c>
      <c r="V523" s="627" t="s">
        <v>51</v>
      </c>
      <c r="W523" s="627" t="s">
        <v>51</v>
      </c>
      <c r="X523" s="627" t="s">
        <v>51</v>
      </c>
      <c r="Y523" s="89"/>
    </row>
    <row r="524" ht="22.5" customHeight="1">
      <c r="A524" s="125"/>
      <c r="B524" s="125"/>
      <c r="C524" s="125"/>
      <c r="D524" s="125"/>
      <c r="E524" s="125"/>
      <c r="F524" s="125"/>
      <c r="G524" s="125"/>
      <c r="H524" s="125"/>
      <c r="I524" s="627" t="s">
        <v>51</v>
      </c>
      <c r="J524" s="125" t="s">
        <v>51</v>
      </c>
      <c r="K524" s="125" t="s">
        <v>51</v>
      </c>
      <c r="L524" s="125" t="s">
        <v>51</v>
      </c>
      <c r="M524" s="125" t="str">
        <f t="shared" si="1"/>
        <v/>
      </c>
      <c r="N524" s="125" t="str">
        <f t="shared" si="2"/>
        <v/>
      </c>
      <c r="O524" s="125"/>
      <c r="P524" s="125"/>
      <c r="Q524" s="125"/>
      <c r="R524" s="125"/>
      <c r="S524" s="628">
        <f t="shared" si="3"/>
        <v>0</v>
      </c>
      <c r="T524" s="627" t="s">
        <v>51</v>
      </c>
      <c r="U524" s="627" t="s">
        <v>51</v>
      </c>
      <c r="V524" s="627" t="s">
        <v>51</v>
      </c>
      <c r="W524" s="627" t="s">
        <v>51</v>
      </c>
      <c r="X524" s="627" t="s">
        <v>51</v>
      </c>
      <c r="Y524" s="89"/>
    </row>
    <row r="525" ht="22.5" customHeight="1">
      <c r="A525" s="125"/>
      <c r="B525" s="125"/>
      <c r="C525" s="125"/>
      <c r="D525" s="125"/>
      <c r="E525" s="125"/>
      <c r="F525" s="125"/>
      <c r="G525" s="125"/>
      <c r="H525" s="125"/>
      <c r="I525" s="627" t="s">
        <v>51</v>
      </c>
      <c r="J525" s="125" t="s">
        <v>51</v>
      </c>
      <c r="K525" s="125" t="s">
        <v>51</v>
      </c>
      <c r="L525" s="125" t="s">
        <v>51</v>
      </c>
      <c r="M525" s="125" t="str">
        <f t="shared" si="1"/>
        <v/>
      </c>
      <c r="N525" s="125" t="str">
        <f t="shared" si="2"/>
        <v/>
      </c>
      <c r="O525" s="125"/>
      <c r="P525" s="125"/>
      <c r="Q525" s="125"/>
      <c r="R525" s="125"/>
      <c r="S525" s="628">
        <f t="shared" si="3"/>
        <v>0</v>
      </c>
      <c r="T525" s="627" t="s">
        <v>51</v>
      </c>
      <c r="U525" s="627" t="s">
        <v>51</v>
      </c>
      <c r="V525" s="627" t="s">
        <v>51</v>
      </c>
      <c r="W525" s="627" t="s">
        <v>51</v>
      </c>
      <c r="X525" s="627" t="s">
        <v>51</v>
      </c>
      <c r="Y525" s="89"/>
    </row>
    <row r="526" ht="22.5" customHeight="1">
      <c r="A526" s="125"/>
      <c r="B526" s="125"/>
      <c r="C526" s="125"/>
      <c r="D526" s="125"/>
      <c r="E526" s="125"/>
      <c r="F526" s="125"/>
      <c r="G526" s="125"/>
      <c r="H526" s="125"/>
      <c r="I526" s="627" t="s">
        <v>51</v>
      </c>
      <c r="J526" s="125" t="s">
        <v>51</v>
      </c>
      <c r="K526" s="125" t="s">
        <v>51</v>
      </c>
      <c r="L526" s="125" t="s">
        <v>51</v>
      </c>
      <c r="M526" s="125" t="str">
        <f t="shared" si="1"/>
        <v/>
      </c>
      <c r="N526" s="125" t="str">
        <f t="shared" si="2"/>
        <v/>
      </c>
      <c r="O526" s="125"/>
      <c r="P526" s="125"/>
      <c r="Q526" s="125"/>
      <c r="R526" s="125"/>
      <c r="S526" s="628">
        <f t="shared" si="3"/>
        <v>0</v>
      </c>
      <c r="T526" s="627" t="s">
        <v>51</v>
      </c>
      <c r="U526" s="627" t="s">
        <v>51</v>
      </c>
      <c r="V526" s="627" t="s">
        <v>51</v>
      </c>
      <c r="W526" s="627" t="s">
        <v>51</v>
      </c>
      <c r="X526" s="627" t="s">
        <v>51</v>
      </c>
      <c r="Y526" s="89"/>
    </row>
    <row r="527" ht="22.5" customHeight="1">
      <c r="A527" s="125"/>
      <c r="B527" s="125"/>
      <c r="C527" s="125"/>
      <c r="D527" s="125"/>
      <c r="E527" s="125"/>
      <c r="F527" s="125"/>
      <c r="G527" s="125"/>
      <c r="H527" s="125"/>
      <c r="I527" s="627" t="s">
        <v>51</v>
      </c>
      <c r="J527" s="125" t="s">
        <v>51</v>
      </c>
      <c r="K527" s="125" t="s">
        <v>51</v>
      </c>
      <c r="L527" s="125" t="s">
        <v>51</v>
      </c>
      <c r="M527" s="125" t="str">
        <f t="shared" si="1"/>
        <v/>
      </c>
      <c r="N527" s="125" t="str">
        <f t="shared" si="2"/>
        <v/>
      </c>
      <c r="O527" s="125"/>
      <c r="P527" s="125"/>
      <c r="Q527" s="125"/>
      <c r="R527" s="125"/>
      <c r="S527" s="628">
        <f t="shared" si="3"/>
        <v>0</v>
      </c>
      <c r="T527" s="627" t="s">
        <v>51</v>
      </c>
      <c r="U527" s="627" t="s">
        <v>51</v>
      </c>
      <c r="V527" s="627" t="s">
        <v>51</v>
      </c>
      <c r="W527" s="627" t="s">
        <v>51</v>
      </c>
      <c r="X527" s="627" t="s">
        <v>51</v>
      </c>
      <c r="Y527" s="89"/>
    </row>
    <row r="528" ht="22.5" customHeight="1">
      <c r="A528" s="125"/>
      <c r="B528" s="125"/>
      <c r="C528" s="125"/>
      <c r="D528" s="125"/>
      <c r="E528" s="125"/>
      <c r="F528" s="125"/>
      <c r="G528" s="125"/>
      <c r="H528" s="125"/>
      <c r="I528" s="627" t="s">
        <v>51</v>
      </c>
      <c r="J528" s="125" t="s">
        <v>51</v>
      </c>
      <c r="K528" s="125" t="s">
        <v>51</v>
      </c>
      <c r="L528" s="125" t="s">
        <v>51</v>
      </c>
      <c r="M528" s="125" t="str">
        <f t="shared" si="1"/>
        <v/>
      </c>
      <c r="N528" s="125" t="str">
        <f t="shared" si="2"/>
        <v/>
      </c>
      <c r="O528" s="125"/>
      <c r="P528" s="125"/>
      <c r="Q528" s="125"/>
      <c r="R528" s="125"/>
      <c r="S528" s="628">
        <f t="shared" si="3"/>
        <v>0</v>
      </c>
      <c r="T528" s="627" t="s">
        <v>51</v>
      </c>
      <c r="U528" s="627" t="s">
        <v>51</v>
      </c>
      <c r="V528" s="627" t="s">
        <v>51</v>
      </c>
      <c r="W528" s="627" t="s">
        <v>51</v>
      </c>
      <c r="X528" s="627" t="s">
        <v>51</v>
      </c>
      <c r="Y528" s="89"/>
    </row>
    <row r="529" ht="22.5" customHeight="1">
      <c r="A529" s="125"/>
      <c r="B529" s="125"/>
      <c r="C529" s="125"/>
      <c r="D529" s="125"/>
      <c r="E529" s="125"/>
      <c r="F529" s="125"/>
      <c r="G529" s="125"/>
      <c r="H529" s="125"/>
      <c r="I529" s="627" t="s">
        <v>51</v>
      </c>
      <c r="J529" s="125" t="s">
        <v>51</v>
      </c>
      <c r="K529" s="125" t="s">
        <v>51</v>
      </c>
      <c r="L529" s="125" t="s">
        <v>51</v>
      </c>
      <c r="M529" s="125" t="str">
        <f t="shared" si="1"/>
        <v/>
      </c>
      <c r="N529" s="125" t="str">
        <f t="shared" si="2"/>
        <v/>
      </c>
      <c r="O529" s="125"/>
      <c r="P529" s="125"/>
      <c r="Q529" s="125"/>
      <c r="R529" s="125"/>
      <c r="S529" s="628">
        <f t="shared" si="3"/>
        <v>0</v>
      </c>
      <c r="T529" s="627" t="s">
        <v>51</v>
      </c>
      <c r="U529" s="627" t="s">
        <v>51</v>
      </c>
      <c r="V529" s="627" t="s">
        <v>51</v>
      </c>
      <c r="W529" s="627" t="s">
        <v>51</v>
      </c>
      <c r="X529" s="627" t="s">
        <v>51</v>
      </c>
      <c r="Y529" s="89"/>
    </row>
    <row r="530" ht="22.5" customHeight="1">
      <c r="A530" s="125"/>
      <c r="B530" s="125"/>
      <c r="C530" s="125"/>
      <c r="D530" s="125"/>
      <c r="E530" s="125"/>
      <c r="F530" s="125"/>
      <c r="G530" s="125"/>
      <c r="H530" s="125"/>
      <c r="I530" s="627" t="s">
        <v>51</v>
      </c>
      <c r="J530" s="125" t="s">
        <v>51</v>
      </c>
      <c r="K530" s="125" t="s">
        <v>51</v>
      </c>
      <c r="L530" s="125" t="s">
        <v>51</v>
      </c>
      <c r="M530" s="125" t="str">
        <f t="shared" si="1"/>
        <v/>
      </c>
      <c r="N530" s="125" t="str">
        <f t="shared" si="2"/>
        <v/>
      </c>
      <c r="O530" s="125"/>
      <c r="P530" s="125"/>
      <c r="Q530" s="125"/>
      <c r="R530" s="125"/>
      <c r="S530" s="628">
        <f t="shared" si="3"/>
        <v>0</v>
      </c>
      <c r="T530" s="627" t="s">
        <v>51</v>
      </c>
      <c r="U530" s="627" t="s">
        <v>51</v>
      </c>
      <c r="V530" s="627" t="s">
        <v>51</v>
      </c>
      <c r="W530" s="627" t="s">
        <v>51</v>
      </c>
      <c r="X530" s="627" t="s">
        <v>51</v>
      </c>
      <c r="Y530" s="89"/>
    </row>
    <row r="531" ht="22.5" customHeight="1">
      <c r="A531" s="125"/>
      <c r="B531" s="125"/>
      <c r="C531" s="125"/>
      <c r="D531" s="125"/>
      <c r="E531" s="125"/>
      <c r="F531" s="125"/>
      <c r="G531" s="125"/>
      <c r="H531" s="125"/>
      <c r="I531" s="627" t="s">
        <v>51</v>
      </c>
      <c r="J531" s="125" t="s">
        <v>51</v>
      </c>
      <c r="K531" s="125" t="s">
        <v>51</v>
      </c>
      <c r="L531" s="125" t="s">
        <v>51</v>
      </c>
      <c r="M531" s="125" t="str">
        <f t="shared" si="1"/>
        <v/>
      </c>
      <c r="N531" s="125" t="str">
        <f t="shared" si="2"/>
        <v/>
      </c>
      <c r="O531" s="125"/>
      <c r="P531" s="125"/>
      <c r="Q531" s="125"/>
      <c r="R531" s="125"/>
      <c r="S531" s="628">
        <f t="shared" si="3"/>
        <v>0</v>
      </c>
      <c r="T531" s="627" t="s">
        <v>51</v>
      </c>
      <c r="U531" s="627" t="s">
        <v>51</v>
      </c>
      <c r="V531" s="627" t="s">
        <v>51</v>
      </c>
      <c r="W531" s="627" t="s">
        <v>51</v>
      </c>
      <c r="X531" s="627" t="s">
        <v>51</v>
      </c>
      <c r="Y531" s="89"/>
    </row>
    <row r="532" ht="22.5" customHeight="1">
      <c r="A532" s="125"/>
      <c r="B532" s="125"/>
      <c r="C532" s="125"/>
      <c r="D532" s="125"/>
      <c r="E532" s="125"/>
      <c r="F532" s="125"/>
      <c r="G532" s="125"/>
      <c r="H532" s="125"/>
      <c r="I532" s="627" t="s">
        <v>51</v>
      </c>
      <c r="J532" s="125" t="s">
        <v>51</v>
      </c>
      <c r="K532" s="125" t="s">
        <v>51</v>
      </c>
      <c r="L532" s="125" t="s">
        <v>51</v>
      </c>
      <c r="M532" s="125" t="str">
        <f t="shared" si="1"/>
        <v/>
      </c>
      <c r="N532" s="125" t="str">
        <f t="shared" si="2"/>
        <v/>
      </c>
      <c r="O532" s="125"/>
      <c r="P532" s="125"/>
      <c r="Q532" s="125"/>
      <c r="R532" s="125"/>
      <c r="S532" s="628">
        <f t="shared" si="3"/>
        <v>0</v>
      </c>
      <c r="T532" s="627" t="s">
        <v>51</v>
      </c>
      <c r="U532" s="627" t="s">
        <v>51</v>
      </c>
      <c r="V532" s="627" t="s">
        <v>51</v>
      </c>
      <c r="W532" s="627" t="s">
        <v>51</v>
      </c>
      <c r="X532" s="627" t="s">
        <v>51</v>
      </c>
      <c r="Y532" s="89"/>
    </row>
    <row r="533" ht="22.5" customHeight="1">
      <c r="A533" s="125"/>
      <c r="B533" s="125"/>
      <c r="C533" s="125"/>
      <c r="D533" s="125"/>
      <c r="E533" s="125"/>
      <c r="F533" s="125"/>
      <c r="G533" s="125"/>
      <c r="H533" s="125"/>
      <c r="I533" s="627" t="s">
        <v>51</v>
      </c>
      <c r="J533" s="125" t="s">
        <v>51</v>
      </c>
      <c r="K533" s="125" t="s">
        <v>51</v>
      </c>
      <c r="L533" s="125" t="s">
        <v>51</v>
      </c>
      <c r="M533" s="125" t="str">
        <f t="shared" si="1"/>
        <v/>
      </c>
      <c r="N533" s="125" t="str">
        <f t="shared" si="2"/>
        <v/>
      </c>
      <c r="O533" s="125"/>
      <c r="P533" s="125"/>
      <c r="Q533" s="125"/>
      <c r="R533" s="125"/>
      <c r="S533" s="628">
        <f t="shared" si="3"/>
        <v>0</v>
      </c>
      <c r="T533" s="627" t="s">
        <v>51</v>
      </c>
      <c r="U533" s="627" t="s">
        <v>51</v>
      </c>
      <c r="V533" s="627" t="s">
        <v>51</v>
      </c>
      <c r="W533" s="627" t="s">
        <v>51</v>
      </c>
      <c r="X533" s="627" t="s">
        <v>51</v>
      </c>
      <c r="Y533" s="89"/>
    </row>
    <row r="534" ht="22.5" customHeight="1">
      <c r="A534" s="125"/>
      <c r="B534" s="125"/>
      <c r="C534" s="125"/>
      <c r="D534" s="125"/>
      <c r="E534" s="125"/>
      <c r="F534" s="125"/>
      <c r="G534" s="125"/>
      <c r="H534" s="125"/>
      <c r="I534" s="627" t="s">
        <v>51</v>
      </c>
      <c r="J534" s="125" t="s">
        <v>51</v>
      </c>
      <c r="K534" s="125" t="s">
        <v>51</v>
      </c>
      <c r="L534" s="125" t="s">
        <v>51</v>
      </c>
      <c r="M534" s="125" t="str">
        <f t="shared" si="1"/>
        <v/>
      </c>
      <c r="N534" s="125" t="str">
        <f t="shared" si="2"/>
        <v/>
      </c>
      <c r="O534" s="125"/>
      <c r="P534" s="125"/>
      <c r="Q534" s="125"/>
      <c r="R534" s="125"/>
      <c r="S534" s="628">
        <f t="shared" si="3"/>
        <v>0</v>
      </c>
      <c r="T534" s="627" t="s">
        <v>51</v>
      </c>
      <c r="U534" s="627" t="s">
        <v>51</v>
      </c>
      <c r="V534" s="627" t="s">
        <v>51</v>
      </c>
      <c r="W534" s="627" t="s">
        <v>51</v>
      </c>
      <c r="X534" s="627" t="s">
        <v>51</v>
      </c>
      <c r="Y534" s="89"/>
    </row>
    <row r="535" ht="22.5" customHeight="1">
      <c r="A535" s="125"/>
      <c r="B535" s="125"/>
      <c r="C535" s="125"/>
      <c r="D535" s="125"/>
      <c r="E535" s="125"/>
      <c r="F535" s="125"/>
      <c r="G535" s="125"/>
      <c r="H535" s="125"/>
      <c r="I535" s="627" t="s">
        <v>51</v>
      </c>
      <c r="J535" s="125" t="s">
        <v>51</v>
      </c>
      <c r="K535" s="125" t="s">
        <v>51</v>
      </c>
      <c r="L535" s="125" t="s">
        <v>51</v>
      </c>
      <c r="M535" s="125" t="str">
        <f t="shared" si="1"/>
        <v/>
      </c>
      <c r="N535" s="125" t="str">
        <f t="shared" si="2"/>
        <v/>
      </c>
      <c r="O535" s="125"/>
      <c r="P535" s="125"/>
      <c r="Q535" s="125"/>
      <c r="R535" s="125"/>
      <c r="S535" s="628">
        <f t="shared" si="3"/>
        <v>0</v>
      </c>
      <c r="T535" s="627" t="s">
        <v>51</v>
      </c>
      <c r="U535" s="627" t="s">
        <v>51</v>
      </c>
      <c r="V535" s="627" t="s">
        <v>51</v>
      </c>
      <c r="W535" s="627" t="s">
        <v>51</v>
      </c>
      <c r="X535" s="627" t="s">
        <v>51</v>
      </c>
      <c r="Y535" s="89"/>
    </row>
    <row r="536" ht="22.5" customHeight="1">
      <c r="A536" s="125"/>
      <c r="B536" s="125"/>
      <c r="C536" s="125"/>
      <c r="D536" s="125"/>
      <c r="E536" s="125"/>
      <c r="F536" s="125"/>
      <c r="G536" s="125"/>
      <c r="H536" s="125"/>
      <c r="I536" s="627" t="s">
        <v>51</v>
      </c>
      <c r="J536" s="125" t="s">
        <v>51</v>
      </c>
      <c r="K536" s="125" t="s">
        <v>51</v>
      </c>
      <c r="L536" s="125" t="s">
        <v>51</v>
      </c>
      <c r="M536" s="125" t="str">
        <f t="shared" si="1"/>
        <v/>
      </c>
      <c r="N536" s="125" t="str">
        <f t="shared" si="2"/>
        <v/>
      </c>
      <c r="O536" s="125"/>
      <c r="P536" s="125"/>
      <c r="Q536" s="125"/>
      <c r="R536" s="125"/>
      <c r="S536" s="628">
        <f t="shared" si="3"/>
        <v>0</v>
      </c>
      <c r="T536" s="627" t="s">
        <v>51</v>
      </c>
      <c r="U536" s="627" t="s">
        <v>51</v>
      </c>
      <c r="V536" s="627" t="s">
        <v>51</v>
      </c>
      <c r="W536" s="627" t="s">
        <v>51</v>
      </c>
      <c r="X536" s="627" t="s">
        <v>51</v>
      </c>
      <c r="Y536" s="89"/>
    </row>
    <row r="537" ht="22.5" customHeight="1">
      <c r="A537" s="125"/>
      <c r="B537" s="125"/>
      <c r="C537" s="125"/>
      <c r="D537" s="125"/>
      <c r="E537" s="125"/>
      <c r="F537" s="125"/>
      <c r="G537" s="125"/>
      <c r="H537" s="125"/>
      <c r="I537" s="627" t="s">
        <v>51</v>
      </c>
      <c r="J537" s="125" t="s">
        <v>51</v>
      </c>
      <c r="K537" s="125" t="s">
        <v>51</v>
      </c>
      <c r="L537" s="125" t="s">
        <v>51</v>
      </c>
      <c r="M537" s="125" t="str">
        <f t="shared" si="1"/>
        <v/>
      </c>
      <c r="N537" s="125" t="str">
        <f t="shared" si="2"/>
        <v/>
      </c>
      <c r="O537" s="125"/>
      <c r="P537" s="125"/>
      <c r="Q537" s="125"/>
      <c r="R537" s="125"/>
      <c r="S537" s="628">
        <f t="shared" si="3"/>
        <v>0</v>
      </c>
      <c r="T537" s="627" t="s">
        <v>51</v>
      </c>
      <c r="U537" s="627" t="s">
        <v>51</v>
      </c>
      <c r="V537" s="627" t="s">
        <v>51</v>
      </c>
      <c r="W537" s="627" t="s">
        <v>51</v>
      </c>
      <c r="X537" s="627" t="s">
        <v>51</v>
      </c>
      <c r="Y537" s="89"/>
    </row>
    <row r="538" ht="22.5" customHeight="1">
      <c r="A538" s="125"/>
      <c r="B538" s="125"/>
      <c r="C538" s="125"/>
      <c r="D538" s="125"/>
      <c r="E538" s="125"/>
      <c r="F538" s="125"/>
      <c r="G538" s="125"/>
      <c r="H538" s="125"/>
      <c r="I538" s="627" t="s">
        <v>51</v>
      </c>
      <c r="J538" s="125" t="s">
        <v>51</v>
      </c>
      <c r="K538" s="125" t="s">
        <v>51</v>
      </c>
      <c r="L538" s="125" t="s">
        <v>51</v>
      </c>
      <c r="M538" s="125" t="str">
        <f t="shared" si="1"/>
        <v/>
      </c>
      <c r="N538" s="125" t="str">
        <f t="shared" si="2"/>
        <v/>
      </c>
      <c r="O538" s="125"/>
      <c r="P538" s="125"/>
      <c r="Q538" s="125"/>
      <c r="R538" s="125"/>
      <c r="S538" s="628">
        <f t="shared" si="3"/>
        <v>0</v>
      </c>
      <c r="T538" s="627" t="s">
        <v>51</v>
      </c>
      <c r="U538" s="627" t="s">
        <v>51</v>
      </c>
      <c r="V538" s="627" t="s">
        <v>51</v>
      </c>
      <c r="W538" s="627" t="s">
        <v>51</v>
      </c>
      <c r="X538" s="627" t="s">
        <v>51</v>
      </c>
      <c r="Y538" s="89"/>
    </row>
    <row r="539" ht="22.5" customHeight="1">
      <c r="A539" s="125"/>
      <c r="B539" s="125"/>
      <c r="C539" s="125"/>
      <c r="D539" s="125"/>
      <c r="E539" s="125"/>
      <c r="F539" s="125"/>
      <c r="G539" s="125"/>
      <c r="H539" s="125"/>
      <c r="I539" s="627" t="s">
        <v>51</v>
      </c>
      <c r="J539" s="125" t="s">
        <v>51</v>
      </c>
      <c r="K539" s="125" t="s">
        <v>51</v>
      </c>
      <c r="L539" s="125" t="s">
        <v>51</v>
      </c>
      <c r="M539" s="125" t="str">
        <f t="shared" si="1"/>
        <v/>
      </c>
      <c r="N539" s="125" t="str">
        <f t="shared" si="2"/>
        <v/>
      </c>
      <c r="O539" s="125"/>
      <c r="P539" s="125"/>
      <c r="Q539" s="125"/>
      <c r="R539" s="125"/>
      <c r="S539" s="628">
        <f t="shared" si="3"/>
        <v>0</v>
      </c>
      <c r="T539" s="627" t="s">
        <v>51</v>
      </c>
      <c r="U539" s="627" t="s">
        <v>51</v>
      </c>
      <c r="V539" s="627" t="s">
        <v>51</v>
      </c>
      <c r="W539" s="627" t="s">
        <v>51</v>
      </c>
      <c r="X539" s="627" t="s">
        <v>51</v>
      </c>
      <c r="Y539" s="89"/>
    </row>
    <row r="540" ht="22.5" customHeight="1">
      <c r="A540" s="125"/>
      <c r="B540" s="125"/>
      <c r="C540" s="125"/>
      <c r="D540" s="125"/>
      <c r="E540" s="125"/>
      <c r="F540" s="125"/>
      <c r="G540" s="125"/>
      <c r="H540" s="125"/>
      <c r="I540" s="627" t="s">
        <v>51</v>
      </c>
      <c r="J540" s="125" t="s">
        <v>51</v>
      </c>
      <c r="K540" s="125" t="s">
        <v>51</v>
      </c>
      <c r="L540" s="125" t="s">
        <v>51</v>
      </c>
      <c r="M540" s="125" t="str">
        <f t="shared" si="1"/>
        <v/>
      </c>
      <c r="N540" s="125" t="str">
        <f t="shared" si="2"/>
        <v/>
      </c>
      <c r="O540" s="125"/>
      <c r="P540" s="125"/>
      <c r="Q540" s="125"/>
      <c r="R540" s="125"/>
      <c r="S540" s="628">
        <f t="shared" si="3"/>
        <v>0</v>
      </c>
      <c r="T540" s="627" t="s">
        <v>51</v>
      </c>
      <c r="U540" s="627" t="s">
        <v>51</v>
      </c>
      <c r="V540" s="627" t="s">
        <v>51</v>
      </c>
      <c r="W540" s="627" t="s">
        <v>51</v>
      </c>
      <c r="X540" s="627" t="s">
        <v>51</v>
      </c>
      <c r="Y540" s="89"/>
    </row>
    <row r="541" ht="22.5" customHeight="1">
      <c r="A541" s="125"/>
      <c r="B541" s="125"/>
      <c r="C541" s="125"/>
      <c r="D541" s="125"/>
      <c r="E541" s="125"/>
      <c r="F541" s="125"/>
      <c r="G541" s="125"/>
      <c r="H541" s="125"/>
      <c r="I541" s="627" t="s">
        <v>51</v>
      </c>
      <c r="J541" s="125" t="s">
        <v>51</v>
      </c>
      <c r="K541" s="125" t="s">
        <v>51</v>
      </c>
      <c r="L541" s="125" t="s">
        <v>51</v>
      </c>
      <c r="M541" s="125" t="str">
        <f t="shared" si="1"/>
        <v/>
      </c>
      <c r="N541" s="125" t="str">
        <f t="shared" si="2"/>
        <v/>
      </c>
      <c r="O541" s="125"/>
      <c r="P541" s="125"/>
      <c r="Q541" s="125"/>
      <c r="R541" s="125"/>
      <c r="S541" s="628">
        <f t="shared" si="3"/>
        <v>0</v>
      </c>
      <c r="T541" s="627" t="s">
        <v>51</v>
      </c>
      <c r="U541" s="627" t="s">
        <v>51</v>
      </c>
      <c r="V541" s="627" t="s">
        <v>51</v>
      </c>
      <c r="W541" s="627" t="s">
        <v>51</v>
      </c>
      <c r="X541" s="627" t="s">
        <v>51</v>
      </c>
      <c r="Y541" s="89"/>
    </row>
    <row r="542" ht="22.5" customHeight="1">
      <c r="A542" s="125"/>
      <c r="B542" s="125"/>
      <c r="C542" s="125"/>
      <c r="D542" s="125"/>
      <c r="E542" s="125"/>
      <c r="F542" s="125"/>
      <c r="G542" s="125"/>
      <c r="H542" s="125"/>
      <c r="I542" s="627" t="s">
        <v>51</v>
      </c>
      <c r="J542" s="125" t="s">
        <v>51</v>
      </c>
      <c r="K542" s="125" t="s">
        <v>51</v>
      </c>
      <c r="L542" s="125" t="s">
        <v>51</v>
      </c>
      <c r="M542" s="125" t="str">
        <f t="shared" si="1"/>
        <v/>
      </c>
      <c r="N542" s="125" t="str">
        <f t="shared" si="2"/>
        <v/>
      </c>
      <c r="O542" s="125"/>
      <c r="P542" s="125"/>
      <c r="Q542" s="125"/>
      <c r="R542" s="125"/>
      <c r="S542" s="628">
        <f t="shared" si="3"/>
        <v>0</v>
      </c>
      <c r="T542" s="627" t="s">
        <v>51</v>
      </c>
      <c r="U542" s="627" t="s">
        <v>51</v>
      </c>
      <c r="V542" s="627" t="s">
        <v>51</v>
      </c>
      <c r="W542" s="627" t="s">
        <v>51</v>
      </c>
      <c r="X542" s="627" t="s">
        <v>51</v>
      </c>
      <c r="Y542" s="89"/>
    </row>
    <row r="543" ht="22.5" customHeight="1">
      <c r="A543" s="125"/>
      <c r="B543" s="125"/>
      <c r="C543" s="125"/>
      <c r="D543" s="125"/>
      <c r="E543" s="125"/>
      <c r="F543" s="125"/>
      <c r="G543" s="125"/>
      <c r="H543" s="125"/>
      <c r="I543" s="627" t="s">
        <v>51</v>
      </c>
      <c r="J543" s="125" t="s">
        <v>51</v>
      </c>
      <c r="K543" s="125" t="s">
        <v>51</v>
      </c>
      <c r="L543" s="125" t="s">
        <v>51</v>
      </c>
      <c r="M543" s="125" t="str">
        <f t="shared" si="1"/>
        <v/>
      </c>
      <c r="N543" s="125" t="str">
        <f t="shared" si="2"/>
        <v/>
      </c>
      <c r="O543" s="125"/>
      <c r="P543" s="125"/>
      <c r="Q543" s="125"/>
      <c r="R543" s="125"/>
      <c r="S543" s="628">
        <f t="shared" si="3"/>
        <v>0</v>
      </c>
      <c r="T543" s="627" t="s">
        <v>51</v>
      </c>
      <c r="U543" s="627" t="s">
        <v>51</v>
      </c>
      <c r="V543" s="627" t="s">
        <v>51</v>
      </c>
      <c r="W543" s="627" t="s">
        <v>51</v>
      </c>
      <c r="X543" s="627" t="s">
        <v>51</v>
      </c>
      <c r="Y543" s="89"/>
    </row>
    <row r="544" ht="22.5" customHeight="1">
      <c r="A544" s="125"/>
      <c r="B544" s="125"/>
      <c r="C544" s="125"/>
      <c r="D544" s="125"/>
      <c r="E544" s="125"/>
      <c r="F544" s="125"/>
      <c r="G544" s="125"/>
      <c r="H544" s="125"/>
      <c r="I544" s="627" t="s">
        <v>51</v>
      </c>
      <c r="J544" s="125" t="s">
        <v>51</v>
      </c>
      <c r="K544" s="125" t="s">
        <v>51</v>
      </c>
      <c r="L544" s="125" t="s">
        <v>51</v>
      </c>
      <c r="M544" s="125" t="str">
        <f t="shared" si="1"/>
        <v/>
      </c>
      <c r="N544" s="125" t="str">
        <f t="shared" si="2"/>
        <v/>
      </c>
      <c r="O544" s="125"/>
      <c r="P544" s="125"/>
      <c r="Q544" s="125"/>
      <c r="R544" s="125"/>
      <c r="S544" s="628">
        <f t="shared" si="3"/>
        <v>0</v>
      </c>
      <c r="T544" s="627" t="s">
        <v>51</v>
      </c>
      <c r="U544" s="627" t="s">
        <v>51</v>
      </c>
      <c r="V544" s="627" t="s">
        <v>51</v>
      </c>
      <c r="W544" s="627" t="s">
        <v>51</v>
      </c>
      <c r="X544" s="627" t="s">
        <v>51</v>
      </c>
      <c r="Y544" s="89"/>
    </row>
    <row r="545" ht="22.5" customHeight="1">
      <c r="A545" s="125"/>
      <c r="B545" s="125"/>
      <c r="C545" s="125"/>
      <c r="D545" s="125"/>
      <c r="E545" s="125"/>
      <c r="F545" s="125"/>
      <c r="G545" s="125"/>
      <c r="H545" s="125"/>
      <c r="I545" s="627" t="s">
        <v>51</v>
      </c>
      <c r="J545" s="125" t="s">
        <v>51</v>
      </c>
      <c r="K545" s="125" t="s">
        <v>51</v>
      </c>
      <c r="L545" s="125" t="s">
        <v>51</v>
      </c>
      <c r="M545" s="125" t="str">
        <f t="shared" si="1"/>
        <v/>
      </c>
      <c r="N545" s="125" t="str">
        <f t="shared" si="2"/>
        <v/>
      </c>
      <c r="O545" s="125"/>
      <c r="P545" s="125"/>
      <c r="Q545" s="125"/>
      <c r="R545" s="125"/>
      <c r="S545" s="628">
        <f t="shared" si="3"/>
        <v>0</v>
      </c>
      <c r="T545" s="627" t="s">
        <v>51</v>
      </c>
      <c r="U545" s="627" t="s">
        <v>51</v>
      </c>
      <c r="V545" s="627" t="s">
        <v>51</v>
      </c>
      <c r="W545" s="627" t="s">
        <v>51</v>
      </c>
      <c r="X545" s="627" t="s">
        <v>51</v>
      </c>
      <c r="Y545" s="89"/>
    </row>
    <row r="546" ht="22.5" customHeight="1">
      <c r="A546" s="125"/>
      <c r="B546" s="125"/>
      <c r="C546" s="125"/>
      <c r="D546" s="125"/>
      <c r="E546" s="125"/>
      <c r="F546" s="125"/>
      <c r="G546" s="125"/>
      <c r="H546" s="125"/>
      <c r="I546" s="627" t="s">
        <v>51</v>
      </c>
      <c r="J546" s="125" t="s">
        <v>51</v>
      </c>
      <c r="K546" s="125" t="s">
        <v>51</v>
      </c>
      <c r="L546" s="125" t="s">
        <v>51</v>
      </c>
      <c r="M546" s="125" t="str">
        <f t="shared" si="1"/>
        <v/>
      </c>
      <c r="N546" s="125" t="str">
        <f t="shared" si="2"/>
        <v/>
      </c>
      <c r="O546" s="125"/>
      <c r="P546" s="125"/>
      <c r="Q546" s="125"/>
      <c r="R546" s="125"/>
      <c r="S546" s="628">
        <f t="shared" si="3"/>
        <v>0</v>
      </c>
      <c r="T546" s="627" t="s">
        <v>51</v>
      </c>
      <c r="U546" s="627" t="s">
        <v>51</v>
      </c>
      <c r="V546" s="627" t="s">
        <v>51</v>
      </c>
      <c r="W546" s="627" t="s">
        <v>51</v>
      </c>
      <c r="X546" s="627" t="s">
        <v>51</v>
      </c>
      <c r="Y546" s="89"/>
    </row>
    <row r="547" ht="22.5" customHeight="1">
      <c r="A547" s="125"/>
      <c r="B547" s="125"/>
      <c r="C547" s="125"/>
      <c r="D547" s="125"/>
      <c r="E547" s="125"/>
      <c r="F547" s="125"/>
      <c r="G547" s="125"/>
      <c r="H547" s="125"/>
      <c r="I547" s="627" t="s">
        <v>51</v>
      </c>
      <c r="J547" s="125" t="s">
        <v>51</v>
      </c>
      <c r="K547" s="125" t="s">
        <v>51</v>
      </c>
      <c r="L547" s="125" t="s">
        <v>51</v>
      </c>
      <c r="M547" s="125" t="str">
        <f t="shared" si="1"/>
        <v/>
      </c>
      <c r="N547" s="125" t="str">
        <f t="shared" si="2"/>
        <v/>
      </c>
      <c r="O547" s="125"/>
      <c r="P547" s="125"/>
      <c r="Q547" s="125"/>
      <c r="R547" s="125"/>
      <c r="S547" s="628">
        <f t="shared" si="3"/>
        <v>0</v>
      </c>
      <c r="T547" s="627" t="s">
        <v>51</v>
      </c>
      <c r="U547" s="627" t="s">
        <v>51</v>
      </c>
      <c r="V547" s="627" t="s">
        <v>51</v>
      </c>
      <c r="W547" s="627" t="s">
        <v>51</v>
      </c>
      <c r="X547" s="627" t="s">
        <v>51</v>
      </c>
      <c r="Y547" s="89"/>
    </row>
    <row r="548" ht="22.5" customHeight="1">
      <c r="A548" s="125"/>
      <c r="B548" s="125"/>
      <c r="C548" s="125"/>
      <c r="D548" s="125"/>
      <c r="E548" s="125"/>
      <c r="F548" s="125"/>
      <c r="G548" s="125"/>
      <c r="H548" s="125"/>
      <c r="I548" s="627" t="s">
        <v>51</v>
      </c>
      <c r="J548" s="125" t="s">
        <v>51</v>
      </c>
      <c r="K548" s="125" t="s">
        <v>51</v>
      </c>
      <c r="L548" s="125" t="s">
        <v>51</v>
      </c>
      <c r="M548" s="125" t="str">
        <f t="shared" si="1"/>
        <v/>
      </c>
      <c r="N548" s="125" t="str">
        <f t="shared" si="2"/>
        <v/>
      </c>
      <c r="O548" s="125"/>
      <c r="P548" s="125"/>
      <c r="Q548" s="125"/>
      <c r="R548" s="125"/>
      <c r="S548" s="628">
        <f t="shared" si="3"/>
        <v>0</v>
      </c>
      <c r="T548" s="627" t="s">
        <v>51</v>
      </c>
      <c r="U548" s="627" t="s">
        <v>51</v>
      </c>
      <c r="V548" s="627" t="s">
        <v>51</v>
      </c>
      <c r="W548" s="627" t="s">
        <v>51</v>
      </c>
      <c r="X548" s="627" t="s">
        <v>51</v>
      </c>
      <c r="Y548" s="89"/>
    </row>
    <row r="549" ht="22.5" customHeight="1">
      <c r="A549" s="125"/>
      <c r="B549" s="125"/>
      <c r="C549" s="125"/>
      <c r="D549" s="125"/>
      <c r="E549" s="125"/>
      <c r="F549" s="125"/>
      <c r="G549" s="125"/>
      <c r="H549" s="125"/>
      <c r="I549" s="627" t="s">
        <v>51</v>
      </c>
      <c r="J549" s="125" t="s">
        <v>51</v>
      </c>
      <c r="K549" s="125" t="s">
        <v>51</v>
      </c>
      <c r="L549" s="125" t="s">
        <v>51</v>
      </c>
      <c r="M549" s="125" t="str">
        <f t="shared" si="1"/>
        <v/>
      </c>
      <c r="N549" s="125" t="str">
        <f t="shared" si="2"/>
        <v/>
      </c>
      <c r="O549" s="125"/>
      <c r="P549" s="125"/>
      <c r="Q549" s="125"/>
      <c r="R549" s="125"/>
      <c r="S549" s="628">
        <f t="shared" si="3"/>
        <v>0</v>
      </c>
      <c r="T549" s="627" t="s">
        <v>51</v>
      </c>
      <c r="U549" s="627" t="s">
        <v>51</v>
      </c>
      <c r="V549" s="627" t="s">
        <v>51</v>
      </c>
      <c r="W549" s="627" t="s">
        <v>51</v>
      </c>
      <c r="X549" s="627" t="s">
        <v>51</v>
      </c>
      <c r="Y549" s="89"/>
    </row>
    <row r="550" ht="22.5" customHeight="1">
      <c r="A550" s="125"/>
      <c r="B550" s="125"/>
      <c r="C550" s="125"/>
      <c r="D550" s="125"/>
      <c r="E550" s="125"/>
      <c r="F550" s="125"/>
      <c r="G550" s="125"/>
      <c r="H550" s="125"/>
      <c r="I550" s="627" t="s">
        <v>51</v>
      </c>
      <c r="J550" s="125" t="s">
        <v>51</v>
      </c>
      <c r="K550" s="125" t="s">
        <v>51</v>
      </c>
      <c r="L550" s="125" t="s">
        <v>51</v>
      </c>
      <c r="M550" s="125" t="str">
        <f t="shared" si="1"/>
        <v/>
      </c>
      <c r="N550" s="125" t="str">
        <f t="shared" si="2"/>
        <v/>
      </c>
      <c r="O550" s="125"/>
      <c r="P550" s="125"/>
      <c r="Q550" s="125"/>
      <c r="R550" s="125"/>
      <c r="S550" s="628">
        <f t="shared" si="3"/>
        <v>0</v>
      </c>
      <c r="T550" s="627" t="s">
        <v>51</v>
      </c>
      <c r="U550" s="627" t="s">
        <v>51</v>
      </c>
      <c r="V550" s="627" t="s">
        <v>51</v>
      </c>
      <c r="W550" s="627" t="s">
        <v>51</v>
      </c>
      <c r="X550" s="627" t="s">
        <v>51</v>
      </c>
      <c r="Y550" s="89"/>
    </row>
    <row r="551" ht="22.5" customHeight="1">
      <c r="A551" s="125"/>
      <c r="B551" s="125"/>
      <c r="C551" s="125"/>
      <c r="D551" s="125"/>
      <c r="E551" s="125"/>
      <c r="F551" s="125"/>
      <c r="G551" s="125"/>
      <c r="H551" s="125"/>
      <c r="I551" s="627" t="s">
        <v>51</v>
      </c>
      <c r="J551" s="125" t="s">
        <v>51</v>
      </c>
      <c r="K551" s="125" t="s">
        <v>51</v>
      </c>
      <c r="L551" s="125" t="s">
        <v>51</v>
      </c>
      <c r="M551" s="125" t="str">
        <f t="shared" si="1"/>
        <v/>
      </c>
      <c r="N551" s="125" t="str">
        <f t="shared" si="2"/>
        <v/>
      </c>
      <c r="O551" s="125"/>
      <c r="P551" s="125"/>
      <c r="Q551" s="125"/>
      <c r="R551" s="125"/>
      <c r="S551" s="628">
        <f t="shared" si="3"/>
        <v>0</v>
      </c>
      <c r="T551" s="627" t="s">
        <v>51</v>
      </c>
      <c r="U551" s="627" t="s">
        <v>51</v>
      </c>
      <c r="V551" s="627" t="s">
        <v>51</v>
      </c>
      <c r="W551" s="627" t="s">
        <v>51</v>
      </c>
      <c r="X551" s="627" t="s">
        <v>51</v>
      </c>
      <c r="Y551" s="89"/>
    </row>
    <row r="552" ht="22.5" customHeight="1">
      <c r="A552" s="125"/>
      <c r="B552" s="125"/>
      <c r="C552" s="125"/>
      <c r="D552" s="125"/>
      <c r="E552" s="125"/>
      <c r="F552" s="125"/>
      <c r="G552" s="125"/>
      <c r="H552" s="125"/>
      <c r="I552" s="627" t="s">
        <v>51</v>
      </c>
      <c r="J552" s="125" t="s">
        <v>51</v>
      </c>
      <c r="K552" s="125" t="s">
        <v>51</v>
      </c>
      <c r="L552" s="125" t="s">
        <v>51</v>
      </c>
      <c r="M552" s="125" t="str">
        <f t="shared" si="1"/>
        <v/>
      </c>
      <c r="N552" s="125" t="str">
        <f t="shared" si="2"/>
        <v/>
      </c>
      <c r="O552" s="125"/>
      <c r="P552" s="125"/>
      <c r="Q552" s="125"/>
      <c r="R552" s="125"/>
      <c r="S552" s="628">
        <f t="shared" si="3"/>
        <v>0</v>
      </c>
      <c r="T552" s="627" t="s">
        <v>51</v>
      </c>
      <c r="U552" s="627" t="s">
        <v>51</v>
      </c>
      <c r="V552" s="627" t="s">
        <v>51</v>
      </c>
      <c r="W552" s="627" t="s">
        <v>51</v>
      </c>
      <c r="X552" s="627" t="s">
        <v>51</v>
      </c>
      <c r="Y552" s="89"/>
    </row>
    <row r="553" ht="22.5" customHeight="1">
      <c r="A553" s="125"/>
      <c r="B553" s="125"/>
      <c r="C553" s="125"/>
      <c r="D553" s="125"/>
      <c r="E553" s="125"/>
      <c r="F553" s="125"/>
      <c r="G553" s="125"/>
      <c r="H553" s="125"/>
      <c r="I553" s="627" t="s">
        <v>51</v>
      </c>
      <c r="J553" s="125" t="s">
        <v>51</v>
      </c>
      <c r="K553" s="125" t="s">
        <v>51</v>
      </c>
      <c r="L553" s="125" t="s">
        <v>51</v>
      </c>
      <c r="M553" s="125" t="str">
        <f t="shared" si="1"/>
        <v/>
      </c>
      <c r="N553" s="125" t="str">
        <f t="shared" si="2"/>
        <v/>
      </c>
      <c r="O553" s="125"/>
      <c r="P553" s="125"/>
      <c r="Q553" s="125"/>
      <c r="R553" s="125"/>
      <c r="S553" s="628">
        <f t="shared" si="3"/>
        <v>0</v>
      </c>
      <c r="T553" s="627" t="s">
        <v>51</v>
      </c>
      <c r="U553" s="627" t="s">
        <v>51</v>
      </c>
      <c r="V553" s="627" t="s">
        <v>51</v>
      </c>
      <c r="W553" s="627" t="s">
        <v>51</v>
      </c>
      <c r="X553" s="627" t="s">
        <v>51</v>
      </c>
      <c r="Y553" s="89"/>
    </row>
    <row r="554" ht="22.5" customHeight="1">
      <c r="A554" s="125"/>
      <c r="B554" s="125"/>
      <c r="C554" s="125"/>
      <c r="D554" s="125"/>
      <c r="E554" s="125"/>
      <c r="F554" s="125"/>
      <c r="G554" s="125"/>
      <c r="H554" s="125"/>
      <c r="I554" s="627" t="s">
        <v>51</v>
      </c>
      <c r="J554" s="125" t="s">
        <v>51</v>
      </c>
      <c r="K554" s="125" t="s">
        <v>51</v>
      </c>
      <c r="L554" s="125" t="s">
        <v>51</v>
      </c>
      <c r="M554" s="125" t="str">
        <f t="shared" si="1"/>
        <v/>
      </c>
      <c r="N554" s="125" t="str">
        <f t="shared" si="2"/>
        <v/>
      </c>
      <c r="O554" s="125"/>
      <c r="P554" s="125"/>
      <c r="Q554" s="125"/>
      <c r="R554" s="125"/>
      <c r="S554" s="628">
        <f t="shared" si="3"/>
        <v>0</v>
      </c>
      <c r="T554" s="627" t="s">
        <v>51</v>
      </c>
      <c r="U554" s="627" t="s">
        <v>51</v>
      </c>
      <c r="V554" s="627" t="s">
        <v>51</v>
      </c>
      <c r="W554" s="627" t="s">
        <v>51</v>
      </c>
      <c r="X554" s="627" t="s">
        <v>51</v>
      </c>
      <c r="Y554" s="89"/>
    </row>
    <row r="555" ht="22.5" customHeight="1">
      <c r="A555" s="125"/>
      <c r="B555" s="125"/>
      <c r="C555" s="125"/>
      <c r="D555" s="125"/>
      <c r="E555" s="125"/>
      <c r="F555" s="125"/>
      <c r="G555" s="125"/>
      <c r="H555" s="125"/>
      <c r="I555" s="627" t="s">
        <v>51</v>
      </c>
      <c r="J555" s="125" t="s">
        <v>51</v>
      </c>
      <c r="K555" s="125" t="s">
        <v>51</v>
      </c>
      <c r="L555" s="125" t="s">
        <v>51</v>
      </c>
      <c r="M555" s="125" t="str">
        <f t="shared" si="1"/>
        <v/>
      </c>
      <c r="N555" s="125" t="str">
        <f t="shared" si="2"/>
        <v/>
      </c>
      <c r="O555" s="125"/>
      <c r="P555" s="125"/>
      <c r="Q555" s="125"/>
      <c r="R555" s="125"/>
      <c r="S555" s="628">
        <f t="shared" si="3"/>
        <v>0</v>
      </c>
      <c r="T555" s="627" t="s">
        <v>51</v>
      </c>
      <c r="U555" s="627" t="s">
        <v>51</v>
      </c>
      <c r="V555" s="627" t="s">
        <v>51</v>
      </c>
      <c r="W555" s="627" t="s">
        <v>51</v>
      </c>
      <c r="X555" s="627" t="s">
        <v>51</v>
      </c>
      <c r="Y555" s="89"/>
    </row>
    <row r="556" ht="22.5" customHeight="1">
      <c r="A556" s="125"/>
      <c r="B556" s="125"/>
      <c r="C556" s="125"/>
      <c r="D556" s="125"/>
      <c r="E556" s="125"/>
      <c r="F556" s="125"/>
      <c r="G556" s="125"/>
      <c r="H556" s="125"/>
      <c r="I556" s="627" t="s">
        <v>51</v>
      </c>
      <c r="J556" s="125" t="s">
        <v>51</v>
      </c>
      <c r="K556" s="125" t="s">
        <v>51</v>
      </c>
      <c r="L556" s="125" t="s">
        <v>51</v>
      </c>
      <c r="M556" s="125" t="str">
        <f t="shared" si="1"/>
        <v/>
      </c>
      <c r="N556" s="125" t="str">
        <f t="shared" si="2"/>
        <v/>
      </c>
      <c r="O556" s="125"/>
      <c r="P556" s="125"/>
      <c r="Q556" s="125"/>
      <c r="R556" s="125"/>
      <c r="S556" s="628">
        <f t="shared" si="3"/>
        <v>0</v>
      </c>
      <c r="T556" s="627" t="s">
        <v>51</v>
      </c>
      <c r="U556" s="627" t="s">
        <v>51</v>
      </c>
      <c r="V556" s="627" t="s">
        <v>51</v>
      </c>
      <c r="W556" s="627" t="s">
        <v>51</v>
      </c>
      <c r="X556" s="627" t="s">
        <v>51</v>
      </c>
      <c r="Y556" s="89"/>
    </row>
    <row r="557" ht="22.5" customHeight="1">
      <c r="A557" s="125"/>
      <c r="B557" s="125"/>
      <c r="C557" s="125"/>
      <c r="D557" s="125"/>
      <c r="E557" s="125"/>
      <c r="F557" s="125"/>
      <c r="G557" s="125"/>
      <c r="H557" s="125"/>
      <c r="I557" s="627" t="s">
        <v>51</v>
      </c>
      <c r="J557" s="125" t="s">
        <v>51</v>
      </c>
      <c r="K557" s="125" t="s">
        <v>51</v>
      </c>
      <c r="L557" s="125" t="s">
        <v>51</v>
      </c>
      <c r="M557" s="125" t="str">
        <f t="shared" si="1"/>
        <v/>
      </c>
      <c r="N557" s="125" t="str">
        <f t="shared" si="2"/>
        <v/>
      </c>
      <c r="O557" s="125"/>
      <c r="P557" s="125"/>
      <c r="Q557" s="125"/>
      <c r="R557" s="125"/>
      <c r="S557" s="628">
        <f t="shared" si="3"/>
        <v>0</v>
      </c>
      <c r="T557" s="627" t="s">
        <v>51</v>
      </c>
      <c r="U557" s="627" t="s">
        <v>51</v>
      </c>
      <c r="V557" s="627" t="s">
        <v>51</v>
      </c>
      <c r="W557" s="627" t="s">
        <v>51</v>
      </c>
      <c r="X557" s="627" t="s">
        <v>51</v>
      </c>
      <c r="Y557" s="89"/>
    </row>
    <row r="558" ht="22.5" customHeight="1">
      <c r="A558" s="125"/>
      <c r="B558" s="125"/>
      <c r="C558" s="125"/>
      <c r="D558" s="125"/>
      <c r="E558" s="125"/>
      <c r="F558" s="125"/>
      <c r="G558" s="125"/>
      <c r="H558" s="125"/>
      <c r="I558" s="627" t="s">
        <v>51</v>
      </c>
      <c r="J558" s="125" t="s">
        <v>51</v>
      </c>
      <c r="K558" s="125" t="s">
        <v>51</v>
      </c>
      <c r="L558" s="125" t="s">
        <v>51</v>
      </c>
      <c r="M558" s="125" t="str">
        <f t="shared" si="1"/>
        <v/>
      </c>
      <c r="N558" s="125" t="str">
        <f t="shared" si="2"/>
        <v/>
      </c>
      <c r="O558" s="125"/>
      <c r="P558" s="125"/>
      <c r="Q558" s="125"/>
      <c r="R558" s="125"/>
      <c r="S558" s="628">
        <f t="shared" si="3"/>
        <v>0</v>
      </c>
      <c r="T558" s="627" t="s">
        <v>51</v>
      </c>
      <c r="U558" s="627" t="s">
        <v>51</v>
      </c>
      <c r="V558" s="627" t="s">
        <v>51</v>
      </c>
      <c r="W558" s="627" t="s">
        <v>51</v>
      </c>
      <c r="X558" s="627" t="s">
        <v>51</v>
      </c>
      <c r="Y558" s="89"/>
    </row>
    <row r="559" ht="22.5" customHeight="1">
      <c r="A559" s="125"/>
      <c r="B559" s="125"/>
      <c r="C559" s="125"/>
      <c r="D559" s="125"/>
      <c r="E559" s="125"/>
      <c r="F559" s="125"/>
      <c r="G559" s="125"/>
      <c r="H559" s="125"/>
      <c r="I559" s="627" t="s">
        <v>51</v>
      </c>
      <c r="J559" s="125" t="s">
        <v>51</v>
      </c>
      <c r="K559" s="125" t="s">
        <v>51</v>
      </c>
      <c r="L559" s="125" t="s">
        <v>51</v>
      </c>
      <c r="M559" s="125" t="str">
        <f t="shared" si="1"/>
        <v/>
      </c>
      <c r="N559" s="125" t="str">
        <f t="shared" si="2"/>
        <v/>
      </c>
      <c r="O559" s="125"/>
      <c r="P559" s="125"/>
      <c r="Q559" s="125"/>
      <c r="R559" s="125"/>
      <c r="S559" s="628">
        <f t="shared" si="3"/>
        <v>0</v>
      </c>
      <c r="T559" s="627" t="s">
        <v>51</v>
      </c>
      <c r="U559" s="627" t="s">
        <v>51</v>
      </c>
      <c r="V559" s="627" t="s">
        <v>51</v>
      </c>
      <c r="W559" s="627" t="s">
        <v>51</v>
      </c>
      <c r="X559" s="627" t="s">
        <v>51</v>
      </c>
      <c r="Y559" s="89"/>
    </row>
    <row r="560" ht="22.5" customHeight="1">
      <c r="A560" s="125"/>
      <c r="B560" s="125"/>
      <c r="C560" s="125"/>
      <c r="D560" s="125"/>
      <c r="E560" s="125"/>
      <c r="F560" s="125"/>
      <c r="G560" s="125"/>
      <c r="H560" s="125"/>
      <c r="I560" s="627" t="s">
        <v>51</v>
      </c>
      <c r="J560" s="125" t="s">
        <v>51</v>
      </c>
      <c r="K560" s="125" t="s">
        <v>51</v>
      </c>
      <c r="L560" s="125" t="s">
        <v>51</v>
      </c>
      <c r="M560" s="125" t="str">
        <f t="shared" si="1"/>
        <v/>
      </c>
      <c r="N560" s="125" t="str">
        <f t="shared" si="2"/>
        <v/>
      </c>
      <c r="O560" s="125"/>
      <c r="P560" s="125"/>
      <c r="Q560" s="125"/>
      <c r="R560" s="125"/>
      <c r="S560" s="628">
        <f t="shared" si="3"/>
        <v>0</v>
      </c>
      <c r="T560" s="627" t="s">
        <v>51</v>
      </c>
      <c r="U560" s="627" t="s">
        <v>51</v>
      </c>
      <c r="V560" s="627" t="s">
        <v>51</v>
      </c>
      <c r="W560" s="627" t="s">
        <v>51</v>
      </c>
      <c r="X560" s="627" t="s">
        <v>51</v>
      </c>
      <c r="Y560" s="89"/>
    </row>
    <row r="561" ht="22.5" customHeight="1">
      <c r="A561" s="125"/>
      <c r="B561" s="125"/>
      <c r="C561" s="125"/>
      <c r="D561" s="125"/>
      <c r="E561" s="125"/>
      <c r="F561" s="125"/>
      <c r="G561" s="125"/>
      <c r="H561" s="125"/>
      <c r="I561" s="627" t="s">
        <v>51</v>
      </c>
      <c r="J561" s="125" t="s">
        <v>51</v>
      </c>
      <c r="K561" s="125" t="s">
        <v>51</v>
      </c>
      <c r="L561" s="125" t="s">
        <v>51</v>
      </c>
      <c r="M561" s="125" t="str">
        <f t="shared" si="1"/>
        <v/>
      </c>
      <c r="N561" s="125" t="str">
        <f t="shared" si="2"/>
        <v/>
      </c>
      <c r="O561" s="125"/>
      <c r="P561" s="125"/>
      <c r="Q561" s="125"/>
      <c r="R561" s="125"/>
      <c r="S561" s="628">
        <f t="shared" si="3"/>
        <v>0</v>
      </c>
      <c r="T561" s="627" t="s">
        <v>51</v>
      </c>
      <c r="U561" s="627" t="s">
        <v>51</v>
      </c>
      <c r="V561" s="627" t="s">
        <v>51</v>
      </c>
      <c r="W561" s="627" t="s">
        <v>51</v>
      </c>
      <c r="X561" s="627" t="s">
        <v>51</v>
      </c>
      <c r="Y561" s="89"/>
    </row>
    <row r="562" ht="22.5" customHeight="1">
      <c r="A562" s="125"/>
      <c r="B562" s="125"/>
      <c r="C562" s="125"/>
      <c r="D562" s="125"/>
      <c r="E562" s="125"/>
      <c r="F562" s="125"/>
      <c r="G562" s="125"/>
      <c r="H562" s="125"/>
      <c r="I562" s="627" t="s">
        <v>51</v>
      </c>
      <c r="J562" s="125" t="s">
        <v>51</v>
      </c>
      <c r="K562" s="125" t="s">
        <v>51</v>
      </c>
      <c r="L562" s="125" t="s">
        <v>51</v>
      </c>
      <c r="M562" s="125" t="str">
        <f t="shared" si="1"/>
        <v/>
      </c>
      <c r="N562" s="125" t="str">
        <f t="shared" si="2"/>
        <v/>
      </c>
      <c r="O562" s="125"/>
      <c r="P562" s="125"/>
      <c r="Q562" s="125"/>
      <c r="R562" s="125"/>
      <c r="S562" s="628">
        <f t="shared" si="3"/>
        <v>0</v>
      </c>
      <c r="T562" s="627" t="s">
        <v>51</v>
      </c>
      <c r="U562" s="627" t="s">
        <v>51</v>
      </c>
      <c r="V562" s="627" t="s">
        <v>51</v>
      </c>
      <c r="W562" s="627" t="s">
        <v>51</v>
      </c>
      <c r="X562" s="627" t="s">
        <v>51</v>
      </c>
      <c r="Y562" s="89"/>
    </row>
    <row r="563" ht="22.5" customHeight="1">
      <c r="A563" s="125"/>
      <c r="B563" s="125"/>
      <c r="C563" s="125"/>
      <c r="D563" s="125"/>
      <c r="E563" s="125"/>
      <c r="F563" s="125"/>
      <c r="G563" s="125"/>
      <c r="H563" s="125"/>
      <c r="I563" s="627" t="s">
        <v>51</v>
      </c>
      <c r="J563" s="125" t="s">
        <v>51</v>
      </c>
      <c r="K563" s="125" t="s">
        <v>51</v>
      </c>
      <c r="L563" s="125" t="s">
        <v>51</v>
      </c>
      <c r="M563" s="125" t="str">
        <f t="shared" si="1"/>
        <v/>
      </c>
      <c r="N563" s="125" t="str">
        <f t="shared" si="2"/>
        <v/>
      </c>
      <c r="O563" s="125"/>
      <c r="P563" s="125"/>
      <c r="Q563" s="125"/>
      <c r="R563" s="125"/>
      <c r="S563" s="628">
        <f t="shared" si="3"/>
        <v>0</v>
      </c>
      <c r="T563" s="627" t="s">
        <v>51</v>
      </c>
      <c r="U563" s="627" t="s">
        <v>51</v>
      </c>
      <c r="V563" s="627" t="s">
        <v>51</v>
      </c>
      <c r="W563" s="627" t="s">
        <v>51</v>
      </c>
      <c r="X563" s="627" t="s">
        <v>51</v>
      </c>
      <c r="Y563" s="89"/>
    </row>
    <row r="564" ht="22.5" customHeight="1">
      <c r="A564" s="125"/>
      <c r="B564" s="125"/>
      <c r="C564" s="125"/>
      <c r="D564" s="125"/>
      <c r="E564" s="125"/>
      <c r="F564" s="125"/>
      <c r="G564" s="125"/>
      <c r="H564" s="125"/>
      <c r="I564" s="627" t="s">
        <v>51</v>
      </c>
      <c r="J564" s="125" t="s">
        <v>51</v>
      </c>
      <c r="K564" s="125" t="s">
        <v>51</v>
      </c>
      <c r="L564" s="125" t="s">
        <v>51</v>
      </c>
      <c r="M564" s="125" t="str">
        <f t="shared" si="1"/>
        <v/>
      </c>
      <c r="N564" s="125" t="str">
        <f t="shared" si="2"/>
        <v/>
      </c>
      <c r="O564" s="125"/>
      <c r="P564" s="125"/>
      <c r="Q564" s="125"/>
      <c r="R564" s="125"/>
      <c r="S564" s="628">
        <f t="shared" si="3"/>
        <v>0</v>
      </c>
      <c r="T564" s="627" t="s">
        <v>51</v>
      </c>
      <c r="U564" s="627" t="s">
        <v>51</v>
      </c>
      <c r="V564" s="627" t="s">
        <v>51</v>
      </c>
      <c r="W564" s="627" t="s">
        <v>51</v>
      </c>
      <c r="X564" s="627" t="s">
        <v>51</v>
      </c>
      <c r="Y564" s="89"/>
    </row>
    <row r="565" ht="22.5" customHeight="1">
      <c r="A565" s="125"/>
      <c r="B565" s="125"/>
      <c r="C565" s="125"/>
      <c r="D565" s="125"/>
      <c r="E565" s="125"/>
      <c r="F565" s="125"/>
      <c r="G565" s="125"/>
      <c r="H565" s="125"/>
      <c r="I565" s="627" t="s">
        <v>51</v>
      </c>
      <c r="J565" s="125" t="s">
        <v>51</v>
      </c>
      <c r="K565" s="125" t="s">
        <v>51</v>
      </c>
      <c r="L565" s="125" t="s">
        <v>51</v>
      </c>
      <c r="M565" s="125" t="str">
        <f t="shared" si="1"/>
        <v/>
      </c>
      <c r="N565" s="125" t="str">
        <f t="shared" si="2"/>
        <v/>
      </c>
      <c r="O565" s="125"/>
      <c r="P565" s="125"/>
      <c r="Q565" s="125"/>
      <c r="R565" s="125"/>
      <c r="S565" s="628">
        <f t="shared" si="3"/>
        <v>0</v>
      </c>
      <c r="T565" s="627" t="s">
        <v>51</v>
      </c>
      <c r="U565" s="627" t="s">
        <v>51</v>
      </c>
      <c r="V565" s="627" t="s">
        <v>51</v>
      </c>
      <c r="W565" s="627" t="s">
        <v>51</v>
      </c>
      <c r="X565" s="627" t="s">
        <v>51</v>
      </c>
      <c r="Y565" s="89"/>
    </row>
    <row r="566" ht="22.5" customHeight="1">
      <c r="A566" s="125"/>
      <c r="B566" s="125"/>
      <c r="C566" s="125"/>
      <c r="D566" s="125"/>
      <c r="E566" s="125"/>
      <c r="F566" s="125"/>
      <c r="G566" s="125"/>
      <c r="H566" s="125"/>
      <c r="I566" s="627" t="s">
        <v>51</v>
      </c>
      <c r="J566" s="125" t="s">
        <v>51</v>
      </c>
      <c r="K566" s="125" t="s">
        <v>51</v>
      </c>
      <c r="L566" s="125" t="s">
        <v>51</v>
      </c>
      <c r="M566" s="125" t="str">
        <f t="shared" si="1"/>
        <v/>
      </c>
      <c r="N566" s="125" t="str">
        <f t="shared" si="2"/>
        <v/>
      </c>
      <c r="O566" s="125"/>
      <c r="P566" s="125"/>
      <c r="Q566" s="125"/>
      <c r="R566" s="125"/>
      <c r="S566" s="628">
        <f t="shared" si="3"/>
        <v>0</v>
      </c>
      <c r="T566" s="627" t="s">
        <v>51</v>
      </c>
      <c r="U566" s="627" t="s">
        <v>51</v>
      </c>
      <c r="V566" s="627" t="s">
        <v>51</v>
      </c>
      <c r="W566" s="627" t="s">
        <v>51</v>
      </c>
      <c r="X566" s="627" t="s">
        <v>51</v>
      </c>
      <c r="Y566" s="89"/>
    </row>
    <row r="567" ht="22.5" customHeight="1">
      <c r="A567" s="125"/>
      <c r="B567" s="125"/>
      <c r="C567" s="125"/>
      <c r="D567" s="125"/>
      <c r="E567" s="125"/>
      <c r="F567" s="125"/>
      <c r="G567" s="125"/>
      <c r="H567" s="125"/>
      <c r="I567" s="627" t="s">
        <v>51</v>
      </c>
      <c r="J567" s="125" t="s">
        <v>51</v>
      </c>
      <c r="K567" s="125" t="s">
        <v>51</v>
      </c>
      <c r="L567" s="125" t="s">
        <v>51</v>
      </c>
      <c r="M567" s="125" t="str">
        <f t="shared" si="1"/>
        <v/>
      </c>
      <c r="N567" s="125" t="str">
        <f t="shared" si="2"/>
        <v/>
      </c>
      <c r="O567" s="125"/>
      <c r="P567" s="125"/>
      <c r="Q567" s="125"/>
      <c r="R567" s="125"/>
      <c r="S567" s="628">
        <f t="shared" si="3"/>
        <v>0</v>
      </c>
      <c r="T567" s="627" t="s">
        <v>51</v>
      </c>
      <c r="U567" s="627" t="s">
        <v>51</v>
      </c>
      <c r="V567" s="627" t="s">
        <v>51</v>
      </c>
      <c r="W567" s="627" t="s">
        <v>51</v>
      </c>
      <c r="X567" s="627" t="s">
        <v>51</v>
      </c>
      <c r="Y567" s="89"/>
    </row>
    <row r="568" ht="22.5" customHeight="1">
      <c r="A568" s="125"/>
      <c r="B568" s="125"/>
      <c r="C568" s="125"/>
      <c r="D568" s="125"/>
      <c r="E568" s="125"/>
      <c r="F568" s="125"/>
      <c r="G568" s="125"/>
      <c r="H568" s="125"/>
      <c r="I568" s="627" t="s">
        <v>51</v>
      </c>
      <c r="J568" s="125" t="s">
        <v>51</v>
      </c>
      <c r="K568" s="125" t="s">
        <v>51</v>
      </c>
      <c r="L568" s="125" t="s">
        <v>51</v>
      </c>
      <c r="M568" s="125" t="str">
        <f t="shared" si="1"/>
        <v/>
      </c>
      <c r="N568" s="125" t="str">
        <f t="shared" si="2"/>
        <v/>
      </c>
      <c r="O568" s="125"/>
      <c r="P568" s="125"/>
      <c r="Q568" s="125"/>
      <c r="R568" s="125"/>
      <c r="S568" s="628">
        <f t="shared" si="3"/>
        <v>0</v>
      </c>
      <c r="T568" s="627" t="s">
        <v>51</v>
      </c>
      <c r="U568" s="627" t="s">
        <v>51</v>
      </c>
      <c r="V568" s="627" t="s">
        <v>51</v>
      </c>
      <c r="W568" s="627" t="s">
        <v>51</v>
      </c>
      <c r="X568" s="627" t="s">
        <v>51</v>
      </c>
      <c r="Y568" s="89"/>
    </row>
    <row r="569" ht="22.5" customHeight="1">
      <c r="A569" s="125"/>
      <c r="B569" s="125"/>
      <c r="C569" s="125"/>
      <c r="D569" s="125"/>
      <c r="E569" s="125"/>
      <c r="F569" s="125"/>
      <c r="G569" s="125"/>
      <c r="H569" s="125"/>
      <c r="I569" s="627" t="s">
        <v>51</v>
      </c>
      <c r="J569" s="125" t="s">
        <v>51</v>
      </c>
      <c r="K569" s="125" t="s">
        <v>51</v>
      </c>
      <c r="L569" s="125" t="s">
        <v>51</v>
      </c>
      <c r="M569" s="125" t="str">
        <f t="shared" si="1"/>
        <v/>
      </c>
      <c r="N569" s="125" t="str">
        <f t="shared" si="2"/>
        <v/>
      </c>
      <c r="O569" s="125"/>
      <c r="P569" s="125"/>
      <c r="Q569" s="125"/>
      <c r="R569" s="125"/>
      <c r="S569" s="628">
        <f t="shared" si="3"/>
        <v>0</v>
      </c>
      <c r="T569" s="627" t="s">
        <v>51</v>
      </c>
      <c r="U569" s="627" t="s">
        <v>51</v>
      </c>
      <c r="V569" s="627" t="s">
        <v>51</v>
      </c>
      <c r="W569" s="627" t="s">
        <v>51</v>
      </c>
      <c r="X569" s="627" t="s">
        <v>51</v>
      </c>
      <c r="Y569" s="89"/>
    </row>
    <row r="570" ht="22.5" customHeight="1">
      <c r="A570" s="125"/>
      <c r="B570" s="125"/>
      <c r="C570" s="125"/>
      <c r="D570" s="125"/>
      <c r="E570" s="125"/>
      <c r="F570" s="125"/>
      <c r="G570" s="125"/>
      <c r="H570" s="125"/>
      <c r="I570" s="627" t="s">
        <v>51</v>
      </c>
      <c r="J570" s="125" t="s">
        <v>51</v>
      </c>
      <c r="K570" s="125" t="s">
        <v>51</v>
      </c>
      <c r="L570" s="125" t="s">
        <v>51</v>
      </c>
      <c r="M570" s="125" t="str">
        <f t="shared" si="1"/>
        <v/>
      </c>
      <c r="N570" s="125" t="str">
        <f t="shared" si="2"/>
        <v/>
      </c>
      <c r="O570" s="125"/>
      <c r="P570" s="125"/>
      <c r="Q570" s="125"/>
      <c r="R570" s="125"/>
      <c r="S570" s="628">
        <f t="shared" si="3"/>
        <v>0</v>
      </c>
      <c r="T570" s="627" t="s">
        <v>51</v>
      </c>
      <c r="U570" s="627" t="s">
        <v>51</v>
      </c>
      <c r="V570" s="627" t="s">
        <v>51</v>
      </c>
      <c r="W570" s="627" t="s">
        <v>51</v>
      </c>
      <c r="X570" s="627" t="s">
        <v>51</v>
      </c>
      <c r="Y570" s="89"/>
    </row>
    <row r="571" ht="22.5" customHeight="1">
      <c r="A571" s="125"/>
      <c r="B571" s="125"/>
      <c r="C571" s="125"/>
      <c r="D571" s="125"/>
      <c r="E571" s="125"/>
      <c r="F571" s="125"/>
      <c r="G571" s="125"/>
      <c r="H571" s="125"/>
      <c r="I571" s="627" t="s">
        <v>51</v>
      </c>
      <c r="J571" s="125" t="s">
        <v>51</v>
      </c>
      <c r="K571" s="125" t="s">
        <v>51</v>
      </c>
      <c r="L571" s="125" t="s">
        <v>51</v>
      </c>
      <c r="M571" s="125" t="str">
        <f t="shared" si="1"/>
        <v/>
      </c>
      <c r="N571" s="125" t="str">
        <f t="shared" si="2"/>
        <v/>
      </c>
      <c r="O571" s="125"/>
      <c r="P571" s="125"/>
      <c r="Q571" s="125"/>
      <c r="R571" s="125"/>
      <c r="S571" s="628">
        <f t="shared" si="3"/>
        <v>0</v>
      </c>
      <c r="T571" s="627" t="s">
        <v>51</v>
      </c>
      <c r="U571" s="627" t="s">
        <v>51</v>
      </c>
      <c r="V571" s="627" t="s">
        <v>51</v>
      </c>
      <c r="W571" s="627" t="s">
        <v>51</v>
      </c>
      <c r="X571" s="627" t="s">
        <v>51</v>
      </c>
      <c r="Y571" s="89"/>
    </row>
    <row r="572" ht="22.5" customHeight="1">
      <c r="A572" s="125"/>
      <c r="B572" s="125"/>
      <c r="C572" s="125"/>
      <c r="D572" s="125"/>
      <c r="E572" s="125"/>
      <c r="F572" s="125"/>
      <c r="G572" s="125"/>
      <c r="H572" s="125"/>
      <c r="I572" s="627" t="s">
        <v>51</v>
      </c>
      <c r="J572" s="125" t="s">
        <v>51</v>
      </c>
      <c r="K572" s="125" t="s">
        <v>51</v>
      </c>
      <c r="L572" s="125" t="s">
        <v>51</v>
      </c>
      <c r="M572" s="125" t="str">
        <f t="shared" si="1"/>
        <v/>
      </c>
      <c r="N572" s="125" t="str">
        <f t="shared" si="2"/>
        <v/>
      </c>
      <c r="O572" s="125"/>
      <c r="P572" s="125"/>
      <c r="Q572" s="125"/>
      <c r="R572" s="125"/>
      <c r="S572" s="628">
        <f t="shared" si="3"/>
        <v>0</v>
      </c>
      <c r="T572" s="627" t="s">
        <v>51</v>
      </c>
      <c r="U572" s="627" t="s">
        <v>51</v>
      </c>
      <c r="V572" s="627" t="s">
        <v>51</v>
      </c>
      <c r="W572" s="627" t="s">
        <v>51</v>
      </c>
      <c r="X572" s="627" t="s">
        <v>51</v>
      </c>
      <c r="Y572" s="89"/>
    </row>
    <row r="573" ht="22.5" customHeight="1">
      <c r="A573" s="125"/>
      <c r="B573" s="125"/>
      <c r="C573" s="125"/>
      <c r="D573" s="125"/>
      <c r="E573" s="125"/>
      <c r="F573" s="125"/>
      <c r="G573" s="125"/>
      <c r="H573" s="125"/>
      <c r="I573" s="627" t="s">
        <v>51</v>
      </c>
      <c r="J573" s="125" t="s">
        <v>51</v>
      </c>
      <c r="K573" s="125" t="s">
        <v>51</v>
      </c>
      <c r="L573" s="125" t="s">
        <v>51</v>
      </c>
      <c r="M573" s="125" t="str">
        <f t="shared" si="1"/>
        <v/>
      </c>
      <c r="N573" s="125" t="str">
        <f t="shared" si="2"/>
        <v/>
      </c>
      <c r="O573" s="125"/>
      <c r="P573" s="125"/>
      <c r="Q573" s="125"/>
      <c r="R573" s="125"/>
      <c r="S573" s="628">
        <f t="shared" si="3"/>
        <v>0</v>
      </c>
      <c r="T573" s="627" t="s">
        <v>51</v>
      </c>
      <c r="U573" s="627" t="s">
        <v>51</v>
      </c>
      <c r="V573" s="627" t="s">
        <v>51</v>
      </c>
      <c r="W573" s="627" t="s">
        <v>51</v>
      </c>
      <c r="X573" s="627" t="s">
        <v>51</v>
      </c>
      <c r="Y573" s="89"/>
    </row>
    <row r="574" ht="22.5" customHeight="1">
      <c r="A574" s="125"/>
      <c r="B574" s="125"/>
      <c r="C574" s="125"/>
      <c r="D574" s="125"/>
      <c r="E574" s="125"/>
      <c r="F574" s="125"/>
      <c r="G574" s="125"/>
      <c r="H574" s="125"/>
      <c r="I574" s="627" t="s">
        <v>51</v>
      </c>
      <c r="J574" s="125" t="s">
        <v>51</v>
      </c>
      <c r="K574" s="125" t="s">
        <v>51</v>
      </c>
      <c r="L574" s="125" t="s">
        <v>51</v>
      </c>
      <c r="M574" s="125" t="str">
        <f t="shared" si="1"/>
        <v/>
      </c>
      <c r="N574" s="125" t="str">
        <f t="shared" si="2"/>
        <v/>
      </c>
      <c r="O574" s="125"/>
      <c r="P574" s="125"/>
      <c r="Q574" s="125"/>
      <c r="R574" s="125"/>
      <c r="S574" s="628">
        <f t="shared" si="3"/>
        <v>0</v>
      </c>
      <c r="T574" s="627" t="s">
        <v>51</v>
      </c>
      <c r="U574" s="627" t="s">
        <v>51</v>
      </c>
      <c r="V574" s="627" t="s">
        <v>51</v>
      </c>
      <c r="W574" s="627" t="s">
        <v>51</v>
      </c>
      <c r="X574" s="627" t="s">
        <v>51</v>
      </c>
      <c r="Y574" s="89"/>
    </row>
    <row r="575" ht="22.5" customHeight="1">
      <c r="A575" s="125"/>
      <c r="B575" s="125"/>
      <c r="C575" s="125"/>
      <c r="D575" s="125"/>
      <c r="E575" s="125"/>
      <c r="F575" s="125"/>
      <c r="G575" s="125"/>
      <c r="H575" s="125"/>
      <c r="I575" s="627" t="s">
        <v>51</v>
      </c>
      <c r="J575" s="125" t="s">
        <v>51</v>
      </c>
      <c r="K575" s="125" t="s">
        <v>51</v>
      </c>
      <c r="L575" s="125" t="s">
        <v>51</v>
      </c>
      <c r="M575" s="125" t="str">
        <f t="shared" si="1"/>
        <v/>
      </c>
      <c r="N575" s="125" t="str">
        <f t="shared" si="2"/>
        <v/>
      </c>
      <c r="O575" s="125"/>
      <c r="P575" s="125"/>
      <c r="Q575" s="125"/>
      <c r="R575" s="125"/>
      <c r="S575" s="628">
        <f t="shared" si="3"/>
        <v>0</v>
      </c>
      <c r="T575" s="627" t="s">
        <v>51</v>
      </c>
      <c r="U575" s="627" t="s">
        <v>51</v>
      </c>
      <c r="V575" s="627" t="s">
        <v>51</v>
      </c>
      <c r="W575" s="627" t="s">
        <v>51</v>
      </c>
      <c r="X575" s="627" t="s">
        <v>51</v>
      </c>
      <c r="Y575" s="89"/>
    </row>
    <row r="576" ht="22.5" customHeight="1">
      <c r="A576" s="125"/>
      <c r="B576" s="125"/>
      <c r="C576" s="125"/>
      <c r="D576" s="125"/>
      <c r="E576" s="125"/>
      <c r="F576" s="125"/>
      <c r="G576" s="125"/>
      <c r="H576" s="125"/>
      <c r="I576" s="627" t="s">
        <v>51</v>
      </c>
      <c r="J576" s="125" t="s">
        <v>51</v>
      </c>
      <c r="K576" s="125" t="s">
        <v>51</v>
      </c>
      <c r="L576" s="125" t="s">
        <v>51</v>
      </c>
      <c r="M576" s="125" t="str">
        <f t="shared" si="1"/>
        <v/>
      </c>
      <c r="N576" s="125" t="str">
        <f t="shared" si="2"/>
        <v/>
      </c>
      <c r="O576" s="125"/>
      <c r="P576" s="125"/>
      <c r="Q576" s="125"/>
      <c r="R576" s="125"/>
      <c r="S576" s="628">
        <f t="shared" si="3"/>
        <v>0</v>
      </c>
      <c r="T576" s="627" t="s">
        <v>51</v>
      </c>
      <c r="U576" s="627" t="s">
        <v>51</v>
      </c>
      <c r="V576" s="627" t="s">
        <v>51</v>
      </c>
      <c r="W576" s="627" t="s">
        <v>51</v>
      </c>
      <c r="X576" s="627" t="s">
        <v>51</v>
      </c>
      <c r="Y576" s="89"/>
    </row>
    <row r="577" ht="22.5" customHeight="1">
      <c r="A577" s="125"/>
      <c r="B577" s="125"/>
      <c r="C577" s="125"/>
      <c r="D577" s="125"/>
      <c r="E577" s="125"/>
      <c r="F577" s="125"/>
      <c r="G577" s="125"/>
      <c r="H577" s="125"/>
      <c r="I577" s="627" t="s">
        <v>51</v>
      </c>
      <c r="J577" s="125" t="s">
        <v>51</v>
      </c>
      <c r="K577" s="125" t="s">
        <v>51</v>
      </c>
      <c r="L577" s="125" t="s">
        <v>51</v>
      </c>
      <c r="M577" s="125" t="str">
        <f t="shared" si="1"/>
        <v/>
      </c>
      <c r="N577" s="125" t="str">
        <f t="shared" si="2"/>
        <v/>
      </c>
      <c r="O577" s="125"/>
      <c r="P577" s="125"/>
      <c r="Q577" s="125"/>
      <c r="R577" s="125"/>
      <c r="S577" s="628">
        <f t="shared" si="3"/>
        <v>0</v>
      </c>
      <c r="T577" s="627" t="s">
        <v>51</v>
      </c>
      <c r="U577" s="627" t="s">
        <v>51</v>
      </c>
      <c r="V577" s="627" t="s">
        <v>51</v>
      </c>
      <c r="W577" s="627" t="s">
        <v>51</v>
      </c>
      <c r="X577" s="627" t="s">
        <v>51</v>
      </c>
      <c r="Y577" s="89"/>
    </row>
    <row r="578" ht="22.5" customHeight="1">
      <c r="A578" s="125"/>
      <c r="B578" s="125"/>
      <c r="C578" s="125"/>
      <c r="D578" s="125"/>
      <c r="E578" s="125"/>
      <c r="F578" s="125"/>
      <c r="G578" s="125"/>
      <c r="H578" s="125"/>
      <c r="I578" s="627" t="s">
        <v>51</v>
      </c>
      <c r="J578" s="125" t="s">
        <v>51</v>
      </c>
      <c r="K578" s="125" t="s">
        <v>51</v>
      </c>
      <c r="L578" s="125" t="s">
        <v>51</v>
      </c>
      <c r="M578" s="125" t="str">
        <f t="shared" si="1"/>
        <v/>
      </c>
      <c r="N578" s="125" t="str">
        <f t="shared" si="2"/>
        <v/>
      </c>
      <c r="O578" s="125"/>
      <c r="P578" s="125"/>
      <c r="Q578" s="125"/>
      <c r="R578" s="125"/>
      <c r="S578" s="628">
        <f t="shared" si="3"/>
        <v>0</v>
      </c>
      <c r="T578" s="627" t="s">
        <v>51</v>
      </c>
      <c r="U578" s="627" t="s">
        <v>51</v>
      </c>
      <c r="V578" s="627" t="s">
        <v>51</v>
      </c>
      <c r="W578" s="627" t="s">
        <v>51</v>
      </c>
      <c r="X578" s="627" t="s">
        <v>51</v>
      </c>
      <c r="Y578" s="89"/>
    </row>
    <row r="579" ht="22.5" customHeight="1">
      <c r="A579" s="125"/>
      <c r="B579" s="125"/>
      <c r="C579" s="125"/>
      <c r="D579" s="125"/>
      <c r="E579" s="125"/>
      <c r="F579" s="125"/>
      <c r="G579" s="125"/>
      <c r="H579" s="125"/>
      <c r="I579" s="627" t="s">
        <v>51</v>
      </c>
      <c r="J579" s="125" t="s">
        <v>51</v>
      </c>
      <c r="K579" s="125" t="s">
        <v>51</v>
      </c>
      <c r="L579" s="125" t="s">
        <v>51</v>
      </c>
      <c r="M579" s="125" t="str">
        <f t="shared" si="1"/>
        <v/>
      </c>
      <c r="N579" s="125" t="str">
        <f t="shared" si="2"/>
        <v/>
      </c>
      <c r="O579" s="125"/>
      <c r="P579" s="125"/>
      <c r="Q579" s="125"/>
      <c r="R579" s="125"/>
      <c r="S579" s="628">
        <f t="shared" si="3"/>
        <v>0</v>
      </c>
      <c r="T579" s="627" t="s">
        <v>51</v>
      </c>
      <c r="U579" s="627" t="s">
        <v>51</v>
      </c>
      <c r="V579" s="627" t="s">
        <v>51</v>
      </c>
      <c r="W579" s="627" t="s">
        <v>51</v>
      </c>
      <c r="X579" s="627" t="s">
        <v>51</v>
      </c>
      <c r="Y579" s="89"/>
    </row>
    <row r="580" ht="22.5" customHeight="1">
      <c r="A580" s="125"/>
      <c r="B580" s="125"/>
      <c r="C580" s="125"/>
      <c r="D580" s="125"/>
      <c r="E580" s="125"/>
      <c r="F580" s="125"/>
      <c r="G580" s="125"/>
      <c r="H580" s="125"/>
      <c r="I580" s="627" t="s">
        <v>51</v>
      </c>
      <c r="J580" s="125" t="s">
        <v>51</v>
      </c>
      <c r="K580" s="125" t="s">
        <v>51</v>
      </c>
      <c r="L580" s="125" t="s">
        <v>51</v>
      </c>
      <c r="M580" s="125" t="str">
        <f t="shared" si="1"/>
        <v/>
      </c>
      <c r="N580" s="125" t="str">
        <f t="shared" si="2"/>
        <v/>
      </c>
      <c r="O580" s="125"/>
      <c r="P580" s="125"/>
      <c r="Q580" s="125"/>
      <c r="R580" s="125"/>
      <c r="S580" s="628">
        <f t="shared" si="3"/>
        <v>0</v>
      </c>
      <c r="T580" s="627" t="s">
        <v>51</v>
      </c>
      <c r="U580" s="627" t="s">
        <v>51</v>
      </c>
      <c r="V580" s="627" t="s">
        <v>51</v>
      </c>
      <c r="W580" s="627" t="s">
        <v>51</v>
      </c>
      <c r="X580" s="627" t="s">
        <v>51</v>
      </c>
      <c r="Y580" s="89"/>
    </row>
    <row r="581" ht="22.5" customHeight="1">
      <c r="A581" s="125"/>
      <c r="B581" s="125"/>
      <c r="C581" s="125"/>
      <c r="D581" s="125"/>
      <c r="E581" s="125"/>
      <c r="F581" s="125"/>
      <c r="G581" s="125"/>
      <c r="H581" s="125"/>
      <c r="I581" s="627" t="s">
        <v>51</v>
      </c>
      <c r="J581" s="125" t="s">
        <v>51</v>
      </c>
      <c r="K581" s="125" t="s">
        <v>51</v>
      </c>
      <c r="L581" s="125" t="s">
        <v>51</v>
      </c>
      <c r="M581" s="125" t="str">
        <f t="shared" si="1"/>
        <v/>
      </c>
      <c r="N581" s="125" t="str">
        <f t="shared" si="2"/>
        <v/>
      </c>
      <c r="O581" s="125"/>
      <c r="P581" s="125"/>
      <c r="Q581" s="125"/>
      <c r="R581" s="125"/>
      <c r="S581" s="628">
        <f t="shared" si="3"/>
        <v>0</v>
      </c>
      <c r="T581" s="627" t="s">
        <v>51</v>
      </c>
      <c r="U581" s="627" t="s">
        <v>51</v>
      </c>
      <c r="V581" s="627" t="s">
        <v>51</v>
      </c>
      <c r="W581" s="627" t="s">
        <v>51</v>
      </c>
      <c r="X581" s="627" t="s">
        <v>51</v>
      </c>
      <c r="Y581" s="89"/>
    </row>
    <row r="582" ht="22.5" customHeight="1">
      <c r="A582" s="125"/>
      <c r="B582" s="125"/>
      <c r="C582" s="125"/>
      <c r="D582" s="125"/>
      <c r="E582" s="125"/>
      <c r="F582" s="125"/>
      <c r="G582" s="125"/>
      <c r="H582" s="125"/>
      <c r="I582" s="627" t="s">
        <v>51</v>
      </c>
      <c r="J582" s="125" t="s">
        <v>51</v>
      </c>
      <c r="K582" s="125" t="s">
        <v>51</v>
      </c>
      <c r="L582" s="125" t="s">
        <v>51</v>
      </c>
      <c r="M582" s="125" t="str">
        <f t="shared" si="1"/>
        <v/>
      </c>
      <c r="N582" s="125" t="str">
        <f t="shared" si="2"/>
        <v/>
      </c>
      <c r="O582" s="125"/>
      <c r="P582" s="125"/>
      <c r="Q582" s="125"/>
      <c r="R582" s="125"/>
      <c r="S582" s="628">
        <f t="shared" si="3"/>
        <v>0</v>
      </c>
      <c r="T582" s="627" t="s">
        <v>51</v>
      </c>
      <c r="U582" s="627" t="s">
        <v>51</v>
      </c>
      <c r="V582" s="627" t="s">
        <v>51</v>
      </c>
      <c r="W582" s="627" t="s">
        <v>51</v>
      </c>
      <c r="X582" s="627" t="s">
        <v>51</v>
      </c>
      <c r="Y582" s="89"/>
    </row>
    <row r="583" ht="22.5" customHeight="1">
      <c r="A583" s="125"/>
      <c r="B583" s="125"/>
      <c r="C583" s="125"/>
      <c r="D583" s="125"/>
      <c r="E583" s="125"/>
      <c r="F583" s="125"/>
      <c r="G583" s="125"/>
      <c r="H583" s="125"/>
      <c r="I583" s="627" t="s">
        <v>51</v>
      </c>
      <c r="J583" s="125" t="s">
        <v>51</v>
      </c>
      <c r="K583" s="125" t="s">
        <v>51</v>
      </c>
      <c r="L583" s="125" t="s">
        <v>51</v>
      </c>
      <c r="M583" s="125" t="str">
        <f t="shared" si="1"/>
        <v/>
      </c>
      <c r="N583" s="125" t="str">
        <f t="shared" si="2"/>
        <v/>
      </c>
      <c r="O583" s="125"/>
      <c r="P583" s="125"/>
      <c r="Q583" s="125"/>
      <c r="R583" s="125"/>
      <c r="S583" s="628">
        <f t="shared" si="3"/>
        <v>0</v>
      </c>
      <c r="T583" s="627" t="s">
        <v>51</v>
      </c>
      <c r="U583" s="627" t="s">
        <v>51</v>
      </c>
      <c r="V583" s="627" t="s">
        <v>51</v>
      </c>
      <c r="W583" s="627" t="s">
        <v>51</v>
      </c>
      <c r="X583" s="627" t="s">
        <v>51</v>
      </c>
      <c r="Y583" s="89"/>
    </row>
    <row r="584" ht="22.5" customHeight="1">
      <c r="A584" s="125"/>
      <c r="B584" s="125"/>
      <c r="C584" s="125"/>
      <c r="D584" s="125"/>
      <c r="E584" s="125"/>
      <c r="F584" s="125"/>
      <c r="G584" s="125"/>
      <c r="H584" s="125"/>
      <c r="I584" s="627" t="s">
        <v>51</v>
      </c>
      <c r="J584" s="125" t="s">
        <v>51</v>
      </c>
      <c r="K584" s="125" t="s">
        <v>51</v>
      </c>
      <c r="L584" s="125" t="s">
        <v>51</v>
      </c>
      <c r="M584" s="125" t="str">
        <f t="shared" si="1"/>
        <v/>
      </c>
      <c r="N584" s="125" t="str">
        <f t="shared" si="2"/>
        <v/>
      </c>
      <c r="O584" s="125"/>
      <c r="P584" s="125"/>
      <c r="Q584" s="125"/>
      <c r="R584" s="125"/>
      <c r="S584" s="628">
        <f t="shared" si="3"/>
        <v>0</v>
      </c>
      <c r="T584" s="627" t="s">
        <v>51</v>
      </c>
      <c r="U584" s="627" t="s">
        <v>51</v>
      </c>
      <c r="V584" s="627" t="s">
        <v>51</v>
      </c>
      <c r="W584" s="627" t="s">
        <v>51</v>
      </c>
      <c r="X584" s="627" t="s">
        <v>51</v>
      </c>
      <c r="Y584" s="89"/>
    </row>
    <row r="585" ht="22.5" customHeight="1">
      <c r="A585" s="125"/>
      <c r="B585" s="125"/>
      <c r="C585" s="125"/>
      <c r="D585" s="125"/>
      <c r="E585" s="125"/>
      <c r="F585" s="125"/>
      <c r="G585" s="125"/>
      <c r="H585" s="125"/>
      <c r="I585" s="627" t="s">
        <v>51</v>
      </c>
      <c r="J585" s="125" t="s">
        <v>51</v>
      </c>
      <c r="K585" s="125" t="s">
        <v>51</v>
      </c>
      <c r="L585" s="125" t="s">
        <v>51</v>
      </c>
      <c r="M585" s="125" t="str">
        <f t="shared" si="1"/>
        <v/>
      </c>
      <c r="N585" s="125" t="str">
        <f t="shared" si="2"/>
        <v/>
      </c>
      <c r="O585" s="125"/>
      <c r="P585" s="125"/>
      <c r="Q585" s="125"/>
      <c r="R585" s="125"/>
      <c r="S585" s="628">
        <f t="shared" si="3"/>
        <v>0</v>
      </c>
      <c r="T585" s="627" t="s">
        <v>51</v>
      </c>
      <c r="U585" s="627" t="s">
        <v>51</v>
      </c>
      <c r="V585" s="627" t="s">
        <v>51</v>
      </c>
      <c r="W585" s="627" t="s">
        <v>51</v>
      </c>
      <c r="X585" s="627" t="s">
        <v>51</v>
      </c>
      <c r="Y585" s="89"/>
    </row>
    <row r="586" ht="22.5" customHeight="1">
      <c r="A586" s="125"/>
      <c r="B586" s="125"/>
      <c r="C586" s="125"/>
      <c r="D586" s="125"/>
      <c r="E586" s="125"/>
      <c r="F586" s="125"/>
      <c r="G586" s="125"/>
      <c r="H586" s="125"/>
      <c r="I586" s="627" t="s">
        <v>51</v>
      </c>
      <c r="J586" s="125" t="s">
        <v>51</v>
      </c>
      <c r="K586" s="125" t="s">
        <v>51</v>
      </c>
      <c r="L586" s="125" t="s">
        <v>51</v>
      </c>
      <c r="M586" s="125" t="str">
        <f t="shared" si="1"/>
        <v/>
      </c>
      <c r="N586" s="125" t="str">
        <f t="shared" si="2"/>
        <v/>
      </c>
      <c r="O586" s="125"/>
      <c r="P586" s="125"/>
      <c r="Q586" s="125"/>
      <c r="R586" s="125"/>
      <c r="S586" s="628">
        <f t="shared" si="3"/>
        <v>0</v>
      </c>
      <c r="T586" s="627" t="s">
        <v>51</v>
      </c>
      <c r="U586" s="627" t="s">
        <v>51</v>
      </c>
      <c r="V586" s="627" t="s">
        <v>51</v>
      </c>
      <c r="W586" s="627" t="s">
        <v>51</v>
      </c>
      <c r="X586" s="627" t="s">
        <v>51</v>
      </c>
      <c r="Y586" s="89"/>
    </row>
    <row r="587" ht="22.5" customHeight="1">
      <c r="A587" s="125"/>
      <c r="B587" s="125"/>
      <c r="C587" s="125"/>
      <c r="D587" s="125"/>
      <c r="E587" s="125"/>
      <c r="F587" s="125"/>
      <c r="G587" s="125"/>
      <c r="H587" s="125"/>
      <c r="I587" s="627" t="s">
        <v>51</v>
      </c>
      <c r="J587" s="125" t="s">
        <v>51</v>
      </c>
      <c r="K587" s="125" t="s">
        <v>51</v>
      </c>
      <c r="L587" s="125" t="s">
        <v>51</v>
      </c>
      <c r="M587" s="125" t="str">
        <f t="shared" si="1"/>
        <v/>
      </c>
      <c r="N587" s="125" t="str">
        <f t="shared" si="2"/>
        <v/>
      </c>
      <c r="O587" s="125"/>
      <c r="P587" s="125"/>
      <c r="Q587" s="125"/>
      <c r="R587" s="125"/>
      <c r="S587" s="628">
        <f t="shared" si="3"/>
        <v>0</v>
      </c>
      <c r="T587" s="627" t="s">
        <v>51</v>
      </c>
      <c r="U587" s="627" t="s">
        <v>51</v>
      </c>
      <c r="V587" s="627" t="s">
        <v>51</v>
      </c>
      <c r="W587" s="627" t="s">
        <v>51</v>
      </c>
      <c r="X587" s="627" t="s">
        <v>51</v>
      </c>
      <c r="Y587" s="89"/>
    </row>
    <row r="588" ht="22.5" customHeight="1">
      <c r="A588" s="125"/>
      <c r="B588" s="125"/>
      <c r="C588" s="125"/>
      <c r="D588" s="125"/>
      <c r="E588" s="125"/>
      <c r="F588" s="125"/>
      <c r="G588" s="125"/>
      <c r="H588" s="125"/>
      <c r="I588" s="627" t="s">
        <v>51</v>
      </c>
      <c r="J588" s="125" t="s">
        <v>51</v>
      </c>
      <c r="K588" s="125" t="s">
        <v>51</v>
      </c>
      <c r="L588" s="125" t="s">
        <v>51</v>
      </c>
      <c r="M588" s="125" t="str">
        <f t="shared" si="1"/>
        <v/>
      </c>
      <c r="N588" s="125" t="str">
        <f t="shared" si="2"/>
        <v/>
      </c>
      <c r="O588" s="125"/>
      <c r="P588" s="125"/>
      <c r="Q588" s="125"/>
      <c r="R588" s="125"/>
      <c r="S588" s="628">
        <f t="shared" si="3"/>
        <v>0</v>
      </c>
      <c r="T588" s="627" t="s">
        <v>51</v>
      </c>
      <c r="U588" s="627" t="s">
        <v>51</v>
      </c>
      <c r="V588" s="627" t="s">
        <v>51</v>
      </c>
      <c r="W588" s="627" t="s">
        <v>51</v>
      </c>
      <c r="X588" s="627" t="s">
        <v>51</v>
      </c>
      <c r="Y588" s="89"/>
    </row>
    <row r="589" ht="22.5" customHeight="1">
      <c r="A589" s="125"/>
      <c r="B589" s="125"/>
      <c r="C589" s="125"/>
      <c r="D589" s="125"/>
      <c r="E589" s="125"/>
      <c r="F589" s="125"/>
      <c r="G589" s="125"/>
      <c r="H589" s="125"/>
      <c r="I589" s="627" t="s">
        <v>51</v>
      </c>
      <c r="J589" s="125" t="s">
        <v>51</v>
      </c>
      <c r="K589" s="125" t="s">
        <v>51</v>
      </c>
      <c r="L589" s="125" t="s">
        <v>51</v>
      </c>
      <c r="M589" s="125" t="str">
        <f t="shared" si="1"/>
        <v/>
      </c>
      <c r="N589" s="125" t="str">
        <f t="shared" si="2"/>
        <v/>
      </c>
      <c r="O589" s="125"/>
      <c r="P589" s="125"/>
      <c r="Q589" s="125"/>
      <c r="R589" s="125"/>
      <c r="S589" s="628">
        <f t="shared" si="3"/>
        <v>0</v>
      </c>
      <c r="T589" s="627" t="s">
        <v>51</v>
      </c>
      <c r="U589" s="627" t="s">
        <v>51</v>
      </c>
      <c r="V589" s="627" t="s">
        <v>51</v>
      </c>
      <c r="W589" s="627" t="s">
        <v>51</v>
      </c>
      <c r="X589" s="627" t="s">
        <v>51</v>
      </c>
      <c r="Y589" s="89"/>
    </row>
    <row r="590" ht="22.5" customHeight="1">
      <c r="A590" s="125"/>
      <c r="B590" s="125"/>
      <c r="C590" s="125"/>
      <c r="D590" s="125"/>
      <c r="E590" s="125"/>
      <c r="F590" s="125"/>
      <c r="G590" s="125"/>
      <c r="H590" s="125"/>
      <c r="I590" s="627" t="s">
        <v>51</v>
      </c>
      <c r="J590" s="125" t="s">
        <v>51</v>
      </c>
      <c r="K590" s="125" t="s">
        <v>51</v>
      </c>
      <c r="L590" s="125" t="s">
        <v>51</v>
      </c>
      <c r="M590" s="125" t="str">
        <f t="shared" si="1"/>
        <v/>
      </c>
      <c r="N590" s="125" t="str">
        <f t="shared" si="2"/>
        <v/>
      </c>
      <c r="O590" s="125"/>
      <c r="P590" s="125"/>
      <c r="Q590" s="125"/>
      <c r="R590" s="125"/>
      <c r="S590" s="628">
        <f t="shared" si="3"/>
        <v>0</v>
      </c>
      <c r="T590" s="627" t="s">
        <v>51</v>
      </c>
      <c r="U590" s="627" t="s">
        <v>51</v>
      </c>
      <c r="V590" s="627" t="s">
        <v>51</v>
      </c>
      <c r="W590" s="627" t="s">
        <v>51</v>
      </c>
      <c r="X590" s="627" t="s">
        <v>51</v>
      </c>
      <c r="Y590" s="89"/>
    </row>
    <row r="591" ht="22.5" customHeight="1">
      <c r="A591" s="125"/>
      <c r="B591" s="125"/>
      <c r="C591" s="125"/>
      <c r="D591" s="125"/>
      <c r="E591" s="125"/>
      <c r="F591" s="125"/>
      <c r="G591" s="125"/>
      <c r="H591" s="125"/>
      <c r="I591" s="627" t="s">
        <v>51</v>
      </c>
      <c r="J591" s="125" t="s">
        <v>51</v>
      </c>
      <c r="K591" s="125" t="s">
        <v>51</v>
      </c>
      <c r="L591" s="125" t="s">
        <v>51</v>
      </c>
      <c r="M591" s="125" t="str">
        <f t="shared" si="1"/>
        <v/>
      </c>
      <c r="N591" s="125" t="str">
        <f t="shared" si="2"/>
        <v/>
      </c>
      <c r="O591" s="125"/>
      <c r="P591" s="125"/>
      <c r="Q591" s="125"/>
      <c r="R591" s="125"/>
      <c r="S591" s="628">
        <f t="shared" si="3"/>
        <v>0</v>
      </c>
      <c r="T591" s="627" t="s">
        <v>51</v>
      </c>
      <c r="U591" s="627" t="s">
        <v>51</v>
      </c>
      <c r="V591" s="627" t="s">
        <v>51</v>
      </c>
      <c r="W591" s="627" t="s">
        <v>51</v>
      </c>
      <c r="X591" s="627" t="s">
        <v>51</v>
      </c>
      <c r="Y591" s="89"/>
    </row>
    <row r="592" ht="22.5" customHeight="1">
      <c r="A592" s="125"/>
      <c r="B592" s="125"/>
      <c r="C592" s="125"/>
      <c r="D592" s="125"/>
      <c r="E592" s="125"/>
      <c r="F592" s="125"/>
      <c r="G592" s="125"/>
      <c r="H592" s="125"/>
      <c r="I592" s="627" t="s">
        <v>51</v>
      </c>
      <c r="J592" s="125" t="s">
        <v>51</v>
      </c>
      <c r="K592" s="125" t="s">
        <v>51</v>
      </c>
      <c r="L592" s="125" t="s">
        <v>51</v>
      </c>
      <c r="M592" s="125" t="str">
        <f t="shared" si="1"/>
        <v/>
      </c>
      <c r="N592" s="125" t="str">
        <f t="shared" si="2"/>
        <v/>
      </c>
      <c r="O592" s="125"/>
      <c r="P592" s="125"/>
      <c r="Q592" s="125"/>
      <c r="R592" s="125"/>
      <c r="S592" s="628">
        <f t="shared" si="3"/>
        <v>0</v>
      </c>
      <c r="T592" s="627" t="s">
        <v>51</v>
      </c>
      <c r="U592" s="627" t="s">
        <v>51</v>
      </c>
      <c r="V592" s="627" t="s">
        <v>51</v>
      </c>
      <c r="W592" s="627" t="s">
        <v>51</v>
      </c>
      <c r="X592" s="627" t="s">
        <v>51</v>
      </c>
      <c r="Y592" s="89"/>
    </row>
    <row r="593" ht="22.5" customHeight="1">
      <c r="A593" s="125"/>
      <c r="B593" s="125"/>
      <c r="C593" s="125"/>
      <c r="D593" s="125"/>
      <c r="E593" s="125"/>
      <c r="F593" s="125"/>
      <c r="G593" s="125"/>
      <c r="H593" s="125"/>
      <c r="I593" s="627" t="s">
        <v>51</v>
      </c>
      <c r="J593" s="125" t="s">
        <v>51</v>
      </c>
      <c r="K593" s="125" t="s">
        <v>51</v>
      </c>
      <c r="L593" s="125" t="s">
        <v>51</v>
      </c>
      <c r="M593" s="125" t="str">
        <f t="shared" si="1"/>
        <v/>
      </c>
      <c r="N593" s="125" t="str">
        <f t="shared" si="2"/>
        <v/>
      </c>
      <c r="O593" s="125"/>
      <c r="P593" s="125"/>
      <c r="Q593" s="125"/>
      <c r="R593" s="125"/>
      <c r="S593" s="628">
        <f t="shared" si="3"/>
        <v>0</v>
      </c>
      <c r="T593" s="627" t="s">
        <v>51</v>
      </c>
      <c r="U593" s="627" t="s">
        <v>51</v>
      </c>
      <c r="V593" s="627" t="s">
        <v>51</v>
      </c>
      <c r="W593" s="627" t="s">
        <v>51</v>
      </c>
      <c r="X593" s="627" t="s">
        <v>51</v>
      </c>
      <c r="Y593" s="89"/>
    </row>
    <row r="594" ht="22.5" customHeight="1">
      <c r="A594" s="125"/>
      <c r="B594" s="125"/>
      <c r="C594" s="125"/>
      <c r="D594" s="125"/>
      <c r="E594" s="125"/>
      <c r="F594" s="125"/>
      <c r="G594" s="125"/>
      <c r="H594" s="125"/>
      <c r="I594" s="627" t="s">
        <v>51</v>
      </c>
      <c r="J594" s="125" t="s">
        <v>51</v>
      </c>
      <c r="K594" s="125" t="s">
        <v>51</v>
      </c>
      <c r="L594" s="125" t="s">
        <v>51</v>
      </c>
      <c r="M594" s="125" t="str">
        <f t="shared" si="1"/>
        <v/>
      </c>
      <c r="N594" s="125" t="str">
        <f t="shared" si="2"/>
        <v/>
      </c>
      <c r="O594" s="125"/>
      <c r="P594" s="125"/>
      <c r="Q594" s="125"/>
      <c r="R594" s="125"/>
      <c r="S594" s="628">
        <f t="shared" si="3"/>
        <v>0</v>
      </c>
      <c r="T594" s="627" t="s">
        <v>51</v>
      </c>
      <c r="U594" s="627" t="s">
        <v>51</v>
      </c>
      <c r="V594" s="627" t="s">
        <v>51</v>
      </c>
      <c r="W594" s="627" t="s">
        <v>51</v>
      </c>
      <c r="X594" s="627" t="s">
        <v>51</v>
      </c>
      <c r="Y594" s="89"/>
    </row>
    <row r="595" ht="22.5" customHeight="1">
      <c r="A595" s="125"/>
      <c r="B595" s="125"/>
      <c r="C595" s="125"/>
      <c r="D595" s="125"/>
      <c r="E595" s="125"/>
      <c r="F595" s="125"/>
      <c r="G595" s="125"/>
      <c r="H595" s="125"/>
      <c r="I595" s="627" t="s">
        <v>51</v>
      </c>
      <c r="J595" s="125" t="s">
        <v>51</v>
      </c>
      <c r="K595" s="125" t="s">
        <v>51</v>
      </c>
      <c r="L595" s="125" t="s">
        <v>51</v>
      </c>
      <c r="M595" s="125" t="str">
        <f t="shared" si="1"/>
        <v/>
      </c>
      <c r="N595" s="125" t="str">
        <f t="shared" si="2"/>
        <v/>
      </c>
      <c r="O595" s="125"/>
      <c r="P595" s="125"/>
      <c r="Q595" s="125"/>
      <c r="R595" s="125"/>
      <c r="S595" s="628">
        <f t="shared" si="3"/>
        <v>0</v>
      </c>
      <c r="T595" s="627" t="s">
        <v>51</v>
      </c>
      <c r="U595" s="627" t="s">
        <v>51</v>
      </c>
      <c r="V595" s="627" t="s">
        <v>51</v>
      </c>
      <c r="W595" s="627" t="s">
        <v>51</v>
      </c>
      <c r="X595" s="627" t="s">
        <v>51</v>
      </c>
      <c r="Y595" s="89"/>
    </row>
    <row r="596" ht="22.5" customHeight="1">
      <c r="A596" s="125"/>
      <c r="B596" s="125"/>
      <c r="C596" s="125"/>
      <c r="D596" s="125"/>
      <c r="E596" s="125"/>
      <c r="F596" s="125"/>
      <c r="G596" s="125"/>
      <c r="H596" s="125"/>
      <c r="I596" s="627" t="s">
        <v>51</v>
      </c>
      <c r="J596" s="125" t="s">
        <v>51</v>
      </c>
      <c r="K596" s="125" t="s">
        <v>51</v>
      </c>
      <c r="L596" s="125" t="s">
        <v>51</v>
      </c>
      <c r="M596" s="125" t="str">
        <f t="shared" si="1"/>
        <v/>
      </c>
      <c r="N596" s="125" t="str">
        <f t="shared" si="2"/>
        <v/>
      </c>
      <c r="O596" s="125"/>
      <c r="P596" s="125"/>
      <c r="Q596" s="125"/>
      <c r="R596" s="125"/>
      <c r="S596" s="628">
        <f t="shared" si="3"/>
        <v>0</v>
      </c>
      <c r="T596" s="627" t="s">
        <v>51</v>
      </c>
      <c r="U596" s="627" t="s">
        <v>51</v>
      </c>
      <c r="V596" s="627" t="s">
        <v>51</v>
      </c>
      <c r="W596" s="627" t="s">
        <v>51</v>
      </c>
      <c r="X596" s="627" t="s">
        <v>51</v>
      </c>
      <c r="Y596" s="89"/>
    </row>
    <row r="597" ht="22.5" customHeight="1">
      <c r="A597" s="125"/>
      <c r="B597" s="125"/>
      <c r="C597" s="125"/>
      <c r="D597" s="125"/>
      <c r="E597" s="125"/>
      <c r="F597" s="125"/>
      <c r="G597" s="125"/>
      <c r="H597" s="125"/>
      <c r="I597" s="627" t="s">
        <v>51</v>
      </c>
      <c r="J597" s="125" t="s">
        <v>51</v>
      </c>
      <c r="K597" s="125" t="s">
        <v>51</v>
      </c>
      <c r="L597" s="125" t="s">
        <v>51</v>
      </c>
      <c r="M597" s="125" t="str">
        <f t="shared" si="1"/>
        <v/>
      </c>
      <c r="N597" s="125" t="str">
        <f t="shared" si="2"/>
        <v/>
      </c>
      <c r="O597" s="125"/>
      <c r="P597" s="125"/>
      <c r="Q597" s="125"/>
      <c r="R597" s="125"/>
      <c r="S597" s="628">
        <f t="shared" si="3"/>
        <v>0</v>
      </c>
      <c r="T597" s="627" t="s">
        <v>51</v>
      </c>
      <c r="U597" s="627" t="s">
        <v>51</v>
      </c>
      <c r="V597" s="627" t="s">
        <v>51</v>
      </c>
      <c r="W597" s="627" t="s">
        <v>51</v>
      </c>
      <c r="X597" s="627" t="s">
        <v>51</v>
      </c>
      <c r="Y597" s="89"/>
    </row>
    <row r="598" ht="22.5" customHeight="1">
      <c r="A598" s="125"/>
      <c r="B598" s="125"/>
      <c r="C598" s="125"/>
      <c r="D598" s="125"/>
      <c r="E598" s="125"/>
      <c r="F598" s="125"/>
      <c r="G598" s="125"/>
      <c r="H598" s="125"/>
      <c r="I598" s="627" t="s">
        <v>51</v>
      </c>
      <c r="J598" s="125" t="s">
        <v>51</v>
      </c>
      <c r="K598" s="125" t="s">
        <v>51</v>
      </c>
      <c r="L598" s="125" t="s">
        <v>51</v>
      </c>
      <c r="M598" s="125" t="str">
        <f t="shared" si="1"/>
        <v/>
      </c>
      <c r="N598" s="125" t="str">
        <f t="shared" si="2"/>
        <v/>
      </c>
      <c r="O598" s="125"/>
      <c r="P598" s="125"/>
      <c r="Q598" s="125"/>
      <c r="R598" s="125"/>
      <c r="S598" s="628">
        <f t="shared" si="3"/>
        <v>0</v>
      </c>
      <c r="T598" s="627" t="s">
        <v>51</v>
      </c>
      <c r="U598" s="627" t="s">
        <v>51</v>
      </c>
      <c r="V598" s="627" t="s">
        <v>51</v>
      </c>
      <c r="W598" s="627" t="s">
        <v>51</v>
      </c>
      <c r="X598" s="627" t="s">
        <v>51</v>
      </c>
      <c r="Y598" s="89"/>
    </row>
    <row r="599" ht="22.5" customHeight="1">
      <c r="A599" s="125"/>
      <c r="B599" s="125"/>
      <c r="C599" s="125"/>
      <c r="D599" s="125"/>
      <c r="E599" s="125"/>
      <c r="F599" s="125"/>
      <c r="G599" s="125"/>
      <c r="H599" s="125"/>
      <c r="I599" s="627" t="s">
        <v>51</v>
      </c>
      <c r="J599" s="125" t="s">
        <v>51</v>
      </c>
      <c r="K599" s="125" t="s">
        <v>51</v>
      </c>
      <c r="L599" s="125" t="s">
        <v>51</v>
      </c>
      <c r="M599" s="125" t="str">
        <f t="shared" si="1"/>
        <v/>
      </c>
      <c r="N599" s="125" t="str">
        <f t="shared" si="2"/>
        <v/>
      </c>
      <c r="O599" s="125"/>
      <c r="P599" s="125"/>
      <c r="Q599" s="125"/>
      <c r="R599" s="125"/>
      <c r="S599" s="628">
        <f t="shared" si="3"/>
        <v>0</v>
      </c>
      <c r="T599" s="627" t="s">
        <v>51</v>
      </c>
      <c r="U599" s="627" t="s">
        <v>51</v>
      </c>
      <c r="V599" s="627" t="s">
        <v>51</v>
      </c>
      <c r="W599" s="627" t="s">
        <v>51</v>
      </c>
      <c r="X599" s="627" t="s">
        <v>51</v>
      </c>
      <c r="Y599" s="89"/>
    </row>
    <row r="600" ht="22.5" customHeight="1">
      <c r="A600" s="125"/>
      <c r="B600" s="125"/>
      <c r="C600" s="125"/>
      <c r="D600" s="125"/>
      <c r="E600" s="125"/>
      <c r="F600" s="125"/>
      <c r="G600" s="125"/>
      <c r="H600" s="125"/>
      <c r="I600" s="627" t="s">
        <v>51</v>
      </c>
      <c r="J600" s="125" t="s">
        <v>51</v>
      </c>
      <c r="K600" s="125" t="s">
        <v>51</v>
      </c>
      <c r="L600" s="125" t="s">
        <v>51</v>
      </c>
      <c r="M600" s="125" t="str">
        <f t="shared" si="1"/>
        <v/>
      </c>
      <c r="N600" s="125" t="str">
        <f t="shared" si="2"/>
        <v/>
      </c>
      <c r="O600" s="125"/>
      <c r="P600" s="125"/>
      <c r="Q600" s="125"/>
      <c r="R600" s="125"/>
      <c r="S600" s="628">
        <f t="shared" si="3"/>
        <v>0</v>
      </c>
      <c r="T600" s="627" t="s">
        <v>51</v>
      </c>
      <c r="U600" s="627" t="s">
        <v>51</v>
      </c>
      <c r="V600" s="627" t="s">
        <v>51</v>
      </c>
      <c r="W600" s="627" t="s">
        <v>51</v>
      </c>
      <c r="X600" s="627" t="s">
        <v>51</v>
      </c>
      <c r="Y600" s="89"/>
    </row>
    <row r="601" ht="22.5" customHeight="1">
      <c r="A601" s="125"/>
      <c r="B601" s="125"/>
      <c r="C601" s="125"/>
      <c r="D601" s="125"/>
      <c r="E601" s="125"/>
      <c r="F601" s="125"/>
      <c r="G601" s="125"/>
      <c r="H601" s="125"/>
      <c r="I601" s="627" t="s">
        <v>51</v>
      </c>
      <c r="J601" s="125" t="s">
        <v>51</v>
      </c>
      <c r="K601" s="125" t="s">
        <v>51</v>
      </c>
      <c r="L601" s="125" t="s">
        <v>51</v>
      </c>
      <c r="M601" s="125" t="str">
        <f t="shared" si="1"/>
        <v/>
      </c>
      <c r="N601" s="125" t="str">
        <f t="shared" si="2"/>
        <v/>
      </c>
      <c r="O601" s="125"/>
      <c r="P601" s="125"/>
      <c r="Q601" s="125"/>
      <c r="R601" s="125"/>
      <c r="S601" s="628">
        <f t="shared" si="3"/>
        <v>0</v>
      </c>
      <c r="T601" s="627" t="s">
        <v>51</v>
      </c>
      <c r="U601" s="627" t="s">
        <v>51</v>
      </c>
      <c r="V601" s="627" t="s">
        <v>51</v>
      </c>
      <c r="W601" s="627" t="s">
        <v>51</v>
      </c>
      <c r="X601" s="627" t="s">
        <v>51</v>
      </c>
      <c r="Y601" s="89"/>
    </row>
    <row r="602" ht="22.5" customHeight="1">
      <c r="A602" s="125"/>
      <c r="B602" s="125"/>
      <c r="C602" s="125"/>
      <c r="D602" s="125"/>
      <c r="E602" s="125"/>
      <c r="F602" s="125"/>
      <c r="G602" s="125"/>
      <c r="H602" s="125"/>
      <c r="I602" s="627" t="s">
        <v>51</v>
      </c>
      <c r="J602" s="125" t="s">
        <v>51</v>
      </c>
      <c r="K602" s="125" t="s">
        <v>51</v>
      </c>
      <c r="L602" s="125" t="s">
        <v>51</v>
      </c>
      <c r="M602" s="125" t="str">
        <f t="shared" si="1"/>
        <v/>
      </c>
      <c r="N602" s="125" t="str">
        <f t="shared" si="2"/>
        <v/>
      </c>
      <c r="O602" s="125"/>
      <c r="P602" s="125"/>
      <c r="Q602" s="125"/>
      <c r="R602" s="125"/>
      <c r="S602" s="628">
        <f t="shared" si="3"/>
        <v>0</v>
      </c>
      <c r="T602" s="627" t="s">
        <v>51</v>
      </c>
      <c r="U602" s="627" t="s">
        <v>51</v>
      </c>
      <c r="V602" s="627" t="s">
        <v>51</v>
      </c>
      <c r="W602" s="627" t="s">
        <v>51</v>
      </c>
      <c r="X602" s="627" t="s">
        <v>51</v>
      </c>
      <c r="Y602" s="89"/>
    </row>
    <row r="603" ht="22.5" customHeight="1">
      <c r="A603" s="125"/>
      <c r="B603" s="125"/>
      <c r="C603" s="125"/>
      <c r="D603" s="125"/>
      <c r="E603" s="125"/>
      <c r="F603" s="125"/>
      <c r="G603" s="125"/>
      <c r="H603" s="125"/>
      <c r="I603" s="627" t="s">
        <v>51</v>
      </c>
      <c r="J603" s="125" t="s">
        <v>51</v>
      </c>
      <c r="K603" s="125" t="s">
        <v>51</v>
      </c>
      <c r="L603" s="125" t="s">
        <v>51</v>
      </c>
      <c r="M603" s="125" t="str">
        <f t="shared" si="1"/>
        <v/>
      </c>
      <c r="N603" s="125" t="str">
        <f t="shared" si="2"/>
        <v/>
      </c>
      <c r="O603" s="125"/>
      <c r="P603" s="125"/>
      <c r="Q603" s="125"/>
      <c r="R603" s="125"/>
      <c r="S603" s="628">
        <f t="shared" si="3"/>
        <v>0</v>
      </c>
      <c r="T603" s="627" t="s">
        <v>51</v>
      </c>
      <c r="U603" s="627" t="s">
        <v>51</v>
      </c>
      <c r="V603" s="627" t="s">
        <v>51</v>
      </c>
      <c r="W603" s="627" t="s">
        <v>51</v>
      </c>
      <c r="X603" s="627" t="s">
        <v>51</v>
      </c>
      <c r="Y603" s="89"/>
    </row>
    <row r="604" ht="22.5" customHeight="1">
      <c r="A604" s="125"/>
      <c r="B604" s="125"/>
      <c r="C604" s="125"/>
      <c r="D604" s="125"/>
      <c r="E604" s="125"/>
      <c r="F604" s="125"/>
      <c r="G604" s="125"/>
      <c r="H604" s="125"/>
      <c r="I604" s="627" t="s">
        <v>51</v>
      </c>
      <c r="J604" s="125" t="s">
        <v>51</v>
      </c>
      <c r="K604" s="125" t="s">
        <v>51</v>
      </c>
      <c r="L604" s="125" t="s">
        <v>51</v>
      </c>
      <c r="M604" s="125" t="str">
        <f t="shared" si="1"/>
        <v/>
      </c>
      <c r="N604" s="125" t="str">
        <f t="shared" si="2"/>
        <v/>
      </c>
      <c r="O604" s="125"/>
      <c r="P604" s="125"/>
      <c r="Q604" s="125"/>
      <c r="R604" s="125"/>
      <c r="S604" s="628">
        <f t="shared" si="3"/>
        <v>0</v>
      </c>
      <c r="T604" s="627" t="s">
        <v>51</v>
      </c>
      <c r="U604" s="627" t="s">
        <v>51</v>
      </c>
      <c r="V604" s="627" t="s">
        <v>51</v>
      </c>
      <c r="W604" s="627" t="s">
        <v>51</v>
      </c>
      <c r="X604" s="627" t="s">
        <v>51</v>
      </c>
      <c r="Y604" s="89"/>
    </row>
    <row r="605" ht="22.5" customHeight="1">
      <c r="A605" s="125"/>
      <c r="B605" s="125"/>
      <c r="C605" s="125"/>
      <c r="D605" s="125"/>
      <c r="E605" s="125"/>
      <c r="F605" s="125"/>
      <c r="G605" s="125"/>
      <c r="H605" s="125"/>
      <c r="I605" s="627" t="s">
        <v>51</v>
      </c>
      <c r="J605" s="125" t="s">
        <v>51</v>
      </c>
      <c r="K605" s="125" t="s">
        <v>51</v>
      </c>
      <c r="L605" s="125" t="s">
        <v>51</v>
      </c>
      <c r="M605" s="125" t="str">
        <f t="shared" si="1"/>
        <v/>
      </c>
      <c r="N605" s="125" t="str">
        <f t="shared" si="2"/>
        <v/>
      </c>
      <c r="O605" s="125"/>
      <c r="P605" s="125"/>
      <c r="Q605" s="125"/>
      <c r="R605" s="125"/>
      <c r="S605" s="628">
        <f t="shared" si="3"/>
        <v>0</v>
      </c>
      <c r="T605" s="627" t="s">
        <v>51</v>
      </c>
      <c r="U605" s="627" t="s">
        <v>51</v>
      </c>
      <c r="V605" s="627" t="s">
        <v>51</v>
      </c>
      <c r="W605" s="627" t="s">
        <v>51</v>
      </c>
      <c r="X605" s="627" t="s">
        <v>51</v>
      </c>
      <c r="Y605" s="89"/>
    </row>
    <row r="606" ht="22.5" customHeight="1">
      <c r="A606" s="125"/>
      <c r="B606" s="125"/>
      <c r="C606" s="125"/>
      <c r="D606" s="125"/>
      <c r="E606" s="125"/>
      <c r="F606" s="125"/>
      <c r="G606" s="125"/>
      <c r="H606" s="125"/>
      <c r="I606" s="627" t="s">
        <v>51</v>
      </c>
      <c r="J606" s="125" t="s">
        <v>51</v>
      </c>
      <c r="K606" s="125" t="s">
        <v>51</v>
      </c>
      <c r="L606" s="125" t="s">
        <v>51</v>
      </c>
      <c r="M606" s="125" t="str">
        <f t="shared" si="1"/>
        <v/>
      </c>
      <c r="N606" s="125" t="str">
        <f t="shared" si="2"/>
        <v/>
      </c>
      <c r="O606" s="125"/>
      <c r="P606" s="125"/>
      <c r="Q606" s="125"/>
      <c r="R606" s="125"/>
      <c r="S606" s="628">
        <f t="shared" si="3"/>
        <v>0</v>
      </c>
      <c r="T606" s="627" t="s">
        <v>51</v>
      </c>
      <c r="U606" s="627" t="s">
        <v>51</v>
      </c>
      <c r="V606" s="627" t="s">
        <v>51</v>
      </c>
      <c r="W606" s="627" t="s">
        <v>51</v>
      </c>
      <c r="X606" s="627" t="s">
        <v>51</v>
      </c>
      <c r="Y606" s="89"/>
    </row>
    <row r="607" ht="22.5" customHeight="1">
      <c r="A607" s="125"/>
      <c r="B607" s="125"/>
      <c r="C607" s="125"/>
      <c r="D607" s="125"/>
      <c r="E607" s="125"/>
      <c r="F607" s="125"/>
      <c r="G607" s="125"/>
      <c r="H607" s="125"/>
      <c r="I607" s="627" t="s">
        <v>51</v>
      </c>
      <c r="J607" s="125" t="s">
        <v>51</v>
      </c>
      <c r="K607" s="125" t="s">
        <v>51</v>
      </c>
      <c r="L607" s="125" t="s">
        <v>51</v>
      </c>
      <c r="M607" s="125" t="str">
        <f t="shared" si="1"/>
        <v/>
      </c>
      <c r="N607" s="125" t="str">
        <f t="shared" si="2"/>
        <v/>
      </c>
      <c r="O607" s="125"/>
      <c r="P607" s="125"/>
      <c r="Q607" s="125"/>
      <c r="R607" s="125"/>
      <c r="S607" s="628">
        <f t="shared" si="3"/>
        <v>0</v>
      </c>
      <c r="T607" s="627" t="s">
        <v>51</v>
      </c>
      <c r="U607" s="627" t="s">
        <v>51</v>
      </c>
      <c r="V607" s="627" t="s">
        <v>51</v>
      </c>
      <c r="W607" s="627" t="s">
        <v>51</v>
      </c>
      <c r="X607" s="627" t="s">
        <v>51</v>
      </c>
      <c r="Y607" s="89"/>
    </row>
    <row r="608" ht="22.5" customHeight="1">
      <c r="A608" s="125"/>
      <c r="B608" s="125"/>
      <c r="C608" s="125"/>
      <c r="D608" s="125"/>
      <c r="E608" s="125"/>
      <c r="F608" s="125"/>
      <c r="G608" s="125"/>
      <c r="H608" s="125"/>
      <c r="I608" s="627" t="s">
        <v>51</v>
      </c>
      <c r="J608" s="125" t="s">
        <v>51</v>
      </c>
      <c r="K608" s="125" t="s">
        <v>51</v>
      </c>
      <c r="L608" s="125" t="s">
        <v>51</v>
      </c>
      <c r="M608" s="125" t="str">
        <f t="shared" si="1"/>
        <v/>
      </c>
      <c r="N608" s="125" t="str">
        <f t="shared" si="2"/>
        <v/>
      </c>
      <c r="O608" s="125"/>
      <c r="P608" s="125"/>
      <c r="Q608" s="125"/>
      <c r="R608" s="125"/>
      <c r="S608" s="628">
        <f t="shared" si="3"/>
        <v>0</v>
      </c>
      <c r="T608" s="627" t="s">
        <v>51</v>
      </c>
      <c r="U608" s="627" t="s">
        <v>51</v>
      </c>
      <c r="V608" s="627" t="s">
        <v>51</v>
      </c>
      <c r="W608" s="627" t="s">
        <v>51</v>
      </c>
      <c r="X608" s="627" t="s">
        <v>51</v>
      </c>
      <c r="Y608" s="89"/>
    </row>
    <row r="609" ht="22.5" customHeight="1">
      <c r="A609" s="125"/>
      <c r="B609" s="125"/>
      <c r="C609" s="125"/>
      <c r="D609" s="125"/>
      <c r="E609" s="125"/>
      <c r="F609" s="125"/>
      <c r="G609" s="125"/>
      <c r="H609" s="125"/>
      <c r="I609" s="627" t="s">
        <v>51</v>
      </c>
      <c r="J609" s="125" t="s">
        <v>51</v>
      </c>
      <c r="K609" s="125" t="s">
        <v>51</v>
      </c>
      <c r="L609" s="125" t="s">
        <v>51</v>
      </c>
      <c r="M609" s="125" t="str">
        <f t="shared" si="1"/>
        <v/>
      </c>
      <c r="N609" s="125" t="str">
        <f t="shared" si="2"/>
        <v/>
      </c>
      <c r="O609" s="125"/>
      <c r="P609" s="125"/>
      <c r="Q609" s="125"/>
      <c r="R609" s="125"/>
      <c r="S609" s="628">
        <f t="shared" si="3"/>
        <v>0</v>
      </c>
      <c r="T609" s="627" t="s">
        <v>51</v>
      </c>
      <c r="U609" s="627" t="s">
        <v>51</v>
      </c>
      <c r="V609" s="627" t="s">
        <v>51</v>
      </c>
      <c r="W609" s="627" t="s">
        <v>51</v>
      </c>
      <c r="X609" s="627" t="s">
        <v>51</v>
      </c>
      <c r="Y609" s="89"/>
    </row>
    <row r="610" ht="22.5" customHeight="1">
      <c r="A610" s="125"/>
      <c r="B610" s="125"/>
      <c r="C610" s="125"/>
      <c r="D610" s="125"/>
      <c r="E610" s="125"/>
      <c r="F610" s="125"/>
      <c r="G610" s="125"/>
      <c r="H610" s="125"/>
      <c r="I610" s="627" t="s">
        <v>51</v>
      </c>
      <c r="J610" s="125" t="s">
        <v>51</v>
      </c>
      <c r="K610" s="125" t="s">
        <v>51</v>
      </c>
      <c r="L610" s="125" t="s">
        <v>51</v>
      </c>
      <c r="M610" s="125" t="str">
        <f t="shared" si="1"/>
        <v/>
      </c>
      <c r="N610" s="125" t="str">
        <f t="shared" si="2"/>
        <v/>
      </c>
      <c r="O610" s="125"/>
      <c r="P610" s="125"/>
      <c r="Q610" s="125"/>
      <c r="R610" s="125"/>
      <c r="S610" s="628">
        <f t="shared" si="3"/>
        <v>0</v>
      </c>
      <c r="T610" s="627" t="s">
        <v>51</v>
      </c>
      <c r="U610" s="627" t="s">
        <v>51</v>
      </c>
      <c r="V610" s="627" t="s">
        <v>51</v>
      </c>
      <c r="W610" s="627" t="s">
        <v>51</v>
      </c>
      <c r="X610" s="627" t="s">
        <v>51</v>
      </c>
      <c r="Y610" s="89"/>
    </row>
    <row r="611" ht="22.5" customHeight="1">
      <c r="A611" s="125"/>
      <c r="B611" s="125"/>
      <c r="C611" s="125"/>
      <c r="D611" s="125"/>
      <c r="E611" s="125"/>
      <c r="F611" s="125"/>
      <c r="G611" s="125"/>
      <c r="H611" s="125"/>
      <c r="I611" s="627" t="s">
        <v>51</v>
      </c>
      <c r="J611" s="125" t="s">
        <v>51</v>
      </c>
      <c r="K611" s="125" t="s">
        <v>51</v>
      </c>
      <c r="L611" s="125" t="s">
        <v>51</v>
      </c>
      <c r="M611" s="125" t="str">
        <f t="shared" si="1"/>
        <v/>
      </c>
      <c r="N611" s="125" t="str">
        <f t="shared" si="2"/>
        <v/>
      </c>
      <c r="O611" s="125"/>
      <c r="P611" s="125"/>
      <c r="Q611" s="125"/>
      <c r="R611" s="125"/>
      <c r="S611" s="628">
        <f t="shared" si="3"/>
        <v>0</v>
      </c>
      <c r="T611" s="627" t="s">
        <v>51</v>
      </c>
      <c r="U611" s="627" t="s">
        <v>51</v>
      </c>
      <c r="V611" s="627" t="s">
        <v>51</v>
      </c>
      <c r="W611" s="627" t="s">
        <v>51</v>
      </c>
      <c r="X611" s="627" t="s">
        <v>51</v>
      </c>
      <c r="Y611" s="89"/>
    </row>
    <row r="612" ht="22.5" customHeight="1">
      <c r="A612" s="125"/>
      <c r="B612" s="125"/>
      <c r="C612" s="125"/>
      <c r="D612" s="125"/>
      <c r="E612" s="125"/>
      <c r="F612" s="125"/>
      <c r="G612" s="125"/>
      <c r="H612" s="125"/>
      <c r="I612" s="627" t="s">
        <v>51</v>
      </c>
      <c r="J612" s="125" t="s">
        <v>51</v>
      </c>
      <c r="K612" s="125" t="s">
        <v>51</v>
      </c>
      <c r="L612" s="125" t="s">
        <v>51</v>
      </c>
      <c r="M612" s="125" t="str">
        <f t="shared" si="1"/>
        <v/>
      </c>
      <c r="N612" s="125" t="str">
        <f t="shared" si="2"/>
        <v/>
      </c>
      <c r="O612" s="125"/>
      <c r="P612" s="125"/>
      <c r="Q612" s="125"/>
      <c r="R612" s="125"/>
      <c r="S612" s="628">
        <f t="shared" si="3"/>
        <v>0</v>
      </c>
      <c r="T612" s="627" t="s">
        <v>51</v>
      </c>
      <c r="U612" s="627" t="s">
        <v>51</v>
      </c>
      <c r="V612" s="627" t="s">
        <v>51</v>
      </c>
      <c r="W612" s="627" t="s">
        <v>51</v>
      </c>
      <c r="X612" s="627" t="s">
        <v>51</v>
      </c>
      <c r="Y612" s="89"/>
    </row>
    <row r="613" ht="22.5" customHeight="1">
      <c r="A613" s="125"/>
      <c r="B613" s="125"/>
      <c r="C613" s="125"/>
      <c r="D613" s="125"/>
      <c r="E613" s="125"/>
      <c r="F613" s="125"/>
      <c r="G613" s="125"/>
      <c r="H613" s="125"/>
      <c r="I613" s="627" t="s">
        <v>51</v>
      </c>
      <c r="J613" s="125" t="s">
        <v>51</v>
      </c>
      <c r="K613" s="125" t="s">
        <v>51</v>
      </c>
      <c r="L613" s="125" t="s">
        <v>51</v>
      </c>
      <c r="M613" s="125" t="str">
        <f t="shared" si="1"/>
        <v/>
      </c>
      <c r="N613" s="125" t="str">
        <f t="shared" si="2"/>
        <v/>
      </c>
      <c r="O613" s="125"/>
      <c r="P613" s="125"/>
      <c r="Q613" s="125"/>
      <c r="R613" s="125"/>
      <c r="S613" s="628">
        <f t="shared" si="3"/>
        <v>0</v>
      </c>
      <c r="T613" s="627" t="s">
        <v>51</v>
      </c>
      <c r="U613" s="627" t="s">
        <v>51</v>
      </c>
      <c r="V613" s="627" t="s">
        <v>51</v>
      </c>
      <c r="W613" s="627" t="s">
        <v>51</v>
      </c>
      <c r="X613" s="627" t="s">
        <v>51</v>
      </c>
      <c r="Y613" s="89"/>
    </row>
    <row r="614" ht="22.5" customHeight="1">
      <c r="A614" s="125"/>
      <c r="B614" s="125"/>
      <c r="C614" s="125"/>
      <c r="D614" s="125"/>
      <c r="E614" s="125"/>
      <c r="F614" s="125"/>
      <c r="G614" s="125"/>
      <c r="H614" s="125"/>
      <c r="I614" s="627" t="s">
        <v>51</v>
      </c>
      <c r="J614" s="125" t="s">
        <v>51</v>
      </c>
      <c r="K614" s="125" t="s">
        <v>51</v>
      </c>
      <c r="L614" s="125" t="s">
        <v>51</v>
      </c>
      <c r="M614" s="125" t="str">
        <f t="shared" si="1"/>
        <v/>
      </c>
      <c r="N614" s="125" t="str">
        <f t="shared" si="2"/>
        <v/>
      </c>
      <c r="O614" s="125"/>
      <c r="P614" s="125"/>
      <c r="Q614" s="125"/>
      <c r="R614" s="125"/>
      <c r="S614" s="628">
        <f t="shared" si="3"/>
        <v>0</v>
      </c>
      <c r="T614" s="627" t="s">
        <v>51</v>
      </c>
      <c r="U614" s="627" t="s">
        <v>51</v>
      </c>
      <c r="V614" s="627" t="s">
        <v>51</v>
      </c>
      <c r="W614" s="627" t="s">
        <v>51</v>
      </c>
      <c r="X614" s="627" t="s">
        <v>51</v>
      </c>
      <c r="Y614" s="89"/>
    </row>
    <row r="615" ht="22.5" customHeight="1">
      <c r="A615" s="125"/>
      <c r="B615" s="125"/>
      <c r="C615" s="125"/>
      <c r="D615" s="125"/>
      <c r="E615" s="125"/>
      <c r="F615" s="125"/>
      <c r="G615" s="125"/>
      <c r="H615" s="125"/>
      <c r="I615" s="627" t="s">
        <v>51</v>
      </c>
      <c r="J615" s="125" t="s">
        <v>51</v>
      </c>
      <c r="K615" s="125" t="s">
        <v>51</v>
      </c>
      <c r="L615" s="125" t="s">
        <v>51</v>
      </c>
      <c r="M615" s="125" t="str">
        <f t="shared" si="1"/>
        <v/>
      </c>
      <c r="N615" s="125" t="str">
        <f t="shared" si="2"/>
        <v/>
      </c>
      <c r="O615" s="125"/>
      <c r="P615" s="125"/>
      <c r="Q615" s="125"/>
      <c r="R615" s="125"/>
      <c r="S615" s="628">
        <f t="shared" si="3"/>
        <v>0</v>
      </c>
      <c r="T615" s="627" t="s">
        <v>51</v>
      </c>
      <c r="U615" s="627" t="s">
        <v>51</v>
      </c>
      <c r="V615" s="627" t="s">
        <v>51</v>
      </c>
      <c r="W615" s="627" t="s">
        <v>51</v>
      </c>
      <c r="X615" s="627" t="s">
        <v>51</v>
      </c>
      <c r="Y615" s="89"/>
    </row>
    <row r="616" ht="22.5" customHeight="1">
      <c r="A616" s="125"/>
      <c r="B616" s="125"/>
      <c r="C616" s="125"/>
      <c r="D616" s="125"/>
      <c r="E616" s="125"/>
      <c r="F616" s="125"/>
      <c r="G616" s="125"/>
      <c r="H616" s="125"/>
      <c r="I616" s="627" t="s">
        <v>51</v>
      </c>
      <c r="J616" s="125" t="s">
        <v>51</v>
      </c>
      <c r="K616" s="125" t="s">
        <v>51</v>
      </c>
      <c r="L616" s="125" t="s">
        <v>51</v>
      </c>
      <c r="M616" s="125" t="str">
        <f t="shared" si="1"/>
        <v/>
      </c>
      <c r="N616" s="125" t="str">
        <f t="shared" si="2"/>
        <v/>
      </c>
      <c r="O616" s="125"/>
      <c r="P616" s="125"/>
      <c r="Q616" s="125"/>
      <c r="R616" s="125"/>
      <c r="S616" s="628">
        <f t="shared" si="3"/>
        <v>0</v>
      </c>
      <c r="T616" s="627" t="s">
        <v>51</v>
      </c>
      <c r="U616" s="627" t="s">
        <v>51</v>
      </c>
      <c r="V616" s="627" t="s">
        <v>51</v>
      </c>
      <c r="W616" s="627" t="s">
        <v>51</v>
      </c>
      <c r="X616" s="627" t="s">
        <v>51</v>
      </c>
      <c r="Y616" s="89"/>
    </row>
    <row r="617" ht="22.5" customHeight="1">
      <c r="A617" s="125"/>
      <c r="B617" s="125"/>
      <c r="C617" s="125"/>
      <c r="D617" s="125"/>
      <c r="E617" s="125"/>
      <c r="F617" s="125"/>
      <c r="G617" s="125"/>
      <c r="H617" s="125"/>
      <c r="I617" s="627" t="s">
        <v>51</v>
      </c>
      <c r="J617" s="125" t="s">
        <v>51</v>
      </c>
      <c r="K617" s="125" t="s">
        <v>51</v>
      </c>
      <c r="L617" s="125" t="s">
        <v>51</v>
      </c>
      <c r="M617" s="125" t="str">
        <f t="shared" si="1"/>
        <v/>
      </c>
      <c r="N617" s="125" t="str">
        <f t="shared" si="2"/>
        <v/>
      </c>
      <c r="O617" s="125"/>
      <c r="P617" s="125"/>
      <c r="Q617" s="125"/>
      <c r="R617" s="125"/>
      <c r="S617" s="628">
        <f t="shared" si="3"/>
        <v>0</v>
      </c>
      <c r="T617" s="627" t="s">
        <v>51</v>
      </c>
      <c r="U617" s="627" t="s">
        <v>51</v>
      </c>
      <c r="V617" s="627" t="s">
        <v>51</v>
      </c>
      <c r="W617" s="627" t="s">
        <v>51</v>
      </c>
      <c r="X617" s="627" t="s">
        <v>51</v>
      </c>
      <c r="Y617" s="89"/>
    </row>
    <row r="618" ht="22.5" customHeight="1">
      <c r="A618" s="125"/>
      <c r="B618" s="125"/>
      <c r="C618" s="125"/>
      <c r="D618" s="125"/>
      <c r="E618" s="125"/>
      <c r="F618" s="125"/>
      <c r="G618" s="125"/>
      <c r="H618" s="125"/>
      <c r="I618" s="627" t="s">
        <v>51</v>
      </c>
      <c r="J618" s="125" t="s">
        <v>51</v>
      </c>
      <c r="K618" s="125" t="s">
        <v>51</v>
      </c>
      <c r="L618" s="125" t="s">
        <v>51</v>
      </c>
      <c r="M618" s="125" t="str">
        <f t="shared" si="1"/>
        <v/>
      </c>
      <c r="N618" s="125" t="str">
        <f t="shared" si="2"/>
        <v/>
      </c>
      <c r="O618" s="125"/>
      <c r="P618" s="125"/>
      <c r="Q618" s="125"/>
      <c r="R618" s="125"/>
      <c r="S618" s="628">
        <f t="shared" si="3"/>
        <v>0</v>
      </c>
      <c r="T618" s="627" t="s">
        <v>51</v>
      </c>
      <c r="U618" s="627" t="s">
        <v>51</v>
      </c>
      <c r="V618" s="627" t="s">
        <v>51</v>
      </c>
      <c r="W618" s="627" t="s">
        <v>51</v>
      </c>
      <c r="X618" s="627" t="s">
        <v>51</v>
      </c>
      <c r="Y618" s="89"/>
    </row>
    <row r="619" ht="22.5" customHeight="1">
      <c r="A619" s="125"/>
      <c r="B619" s="125"/>
      <c r="C619" s="125"/>
      <c r="D619" s="125"/>
      <c r="E619" s="125"/>
      <c r="F619" s="125"/>
      <c r="G619" s="125"/>
      <c r="H619" s="125"/>
      <c r="I619" s="627" t="s">
        <v>51</v>
      </c>
      <c r="J619" s="125" t="s">
        <v>51</v>
      </c>
      <c r="K619" s="125" t="s">
        <v>51</v>
      </c>
      <c r="L619" s="125" t="s">
        <v>51</v>
      </c>
      <c r="M619" s="125" t="str">
        <f t="shared" si="1"/>
        <v/>
      </c>
      <c r="N619" s="125" t="str">
        <f t="shared" si="2"/>
        <v/>
      </c>
      <c r="O619" s="125"/>
      <c r="P619" s="125"/>
      <c r="Q619" s="125"/>
      <c r="R619" s="125"/>
      <c r="S619" s="628">
        <f t="shared" si="3"/>
        <v>0</v>
      </c>
      <c r="T619" s="627" t="s">
        <v>51</v>
      </c>
      <c r="U619" s="627" t="s">
        <v>51</v>
      </c>
      <c r="V619" s="627" t="s">
        <v>51</v>
      </c>
      <c r="W619" s="627" t="s">
        <v>51</v>
      </c>
      <c r="X619" s="627" t="s">
        <v>51</v>
      </c>
      <c r="Y619" s="89"/>
    </row>
    <row r="620" ht="22.5" customHeight="1">
      <c r="A620" s="125"/>
      <c r="B620" s="125"/>
      <c r="C620" s="125"/>
      <c r="D620" s="125"/>
      <c r="E620" s="125"/>
      <c r="F620" s="125"/>
      <c r="G620" s="125"/>
      <c r="H620" s="125"/>
      <c r="I620" s="627" t="s">
        <v>51</v>
      </c>
      <c r="J620" s="125" t="s">
        <v>51</v>
      </c>
      <c r="K620" s="125" t="s">
        <v>51</v>
      </c>
      <c r="L620" s="125" t="s">
        <v>51</v>
      </c>
      <c r="M620" s="125" t="str">
        <f t="shared" si="1"/>
        <v/>
      </c>
      <c r="N620" s="125" t="str">
        <f t="shared" si="2"/>
        <v/>
      </c>
      <c r="O620" s="125"/>
      <c r="P620" s="125"/>
      <c r="Q620" s="125"/>
      <c r="R620" s="125"/>
      <c r="S620" s="628">
        <f t="shared" si="3"/>
        <v>0</v>
      </c>
      <c r="T620" s="627" t="s">
        <v>51</v>
      </c>
      <c r="U620" s="627" t="s">
        <v>51</v>
      </c>
      <c r="V620" s="627" t="s">
        <v>51</v>
      </c>
      <c r="W620" s="627" t="s">
        <v>51</v>
      </c>
      <c r="X620" s="627" t="s">
        <v>51</v>
      </c>
      <c r="Y620" s="89"/>
    </row>
    <row r="621" ht="22.5" customHeight="1">
      <c r="A621" s="125"/>
      <c r="B621" s="125"/>
      <c r="C621" s="125"/>
      <c r="D621" s="125"/>
      <c r="E621" s="125"/>
      <c r="F621" s="125"/>
      <c r="G621" s="125"/>
      <c r="H621" s="125"/>
      <c r="I621" s="627" t="s">
        <v>51</v>
      </c>
      <c r="J621" s="125" t="s">
        <v>51</v>
      </c>
      <c r="K621" s="125" t="s">
        <v>51</v>
      </c>
      <c r="L621" s="125" t="s">
        <v>51</v>
      </c>
      <c r="M621" s="125" t="str">
        <f t="shared" si="1"/>
        <v/>
      </c>
      <c r="N621" s="125" t="str">
        <f t="shared" si="2"/>
        <v/>
      </c>
      <c r="O621" s="125"/>
      <c r="P621" s="125"/>
      <c r="Q621" s="125"/>
      <c r="R621" s="125"/>
      <c r="S621" s="628">
        <f t="shared" si="3"/>
        <v>0</v>
      </c>
      <c r="T621" s="627" t="s">
        <v>51</v>
      </c>
      <c r="U621" s="627" t="s">
        <v>51</v>
      </c>
      <c r="V621" s="627" t="s">
        <v>51</v>
      </c>
      <c r="W621" s="627" t="s">
        <v>51</v>
      </c>
      <c r="X621" s="627" t="s">
        <v>51</v>
      </c>
      <c r="Y621" s="89"/>
    </row>
    <row r="622" ht="22.5" customHeight="1">
      <c r="A622" s="125"/>
      <c r="B622" s="125"/>
      <c r="C622" s="125"/>
      <c r="D622" s="125"/>
      <c r="E622" s="125"/>
      <c r="F622" s="125"/>
      <c r="G622" s="125"/>
      <c r="H622" s="125"/>
      <c r="I622" s="627" t="s">
        <v>51</v>
      </c>
      <c r="J622" s="125" t="s">
        <v>51</v>
      </c>
      <c r="K622" s="125" t="s">
        <v>51</v>
      </c>
      <c r="L622" s="125" t="s">
        <v>51</v>
      </c>
      <c r="M622" s="125" t="str">
        <f t="shared" si="1"/>
        <v/>
      </c>
      <c r="N622" s="125" t="str">
        <f t="shared" si="2"/>
        <v/>
      </c>
      <c r="O622" s="125"/>
      <c r="P622" s="125"/>
      <c r="Q622" s="125"/>
      <c r="R622" s="125"/>
      <c r="S622" s="628">
        <f t="shared" si="3"/>
        <v>0</v>
      </c>
      <c r="T622" s="627" t="s">
        <v>51</v>
      </c>
      <c r="U622" s="627" t="s">
        <v>51</v>
      </c>
      <c r="V622" s="627" t="s">
        <v>51</v>
      </c>
      <c r="W622" s="627" t="s">
        <v>51</v>
      </c>
      <c r="X622" s="627" t="s">
        <v>51</v>
      </c>
      <c r="Y622" s="89"/>
    </row>
    <row r="623" ht="22.5" customHeight="1">
      <c r="A623" s="125"/>
      <c r="B623" s="125"/>
      <c r="C623" s="125"/>
      <c r="D623" s="125"/>
      <c r="E623" s="125"/>
      <c r="F623" s="125"/>
      <c r="G623" s="125"/>
      <c r="H623" s="125"/>
      <c r="I623" s="627" t="s">
        <v>51</v>
      </c>
      <c r="J623" s="125" t="s">
        <v>51</v>
      </c>
      <c r="K623" s="125" t="s">
        <v>51</v>
      </c>
      <c r="L623" s="125" t="s">
        <v>51</v>
      </c>
      <c r="M623" s="125" t="str">
        <f t="shared" si="1"/>
        <v/>
      </c>
      <c r="N623" s="125" t="str">
        <f t="shared" si="2"/>
        <v/>
      </c>
      <c r="O623" s="125"/>
      <c r="P623" s="125"/>
      <c r="Q623" s="125"/>
      <c r="R623" s="125"/>
      <c r="S623" s="628">
        <f t="shared" si="3"/>
        <v>0</v>
      </c>
      <c r="T623" s="627" t="s">
        <v>51</v>
      </c>
      <c r="U623" s="627" t="s">
        <v>51</v>
      </c>
      <c r="V623" s="627" t="s">
        <v>51</v>
      </c>
      <c r="W623" s="627" t="s">
        <v>51</v>
      </c>
      <c r="X623" s="627" t="s">
        <v>51</v>
      </c>
      <c r="Y623" s="89"/>
    </row>
    <row r="624" ht="22.5" customHeight="1">
      <c r="A624" s="125"/>
      <c r="B624" s="125"/>
      <c r="C624" s="125"/>
      <c r="D624" s="125"/>
      <c r="E624" s="125"/>
      <c r="F624" s="125"/>
      <c r="G624" s="125"/>
      <c r="H624" s="125"/>
      <c r="I624" s="627" t="s">
        <v>51</v>
      </c>
      <c r="J624" s="125" t="s">
        <v>51</v>
      </c>
      <c r="K624" s="125" t="s">
        <v>51</v>
      </c>
      <c r="L624" s="125" t="s">
        <v>51</v>
      </c>
      <c r="M624" s="125" t="str">
        <f t="shared" si="1"/>
        <v/>
      </c>
      <c r="N624" s="125" t="str">
        <f t="shared" si="2"/>
        <v/>
      </c>
      <c r="O624" s="125"/>
      <c r="P624" s="125"/>
      <c r="Q624" s="125"/>
      <c r="R624" s="125"/>
      <c r="S624" s="628">
        <f t="shared" si="3"/>
        <v>0</v>
      </c>
      <c r="T624" s="627" t="s">
        <v>51</v>
      </c>
      <c r="U624" s="627" t="s">
        <v>51</v>
      </c>
      <c r="V624" s="627" t="s">
        <v>51</v>
      </c>
      <c r="W624" s="627" t="s">
        <v>51</v>
      </c>
      <c r="X624" s="627" t="s">
        <v>51</v>
      </c>
      <c r="Y624" s="89"/>
    </row>
    <row r="625" ht="22.5" customHeight="1">
      <c r="A625" s="125"/>
      <c r="B625" s="125"/>
      <c r="C625" s="125"/>
      <c r="D625" s="125"/>
      <c r="E625" s="125"/>
      <c r="F625" s="125"/>
      <c r="G625" s="125"/>
      <c r="H625" s="125"/>
      <c r="I625" s="627" t="s">
        <v>51</v>
      </c>
      <c r="J625" s="125" t="s">
        <v>51</v>
      </c>
      <c r="K625" s="125" t="s">
        <v>51</v>
      </c>
      <c r="L625" s="125" t="s">
        <v>51</v>
      </c>
      <c r="M625" s="125" t="str">
        <f t="shared" si="1"/>
        <v/>
      </c>
      <c r="N625" s="125" t="str">
        <f t="shared" si="2"/>
        <v/>
      </c>
      <c r="O625" s="125"/>
      <c r="P625" s="125"/>
      <c r="Q625" s="125"/>
      <c r="R625" s="125"/>
      <c r="S625" s="628">
        <f t="shared" si="3"/>
        <v>0</v>
      </c>
      <c r="T625" s="627" t="s">
        <v>51</v>
      </c>
      <c r="U625" s="627" t="s">
        <v>51</v>
      </c>
      <c r="V625" s="627" t="s">
        <v>51</v>
      </c>
      <c r="W625" s="627" t="s">
        <v>51</v>
      </c>
      <c r="X625" s="627" t="s">
        <v>51</v>
      </c>
      <c r="Y625" s="89"/>
    </row>
    <row r="626" ht="22.5" customHeight="1">
      <c r="A626" s="125"/>
      <c r="B626" s="125"/>
      <c r="C626" s="125"/>
      <c r="D626" s="125"/>
      <c r="E626" s="125"/>
      <c r="F626" s="125"/>
      <c r="G626" s="125"/>
      <c r="H626" s="125"/>
      <c r="I626" s="627" t="s">
        <v>51</v>
      </c>
      <c r="J626" s="125" t="s">
        <v>51</v>
      </c>
      <c r="K626" s="125" t="s">
        <v>51</v>
      </c>
      <c r="L626" s="125" t="s">
        <v>51</v>
      </c>
      <c r="M626" s="125" t="str">
        <f t="shared" si="1"/>
        <v/>
      </c>
      <c r="N626" s="125" t="str">
        <f t="shared" si="2"/>
        <v/>
      </c>
      <c r="O626" s="125"/>
      <c r="P626" s="125"/>
      <c r="Q626" s="125"/>
      <c r="R626" s="125"/>
      <c r="S626" s="628">
        <f t="shared" si="3"/>
        <v>0</v>
      </c>
      <c r="T626" s="627" t="s">
        <v>51</v>
      </c>
      <c r="U626" s="627" t="s">
        <v>51</v>
      </c>
      <c r="V626" s="627" t="s">
        <v>51</v>
      </c>
      <c r="W626" s="627" t="s">
        <v>51</v>
      </c>
      <c r="X626" s="627" t="s">
        <v>51</v>
      </c>
      <c r="Y626" s="89"/>
    </row>
    <row r="627" ht="22.5" customHeight="1">
      <c r="A627" s="125"/>
      <c r="B627" s="125"/>
      <c r="C627" s="125"/>
      <c r="D627" s="125"/>
      <c r="E627" s="125"/>
      <c r="F627" s="125"/>
      <c r="G627" s="125"/>
      <c r="H627" s="125"/>
      <c r="I627" s="627" t="s">
        <v>51</v>
      </c>
      <c r="J627" s="125" t="s">
        <v>51</v>
      </c>
      <c r="K627" s="125" t="s">
        <v>51</v>
      </c>
      <c r="L627" s="125" t="s">
        <v>51</v>
      </c>
      <c r="M627" s="125" t="str">
        <f t="shared" si="1"/>
        <v/>
      </c>
      <c r="N627" s="125" t="str">
        <f t="shared" si="2"/>
        <v/>
      </c>
      <c r="O627" s="125"/>
      <c r="P627" s="125"/>
      <c r="Q627" s="125"/>
      <c r="R627" s="125"/>
      <c r="S627" s="628">
        <f t="shared" si="3"/>
        <v>0</v>
      </c>
      <c r="T627" s="627" t="s">
        <v>51</v>
      </c>
      <c r="U627" s="627" t="s">
        <v>51</v>
      </c>
      <c r="V627" s="627" t="s">
        <v>51</v>
      </c>
      <c r="W627" s="627" t="s">
        <v>51</v>
      </c>
      <c r="X627" s="627" t="s">
        <v>51</v>
      </c>
      <c r="Y627" s="89"/>
    </row>
    <row r="628" ht="22.5" customHeight="1">
      <c r="A628" s="125"/>
      <c r="B628" s="125"/>
      <c r="C628" s="125"/>
      <c r="D628" s="125"/>
      <c r="E628" s="125"/>
      <c r="F628" s="125"/>
      <c r="G628" s="125"/>
      <c r="H628" s="125"/>
      <c r="I628" s="627" t="s">
        <v>51</v>
      </c>
      <c r="J628" s="125" t="s">
        <v>51</v>
      </c>
      <c r="K628" s="125" t="s">
        <v>51</v>
      </c>
      <c r="L628" s="125" t="s">
        <v>51</v>
      </c>
      <c r="M628" s="125" t="str">
        <f t="shared" si="1"/>
        <v/>
      </c>
      <c r="N628" s="125" t="str">
        <f t="shared" si="2"/>
        <v/>
      </c>
      <c r="O628" s="125"/>
      <c r="P628" s="125"/>
      <c r="Q628" s="125"/>
      <c r="R628" s="125"/>
      <c r="S628" s="628">
        <f t="shared" si="3"/>
        <v>0</v>
      </c>
      <c r="T628" s="627" t="s">
        <v>51</v>
      </c>
      <c r="U628" s="627" t="s">
        <v>51</v>
      </c>
      <c r="V628" s="627" t="s">
        <v>51</v>
      </c>
      <c r="W628" s="627" t="s">
        <v>51</v>
      </c>
      <c r="X628" s="627" t="s">
        <v>51</v>
      </c>
      <c r="Y628" s="89"/>
    </row>
    <row r="629" ht="22.5" customHeight="1">
      <c r="A629" s="125"/>
      <c r="B629" s="125"/>
      <c r="C629" s="125"/>
      <c r="D629" s="125"/>
      <c r="E629" s="125"/>
      <c r="F629" s="125"/>
      <c r="G629" s="125"/>
      <c r="H629" s="125"/>
      <c r="I629" s="627" t="s">
        <v>51</v>
      </c>
      <c r="J629" s="125" t="s">
        <v>51</v>
      </c>
      <c r="K629" s="125" t="s">
        <v>51</v>
      </c>
      <c r="L629" s="125" t="s">
        <v>51</v>
      </c>
      <c r="M629" s="125" t="str">
        <f t="shared" si="1"/>
        <v/>
      </c>
      <c r="N629" s="125" t="str">
        <f t="shared" si="2"/>
        <v/>
      </c>
      <c r="O629" s="125"/>
      <c r="P629" s="125"/>
      <c r="Q629" s="125"/>
      <c r="R629" s="125"/>
      <c r="S629" s="628">
        <f t="shared" si="3"/>
        <v>0</v>
      </c>
      <c r="T629" s="627" t="s">
        <v>51</v>
      </c>
      <c r="U629" s="627" t="s">
        <v>51</v>
      </c>
      <c r="V629" s="627" t="s">
        <v>51</v>
      </c>
      <c r="W629" s="627" t="s">
        <v>51</v>
      </c>
      <c r="X629" s="627" t="s">
        <v>51</v>
      </c>
      <c r="Y629" s="89"/>
    </row>
    <row r="630" ht="22.5" customHeight="1">
      <c r="A630" s="125"/>
      <c r="B630" s="125"/>
      <c r="C630" s="125"/>
      <c r="D630" s="125"/>
      <c r="E630" s="125"/>
      <c r="F630" s="125"/>
      <c r="G630" s="125"/>
      <c r="H630" s="125"/>
      <c r="I630" s="627" t="s">
        <v>51</v>
      </c>
      <c r="J630" s="125" t="s">
        <v>51</v>
      </c>
      <c r="K630" s="125" t="s">
        <v>51</v>
      </c>
      <c r="L630" s="125" t="s">
        <v>51</v>
      </c>
      <c r="M630" s="125" t="str">
        <f t="shared" si="1"/>
        <v/>
      </c>
      <c r="N630" s="125" t="str">
        <f t="shared" si="2"/>
        <v/>
      </c>
      <c r="O630" s="125"/>
      <c r="P630" s="125"/>
      <c r="Q630" s="125"/>
      <c r="R630" s="125"/>
      <c r="S630" s="628">
        <f t="shared" si="3"/>
        <v>0</v>
      </c>
      <c r="T630" s="627" t="s">
        <v>51</v>
      </c>
      <c r="U630" s="627" t="s">
        <v>51</v>
      </c>
      <c r="V630" s="627" t="s">
        <v>51</v>
      </c>
      <c r="W630" s="627" t="s">
        <v>51</v>
      </c>
      <c r="X630" s="627" t="s">
        <v>51</v>
      </c>
      <c r="Y630" s="89"/>
    </row>
    <row r="631" ht="22.5" customHeight="1">
      <c r="A631" s="125"/>
      <c r="B631" s="125"/>
      <c r="C631" s="125"/>
      <c r="D631" s="125"/>
      <c r="E631" s="125"/>
      <c r="F631" s="125"/>
      <c r="G631" s="125"/>
      <c r="H631" s="125"/>
      <c r="I631" s="627" t="s">
        <v>51</v>
      </c>
      <c r="J631" s="125" t="s">
        <v>51</v>
      </c>
      <c r="K631" s="125" t="s">
        <v>51</v>
      </c>
      <c r="L631" s="125" t="s">
        <v>51</v>
      </c>
      <c r="M631" s="125" t="str">
        <f t="shared" si="1"/>
        <v/>
      </c>
      <c r="N631" s="125" t="str">
        <f t="shared" si="2"/>
        <v/>
      </c>
      <c r="O631" s="125"/>
      <c r="P631" s="125"/>
      <c r="Q631" s="125"/>
      <c r="R631" s="125"/>
      <c r="S631" s="628">
        <f t="shared" si="3"/>
        <v>0</v>
      </c>
      <c r="T631" s="627" t="s">
        <v>51</v>
      </c>
      <c r="U631" s="627" t="s">
        <v>51</v>
      </c>
      <c r="V631" s="627" t="s">
        <v>51</v>
      </c>
      <c r="W631" s="627" t="s">
        <v>51</v>
      </c>
      <c r="X631" s="627" t="s">
        <v>51</v>
      </c>
      <c r="Y631" s="89"/>
    </row>
    <row r="632" ht="22.5" customHeight="1">
      <c r="A632" s="125"/>
      <c r="B632" s="125"/>
      <c r="C632" s="125"/>
      <c r="D632" s="125"/>
      <c r="E632" s="125"/>
      <c r="F632" s="125"/>
      <c r="G632" s="125"/>
      <c r="H632" s="125"/>
      <c r="I632" s="627" t="s">
        <v>51</v>
      </c>
      <c r="J632" s="125" t="s">
        <v>51</v>
      </c>
      <c r="K632" s="125" t="s">
        <v>51</v>
      </c>
      <c r="L632" s="125" t="s">
        <v>51</v>
      </c>
      <c r="M632" s="125" t="str">
        <f t="shared" si="1"/>
        <v/>
      </c>
      <c r="N632" s="125" t="str">
        <f t="shared" si="2"/>
        <v/>
      </c>
      <c r="O632" s="125"/>
      <c r="P632" s="125"/>
      <c r="Q632" s="125"/>
      <c r="R632" s="125"/>
      <c r="S632" s="628">
        <f t="shared" si="3"/>
        <v>0</v>
      </c>
      <c r="T632" s="627" t="s">
        <v>51</v>
      </c>
      <c r="U632" s="627" t="s">
        <v>51</v>
      </c>
      <c r="V632" s="627" t="s">
        <v>51</v>
      </c>
      <c r="W632" s="627" t="s">
        <v>51</v>
      </c>
      <c r="X632" s="627" t="s">
        <v>51</v>
      </c>
      <c r="Y632" s="89"/>
    </row>
    <row r="633" ht="22.5" customHeight="1">
      <c r="A633" s="125"/>
      <c r="B633" s="125"/>
      <c r="C633" s="125"/>
      <c r="D633" s="125"/>
      <c r="E633" s="125"/>
      <c r="F633" s="125"/>
      <c r="G633" s="125"/>
      <c r="H633" s="125"/>
      <c r="I633" s="627" t="s">
        <v>51</v>
      </c>
      <c r="J633" s="125" t="s">
        <v>51</v>
      </c>
      <c r="K633" s="125" t="s">
        <v>51</v>
      </c>
      <c r="L633" s="125" t="s">
        <v>51</v>
      </c>
      <c r="M633" s="125" t="str">
        <f t="shared" si="1"/>
        <v/>
      </c>
      <c r="N633" s="125" t="str">
        <f t="shared" si="2"/>
        <v/>
      </c>
      <c r="O633" s="125"/>
      <c r="P633" s="125"/>
      <c r="Q633" s="125"/>
      <c r="R633" s="125"/>
      <c r="S633" s="628">
        <f t="shared" si="3"/>
        <v>0</v>
      </c>
      <c r="T633" s="627" t="s">
        <v>51</v>
      </c>
      <c r="U633" s="627" t="s">
        <v>51</v>
      </c>
      <c r="V633" s="627" t="s">
        <v>51</v>
      </c>
      <c r="W633" s="627" t="s">
        <v>51</v>
      </c>
      <c r="X633" s="627" t="s">
        <v>51</v>
      </c>
      <c r="Y633" s="89"/>
    </row>
    <row r="634" ht="22.5" customHeight="1">
      <c r="A634" s="125"/>
      <c r="B634" s="125"/>
      <c r="C634" s="125"/>
      <c r="D634" s="125"/>
      <c r="E634" s="125"/>
      <c r="F634" s="125"/>
      <c r="G634" s="125"/>
      <c r="H634" s="125"/>
      <c r="I634" s="627" t="s">
        <v>51</v>
      </c>
      <c r="J634" s="125" t="s">
        <v>51</v>
      </c>
      <c r="K634" s="125" t="s">
        <v>51</v>
      </c>
      <c r="L634" s="125" t="s">
        <v>51</v>
      </c>
      <c r="M634" s="125" t="str">
        <f t="shared" si="1"/>
        <v/>
      </c>
      <c r="N634" s="125" t="str">
        <f t="shared" si="2"/>
        <v/>
      </c>
      <c r="O634" s="125"/>
      <c r="P634" s="125"/>
      <c r="Q634" s="125"/>
      <c r="R634" s="125"/>
      <c r="S634" s="628">
        <f t="shared" si="3"/>
        <v>0</v>
      </c>
      <c r="T634" s="627" t="s">
        <v>51</v>
      </c>
      <c r="U634" s="627" t="s">
        <v>51</v>
      </c>
      <c r="V634" s="627" t="s">
        <v>51</v>
      </c>
      <c r="W634" s="627" t="s">
        <v>51</v>
      </c>
      <c r="X634" s="627" t="s">
        <v>51</v>
      </c>
      <c r="Y634" s="89"/>
    </row>
    <row r="635" ht="22.5" customHeight="1">
      <c r="A635" s="125"/>
      <c r="B635" s="125"/>
      <c r="C635" s="125"/>
      <c r="D635" s="125"/>
      <c r="E635" s="125"/>
      <c r="F635" s="125"/>
      <c r="G635" s="125"/>
      <c r="H635" s="125"/>
      <c r="I635" s="627" t="s">
        <v>51</v>
      </c>
      <c r="J635" s="125" t="s">
        <v>51</v>
      </c>
      <c r="K635" s="125" t="s">
        <v>51</v>
      </c>
      <c r="L635" s="125" t="s">
        <v>51</v>
      </c>
      <c r="M635" s="125" t="str">
        <f t="shared" si="1"/>
        <v/>
      </c>
      <c r="N635" s="125" t="str">
        <f t="shared" si="2"/>
        <v/>
      </c>
      <c r="O635" s="125"/>
      <c r="P635" s="125"/>
      <c r="Q635" s="125"/>
      <c r="R635" s="125"/>
      <c r="S635" s="628">
        <f t="shared" si="3"/>
        <v>0</v>
      </c>
      <c r="T635" s="627" t="s">
        <v>51</v>
      </c>
      <c r="U635" s="627" t="s">
        <v>51</v>
      </c>
      <c r="V635" s="627" t="s">
        <v>51</v>
      </c>
      <c r="W635" s="627" t="s">
        <v>51</v>
      </c>
      <c r="X635" s="627" t="s">
        <v>51</v>
      </c>
      <c r="Y635" s="89"/>
    </row>
    <row r="636" ht="22.5" customHeight="1">
      <c r="A636" s="125"/>
      <c r="B636" s="125"/>
      <c r="C636" s="125"/>
      <c r="D636" s="125"/>
      <c r="E636" s="125"/>
      <c r="F636" s="125"/>
      <c r="G636" s="125"/>
      <c r="H636" s="125"/>
      <c r="I636" s="627" t="s">
        <v>51</v>
      </c>
      <c r="J636" s="125" t="s">
        <v>51</v>
      </c>
      <c r="K636" s="125" t="s">
        <v>51</v>
      </c>
      <c r="L636" s="125" t="s">
        <v>51</v>
      </c>
      <c r="M636" s="125" t="str">
        <f t="shared" si="1"/>
        <v/>
      </c>
      <c r="N636" s="125" t="str">
        <f t="shared" si="2"/>
        <v/>
      </c>
      <c r="O636" s="125"/>
      <c r="P636" s="125"/>
      <c r="Q636" s="125"/>
      <c r="R636" s="125"/>
      <c r="S636" s="628">
        <f t="shared" si="3"/>
        <v>0</v>
      </c>
      <c r="T636" s="627" t="s">
        <v>51</v>
      </c>
      <c r="U636" s="627" t="s">
        <v>51</v>
      </c>
      <c r="V636" s="627" t="s">
        <v>51</v>
      </c>
      <c r="W636" s="627" t="s">
        <v>51</v>
      </c>
      <c r="X636" s="627" t="s">
        <v>51</v>
      </c>
      <c r="Y636" s="89"/>
    </row>
    <row r="637" ht="22.5" customHeight="1">
      <c r="A637" s="125"/>
      <c r="B637" s="125"/>
      <c r="C637" s="125"/>
      <c r="D637" s="125"/>
      <c r="E637" s="125"/>
      <c r="F637" s="125"/>
      <c r="G637" s="125"/>
      <c r="H637" s="125"/>
      <c r="I637" s="627" t="s">
        <v>51</v>
      </c>
      <c r="J637" s="125" t="s">
        <v>51</v>
      </c>
      <c r="K637" s="125" t="s">
        <v>51</v>
      </c>
      <c r="L637" s="125" t="s">
        <v>51</v>
      </c>
      <c r="M637" s="125" t="str">
        <f t="shared" si="1"/>
        <v/>
      </c>
      <c r="N637" s="125" t="str">
        <f t="shared" si="2"/>
        <v/>
      </c>
      <c r="O637" s="125"/>
      <c r="P637" s="125"/>
      <c r="Q637" s="125"/>
      <c r="R637" s="125"/>
      <c r="S637" s="628">
        <f t="shared" si="3"/>
        <v>0</v>
      </c>
      <c r="T637" s="627" t="s">
        <v>51</v>
      </c>
      <c r="U637" s="627" t="s">
        <v>51</v>
      </c>
      <c r="V637" s="627" t="s">
        <v>51</v>
      </c>
      <c r="W637" s="627" t="s">
        <v>51</v>
      </c>
      <c r="X637" s="627" t="s">
        <v>51</v>
      </c>
      <c r="Y637" s="89"/>
    </row>
    <row r="638" ht="22.5" customHeight="1">
      <c r="A638" s="125"/>
      <c r="B638" s="125"/>
      <c r="C638" s="125"/>
      <c r="D638" s="125"/>
      <c r="E638" s="125"/>
      <c r="F638" s="125"/>
      <c r="G638" s="125"/>
      <c r="H638" s="125"/>
      <c r="I638" s="627" t="s">
        <v>51</v>
      </c>
      <c r="J638" s="125" t="s">
        <v>51</v>
      </c>
      <c r="K638" s="125" t="s">
        <v>51</v>
      </c>
      <c r="L638" s="125" t="s">
        <v>51</v>
      </c>
      <c r="M638" s="125" t="str">
        <f t="shared" si="1"/>
        <v/>
      </c>
      <c r="N638" s="125" t="str">
        <f t="shared" si="2"/>
        <v/>
      </c>
      <c r="O638" s="125"/>
      <c r="P638" s="125"/>
      <c r="Q638" s="125"/>
      <c r="R638" s="125"/>
      <c r="S638" s="628">
        <f t="shared" si="3"/>
        <v>0</v>
      </c>
      <c r="T638" s="627" t="s">
        <v>51</v>
      </c>
      <c r="U638" s="627" t="s">
        <v>51</v>
      </c>
      <c r="V638" s="627" t="s">
        <v>51</v>
      </c>
      <c r="W638" s="627" t="s">
        <v>51</v>
      </c>
      <c r="X638" s="627" t="s">
        <v>51</v>
      </c>
      <c r="Y638" s="89"/>
    </row>
    <row r="639" ht="22.5" customHeight="1">
      <c r="A639" s="125"/>
      <c r="B639" s="125"/>
      <c r="C639" s="125"/>
      <c r="D639" s="125"/>
      <c r="E639" s="125"/>
      <c r="F639" s="125"/>
      <c r="G639" s="125"/>
      <c r="H639" s="125"/>
      <c r="I639" s="627" t="s">
        <v>51</v>
      </c>
      <c r="J639" s="125" t="s">
        <v>51</v>
      </c>
      <c r="K639" s="125" t="s">
        <v>51</v>
      </c>
      <c r="L639" s="125" t="s">
        <v>51</v>
      </c>
      <c r="M639" s="125" t="str">
        <f t="shared" si="1"/>
        <v/>
      </c>
      <c r="N639" s="125" t="str">
        <f t="shared" si="2"/>
        <v/>
      </c>
      <c r="O639" s="125"/>
      <c r="P639" s="125"/>
      <c r="Q639" s="125"/>
      <c r="R639" s="125"/>
      <c r="S639" s="628">
        <f t="shared" si="3"/>
        <v>0</v>
      </c>
      <c r="T639" s="627" t="s">
        <v>51</v>
      </c>
      <c r="U639" s="627" t="s">
        <v>51</v>
      </c>
      <c r="V639" s="627" t="s">
        <v>51</v>
      </c>
      <c r="W639" s="627" t="s">
        <v>51</v>
      </c>
      <c r="X639" s="627" t="s">
        <v>51</v>
      </c>
      <c r="Y639" s="89"/>
    </row>
    <row r="640" ht="22.5" customHeight="1">
      <c r="A640" s="125"/>
      <c r="B640" s="125"/>
      <c r="C640" s="125"/>
      <c r="D640" s="125"/>
      <c r="E640" s="125"/>
      <c r="F640" s="125"/>
      <c r="G640" s="125"/>
      <c r="H640" s="125"/>
      <c r="I640" s="627" t="s">
        <v>51</v>
      </c>
      <c r="J640" s="125" t="s">
        <v>51</v>
      </c>
      <c r="K640" s="125" t="s">
        <v>51</v>
      </c>
      <c r="L640" s="125" t="s">
        <v>51</v>
      </c>
      <c r="M640" s="125" t="str">
        <f t="shared" si="1"/>
        <v/>
      </c>
      <c r="N640" s="125" t="str">
        <f t="shared" si="2"/>
        <v/>
      </c>
      <c r="O640" s="125"/>
      <c r="P640" s="125"/>
      <c r="Q640" s="125"/>
      <c r="R640" s="125"/>
      <c r="S640" s="628">
        <f t="shared" si="3"/>
        <v>0</v>
      </c>
      <c r="T640" s="627" t="s">
        <v>51</v>
      </c>
      <c r="U640" s="627" t="s">
        <v>51</v>
      </c>
      <c r="V640" s="627" t="s">
        <v>51</v>
      </c>
      <c r="W640" s="627" t="s">
        <v>51</v>
      </c>
      <c r="X640" s="627" t="s">
        <v>51</v>
      </c>
      <c r="Y640" s="89"/>
    </row>
    <row r="641" ht="22.5" customHeight="1">
      <c r="A641" s="125"/>
      <c r="B641" s="125"/>
      <c r="C641" s="125"/>
      <c r="D641" s="125"/>
      <c r="E641" s="125"/>
      <c r="F641" s="125"/>
      <c r="G641" s="125"/>
      <c r="H641" s="125"/>
      <c r="I641" s="627" t="s">
        <v>51</v>
      </c>
      <c r="J641" s="125" t="s">
        <v>51</v>
      </c>
      <c r="K641" s="125" t="s">
        <v>51</v>
      </c>
      <c r="L641" s="125" t="s">
        <v>51</v>
      </c>
      <c r="M641" s="125" t="str">
        <f t="shared" si="1"/>
        <v/>
      </c>
      <c r="N641" s="125" t="str">
        <f t="shared" si="2"/>
        <v/>
      </c>
      <c r="O641" s="125"/>
      <c r="P641" s="125"/>
      <c r="Q641" s="125"/>
      <c r="R641" s="125"/>
      <c r="S641" s="628">
        <f t="shared" si="3"/>
        <v>0</v>
      </c>
      <c r="T641" s="627" t="s">
        <v>51</v>
      </c>
      <c r="U641" s="627" t="s">
        <v>51</v>
      </c>
      <c r="V641" s="627" t="s">
        <v>51</v>
      </c>
      <c r="W641" s="627" t="s">
        <v>51</v>
      </c>
      <c r="X641" s="627" t="s">
        <v>51</v>
      </c>
      <c r="Y641" s="89"/>
    </row>
    <row r="642" ht="22.5" customHeight="1">
      <c r="A642" s="125"/>
      <c r="B642" s="125"/>
      <c r="C642" s="125"/>
      <c r="D642" s="125"/>
      <c r="E642" s="125"/>
      <c r="F642" s="125"/>
      <c r="G642" s="125"/>
      <c r="H642" s="125"/>
      <c r="I642" s="627" t="s">
        <v>51</v>
      </c>
      <c r="J642" s="125" t="s">
        <v>51</v>
      </c>
      <c r="K642" s="125" t="s">
        <v>51</v>
      </c>
      <c r="L642" s="125" t="s">
        <v>51</v>
      </c>
      <c r="M642" s="125" t="str">
        <f t="shared" si="1"/>
        <v/>
      </c>
      <c r="N642" s="125" t="str">
        <f t="shared" si="2"/>
        <v/>
      </c>
      <c r="O642" s="125"/>
      <c r="P642" s="125"/>
      <c r="Q642" s="125"/>
      <c r="R642" s="125"/>
      <c r="S642" s="628">
        <f t="shared" si="3"/>
        <v>0</v>
      </c>
      <c r="T642" s="627" t="s">
        <v>51</v>
      </c>
      <c r="U642" s="627" t="s">
        <v>51</v>
      </c>
      <c r="V642" s="627" t="s">
        <v>51</v>
      </c>
      <c r="W642" s="627" t="s">
        <v>51</v>
      </c>
      <c r="X642" s="627" t="s">
        <v>51</v>
      </c>
      <c r="Y642" s="89"/>
    </row>
    <row r="643" ht="22.5" customHeight="1">
      <c r="A643" s="125"/>
      <c r="B643" s="125"/>
      <c r="C643" s="125"/>
      <c r="D643" s="125"/>
      <c r="E643" s="125"/>
      <c r="F643" s="125"/>
      <c r="G643" s="125"/>
      <c r="H643" s="125"/>
      <c r="I643" s="627" t="s">
        <v>51</v>
      </c>
      <c r="J643" s="125" t="s">
        <v>51</v>
      </c>
      <c r="K643" s="125" t="s">
        <v>51</v>
      </c>
      <c r="L643" s="125" t="s">
        <v>51</v>
      </c>
      <c r="M643" s="125" t="str">
        <f t="shared" si="1"/>
        <v/>
      </c>
      <c r="N643" s="125" t="str">
        <f t="shared" si="2"/>
        <v/>
      </c>
      <c r="O643" s="125"/>
      <c r="P643" s="125"/>
      <c r="Q643" s="125"/>
      <c r="R643" s="125"/>
      <c r="S643" s="628">
        <f t="shared" si="3"/>
        <v>0</v>
      </c>
      <c r="T643" s="627" t="s">
        <v>51</v>
      </c>
      <c r="U643" s="627" t="s">
        <v>51</v>
      </c>
      <c r="V643" s="627" t="s">
        <v>51</v>
      </c>
      <c r="W643" s="627" t="s">
        <v>51</v>
      </c>
      <c r="X643" s="627" t="s">
        <v>51</v>
      </c>
      <c r="Y643" s="89"/>
    </row>
    <row r="644" ht="22.5" customHeight="1">
      <c r="A644" s="125"/>
      <c r="B644" s="125"/>
      <c r="C644" s="125"/>
      <c r="D644" s="125"/>
      <c r="E644" s="125"/>
      <c r="F644" s="125"/>
      <c r="G644" s="125"/>
      <c r="H644" s="125"/>
      <c r="I644" s="627" t="s">
        <v>51</v>
      </c>
      <c r="J644" s="125" t="s">
        <v>51</v>
      </c>
      <c r="K644" s="125" t="s">
        <v>51</v>
      </c>
      <c r="L644" s="125" t="s">
        <v>51</v>
      </c>
      <c r="M644" s="125" t="str">
        <f t="shared" si="1"/>
        <v/>
      </c>
      <c r="N644" s="125" t="str">
        <f t="shared" si="2"/>
        <v/>
      </c>
      <c r="O644" s="125"/>
      <c r="P644" s="125"/>
      <c r="Q644" s="125"/>
      <c r="R644" s="125"/>
      <c r="S644" s="628">
        <f t="shared" si="3"/>
        <v>0</v>
      </c>
      <c r="T644" s="627" t="s">
        <v>51</v>
      </c>
      <c r="U644" s="627" t="s">
        <v>51</v>
      </c>
      <c r="V644" s="627" t="s">
        <v>51</v>
      </c>
      <c r="W644" s="627" t="s">
        <v>51</v>
      </c>
      <c r="X644" s="627" t="s">
        <v>51</v>
      </c>
      <c r="Y644" s="89"/>
    </row>
    <row r="645" ht="22.5" customHeight="1">
      <c r="A645" s="125"/>
      <c r="B645" s="125"/>
      <c r="C645" s="125"/>
      <c r="D645" s="125"/>
      <c r="E645" s="125"/>
      <c r="F645" s="125"/>
      <c r="G645" s="125"/>
      <c r="H645" s="125"/>
      <c r="I645" s="627" t="s">
        <v>51</v>
      </c>
      <c r="J645" s="125" t="s">
        <v>51</v>
      </c>
      <c r="K645" s="125" t="s">
        <v>51</v>
      </c>
      <c r="L645" s="125" t="s">
        <v>51</v>
      </c>
      <c r="M645" s="125" t="str">
        <f t="shared" si="1"/>
        <v/>
      </c>
      <c r="N645" s="125" t="str">
        <f t="shared" si="2"/>
        <v/>
      </c>
      <c r="O645" s="125"/>
      <c r="P645" s="125"/>
      <c r="Q645" s="125"/>
      <c r="R645" s="125"/>
      <c r="S645" s="628">
        <f t="shared" si="3"/>
        <v>0</v>
      </c>
      <c r="T645" s="627" t="s">
        <v>51</v>
      </c>
      <c r="U645" s="627" t="s">
        <v>51</v>
      </c>
      <c r="V645" s="627" t="s">
        <v>51</v>
      </c>
      <c r="W645" s="627" t="s">
        <v>51</v>
      </c>
      <c r="X645" s="627" t="s">
        <v>51</v>
      </c>
      <c r="Y645" s="89"/>
    </row>
    <row r="646" ht="22.5" customHeight="1">
      <c r="A646" s="125"/>
      <c r="B646" s="125"/>
      <c r="C646" s="125"/>
      <c r="D646" s="125"/>
      <c r="E646" s="125"/>
      <c r="F646" s="125"/>
      <c r="G646" s="125"/>
      <c r="H646" s="125"/>
      <c r="I646" s="627" t="s">
        <v>51</v>
      </c>
      <c r="J646" s="125" t="s">
        <v>51</v>
      </c>
      <c r="K646" s="125" t="s">
        <v>51</v>
      </c>
      <c r="L646" s="125" t="s">
        <v>51</v>
      </c>
      <c r="M646" s="125" t="str">
        <f t="shared" si="1"/>
        <v/>
      </c>
      <c r="N646" s="125" t="str">
        <f t="shared" si="2"/>
        <v/>
      </c>
      <c r="O646" s="125"/>
      <c r="P646" s="125"/>
      <c r="Q646" s="125"/>
      <c r="R646" s="125"/>
      <c r="S646" s="628">
        <f t="shared" si="3"/>
        <v>0</v>
      </c>
      <c r="T646" s="627" t="s">
        <v>51</v>
      </c>
      <c r="U646" s="627" t="s">
        <v>51</v>
      </c>
      <c r="V646" s="627" t="s">
        <v>51</v>
      </c>
      <c r="W646" s="627" t="s">
        <v>51</v>
      </c>
      <c r="X646" s="627" t="s">
        <v>51</v>
      </c>
      <c r="Y646" s="89"/>
    </row>
    <row r="647" ht="22.5" customHeight="1">
      <c r="A647" s="125"/>
      <c r="B647" s="125"/>
      <c r="C647" s="125"/>
      <c r="D647" s="125"/>
      <c r="E647" s="125"/>
      <c r="F647" s="125"/>
      <c r="G647" s="125"/>
      <c r="H647" s="125"/>
      <c r="I647" s="627" t="s">
        <v>51</v>
      </c>
      <c r="J647" s="125" t="s">
        <v>51</v>
      </c>
      <c r="K647" s="125" t="s">
        <v>51</v>
      </c>
      <c r="L647" s="125" t="s">
        <v>51</v>
      </c>
      <c r="M647" s="125" t="str">
        <f t="shared" si="1"/>
        <v/>
      </c>
      <c r="N647" s="125" t="str">
        <f t="shared" si="2"/>
        <v/>
      </c>
      <c r="O647" s="125"/>
      <c r="P647" s="125"/>
      <c r="Q647" s="125"/>
      <c r="R647" s="125"/>
      <c r="S647" s="628">
        <f t="shared" si="3"/>
        <v>0</v>
      </c>
      <c r="T647" s="627" t="s">
        <v>51</v>
      </c>
      <c r="U647" s="627" t="s">
        <v>51</v>
      </c>
      <c r="V647" s="627" t="s">
        <v>51</v>
      </c>
      <c r="W647" s="627" t="s">
        <v>51</v>
      </c>
      <c r="X647" s="627" t="s">
        <v>51</v>
      </c>
      <c r="Y647" s="89"/>
    </row>
    <row r="648" ht="22.5" customHeight="1">
      <c r="A648" s="125"/>
      <c r="B648" s="125"/>
      <c r="C648" s="125"/>
      <c r="D648" s="125"/>
      <c r="E648" s="125"/>
      <c r="F648" s="125"/>
      <c r="G648" s="125"/>
      <c r="H648" s="125"/>
      <c r="I648" s="627" t="s">
        <v>51</v>
      </c>
      <c r="J648" s="125" t="s">
        <v>51</v>
      </c>
      <c r="K648" s="125" t="s">
        <v>51</v>
      </c>
      <c r="L648" s="125" t="s">
        <v>51</v>
      </c>
      <c r="M648" s="125" t="str">
        <f t="shared" si="1"/>
        <v/>
      </c>
      <c r="N648" s="125" t="str">
        <f t="shared" si="2"/>
        <v/>
      </c>
      <c r="O648" s="125"/>
      <c r="P648" s="125"/>
      <c r="Q648" s="125"/>
      <c r="R648" s="125"/>
      <c r="S648" s="628">
        <f t="shared" si="3"/>
        <v>0</v>
      </c>
      <c r="T648" s="627" t="s">
        <v>51</v>
      </c>
      <c r="U648" s="627" t="s">
        <v>51</v>
      </c>
      <c r="V648" s="627" t="s">
        <v>51</v>
      </c>
      <c r="W648" s="627" t="s">
        <v>51</v>
      </c>
      <c r="X648" s="627" t="s">
        <v>51</v>
      </c>
      <c r="Y648" s="89"/>
    </row>
    <row r="649" ht="22.5" customHeight="1">
      <c r="A649" s="125"/>
      <c r="B649" s="125"/>
      <c r="C649" s="125"/>
      <c r="D649" s="125"/>
      <c r="E649" s="125"/>
      <c r="F649" s="125"/>
      <c r="G649" s="125"/>
      <c r="H649" s="125"/>
      <c r="I649" s="627" t="s">
        <v>51</v>
      </c>
      <c r="J649" s="125" t="s">
        <v>51</v>
      </c>
      <c r="K649" s="125" t="s">
        <v>51</v>
      </c>
      <c r="L649" s="125" t="s">
        <v>51</v>
      </c>
      <c r="M649" s="125" t="str">
        <f t="shared" si="1"/>
        <v/>
      </c>
      <c r="N649" s="125" t="str">
        <f t="shared" si="2"/>
        <v/>
      </c>
      <c r="O649" s="125"/>
      <c r="P649" s="125"/>
      <c r="Q649" s="125"/>
      <c r="R649" s="125"/>
      <c r="S649" s="628">
        <f t="shared" si="3"/>
        <v>0</v>
      </c>
      <c r="T649" s="627" t="s">
        <v>51</v>
      </c>
      <c r="U649" s="627" t="s">
        <v>51</v>
      </c>
      <c r="V649" s="627" t="s">
        <v>51</v>
      </c>
      <c r="W649" s="627" t="s">
        <v>51</v>
      </c>
      <c r="X649" s="627" t="s">
        <v>51</v>
      </c>
      <c r="Y649" s="89"/>
    </row>
    <row r="650" ht="22.5" customHeight="1">
      <c r="A650" s="125"/>
      <c r="B650" s="125"/>
      <c r="C650" s="125"/>
      <c r="D650" s="125"/>
      <c r="E650" s="125"/>
      <c r="F650" s="125"/>
      <c r="G650" s="125"/>
      <c r="H650" s="125"/>
      <c r="I650" s="627" t="s">
        <v>51</v>
      </c>
      <c r="J650" s="125" t="s">
        <v>51</v>
      </c>
      <c r="K650" s="125" t="s">
        <v>51</v>
      </c>
      <c r="L650" s="125" t="s">
        <v>51</v>
      </c>
      <c r="M650" s="125" t="str">
        <f t="shared" si="1"/>
        <v/>
      </c>
      <c r="N650" s="125" t="str">
        <f t="shared" si="2"/>
        <v/>
      </c>
      <c r="O650" s="125"/>
      <c r="P650" s="125"/>
      <c r="Q650" s="125"/>
      <c r="R650" s="125"/>
      <c r="S650" s="628">
        <f t="shared" si="3"/>
        <v>0</v>
      </c>
      <c r="T650" s="627" t="s">
        <v>51</v>
      </c>
      <c r="U650" s="627" t="s">
        <v>51</v>
      </c>
      <c r="V650" s="627" t="s">
        <v>51</v>
      </c>
      <c r="W650" s="627" t="s">
        <v>51</v>
      </c>
      <c r="X650" s="627" t="s">
        <v>51</v>
      </c>
      <c r="Y650" s="89"/>
    </row>
    <row r="651" ht="22.5" customHeight="1">
      <c r="A651" s="125"/>
      <c r="B651" s="125"/>
      <c r="C651" s="125"/>
      <c r="D651" s="125"/>
      <c r="E651" s="125"/>
      <c r="F651" s="125"/>
      <c r="G651" s="125"/>
      <c r="H651" s="125"/>
      <c r="I651" s="627" t="s">
        <v>51</v>
      </c>
      <c r="J651" s="125" t="s">
        <v>51</v>
      </c>
      <c r="K651" s="125" t="s">
        <v>51</v>
      </c>
      <c r="L651" s="125" t="s">
        <v>51</v>
      </c>
      <c r="M651" s="125" t="str">
        <f t="shared" si="1"/>
        <v/>
      </c>
      <c r="N651" s="125" t="str">
        <f t="shared" si="2"/>
        <v/>
      </c>
      <c r="O651" s="125"/>
      <c r="P651" s="125"/>
      <c r="Q651" s="125"/>
      <c r="R651" s="125"/>
      <c r="S651" s="628">
        <f t="shared" si="3"/>
        <v>0</v>
      </c>
      <c r="T651" s="627" t="s">
        <v>51</v>
      </c>
      <c r="U651" s="627" t="s">
        <v>51</v>
      </c>
      <c r="V651" s="627" t="s">
        <v>51</v>
      </c>
      <c r="W651" s="627" t="s">
        <v>51</v>
      </c>
      <c r="X651" s="627" t="s">
        <v>51</v>
      </c>
      <c r="Y651" s="89"/>
    </row>
    <row r="652" ht="22.5" customHeight="1">
      <c r="A652" s="125"/>
      <c r="B652" s="125"/>
      <c r="C652" s="125"/>
      <c r="D652" s="125"/>
      <c r="E652" s="125"/>
      <c r="F652" s="125"/>
      <c r="G652" s="125"/>
      <c r="H652" s="125"/>
      <c r="I652" s="627" t="s">
        <v>51</v>
      </c>
      <c r="J652" s="125" t="s">
        <v>51</v>
      </c>
      <c r="K652" s="125" t="s">
        <v>51</v>
      </c>
      <c r="L652" s="125" t="s">
        <v>51</v>
      </c>
      <c r="M652" s="125" t="str">
        <f t="shared" si="1"/>
        <v/>
      </c>
      <c r="N652" s="125" t="str">
        <f t="shared" si="2"/>
        <v/>
      </c>
      <c r="O652" s="125"/>
      <c r="P652" s="125"/>
      <c r="Q652" s="125"/>
      <c r="R652" s="125"/>
      <c r="S652" s="628">
        <f t="shared" si="3"/>
        <v>0</v>
      </c>
      <c r="T652" s="627" t="s">
        <v>51</v>
      </c>
      <c r="U652" s="627" t="s">
        <v>51</v>
      </c>
      <c r="V652" s="627" t="s">
        <v>51</v>
      </c>
      <c r="W652" s="627" t="s">
        <v>51</v>
      </c>
      <c r="X652" s="627" t="s">
        <v>51</v>
      </c>
      <c r="Y652" s="89"/>
    </row>
    <row r="653" ht="22.5" customHeight="1">
      <c r="A653" s="125"/>
      <c r="B653" s="125"/>
      <c r="C653" s="125"/>
      <c r="D653" s="125"/>
      <c r="E653" s="125"/>
      <c r="F653" s="125"/>
      <c r="G653" s="125"/>
      <c r="H653" s="125"/>
      <c r="I653" s="627" t="s">
        <v>51</v>
      </c>
      <c r="J653" s="125" t="s">
        <v>51</v>
      </c>
      <c r="K653" s="125" t="s">
        <v>51</v>
      </c>
      <c r="L653" s="125" t="s">
        <v>51</v>
      </c>
      <c r="M653" s="125" t="str">
        <f t="shared" si="1"/>
        <v/>
      </c>
      <c r="N653" s="125" t="str">
        <f t="shared" si="2"/>
        <v/>
      </c>
      <c r="O653" s="125"/>
      <c r="P653" s="125"/>
      <c r="Q653" s="125"/>
      <c r="R653" s="125"/>
      <c r="S653" s="628">
        <f t="shared" si="3"/>
        <v>0</v>
      </c>
      <c r="T653" s="627" t="s">
        <v>51</v>
      </c>
      <c r="U653" s="627" t="s">
        <v>51</v>
      </c>
      <c r="V653" s="627" t="s">
        <v>51</v>
      </c>
      <c r="W653" s="627" t="s">
        <v>51</v>
      </c>
      <c r="X653" s="627" t="s">
        <v>51</v>
      </c>
      <c r="Y653" s="89"/>
    </row>
    <row r="654" ht="22.5" customHeight="1">
      <c r="A654" s="125"/>
      <c r="B654" s="125"/>
      <c r="C654" s="125"/>
      <c r="D654" s="125"/>
      <c r="E654" s="125"/>
      <c r="F654" s="125"/>
      <c r="G654" s="125"/>
      <c r="H654" s="125"/>
      <c r="I654" s="627" t="s">
        <v>51</v>
      </c>
      <c r="J654" s="125" t="s">
        <v>51</v>
      </c>
      <c r="K654" s="125" t="s">
        <v>51</v>
      </c>
      <c r="L654" s="125" t="s">
        <v>51</v>
      </c>
      <c r="M654" s="125" t="str">
        <f t="shared" si="1"/>
        <v/>
      </c>
      <c r="N654" s="125" t="str">
        <f t="shared" si="2"/>
        <v/>
      </c>
      <c r="O654" s="125"/>
      <c r="P654" s="125"/>
      <c r="Q654" s="125"/>
      <c r="R654" s="125"/>
      <c r="S654" s="628">
        <f t="shared" si="3"/>
        <v>0</v>
      </c>
      <c r="T654" s="627" t="s">
        <v>51</v>
      </c>
      <c r="U654" s="627" t="s">
        <v>51</v>
      </c>
      <c r="V654" s="627" t="s">
        <v>51</v>
      </c>
      <c r="W654" s="627" t="s">
        <v>51</v>
      </c>
      <c r="X654" s="627" t="s">
        <v>51</v>
      </c>
      <c r="Y654" s="89"/>
    </row>
    <row r="655" ht="22.5" customHeight="1">
      <c r="A655" s="125"/>
      <c r="B655" s="125"/>
      <c r="C655" s="125"/>
      <c r="D655" s="125"/>
      <c r="E655" s="125"/>
      <c r="F655" s="125"/>
      <c r="G655" s="125"/>
      <c r="H655" s="125"/>
      <c r="I655" s="627" t="s">
        <v>51</v>
      </c>
      <c r="J655" s="125" t="s">
        <v>51</v>
      </c>
      <c r="K655" s="125" t="s">
        <v>51</v>
      </c>
      <c r="L655" s="125" t="s">
        <v>51</v>
      </c>
      <c r="M655" s="125" t="str">
        <f t="shared" si="1"/>
        <v/>
      </c>
      <c r="N655" s="125" t="str">
        <f t="shared" si="2"/>
        <v/>
      </c>
      <c r="O655" s="125"/>
      <c r="P655" s="125"/>
      <c r="Q655" s="125"/>
      <c r="R655" s="125"/>
      <c r="S655" s="628">
        <f t="shared" si="3"/>
        <v>0</v>
      </c>
      <c r="T655" s="627" t="s">
        <v>51</v>
      </c>
      <c r="U655" s="627" t="s">
        <v>51</v>
      </c>
      <c r="V655" s="627" t="s">
        <v>51</v>
      </c>
      <c r="W655" s="627" t="s">
        <v>51</v>
      </c>
      <c r="X655" s="627" t="s">
        <v>51</v>
      </c>
      <c r="Y655" s="89"/>
    </row>
    <row r="656" ht="22.5" customHeight="1">
      <c r="A656" s="125"/>
      <c r="B656" s="125"/>
      <c r="C656" s="125"/>
      <c r="D656" s="125"/>
      <c r="E656" s="125"/>
      <c r="F656" s="125"/>
      <c r="G656" s="125"/>
      <c r="H656" s="125"/>
      <c r="I656" s="627" t="s">
        <v>51</v>
      </c>
      <c r="J656" s="125" t="s">
        <v>51</v>
      </c>
      <c r="K656" s="125" t="s">
        <v>51</v>
      </c>
      <c r="L656" s="125" t="s">
        <v>51</v>
      </c>
      <c r="M656" s="125" t="str">
        <f t="shared" si="1"/>
        <v/>
      </c>
      <c r="N656" s="125" t="str">
        <f t="shared" si="2"/>
        <v/>
      </c>
      <c r="O656" s="125"/>
      <c r="P656" s="125"/>
      <c r="Q656" s="125"/>
      <c r="R656" s="125"/>
      <c r="S656" s="628">
        <f t="shared" si="3"/>
        <v>0</v>
      </c>
      <c r="T656" s="627" t="s">
        <v>51</v>
      </c>
      <c r="U656" s="627" t="s">
        <v>51</v>
      </c>
      <c r="V656" s="627" t="s">
        <v>51</v>
      </c>
      <c r="W656" s="627" t="s">
        <v>51</v>
      </c>
      <c r="X656" s="627" t="s">
        <v>51</v>
      </c>
      <c r="Y656" s="89"/>
    </row>
    <row r="657" ht="22.5" customHeight="1">
      <c r="A657" s="125"/>
      <c r="B657" s="125"/>
      <c r="C657" s="125"/>
      <c r="D657" s="125"/>
      <c r="E657" s="125"/>
      <c r="F657" s="125"/>
      <c r="G657" s="125"/>
      <c r="H657" s="125"/>
      <c r="I657" s="627" t="s">
        <v>51</v>
      </c>
      <c r="J657" s="125" t="s">
        <v>51</v>
      </c>
      <c r="K657" s="125" t="s">
        <v>51</v>
      </c>
      <c r="L657" s="125" t="s">
        <v>51</v>
      </c>
      <c r="M657" s="125" t="str">
        <f t="shared" si="1"/>
        <v/>
      </c>
      <c r="N657" s="125" t="str">
        <f t="shared" si="2"/>
        <v/>
      </c>
      <c r="O657" s="125"/>
      <c r="P657" s="125"/>
      <c r="Q657" s="125"/>
      <c r="R657" s="125"/>
      <c r="S657" s="628">
        <f t="shared" si="3"/>
        <v>0</v>
      </c>
      <c r="T657" s="627" t="s">
        <v>51</v>
      </c>
      <c r="U657" s="627" t="s">
        <v>51</v>
      </c>
      <c r="V657" s="627" t="s">
        <v>51</v>
      </c>
      <c r="W657" s="627" t="s">
        <v>51</v>
      </c>
      <c r="X657" s="627" t="s">
        <v>51</v>
      </c>
      <c r="Y657" s="89"/>
    </row>
    <row r="658" ht="22.5" customHeight="1">
      <c r="A658" s="125"/>
      <c r="B658" s="125"/>
      <c r="C658" s="125"/>
      <c r="D658" s="125"/>
      <c r="E658" s="125"/>
      <c r="F658" s="125"/>
      <c r="G658" s="125"/>
      <c r="H658" s="125"/>
      <c r="I658" s="627" t="s">
        <v>51</v>
      </c>
      <c r="J658" s="125" t="s">
        <v>51</v>
      </c>
      <c r="K658" s="125" t="s">
        <v>51</v>
      </c>
      <c r="L658" s="125" t="s">
        <v>51</v>
      </c>
      <c r="M658" s="125" t="str">
        <f t="shared" si="1"/>
        <v/>
      </c>
      <c r="N658" s="125" t="str">
        <f t="shared" si="2"/>
        <v/>
      </c>
      <c r="O658" s="125"/>
      <c r="P658" s="125"/>
      <c r="Q658" s="125"/>
      <c r="R658" s="125"/>
      <c r="S658" s="628">
        <f t="shared" si="3"/>
        <v>0</v>
      </c>
      <c r="T658" s="627" t="s">
        <v>51</v>
      </c>
      <c r="U658" s="627" t="s">
        <v>51</v>
      </c>
      <c r="V658" s="627" t="s">
        <v>51</v>
      </c>
      <c r="W658" s="627" t="s">
        <v>51</v>
      </c>
      <c r="X658" s="627" t="s">
        <v>51</v>
      </c>
      <c r="Y658" s="89"/>
    </row>
    <row r="659" ht="22.5" customHeight="1">
      <c r="A659" s="125"/>
      <c r="B659" s="125"/>
      <c r="C659" s="125"/>
      <c r="D659" s="125"/>
      <c r="E659" s="125"/>
      <c r="F659" s="125"/>
      <c r="G659" s="125"/>
      <c r="H659" s="125"/>
      <c r="I659" s="627" t="s">
        <v>51</v>
      </c>
      <c r="J659" s="125" t="s">
        <v>51</v>
      </c>
      <c r="K659" s="125" t="s">
        <v>51</v>
      </c>
      <c r="L659" s="125" t="s">
        <v>51</v>
      </c>
      <c r="M659" s="125" t="str">
        <f t="shared" si="1"/>
        <v/>
      </c>
      <c r="N659" s="125" t="str">
        <f t="shared" si="2"/>
        <v/>
      </c>
      <c r="O659" s="125"/>
      <c r="P659" s="125"/>
      <c r="Q659" s="125"/>
      <c r="R659" s="125"/>
      <c r="S659" s="628">
        <f t="shared" si="3"/>
        <v>0</v>
      </c>
      <c r="T659" s="627" t="s">
        <v>51</v>
      </c>
      <c r="U659" s="627" t="s">
        <v>51</v>
      </c>
      <c r="V659" s="627" t="s">
        <v>51</v>
      </c>
      <c r="W659" s="627" t="s">
        <v>51</v>
      </c>
      <c r="X659" s="627" t="s">
        <v>51</v>
      </c>
      <c r="Y659" s="89"/>
    </row>
    <row r="660" ht="22.5" customHeight="1">
      <c r="A660" s="125"/>
      <c r="B660" s="125"/>
      <c r="C660" s="125"/>
      <c r="D660" s="125"/>
      <c r="E660" s="125"/>
      <c r="F660" s="125"/>
      <c r="G660" s="125"/>
      <c r="H660" s="125"/>
      <c r="I660" s="627" t="s">
        <v>51</v>
      </c>
      <c r="J660" s="125" t="s">
        <v>51</v>
      </c>
      <c r="K660" s="125" t="s">
        <v>51</v>
      </c>
      <c r="L660" s="125" t="s">
        <v>51</v>
      </c>
      <c r="M660" s="125" t="str">
        <f t="shared" si="1"/>
        <v/>
      </c>
      <c r="N660" s="125" t="str">
        <f t="shared" si="2"/>
        <v/>
      </c>
      <c r="O660" s="125"/>
      <c r="P660" s="125"/>
      <c r="Q660" s="125"/>
      <c r="R660" s="125"/>
      <c r="S660" s="628">
        <f t="shared" si="3"/>
        <v>0</v>
      </c>
      <c r="T660" s="627" t="s">
        <v>51</v>
      </c>
      <c r="U660" s="627" t="s">
        <v>51</v>
      </c>
      <c r="V660" s="627" t="s">
        <v>51</v>
      </c>
      <c r="W660" s="627" t="s">
        <v>51</v>
      </c>
      <c r="X660" s="627" t="s">
        <v>51</v>
      </c>
      <c r="Y660" s="89"/>
    </row>
    <row r="661" ht="22.5" customHeight="1">
      <c r="A661" s="125"/>
      <c r="B661" s="125"/>
      <c r="C661" s="125"/>
      <c r="D661" s="125"/>
      <c r="E661" s="125"/>
      <c r="F661" s="125"/>
      <c r="G661" s="125"/>
      <c r="H661" s="125"/>
      <c r="I661" s="627" t="s">
        <v>51</v>
      </c>
      <c r="J661" s="125" t="s">
        <v>51</v>
      </c>
      <c r="K661" s="125" t="s">
        <v>51</v>
      </c>
      <c r="L661" s="125" t="s">
        <v>51</v>
      </c>
      <c r="M661" s="125" t="str">
        <f t="shared" si="1"/>
        <v/>
      </c>
      <c r="N661" s="125" t="str">
        <f t="shared" si="2"/>
        <v/>
      </c>
      <c r="O661" s="125"/>
      <c r="P661" s="125"/>
      <c r="Q661" s="125"/>
      <c r="R661" s="125"/>
      <c r="S661" s="628">
        <f t="shared" si="3"/>
        <v>0</v>
      </c>
      <c r="T661" s="627" t="s">
        <v>51</v>
      </c>
      <c r="U661" s="627" t="s">
        <v>51</v>
      </c>
      <c r="V661" s="627" t="s">
        <v>51</v>
      </c>
      <c r="W661" s="627" t="s">
        <v>51</v>
      </c>
      <c r="X661" s="627" t="s">
        <v>51</v>
      </c>
      <c r="Y661" s="89"/>
    </row>
    <row r="662" ht="22.5" customHeight="1">
      <c r="A662" s="125"/>
      <c r="B662" s="125"/>
      <c r="C662" s="125"/>
      <c r="D662" s="125"/>
      <c r="E662" s="125"/>
      <c r="F662" s="125"/>
      <c r="G662" s="125"/>
      <c r="H662" s="125"/>
      <c r="I662" s="627" t="s">
        <v>51</v>
      </c>
      <c r="J662" s="125" t="s">
        <v>51</v>
      </c>
      <c r="K662" s="125" t="s">
        <v>51</v>
      </c>
      <c r="L662" s="125" t="s">
        <v>51</v>
      </c>
      <c r="M662" s="125" t="str">
        <f t="shared" si="1"/>
        <v/>
      </c>
      <c r="N662" s="125" t="str">
        <f t="shared" si="2"/>
        <v/>
      </c>
      <c r="O662" s="125"/>
      <c r="P662" s="125"/>
      <c r="Q662" s="125"/>
      <c r="R662" s="125"/>
      <c r="S662" s="628">
        <f t="shared" si="3"/>
        <v>0</v>
      </c>
      <c r="T662" s="627" t="s">
        <v>51</v>
      </c>
      <c r="U662" s="627" t="s">
        <v>51</v>
      </c>
      <c r="V662" s="627" t="s">
        <v>51</v>
      </c>
      <c r="W662" s="627" t="s">
        <v>51</v>
      </c>
      <c r="X662" s="627" t="s">
        <v>51</v>
      </c>
      <c r="Y662" s="89"/>
    </row>
    <row r="663" ht="22.5" customHeight="1">
      <c r="A663" s="125"/>
      <c r="B663" s="125"/>
      <c r="C663" s="125"/>
      <c r="D663" s="125"/>
      <c r="E663" s="125"/>
      <c r="F663" s="125"/>
      <c r="G663" s="125"/>
      <c r="H663" s="125"/>
      <c r="I663" s="627" t="s">
        <v>51</v>
      </c>
      <c r="J663" s="125" t="s">
        <v>51</v>
      </c>
      <c r="K663" s="125" t="s">
        <v>51</v>
      </c>
      <c r="L663" s="125" t="s">
        <v>51</v>
      </c>
      <c r="M663" s="125" t="str">
        <f t="shared" si="1"/>
        <v/>
      </c>
      <c r="N663" s="125" t="str">
        <f t="shared" si="2"/>
        <v/>
      </c>
      <c r="O663" s="125"/>
      <c r="P663" s="125"/>
      <c r="Q663" s="125"/>
      <c r="R663" s="125"/>
      <c r="S663" s="628">
        <f t="shared" si="3"/>
        <v>0</v>
      </c>
      <c r="T663" s="627" t="s">
        <v>51</v>
      </c>
      <c r="U663" s="627" t="s">
        <v>51</v>
      </c>
      <c r="V663" s="627" t="s">
        <v>51</v>
      </c>
      <c r="W663" s="627" t="s">
        <v>51</v>
      </c>
      <c r="X663" s="627" t="s">
        <v>51</v>
      </c>
      <c r="Y663" s="89"/>
    </row>
    <row r="664" ht="22.5" customHeight="1">
      <c r="A664" s="125"/>
      <c r="B664" s="125"/>
      <c r="C664" s="125"/>
      <c r="D664" s="125"/>
      <c r="E664" s="125"/>
      <c r="F664" s="125"/>
      <c r="G664" s="125"/>
      <c r="H664" s="125"/>
      <c r="I664" s="627" t="s">
        <v>51</v>
      </c>
      <c r="J664" s="125" t="s">
        <v>51</v>
      </c>
      <c r="K664" s="125" t="s">
        <v>51</v>
      </c>
      <c r="L664" s="125" t="s">
        <v>51</v>
      </c>
      <c r="M664" s="125" t="str">
        <f t="shared" si="1"/>
        <v/>
      </c>
      <c r="N664" s="125" t="str">
        <f t="shared" si="2"/>
        <v/>
      </c>
      <c r="O664" s="125"/>
      <c r="P664" s="125"/>
      <c r="Q664" s="125"/>
      <c r="R664" s="125"/>
      <c r="S664" s="628">
        <f t="shared" si="3"/>
        <v>0</v>
      </c>
      <c r="T664" s="627" t="s">
        <v>51</v>
      </c>
      <c r="U664" s="627" t="s">
        <v>51</v>
      </c>
      <c r="V664" s="627" t="s">
        <v>51</v>
      </c>
      <c r="W664" s="627" t="s">
        <v>51</v>
      </c>
      <c r="X664" s="627" t="s">
        <v>51</v>
      </c>
      <c r="Y664" s="89"/>
    </row>
    <row r="665" ht="22.5" customHeight="1">
      <c r="A665" s="125"/>
      <c r="B665" s="125"/>
      <c r="C665" s="125"/>
      <c r="D665" s="125"/>
      <c r="E665" s="125"/>
      <c r="F665" s="125"/>
      <c r="G665" s="125"/>
      <c r="H665" s="125"/>
      <c r="I665" s="627" t="s">
        <v>51</v>
      </c>
      <c r="J665" s="125" t="s">
        <v>51</v>
      </c>
      <c r="K665" s="125" t="s">
        <v>51</v>
      </c>
      <c r="L665" s="125" t="s">
        <v>51</v>
      </c>
      <c r="M665" s="125" t="str">
        <f t="shared" si="1"/>
        <v/>
      </c>
      <c r="N665" s="125" t="str">
        <f t="shared" si="2"/>
        <v/>
      </c>
      <c r="O665" s="125"/>
      <c r="P665" s="125"/>
      <c r="Q665" s="125"/>
      <c r="R665" s="125"/>
      <c r="S665" s="628">
        <f t="shared" si="3"/>
        <v>0</v>
      </c>
      <c r="T665" s="627" t="s">
        <v>51</v>
      </c>
      <c r="U665" s="627" t="s">
        <v>51</v>
      </c>
      <c r="V665" s="627" t="s">
        <v>51</v>
      </c>
      <c r="W665" s="627" t="s">
        <v>51</v>
      </c>
      <c r="X665" s="627" t="s">
        <v>51</v>
      </c>
      <c r="Y665" s="89"/>
    </row>
    <row r="666" ht="22.5" customHeight="1">
      <c r="A666" s="125"/>
      <c r="B666" s="125"/>
      <c r="C666" s="125"/>
      <c r="D666" s="125"/>
      <c r="E666" s="125"/>
      <c r="F666" s="125"/>
      <c r="G666" s="125"/>
      <c r="H666" s="125"/>
      <c r="I666" s="627" t="s">
        <v>51</v>
      </c>
      <c r="J666" s="125" t="s">
        <v>51</v>
      </c>
      <c r="K666" s="125" t="s">
        <v>51</v>
      </c>
      <c r="L666" s="125" t="s">
        <v>51</v>
      </c>
      <c r="M666" s="125" t="str">
        <f t="shared" si="1"/>
        <v/>
      </c>
      <c r="N666" s="125" t="str">
        <f t="shared" si="2"/>
        <v/>
      </c>
      <c r="O666" s="125"/>
      <c r="P666" s="125"/>
      <c r="Q666" s="125"/>
      <c r="R666" s="125"/>
      <c r="S666" s="628">
        <f t="shared" si="3"/>
        <v>0</v>
      </c>
      <c r="T666" s="627" t="s">
        <v>51</v>
      </c>
      <c r="U666" s="627" t="s">
        <v>51</v>
      </c>
      <c r="V666" s="627" t="s">
        <v>51</v>
      </c>
      <c r="W666" s="627" t="s">
        <v>51</v>
      </c>
      <c r="X666" s="627" t="s">
        <v>51</v>
      </c>
      <c r="Y666" s="89"/>
    </row>
    <row r="667" ht="22.5" customHeight="1">
      <c r="A667" s="125"/>
      <c r="B667" s="125"/>
      <c r="C667" s="125"/>
      <c r="D667" s="125"/>
      <c r="E667" s="125"/>
      <c r="F667" s="125"/>
      <c r="G667" s="125"/>
      <c r="H667" s="125"/>
      <c r="I667" s="627" t="s">
        <v>51</v>
      </c>
      <c r="J667" s="125" t="s">
        <v>51</v>
      </c>
      <c r="K667" s="125" t="s">
        <v>51</v>
      </c>
      <c r="L667" s="125" t="s">
        <v>51</v>
      </c>
      <c r="M667" s="125" t="str">
        <f t="shared" si="1"/>
        <v/>
      </c>
      <c r="N667" s="125" t="str">
        <f t="shared" si="2"/>
        <v/>
      </c>
      <c r="O667" s="125"/>
      <c r="P667" s="125"/>
      <c r="Q667" s="125"/>
      <c r="R667" s="125"/>
      <c r="S667" s="628">
        <f t="shared" si="3"/>
        <v>0</v>
      </c>
      <c r="T667" s="627" t="s">
        <v>51</v>
      </c>
      <c r="U667" s="627" t="s">
        <v>51</v>
      </c>
      <c r="V667" s="627" t="s">
        <v>51</v>
      </c>
      <c r="W667" s="627" t="s">
        <v>51</v>
      </c>
      <c r="X667" s="627" t="s">
        <v>51</v>
      </c>
      <c r="Y667" s="89"/>
    </row>
    <row r="668" ht="22.5" customHeight="1">
      <c r="A668" s="125"/>
      <c r="B668" s="125"/>
      <c r="C668" s="125"/>
      <c r="D668" s="125"/>
      <c r="E668" s="125"/>
      <c r="F668" s="125"/>
      <c r="G668" s="125"/>
      <c r="H668" s="125"/>
      <c r="I668" s="627" t="s">
        <v>51</v>
      </c>
      <c r="J668" s="125" t="s">
        <v>51</v>
      </c>
      <c r="K668" s="125" t="s">
        <v>51</v>
      </c>
      <c r="L668" s="125" t="s">
        <v>51</v>
      </c>
      <c r="M668" s="125" t="str">
        <f t="shared" si="1"/>
        <v/>
      </c>
      <c r="N668" s="125" t="str">
        <f t="shared" si="2"/>
        <v/>
      </c>
      <c r="O668" s="125"/>
      <c r="P668" s="125"/>
      <c r="Q668" s="125"/>
      <c r="R668" s="125"/>
      <c r="S668" s="628">
        <f t="shared" si="3"/>
        <v>0</v>
      </c>
      <c r="T668" s="627" t="s">
        <v>51</v>
      </c>
      <c r="U668" s="627" t="s">
        <v>51</v>
      </c>
      <c r="V668" s="627" t="s">
        <v>51</v>
      </c>
      <c r="W668" s="627" t="s">
        <v>51</v>
      </c>
      <c r="X668" s="627" t="s">
        <v>51</v>
      </c>
      <c r="Y668" s="89"/>
    </row>
    <row r="669" ht="22.5" customHeight="1">
      <c r="A669" s="125"/>
      <c r="B669" s="125"/>
      <c r="C669" s="125"/>
      <c r="D669" s="125"/>
      <c r="E669" s="125"/>
      <c r="F669" s="125"/>
      <c r="G669" s="125"/>
      <c r="H669" s="125"/>
      <c r="I669" s="627" t="s">
        <v>51</v>
      </c>
      <c r="J669" s="125" t="s">
        <v>51</v>
      </c>
      <c r="K669" s="125" t="s">
        <v>51</v>
      </c>
      <c r="L669" s="125" t="s">
        <v>51</v>
      </c>
      <c r="M669" s="125" t="str">
        <f t="shared" si="1"/>
        <v/>
      </c>
      <c r="N669" s="125" t="str">
        <f t="shared" si="2"/>
        <v/>
      </c>
      <c r="O669" s="125"/>
      <c r="P669" s="125"/>
      <c r="Q669" s="125"/>
      <c r="R669" s="125"/>
      <c r="S669" s="628">
        <f t="shared" si="3"/>
        <v>0</v>
      </c>
      <c r="T669" s="627" t="s">
        <v>51</v>
      </c>
      <c r="U669" s="627" t="s">
        <v>51</v>
      </c>
      <c r="V669" s="627" t="s">
        <v>51</v>
      </c>
      <c r="W669" s="627" t="s">
        <v>51</v>
      </c>
      <c r="X669" s="627" t="s">
        <v>51</v>
      </c>
      <c r="Y669" s="89"/>
    </row>
    <row r="670" ht="22.5" customHeight="1">
      <c r="A670" s="125"/>
      <c r="B670" s="125"/>
      <c r="C670" s="125"/>
      <c r="D670" s="125"/>
      <c r="E670" s="125"/>
      <c r="F670" s="125"/>
      <c r="G670" s="125"/>
      <c r="H670" s="125"/>
      <c r="I670" s="627" t="s">
        <v>51</v>
      </c>
      <c r="J670" s="125" t="s">
        <v>51</v>
      </c>
      <c r="K670" s="125" t="s">
        <v>51</v>
      </c>
      <c r="L670" s="125" t="s">
        <v>51</v>
      </c>
      <c r="M670" s="125" t="str">
        <f t="shared" si="1"/>
        <v/>
      </c>
      <c r="N670" s="125" t="str">
        <f t="shared" si="2"/>
        <v/>
      </c>
      <c r="O670" s="125"/>
      <c r="P670" s="125"/>
      <c r="Q670" s="125"/>
      <c r="R670" s="125"/>
      <c r="S670" s="628">
        <f t="shared" si="3"/>
        <v>0</v>
      </c>
      <c r="T670" s="627" t="s">
        <v>51</v>
      </c>
      <c r="U670" s="627" t="s">
        <v>51</v>
      </c>
      <c r="V670" s="627" t="s">
        <v>51</v>
      </c>
      <c r="W670" s="627" t="s">
        <v>51</v>
      </c>
      <c r="X670" s="627" t="s">
        <v>51</v>
      </c>
      <c r="Y670" s="89"/>
    </row>
    <row r="671" ht="22.5" customHeight="1">
      <c r="A671" s="125"/>
      <c r="B671" s="125"/>
      <c r="C671" s="125"/>
      <c r="D671" s="125"/>
      <c r="E671" s="125"/>
      <c r="F671" s="125"/>
      <c r="G671" s="125"/>
      <c r="H671" s="125"/>
      <c r="I671" s="627" t="s">
        <v>51</v>
      </c>
      <c r="J671" s="125" t="s">
        <v>51</v>
      </c>
      <c r="K671" s="125" t="s">
        <v>51</v>
      </c>
      <c r="L671" s="125" t="s">
        <v>51</v>
      </c>
      <c r="M671" s="125" t="str">
        <f t="shared" si="1"/>
        <v/>
      </c>
      <c r="N671" s="125" t="str">
        <f t="shared" si="2"/>
        <v/>
      </c>
      <c r="O671" s="125"/>
      <c r="P671" s="125"/>
      <c r="Q671" s="125"/>
      <c r="R671" s="125"/>
      <c r="S671" s="628">
        <f t="shared" si="3"/>
        <v>0</v>
      </c>
      <c r="T671" s="627" t="s">
        <v>51</v>
      </c>
      <c r="U671" s="627" t="s">
        <v>51</v>
      </c>
      <c r="V671" s="627" t="s">
        <v>51</v>
      </c>
      <c r="W671" s="627" t="s">
        <v>51</v>
      </c>
      <c r="X671" s="627" t="s">
        <v>51</v>
      </c>
      <c r="Y671" s="89"/>
    </row>
    <row r="672" ht="22.5" customHeight="1">
      <c r="A672" s="125"/>
      <c r="B672" s="125"/>
      <c r="C672" s="125"/>
      <c r="D672" s="125"/>
      <c r="E672" s="125"/>
      <c r="F672" s="125"/>
      <c r="G672" s="125"/>
      <c r="H672" s="125"/>
      <c r="I672" s="627" t="s">
        <v>51</v>
      </c>
      <c r="J672" s="125" t="s">
        <v>51</v>
      </c>
      <c r="K672" s="125" t="s">
        <v>51</v>
      </c>
      <c r="L672" s="125" t="s">
        <v>51</v>
      </c>
      <c r="M672" s="125" t="str">
        <f t="shared" si="1"/>
        <v/>
      </c>
      <c r="N672" s="125" t="str">
        <f t="shared" si="2"/>
        <v/>
      </c>
      <c r="O672" s="125"/>
      <c r="P672" s="125"/>
      <c r="Q672" s="125"/>
      <c r="R672" s="125"/>
      <c r="S672" s="628">
        <f t="shared" si="3"/>
        <v>0</v>
      </c>
      <c r="T672" s="627" t="s">
        <v>51</v>
      </c>
      <c r="U672" s="627" t="s">
        <v>51</v>
      </c>
      <c r="V672" s="627" t="s">
        <v>51</v>
      </c>
      <c r="W672" s="627" t="s">
        <v>51</v>
      </c>
      <c r="X672" s="627" t="s">
        <v>51</v>
      </c>
      <c r="Y672" s="89"/>
    </row>
    <row r="673" ht="22.5" customHeight="1">
      <c r="A673" s="125"/>
      <c r="B673" s="125"/>
      <c r="C673" s="125"/>
      <c r="D673" s="125"/>
      <c r="E673" s="125"/>
      <c r="F673" s="125"/>
      <c r="G673" s="125"/>
      <c r="H673" s="125"/>
      <c r="I673" s="627" t="s">
        <v>51</v>
      </c>
      <c r="J673" s="125" t="s">
        <v>51</v>
      </c>
      <c r="K673" s="125" t="s">
        <v>51</v>
      </c>
      <c r="L673" s="125" t="s">
        <v>51</v>
      </c>
      <c r="M673" s="125" t="str">
        <f t="shared" si="1"/>
        <v/>
      </c>
      <c r="N673" s="125" t="str">
        <f t="shared" si="2"/>
        <v/>
      </c>
      <c r="O673" s="125"/>
      <c r="P673" s="125"/>
      <c r="Q673" s="125"/>
      <c r="R673" s="125"/>
      <c r="S673" s="628">
        <f t="shared" si="3"/>
        <v>0</v>
      </c>
      <c r="T673" s="627" t="s">
        <v>51</v>
      </c>
      <c r="U673" s="627" t="s">
        <v>51</v>
      </c>
      <c r="V673" s="627" t="s">
        <v>51</v>
      </c>
      <c r="W673" s="627" t="s">
        <v>51</v>
      </c>
      <c r="X673" s="627" t="s">
        <v>51</v>
      </c>
      <c r="Y673" s="89"/>
    </row>
    <row r="674" ht="22.5" customHeight="1">
      <c r="A674" s="125"/>
      <c r="B674" s="125"/>
      <c r="C674" s="125"/>
      <c r="D674" s="125"/>
      <c r="E674" s="125"/>
      <c r="F674" s="125"/>
      <c r="G674" s="125"/>
      <c r="H674" s="125"/>
      <c r="I674" s="627" t="s">
        <v>51</v>
      </c>
      <c r="J674" s="125" t="s">
        <v>51</v>
      </c>
      <c r="K674" s="125" t="s">
        <v>51</v>
      </c>
      <c r="L674" s="125" t="s">
        <v>51</v>
      </c>
      <c r="M674" s="125" t="str">
        <f t="shared" si="1"/>
        <v/>
      </c>
      <c r="N674" s="125" t="str">
        <f t="shared" si="2"/>
        <v/>
      </c>
      <c r="O674" s="125"/>
      <c r="P674" s="125"/>
      <c r="Q674" s="125"/>
      <c r="R674" s="125"/>
      <c r="S674" s="628">
        <f t="shared" si="3"/>
        <v>0</v>
      </c>
      <c r="T674" s="627" t="s">
        <v>51</v>
      </c>
      <c r="U674" s="627" t="s">
        <v>51</v>
      </c>
      <c r="V674" s="627" t="s">
        <v>51</v>
      </c>
      <c r="W674" s="627" t="s">
        <v>51</v>
      </c>
      <c r="X674" s="627" t="s">
        <v>51</v>
      </c>
      <c r="Y674" s="89"/>
    </row>
    <row r="675" ht="22.5" customHeight="1">
      <c r="A675" s="125"/>
      <c r="B675" s="125"/>
      <c r="C675" s="125"/>
      <c r="D675" s="125"/>
      <c r="E675" s="125"/>
      <c r="F675" s="125"/>
      <c r="G675" s="125"/>
      <c r="H675" s="125"/>
      <c r="I675" s="627" t="s">
        <v>51</v>
      </c>
      <c r="J675" s="125" t="s">
        <v>51</v>
      </c>
      <c r="K675" s="125" t="s">
        <v>51</v>
      </c>
      <c r="L675" s="125" t="s">
        <v>51</v>
      </c>
      <c r="M675" s="125" t="str">
        <f t="shared" si="1"/>
        <v/>
      </c>
      <c r="N675" s="125" t="str">
        <f t="shared" si="2"/>
        <v/>
      </c>
      <c r="O675" s="125"/>
      <c r="P675" s="125"/>
      <c r="Q675" s="125"/>
      <c r="R675" s="125"/>
      <c r="S675" s="628">
        <f t="shared" si="3"/>
        <v>0</v>
      </c>
      <c r="T675" s="627" t="s">
        <v>51</v>
      </c>
      <c r="U675" s="627" t="s">
        <v>51</v>
      </c>
      <c r="V675" s="627" t="s">
        <v>51</v>
      </c>
      <c r="W675" s="627" t="s">
        <v>51</v>
      </c>
      <c r="X675" s="627" t="s">
        <v>51</v>
      </c>
      <c r="Y675" s="89"/>
    </row>
    <row r="676" ht="22.5" customHeight="1">
      <c r="A676" s="125"/>
      <c r="B676" s="125"/>
      <c r="C676" s="125"/>
      <c r="D676" s="125"/>
      <c r="E676" s="125"/>
      <c r="F676" s="125"/>
      <c r="G676" s="125"/>
      <c r="H676" s="125"/>
      <c r="I676" s="627" t="s">
        <v>51</v>
      </c>
      <c r="J676" s="125" t="s">
        <v>51</v>
      </c>
      <c r="K676" s="125" t="s">
        <v>51</v>
      </c>
      <c r="L676" s="125" t="s">
        <v>51</v>
      </c>
      <c r="M676" s="125" t="str">
        <f t="shared" si="1"/>
        <v/>
      </c>
      <c r="N676" s="125" t="str">
        <f t="shared" si="2"/>
        <v/>
      </c>
      <c r="O676" s="125"/>
      <c r="P676" s="125"/>
      <c r="Q676" s="125"/>
      <c r="R676" s="125"/>
      <c r="S676" s="628">
        <f t="shared" si="3"/>
        <v>0</v>
      </c>
      <c r="T676" s="627" t="s">
        <v>51</v>
      </c>
      <c r="U676" s="627" t="s">
        <v>51</v>
      </c>
      <c r="V676" s="627" t="s">
        <v>51</v>
      </c>
      <c r="W676" s="627" t="s">
        <v>51</v>
      </c>
      <c r="X676" s="627" t="s">
        <v>51</v>
      </c>
      <c r="Y676" s="89"/>
    </row>
    <row r="677" ht="22.5" customHeight="1">
      <c r="A677" s="125"/>
      <c r="B677" s="125"/>
      <c r="C677" s="125"/>
      <c r="D677" s="125"/>
      <c r="E677" s="125"/>
      <c r="F677" s="125"/>
      <c r="G677" s="125"/>
      <c r="H677" s="125"/>
      <c r="I677" s="627" t="s">
        <v>51</v>
      </c>
      <c r="J677" s="125" t="s">
        <v>51</v>
      </c>
      <c r="K677" s="125" t="s">
        <v>51</v>
      </c>
      <c r="L677" s="125" t="s">
        <v>51</v>
      </c>
      <c r="M677" s="125" t="str">
        <f t="shared" si="1"/>
        <v/>
      </c>
      <c r="N677" s="125" t="str">
        <f t="shared" si="2"/>
        <v/>
      </c>
      <c r="O677" s="125"/>
      <c r="P677" s="125"/>
      <c r="Q677" s="125"/>
      <c r="R677" s="125"/>
      <c r="S677" s="628">
        <f t="shared" si="3"/>
        <v>0</v>
      </c>
      <c r="T677" s="627" t="s">
        <v>51</v>
      </c>
      <c r="U677" s="627" t="s">
        <v>51</v>
      </c>
      <c r="V677" s="627" t="s">
        <v>51</v>
      </c>
      <c r="W677" s="627" t="s">
        <v>51</v>
      </c>
      <c r="X677" s="627" t="s">
        <v>51</v>
      </c>
      <c r="Y677" s="89"/>
    </row>
    <row r="678" ht="22.5" customHeight="1">
      <c r="A678" s="125"/>
      <c r="B678" s="125"/>
      <c r="C678" s="125"/>
      <c r="D678" s="125"/>
      <c r="E678" s="125"/>
      <c r="F678" s="125"/>
      <c r="G678" s="125"/>
      <c r="H678" s="125"/>
      <c r="I678" s="627" t="s">
        <v>51</v>
      </c>
      <c r="J678" s="125" t="s">
        <v>51</v>
      </c>
      <c r="K678" s="125" t="s">
        <v>51</v>
      </c>
      <c r="L678" s="125" t="s">
        <v>51</v>
      </c>
      <c r="M678" s="125" t="str">
        <f t="shared" si="1"/>
        <v/>
      </c>
      <c r="N678" s="125" t="str">
        <f t="shared" si="2"/>
        <v/>
      </c>
      <c r="O678" s="125"/>
      <c r="P678" s="125"/>
      <c r="Q678" s="125"/>
      <c r="R678" s="125"/>
      <c r="S678" s="628">
        <f t="shared" si="3"/>
        <v>0</v>
      </c>
      <c r="T678" s="627" t="s">
        <v>51</v>
      </c>
      <c r="U678" s="627" t="s">
        <v>51</v>
      </c>
      <c r="V678" s="627" t="s">
        <v>51</v>
      </c>
      <c r="W678" s="627" t="s">
        <v>51</v>
      </c>
      <c r="X678" s="627" t="s">
        <v>51</v>
      </c>
      <c r="Y678" s="89"/>
    </row>
    <row r="679" ht="22.5" customHeight="1">
      <c r="A679" s="125"/>
      <c r="B679" s="125"/>
      <c r="C679" s="125"/>
      <c r="D679" s="125"/>
      <c r="E679" s="125"/>
      <c r="F679" s="125"/>
      <c r="G679" s="125"/>
      <c r="H679" s="125"/>
      <c r="I679" s="627" t="s">
        <v>51</v>
      </c>
      <c r="J679" s="125" t="s">
        <v>51</v>
      </c>
      <c r="K679" s="125" t="s">
        <v>51</v>
      </c>
      <c r="L679" s="125" t="s">
        <v>51</v>
      </c>
      <c r="M679" s="125" t="str">
        <f t="shared" si="1"/>
        <v/>
      </c>
      <c r="N679" s="125" t="str">
        <f t="shared" si="2"/>
        <v/>
      </c>
      <c r="O679" s="125"/>
      <c r="P679" s="125"/>
      <c r="Q679" s="125"/>
      <c r="R679" s="125"/>
      <c r="S679" s="628">
        <f t="shared" si="3"/>
        <v>0</v>
      </c>
      <c r="T679" s="627" t="s">
        <v>51</v>
      </c>
      <c r="U679" s="627" t="s">
        <v>51</v>
      </c>
      <c r="V679" s="627" t="s">
        <v>51</v>
      </c>
      <c r="W679" s="627" t="s">
        <v>51</v>
      </c>
      <c r="X679" s="627" t="s">
        <v>51</v>
      </c>
      <c r="Y679" s="89"/>
    </row>
    <row r="680" ht="22.5" customHeight="1">
      <c r="A680" s="125"/>
      <c r="B680" s="125"/>
      <c r="C680" s="125"/>
      <c r="D680" s="125"/>
      <c r="E680" s="125"/>
      <c r="F680" s="125"/>
      <c r="G680" s="125"/>
      <c r="H680" s="125"/>
      <c r="I680" s="627" t="s">
        <v>51</v>
      </c>
      <c r="J680" s="125" t="s">
        <v>51</v>
      </c>
      <c r="K680" s="125" t="s">
        <v>51</v>
      </c>
      <c r="L680" s="125" t="s">
        <v>51</v>
      </c>
      <c r="M680" s="125" t="str">
        <f t="shared" si="1"/>
        <v/>
      </c>
      <c r="N680" s="125" t="str">
        <f t="shared" si="2"/>
        <v/>
      </c>
      <c r="O680" s="125"/>
      <c r="P680" s="125"/>
      <c r="Q680" s="125"/>
      <c r="R680" s="125"/>
      <c r="S680" s="628">
        <f t="shared" si="3"/>
        <v>0</v>
      </c>
      <c r="T680" s="627" t="s">
        <v>51</v>
      </c>
      <c r="U680" s="627" t="s">
        <v>51</v>
      </c>
      <c r="V680" s="627" t="s">
        <v>51</v>
      </c>
      <c r="W680" s="627" t="s">
        <v>51</v>
      </c>
      <c r="X680" s="627" t="s">
        <v>51</v>
      </c>
      <c r="Y680" s="89"/>
    </row>
    <row r="681" ht="22.5" customHeight="1">
      <c r="A681" s="125"/>
      <c r="B681" s="125"/>
      <c r="C681" s="125"/>
      <c r="D681" s="125"/>
      <c r="E681" s="125"/>
      <c r="F681" s="125"/>
      <c r="G681" s="125"/>
      <c r="H681" s="125"/>
      <c r="I681" s="627" t="s">
        <v>51</v>
      </c>
      <c r="J681" s="125" t="s">
        <v>51</v>
      </c>
      <c r="K681" s="125" t="s">
        <v>51</v>
      </c>
      <c r="L681" s="125" t="s">
        <v>51</v>
      </c>
      <c r="M681" s="125" t="str">
        <f t="shared" si="1"/>
        <v/>
      </c>
      <c r="N681" s="125" t="str">
        <f t="shared" si="2"/>
        <v/>
      </c>
      <c r="O681" s="125"/>
      <c r="P681" s="125"/>
      <c r="Q681" s="125"/>
      <c r="R681" s="125"/>
      <c r="S681" s="628">
        <f t="shared" si="3"/>
        <v>0</v>
      </c>
      <c r="T681" s="627" t="s">
        <v>51</v>
      </c>
      <c r="U681" s="627" t="s">
        <v>51</v>
      </c>
      <c r="V681" s="627" t="s">
        <v>51</v>
      </c>
      <c r="W681" s="627" t="s">
        <v>51</v>
      </c>
      <c r="X681" s="627" t="s">
        <v>51</v>
      </c>
      <c r="Y681" s="89"/>
    </row>
    <row r="682" ht="22.5" customHeight="1">
      <c r="A682" s="125"/>
      <c r="B682" s="125"/>
      <c r="C682" s="125"/>
      <c r="D682" s="125"/>
      <c r="E682" s="125"/>
      <c r="F682" s="125"/>
      <c r="G682" s="125"/>
      <c r="H682" s="125"/>
      <c r="I682" s="627" t="s">
        <v>51</v>
      </c>
      <c r="J682" s="125" t="s">
        <v>51</v>
      </c>
      <c r="K682" s="125" t="s">
        <v>51</v>
      </c>
      <c r="L682" s="125" t="s">
        <v>51</v>
      </c>
      <c r="M682" s="125" t="str">
        <f t="shared" si="1"/>
        <v/>
      </c>
      <c r="N682" s="125" t="str">
        <f t="shared" si="2"/>
        <v/>
      </c>
      <c r="O682" s="125"/>
      <c r="P682" s="125"/>
      <c r="Q682" s="125"/>
      <c r="R682" s="125"/>
      <c r="S682" s="628">
        <f t="shared" si="3"/>
        <v>0</v>
      </c>
      <c r="T682" s="627" t="s">
        <v>51</v>
      </c>
      <c r="U682" s="627" t="s">
        <v>51</v>
      </c>
      <c r="V682" s="627" t="s">
        <v>51</v>
      </c>
      <c r="W682" s="627" t="s">
        <v>51</v>
      </c>
      <c r="X682" s="627" t="s">
        <v>51</v>
      </c>
      <c r="Y682" s="89"/>
    </row>
    <row r="683" ht="22.5" customHeight="1">
      <c r="A683" s="125"/>
      <c r="B683" s="125"/>
      <c r="C683" s="125"/>
      <c r="D683" s="125"/>
      <c r="E683" s="125"/>
      <c r="F683" s="125"/>
      <c r="G683" s="125"/>
      <c r="H683" s="125"/>
      <c r="I683" s="627" t="s">
        <v>51</v>
      </c>
      <c r="J683" s="125" t="s">
        <v>51</v>
      </c>
      <c r="K683" s="125" t="s">
        <v>51</v>
      </c>
      <c r="L683" s="125" t="s">
        <v>51</v>
      </c>
      <c r="M683" s="125" t="str">
        <f t="shared" si="1"/>
        <v/>
      </c>
      <c r="N683" s="125" t="str">
        <f t="shared" si="2"/>
        <v/>
      </c>
      <c r="O683" s="125"/>
      <c r="P683" s="125"/>
      <c r="Q683" s="125"/>
      <c r="R683" s="125"/>
      <c r="S683" s="628">
        <f t="shared" si="3"/>
        <v>0</v>
      </c>
      <c r="T683" s="627" t="s">
        <v>51</v>
      </c>
      <c r="U683" s="627" t="s">
        <v>51</v>
      </c>
      <c r="V683" s="627" t="s">
        <v>51</v>
      </c>
      <c r="W683" s="627" t="s">
        <v>51</v>
      </c>
      <c r="X683" s="627" t="s">
        <v>51</v>
      </c>
      <c r="Y683" s="89"/>
    </row>
    <row r="684" ht="22.5" customHeight="1">
      <c r="A684" s="125"/>
      <c r="B684" s="125"/>
      <c r="C684" s="125"/>
      <c r="D684" s="125"/>
      <c r="E684" s="125"/>
      <c r="F684" s="125"/>
      <c r="G684" s="125"/>
      <c r="H684" s="125"/>
      <c r="I684" s="627" t="s">
        <v>51</v>
      </c>
      <c r="J684" s="125" t="s">
        <v>51</v>
      </c>
      <c r="K684" s="125" t="s">
        <v>51</v>
      </c>
      <c r="L684" s="125" t="s">
        <v>51</v>
      </c>
      <c r="M684" s="125" t="str">
        <f t="shared" si="1"/>
        <v/>
      </c>
      <c r="N684" s="125" t="str">
        <f t="shared" si="2"/>
        <v/>
      </c>
      <c r="O684" s="125"/>
      <c r="P684" s="125"/>
      <c r="Q684" s="125"/>
      <c r="R684" s="125"/>
      <c r="S684" s="628">
        <f t="shared" si="3"/>
        <v>0</v>
      </c>
      <c r="T684" s="627" t="s">
        <v>51</v>
      </c>
      <c r="U684" s="627" t="s">
        <v>51</v>
      </c>
      <c r="V684" s="627" t="s">
        <v>51</v>
      </c>
      <c r="W684" s="627" t="s">
        <v>51</v>
      </c>
      <c r="X684" s="627" t="s">
        <v>51</v>
      </c>
      <c r="Y684" s="89"/>
    </row>
    <row r="685" ht="22.5" customHeight="1">
      <c r="A685" s="125"/>
      <c r="B685" s="125"/>
      <c r="C685" s="125"/>
      <c r="D685" s="125"/>
      <c r="E685" s="125"/>
      <c r="F685" s="125"/>
      <c r="G685" s="125"/>
      <c r="H685" s="125"/>
      <c r="I685" s="627" t="s">
        <v>51</v>
      </c>
      <c r="J685" s="125" t="s">
        <v>51</v>
      </c>
      <c r="K685" s="125" t="s">
        <v>51</v>
      </c>
      <c r="L685" s="125" t="s">
        <v>51</v>
      </c>
      <c r="M685" s="125" t="str">
        <f t="shared" si="1"/>
        <v/>
      </c>
      <c r="N685" s="125" t="str">
        <f t="shared" si="2"/>
        <v/>
      </c>
      <c r="O685" s="125"/>
      <c r="P685" s="125"/>
      <c r="Q685" s="125"/>
      <c r="R685" s="125"/>
      <c r="S685" s="628">
        <f t="shared" si="3"/>
        <v>0</v>
      </c>
      <c r="T685" s="627" t="s">
        <v>51</v>
      </c>
      <c r="U685" s="627" t="s">
        <v>51</v>
      </c>
      <c r="V685" s="627" t="s">
        <v>51</v>
      </c>
      <c r="W685" s="627" t="s">
        <v>51</v>
      </c>
      <c r="X685" s="627" t="s">
        <v>51</v>
      </c>
      <c r="Y685" s="89"/>
    </row>
    <row r="686" ht="22.5" customHeight="1">
      <c r="A686" s="125"/>
      <c r="B686" s="125"/>
      <c r="C686" s="125"/>
      <c r="D686" s="125"/>
      <c r="E686" s="125"/>
      <c r="F686" s="125"/>
      <c r="G686" s="125"/>
      <c r="H686" s="125"/>
      <c r="I686" s="627" t="s">
        <v>51</v>
      </c>
      <c r="J686" s="125" t="s">
        <v>51</v>
      </c>
      <c r="K686" s="125" t="s">
        <v>51</v>
      </c>
      <c r="L686" s="125" t="s">
        <v>51</v>
      </c>
      <c r="M686" s="125" t="str">
        <f t="shared" si="1"/>
        <v/>
      </c>
      <c r="N686" s="125" t="str">
        <f t="shared" si="2"/>
        <v/>
      </c>
      <c r="O686" s="125"/>
      <c r="P686" s="125"/>
      <c r="Q686" s="125"/>
      <c r="R686" s="125"/>
      <c r="S686" s="628">
        <f t="shared" si="3"/>
        <v>0</v>
      </c>
      <c r="T686" s="627" t="s">
        <v>51</v>
      </c>
      <c r="U686" s="627" t="s">
        <v>51</v>
      </c>
      <c r="V686" s="627" t="s">
        <v>51</v>
      </c>
      <c r="W686" s="627" t="s">
        <v>51</v>
      </c>
      <c r="X686" s="627" t="s">
        <v>51</v>
      </c>
      <c r="Y686" s="89"/>
    </row>
    <row r="687" ht="22.5" customHeight="1">
      <c r="A687" s="125"/>
      <c r="B687" s="125"/>
      <c r="C687" s="125"/>
      <c r="D687" s="125"/>
      <c r="E687" s="125"/>
      <c r="F687" s="125"/>
      <c r="G687" s="125"/>
      <c r="H687" s="125"/>
      <c r="I687" s="627" t="s">
        <v>51</v>
      </c>
      <c r="J687" s="125" t="s">
        <v>51</v>
      </c>
      <c r="K687" s="125" t="s">
        <v>51</v>
      </c>
      <c r="L687" s="125" t="s">
        <v>51</v>
      </c>
      <c r="M687" s="125" t="str">
        <f t="shared" si="1"/>
        <v/>
      </c>
      <c r="N687" s="125" t="str">
        <f t="shared" si="2"/>
        <v/>
      </c>
      <c r="O687" s="125"/>
      <c r="P687" s="125"/>
      <c r="Q687" s="125"/>
      <c r="R687" s="125"/>
      <c r="S687" s="628">
        <f t="shared" si="3"/>
        <v>0</v>
      </c>
      <c r="T687" s="627" t="s">
        <v>51</v>
      </c>
      <c r="U687" s="627" t="s">
        <v>51</v>
      </c>
      <c r="V687" s="627" t="s">
        <v>51</v>
      </c>
      <c r="W687" s="627" t="s">
        <v>51</v>
      </c>
      <c r="X687" s="627" t="s">
        <v>51</v>
      </c>
      <c r="Y687" s="89"/>
    </row>
    <row r="688" ht="22.5" customHeight="1">
      <c r="A688" s="125"/>
      <c r="B688" s="125"/>
      <c r="C688" s="125"/>
      <c r="D688" s="125"/>
      <c r="E688" s="125"/>
      <c r="F688" s="125"/>
      <c r="G688" s="125"/>
      <c r="H688" s="125"/>
      <c r="I688" s="627" t="s">
        <v>51</v>
      </c>
      <c r="J688" s="125" t="s">
        <v>51</v>
      </c>
      <c r="K688" s="125" t="s">
        <v>51</v>
      </c>
      <c r="L688" s="125" t="s">
        <v>51</v>
      </c>
      <c r="M688" s="125" t="str">
        <f t="shared" si="1"/>
        <v/>
      </c>
      <c r="N688" s="125" t="str">
        <f t="shared" si="2"/>
        <v/>
      </c>
      <c r="O688" s="125"/>
      <c r="P688" s="125"/>
      <c r="Q688" s="125"/>
      <c r="R688" s="125"/>
      <c r="S688" s="628">
        <f t="shared" si="3"/>
        <v>0</v>
      </c>
      <c r="T688" s="627" t="s">
        <v>51</v>
      </c>
      <c r="U688" s="627" t="s">
        <v>51</v>
      </c>
      <c r="V688" s="627" t="s">
        <v>51</v>
      </c>
      <c r="W688" s="627" t="s">
        <v>51</v>
      </c>
      <c r="X688" s="627" t="s">
        <v>51</v>
      </c>
      <c r="Y688" s="89"/>
    </row>
    <row r="689" ht="22.5" customHeight="1">
      <c r="A689" s="125"/>
      <c r="B689" s="125"/>
      <c r="C689" s="125"/>
      <c r="D689" s="125"/>
      <c r="E689" s="125"/>
      <c r="F689" s="125"/>
      <c r="G689" s="125"/>
      <c r="H689" s="125"/>
      <c r="I689" s="627" t="s">
        <v>51</v>
      </c>
      <c r="J689" s="125" t="s">
        <v>51</v>
      </c>
      <c r="K689" s="125" t="s">
        <v>51</v>
      </c>
      <c r="L689" s="125" t="s">
        <v>51</v>
      </c>
      <c r="M689" s="125" t="str">
        <f t="shared" si="1"/>
        <v/>
      </c>
      <c r="N689" s="125" t="str">
        <f t="shared" si="2"/>
        <v/>
      </c>
      <c r="O689" s="125"/>
      <c r="P689" s="125"/>
      <c r="Q689" s="125"/>
      <c r="R689" s="125"/>
      <c r="S689" s="628">
        <f t="shared" si="3"/>
        <v>0</v>
      </c>
      <c r="T689" s="627" t="s">
        <v>51</v>
      </c>
      <c r="U689" s="627" t="s">
        <v>51</v>
      </c>
      <c r="V689" s="627" t="s">
        <v>51</v>
      </c>
      <c r="W689" s="627" t="s">
        <v>51</v>
      </c>
      <c r="X689" s="627" t="s">
        <v>51</v>
      </c>
      <c r="Y689" s="89"/>
    </row>
    <row r="690" ht="22.5" customHeight="1">
      <c r="A690" s="125"/>
      <c r="B690" s="125"/>
      <c r="C690" s="125"/>
      <c r="D690" s="125"/>
      <c r="E690" s="125"/>
      <c r="F690" s="125"/>
      <c r="G690" s="125"/>
      <c r="H690" s="125"/>
      <c r="I690" s="627" t="s">
        <v>51</v>
      </c>
      <c r="J690" s="125" t="s">
        <v>51</v>
      </c>
      <c r="K690" s="125" t="s">
        <v>51</v>
      </c>
      <c r="L690" s="125" t="s">
        <v>51</v>
      </c>
      <c r="M690" s="125" t="str">
        <f t="shared" si="1"/>
        <v/>
      </c>
      <c r="N690" s="125" t="str">
        <f t="shared" si="2"/>
        <v/>
      </c>
      <c r="O690" s="125"/>
      <c r="P690" s="125"/>
      <c r="Q690" s="125"/>
      <c r="R690" s="125"/>
      <c r="S690" s="628">
        <f t="shared" si="3"/>
        <v>0</v>
      </c>
      <c r="T690" s="627" t="s">
        <v>51</v>
      </c>
      <c r="U690" s="627" t="s">
        <v>51</v>
      </c>
      <c r="V690" s="627" t="s">
        <v>51</v>
      </c>
      <c r="W690" s="627" t="s">
        <v>51</v>
      </c>
      <c r="X690" s="627" t="s">
        <v>51</v>
      </c>
      <c r="Y690" s="89"/>
    </row>
    <row r="691" ht="22.5" customHeight="1">
      <c r="A691" s="125"/>
      <c r="B691" s="125"/>
      <c r="C691" s="125"/>
      <c r="D691" s="125"/>
      <c r="E691" s="125"/>
      <c r="F691" s="125"/>
      <c r="G691" s="125"/>
      <c r="H691" s="125"/>
      <c r="I691" s="627" t="s">
        <v>51</v>
      </c>
      <c r="J691" s="125" t="s">
        <v>51</v>
      </c>
      <c r="K691" s="125" t="s">
        <v>51</v>
      </c>
      <c r="L691" s="125" t="s">
        <v>51</v>
      </c>
      <c r="M691" s="125" t="str">
        <f t="shared" si="1"/>
        <v/>
      </c>
      <c r="N691" s="125" t="str">
        <f t="shared" si="2"/>
        <v/>
      </c>
      <c r="O691" s="125"/>
      <c r="P691" s="125"/>
      <c r="Q691" s="125"/>
      <c r="R691" s="125"/>
      <c r="S691" s="628">
        <f t="shared" si="3"/>
        <v>0</v>
      </c>
      <c r="T691" s="627" t="s">
        <v>51</v>
      </c>
      <c r="U691" s="627" t="s">
        <v>51</v>
      </c>
      <c r="V691" s="627" t="s">
        <v>51</v>
      </c>
      <c r="W691" s="627" t="s">
        <v>51</v>
      </c>
      <c r="X691" s="627" t="s">
        <v>51</v>
      </c>
      <c r="Y691" s="89"/>
    </row>
    <row r="692" ht="22.5" customHeight="1">
      <c r="A692" s="125"/>
      <c r="B692" s="125"/>
      <c r="C692" s="125"/>
      <c r="D692" s="125"/>
      <c r="E692" s="125"/>
      <c r="F692" s="125"/>
      <c r="G692" s="125"/>
      <c r="H692" s="125"/>
      <c r="I692" s="627" t="s">
        <v>51</v>
      </c>
      <c r="J692" s="125" t="s">
        <v>51</v>
      </c>
      <c r="K692" s="125" t="s">
        <v>51</v>
      </c>
      <c r="L692" s="125" t="s">
        <v>51</v>
      </c>
      <c r="M692" s="125" t="str">
        <f t="shared" si="1"/>
        <v/>
      </c>
      <c r="N692" s="125" t="str">
        <f t="shared" si="2"/>
        <v/>
      </c>
      <c r="O692" s="125"/>
      <c r="P692" s="125"/>
      <c r="Q692" s="125"/>
      <c r="R692" s="125"/>
      <c r="S692" s="628">
        <f t="shared" si="3"/>
        <v>0</v>
      </c>
      <c r="T692" s="627" t="s">
        <v>51</v>
      </c>
      <c r="U692" s="627" t="s">
        <v>51</v>
      </c>
      <c r="V692" s="627" t="s">
        <v>51</v>
      </c>
      <c r="W692" s="627" t="s">
        <v>51</v>
      </c>
      <c r="X692" s="627" t="s">
        <v>51</v>
      </c>
      <c r="Y692" s="89"/>
    </row>
    <row r="693" ht="22.5" customHeight="1">
      <c r="A693" s="125"/>
      <c r="B693" s="125"/>
      <c r="C693" s="125"/>
      <c r="D693" s="125"/>
      <c r="E693" s="125"/>
      <c r="F693" s="125"/>
      <c r="G693" s="125"/>
      <c r="H693" s="125"/>
      <c r="I693" s="627" t="s">
        <v>51</v>
      </c>
      <c r="J693" s="125" t="s">
        <v>51</v>
      </c>
      <c r="K693" s="125" t="s">
        <v>51</v>
      </c>
      <c r="L693" s="125" t="s">
        <v>51</v>
      </c>
      <c r="M693" s="125" t="str">
        <f t="shared" si="1"/>
        <v/>
      </c>
      <c r="N693" s="125" t="str">
        <f t="shared" si="2"/>
        <v/>
      </c>
      <c r="O693" s="125"/>
      <c r="P693" s="125"/>
      <c r="Q693" s="125"/>
      <c r="R693" s="125"/>
      <c r="S693" s="628">
        <f t="shared" si="3"/>
        <v>0</v>
      </c>
      <c r="T693" s="627" t="s">
        <v>51</v>
      </c>
      <c r="U693" s="627" t="s">
        <v>51</v>
      </c>
      <c r="V693" s="627" t="s">
        <v>51</v>
      </c>
      <c r="W693" s="627" t="s">
        <v>51</v>
      </c>
      <c r="X693" s="627" t="s">
        <v>51</v>
      </c>
      <c r="Y693" s="89"/>
    </row>
    <row r="694" ht="22.5" customHeight="1">
      <c r="A694" s="125"/>
      <c r="B694" s="125"/>
      <c r="C694" s="125"/>
      <c r="D694" s="125"/>
      <c r="E694" s="125"/>
      <c r="F694" s="125"/>
      <c r="G694" s="125"/>
      <c r="H694" s="125"/>
      <c r="I694" s="627" t="s">
        <v>51</v>
      </c>
      <c r="J694" s="125" t="s">
        <v>51</v>
      </c>
      <c r="K694" s="125" t="s">
        <v>51</v>
      </c>
      <c r="L694" s="125" t="s">
        <v>51</v>
      </c>
      <c r="M694" s="125" t="str">
        <f t="shared" si="1"/>
        <v/>
      </c>
      <c r="N694" s="125" t="str">
        <f t="shared" si="2"/>
        <v/>
      </c>
      <c r="O694" s="125"/>
      <c r="P694" s="125"/>
      <c r="Q694" s="125"/>
      <c r="R694" s="125"/>
      <c r="S694" s="628">
        <f t="shared" si="3"/>
        <v>0</v>
      </c>
      <c r="T694" s="627" t="s">
        <v>51</v>
      </c>
      <c r="U694" s="627" t="s">
        <v>51</v>
      </c>
      <c r="V694" s="627" t="s">
        <v>51</v>
      </c>
      <c r="W694" s="627" t="s">
        <v>51</v>
      </c>
      <c r="X694" s="627" t="s">
        <v>51</v>
      </c>
      <c r="Y694" s="89"/>
    </row>
    <row r="695" ht="22.5" customHeight="1">
      <c r="A695" s="125"/>
      <c r="B695" s="125"/>
      <c r="C695" s="125"/>
      <c r="D695" s="125"/>
      <c r="E695" s="125"/>
      <c r="F695" s="125"/>
      <c r="G695" s="125"/>
      <c r="H695" s="125"/>
      <c r="I695" s="627" t="s">
        <v>51</v>
      </c>
      <c r="J695" s="125" t="s">
        <v>51</v>
      </c>
      <c r="K695" s="125" t="s">
        <v>51</v>
      </c>
      <c r="L695" s="125" t="s">
        <v>51</v>
      </c>
      <c r="M695" s="125" t="str">
        <f t="shared" si="1"/>
        <v/>
      </c>
      <c r="N695" s="125" t="str">
        <f t="shared" si="2"/>
        <v/>
      </c>
      <c r="O695" s="125"/>
      <c r="P695" s="125"/>
      <c r="Q695" s="125"/>
      <c r="R695" s="125"/>
      <c r="S695" s="628">
        <f t="shared" si="3"/>
        <v>0</v>
      </c>
      <c r="T695" s="627" t="s">
        <v>51</v>
      </c>
      <c r="U695" s="627" t="s">
        <v>51</v>
      </c>
      <c r="V695" s="627" t="s">
        <v>51</v>
      </c>
      <c r="W695" s="627" t="s">
        <v>51</v>
      </c>
      <c r="X695" s="627" t="s">
        <v>51</v>
      </c>
      <c r="Y695" s="89"/>
    </row>
    <row r="696" ht="22.5" customHeight="1">
      <c r="A696" s="125"/>
      <c r="B696" s="125"/>
      <c r="C696" s="125"/>
      <c r="D696" s="125"/>
      <c r="E696" s="125"/>
      <c r="F696" s="125"/>
      <c r="G696" s="125"/>
      <c r="H696" s="125"/>
      <c r="I696" s="627" t="s">
        <v>51</v>
      </c>
      <c r="J696" s="125" t="s">
        <v>51</v>
      </c>
      <c r="K696" s="125" t="s">
        <v>51</v>
      </c>
      <c r="L696" s="125" t="s">
        <v>51</v>
      </c>
      <c r="M696" s="125" t="str">
        <f t="shared" si="1"/>
        <v/>
      </c>
      <c r="N696" s="125" t="str">
        <f t="shared" si="2"/>
        <v/>
      </c>
      <c r="O696" s="125"/>
      <c r="P696" s="125"/>
      <c r="Q696" s="125"/>
      <c r="R696" s="125"/>
      <c r="S696" s="628">
        <f t="shared" si="3"/>
        <v>0</v>
      </c>
      <c r="T696" s="627" t="s">
        <v>51</v>
      </c>
      <c r="U696" s="627" t="s">
        <v>51</v>
      </c>
      <c r="V696" s="627" t="s">
        <v>51</v>
      </c>
      <c r="W696" s="627" t="s">
        <v>51</v>
      </c>
      <c r="X696" s="627" t="s">
        <v>51</v>
      </c>
      <c r="Y696" s="89"/>
    </row>
    <row r="697" ht="22.5" customHeight="1">
      <c r="A697" s="125"/>
      <c r="B697" s="125"/>
      <c r="C697" s="125"/>
      <c r="D697" s="125"/>
      <c r="E697" s="125"/>
      <c r="F697" s="125"/>
      <c r="G697" s="125"/>
      <c r="H697" s="125"/>
      <c r="I697" s="627" t="s">
        <v>51</v>
      </c>
      <c r="J697" s="125" t="s">
        <v>51</v>
      </c>
      <c r="K697" s="125" t="s">
        <v>51</v>
      </c>
      <c r="L697" s="125" t="s">
        <v>51</v>
      </c>
      <c r="M697" s="125" t="str">
        <f t="shared" si="1"/>
        <v/>
      </c>
      <c r="N697" s="125" t="str">
        <f t="shared" si="2"/>
        <v/>
      </c>
      <c r="O697" s="125"/>
      <c r="P697" s="125"/>
      <c r="Q697" s="125"/>
      <c r="R697" s="125"/>
      <c r="S697" s="628">
        <f t="shared" si="3"/>
        <v>0</v>
      </c>
      <c r="T697" s="627" t="s">
        <v>51</v>
      </c>
      <c r="U697" s="627" t="s">
        <v>51</v>
      </c>
      <c r="V697" s="627" t="s">
        <v>51</v>
      </c>
      <c r="W697" s="627" t="s">
        <v>51</v>
      </c>
      <c r="X697" s="627" t="s">
        <v>51</v>
      </c>
      <c r="Y697" s="89"/>
    </row>
    <row r="698" ht="22.5" customHeight="1">
      <c r="A698" s="125"/>
      <c r="B698" s="125"/>
      <c r="C698" s="125"/>
      <c r="D698" s="125"/>
      <c r="E698" s="125"/>
      <c r="F698" s="125"/>
      <c r="G698" s="125"/>
      <c r="H698" s="125"/>
      <c r="I698" s="627" t="s">
        <v>51</v>
      </c>
      <c r="J698" s="125" t="s">
        <v>51</v>
      </c>
      <c r="K698" s="125" t="s">
        <v>51</v>
      </c>
      <c r="L698" s="125" t="s">
        <v>51</v>
      </c>
      <c r="M698" s="125" t="str">
        <f t="shared" si="1"/>
        <v/>
      </c>
      <c r="N698" s="125" t="str">
        <f t="shared" si="2"/>
        <v/>
      </c>
      <c r="O698" s="125"/>
      <c r="P698" s="125"/>
      <c r="Q698" s="125"/>
      <c r="R698" s="125"/>
      <c r="S698" s="628">
        <f t="shared" si="3"/>
        <v>0</v>
      </c>
      <c r="T698" s="627" t="s">
        <v>51</v>
      </c>
      <c r="U698" s="627" t="s">
        <v>51</v>
      </c>
      <c r="V698" s="627" t="s">
        <v>51</v>
      </c>
      <c r="W698" s="627" t="s">
        <v>51</v>
      </c>
      <c r="X698" s="627" t="s">
        <v>51</v>
      </c>
      <c r="Y698" s="89"/>
    </row>
    <row r="699" ht="22.5" customHeight="1">
      <c r="A699" s="125"/>
      <c r="B699" s="125"/>
      <c r="C699" s="125"/>
      <c r="D699" s="125"/>
      <c r="E699" s="125"/>
      <c r="F699" s="125"/>
      <c r="G699" s="125"/>
      <c r="H699" s="125"/>
      <c r="I699" s="627" t="s">
        <v>51</v>
      </c>
      <c r="J699" s="125" t="s">
        <v>51</v>
      </c>
      <c r="K699" s="125" t="s">
        <v>51</v>
      </c>
      <c r="L699" s="125" t="s">
        <v>51</v>
      </c>
      <c r="M699" s="125" t="str">
        <f t="shared" si="1"/>
        <v/>
      </c>
      <c r="N699" s="125" t="str">
        <f t="shared" si="2"/>
        <v/>
      </c>
      <c r="O699" s="125"/>
      <c r="P699" s="125"/>
      <c r="Q699" s="125"/>
      <c r="R699" s="125"/>
      <c r="S699" s="628">
        <f t="shared" si="3"/>
        <v>0</v>
      </c>
      <c r="T699" s="627" t="s">
        <v>51</v>
      </c>
      <c r="U699" s="627" t="s">
        <v>51</v>
      </c>
      <c r="V699" s="627" t="s">
        <v>51</v>
      </c>
      <c r="W699" s="627" t="s">
        <v>51</v>
      </c>
      <c r="X699" s="627" t="s">
        <v>51</v>
      </c>
      <c r="Y699" s="89"/>
    </row>
    <row r="700" ht="22.5" customHeight="1">
      <c r="A700" s="125"/>
      <c r="B700" s="125"/>
      <c r="C700" s="125"/>
      <c r="D700" s="125"/>
      <c r="E700" s="125"/>
      <c r="F700" s="125"/>
      <c r="G700" s="125"/>
      <c r="H700" s="125"/>
      <c r="I700" s="627" t="s">
        <v>51</v>
      </c>
      <c r="J700" s="125" t="s">
        <v>51</v>
      </c>
      <c r="K700" s="125" t="s">
        <v>51</v>
      </c>
      <c r="L700" s="125" t="s">
        <v>51</v>
      </c>
      <c r="M700" s="125" t="str">
        <f t="shared" si="1"/>
        <v/>
      </c>
      <c r="N700" s="125" t="str">
        <f t="shared" si="2"/>
        <v/>
      </c>
      <c r="O700" s="125"/>
      <c r="P700" s="125"/>
      <c r="Q700" s="125"/>
      <c r="R700" s="125"/>
      <c r="S700" s="628">
        <f t="shared" si="3"/>
        <v>0</v>
      </c>
      <c r="T700" s="627" t="s">
        <v>51</v>
      </c>
      <c r="U700" s="627" t="s">
        <v>51</v>
      </c>
      <c r="V700" s="627" t="s">
        <v>51</v>
      </c>
      <c r="W700" s="627" t="s">
        <v>51</v>
      </c>
      <c r="X700" s="627" t="s">
        <v>51</v>
      </c>
      <c r="Y700" s="89"/>
    </row>
    <row r="701" ht="22.5" customHeight="1">
      <c r="A701" s="125"/>
      <c r="B701" s="125"/>
      <c r="C701" s="125"/>
      <c r="D701" s="125"/>
      <c r="E701" s="125"/>
      <c r="F701" s="125"/>
      <c r="G701" s="125"/>
      <c r="H701" s="125"/>
      <c r="I701" s="627" t="s">
        <v>51</v>
      </c>
      <c r="J701" s="125" t="s">
        <v>51</v>
      </c>
      <c r="K701" s="125" t="s">
        <v>51</v>
      </c>
      <c r="L701" s="125" t="s">
        <v>51</v>
      </c>
      <c r="M701" s="125" t="str">
        <f t="shared" si="1"/>
        <v/>
      </c>
      <c r="N701" s="125" t="str">
        <f t="shared" si="2"/>
        <v/>
      </c>
      <c r="O701" s="125"/>
      <c r="P701" s="125"/>
      <c r="Q701" s="125"/>
      <c r="R701" s="125"/>
      <c r="S701" s="628">
        <f t="shared" si="3"/>
        <v>0</v>
      </c>
      <c r="T701" s="627" t="s">
        <v>51</v>
      </c>
      <c r="U701" s="627" t="s">
        <v>51</v>
      </c>
      <c r="V701" s="627" t="s">
        <v>51</v>
      </c>
      <c r="W701" s="627" t="s">
        <v>51</v>
      </c>
      <c r="X701" s="627" t="s">
        <v>51</v>
      </c>
      <c r="Y701" s="89"/>
    </row>
    <row r="702" ht="22.5" customHeight="1">
      <c r="A702" s="125"/>
      <c r="B702" s="125"/>
      <c r="C702" s="125"/>
      <c r="D702" s="125"/>
      <c r="E702" s="125"/>
      <c r="F702" s="125"/>
      <c r="G702" s="125"/>
      <c r="H702" s="125"/>
      <c r="I702" s="627" t="s">
        <v>51</v>
      </c>
      <c r="J702" s="125" t="s">
        <v>51</v>
      </c>
      <c r="K702" s="125" t="s">
        <v>51</v>
      </c>
      <c r="L702" s="125" t="s">
        <v>51</v>
      </c>
      <c r="M702" s="125" t="str">
        <f t="shared" si="1"/>
        <v/>
      </c>
      <c r="N702" s="125" t="str">
        <f t="shared" si="2"/>
        <v/>
      </c>
      <c r="O702" s="125"/>
      <c r="P702" s="125"/>
      <c r="Q702" s="125"/>
      <c r="R702" s="125"/>
      <c r="S702" s="628">
        <f t="shared" si="3"/>
        <v>0</v>
      </c>
      <c r="T702" s="627" t="s">
        <v>51</v>
      </c>
      <c r="U702" s="627" t="s">
        <v>51</v>
      </c>
      <c r="V702" s="627" t="s">
        <v>51</v>
      </c>
      <c r="W702" s="627" t="s">
        <v>51</v>
      </c>
      <c r="X702" s="627" t="s">
        <v>51</v>
      </c>
      <c r="Y702" s="89"/>
    </row>
    <row r="703" ht="22.5" customHeight="1">
      <c r="A703" s="125"/>
      <c r="B703" s="125"/>
      <c r="C703" s="125"/>
      <c r="D703" s="125"/>
      <c r="E703" s="125"/>
      <c r="F703" s="125"/>
      <c r="G703" s="125"/>
      <c r="H703" s="125"/>
      <c r="I703" s="627" t="s">
        <v>51</v>
      </c>
      <c r="J703" s="125" t="s">
        <v>51</v>
      </c>
      <c r="K703" s="125" t="s">
        <v>51</v>
      </c>
      <c r="L703" s="125" t="s">
        <v>51</v>
      </c>
      <c r="M703" s="125" t="str">
        <f t="shared" si="1"/>
        <v/>
      </c>
      <c r="N703" s="125" t="str">
        <f t="shared" si="2"/>
        <v/>
      </c>
      <c r="O703" s="125"/>
      <c r="P703" s="125"/>
      <c r="Q703" s="125"/>
      <c r="R703" s="125"/>
      <c r="S703" s="628">
        <f t="shared" si="3"/>
        <v>0</v>
      </c>
      <c r="T703" s="627" t="s">
        <v>51</v>
      </c>
      <c r="U703" s="627" t="s">
        <v>51</v>
      </c>
      <c r="V703" s="627" t="s">
        <v>51</v>
      </c>
      <c r="W703" s="627" t="s">
        <v>51</v>
      </c>
      <c r="X703" s="627" t="s">
        <v>51</v>
      </c>
      <c r="Y703" s="89"/>
    </row>
    <row r="704" ht="22.5" customHeight="1">
      <c r="A704" s="125"/>
      <c r="B704" s="125"/>
      <c r="C704" s="125"/>
      <c r="D704" s="125"/>
      <c r="E704" s="125"/>
      <c r="F704" s="125"/>
      <c r="G704" s="125"/>
      <c r="H704" s="125"/>
      <c r="I704" s="627" t="s">
        <v>51</v>
      </c>
      <c r="J704" s="125" t="s">
        <v>51</v>
      </c>
      <c r="K704" s="125" t="s">
        <v>51</v>
      </c>
      <c r="L704" s="125" t="s">
        <v>51</v>
      </c>
      <c r="M704" s="125" t="str">
        <f t="shared" si="1"/>
        <v/>
      </c>
      <c r="N704" s="125" t="str">
        <f t="shared" si="2"/>
        <v/>
      </c>
      <c r="O704" s="125"/>
      <c r="P704" s="125"/>
      <c r="Q704" s="125"/>
      <c r="R704" s="125"/>
      <c r="S704" s="628">
        <f t="shared" si="3"/>
        <v>0</v>
      </c>
      <c r="T704" s="627" t="s">
        <v>51</v>
      </c>
      <c r="U704" s="627" t="s">
        <v>51</v>
      </c>
      <c r="V704" s="627" t="s">
        <v>51</v>
      </c>
      <c r="W704" s="627" t="s">
        <v>51</v>
      </c>
      <c r="X704" s="627" t="s">
        <v>51</v>
      </c>
      <c r="Y704" s="89"/>
    </row>
    <row r="705" ht="22.5" customHeight="1">
      <c r="A705" s="125"/>
      <c r="B705" s="125"/>
      <c r="C705" s="125"/>
      <c r="D705" s="125"/>
      <c r="E705" s="125"/>
      <c r="F705" s="125"/>
      <c r="G705" s="125"/>
      <c r="H705" s="125"/>
      <c r="I705" s="627" t="s">
        <v>51</v>
      </c>
      <c r="J705" s="125" t="s">
        <v>51</v>
      </c>
      <c r="K705" s="125" t="s">
        <v>51</v>
      </c>
      <c r="L705" s="125" t="s">
        <v>51</v>
      </c>
      <c r="M705" s="125" t="str">
        <f t="shared" si="1"/>
        <v/>
      </c>
      <c r="N705" s="125" t="str">
        <f t="shared" si="2"/>
        <v/>
      </c>
      <c r="O705" s="125"/>
      <c r="P705" s="125"/>
      <c r="Q705" s="125"/>
      <c r="R705" s="125"/>
      <c r="S705" s="628">
        <f t="shared" si="3"/>
        <v>0</v>
      </c>
      <c r="T705" s="627" t="s">
        <v>51</v>
      </c>
      <c r="U705" s="627" t="s">
        <v>51</v>
      </c>
      <c r="V705" s="627" t="s">
        <v>51</v>
      </c>
      <c r="W705" s="627" t="s">
        <v>51</v>
      </c>
      <c r="X705" s="627" t="s">
        <v>51</v>
      </c>
      <c r="Y705" s="89"/>
    </row>
    <row r="706" ht="22.5" customHeight="1">
      <c r="A706" s="125"/>
      <c r="B706" s="125"/>
      <c r="C706" s="125"/>
      <c r="D706" s="125"/>
      <c r="E706" s="125"/>
      <c r="F706" s="125"/>
      <c r="G706" s="125"/>
      <c r="H706" s="125"/>
      <c r="I706" s="627" t="s">
        <v>51</v>
      </c>
      <c r="J706" s="125" t="s">
        <v>51</v>
      </c>
      <c r="K706" s="125" t="s">
        <v>51</v>
      </c>
      <c r="L706" s="125" t="s">
        <v>51</v>
      </c>
      <c r="M706" s="125" t="str">
        <f t="shared" si="1"/>
        <v/>
      </c>
      <c r="N706" s="125" t="str">
        <f t="shared" si="2"/>
        <v/>
      </c>
      <c r="O706" s="125"/>
      <c r="P706" s="125"/>
      <c r="Q706" s="125"/>
      <c r="R706" s="125"/>
      <c r="S706" s="628">
        <f t="shared" si="3"/>
        <v>0</v>
      </c>
      <c r="T706" s="627" t="s">
        <v>51</v>
      </c>
      <c r="U706" s="627" t="s">
        <v>51</v>
      </c>
      <c r="V706" s="627" t="s">
        <v>51</v>
      </c>
      <c r="W706" s="627" t="s">
        <v>51</v>
      </c>
      <c r="X706" s="627" t="s">
        <v>51</v>
      </c>
      <c r="Y706" s="89"/>
    </row>
    <row r="707" ht="22.5" customHeight="1">
      <c r="A707" s="125"/>
      <c r="B707" s="125"/>
      <c r="C707" s="125"/>
      <c r="D707" s="125"/>
      <c r="E707" s="125"/>
      <c r="F707" s="125"/>
      <c r="G707" s="125"/>
      <c r="H707" s="125"/>
      <c r="I707" s="627" t="s">
        <v>51</v>
      </c>
      <c r="J707" s="125" t="s">
        <v>51</v>
      </c>
      <c r="K707" s="125" t="s">
        <v>51</v>
      </c>
      <c r="L707" s="125" t="s">
        <v>51</v>
      </c>
      <c r="M707" s="125" t="str">
        <f t="shared" si="1"/>
        <v/>
      </c>
      <c r="N707" s="125" t="str">
        <f t="shared" si="2"/>
        <v/>
      </c>
      <c r="O707" s="125"/>
      <c r="P707" s="125"/>
      <c r="Q707" s="125"/>
      <c r="R707" s="125"/>
      <c r="S707" s="628">
        <f t="shared" si="3"/>
        <v>0</v>
      </c>
      <c r="T707" s="627" t="s">
        <v>51</v>
      </c>
      <c r="U707" s="627" t="s">
        <v>51</v>
      </c>
      <c r="V707" s="627" t="s">
        <v>51</v>
      </c>
      <c r="W707" s="627" t="s">
        <v>51</v>
      </c>
      <c r="X707" s="627" t="s">
        <v>51</v>
      </c>
      <c r="Y707" s="89"/>
    </row>
    <row r="708" ht="22.5" customHeight="1">
      <c r="A708" s="125"/>
      <c r="B708" s="125"/>
      <c r="C708" s="125"/>
      <c r="D708" s="125"/>
      <c r="E708" s="125"/>
      <c r="F708" s="125"/>
      <c r="G708" s="125"/>
      <c r="H708" s="125"/>
      <c r="I708" s="627" t="s">
        <v>51</v>
      </c>
      <c r="J708" s="125" t="s">
        <v>51</v>
      </c>
      <c r="K708" s="125" t="s">
        <v>51</v>
      </c>
      <c r="L708" s="125" t="s">
        <v>51</v>
      </c>
      <c r="M708" s="125" t="str">
        <f t="shared" si="1"/>
        <v/>
      </c>
      <c r="N708" s="125" t="str">
        <f t="shared" si="2"/>
        <v/>
      </c>
      <c r="O708" s="125"/>
      <c r="P708" s="125"/>
      <c r="Q708" s="125"/>
      <c r="R708" s="125"/>
      <c r="S708" s="628">
        <f t="shared" si="3"/>
        <v>0</v>
      </c>
      <c r="T708" s="627" t="s">
        <v>51</v>
      </c>
      <c r="U708" s="627" t="s">
        <v>51</v>
      </c>
      <c r="V708" s="627" t="s">
        <v>51</v>
      </c>
      <c r="W708" s="627" t="s">
        <v>51</v>
      </c>
      <c r="X708" s="627" t="s">
        <v>51</v>
      </c>
      <c r="Y708" s="89"/>
    </row>
    <row r="709" ht="22.5" customHeight="1">
      <c r="A709" s="125"/>
      <c r="B709" s="125"/>
      <c r="C709" s="125"/>
      <c r="D709" s="125"/>
      <c r="E709" s="125"/>
      <c r="F709" s="125"/>
      <c r="G709" s="125"/>
      <c r="H709" s="125"/>
      <c r="I709" s="627" t="s">
        <v>51</v>
      </c>
      <c r="J709" s="125" t="s">
        <v>51</v>
      </c>
      <c r="K709" s="125" t="s">
        <v>51</v>
      </c>
      <c r="L709" s="125" t="s">
        <v>51</v>
      </c>
      <c r="M709" s="125" t="str">
        <f t="shared" si="1"/>
        <v/>
      </c>
      <c r="N709" s="125" t="str">
        <f t="shared" si="2"/>
        <v/>
      </c>
      <c r="O709" s="125"/>
      <c r="P709" s="125"/>
      <c r="Q709" s="125"/>
      <c r="R709" s="125"/>
      <c r="S709" s="628">
        <f t="shared" si="3"/>
        <v>0</v>
      </c>
      <c r="T709" s="627" t="s">
        <v>51</v>
      </c>
      <c r="U709" s="627" t="s">
        <v>51</v>
      </c>
      <c r="V709" s="627" t="s">
        <v>51</v>
      </c>
      <c r="W709" s="627" t="s">
        <v>51</v>
      </c>
      <c r="X709" s="627" t="s">
        <v>51</v>
      </c>
      <c r="Y709" s="89"/>
    </row>
    <row r="710" ht="22.5" customHeight="1">
      <c r="A710" s="125"/>
      <c r="B710" s="125"/>
      <c r="C710" s="125"/>
      <c r="D710" s="125"/>
      <c r="E710" s="125"/>
      <c r="F710" s="125"/>
      <c r="G710" s="125"/>
      <c r="H710" s="125"/>
      <c r="I710" s="627" t="s">
        <v>51</v>
      </c>
      <c r="J710" s="125" t="s">
        <v>51</v>
      </c>
      <c r="K710" s="125" t="s">
        <v>51</v>
      </c>
      <c r="L710" s="125" t="s">
        <v>51</v>
      </c>
      <c r="M710" s="125" t="str">
        <f t="shared" si="1"/>
        <v/>
      </c>
      <c r="N710" s="125" t="str">
        <f t="shared" si="2"/>
        <v/>
      </c>
      <c r="O710" s="125"/>
      <c r="P710" s="125"/>
      <c r="Q710" s="125"/>
      <c r="R710" s="125"/>
      <c r="S710" s="628">
        <f t="shared" si="3"/>
        <v>0</v>
      </c>
      <c r="T710" s="627" t="s">
        <v>51</v>
      </c>
      <c r="U710" s="627" t="s">
        <v>51</v>
      </c>
      <c r="V710" s="627" t="s">
        <v>51</v>
      </c>
      <c r="W710" s="627" t="s">
        <v>51</v>
      </c>
      <c r="X710" s="627" t="s">
        <v>51</v>
      </c>
      <c r="Y710" s="89"/>
    </row>
    <row r="711" ht="22.5" customHeight="1">
      <c r="A711" s="125"/>
      <c r="B711" s="125"/>
      <c r="C711" s="125"/>
      <c r="D711" s="125"/>
      <c r="E711" s="125"/>
      <c r="F711" s="125"/>
      <c r="G711" s="125"/>
      <c r="H711" s="125"/>
      <c r="I711" s="627" t="s">
        <v>51</v>
      </c>
      <c r="J711" s="125" t="s">
        <v>51</v>
      </c>
      <c r="K711" s="125" t="s">
        <v>51</v>
      </c>
      <c r="L711" s="125" t="s">
        <v>51</v>
      </c>
      <c r="M711" s="125" t="str">
        <f t="shared" si="1"/>
        <v/>
      </c>
      <c r="N711" s="125" t="str">
        <f t="shared" si="2"/>
        <v/>
      </c>
      <c r="O711" s="125"/>
      <c r="P711" s="125"/>
      <c r="Q711" s="125"/>
      <c r="R711" s="125"/>
      <c r="S711" s="628">
        <f t="shared" si="3"/>
        <v>0</v>
      </c>
      <c r="T711" s="627" t="s">
        <v>51</v>
      </c>
      <c r="U711" s="627" t="s">
        <v>51</v>
      </c>
      <c r="V711" s="627" t="s">
        <v>51</v>
      </c>
      <c r="W711" s="627" t="s">
        <v>51</v>
      </c>
      <c r="X711" s="627" t="s">
        <v>51</v>
      </c>
      <c r="Y711" s="89"/>
    </row>
    <row r="712" ht="22.5" customHeight="1">
      <c r="A712" s="125"/>
      <c r="B712" s="125"/>
      <c r="C712" s="125"/>
      <c r="D712" s="125"/>
      <c r="E712" s="125"/>
      <c r="F712" s="125"/>
      <c r="G712" s="125"/>
      <c r="H712" s="125"/>
      <c r="I712" s="627" t="s">
        <v>51</v>
      </c>
      <c r="J712" s="125" t="s">
        <v>51</v>
      </c>
      <c r="K712" s="125" t="s">
        <v>51</v>
      </c>
      <c r="L712" s="125" t="s">
        <v>51</v>
      </c>
      <c r="M712" s="125" t="str">
        <f t="shared" si="1"/>
        <v/>
      </c>
      <c r="N712" s="125" t="str">
        <f t="shared" si="2"/>
        <v/>
      </c>
      <c r="O712" s="125"/>
      <c r="P712" s="125"/>
      <c r="Q712" s="125"/>
      <c r="R712" s="125"/>
      <c r="S712" s="628">
        <f t="shared" si="3"/>
        <v>0</v>
      </c>
      <c r="T712" s="627" t="s">
        <v>51</v>
      </c>
      <c r="U712" s="627" t="s">
        <v>51</v>
      </c>
      <c r="V712" s="627" t="s">
        <v>51</v>
      </c>
      <c r="W712" s="627" t="s">
        <v>51</v>
      </c>
      <c r="X712" s="627" t="s">
        <v>51</v>
      </c>
      <c r="Y712" s="89"/>
    </row>
    <row r="713" ht="22.5" customHeight="1">
      <c r="A713" s="125"/>
      <c r="B713" s="125"/>
      <c r="C713" s="125"/>
      <c r="D713" s="125"/>
      <c r="E713" s="125"/>
      <c r="F713" s="125"/>
      <c r="G713" s="125"/>
      <c r="H713" s="125"/>
      <c r="I713" s="627" t="s">
        <v>51</v>
      </c>
      <c r="J713" s="125" t="s">
        <v>51</v>
      </c>
      <c r="K713" s="125" t="s">
        <v>51</v>
      </c>
      <c r="L713" s="125" t="s">
        <v>51</v>
      </c>
      <c r="M713" s="125" t="str">
        <f t="shared" si="1"/>
        <v/>
      </c>
      <c r="N713" s="125" t="str">
        <f t="shared" si="2"/>
        <v/>
      </c>
      <c r="O713" s="125"/>
      <c r="P713" s="125"/>
      <c r="Q713" s="125"/>
      <c r="R713" s="125"/>
      <c r="S713" s="628">
        <f t="shared" si="3"/>
        <v>0</v>
      </c>
      <c r="T713" s="627" t="s">
        <v>51</v>
      </c>
      <c r="U713" s="627" t="s">
        <v>51</v>
      </c>
      <c r="V713" s="627" t="s">
        <v>51</v>
      </c>
      <c r="W713" s="627" t="s">
        <v>51</v>
      </c>
      <c r="X713" s="627" t="s">
        <v>51</v>
      </c>
      <c r="Y713" s="89"/>
    </row>
    <row r="714" ht="22.5" customHeight="1">
      <c r="A714" s="125"/>
      <c r="B714" s="125"/>
      <c r="C714" s="125"/>
      <c r="D714" s="125"/>
      <c r="E714" s="125"/>
      <c r="F714" s="125"/>
      <c r="G714" s="125"/>
      <c r="H714" s="125"/>
      <c r="I714" s="627" t="s">
        <v>51</v>
      </c>
      <c r="J714" s="125" t="s">
        <v>51</v>
      </c>
      <c r="K714" s="125" t="s">
        <v>51</v>
      </c>
      <c r="L714" s="125" t="s">
        <v>51</v>
      </c>
      <c r="M714" s="125" t="str">
        <f t="shared" si="1"/>
        <v/>
      </c>
      <c r="N714" s="125" t="str">
        <f t="shared" si="2"/>
        <v/>
      </c>
      <c r="O714" s="125"/>
      <c r="P714" s="125"/>
      <c r="Q714" s="125"/>
      <c r="R714" s="125"/>
      <c r="S714" s="628">
        <f t="shared" si="3"/>
        <v>0</v>
      </c>
      <c r="T714" s="627" t="s">
        <v>51</v>
      </c>
      <c r="U714" s="627" t="s">
        <v>51</v>
      </c>
      <c r="V714" s="627" t="s">
        <v>51</v>
      </c>
      <c r="W714" s="627" t="s">
        <v>51</v>
      </c>
      <c r="X714" s="627" t="s">
        <v>51</v>
      </c>
      <c r="Y714" s="89"/>
    </row>
    <row r="715" ht="22.5" customHeight="1">
      <c r="A715" s="125"/>
      <c r="B715" s="125"/>
      <c r="C715" s="125"/>
      <c r="D715" s="125"/>
      <c r="E715" s="125"/>
      <c r="F715" s="125"/>
      <c r="G715" s="125"/>
      <c r="H715" s="125"/>
      <c r="I715" s="627" t="s">
        <v>51</v>
      </c>
      <c r="J715" s="125" t="s">
        <v>51</v>
      </c>
      <c r="K715" s="125" t="s">
        <v>51</v>
      </c>
      <c r="L715" s="125" t="s">
        <v>51</v>
      </c>
      <c r="M715" s="125" t="str">
        <f t="shared" si="1"/>
        <v/>
      </c>
      <c r="N715" s="125" t="str">
        <f t="shared" si="2"/>
        <v/>
      </c>
      <c r="O715" s="125"/>
      <c r="P715" s="125"/>
      <c r="Q715" s="125"/>
      <c r="R715" s="125"/>
      <c r="S715" s="628">
        <f t="shared" si="3"/>
        <v>0</v>
      </c>
      <c r="T715" s="627" t="s">
        <v>51</v>
      </c>
      <c r="U715" s="627" t="s">
        <v>51</v>
      </c>
      <c r="V715" s="627" t="s">
        <v>51</v>
      </c>
      <c r="W715" s="627" t="s">
        <v>51</v>
      </c>
      <c r="X715" s="627" t="s">
        <v>51</v>
      </c>
      <c r="Y715" s="89"/>
    </row>
    <row r="716" ht="22.5" customHeight="1">
      <c r="A716" s="125"/>
      <c r="B716" s="125"/>
      <c r="C716" s="125"/>
      <c r="D716" s="125"/>
      <c r="E716" s="125"/>
      <c r="F716" s="125"/>
      <c r="G716" s="125"/>
      <c r="H716" s="125"/>
      <c r="I716" s="627" t="s">
        <v>51</v>
      </c>
      <c r="J716" s="125" t="s">
        <v>51</v>
      </c>
      <c r="K716" s="125" t="s">
        <v>51</v>
      </c>
      <c r="L716" s="125" t="s">
        <v>51</v>
      </c>
      <c r="M716" s="125" t="str">
        <f t="shared" si="1"/>
        <v/>
      </c>
      <c r="N716" s="125" t="str">
        <f t="shared" si="2"/>
        <v/>
      </c>
      <c r="O716" s="125"/>
      <c r="P716" s="125"/>
      <c r="Q716" s="125"/>
      <c r="R716" s="125"/>
      <c r="S716" s="628">
        <f t="shared" si="3"/>
        <v>0</v>
      </c>
      <c r="T716" s="627" t="s">
        <v>51</v>
      </c>
      <c r="U716" s="627" t="s">
        <v>51</v>
      </c>
      <c r="V716" s="627" t="s">
        <v>51</v>
      </c>
      <c r="W716" s="627" t="s">
        <v>51</v>
      </c>
      <c r="X716" s="627" t="s">
        <v>51</v>
      </c>
      <c r="Y716" s="89"/>
    </row>
    <row r="717" ht="22.5" customHeight="1">
      <c r="A717" s="125"/>
      <c r="B717" s="125"/>
      <c r="C717" s="125"/>
      <c r="D717" s="125"/>
      <c r="E717" s="125"/>
      <c r="F717" s="125"/>
      <c r="G717" s="125"/>
      <c r="H717" s="125"/>
      <c r="I717" s="627" t="s">
        <v>51</v>
      </c>
      <c r="J717" s="125" t="s">
        <v>51</v>
      </c>
      <c r="K717" s="125" t="s">
        <v>51</v>
      </c>
      <c r="L717" s="125" t="s">
        <v>51</v>
      </c>
      <c r="M717" s="125" t="str">
        <f t="shared" si="1"/>
        <v/>
      </c>
      <c r="N717" s="125" t="str">
        <f t="shared" si="2"/>
        <v/>
      </c>
      <c r="O717" s="125"/>
      <c r="P717" s="125"/>
      <c r="Q717" s="125"/>
      <c r="R717" s="125"/>
      <c r="S717" s="628">
        <f t="shared" si="3"/>
        <v>0</v>
      </c>
      <c r="T717" s="627" t="s">
        <v>51</v>
      </c>
      <c r="U717" s="627" t="s">
        <v>51</v>
      </c>
      <c r="V717" s="627" t="s">
        <v>51</v>
      </c>
      <c r="W717" s="627" t="s">
        <v>51</v>
      </c>
      <c r="X717" s="627" t="s">
        <v>51</v>
      </c>
      <c r="Y717" s="89"/>
    </row>
    <row r="718" ht="22.5" customHeight="1">
      <c r="A718" s="125"/>
      <c r="B718" s="125"/>
      <c r="C718" s="125"/>
      <c r="D718" s="125"/>
      <c r="E718" s="125"/>
      <c r="F718" s="125"/>
      <c r="G718" s="125"/>
      <c r="H718" s="125"/>
      <c r="I718" s="627" t="s">
        <v>51</v>
      </c>
      <c r="J718" s="125" t="s">
        <v>51</v>
      </c>
      <c r="K718" s="125" t="s">
        <v>51</v>
      </c>
      <c r="L718" s="125" t="s">
        <v>51</v>
      </c>
      <c r="M718" s="125" t="str">
        <f t="shared" si="1"/>
        <v/>
      </c>
      <c r="N718" s="125" t="str">
        <f t="shared" si="2"/>
        <v/>
      </c>
      <c r="O718" s="125"/>
      <c r="P718" s="125"/>
      <c r="Q718" s="125"/>
      <c r="R718" s="125"/>
      <c r="S718" s="628">
        <f t="shared" si="3"/>
        <v>0</v>
      </c>
      <c r="T718" s="627" t="s">
        <v>51</v>
      </c>
      <c r="U718" s="627" t="s">
        <v>51</v>
      </c>
      <c r="V718" s="627" t="s">
        <v>51</v>
      </c>
      <c r="W718" s="627" t="s">
        <v>51</v>
      </c>
      <c r="X718" s="627" t="s">
        <v>51</v>
      </c>
      <c r="Y718" s="89"/>
    </row>
    <row r="719" ht="22.5" customHeight="1">
      <c r="A719" s="125"/>
      <c r="B719" s="125"/>
      <c r="C719" s="125"/>
      <c r="D719" s="125"/>
      <c r="E719" s="125"/>
      <c r="F719" s="125"/>
      <c r="G719" s="125"/>
      <c r="H719" s="125"/>
      <c r="I719" s="627" t="s">
        <v>51</v>
      </c>
      <c r="J719" s="125" t="s">
        <v>51</v>
      </c>
      <c r="K719" s="125" t="s">
        <v>51</v>
      </c>
      <c r="L719" s="125" t="s">
        <v>51</v>
      </c>
      <c r="M719" s="125" t="str">
        <f t="shared" si="1"/>
        <v/>
      </c>
      <c r="N719" s="125" t="str">
        <f t="shared" si="2"/>
        <v/>
      </c>
      <c r="O719" s="125"/>
      <c r="P719" s="125"/>
      <c r="Q719" s="125"/>
      <c r="R719" s="125"/>
      <c r="S719" s="628">
        <f t="shared" si="3"/>
        <v>0</v>
      </c>
      <c r="T719" s="627" t="s">
        <v>51</v>
      </c>
      <c r="U719" s="627" t="s">
        <v>51</v>
      </c>
      <c r="V719" s="627" t="s">
        <v>51</v>
      </c>
      <c r="W719" s="627" t="s">
        <v>51</v>
      </c>
      <c r="X719" s="627" t="s">
        <v>51</v>
      </c>
      <c r="Y719" s="89"/>
    </row>
    <row r="720" ht="22.5" customHeight="1">
      <c r="A720" s="125"/>
      <c r="B720" s="125"/>
      <c r="C720" s="125"/>
      <c r="D720" s="125"/>
      <c r="E720" s="125"/>
      <c r="F720" s="125"/>
      <c r="G720" s="125"/>
      <c r="H720" s="125"/>
      <c r="I720" s="627" t="s">
        <v>51</v>
      </c>
      <c r="J720" s="125" t="s">
        <v>51</v>
      </c>
      <c r="K720" s="125" t="s">
        <v>51</v>
      </c>
      <c r="L720" s="125" t="s">
        <v>51</v>
      </c>
      <c r="M720" s="125" t="str">
        <f t="shared" si="1"/>
        <v/>
      </c>
      <c r="N720" s="125" t="str">
        <f t="shared" si="2"/>
        <v/>
      </c>
      <c r="O720" s="125"/>
      <c r="P720" s="125"/>
      <c r="Q720" s="125"/>
      <c r="R720" s="125"/>
      <c r="S720" s="628">
        <f t="shared" si="3"/>
        <v>0</v>
      </c>
      <c r="T720" s="627" t="s">
        <v>51</v>
      </c>
      <c r="U720" s="627" t="s">
        <v>51</v>
      </c>
      <c r="V720" s="627" t="s">
        <v>51</v>
      </c>
      <c r="W720" s="627" t="s">
        <v>51</v>
      </c>
      <c r="X720" s="627" t="s">
        <v>51</v>
      </c>
      <c r="Y720" s="89"/>
    </row>
    <row r="721" ht="22.5" customHeight="1">
      <c r="A721" s="125"/>
      <c r="B721" s="125"/>
      <c r="C721" s="125"/>
      <c r="D721" s="125"/>
      <c r="E721" s="125"/>
      <c r="F721" s="125"/>
      <c r="G721" s="125"/>
      <c r="H721" s="125"/>
      <c r="I721" s="627" t="s">
        <v>51</v>
      </c>
      <c r="J721" s="125" t="s">
        <v>51</v>
      </c>
      <c r="K721" s="125" t="s">
        <v>51</v>
      </c>
      <c r="L721" s="125" t="s">
        <v>51</v>
      </c>
      <c r="M721" s="125" t="str">
        <f t="shared" si="1"/>
        <v/>
      </c>
      <c r="N721" s="125" t="str">
        <f t="shared" si="2"/>
        <v/>
      </c>
      <c r="O721" s="125"/>
      <c r="P721" s="125"/>
      <c r="Q721" s="125"/>
      <c r="R721" s="125"/>
      <c r="S721" s="628">
        <f t="shared" si="3"/>
        <v>0</v>
      </c>
      <c r="T721" s="627" t="s">
        <v>51</v>
      </c>
      <c r="U721" s="627" t="s">
        <v>51</v>
      </c>
      <c r="V721" s="627" t="s">
        <v>51</v>
      </c>
      <c r="W721" s="627" t="s">
        <v>51</v>
      </c>
      <c r="X721" s="627" t="s">
        <v>51</v>
      </c>
      <c r="Y721" s="89"/>
    </row>
    <row r="722" ht="22.5" customHeight="1">
      <c r="A722" s="125"/>
      <c r="B722" s="125"/>
      <c r="C722" s="125"/>
      <c r="D722" s="125"/>
      <c r="E722" s="125"/>
      <c r="F722" s="125"/>
      <c r="G722" s="125"/>
      <c r="H722" s="125"/>
      <c r="I722" s="627" t="s">
        <v>51</v>
      </c>
      <c r="J722" s="125" t="s">
        <v>51</v>
      </c>
      <c r="K722" s="125" t="s">
        <v>51</v>
      </c>
      <c r="L722" s="125" t="s">
        <v>51</v>
      </c>
      <c r="M722" s="125" t="str">
        <f t="shared" si="1"/>
        <v/>
      </c>
      <c r="N722" s="125" t="str">
        <f t="shared" si="2"/>
        <v/>
      </c>
      <c r="O722" s="125"/>
      <c r="P722" s="125"/>
      <c r="Q722" s="125"/>
      <c r="R722" s="125"/>
      <c r="S722" s="628">
        <f t="shared" si="3"/>
        <v>0</v>
      </c>
      <c r="T722" s="627" t="s">
        <v>51</v>
      </c>
      <c r="U722" s="627" t="s">
        <v>51</v>
      </c>
      <c r="V722" s="627" t="s">
        <v>51</v>
      </c>
      <c r="W722" s="627" t="s">
        <v>51</v>
      </c>
      <c r="X722" s="627" t="s">
        <v>51</v>
      </c>
      <c r="Y722" s="89"/>
    </row>
    <row r="723" ht="22.5" customHeight="1">
      <c r="A723" s="125"/>
      <c r="B723" s="125"/>
      <c r="C723" s="125"/>
      <c r="D723" s="125"/>
      <c r="E723" s="125"/>
      <c r="F723" s="125"/>
      <c r="G723" s="125"/>
      <c r="H723" s="125"/>
      <c r="I723" s="627" t="s">
        <v>51</v>
      </c>
      <c r="J723" s="125" t="s">
        <v>51</v>
      </c>
      <c r="K723" s="125" t="s">
        <v>51</v>
      </c>
      <c r="L723" s="125" t="s">
        <v>51</v>
      </c>
      <c r="M723" s="125" t="str">
        <f t="shared" si="1"/>
        <v/>
      </c>
      <c r="N723" s="125" t="str">
        <f t="shared" si="2"/>
        <v/>
      </c>
      <c r="O723" s="125"/>
      <c r="P723" s="125"/>
      <c r="Q723" s="125"/>
      <c r="R723" s="125"/>
      <c r="S723" s="628">
        <f t="shared" si="3"/>
        <v>0</v>
      </c>
      <c r="T723" s="627" t="s">
        <v>51</v>
      </c>
      <c r="U723" s="627" t="s">
        <v>51</v>
      </c>
      <c r="V723" s="627" t="s">
        <v>51</v>
      </c>
      <c r="W723" s="627" t="s">
        <v>51</v>
      </c>
      <c r="X723" s="627" t="s">
        <v>51</v>
      </c>
      <c r="Y723" s="89"/>
    </row>
    <row r="724" ht="22.5" customHeight="1">
      <c r="A724" s="125"/>
      <c r="B724" s="125"/>
      <c r="C724" s="125"/>
      <c r="D724" s="125"/>
      <c r="E724" s="125"/>
      <c r="F724" s="125"/>
      <c r="G724" s="125"/>
      <c r="H724" s="125"/>
      <c r="I724" s="627" t="s">
        <v>51</v>
      </c>
      <c r="J724" s="125" t="s">
        <v>51</v>
      </c>
      <c r="K724" s="125" t="s">
        <v>51</v>
      </c>
      <c r="L724" s="125" t="s">
        <v>51</v>
      </c>
      <c r="M724" s="125" t="str">
        <f t="shared" si="1"/>
        <v/>
      </c>
      <c r="N724" s="125" t="str">
        <f t="shared" si="2"/>
        <v/>
      </c>
      <c r="O724" s="125"/>
      <c r="P724" s="125"/>
      <c r="Q724" s="125"/>
      <c r="R724" s="125"/>
      <c r="S724" s="628">
        <f t="shared" si="3"/>
        <v>0</v>
      </c>
      <c r="T724" s="627" t="s">
        <v>51</v>
      </c>
      <c r="U724" s="627" t="s">
        <v>51</v>
      </c>
      <c r="V724" s="627" t="s">
        <v>51</v>
      </c>
      <c r="W724" s="627" t="s">
        <v>51</v>
      </c>
      <c r="X724" s="627" t="s">
        <v>51</v>
      </c>
      <c r="Y724" s="89"/>
    </row>
    <row r="725" ht="22.5" customHeight="1">
      <c r="A725" s="125"/>
      <c r="B725" s="125"/>
      <c r="C725" s="125"/>
      <c r="D725" s="125"/>
      <c r="E725" s="125"/>
      <c r="F725" s="125"/>
      <c r="G725" s="125"/>
      <c r="H725" s="125"/>
      <c r="I725" s="627" t="s">
        <v>51</v>
      </c>
      <c r="J725" s="125" t="s">
        <v>51</v>
      </c>
      <c r="K725" s="125" t="s">
        <v>51</v>
      </c>
      <c r="L725" s="125" t="s">
        <v>51</v>
      </c>
      <c r="M725" s="125" t="str">
        <f t="shared" si="1"/>
        <v/>
      </c>
      <c r="N725" s="125" t="str">
        <f t="shared" si="2"/>
        <v/>
      </c>
      <c r="O725" s="125"/>
      <c r="P725" s="125"/>
      <c r="Q725" s="125"/>
      <c r="R725" s="125"/>
      <c r="S725" s="628">
        <f t="shared" si="3"/>
        <v>0</v>
      </c>
      <c r="T725" s="627" t="s">
        <v>51</v>
      </c>
      <c r="U725" s="627" t="s">
        <v>51</v>
      </c>
      <c r="V725" s="627" t="s">
        <v>51</v>
      </c>
      <c r="W725" s="627" t="s">
        <v>51</v>
      </c>
      <c r="X725" s="627" t="s">
        <v>51</v>
      </c>
      <c r="Y725" s="89"/>
    </row>
    <row r="726" ht="22.5" customHeight="1">
      <c r="A726" s="125"/>
      <c r="B726" s="125"/>
      <c r="C726" s="125"/>
      <c r="D726" s="125"/>
      <c r="E726" s="125"/>
      <c r="F726" s="125"/>
      <c r="G726" s="125"/>
      <c r="H726" s="125"/>
      <c r="I726" s="627" t="s">
        <v>51</v>
      </c>
      <c r="J726" s="125" t="s">
        <v>51</v>
      </c>
      <c r="K726" s="125" t="s">
        <v>51</v>
      </c>
      <c r="L726" s="125" t="s">
        <v>51</v>
      </c>
      <c r="M726" s="125" t="str">
        <f t="shared" si="1"/>
        <v/>
      </c>
      <c r="N726" s="125" t="str">
        <f t="shared" si="2"/>
        <v/>
      </c>
      <c r="O726" s="125"/>
      <c r="P726" s="125"/>
      <c r="Q726" s="125"/>
      <c r="R726" s="125"/>
      <c r="S726" s="628">
        <f t="shared" si="3"/>
        <v>0</v>
      </c>
      <c r="T726" s="627" t="s">
        <v>51</v>
      </c>
      <c r="U726" s="627" t="s">
        <v>51</v>
      </c>
      <c r="V726" s="627" t="s">
        <v>51</v>
      </c>
      <c r="W726" s="627" t="s">
        <v>51</v>
      </c>
      <c r="X726" s="627" t="s">
        <v>51</v>
      </c>
      <c r="Y726" s="89"/>
    </row>
    <row r="727" ht="22.5" customHeight="1">
      <c r="A727" s="125"/>
      <c r="B727" s="125"/>
      <c r="C727" s="125"/>
      <c r="D727" s="125"/>
      <c r="E727" s="125"/>
      <c r="F727" s="125"/>
      <c r="G727" s="125"/>
      <c r="H727" s="125"/>
      <c r="I727" s="627" t="s">
        <v>51</v>
      </c>
      <c r="J727" s="125" t="s">
        <v>51</v>
      </c>
      <c r="K727" s="125" t="s">
        <v>51</v>
      </c>
      <c r="L727" s="125" t="s">
        <v>51</v>
      </c>
      <c r="M727" s="125" t="str">
        <f t="shared" si="1"/>
        <v/>
      </c>
      <c r="N727" s="125" t="str">
        <f t="shared" si="2"/>
        <v/>
      </c>
      <c r="O727" s="125"/>
      <c r="P727" s="125"/>
      <c r="Q727" s="125"/>
      <c r="R727" s="125"/>
      <c r="S727" s="628">
        <f t="shared" si="3"/>
        <v>0</v>
      </c>
      <c r="T727" s="627" t="s">
        <v>51</v>
      </c>
      <c r="U727" s="627" t="s">
        <v>51</v>
      </c>
      <c r="V727" s="627" t="s">
        <v>51</v>
      </c>
      <c r="W727" s="627" t="s">
        <v>51</v>
      </c>
      <c r="X727" s="627" t="s">
        <v>51</v>
      </c>
      <c r="Y727" s="89"/>
    </row>
    <row r="728" ht="22.5" customHeight="1">
      <c r="A728" s="125"/>
      <c r="B728" s="125"/>
      <c r="C728" s="125"/>
      <c r="D728" s="125"/>
      <c r="E728" s="125"/>
      <c r="F728" s="125"/>
      <c r="G728" s="125"/>
      <c r="H728" s="125"/>
      <c r="I728" s="627" t="s">
        <v>51</v>
      </c>
      <c r="J728" s="125" t="s">
        <v>51</v>
      </c>
      <c r="K728" s="125" t="s">
        <v>51</v>
      </c>
      <c r="L728" s="125" t="s">
        <v>51</v>
      </c>
      <c r="M728" s="125" t="str">
        <f t="shared" si="1"/>
        <v/>
      </c>
      <c r="N728" s="125" t="str">
        <f t="shared" si="2"/>
        <v/>
      </c>
      <c r="O728" s="125"/>
      <c r="P728" s="125"/>
      <c r="Q728" s="125"/>
      <c r="R728" s="125"/>
      <c r="S728" s="628">
        <f t="shared" si="3"/>
        <v>0</v>
      </c>
      <c r="T728" s="627" t="s">
        <v>51</v>
      </c>
      <c r="U728" s="627" t="s">
        <v>51</v>
      </c>
      <c r="V728" s="627" t="s">
        <v>51</v>
      </c>
      <c r="W728" s="627" t="s">
        <v>51</v>
      </c>
      <c r="X728" s="627" t="s">
        <v>51</v>
      </c>
      <c r="Y728" s="89"/>
    </row>
    <row r="729" ht="22.5" customHeight="1">
      <c r="A729" s="125"/>
      <c r="B729" s="125"/>
      <c r="C729" s="125"/>
      <c r="D729" s="125"/>
      <c r="E729" s="125"/>
      <c r="F729" s="125"/>
      <c r="G729" s="125"/>
      <c r="H729" s="125"/>
      <c r="I729" s="627" t="s">
        <v>51</v>
      </c>
      <c r="J729" s="125" t="s">
        <v>51</v>
      </c>
      <c r="K729" s="125" t="s">
        <v>51</v>
      </c>
      <c r="L729" s="125" t="s">
        <v>51</v>
      </c>
      <c r="M729" s="125" t="str">
        <f t="shared" si="1"/>
        <v/>
      </c>
      <c r="N729" s="125" t="str">
        <f t="shared" si="2"/>
        <v/>
      </c>
      <c r="O729" s="125"/>
      <c r="P729" s="125"/>
      <c r="Q729" s="125"/>
      <c r="R729" s="125"/>
      <c r="S729" s="628">
        <f t="shared" si="3"/>
        <v>0</v>
      </c>
      <c r="T729" s="627" t="s">
        <v>51</v>
      </c>
      <c r="U729" s="627" t="s">
        <v>51</v>
      </c>
      <c r="V729" s="627" t="s">
        <v>51</v>
      </c>
      <c r="W729" s="627" t="s">
        <v>51</v>
      </c>
      <c r="X729" s="627" t="s">
        <v>51</v>
      </c>
      <c r="Y729" s="89"/>
    </row>
    <row r="730" ht="22.5" customHeight="1">
      <c r="A730" s="125"/>
      <c r="B730" s="125"/>
      <c r="C730" s="125"/>
      <c r="D730" s="125"/>
      <c r="E730" s="125"/>
      <c r="F730" s="125"/>
      <c r="G730" s="125"/>
      <c r="H730" s="125"/>
      <c r="I730" s="627" t="s">
        <v>51</v>
      </c>
      <c r="J730" s="125" t="s">
        <v>51</v>
      </c>
      <c r="K730" s="125" t="s">
        <v>51</v>
      </c>
      <c r="L730" s="125" t="s">
        <v>51</v>
      </c>
      <c r="M730" s="125" t="str">
        <f t="shared" si="1"/>
        <v/>
      </c>
      <c r="N730" s="125" t="str">
        <f t="shared" si="2"/>
        <v/>
      </c>
      <c r="O730" s="125"/>
      <c r="P730" s="125"/>
      <c r="Q730" s="125"/>
      <c r="R730" s="125"/>
      <c r="S730" s="628">
        <f t="shared" si="3"/>
        <v>0</v>
      </c>
      <c r="T730" s="627" t="s">
        <v>51</v>
      </c>
      <c r="U730" s="627" t="s">
        <v>51</v>
      </c>
      <c r="V730" s="627" t="s">
        <v>51</v>
      </c>
      <c r="W730" s="627" t="s">
        <v>51</v>
      </c>
      <c r="X730" s="627" t="s">
        <v>51</v>
      </c>
      <c r="Y730" s="89"/>
    </row>
    <row r="731" ht="22.5" customHeight="1">
      <c r="A731" s="125"/>
      <c r="B731" s="125"/>
      <c r="C731" s="125"/>
      <c r="D731" s="125"/>
      <c r="E731" s="125"/>
      <c r="F731" s="125"/>
      <c r="G731" s="125"/>
      <c r="H731" s="125"/>
      <c r="I731" s="627" t="s">
        <v>51</v>
      </c>
      <c r="J731" s="125" t="s">
        <v>51</v>
      </c>
      <c r="K731" s="125" t="s">
        <v>51</v>
      </c>
      <c r="L731" s="125" t="s">
        <v>51</v>
      </c>
      <c r="M731" s="125" t="str">
        <f t="shared" si="1"/>
        <v/>
      </c>
      <c r="N731" s="125" t="str">
        <f t="shared" si="2"/>
        <v/>
      </c>
      <c r="O731" s="125"/>
      <c r="P731" s="125"/>
      <c r="Q731" s="125"/>
      <c r="R731" s="125"/>
      <c r="S731" s="628">
        <f t="shared" si="3"/>
        <v>0</v>
      </c>
      <c r="T731" s="627" t="s">
        <v>51</v>
      </c>
      <c r="U731" s="627" t="s">
        <v>51</v>
      </c>
      <c r="V731" s="627" t="s">
        <v>51</v>
      </c>
      <c r="W731" s="627" t="s">
        <v>51</v>
      </c>
      <c r="X731" s="627" t="s">
        <v>51</v>
      </c>
      <c r="Y731" s="89"/>
    </row>
    <row r="732" ht="22.5" customHeight="1">
      <c r="A732" s="125"/>
      <c r="B732" s="125"/>
      <c r="C732" s="125"/>
      <c r="D732" s="125"/>
      <c r="E732" s="125"/>
      <c r="F732" s="125"/>
      <c r="G732" s="125"/>
      <c r="H732" s="125"/>
      <c r="I732" s="627" t="s">
        <v>51</v>
      </c>
      <c r="J732" s="125" t="s">
        <v>51</v>
      </c>
      <c r="K732" s="125" t="s">
        <v>51</v>
      </c>
      <c r="L732" s="125" t="s">
        <v>51</v>
      </c>
      <c r="M732" s="125" t="str">
        <f t="shared" si="1"/>
        <v/>
      </c>
      <c r="N732" s="125" t="str">
        <f t="shared" si="2"/>
        <v/>
      </c>
      <c r="O732" s="125"/>
      <c r="P732" s="125"/>
      <c r="Q732" s="125"/>
      <c r="R732" s="125"/>
      <c r="S732" s="628">
        <f t="shared" si="3"/>
        <v>0</v>
      </c>
      <c r="T732" s="627" t="s">
        <v>51</v>
      </c>
      <c r="U732" s="627" t="s">
        <v>51</v>
      </c>
      <c r="V732" s="627" t="s">
        <v>51</v>
      </c>
      <c r="W732" s="627" t="s">
        <v>51</v>
      </c>
      <c r="X732" s="627" t="s">
        <v>51</v>
      </c>
      <c r="Y732" s="89"/>
    </row>
    <row r="733" ht="22.5" customHeight="1">
      <c r="A733" s="125"/>
      <c r="B733" s="125"/>
      <c r="C733" s="125"/>
      <c r="D733" s="125"/>
      <c r="E733" s="125"/>
      <c r="F733" s="125"/>
      <c r="G733" s="125"/>
      <c r="H733" s="125"/>
      <c r="I733" s="627" t="s">
        <v>51</v>
      </c>
      <c r="J733" s="125" t="s">
        <v>51</v>
      </c>
      <c r="K733" s="125" t="s">
        <v>51</v>
      </c>
      <c r="L733" s="125" t="s">
        <v>51</v>
      </c>
      <c r="M733" s="125" t="str">
        <f t="shared" si="1"/>
        <v/>
      </c>
      <c r="N733" s="125" t="str">
        <f t="shared" si="2"/>
        <v/>
      </c>
      <c r="O733" s="125"/>
      <c r="P733" s="125"/>
      <c r="Q733" s="125"/>
      <c r="R733" s="125"/>
      <c r="S733" s="628">
        <f t="shared" si="3"/>
        <v>0</v>
      </c>
      <c r="T733" s="627" t="s">
        <v>51</v>
      </c>
      <c r="U733" s="627" t="s">
        <v>51</v>
      </c>
      <c r="V733" s="627" t="s">
        <v>51</v>
      </c>
      <c r="W733" s="627" t="s">
        <v>51</v>
      </c>
      <c r="X733" s="627" t="s">
        <v>51</v>
      </c>
      <c r="Y733" s="89"/>
    </row>
    <row r="734" ht="22.5" customHeight="1">
      <c r="A734" s="125"/>
      <c r="B734" s="125"/>
      <c r="C734" s="125"/>
      <c r="D734" s="125"/>
      <c r="E734" s="125"/>
      <c r="F734" s="125"/>
      <c r="G734" s="125"/>
      <c r="H734" s="125"/>
      <c r="I734" s="627" t="s">
        <v>51</v>
      </c>
      <c r="J734" s="125" t="s">
        <v>51</v>
      </c>
      <c r="K734" s="125" t="s">
        <v>51</v>
      </c>
      <c r="L734" s="125" t="s">
        <v>51</v>
      </c>
      <c r="M734" s="125" t="str">
        <f t="shared" si="1"/>
        <v/>
      </c>
      <c r="N734" s="125" t="str">
        <f t="shared" si="2"/>
        <v/>
      </c>
      <c r="O734" s="125"/>
      <c r="P734" s="125"/>
      <c r="Q734" s="125"/>
      <c r="R734" s="125"/>
      <c r="S734" s="628">
        <f t="shared" si="3"/>
        <v>0</v>
      </c>
      <c r="T734" s="627" t="s">
        <v>51</v>
      </c>
      <c r="U734" s="627" t="s">
        <v>51</v>
      </c>
      <c r="V734" s="627" t="s">
        <v>51</v>
      </c>
      <c r="W734" s="627" t="s">
        <v>51</v>
      </c>
      <c r="X734" s="627" t="s">
        <v>51</v>
      </c>
      <c r="Y734" s="89"/>
    </row>
    <row r="735" ht="22.5" customHeight="1">
      <c r="A735" s="125"/>
      <c r="B735" s="125"/>
      <c r="C735" s="125"/>
      <c r="D735" s="125"/>
      <c r="E735" s="125"/>
      <c r="F735" s="125"/>
      <c r="G735" s="125"/>
      <c r="H735" s="125"/>
      <c r="I735" s="627" t="s">
        <v>51</v>
      </c>
      <c r="J735" s="125" t="s">
        <v>51</v>
      </c>
      <c r="K735" s="125" t="s">
        <v>51</v>
      </c>
      <c r="L735" s="125" t="s">
        <v>51</v>
      </c>
      <c r="M735" s="125" t="str">
        <f t="shared" si="1"/>
        <v/>
      </c>
      <c r="N735" s="125" t="str">
        <f t="shared" si="2"/>
        <v/>
      </c>
      <c r="O735" s="125"/>
      <c r="P735" s="125"/>
      <c r="Q735" s="125"/>
      <c r="R735" s="125"/>
      <c r="S735" s="628">
        <f t="shared" si="3"/>
        <v>0</v>
      </c>
      <c r="T735" s="627" t="s">
        <v>51</v>
      </c>
      <c r="U735" s="627" t="s">
        <v>51</v>
      </c>
      <c r="V735" s="627" t="s">
        <v>51</v>
      </c>
      <c r="W735" s="627" t="s">
        <v>51</v>
      </c>
      <c r="X735" s="627" t="s">
        <v>51</v>
      </c>
      <c r="Y735" s="89"/>
    </row>
    <row r="736" ht="22.5" customHeight="1">
      <c r="A736" s="125"/>
      <c r="B736" s="125"/>
      <c r="C736" s="125"/>
      <c r="D736" s="125"/>
      <c r="E736" s="125"/>
      <c r="F736" s="125"/>
      <c r="G736" s="125"/>
      <c r="H736" s="125"/>
      <c r="I736" s="627" t="s">
        <v>51</v>
      </c>
      <c r="J736" s="125" t="s">
        <v>51</v>
      </c>
      <c r="K736" s="125" t="s">
        <v>51</v>
      </c>
      <c r="L736" s="125" t="s">
        <v>51</v>
      </c>
      <c r="M736" s="125" t="str">
        <f t="shared" si="1"/>
        <v/>
      </c>
      <c r="N736" s="125" t="str">
        <f t="shared" si="2"/>
        <v/>
      </c>
      <c r="O736" s="125"/>
      <c r="P736" s="125"/>
      <c r="Q736" s="125"/>
      <c r="R736" s="125"/>
      <c r="S736" s="628">
        <f t="shared" si="3"/>
        <v>0</v>
      </c>
      <c r="T736" s="627" t="s">
        <v>51</v>
      </c>
      <c r="U736" s="627" t="s">
        <v>51</v>
      </c>
      <c r="V736" s="627" t="s">
        <v>51</v>
      </c>
      <c r="W736" s="627" t="s">
        <v>51</v>
      </c>
      <c r="X736" s="627" t="s">
        <v>51</v>
      </c>
      <c r="Y736" s="89"/>
    </row>
    <row r="737" ht="22.5" customHeight="1">
      <c r="A737" s="125"/>
      <c r="B737" s="125"/>
      <c r="C737" s="125"/>
      <c r="D737" s="125"/>
      <c r="E737" s="125"/>
      <c r="F737" s="125"/>
      <c r="G737" s="125"/>
      <c r="H737" s="125"/>
      <c r="I737" s="627" t="s">
        <v>51</v>
      </c>
      <c r="J737" s="125" t="s">
        <v>51</v>
      </c>
      <c r="K737" s="125" t="s">
        <v>51</v>
      </c>
      <c r="L737" s="125" t="s">
        <v>51</v>
      </c>
      <c r="M737" s="125" t="str">
        <f t="shared" si="1"/>
        <v/>
      </c>
      <c r="N737" s="125" t="str">
        <f t="shared" si="2"/>
        <v/>
      </c>
      <c r="O737" s="125"/>
      <c r="P737" s="125"/>
      <c r="Q737" s="125"/>
      <c r="R737" s="125"/>
      <c r="S737" s="628">
        <f t="shared" si="3"/>
        <v>0</v>
      </c>
      <c r="T737" s="627" t="s">
        <v>51</v>
      </c>
      <c r="U737" s="627" t="s">
        <v>51</v>
      </c>
      <c r="V737" s="627" t="s">
        <v>51</v>
      </c>
      <c r="W737" s="627" t="s">
        <v>51</v>
      </c>
      <c r="X737" s="627" t="s">
        <v>51</v>
      </c>
      <c r="Y737" s="89"/>
    </row>
    <row r="738" ht="22.5" customHeight="1">
      <c r="A738" s="125"/>
      <c r="B738" s="125"/>
      <c r="C738" s="125"/>
      <c r="D738" s="125"/>
      <c r="E738" s="125"/>
      <c r="F738" s="125"/>
      <c r="G738" s="125"/>
      <c r="H738" s="125"/>
      <c r="I738" s="627" t="s">
        <v>51</v>
      </c>
      <c r="J738" s="125" t="s">
        <v>51</v>
      </c>
      <c r="K738" s="125" t="s">
        <v>51</v>
      </c>
      <c r="L738" s="125" t="s">
        <v>51</v>
      </c>
      <c r="M738" s="125" t="str">
        <f t="shared" si="1"/>
        <v/>
      </c>
      <c r="N738" s="125" t="str">
        <f t="shared" si="2"/>
        <v/>
      </c>
      <c r="O738" s="125"/>
      <c r="P738" s="125"/>
      <c r="Q738" s="125"/>
      <c r="R738" s="125"/>
      <c r="S738" s="628">
        <f t="shared" si="3"/>
        <v>0</v>
      </c>
      <c r="T738" s="627" t="s">
        <v>51</v>
      </c>
      <c r="U738" s="627" t="s">
        <v>51</v>
      </c>
      <c r="V738" s="627" t="s">
        <v>51</v>
      </c>
      <c r="W738" s="627" t="s">
        <v>51</v>
      </c>
      <c r="X738" s="627" t="s">
        <v>51</v>
      </c>
      <c r="Y738" s="89"/>
    </row>
    <row r="739" ht="22.5" customHeight="1">
      <c r="A739" s="125"/>
      <c r="B739" s="125"/>
      <c r="C739" s="125"/>
      <c r="D739" s="125"/>
      <c r="E739" s="125"/>
      <c r="F739" s="125"/>
      <c r="G739" s="125"/>
      <c r="H739" s="125"/>
      <c r="I739" s="627" t="s">
        <v>51</v>
      </c>
      <c r="J739" s="125" t="s">
        <v>51</v>
      </c>
      <c r="K739" s="125" t="s">
        <v>51</v>
      </c>
      <c r="L739" s="125" t="s">
        <v>51</v>
      </c>
      <c r="M739" s="125" t="str">
        <f t="shared" si="1"/>
        <v/>
      </c>
      <c r="N739" s="125" t="str">
        <f t="shared" si="2"/>
        <v/>
      </c>
      <c r="O739" s="125"/>
      <c r="P739" s="125"/>
      <c r="Q739" s="125"/>
      <c r="R739" s="125"/>
      <c r="S739" s="628">
        <f t="shared" si="3"/>
        <v>0</v>
      </c>
      <c r="T739" s="627" t="s">
        <v>51</v>
      </c>
      <c r="U739" s="627" t="s">
        <v>51</v>
      </c>
      <c r="V739" s="627" t="s">
        <v>51</v>
      </c>
      <c r="W739" s="627" t="s">
        <v>51</v>
      </c>
      <c r="X739" s="627" t="s">
        <v>51</v>
      </c>
      <c r="Y739" s="89"/>
    </row>
    <row r="740" ht="22.5" customHeight="1">
      <c r="A740" s="125"/>
      <c r="B740" s="125"/>
      <c r="C740" s="125"/>
      <c r="D740" s="125"/>
      <c r="E740" s="125"/>
      <c r="F740" s="125"/>
      <c r="G740" s="125"/>
      <c r="H740" s="125"/>
      <c r="I740" s="627" t="s">
        <v>51</v>
      </c>
      <c r="J740" s="125" t="s">
        <v>51</v>
      </c>
      <c r="K740" s="125" t="s">
        <v>51</v>
      </c>
      <c r="L740" s="125" t="s">
        <v>51</v>
      </c>
      <c r="M740" s="125" t="str">
        <f t="shared" si="1"/>
        <v/>
      </c>
      <c r="N740" s="125" t="str">
        <f t="shared" si="2"/>
        <v/>
      </c>
      <c r="O740" s="125"/>
      <c r="P740" s="125"/>
      <c r="Q740" s="125"/>
      <c r="R740" s="125"/>
      <c r="S740" s="628">
        <f t="shared" si="3"/>
        <v>0</v>
      </c>
      <c r="T740" s="627" t="s">
        <v>51</v>
      </c>
      <c r="U740" s="627" t="s">
        <v>51</v>
      </c>
      <c r="V740" s="627" t="s">
        <v>51</v>
      </c>
      <c r="W740" s="627" t="s">
        <v>51</v>
      </c>
      <c r="X740" s="627" t="s">
        <v>51</v>
      </c>
      <c r="Y740" s="89"/>
    </row>
    <row r="741" ht="22.5" customHeight="1">
      <c r="A741" s="125"/>
      <c r="B741" s="125"/>
      <c r="C741" s="125"/>
      <c r="D741" s="125"/>
      <c r="E741" s="125"/>
      <c r="F741" s="125"/>
      <c r="G741" s="125"/>
      <c r="H741" s="125"/>
      <c r="I741" s="627" t="s">
        <v>51</v>
      </c>
      <c r="J741" s="125" t="s">
        <v>51</v>
      </c>
      <c r="K741" s="125" t="s">
        <v>51</v>
      </c>
      <c r="L741" s="125" t="s">
        <v>51</v>
      </c>
      <c r="M741" s="125" t="str">
        <f t="shared" si="1"/>
        <v/>
      </c>
      <c r="N741" s="125" t="str">
        <f t="shared" si="2"/>
        <v/>
      </c>
      <c r="O741" s="125"/>
      <c r="P741" s="125"/>
      <c r="Q741" s="125"/>
      <c r="R741" s="125"/>
      <c r="S741" s="628">
        <f t="shared" si="3"/>
        <v>0</v>
      </c>
      <c r="T741" s="627" t="s">
        <v>51</v>
      </c>
      <c r="U741" s="627" t="s">
        <v>51</v>
      </c>
      <c r="V741" s="627" t="s">
        <v>51</v>
      </c>
      <c r="W741" s="627" t="s">
        <v>51</v>
      </c>
      <c r="X741" s="627" t="s">
        <v>51</v>
      </c>
      <c r="Y741" s="89"/>
    </row>
    <row r="742" ht="22.5" customHeight="1">
      <c r="A742" s="125"/>
      <c r="B742" s="125"/>
      <c r="C742" s="125"/>
      <c r="D742" s="125"/>
      <c r="E742" s="125"/>
      <c r="F742" s="125"/>
      <c r="G742" s="125"/>
      <c r="H742" s="125"/>
      <c r="I742" s="627" t="s">
        <v>51</v>
      </c>
      <c r="J742" s="125" t="s">
        <v>51</v>
      </c>
      <c r="K742" s="125" t="s">
        <v>51</v>
      </c>
      <c r="L742" s="125" t="s">
        <v>51</v>
      </c>
      <c r="M742" s="125" t="str">
        <f t="shared" si="1"/>
        <v/>
      </c>
      <c r="N742" s="125" t="str">
        <f t="shared" si="2"/>
        <v/>
      </c>
      <c r="O742" s="125"/>
      <c r="P742" s="125"/>
      <c r="Q742" s="125"/>
      <c r="R742" s="125"/>
      <c r="S742" s="628">
        <f t="shared" si="3"/>
        <v>0</v>
      </c>
      <c r="T742" s="627" t="s">
        <v>51</v>
      </c>
      <c r="U742" s="627" t="s">
        <v>51</v>
      </c>
      <c r="V742" s="627" t="s">
        <v>51</v>
      </c>
      <c r="W742" s="627" t="s">
        <v>51</v>
      </c>
      <c r="X742" s="627" t="s">
        <v>51</v>
      </c>
      <c r="Y742" s="89"/>
    </row>
    <row r="743" ht="22.5" customHeight="1">
      <c r="A743" s="125"/>
      <c r="B743" s="125"/>
      <c r="C743" s="125"/>
      <c r="D743" s="125"/>
      <c r="E743" s="125"/>
      <c r="F743" s="125"/>
      <c r="G743" s="125"/>
      <c r="H743" s="125"/>
      <c r="I743" s="627" t="s">
        <v>51</v>
      </c>
      <c r="J743" s="125" t="s">
        <v>51</v>
      </c>
      <c r="K743" s="125" t="s">
        <v>51</v>
      </c>
      <c r="L743" s="125" t="s">
        <v>51</v>
      </c>
      <c r="M743" s="125" t="str">
        <f t="shared" si="1"/>
        <v/>
      </c>
      <c r="N743" s="125" t="str">
        <f t="shared" si="2"/>
        <v/>
      </c>
      <c r="O743" s="125"/>
      <c r="P743" s="125"/>
      <c r="Q743" s="125"/>
      <c r="R743" s="125"/>
      <c r="S743" s="628">
        <f t="shared" si="3"/>
        <v>0</v>
      </c>
      <c r="T743" s="627" t="s">
        <v>51</v>
      </c>
      <c r="U743" s="627" t="s">
        <v>51</v>
      </c>
      <c r="V743" s="627" t="s">
        <v>51</v>
      </c>
      <c r="W743" s="627" t="s">
        <v>51</v>
      </c>
      <c r="X743" s="627" t="s">
        <v>51</v>
      </c>
      <c r="Y743" s="89"/>
    </row>
    <row r="744" ht="22.5" customHeight="1">
      <c r="A744" s="125"/>
      <c r="B744" s="125"/>
      <c r="C744" s="125"/>
      <c r="D744" s="125"/>
      <c r="E744" s="125"/>
      <c r="F744" s="125"/>
      <c r="G744" s="125"/>
      <c r="H744" s="125"/>
      <c r="I744" s="627" t="s">
        <v>51</v>
      </c>
      <c r="J744" s="125" t="s">
        <v>51</v>
      </c>
      <c r="K744" s="125" t="s">
        <v>51</v>
      </c>
      <c r="L744" s="125" t="s">
        <v>51</v>
      </c>
      <c r="M744" s="125" t="str">
        <f t="shared" si="1"/>
        <v/>
      </c>
      <c r="N744" s="125" t="str">
        <f t="shared" si="2"/>
        <v/>
      </c>
      <c r="O744" s="125"/>
      <c r="P744" s="125"/>
      <c r="Q744" s="125"/>
      <c r="R744" s="125"/>
      <c r="S744" s="628">
        <f t="shared" si="3"/>
        <v>0</v>
      </c>
      <c r="T744" s="627" t="s">
        <v>51</v>
      </c>
      <c r="U744" s="627" t="s">
        <v>51</v>
      </c>
      <c r="V744" s="627" t="s">
        <v>51</v>
      </c>
      <c r="W744" s="627" t="s">
        <v>51</v>
      </c>
      <c r="X744" s="627" t="s">
        <v>51</v>
      </c>
      <c r="Y744" s="89"/>
    </row>
    <row r="745" ht="22.5" customHeight="1">
      <c r="A745" s="125"/>
      <c r="B745" s="125"/>
      <c r="C745" s="125"/>
      <c r="D745" s="125"/>
      <c r="E745" s="125"/>
      <c r="F745" s="125"/>
      <c r="G745" s="125"/>
      <c r="H745" s="125"/>
      <c r="I745" s="627" t="s">
        <v>51</v>
      </c>
      <c r="J745" s="125" t="s">
        <v>51</v>
      </c>
      <c r="K745" s="125" t="s">
        <v>51</v>
      </c>
      <c r="L745" s="125" t="s">
        <v>51</v>
      </c>
      <c r="M745" s="125" t="str">
        <f t="shared" si="1"/>
        <v/>
      </c>
      <c r="N745" s="125" t="str">
        <f t="shared" si="2"/>
        <v/>
      </c>
      <c r="O745" s="125"/>
      <c r="P745" s="125"/>
      <c r="Q745" s="125"/>
      <c r="R745" s="125"/>
      <c r="S745" s="628">
        <f t="shared" si="3"/>
        <v>0</v>
      </c>
      <c r="T745" s="627" t="s">
        <v>51</v>
      </c>
      <c r="U745" s="627" t="s">
        <v>51</v>
      </c>
      <c r="V745" s="627" t="s">
        <v>51</v>
      </c>
      <c r="W745" s="627" t="s">
        <v>51</v>
      </c>
      <c r="X745" s="627" t="s">
        <v>51</v>
      </c>
      <c r="Y745" s="89"/>
    </row>
    <row r="746" ht="22.5" customHeight="1">
      <c r="A746" s="125"/>
      <c r="B746" s="125"/>
      <c r="C746" s="125"/>
      <c r="D746" s="125"/>
      <c r="E746" s="125"/>
      <c r="F746" s="125"/>
      <c r="G746" s="125"/>
      <c r="H746" s="125"/>
      <c r="I746" s="627" t="s">
        <v>51</v>
      </c>
      <c r="J746" s="125" t="s">
        <v>51</v>
      </c>
      <c r="K746" s="125" t="s">
        <v>51</v>
      </c>
      <c r="L746" s="125" t="s">
        <v>51</v>
      </c>
      <c r="M746" s="125" t="str">
        <f t="shared" si="1"/>
        <v/>
      </c>
      <c r="N746" s="125" t="str">
        <f t="shared" si="2"/>
        <v/>
      </c>
      <c r="O746" s="125"/>
      <c r="P746" s="125"/>
      <c r="Q746" s="125"/>
      <c r="R746" s="125"/>
      <c r="S746" s="628">
        <f t="shared" si="3"/>
        <v>0</v>
      </c>
      <c r="T746" s="627" t="s">
        <v>51</v>
      </c>
      <c r="U746" s="627" t="s">
        <v>51</v>
      </c>
      <c r="V746" s="627" t="s">
        <v>51</v>
      </c>
      <c r="W746" s="627" t="s">
        <v>51</v>
      </c>
      <c r="X746" s="627" t="s">
        <v>51</v>
      </c>
      <c r="Y746" s="89"/>
    </row>
    <row r="747" ht="22.5" customHeight="1">
      <c r="A747" s="125"/>
      <c r="B747" s="125"/>
      <c r="C747" s="125"/>
      <c r="D747" s="125"/>
      <c r="E747" s="125"/>
      <c r="F747" s="125"/>
      <c r="G747" s="125"/>
      <c r="H747" s="125"/>
      <c r="I747" s="627" t="s">
        <v>51</v>
      </c>
      <c r="J747" s="125" t="s">
        <v>51</v>
      </c>
      <c r="K747" s="125" t="s">
        <v>51</v>
      </c>
      <c r="L747" s="125" t="s">
        <v>51</v>
      </c>
      <c r="M747" s="125" t="str">
        <f t="shared" si="1"/>
        <v/>
      </c>
      <c r="N747" s="125" t="str">
        <f t="shared" si="2"/>
        <v/>
      </c>
      <c r="O747" s="125"/>
      <c r="P747" s="125"/>
      <c r="Q747" s="125"/>
      <c r="R747" s="125"/>
      <c r="S747" s="628">
        <f t="shared" si="3"/>
        <v>0</v>
      </c>
      <c r="T747" s="627" t="s">
        <v>51</v>
      </c>
      <c r="U747" s="627" t="s">
        <v>51</v>
      </c>
      <c r="V747" s="627" t="s">
        <v>51</v>
      </c>
      <c r="W747" s="627" t="s">
        <v>51</v>
      </c>
      <c r="X747" s="627" t="s">
        <v>51</v>
      </c>
      <c r="Y747" s="89"/>
    </row>
    <row r="748" ht="22.5" customHeight="1">
      <c r="A748" s="125"/>
      <c r="B748" s="125"/>
      <c r="C748" s="125"/>
      <c r="D748" s="125"/>
      <c r="E748" s="125"/>
      <c r="F748" s="125"/>
      <c r="G748" s="125"/>
      <c r="H748" s="125"/>
      <c r="I748" s="627" t="s">
        <v>51</v>
      </c>
      <c r="J748" s="125" t="s">
        <v>51</v>
      </c>
      <c r="K748" s="125" t="s">
        <v>51</v>
      </c>
      <c r="L748" s="125" t="s">
        <v>51</v>
      </c>
      <c r="M748" s="125" t="str">
        <f t="shared" si="1"/>
        <v/>
      </c>
      <c r="N748" s="125" t="str">
        <f t="shared" si="2"/>
        <v/>
      </c>
      <c r="O748" s="125"/>
      <c r="P748" s="125"/>
      <c r="Q748" s="125"/>
      <c r="R748" s="125"/>
      <c r="S748" s="628">
        <f t="shared" si="3"/>
        <v>0</v>
      </c>
      <c r="T748" s="627" t="s">
        <v>51</v>
      </c>
      <c r="U748" s="627" t="s">
        <v>51</v>
      </c>
      <c r="V748" s="627" t="s">
        <v>51</v>
      </c>
      <c r="W748" s="627" t="s">
        <v>51</v>
      </c>
      <c r="X748" s="627" t="s">
        <v>51</v>
      </c>
      <c r="Y748" s="89"/>
    </row>
    <row r="749" ht="22.5" customHeight="1">
      <c r="A749" s="125"/>
      <c r="B749" s="125"/>
      <c r="C749" s="125"/>
      <c r="D749" s="125"/>
      <c r="E749" s="125"/>
      <c r="F749" s="125"/>
      <c r="G749" s="125"/>
      <c r="H749" s="125"/>
      <c r="I749" s="627" t="s">
        <v>51</v>
      </c>
      <c r="J749" s="125" t="s">
        <v>51</v>
      </c>
      <c r="K749" s="125" t="s">
        <v>51</v>
      </c>
      <c r="L749" s="125" t="s">
        <v>51</v>
      </c>
      <c r="M749" s="125" t="str">
        <f t="shared" si="1"/>
        <v/>
      </c>
      <c r="N749" s="125" t="str">
        <f t="shared" si="2"/>
        <v/>
      </c>
      <c r="O749" s="125"/>
      <c r="P749" s="125"/>
      <c r="Q749" s="125"/>
      <c r="R749" s="125"/>
      <c r="S749" s="628">
        <f t="shared" si="3"/>
        <v>0</v>
      </c>
      <c r="T749" s="627" t="s">
        <v>51</v>
      </c>
      <c r="U749" s="627" t="s">
        <v>51</v>
      </c>
      <c r="V749" s="627" t="s">
        <v>51</v>
      </c>
      <c r="W749" s="627" t="s">
        <v>51</v>
      </c>
      <c r="X749" s="627" t="s">
        <v>51</v>
      </c>
      <c r="Y749" s="89"/>
    </row>
    <row r="750" ht="22.5" customHeight="1">
      <c r="A750" s="125"/>
      <c r="B750" s="125"/>
      <c r="C750" s="125"/>
      <c r="D750" s="125"/>
      <c r="E750" s="125"/>
      <c r="F750" s="125"/>
      <c r="G750" s="125"/>
      <c r="H750" s="125"/>
      <c r="I750" s="627" t="s">
        <v>51</v>
      </c>
      <c r="J750" s="125" t="s">
        <v>51</v>
      </c>
      <c r="K750" s="125" t="s">
        <v>51</v>
      </c>
      <c r="L750" s="125" t="s">
        <v>51</v>
      </c>
      <c r="M750" s="125" t="str">
        <f t="shared" si="1"/>
        <v/>
      </c>
      <c r="N750" s="125" t="str">
        <f t="shared" si="2"/>
        <v/>
      </c>
      <c r="O750" s="125"/>
      <c r="P750" s="125"/>
      <c r="Q750" s="125"/>
      <c r="R750" s="125"/>
      <c r="S750" s="628">
        <f t="shared" si="3"/>
        <v>0</v>
      </c>
      <c r="T750" s="627" t="s">
        <v>51</v>
      </c>
      <c r="U750" s="627" t="s">
        <v>51</v>
      </c>
      <c r="V750" s="627" t="s">
        <v>51</v>
      </c>
      <c r="W750" s="627" t="s">
        <v>51</v>
      </c>
      <c r="X750" s="627" t="s">
        <v>51</v>
      </c>
      <c r="Y750" s="89"/>
    </row>
    <row r="751" ht="22.5" customHeight="1">
      <c r="A751" s="125"/>
      <c r="B751" s="125"/>
      <c r="C751" s="125"/>
      <c r="D751" s="125"/>
      <c r="E751" s="125"/>
      <c r="F751" s="125"/>
      <c r="G751" s="125"/>
      <c r="H751" s="125"/>
      <c r="I751" s="627" t="s">
        <v>51</v>
      </c>
      <c r="J751" s="125" t="s">
        <v>51</v>
      </c>
      <c r="K751" s="125" t="s">
        <v>51</v>
      </c>
      <c r="L751" s="125" t="s">
        <v>51</v>
      </c>
      <c r="M751" s="125" t="str">
        <f t="shared" si="1"/>
        <v/>
      </c>
      <c r="N751" s="125" t="str">
        <f t="shared" si="2"/>
        <v/>
      </c>
      <c r="O751" s="125"/>
      <c r="P751" s="125"/>
      <c r="Q751" s="125"/>
      <c r="R751" s="125"/>
      <c r="S751" s="628">
        <f t="shared" si="3"/>
        <v>0</v>
      </c>
      <c r="T751" s="627" t="s">
        <v>51</v>
      </c>
      <c r="U751" s="627" t="s">
        <v>51</v>
      </c>
      <c r="V751" s="627" t="s">
        <v>51</v>
      </c>
      <c r="W751" s="627" t="s">
        <v>51</v>
      </c>
      <c r="X751" s="627" t="s">
        <v>51</v>
      </c>
      <c r="Y751" s="89"/>
    </row>
    <row r="752" ht="22.5" customHeight="1">
      <c r="A752" s="125"/>
      <c r="B752" s="125"/>
      <c r="C752" s="125"/>
      <c r="D752" s="125"/>
      <c r="E752" s="125"/>
      <c r="F752" s="125"/>
      <c r="G752" s="125"/>
      <c r="H752" s="125"/>
      <c r="I752" s="627" t="s">
        <v>51</v>
      </c>
      <c r="J752" s="125" t="s">
        <v>51</v>
      </c>
      <c r="K752" s="125" t="s">
        <v>51</v>
      </c>
      <c r="L752" s="125" t="s">
        <v>51</v>
      </c>
      <c r="M752" s="125" t="str">
        <f t="shared" si="1"/>
        <v/>
      </c>
      <c r="N752" s="125" t="str">
        <f t="shared" si="2"/>
        <v/>
      </c>
      <c r="O752" s="125"/>
      <c r="P752" s="125"/>
      <c r="Q752" s="125"/>
      <c r="R752" s="125"/>
      <c r="S752" s="628">
        <f t="shared" si="3"/>
        <v>0</v>
      </c>
      <c r="T752" s="627" t="s">
        <v>51</v>
      </c>
      <c r="U752" s="627" t="s">
        <v>51</v>
      </c>
      <c r="V752" s="627" t="s">
        <v>51</v>
      </c>
      <c r="W752" s="627" t="s">
        <v>51</v>
      </c>
      <c r="X752" s="627" t="s">
        <v>51</v>
      </c>
      <c r="Y752" s="89"/>
    </row>
    <row r="753" ht="22.5" customHeight="1">
      <c r="A753" s="125"/>
      <c r="B753" s="125"/>
      <c r="C753" s="125"/>
      <c r="D753" s="125"/>
      <c r="E753" s="125"/>
      <c r="F753" s="125"/>
      <c r="G753" s="125"/>
      <c r="H753" s="125"/>
      <c r="I753" s="627" t="s">
        <v>51</v>
      </c>
      <c r="J753" s="125" t="s">
        <v>51</v>
      </c>
      <c r="K753" s="125" t="s">
        <v>51</v>
      </c>
      <c r="L753" s="125" t="s">
        <v>51</v>
      </c>
      <c r="M753" s="125" t="str">
        <f t="shared" si="1"/>
        <v/>
      </c>
      <c r="N753" s="125" t="str">
        <f t="shared" si="2"/>
        <v/>
      </c>
      <c r="O753" s="125"/>
      <c r="P753" s="125"/>
      <c r="Q753" s="125"/>
      <c r="R753" s="125"/>
      <c r="S753" s="628">
        <f t="shared" si="3"/>
        <v>0</v>
      </c>
      <c r="T753" s="627" t="s">
        <v>51</v>
      </c>
      <c r="U753" s="627" t="s">
        <v>51</v>
      </c>
      <c r="V753" s="627" t="s">
        <v>51</v>
      </c>
      <c r="W753" s="627" t="s">
        <v>51</v>
      </c>
      <c r="X753" s="627" t="s">
        <v>51</v>
      </c>
      <c r="Y753" s="89"/>
    </row>
    <row r="754" ht="22.5" customHeight="1">
      <c r="A754" s="125"/>
      <c r="B754" s="125"/>
      <c r="C754" s="125"/>
      <c r="D754" s="125"/>
      <c r="E754" s="125"/>
      <c r="F754" s="125"/>
      <c r="G754" s="125"/>
      <c r="H754" s="125"/>
      <c r="I754" s="627" t="s">
        <v>51</v>
      </c>
      <c r="J754" s="125" t="s">
        <v>51</v>
      </c>
      <c r="K754" s="125" t="s">
        <v>51</v>
      </c>
      <c r="L754" s="125" t="s">
        <v>51</v>
      </c>
      <c r="M754" s="125" t="str">
        <f t="shared" si="1"/>
        <v/>
      </c>
      <c r="N754" s="125" t="str">
        <f t="shared" si="2"/>
        <v/>
      </c>
      <c r="O754" s="125"/>
      <c r="P754" s="125"/>
      <c r="Q754" s="125"/>
      <c r="R754" s="125"/>
      <c r="S754" s="628">
        <f t="shared" si="3"/>
        <v>0</v>
      </c>
      <c r="T754" s="627" t="s">
        <v>51</v>
      </c>
      <c r="U754" s="627" t="s">
        <v>51</v>
      </c>
      <c r="V754" s="627" t="s">
        <v>51</v>
      </c>
      <c r="W754" s="627" t="s">
        <v>51</v>
      </c>
      <c r="X754" s="627" t="s">
        <v>51</v>
      </c>
      <c r="Y754" s="89"/>
    </row>
    <row r="755" ht="22.5" customHeight="1">
      <c r="A755" s="125"/>
      <c r="B755" s="125"/>
      <c r="C755" s="125"/>
      <c r="D755" s="125"/>
      <c r="E755" s="125"/>
      <c r="F755" s="125"/>
      <c r="G755" s="125"/>
      <c r="H755" s="125"/>
      <c r="I755" s="627" t="s">
        <v>51</v>
      </c>
      <c r="J755" s="125" t="s">
        <v>51</v>
      </c>
      <c r="K755" s="125" t="s">
        <v>51</v>
      </c>
      <c r="L755" s="125" t="s">
        <v>51</v>
      </c>
      <c r="M755" s="125" t="str">
        <f t="shared" si="1"/>
        <v/>
      </c>
      <c r="N755" s="125" t="str">
        <f t="shared" si="2"/>
        <v/>
      </c>
      <c r="O755" s="125"/>
      <c r="P755" s="125"/>
      <c r="Q755" s="125"/>
      <c r="R755" s="125"/>
      <c r="S755" s="628">
        <f t="shared" si="3"/>
        <v>0</v>
      </c>
      <c r="T755" s="627" t="s">
        <v>51</v>
      </c>
      <c r="U755" s="627" t="s">
        <v>51</v>
      </c>
      <c r="V755" s="627" t="s">
        <v>51</v>
      </c>
      <c r="W755" s="627" t="s">
        <v>51</v>
      </c>
      <c r="X755" s="627" t="s">
        <v>51</v>
      </c>
      <c r="Y755" s="89"/>
    </row>
    <row r="756" ht="22.5" customHeight="1">
      <c r="A756" s="125"/>
      <c r="B756" s="125"/>
      <c r="C756" s="125"/>
      <c r="D756" s="125"/>
      <c r="E756" s="125"/>
      <c r="F756" s="125"/>
      <c r="G756" s="125"/>
      <c r="H756" s="125"/>
      <c r="I756" s="627" t="s">
        <v>51</v>
      </c>
      <c r="J756" s="125" t="s">
        <v>51</v>
      </c>
      <c r="K756" s="125" t="s">
        <v>51</v>
      </c>
      <c r="L756" s="125" t="s">
        <v>51</v>
      </c>
      <c r="M756" s="125" t="str">
        <f t="shared" si="1"/>
        <v/>
      </c>
      <c r="N756" s="125" t="str">
        <f t="shared" si="2"/>
        <v/>
      </c>
      <c r="O756" s="125"/>
      <c r="P756" s="125"/>
      <c r="Q756" s="125"/>
      <c r="R756" s="125"/>
      <c r="S756" s="628">
        <f t="shared" si="3"/>
        <v>0</v>
      </c>
      <c r="T756" s="627" t="s">
        <v>51</v>
      </c>
      <c r="U756" s="627" t="s">
        <v>51</v>
      </c>
      <c r="V756" s="627" t="s">
        <v>51</v>
      </c>
      <c r="W756" s="627" t="s">
        <v>51</v>
      </c>
      <c r="X756" s="627" t="s">
        <v>51</v>
      </c>
      <c r="Y756" s="89"/>
    </row>
    <row r="757" ht="22.5" customHeight="1">
      <c r="A757" s="125"/>
      <c r="B757" s="125"/>
      <c r="C757" s="125"/>
      <c r="D757" s="125"/>
      <c r="E757" s="125"/>
      <c r="F757" s="125"/>
      <c r="G757" s="125"/>
      <c r="H757" s="125"/>
      <c r="I757" s="627" t="s">
        <v>51</v>
      </c>
      <c r="J757" s="125" t="s">
        <v>51</v>
      </c>
      <c r="K757" s="125" t="s">
        <v>51</v>
      </c>
      <c r="L757" s="125" t="s">
        <v>51</v>
      </c>
      <c r="M757" s="125" t="str">
        <f t="shared" si="1"/>
        <v/>
      </c>
      <c r="N757" s="125" t="str">
        <f t="shared" si="2"/>
        <v/>
      </c>
      <c r="O757" s="125"/>
      <c r="P757" s="125"/>
      <c r="Q757" s="125"/>
      <c r="R757" s="125"/>
      <c r="S757" s="628">
        <f t="shared" si="3"/>
        <v>0</v>
      </c>
      <c r="T757" s="627" t="s">
        <v>51</v>
      </c>
      <c r="U757" s="627" t="s">
        <v>51</v>
      </c>
      <c r="V757" s="627" t="s">
        <v>51</v>
      </c>
      <c r="W757" s="627" t="s">
        <v>51</v>
      </c>
      <c r="X757" s="627" t="s">
        <v>51</v>
      </c>
      <c r="Y757" s="89"/>
    </row>
    <row r="758" ht="22.5" customHeight="1">
      <c r="A758" s="125"/>
      <c r="B758" s="125"/>
      <c r="C758" s="125"/>
      <c r="D758" s="125"/>
      <c r="E758" s="125"/>
      <c r="F758" s="125"/>
      <c r="G758" s="125"/>
      <c r="H758" s="125"/>
      <c r="I758" s="627" t="s">
        <v>51</v>
      </c>
      <c r="J758" s="125" t="s">
        <v>51</v>
      </c>
      <c r="K758" s="125" t="s">
        <v>51</v>
      </c>
      <c r="L758" s="125" t="s">
        <v>51</v>
      </c>
      <c r="M758" s="125" t="str">
        <f t="shared" si="1"/>
        <v/>
      </c>
      <c r="N758" s="125" t="str">
        <f t="shared" si="2"/>
        <v/>
      </c>
      <c r="O758" s="125"/>
      <c r="P758" s="125"/>
      <c r="Q758" s="125"/>
      <c r="R758" s="125"/>
      <c r="S758" s="628">
        <f t="shared" si="3"/>
        <v>0</v>
      </c>
      <c r="T758" s="627" t="s">
        <v>51</v>
      </c>
      <c r="U758" s="627" t="s">
        <v>51</v>
      </c>
      <c r="V758" s="627" t="s">
        <v>51</v>
      </c>
      <c r="W758" s="627" t="s">
        <v>51</v>
      </c>
      <c r="X758" s="627" t="s">
        <v>51</v>
      </c>
      <c r="Y758" s="89"/>
    </row>
    <row r="759" ht="22.5" customHeight="1">
      <c r="A759" s="125"/>
      <c r="B759" s="125"/>
      <c r="C759" s="125"/>
      <c r="D759" s="125"/>
      <c r="E759" s="125"/>
      <c r="F759" s="125"/>
      <c r="G759" s="125"/>
      <c r="H759" s="125"/>
      <c r="I759" s="627" t="s">
        <v>51</v>
      </c>
      <c r="J759" s="125" t="s">
        <v>51</v>
      </c>
      <c r="K759" s="125" t="s">
        <v>51</v>
      </c>
      <c r="L759" s="125" t="s">
        <v>51</v>
      </c>
      <c r="M759" s="125" t="str">
        <f t="shared" si="1"/>
        <v/>
      </c>
      <c r="N759" s="125" t="str">
        <f t="shared" si="2"/>
        <v/>
      </c>
      <c r="O759" s="125"/>
      <c r="P759" s="125"/>
      <c r="Q759" s="125"/>
      <c r="R759" s="125"/>
      <c r="S759" s="628">
        <f t="shared" si="3"/>
        <v>0</v>
      </c>
      <c r="T759" s="627" t="s">
        <v>51</v>
      </c>
      <c r="U759" s="627" t="s">
        <v>51</v>
      </c>
      <c r="V759" s="627" t="s">
        <v>51</v>
      </c>
      <c r="W759" s="627" t="s">
        <v>51</v>
      </c>
      <c r="X759" s="627" t="s">
        <v>51</v>
      </c>
      <c r="Y759" s="89"/>
    </row>
    <row r="760" ht="22.5" customHeight="1">
      <c r="A760" s="125"/>
      <c r="B760" s="125"/>
      <c r="C760" s="125"/>
      <c r="D760" s="125"/>
      <c r="E760" s="125"/>
      <c r="F760" s="125"/>
      <c r="G760" s="125"/>
      <c r="H760" s="125"/>
      <c r="I760" s="627" t="s">
        <v>51</v>
      </c>
      <c r="J760" s="125" t="s">
        <v>51</v>
      </c>
      <c r="K760" s="125" t="s">
        <v>51</v>
      </c>
      <c r="L760" s="125" t="s">
        <v>51</v>
      </c>
      <c r="M760" s="125" t="str">
        <f t="shared" si="1"/>
        <v/>
      </c>
      <c r="N760" s="125" t="str">
        <f t="shared" si="2"/>
        <v/>
      </c>
      <c r="O760" s="125"/>
      <c r="P760" s="125"/>
      <c r="Q760" s="125"/>
      <c r="R760" s="125"/>
      <c r="S760" s="628">
        <f t="shared" si="3"/>
        <v>0</v>
      </c>
      <c r="T760" s="627" t="s">
        <v>51</v>
      </c>
      <c r="U760" s="627" t="s">
        <v>51</v>
      </c>
      <c r="V760" s="627" t="s">
        <v>51</v>
      </c>
      <c r="W760" s="627" t="s">
        <v>51</v>
      </c>
      <c r="X760" s="627" t="s">
        <v>51</v>
      </c>
      <c r="Y760" s="89"/>
    </row>
    <row r="761" ht="22.5" customHeight="1">
      <c r="A761" s="125"/>
      <c r="B761" s="125"/>
      <c r="C761" s="125"/>
      <c r="D761" s="125"/>
      <c r="E761" s="125"/>
      <c r="F761" s="125"/>
      <c r="G761" s="125"/>
      <c r="H761" s="125"/>
      <c r="I761" s="627" t="s">
        <v>51</v>
      </c>
      <c r="J761" s="125" t="s">
        <v>51</v>
      </c>
      <c r="K761" s="125" t="s">
        <v>51</v>
      </c>
      <c r="L761" s="125" t="s">
        <v>51</v>
      </c>
      <c r="M761" s="125" t="str">
        <f t="shared" si="1"/>
        <v/>
      </c>
      <c r="N761" s="125" t="str">
        <f t="shared" si="2"/>
        <v/>
      </c>
      <c r="O761" s="125"/>
      <c r="P761" s="125"/>
      <c r="Q761" s="125"/>
      <c r="R761" s="125"/>
      <c r="S761" s="628">
        <f t="shared" si="3"/>
        <v>0</v>
      </c>
      <c r="T761" s="627" t="s">
        <v>51</v>
      </c>
      <c r="U761" s="627" t="s">
        <v>51</v>
      </c>
      <c r="V761" s="627" t="s">
        <v>51</v>
      </c>
      <c r="W761" s="627" t="s">
        <v>51</v>
      </c>
      <c r="X761" s="627" t="s">
        <v>51</v>
      </c>
      <c r="Y761" s="89"/>
    </row>
    <row r="762" ht="22.5" customHeight="1">
      <c r="A762" s="125"/>
      <c r="B762" s="125"/>
      <c r="C762" s="125"/>
      <c r="D762" s="125"/>
      <c r="E762" s="125"/>
      <c r="F762" s="125"/>
      <c r="G762" s="125"/>
      <c r="H762" s="125"/>
      <c r="I762" s="627" t="s">
        <v>51</v>
      </c>
      <c r="J762" s="125" t="s">
        <v>51</v>
      </c>
      <c r="K762" s="125" t="s">
        <v>51</v>
      </c>
      <c r="L762" s="125" t="s">
        <v>51</v>
      </c>
      <c r="M762" s="125" t="str">
        <f t="shared" si="1"/>
        <v/>
      </c>
      <c r="N762" s="125" t="str">
        <f t="shared" si="2"/>
        <v/>
      </c>
      <c r="O762" s="125"/>
      <c r="P762" s="125"/>
      <c r="Q762" s="125"/>
      <c r="R762" s="125"/>
      <c r="S762" s="628">
        <f t="shared" si="3"/>
        <v>0</v>
      </c>
      <c r="T762" s="627" t="s">
        <v>51</v>
      </c>
      <c r="U762" s="627" t="s">
        <v>51</v>
      </c>
      <c r="V762" s="627" t="s">
        <v>51</v>
      </c>
      <c r="W762" s="627" t="s">
        <v>51</v>
      </c>
      <c r="X762" s="627" t="s">
        <v>51</v>
      </c>
      <c r="Y762" s="89"/>
    </row>
    <row r="763" ht="22.5" customHeight="1">
      <c r="A763" s="125"/>
      <c r="B763" s="125"/>
      <c r="C763" s="125"/>
      <c r="D763" s="125"/>
      <c r="E763" s="125"/>
      <c r="F763" s="125"/>
      <c r="G763" s="125"/>
      <c r="H763" s="125"/>
      <c r="I763" s="627" t="s">
        <v>51</v>
      </c>
      <c r="J763" s="125" t="s">
        <v>51</v>
      </c>
      <c r="K763" s="125" t="s">
        <v>51</v>
      </c>
      <c r="L763" s="125" t="s">
        <v>51</v>
      </c>
      <c r="M763" s="125" t="str">
        <f t="shared" si="1"/>
        <v/>
      </c>
      <c r="N763" s="125" t="str">
        <f t="shared" si="2"/>
        <v/>
      </c>
      <c r="O763" s="125"/>
      <c r="P763" s="125"/>
      <c r="Q763" s="125"/>
      <c r="R763" s="125"/>
      <c r="S763" s="628">
        <f t="shared" si="3"/>
        <v>0</v>
      </c>
      <c r="T763" s="627" t="s">
        <v>51</v>
      </c>
      <c r="U763" s="627" t="s">
        <v>51</v>
      </c>
      <c r="V763" s="627" t="s">
        <v>51</v>
      </c>
      <c r="W763" s="627" t="s">
        <v>51</v>
      </c>
      <c r="X763" s="627" t="s">
        <v>51</v>
      </c>
      <c r="Y763" s="89"/>
    </row>
    <row r="764" ht="22.5" customHeight="1">
      <c r="A764" s="125"/>
      <c r="B764" s="125"/>
      <c r="C764" s="125"/>
      <c r="D764" s="125"/>
      <c r="E764" s="125"/>
      <c r="F764" s="125"/>
      <c r="G764" s="125"/>
      <c r="H764" s="125"/>
      <c r="I764" s="627" t="s">
        <v>51</v>
      </c>
      <c r="J764" s="125" t="s">
        <v>51</v>
      </c>
      <c r="K764" s="125" t="s">
        <v>51</v>
      </c>
      <c r="L764" s="125" t="s">
        <v>51</v>
      </c>
      <c r="M764" s="125" t="str">
        <f t="shared" si="1"/>
        <v/>
      </c>
      <c r="N764" s="125" t="str">
        <f t="shared" si="2"/>
        <v/>
      </c>
      <c r="O764" s="125"/>
      <c r="P764" s="125"/>
      <c r="Q764" s="125"/>
      <c r="R764" s="125"/>
      <c r="S764" s="628">
        <f t="shared" si="3"/>
        <v>0</v>
      </c>
      <c r="T764" s="627" t="s">
        <v>51</v>
      </c>
      <c r="U764" s="627" t="s">
        <v>51</v>
      </c>
      <c r="V764" s="627" t="s">
        <v>51</v>
      </c>
      <c r="W764" s="627" t="s">
        <v>51</v>
      </c>
      <c r="X764" s="627" t="s">
        <v>51</v>
      </c>
      <c r="Y764" s="89"/>
    </row>
    <row r="765" ht="22.5" customHeight="1">
      <c r="A765" s="125"/>
      <c r="B765" s="125"/>
      <c r="C765" s="125"/>
      <c r="D765" s="125"/>
      <c r="E765" s="125"/>
      <c r="F765" s="125"/>
      <c r="G765" s="125"/>
      <c r="H765" s="125"/>
      <c r="I765" s="627" t="s">
        <v>51</v>
      </c>
      <c r="J765" s="125" t="s">
        <v>51</v>
      </c>
      <c r="K765" s="125" t="s">
        <v>51</v>
      </c>
      <c r="L765" s="125" t="s">
        <v>51</v>
      </c>
      <c r="M765" s="125" t="str">
        <f t="shared" si="1"/>
        <v/>
      </c>
      <c r="N765" s="125" t="str">
        <f t="shared" si="2"/>
        <v/>
      </c>
      <c r="O765" s="125"/>
      <c r="P765" s="125"/>
      <c r="Q765" s="125"/>
      <c r="R765" s="125"/>
      <c r="S765" s="628">
        <f t="shared" si="3"/>
        <v>0</v>
      </c>
      <c r="T765" s="627" t="s">
        <v>51</v>
      </c>
      <c r="U765" s="627" t="s">
        <v>51</v>
      </c>
      <c r="V765" s="627" t="s">
        <v>51</v>
      </c>
      <c r="W765" s="627" t="s">
        <v>51</v>
      </c>
      <c r="X765" s="627" t="s">
        <v>51</v>
      </c>
      <c r="Y765" s="89"/>
    </row>
    <row r="766" ht="22.5" customHeight="1">
      <c r="A766" s="125"/>
      <c r="B766" s="125"/>
      <c r="C766" s="125"/>
      <c r="D766" s="125"/>
      <c r="E766" s="125"/>
      <c r="F766" s="125"/>
      <c r="G766" s="125"/>
      <c r="H766" s="125"/>
      <c r="I766" s="627" t="s">
        <v>51</v>
      </c>
      <c r="J766" s="125" t="s">
        <v>51</v>
      </c>
      <c r="K766" s="125" t="s">
        <v>51</v>
      </c>
      <c r="L766" s="125" t="s">
        <v>51</v>
      </c>
      <c r="M766" s="125" t="str">
        <f t="shared" si="1"/>
        <v/>
      </c>
      <c r="N766" s="125" t="str">
        <f t="shared" si="2"/>
        <v/>
      </c>
      <c r="O766" s="125"/>
      <c r="P766" s="125"/>
      <c r="Q766" s="125"/>
      <c r="R766" s="125"/>
      <c r="S766" s="628">
        <f t="shared" si="3"/>
        <v>0</v>
      </c>
      <c r="T766" s="627" t="s">
        <v>51</v>
      </c>
      <c r="U766" s="627" t="s">
        <v>51</v>
      </c>
      <c r="V766" s="627" t="s">
        <v>51</v>
      </c>
      <c r="W766" s="627" t="s">
        <v>51</v>
      </c>
      <c r="X766" s="627" t="s">
        <v>51</v>
      </c>
      <c r="Y766" s="89"/>
    </row>
    <row r="767" ht="22.5" customHeight="1">
      <c r="A767" s="125"/>
      <c r="B767" s="125"/>
      <c r="C767" s="125"/>
      <c r="D767" s="125"/>
      <c r="E767" s="125"/>
      <c r="F767" s="125"/>
      <c r="G767" s="125"/>
      <c r="H767" s="125"/>
      <c r="I767" s="627" t="s">
        <v>51</v>
      </c>
      <c r="J767" s="125" t="s">
        <v>51</v>
      </c>
      <c r="K767" s="125" t="s">
        <v>51</v>
      </c>
      <c r="L767" s="125" t="s">
        <v>51</v>
      </c>
      <c r="M767" s="125" t="str">
        <f t="shared" si="1"/>
        <v/>
      </c>
      <c r="N767" s="125" t="str">
        <f t="shared" si="2"/>
        <v/>
      </c>
      <c r="O767" s="125"/>
      <c r="P767" s="125"/>
      <c r="Q767" s="125"/>
      <c r="R767" s="125"/>
      <c r="S767" s="628">
        <f t="shared" si="3"/>
        <v>0</v>
      </c>
      <c r="T767" s="627" t="s">
        <v>51</v>
      </c>
      <c r="U767" s="627" t="s">
        <v>51</v>
      </c>
      <c r="V767" s="627" t="s">
        <v>51</v>
      </c>
      <c r="W767" s="627" t="s">
        <v>51</v>
      </c>
      <c r="X767" s="627" t="s">
        <v>51</v>
      </c>
      <c r="Y767" s="89"/>
    </row>
    <row r="768" ht="22.5" customHeight="1">
      <c r="A768" s="125"/>
      <c r="B768" s="125"/>
      <c r="C768" s="125"/>
      <c r="D768" s="125"/>
      <c r="E768" s="125"/>
      <c r="F768" s="125"/>
      <c r="G768" s="125"/>
      <c r="H768" s="125"/>
      <c r="I768" s="627" t="s">
        <v>51</v>
      </c>
      <c r="J768" s="125" t="s">
        <v>51</v>
      </c>
      <c r="K768" s="125" t="s">
        <v>51</v>
      </c>
      <c r="L768" s="125" t="s">
        <v>51</v>
      </c>
      <c r="M768" s="125" t="str">
        <f t="shared" si="1"/>
        <v/>
      </c>
      <c r="N768" s="125" t="str">
        <f t="shared" si="2"/>
        <v/>
      </c>
      <c r="O768" s="125"/>
      <c r="P768" s="125"/>
      <c r="Q768" s="125"/>
      <c r="R768" s="125"/>
      <c r="S768" s="628">
        <f t="shared" si="3"/>
        <v>0</v>
      </c>
      <c r="T768" s="627" t="s">
        <v>51</v>
      </c>
      <c r="U768" s="627" t="s">
        <v>51</v>
      </c>
      <c r="V768" s="627" t="s">
        <v>51</v>
      </c>
      <c r="W768" s="627" t="s">
        <v>51</v>
      </c>
      <c r="X768" s="627" t="s">
        <v>51</v>
      </c>
      <c r="Y768" s="89"/>
    </row>
    <row r="769" ht="22.5" customHeight="1">
      <c r="A769" s="125"/>
      <c r="B769" s="125"/>
      <c r="C769" s="125"/>
      <c r="D769" s="125"/>
      <c r="E769" s="125"/>
      <c r="F769" s="125"/>
      <c r="G769" s="125"/>
      <c r="H769" s="125"/>
      <c r="I769" s="627" t="s">
        <v>51</v>
      </c>
      <c r="J769" s="125" t="s">
        <v>51</v>
      </c>
      <c r="K769" s="125" t="s">
        <v>51</v>
      </c>
      <c r="L769" s="125" t="s">
        <v>51</v>
      </c>
      <c r="M769" s="125" t="str">
        <f t="shared" si="1"/>
        <v/>
      </c>
      <c r="N769" s="125" t="str">
        <f t="shared" si="2"/>
        <v/>
      </c>
      <c r="O769" s="125"/>
      <c r="P769" s="125"/>
      <c r="Q769" s="125"/>
      <c r="R769" s="125"/>
      <c r="S769" s="628">
        <f t="shared" si="3"/>
        <v>0</v>
      </c>
      <c r="T769" s="627" t="s">
        <v>51</v>
      </c>
      <c r="U769" s="627" t="s">
        <v>51</v>
      </c>
      <c r="V769" s="627" t="s">
        <v>51</v>
      </c>
      <c r="W769" s="627" t="s">
        <v>51</v>
      </c>
      <c r="X769" s="627" t="s">
        <v>51</v>
      </c>
      <c r="Y769" s="89"/>
    </row>
    <row r="770" ht="22.5" customHeight="1">
      <c r="A770" s="125"/>
      <c r="B770" s="125"/>
      <c r="C770" s="125"/>
      <c r="D770" s="125"/>
      <c r="E770" s="125"/>
      <c r="F770" s="125"/>
      <c r="G770" s="125"/>
      <c r="H770" s="125"/>
      <c r="I770" s="627" t="s">
        <v>51</v>
      </c>
      <c r="J770" s="125" t="s">
        <v>51</v>
      </c>
      <c r="K770" s="125" t="s">
        <v>51</v>
      </c>
      <c r="L770" s="125" t="s">
        <v>51</v>
      </c>
      <c r="M770" s="125" t="str">
        <f t="shared" si="1"/>
        <v/>
      </c>
      <c r="N770" s="125" t="str">
        <f t="shared" si="2"/>
        <v/>
      </c>
      <c r="O770" s="125"/>
      <c r="P770" s="125"/>
      <c r="Q770" s="125"/>
      <c r="R770" s="125"/>
      <c r="S770" s="628">
        <f t="shared" si="3"/>
        <v>0</v>
      </c>
      <c r="T770" s="627" t="s">
        <v>51</v>
      </c>
      <c r="U770" s="627" t="s">
        <v>51</v>
      </c>
      <c r="V770" s="627" t="s">
        <v>51</v>
      </c>
      <c r="W770" s="627" t="s">
        <v>51</v>
      </c>
      <c r="X770" s="627" t="s">
        <v>51</v>
      </c>
      <c r="Y770" s="89"/>
    </row>
    <row r="771" ht="22.5" customHeight="1">
      <c r="A771" s="125"/>
      <c r="B771" s="125"/>
      <c r="C771" s="125"/>
      <c r="D771" s="125"/>
      <c r="E771" s="125"/>
      <c r="F771" s="125"/>
      <c r="G771" s="125"/>
      <c r="H771" s="125"/>
      <c r="I771" s="627" t="s">
        <v>51</v>
      </c>
      <c r="J771" s="125" t="s">
        <v>51</v>
      </c>
      <c r="K771" s="125" t="s">
        <v>51</v>
      </c>
      <c r="L771" s="125" t="s">
        <v>51</v>
      </c>
      <c r="M771" s="125" t="str">
        <f t="shared" si="1"/>
        <v/>
      </c>
      <c r="N771" s="125" t="str">
        <f t="shared" si="2"/>
        <v/>
      </c>
      <c r="O771" s="125"/>
      <c r="P771" s="125"/>
      <c r="Q771" s="125"/>
      <c r="R771" s="125"/>
      <c r="S771" s="628">
        <f t="shared" si="3"/>
        <v>0</v>
      </c>
      <c r="T771" s="627" t="s">
        <v>51</v>
      </c>
      <c r="U771" s="627" t="s">
        <v>51</v>
      </c>
      <c r="V771" s="627" t="s">
        <v>51</v>
      </c>
      <c r="W771" s="627" t="s">
        <v>51</v>
      </c>
      <c r="X771" s="627" t="s">
        <v>51</v>
      </c>
      <c r="Y771" s="89"/>
    </row>
    <row r="772" ht="22.5" customHeight="1">
      <c r="A772" s="125"/>
      <c r="B772" s="125"/>
      <c r="C772" s="125"/>
      <c r="D772" s="125"/>
      <c r="E772" s="125"/>
      <c r="F772" s="125"/>
      <c r="G772" s="125"/>
      <c r="H772" s="125"/>
      <c r="I772" s="627" t="s">
        <v>51</v>
      </c>
      <c r="J772" s="125" t="s">
        <v>51</v>
      </c>
      <c r="K772" s="125" t="s">
        <v>51</v>
      </c>
      <c r="L772" s="125" t="s">
        <v>51</v>
      </c>
      <c r="M772" s="125" t="str">
        <f t="shared" si="1"/>
        <v/>
      </c>
      <c r="N772" s="125" t="str">
        <f t="shared" si="2"/>
        <v/>
      </c>
      <c r="O772" s="125"/>
      <c r="P772" s="125"/>
      <c r="Q772" s="125"/>
      <c r="R772" s="125"/>
      <c r="S772" s="628">
        <f t="shared" si="3"/>
        <v>0</v>
      </c>
      <c r="T772" s="627" t="s">
        <v>51</v>
      </c>
      <c r="U772" s="627" t="s">
        <v>51</v>
      </c>
      <c r="V772" s="627" t="s">
        <v>51</v>
      </c>
      <c r="W772" s="627" t="s">
        <v>51</v>
      </c>
      <c r="X772" s="627" t="s">
        <v>51</v>
      </c>
      <c r="Y772" s="89"/>
    </row>
    <row r="773" ht="22.5" customHeight="1">
      <c r="A773" s="125"/>
      <c r="B773" s="125"/>
      <c r="C773" s="125"/>
      <c r="D773" s="125"/>
      <c r="E773" s="125"/>
      <c r="F773" s="125"/>
      <c r="G773" s="125"/>
      <c r="H773" s="125"/>
      <c r="I773" s="627" t="s">
        <v>51</v>
      </c>
      <c r="J773" s="125" t="s">
        <v>51</v>
      </c>
      <c r="K773" s="125" t="s">
        <v>51</v>
      </c>
      <c r="L773" s="125" t="s">
        <v>51</v>
      </c>
      <c r="M773" s="125" t="str">
        <f t="shared" si="1"/>
        <v/>
      </c>
      <c r="N773" s="125" t="str">
        <f t="shared" si="2"/>
        <v/>
      </c>
      <c r="O773" s="125"/>
      <c r="P773" s="125"/>
      <c r="Q773" s="125"/>
      <c r="R773" s="125"/>
      <c r="S773" s="628">
        <f t="shared" si="3"/>
        <v>0</v>
      </c>
      <c r="T773" s="627" t="s">
        <v>51</v>
      </c>
      <c r="U773" s="627" t="s">
        <v>51</v>
      </c>
      <c r="V773" s="627" t="s">
        <v>51</v>
      </c>
      <c r="W773" s="627" t="s">
        <v>51</v>
      </c>
      <c r="X773" s="627" t="s">
        <v>51</v>
      </c>
      <c r="Y773" s="89"/>
    </row>
    <row r="774" ht="22.5" customHeight="1">
      <c r="A774" s="125"/>
      <c r="B774" s="125"/>
      <c r="C774" s="125"/>
      <c r="D774" s="125"/>
      <c r="E774" s="125"/>
      <c r="F774" s="125"/>
      <c r="G774" s="125"/>
      <c r="H774" s="125"/>
      <c r="I774" s="627" t="s">
        <v>51</v>
      </c>
      <c r="J774" s="125" t="s">
        <v>51</v>
      </c>
      <c r="K774" s="125" t="s">
        <v>51</v>
      </c>
      <c r="L774" s="125" t="s">
        <v>51</v>
      </c>
      <c r="M774" s="125" t="str">
        <f t="shared" si="1"/>
        <v/>
      </c>
      <c r="N774" s="125" t="str">
        <f t="shared" si="2"/>
        <v/>
      </c>
      <c r="O774" s="125"/>
      <c r="P774" s="125"/>
      <c r="Q774" s="125"/>
      <c r="R774" s="125"/>
      <c r="S774" s="628">
        <f t="shared" si="3"/>
        <v>0</v>
      </c>
      <c r="T774" s="627" t="s">
        <v>51</v>
      </c>
      <c r="U774" s="627" t="s">
        <v>51</v>
      </c>
      <c r="V774" s="627" t="s">
        <v>51</v>
      </c>
      <c r="W774" s="627" t="s">
        <v>51</v>
      </c>
      <c r="X774" s="627" t="s">
        <v>51</v>
      </c>
      <c r="Y774" s="89"/>
    </row>
    <row r="775" ht="22.5" customHeight="1">
      <c r="A775" s="125"/>
      <c r="B775" s="125"/>
      <c r="C775" s="125"/>
      <c r="D775" s="125"/>
      <c r="E775" s="125"/>
      <c r="F775" s="125"/>
      <c r="G775" s="125"/>
      <c r="H775" s="125"/>
      <c r="I775" s="627" t="s">
        <v>51</v>
      </c>
      <c r="J775" s="125" t="s">
        <v>51</v>
      </c>
      <c r="K775" s="125" t="s">
        <v>51</v>
      </c>
      <c r="L775" s="125" t="s">
        <v>51</v>
      </c>
      <c r="M775" s="125" t="str">
        <f t="shared" si="1"/>
        <v/>
      </c>
      <c r="N775" s="125" t="str">
        <f t="shared" si="2"/>
        <v/>
      </c>
      <c r="O775" s="125"/>
      <c r="P775" s="125"/>
      <c r="Q775" s="125"/>
      <c r="R775" s="125"/>
      <c r="S775" s="628">
        <f t="shared" si="3"/>
        <v>0</v>
      </c>
      <c r="T775" s="627" t="s">
        <v>51</v>
      </c>
      <c r="U775" s="627" t="s">
        <v>51</v>
      </c>
      <c r="V775" s="627" t="s">
        <v>51</v>
      </c>
      <c r="W775" s="627" t="s">
        <v>51</v>
      </c>
      <c r="X775" s="627" t="s">
        <v>51</v>
      </c>
      <c r="Y775" s="89"/>
    </row>
    <row r="776" ht="22.5" customHeight="1">
      <c r="A776" s="125"/>
      <c r="B776" s="125"/>
      <c r="C776" s="125"/>
      <c r="D776" s="125"/>
      <c r="E776" s="125"/>
      <c r="F776" s="125"/>
      <c r="G776" s="125"/>
      <c r="H776" s="125"/>
      <c r="I776" s="627" t="s">
        <v>51</v>
      </c>
      <c r="J776" s="125" t="s">
        <v>51</v>
      </c>
      <c r="K776" s="125" t="s">
        <v>51</v>
      </c>
      <c r="L776" s="125" t="s">
        <v>51</v>
      </c>
      <c r="M776" s="125" t="str">
        <f t="shared" si="1"/>
        <v/>
      </c>
      <c r="N776" s="125" t="str">
        <f t="shared" si="2"/>
        <v/>
      </c>
      <c r="O776" s="125"/>
      <c r="P776" s="125"/>
      <c r="Q776" s="125"/>
      <c r="R776" s="125"/>
      <c r="S776" s="628">
        <f t="shared" si="3"/>
        <v>0</v>
      </c>
      <c r="T776" s="627" t="s">
        <v>51</v>
      </c>
      <c r="U776" s="627" t="s">
        <v>51</v>
      </c>
      <c r="V776" s="627" t="s">
        <v>51</v>
      </c>
      <c r="W776" s="627" t="s">
        <v>51</v>
      </c>
      <c r="X776" s="627" t="s">
        <v>51</v>
      </c>
      <c r="Y776" s="89"/>
    </row>
    <row r="777" ht="22.5" customHeight="1">
      <c r="A777" s="125"/>
      <c r="B777" s="125"/>
      <c r="C777" s="125"/>
      <c r="D777" s="125"/>
      <c r="E777" s="125"/>
      <c r="F777" s="125"/>
      <c r="G777" s="125"/>
      <c r="H777" s="125"/>
      <c r="I777" s="627" t="s">
        <v>51</v>
      </c>
      <c r="J777" s="125" t="s">
        <v>51</v>
      </c>
      <c r="K777" s="125" t="s">
        <v>51</v>
      </c>
      <c r="L777" s="125" t="s">
        <v>51</v>
      </c>
      <c r="M777" s="125" t="str">
        <f t="shared" si="1"/>
        <v/>
      </c>
      <c r="N777" s="125" t="str">
        <f t="shared" si="2"/>
        <v/>
      </c>
      <c r="O777" s="125"/>
      <c r="P777" s="125"/>
      <c r="Q777" s="125"/>
      <c r="R777" s="125"/>
      <c r="S777" s="628">
        <f t="shared" si="3"/>
        <v>0</v>
      </c>
      <c r="T777" s="627" t="s">
        <v>51</v>
      </c>
      <c r="U777" s="627" t="s">
        <v>51</v>
      </c>
      <c r="V777" s="627" t="s">
        <v>51</v>
      </c>
      <c r="W777" s="627" t="s">
        <v>51</v>
      </c>
      <c r="X777" s="627" t="s">
        <v>51</v>
      </c>
      <c r="Y777" s="89"/>
    </row>
    <row r="778" ht="22.5" customHeight="1">
      <c r="A778" s="125"/>
      <c r="B778" s="125"/>
      <c r="C778" s="125"/>
      <c r="D778" s="125"/>
      <c r="E778" s="125"/>
      <c r="F778" s="125"/>
      <c r="G778" s="125"/>
      <c r="H778" s="125"/>
      <c r="I778" s="627" t="s">
        <v>51</v>
      </c>
      <c r="J778" s="125" t="s">
        <v>51</v>
      </c>
      <c r="K778" s="125" t="s">
        <v>51</v>
      </c>
      <c r="L778" s="125" t="s">
        <v>51</v>
      </c>
      <c r="M778" s="125" t="str">
        <f t="shared" si="1"/>
        <v/>
      </c>
      <c r="N778" s="125" t="str">
        <f t="shared" si="2"/>
        <v/>
      </c>
      <c r="O778" s="125"/>
      <c r="P778" s="125"/>
      <c r="Q778" s="125"/>
      <c r="R778" s="125"/>
      <c r="S778" s="628">
        <f t="shared" si="3"/>
        <v>0</v>
      </c>
      <c r="T778" s="627" t="s">
        <v>51</v>
      </c>
      <c r="U778" s="627" t="s">
        <v>51</v>
      </c>
      <c r="V778" s="627" t="s">
        <v>51</v>
      </c>
      <c r="W778" s="627" t="s">
        <v>51</v>
      </c>
      <c r="X778" s="627" t="s">
        <v>51</v>
      </c>
      <c r="Y778" s="89"/>
    </row>
    <row r="779" ht="22.5" customHeight="1">
      <c r="A779" s="125"/>
      <c r="B779" s="125"/>
      <c r="C779" s="125"/>
      <c r="D779" s="125"/>
      <c r="E779" s="125"/>
      <c r="F779" s="125"/>
      <c r="G779" s="125"/>
      <c r="H779" s="125"/>
      <c r="I779" s="627" t="s">
        <v>51</v>
      </c>
      <c r="J779" s="125" t="s">
        <v>51</v>
      </c>
      <c r="K779" s="125" t="s">
        <v>51</v>
      </c>
      <c r="L779" s="125" t="s">
        <v>51</v>
      </c>
      <c r="M779" s="125" t="str">
        <f t="shared" si="1"/>
        <v/>
      </c>
      <c r="N779" s="125" t="str">
        <f t="shared" si="2"/>
        <v/>
      </c>
      <c r="O779" s="125"/>
      <c r="P779" s="125"/>
      <c r="Q779" s="125"/>
      <c r="R779" s="125"/>
      <c r="S779" s="628">
        <f t="shared" si="3"/>
        <v>0</v>
      </c>
      <c r="T779" s="627" t="s">
        <v>51</v>
      </c>
      <c r="U779" s="627" t="s">
        <v>51</v>
      </c>
      <c r="V779" s="627" t="s">
        <v>51</v>
      </c>
      <c r="W779" s="627" t="s">
        <v>51</v>
      </c>
      <c r="X779" s="627" t="s">
        <v>51</v>
      </c>
      <c r="Y779" s="89"/>
    </row>
    <row r="780" ht="22.5" customHeight="1">
      <c r="A780" s="125"/>
      <c r="B780" s="125"/>
      <c r="C780" s="125"/>
      <c r="D780" s="125"/>
      <c r="E780" s="125"/>
      <c r="F780" s="125"/>
      <c r="G780" s="125"/>
      <c r="H780" s="125"/>
      <c r="I780" s="627" t="s">
        <v>51</v>
      </c>
      <c r="J780" s="125" t="s">
        <v>51</v>
      </c>
      <c r="K780" s="125" t="s">
        <v>51</v>
      </c>
      <c r="L780" s="125" t="s">
        <v>51</v>
      </c>
      <c r="M780" s="125" t="str">
        <f t="shared" si="1"/>
        <v/>
      </c>
      <c r="N780" s="125" t="str">
        <f t="shared" si="2"/>
        <v/>
      </c>
      <c r="O780" s="125"/>
      <c r="P780" s="125"/>
      <c r="Q780" s="125"/>
      <c r="R780" s="125"/>
      <c r="S780" s="628">
        <f t="shared" si="3"/>
        <v>0</v>
      </c>
      <c r="T780" s="627" t="s">
        <v>51</v>
      </c>
      <c r="U780" s="627" t="s">
        <v>51</v>
      </c>
      <c r="V780" s="627" t="s">
        <v>51</v>
      </c>
      <c r="W780" s="627" t="s">
        <v>51</v>
      </c>
      <c r="X780" s="627" t="s">
        <v>51</v>
      </c>
      <c r="Y780" s="89"/>
    </row>
    <row r="781" ht="22.5" customHeight="1">
      <c r="A781" s="125"/>
      <c r="B781" s="125"/>
      <c r="C781" s="125"/>
      <c r="D781" s="125"/>
      <c r="E781" s="125"/>
      <c r="F781" s="125"/>
      <c r="G781" s="125"/>
      <c r="H781" s="125"/>
      <c r="I781" s="627" t="s">
        <v>51</v>
      </c>
      <c r="J781" s="125" t="s">
        <v>51</v>
      </c>
      <c r="K781" s="125" t="s">
        <v>51</v>
      </c>
      <c r="L781" s="125" t="s">
        <v>51</v>
      </c>
      <c r="M781" s="125" t="str">
        <f t="shared" si="1"/>
        <v/>
      </c>
      <c r="N781" s="125" t="str">
        <f t="shared" si="2"/>
        <v/>
      </c>
      <c r="O781" s="125"/>
      <c r="P781" s="125"/>
      <c r="Q781" s="125"/>
      <c r="R781" s="125"/>
      <c r="S781" s="628">
        <f t="shared" si="3"/>
        <v>0</v>
      </c>
      <c r="T781" s="627" t="s">
        <v>51</v>
      </c>
      <c r="U781" s="627" t="s">
        <v>51</v>
      </c>
      <c r="V781" s="627" t="s">
        <v>51</v>
      </c>
      <c r="W781" s="627" t="s">
        <v>51</v>
      </c>
      <c r="X781" s="627" t="s">
        <v>51</v>
      </c>
      <c r="Y781" s="89"/>
    </row>
    <row r="782" ht="22.5" customHeight="1">
      <c r="A782" s="125"/>
      <c r="B782" s="125"/>
      <c r="C782" s="125"/>
      <c r="D782" s="125"/>
      <c r="E782" s="125"/>
      <c r="F782" s="125"/>
      <c r="G782" s="125"/>
      <c r="H782" s="125"/>
      <c r="I782" s="627" t="s">
        <v>51</v>
      </c>
      <c r="J782" s="125" t="s">
        <v>51</v>
      </c>
      <c r="K782" s="125" t="s">
        <v>51</v>
      </c>
      <c r="L782" s="125" t="s">
        <v>51</v>
      </c>
      <c r="M782" s="125" t="str">
        <f t="shared" si="1"/>
        <v/>
      </c>
      <c r="N782" s="125" t="str">
        <f t="shared" si="2"/>
        <v/>
      </c>
      <c r="O782" s="125"/>
      <c r="P782" s="125"/>
      <c r="Q782" s="125"/>
      <c r="R782" s="125"/>
      <c r="S782" s="628">
        <f t="shared" si="3"/>
        <v>0</v>
      </c>
      <c r="T782" s="627" t="s">
        <v>51</v>
      </c>
      <c r="U782" s="627" t="s">
        <v>51</v>
      </c>
      <c r="V782" s="627" t="s">
        <v>51</v>
      </c>
      <c r="W782" s="627" t="s">
        <v>51</v>
      </c>
      <c r="X782" s="627" t="s">
        <v>51</v>
      </c>
      <c r="Y782" s="89"/>
    </row>
    <row r="783" ht="22.5" customHeight="1">
      <c r="A783" s="125"/>
      <c r="B783" s="125"/>
      <c r="C783" s="125"/>
      <c r="D783" s="125"/>
      <c r="E783" s="125"/>
      <c r="F783" s="125"/>
      <c r="G783" s="125"/>
      <c r="H783" s="125"/>
      <c r="I783" s="627" t="s">
        <v>51</v>
      </c>
      <c r="J783" s="125" t="s">
        <v>51</v>
      </c>
      <c r="K783" s="125" t="s">
        <v>51</v>
      </c>
      <c r="L783" s="125" t="s">
        <v>51</v>
      </c>
      <c r="M783" s="125" t="str">
        <f t="shared" si="1"/>
        <v/>
      </c>
      <c r="N783" s="125" t="str">
        <f t="shared" si="2"/>
        <v/>
      </c>
      <c r="O783" s="125"/>
      <c r="P783" s="125"/>
      <c r="Q783" s="125"/>
      <c r="R783" s="125"/>
      <c r="S783" s="628">
        <f t="shared" si="3"/>
        <v>0</v>
      </c>
      <c r="T783" s="627" t="s">
        <v>51</v>
      </c>
      <c r="U783" s="627" t="s">
        <v>51</v>
      </c>
      <c r="V783" s="627" t="s">
        <v>51</v>
      </c>
      <c r="W783" s="627" t="s">
        <v>51</v>
      </c>
      <c r="X783" s="627" t="s">
        <v>51</v>
      </c>
      <c r="Y783" s="89"/>
    </row>
    <row r="784" ht="22.5" customHeight="1">
      <c r="A784" s="125"/>
      <c r="B784" s="125"/>
      <c r="C784" s="125"/>
      <c r="D784" s="125"/>
      <c r="E784" s="125"/>
      <c r="F784" s="125"/>
      <c r="G784" s="125"/>
      <c r="H784" s="125"/>
      <c r="I784" s="627" t="s">
        <v>51</v>
      </c>
      <c r="J784" s="125" t="s">
        <v>51</v>
      </c>
      <c r="K784" s="125" t="s">
        <v>51</v>
      </c>
      <c r="L784" s="125" t="s">
        <v>51</v>
      </c>
      <c r="M784" s="125" t="str">
        <f t="shared" si="1"/>
        <v/>
      </c>
      <c r="N784" s="125" t="str">
        <f t="shared" si="2"/>
        <v/>
      </c>
      <c r="O784" s="125"/>
      <c r="P784" s="125"/>
      <c r="Q784" s="125"/>
      <c r="R784" s="125"/>
      <c r="S784" s="628">
        <f t="shared" si="3"/>
        <v>0</v>
      </c>
      <c r="T784" s="627" t="s">
        <v>51</v>
      </c>
      <c r="U784" s="627" t="s">
        <v>51</v>
      </c>
      <c r="V784" s="627" t="s">
        <v>51</v>
      </c>
      <c r="W784" s="627" t="s">
        <v>51</v>
      </c>
      <c r="X784" s="627" t="s">
        <v>51</v>
      </c>
      <c r="Y784" s="89"/>
    </row>
    <row r="785" ht="22.5" customHeight="1">
      <c r="A785" s="125"/>
      <c r="B785" s="125"/>
      <c r="C785" s="125"/>
      <c r="D785" s="125"/>
      <c r="E785" s="125"/>
      <c r="F785" s="125"/>
      <c r="G785" s="125"/>
      <c r="H785" s="125"/>
      <c r="I785" s="627" t="s">
        <v>51</v>
      </c>
      <c r="J785" s="125" t="s">
        <v>51</v>
      </c>
      <c r="K785" s="125" t="s">
        <v>51</v>
      </c>
      <c r="L785" s="125" t="s">
        <v>51</v>
      </c>
      <c r="M785" s="125" t="str">
        <f t="shared" si="1"/>
        <v/>
      </c>
      <c r="N785" s="125" t="str">
        <f t="shared" si="2"/>
        <v/>
      </c>
      <c r="O785" s="125"/>
      <c r="P785" s="125"/>
      <c r="Q785" s="125"/>
      <c r="R785" s="125"/>
      <c r="S785" s="628">
        <f t="shared" si="3"/>
        <v>0</v>
      </c>
      <c r="T785" s="627" t="s">
        <v>51</v>
      </c>
      <c r="U785" s="627" t="s">
        <v>51</v>
      </c>
      <c r="V785" s="627" t="s">
        <v>51</v>
      </c>
      <c r="W785" s="627" t="s">
        <v>51</v>
      </c>
      <c r="X785" s="627" t="s">
        <v>51</v>
      </c>
      <c r="Y785" s="89"/>
    </row>
    <row r="786" ht="22.5" customHeight="1">
      <c r="A786" s="125"/>
      <c r="B786" s="125"/>
      <c r="C786" s="125"/>
      <c r="D786" s="125"/>
      <c r="E786" s="125"/>
      <c r="F786" s="125"/>
      <c r="G786" s="125"/>
      <c r="H786" s="125"/>
      <c r="I786" s="627" t="s">
        <v>51</v>
      </c>
      <c r="J786" s="125" t="s">
        <v>51</v>
      </c>
      <c r="K786" s="125" t="s">
        <v>51</v>
      </c>
      <c r="L786" s="125" t="s">
        <v>51</v>
      </c>
      <c r="M786" s="125" t="str">
        <f t="shared" si="1"/>
        <v/>
      </c>
      <c r="N786" s="125" t="str">
        <f t="shared" si="2"/>
        <v/>
      </c>
      <c r="O786" s="125"/>
      <c r="P786" s="125"/>
      <c r="Q786" s="125"/>
      <c r="R786" s="125"/>
      <c r="S786" s="628">
        <f t="shared" si="3"/>
        <v>0</v>
      </c>
      <c r="T786" s="627" t="s">
        <v>51</v>
      </c>
      <c r="U786" s="627" t="s">
        <v>51</v>
      </c>
      <c r="V786" s="627" t="s">
        <v>51</v>
      </c>
      <c r="W786" s="627" t="s">
        <v>51</v>
      </c>
      <c r="X786" s="627" t="s">
        <v>51</v>
      </c>
      <c r="Y786" s="89"/>
    </row>
    <row r="787" ht="22.5" customHeight="1">
      <c r="A787" s="125"/>
      <c r="B787" s="125"/>
      <c r="C787" s="125"/>
      <c r="D787" s="125"/>
      <c r="E787" s="125"/>
      <c r="F787" s="125"/>
      <c r="G787" s="125"/>
      <c r="H787" s="125"/>
      <c r="I787" s="627" t="s">
        <v>51</v>
      </c>
      <c r="J787" s="125" t="s">
        <v>51</v>
      </c>
      <c r="K787" s="125" t="s">
        <v>51</v>
      </c>
      <c r="L787" s="125" t="s">
        <v>51</v>
      </c>
      <c r="M787" s="125" t="str">
        <f t="shared" si="1"/>
        <v/>
      </c>
      <c r="N787" s="125" t="str">
        <f t="shared" si="2"/>
        <v/>
      </c>
      <c r="O787" s="125"/>
      <c r="P787" s="125"/>
      <c r="Q787" s="125"/>
      <c r="R787" s="125"/>
      <c r="S787" s="628">
        <f t="shared" si="3"/>
        <v>0</v>
      </c>
      <c r="T787" s="627" t="s">
        <v>51</v>
      </c>
      <c r="U787" s="627" t="s">
        <v>51</v>
      </c>
      <c r="V787" s="627" t="s">
        <v>51</v>
      </c>
      <c r="W787" s="627" t="s">
        <v>51</v>
      </c>
      <c r="X787" s="627" t="s">
        <v>51</v>
      </c>
      <c r="Y787" s="89"/>
    </row>
    <row r="788" ht="22.5" customHeight="1">
      <c r="A788" s="125"/>
      <c r="B788" s="125"/>
      <c r="C788" s="125"/>
      <c r="D788" s="125"/>
      <c r="E788" s="125"/>
      <c r="F788" s="125"/>
      <c r="G788" s="125"/>
      <c r="H788" s="125"/>
      <c r="I788" s="627" t="s">
        <v>51</v>
      </c>
      <c r="J788" s="125" t="s">
        <v>51</v>
      </c>
      <c r="K788" s="125" t="s">
        <v>51</v>
      </c>
      <c r="L788" s="125" t="s">
        <v>51</v>
      </c>
      <c r="M788" s="125" t="str">
        <f t="shared" si="1"/>
        <v/>
      </c>
      <c r="N788" s="125" t="str">
        <f t="shared" si="2"/>
        <v/>
      </c>
      <c r="O788" s="125"/>
      <c r="P788" s="125"/>
      <c r="Q788" s="125"/>
      <c r="R788" s="125"/>
      <c r="S788" s="628">
        <f t="shared" si="3"/>
        <v>0</v>
      </c>
      <c r="T788" s="627" t="s">
        <v>51</v>
      </c>
      <c r="U788" s="627" t="s">
        <v>51</v>
      </c>
      <c r="V788" s="627" t="s">
        <v>51</v>
      </c>
      <c r="W788" s="627" t="s">
        <v>51</v>
      </c>
      <c r="X788" s="627" t="s">
        <v>51</v>
      </c>
      <c r="Y788" s="89"/>
    </row>
    <row r="789" ht="22.5" customHeight="1">
      <c r="A789" s="125"/>
      <c r="B789" s="125"/>
      <c r="C789" s="125"/>
      <c r="D789" s="125"/>
      <c r="E789" s="125"/>
      <c r="F789" s="125"/>
      <c r="G789" s="125"/>
      <c r="H789" s="125"/>
      <c r="I789" s="627" t="s">
        <v>51</v>
      </c>
      <c r="J789" s="125" t="s">
        <v>51</v>
      </c>
      <c r="K789" s="125" t="s">
        <v>51</v>
      </c>
      <c r="L789" s="125" t="s">
        <v>51</v>
      </c>
      <c r="M789" s="125" t="str">
        <f t="shared" si="1"/>
        <v/>
      </c>
      <c r="N789" s="125" t="str">
        <f t="shared" si="2"/>
        <v/>
      </c>
      <c r="O789" s="125"/>
      <c r="P789" s="125"/>
      <c r="Q789" s="125"/>
      <c r="R789" s="125"/>
      <c r="S789" s="628">
        <f t="shared" si="3"/>
        <v>0</v>
      </c>
      <c r="T789" s="627" t="s">
        <v>51</v>
      </c>
      <c r="U789" s="627" t="s">
        <v>51</v>
      </c>
      <c r="V789" s="627" t="s">
        <v>51</v>
      </c>
      <c r="W789" s="627" t="s">
        <v>51</v>
      </c>
      <c r="X789" s="627" t="s">
        <v>51</v>
      </c>
      <c r="Y789" s="89"/>
    </row>
    <row r="790" ht="22.5" customHeight="1">
      <c r="A790" s="125"/>
      <c r="B790" s="125"/>
      <c r="C790" s="125"/>
      <c r="D790" s="125"/>
      <c r="E790" s="125"/>
      <c r="F790" s="125"/>
      <c r="G790" s="125"/>
      <c r="H790" s="125"/>
      <c r="I790" s="627" t="s">
        <v>51</v>
      </c>
      <c r="J790" s="125" t="s">
        <v>51</v>
      </c>
      <c r="K790" s="125" t="s">
        <v>51</v>
      </c>
      <c r="L790" s="125" t="s">
        <v>51</v>
      </c>
      <c r="M790" s="125" t="str">
        <f t="shared" si="1"/>
        <v/>
      </c>
      <c r="N790" s="125" t="str">
        <f t="shared" si="2"/>
        <v/>
      </c>
      <c r="O790" s="125"/>
      <c r="P790" s="125"/>
      <c r="Q790" s="125"/>
      <c r="R790" s="125"/>
      <c r="S790" s="628">
        <f t="shared" si="3"/>
        <v>0</v>
      </c>
      <c r="T790" s="627" t="s">
        <v>51</v>
      </c>
      <c r="U790" s="627" t="s">
        <v>51</v>
      </c>
      <c r="V790" s="627" t="s">
        <v>51</v>
      </c>
      <c r="W790" s="627" t="s">
        <v>51</v>
      </c>
      <c r="X790" s="627" t="s">
        <v>51</v>
      </c>
      <c r="Y790" s="89"/>
    </row>
    <row r="791" ht="22.5" customHeight="1">
      <c r="A791" s="125"/>
      <c r="B791" s="125"/>
      <c r="C791" s="125"/>
      <c r="D791" s="125"/>
      <c r="E791" s="125"/>
      <c r="F791" s="125"/>
      <c r="G791" s="125"/>
      <c r="H791" s="125"/>
      <c r="I791" s="627" t="s">
        <v>51</v>
      </c>
      <c r="J791" s="125" t="s">
        <v>51</v>
      </c>
      <c r="K791" s="125" t="s">
        <v>51</v>
      </c>
      <c r="L791" s="125" t="s">
        <v>51</v>
      </c>
      <c r="M791" s="125" t="str">
        <f t="shared" si="1"/>
        <v/>
      </c>
      <c r="N791" s="125" t="str">
        <f t="shared" si="2"/>
        <v/>
      </c>
      <c r="O791" s="125"/>
      <c r="P791" s="125"/>
      <c r="Q791" s="125"/>
      <c r="R791" s="125"/>
      <c r="S791" s="628">
        <f t="shared" si="3"/>
        <v>0</v>
      </c>
      <c r="T791" s="627" t="s">
        <v>51</v>
      </c>
      <c r="U791" s="627" t="s">
        <v>51</v>
      </c>
      <c r="V791" s="627" t="s">
        <v>51</v>
      </c>
      <c r="W791" s="627" t="s">
        <v>51</v>
      </c>
      <c r="X791" s="627" t="s">
        <v>51</v>
      </c>
      <c r="Y791" s="89"/>
    </row>
    <row r="792" ht="22.5" customHeight="1">
      <c r="A792" s="125"/>
      <c r="B792" s="125"/>
      <c r="C792" s="125"/>
      <c r="D792" s="125"/>
      <c r="E792" s="125"/>
      <c r="F792" s="125"/>
      <c r="G792" s="125"/>
      <c r="H792" s="125"/>
      <c r="I792" s="627" t="s">
        <v>51</v>
      </c>
      <c r="J792" s="125" t="s">
        <v>51</v>
      </c>
      <c r="K792" s="125" t="s">
        <v>51</v>
      </c>
      <c r="L792" s="125" t="s">
        <v>51</v>
      </c>
      <c r="M792" s="125" t="str">
        <f t="shared" si="1"/>
        <v/>
      </c>
      <c r="N792" s="125" t="str">
        <f t="shared" si="2"/>
        <v/>
      </c>
      <c r="O792" s="125"/>
      <c r="P792" s="125"/>
      <c r="Q792" s="125"/>
      <c r="R792" s="125"/>
      <c r="S792" s="628">
        <f t="shared" si="3"/>
        <v>0</v>
      </c>
      <c r="T792" s="627" t="s">
        <v>51</v>
      </c>
      <c r="U792" s="627" t="s">
        <v>51</v>
      </c>
      <c r="V792" s="627" t="s">
        <v>51</v>
      </c>
      <c r="W792" s="627" t="s">
        <v>51</v>
      </c>
      <c r="X792" s="627" t="s">
        <v>51</v>
      </c>
      <c r="Y792" s="89"/>
    </row>
    <row r="793" ht="22.5" customHeight="1">
      <c r="A793" s="125"/>
      <c r="B793" s="125"/>
      <c r="C793" s="125"/>
      <c r="D793" s="125"/>
      <c r="E793" s="125"/>
      <c r="F793" s="125"/>
      <c r="G793" s="125"/>
      <c r="H793" s="125"/>
      <c r="I793" s="627" t="s">
        <v>51</v>
      </c>
      <c r="J793" s="125" t="s">
        <v>51</v>
      </c>
      <c r="K793" s="125" t="s">
        <v>51</v>
      </c>
      <c r="L793" s="125" t="s">
        <v>51</v>
      </c>
      <c r="M793" s="125" t="str">
        <f t="shared" si="1"/>
        <v/>
      </c>
      <c r="N793" s="125" t="str">
        <f t="shared" si="2"/>
        <v/>
      </c>
      <c r="O793" s="125"/>
      <c r="P793" s="125"/>
      <c r="Q793" s="125"/>
      <c r="R793" s="125"/>
      <c r="S793" s="628">
        <f t="shared" si="3"/>
        <v>0</v>
      </c>
      <c r="T793" s="627" t="s">
        <v>51</v>
      </c>
      <c r="U793" s="627" t="s">
        <v>51</v>
      </c>
      <c r="V793" s="627" t="s">
        <v>51</v>
      </c>
      <c r="W793" s="627" t="s">
        <v>51</v>
      </c>
      <c r="X793" s="627" t="s">
        <v>51</v>
      </c>
      <c r="Y793" s="89"/>
    </row>
    <row r="794" ht="22.5" customHeight="1">
      <c r="A794" s="125"/>
      <c r="B794" s="125"/>
      <c r="C794" s="125"/>
      <c r="D794" s="125"/>
      <c r="E794" s="125"/>
      <c r="F794" s="125"/>
      <c r="G794" s="125"/>
      <c r="H794" s="125"/>
      <c r="I794" s="627" t="s">
        <v>51</v>
      </c>
      <c r="J794" s="125" t="s">
        <v>51</v>
      </c>
      <c r="K794" s="125" t="s">
        <v>51</v>
      </c>
      <c r="L794" s="125" t="s">
        <v>51</v>
      </c>
      <c r="M794" s="125" t="str">
        <f t="shared" si="1"/>
        <v/>
      </c>
      <c r="N794" s="125" t="str">
        <f t="shared" si="2"/>
        <v/>
      </c>
      <c r="O794" s="125"/>
      <c r="P794" s="125"/>
      <c r="Q794" s="125"/>
      <c r="R794" s="125"/>
      <c r="S794" s="628">
        <f t="shared" si="3"/>
        <v>0</v>
      </c>
      <c r="T794" s="627" t="s">
        <v>51</v>
      </c>
      <c r="U794" s="627" t="s">
        <v>51</v>
      </c>
      <c r="V794" s="627" t="s">
        <v>51</v>
      </c>
      <c r="W794" s="627" t="s">
        <v>51</v>
      </c>
      <c r="X794" s="627" t="s">
        <v>51</v>
      </c>
      <c r="Y794" s="89"/>
    </row>
    <row r="795" ht="22.5" customHeight="1">
      <c r="A795" s="125"/>
      <c r="B795" s="125"/>
      <c r="C795" s="125"/>
      <c r="D795" s="125"/>
      <c r="E795" s="125"/>
      <c r="F795" s="125"/>
      <c r="G795" s="125"/>
      <c r="H795" s="125"/>
      <c r="I795" s="627" t="s">
        <v>51</v>
      </c>
      <c r="J795" s="125" t="s">
        <v>51</v>
      </c>
      <c r="K795" s="125" t="s">
        <v>51</v>
      </c>
      <c r="L795" s="125" t="s">
        <v>51</v>
      </c>
      <c r="M795" s="125" t="str">
        <f t="shared" si="1"/>
        <v/>
      </c>
      <c r="N795" s="125" t="str">
        <f t="shared" si="2"/>
        <v/>
      </c>
      <c r="O795" s="125"/>
      <c r="P795" s="125"/>
      <c r="Q795" s="125"/>
      <c r="R795" s="125"/>
      <c r="S795" s="628">
        <f t="shared" si="3"/>
        <v>0</v>
      </c>
      <c r="T795" s="627" t="s">
        <v>51</v>
      </c>
      <c r="U795" s="627" t="s">
        <v>51</v>
      </c>
      <c r="V795" s="627" t="s">
        <v>51</v>
      </c>
      <c r="W795" s="627" t="s">
        <v>51</v>
      </c>
      <c r="X795" s="627" t="s">
        <v>51</v>
      </c>
      <c r="Y795" s="89"/>
    </row>
    <row r="796" ht="22.5" customHeight="1">
      <c r="A796" s="125"/>
      <c r="B796" s="125"/>
      <c r="C796" s="125"/>
      <c r="D796" s="125"/>
      <c r="E796" s="125"/>
      <c r="F796" s="125"/>
      <c r="G796" s="125"/>
      <c r="H796" s="125"/>
      <c r="I796" s="627" t="s">
        <v>51</v>
      </c>
      <c r="J796" s="125" t="s">
        <v>51</v>
      </c>
      <c r="K796" s="125" t="s">
        <v>51</v>
      </c>
      <c r="L796" s="125" t="s">
        <v>51</v>
      </c>
      <c r="M796" s="125" t="str">
        <f t="shared" si="1"/>
        <v/>
      </c>
      <c r="N796" s="125" t="str">
        <f t="shared" si="2"/>
        <v/>
      </c>
      <c r="O796" s="125"/>
      <c r="P796" s="125"/>
      <c r="Q796" s="125"/>
      <c r="R796" s="125"/>
      <c r="S796" s="628">
        <f t="shared" si="3"/>
        <v>0</v>
      </c>
      <c r="T796" s="627" t="s">
        <v>51</v>
      </c>
      <c r="U796" s="627" t="s">
        <v>51</v>
      </c>
      <c r="V796" s="627" t="s">
        <v>51</v>
      </c>
      <c r="W796" s="627" t="s">
        <v>51</v>
      </c>
      <c r="X796" s="627" t="s">
        <v>51</v>
      </c>
      <c r="Y796" s="89"/>
    </row>
    <row r="797" ht="22.5" customHeight="1">
      <c r="A797" s="125"/>
      <c r="B797" s="125"/>
      <c r="C797" s="125"/>
      <c r="D797" s="125"/>
      <c r="E797" s="125"/>
      <c r="F797" s="125"/>
      <c r="G797" s="125"/>
      <c r="H797" s="125"/>
      <c r="I797" s="627" t="s">
        <v>51</v>
      </c>
      <c r="J797" s="125" t="s">
        <v>51</v>
      </c>
      <c r="K797" s="125" t="s">
        <v>51</v>
      </c>
      <c r="L797" s="125" t="s">
        <v>51</v>
      </c>
      <c r="M797" s="125" t="str">
        <f t="shared" si="1"/>
        <v/>
      </c>
      <c r="N797" s="125" t="str">
        <f t="shared" si="2"/>
        <v/>
      </c>
      <c r="O797" s="125"/>
      <c r="P797" s="125"/>
      <c r="Q797" s="125"/>
      <c r="R797" s="125"/>
      <c r="S797" s="628">
        <f t="shared" si="3"/>
        <v>0</v>
      </c>
      <c r="T797" s="627" t="s">
        <v>51</v>
      </c>
      <c r="U797" s="627" t="s">
        <v>51</v>
      </c>
      <c r="V797" s="627" t="s">
        <v>51</v>
      </c>
      <c r="W797" s="627" t="s">
        <v>51</v>
      </c>
      <c r="X797" s="627" t="s">
        <v>51</v>
      </c>
      <c r="Y797" s="89"/>
    </row>
    <row r="798" ht="22.5" customHeight="1">
      <c r="A798" s="125"/>
      <c r="B798" s="125"/>
      <c r="C798" s="125"/>
      <c r="D798" s="125"/>
      <c r="E798" s="125"/>
      <c r="F798" s="125"/>
      <c r="G798" s="125"/>
      <c r="H798" s="125"/>
      <c r="I798" s="627" t="s">
        <v>51</v>
      </c>
      <c r="J798" s="125" t="s">
        <v>51</v>
      </c>
      <c r="K798" s="125" t="s">
        <v>51</v>
      </c>
      <c r="L798" s="125" t="s">
        <v>51</v>
      </c>
      <c r="M798" s="125" t="str">
        <f t="shared" si="1"/>
        <v/>
      </c>
      <c r="N798" s="125" t="str">
        <f t="shared" si="2"/>
        <v/>
      </c>
      <c r="O798" s="125"/>
      <c r="P798" s="125"/>
      <c r="Q798" s="125"/>
      <c r="R798" s="125"/>
      <c r="S798" s="628">
        <f t="shared" si="3"/>
        <v>0</v>
      </c>
      <c r="T798" s="627" t="s">
        <v>51</v>
      </c>
      <c r="U798" s="627" t="s">
        <v>51</v>
      </c>
      <c r="V798" s="627" t="s">
        <v>51</v>
      </c>
      <c r="W798" s="627" t="s">
        <v>51</v>
      </c>
      <c r="X798" s="627" t="s">
        <v>51</v>
      </c>
      <c r="Y798" s="89"/>
    </row>
    <row r="799" ht="22.5" customHeight="1">
      <c r="A799" s="125"/>
      <c r="B799" s="125"/>
      <c r="C799" s="125"/>
      <c r="D799" s="125"/>
      <c r="E799" s="125"/>
      <c r="F799" s="125"/>
      <c r="G799" s="125"/>
      <c r="H799" s="125"/>
      <c r="I799" s="627" t="s">
        <v>51</v>
      </c>
      <c r="J799" s="125" t="s">
        <v>51</v>
      </c>
      <c r="K799" s="125" t="s">
        <v>51</v>
      </c>
      <c r="L799" s="125" t="s">
        <v>51</v>
      </c>
      <c r="M799" s="125" t="str">
        <f t="shared" si="1"/>
        <v/>
      </c>
      <c r="N799" s="125" t="str">
        <f t="shared" si="2"/>
        <v/>
      </c>
      <c r="O799" s="125"/>
      <c r="P799" s="125"/>
      <c r="Q799" s="125"/>
      <c r="R799" s="125"/>
      <c r="S799" s="628">
        <f t="shared" si="3"/>
        <v>0</v>
      </c>
      <c r="T799" s="627" t="s">
        <v>51</v>
      </c>
      <c r="U799" s="627" t="s">
        <v>51</v>
      </c>
      <c r="V799" s="627" t="s">
        <v>51</v>
      </c>
      <c r="W799" s="627" t="s">
        <v>51</v>
      </c>
      <c r="X799" s="627" t="s">
        <v>51</v>
      </c>
      <c r="Y799" s="89"/>
    </row>
    <row r="800" ht="22.5" customHeight="1">
      <c r="A800" s="125"/>
      <c r="B800" s="125"/>
      <c r="C800" s="125"/>
      <c r="D800" s="125"/>
      <c r="E800" s="125"/>
      <c r="F800" s="125"/>
      <c r="G800" s="125"/>
      <c r="H800" s="125"/>
      <c r="I800" s="627" t="s">
        <v>51</v>
      </c>
      <c r="J800" s="125" t="s">
        <v>51</v>
      </c>
      <c r="K800" s="125" t="s">
        <v>51</v>
      </c>
      <c r="L800" s="125" t="s">
        <v>51</v>
      </c>
      <c r="M800" s="125" t="str">
        <f t="shared" si="1"/>
        <v/>
      </c>
      <c r="N800" s="125" t="str">
        <f t="shared" si="2"/>
        <v/>
      </c>
      <c r="O800" s="125"/>
      <c r="P800" s="125"/>
      <c r="Q800" s="125"/>
      <c r="R800" s="125"/>
      <c r="S800" s="628">
        <f t="shared" si="3"/>
        <v>0</v>
      </c>
      <c r="T800" s="627" t="s">
        <v>51</v>
      </c>
      <c r="U800" s="627" t="s">
        <v>51</v>
      </c>
      <c r="V800" s="627" t="s">
        <v>51</v>
      </c>
      <c r="W800" s="627" t="s">
        <v>51</v>
      </c>
      <c r="X800" s="627" t="s">
        <v>51</v>
      </c>
      <c r="Y800" s="89"/>
    </row>
    <row r="801" ht="22.5" customHeight="1">
      <c r="A801" s="125"/>
      <c r="B801" s="125"/>
      <c r="C801" s="125"/>
      <c r="D801" s="125"/>
      <c r="E801" s="125"/>
      <c r="F801" s="125"/>
      <c r="G801" s="125"/>
      <c r="H801" s="125"/>
      <c r="I801" s="627" t="s">
        <v>51</v>
      </c>
      <c r="J801" s="125" t="s">
        <v>51</v>
      </c>
      <c r="K801" s="125" t="s">
        <v>51</v>
      </c>
      <c r="L801" s="125" t="s">
        <v>51</v>
      </c>
      <c r="M801" s="125" t="str">
        <f t="shared" si="1"/>
        <v/>
      </c>
      <c r="N801" s="125" t="str">
        <f t="shared" si="2"/>
        <v/>
      </c>
      <c r="O801" s="125"/>
      <c r="P801" s="125"/>
      <c r="Q801" s="125"/>
      <c r="R801" s="125"/>
      <c r="S801" s="628">
        <f t="shared" si="3"/>
        <v>0</v>
      </c>
      <c r="T801" s="627" t="s">
        <v>51</v>
      </c>
      <c r="U801" s="627" t="s">
        <v>51</v>
      </c>
      <c r="V801" s="627" t="s">
        <v>51</v>
      </c>
      <c r="W801" s="627" t="s">
        <v>51</v>
      </c>
      <c r="X801" s="627" t="s">
        <v>51</v>
      </c>
      <c r="Y801" s="89"/>
    </row>
    <row r="802" ht="22.5" customHeight="1">
      <c r="A802" s="125"/>
      <c r="B802" s="125"/>
      <c r="C802" s="125"/>
      <c r="D802" s="125"/>
      <c r="E802" s="125"/>
      <c r="F802" s="125"/>
      <c r="G802" s="125"/>
      <c r="H802" s="125"/>
      <c r="I802" s="627" t="s">
        <v>51</v>
      </c>
      <c r="J802" s="125" t="s">
        <v>51</v>
      </c>
      <c r="K802" s="125" t="s">
        <v>51</v>
      </c>
      <c r="L802" s="125" t="s">
        <v>51</v>
      </c>
      <c r="M802" s="125" t="str">
        <f t="shared" si="1"/>
        <v/>
      </c>
      <c r="N802" s="125" t="str">
        <f t="shared" si="2"/>
        <v/>
      </c>
      <c r="O802" s="125"/>
      <c r="P802" s="125"/>
      <c r="Q802" s="125"/>
      <c r="R802" s="125"/>
      <c r="S802" s="628">
        <f t="shared" si="3"/>
        <v>0</v>
      </c>
      <c r="T802" s="627" t="s">
        <v>51</v>
      </c>
      <c r="U802" s="627" t="s">
        <v>51</v>
      </c>
      <c r="V802" s="627" t="s">
        <v>51</v>
      </c>
      <c r="W802" s="627" t="s">
        <v>51</v>
      </c>
      <c r="X802" s="627" t="s">
        <v>51</v>
      </c>
      <c r="Y802" s="89"/>
    </row>
    <row r="803" ht="22.5" customHeight="1">
      <c r="A803" s="125"/>
      <c r="B803" s="125"/>
      <c r="C803" s="125"/>
      <c r="D803" s="125"/>
      <c r="E803" s="125"/>
      <c r="F803" s="125"/>
      <c r="G803" s="125"/>
      <c r="H803" s="125"/>
      <c r="I803" s="627" t="s">
        <v>51</v>
      </c>
      <c r="J803" s="125" t="s">
        <v>51</v>
      </c>
      <c r="K803" s="125" t="s">
        <v>51</v>
      </c>
      <c r="L803" s="125" t="s">
        <v>51</v>
      </c>
      <c r="M803" s="125" t="str">
        <f t="shared" si="1"/>
        <v/>
      </c>
      <c r="N803" s="125" t="str">
        <f t="shared" si="2"/>
        <v/>
      </c>
      <c r="O803" s="125"/>
      <c r="P803" s="125"/>
      <c r="Q803" s="125"/>
      <c r="R803" s="125"/>
      <c r="S803" s="628">
        <f t="shared" si="3"/>
        <v>0</v>
      </c>
      <c r="T803" s="627" t="s">
        <v>51</v>
      </c>
      <c r="U803" s="627" t="s">
        <v>51</v>
      </c>
      <c r="V803" s="627" t="s">
        <v>51</v>
      </c>
      <c r="W803" s="627" t="s">
        <v>51</v>
      </c>
      <c r="X803" s="627" t="s">
        <v>51</v>
      </c>
      <c r="Y803" s="89"/>
    </row>
    <row r="804" ht="22.5" customHeight="1">
      <c r="A804" s="125"/>
      <c r="B804" s="125"/>
      <c r="C804" s="125"/>
      <c r="D804" s="125"/>
      <c r="E804" s="125"/>
      <c r="F804" s="125"/>
      <c r="G804" s="125"/>
      <c r="H804" s="125"/>
      <c r="I804" s="627" t="s">
        <v>51</v>
      </c>
      <c r="J804" s="125" t="s">
        <v>51</v>
      </c>
      <c r="K804" s="125" t="s">
        <v>51</v>
      </c>
      <c r="L804" s="125" t="s">
        <v>51</v>
      </c>
      <c r="M804" s="125" t="str">
        <f t="shared" si="1"/>
        <v/>
      </c>
      <c r="N804" s="125" t="str">
        <f t="shared" si="2"/>
        <v/>
      </c>
      <c r="O804" s="125"/>
      <c r="P804" s="125"/>
      <c r="Q804" s="125"/>
      <c r="R804" s="125"/>
      <c r="S804" s="628">
        <f t="shared" si="3"/>
        <v>0</v>
      </c>
      <c r="T804" s="627" t="s">
        <v>51</v>
      </c>
      <c r="U804" s="627" t="s">
        <v>51</v>
      </c>
      <c r="V804" s="627" t="s">
        <v>51</v>
      </c>
      <c r="W804" s="627" t="s">
        <v>51</v>
      </c>
      <c r="X804" s="627" t="s">
        <v>51</v>
      </c>
      <c r="Y804" s="89"/>
    </row>
    <row r="805" ht="22.5" customHeight="1">
      <c r="A805" s="125"/>
      <c r="B805" s="125"/>
      <c r="C805" s="125"/>
      <c r="D805" s="125"/>
      <c r="E805" s="125"/>
      <c r="F805" s="125"/>
      <c r="G805" s="125"/>
      <c r="H805" s="125"/>
      <c r="I805" s="627" t="s">
        <v>51</v>
      </c>
      <c r="J805" s="125" t="s">
        <v>51</v>
      </c>
      <c r="K805" s="125" t="s">
        <v>51</v>
      </c>
      <c r="L805" s="125" t="s">
        <v>51</v>
      </c>
      <c r="M805" s="125" t="str">
        <f t="shared" si="1"/>
        <v/>
      </c>
      <c r="N805" s="125" t="str">
        <f t="shared" si="2"/>
        <v/>
      </c>
      <c r="O805" s="125"/>
      <c r="P805" s="125"/>
      <c r="Q805" s="125"/>
      <c r="R805" s="125"/>
      <c r="S805" s="628">
        <f t="shared" si="3"/>
        <v>0</v>
      </c>
      <c r="T805" s="627" t="s">
        <v>51</v>
      </c>
      <c r="U805" s="627" t="s">
        <v>51</v>
      </c>
      <c r="V805" s="627" t="s">
        <v>51</v>
      </c>
      <c r="W805" s="627" t="s">
        <v>51</v>
      </c>
      <c r="X805" s="627" t="s">
        <v>51</v>
      </c>
      <c r="Y805" s="89"/>
    </row>
    <row r="806" ht="22.5" customHeight="1">
      <c r="A806" s="125"/>
      <c r="B806" s="125"/>
      <c r="C806" s="125"/>
      <c r="D806" s="125"/>
      <c r="E806" s="125"/>
      <c r="F806" s="125"/>
      <c r="G806" s="125"/>
      <c r="H806" s="125"/>
      <c r="I806" s="627" t="s">
        <v>51</v>
      </c>
      <c r="J806" s="125" t="s">
        <v>51</v>
      </c>
      <c r="K806" s="125" t="s">
        <v>51</v>
      </c>
      <c r="L806" s="125" t="s">
        <v>51</v>
      </c>
      <c r="M806" s="125" t="str">
        <f t="shared" si="1"/>
        <v/>
      </c>
      <c r="N806" s="125" t="str">
        <f t="shared" si="2"/>
        <v/>
      </c>
      <c r="O806" s="125"/>
      <c r="P806" s="125"/>
      <c r="Q806" s="125"/>
      <c r="R806" s="125"/>
      <c r="S806" s="628">
        <f t="shared" si="3"/>
        <v>0</v>
      </c>
      <c r="T806" s="627" t="s">
        <v>51</v>
      </c>
      <c r="U806" s="627" t="s">
        <v>51</v>
      </c>
      <c r="V806" s="627" t="s">
        <v>51</v>
      </c>
      <c r="W806" s="627" t="s">
        <v>51</v>
      </c>
      <c r="X806" s="627" t="s">
        <v>51</v>
      </c>
      <c r="Y806" s="89"/>
    </row>
    <row r="807" ht="22.5" customHeight="1">
      <c r="A807" s="125"/>
      <c r="B807" s="125"/>
      <c r="C807" s="125"/>
      <c r="D807" s="125"/>
      <c r="E807" s="125"/>
      <c r="F807" s="125"/>
      <c r="G807" s="125"/>
      <c r="H807" s="125"/>
      <c r="I807" s="627" t="s">
        <v>51</v>
      </c>
      <c r="J807" s="125" t="s">
        <v>51</v>
      </c>
      <c r="K807" s="125" t="s">
        <v>51</v>
      </c>
      <c r="L807" s="125" t="s">
        <v>51</v>
      </c>
      <c r="M807" s="125" t="str">
        <f t="shared" si="1"/>
        <v/>
      </c>
      <c r="N807" s="125" t="str">
        <f t="shared" si="2"/>
        <v/>
      </c>
      <c r="O807" s="125"/>
      <c r="P807" s="125"/>
      <c r="Q807" s="125"/>
      <c r="R807" s="125"/>
      <c r="S807" s="628">
        <f t="shared" si="3"/>
        <v>0</v>
      </c>
      <c r="T807" s="627" t="s">
        <v>51</v>
      </c>
      <c r="U807" s="627" t="s">
        <v>51</v>
      </c>
      <c r="V807" s="627" t="s">
        <v>51</v>
      </c>
      <c r="W807" s="627" t="s">
        <v>51</v>
      </c>
      <c r="X807" s="627" t="s">
        <v>51</v>
      </c>
      <c r="Y807" s="89"/>
    </row>
    <row r="808" ht="22.5" customHeight="1">
      <c r="A808" s="125"/>
      <c r="B808" s="125"/>
      <c r="C808" s="125"/>
      <c r="D808" s="125"/>
      <c r="E808" s="125"/>
      <c r="F808" s="125"/>
      <c r="G808" s="125"/>
      <c r="H808" s="125"/>
      <c r="I808" s="627" t="s">
        <v>51</v>
      </c>
      <c r="J808" s="125" t="s">
        <v>51</v>
      </c>
      <c r="K808" s="125" t="s">
        <v>51</v>
      </c>
      <c r="L808" s="125" t="s">
        <v>51</v>
      </c>
      <c r="M808" s="125" t="str">
        <f t="shared" si="1"/>
        <v/>
      </c>
      <c r="N808" s="125" t="str">
        <f t="shared" si="2"/>
        <v/>
      </c>
      <c r="O808" s="125"/>
      <c r="P808" s="125"/>
      <c r="Q808" s="125"/>
      <c r="R808" s="125"/>
      <c r="S808" s="628">
        <f t="shared" si="3"/>
        <v>0</v>
      </c>
      <c r="T808" s="627" t="s">
        <v>51</v>
      </c>
      <c r="U808" s="627" t="s">
        <v>51</v>
      </c>
      <c r="V808" s="627" t="s">
        <v>51</v>
      </c>
      <c r="W808" s="627" t="s">
        <v>51</v>
      </c>
      <c r="X808" s="627" t="s">
        <v>51</v>
      </c>
      <c r="Y808" s="89"/>
    </row>
    <row r="809" ht="22.5" customHeight="1">
      <c r="A809" s="125"/>
      <c r="B809" s="125"/>
      <c r="C809" s="125"/>
      <c r="D809" s="125"/>
      <c r="E809" s="125"/>
      <c r="F809" s="125"/>
      <c r="G809" s="125"/>
      <c r="H809" s="125"/>
      <c r="I809" s="627" t="s">
        <v>51</v>
      </c>
      <c r="J809" s="125" t="s">
        <v>51</v>
      </c>
      <c r="K809" s="125" t="s">
        <v>51</v>
      </c>
      <c r="L809" s="125" t="s">
        <v>51</v>
      </c>
      <c r="M809" s="125" t="str">
        <f t="shared" si="1"/>
        <v/>
      </c>
      <c r="N809" s="125" t="str">
        <f t="shared" si="2"/>
        <v/>
      </c>
      <c r="O809" s="125"/>
      <c r="P809" s="125"/>
      <c r="Q809" s="125"/>
      <c r="R809" s="125"/>
      <c r="S809" s="628">
        <f t="shared" si="3"/>
        <v>0</v>
      </c>
      <c r="T809" s="627" t="s">
        <v>51</v>
      </c>
      <c r="U809" s="627" t="s">
        <v>51</v>
      </c>
      <c r="V809" s="627" t="s">
        <v>51</v>
      </c>
      <c r="W809" s="627" t="s">
        <v>51</v>
      </c>
      <c r="X809" s="627" t="s">
        <v>51</v>
      </c>
      <c r="Y809" s="89"/>
    </row>
    <row r="810" ht="22.5" customHeight="1">
      <c r="A810" s="125"/>
      <c r="B810" s="125"/>
      <c r="C810" s="125"/>
      <c r="D810" s="125"/>
      <c r="E810" s="125"/>
      <c r="F810" s="125"/>
      <c r="G810" s="125"/>
      <c r="H810" s="125"/>
      <c r="I810" s="627" t="s">
        <v>51</v>
      </c>
      <c r="J810" s="125" t="s">
        <v>51</v>
      </c>
      <c r="K810" s="125" t="s">
        <v>51</v>
      </c>
      <c r="L810" s="125" t="s">
        <v>51</v>
      </c>
      <c r="M810" s="125" t="str">
        <f t="shared" si="1"/>
        <v/>
      </c>
      <c r="N810" s="125" t="str">
        <f t="shared" si="2"/>
        <v/>
      </c>
      <c r="O810" s="125"/>
      <c r="P810" s="125"/>
      <c r="Q810" s="125"/>
      <c r="R810" s="125"/>
      <c r="S810" s="628">
        <f t="shared" si="3"/>
        <v>0</v>
      </c>
      <c r="T810" s="627" t="s">
        <v>51</v>
      </c>
      <c r="U810" s="627" t="s">
        <v>51</v>
      </c>
      <c r="V810" s="627" t="s">
        <v>51</v>
      </c>
      <c r="W810" s="627" t="s">
        <v>51</v>
      </c>
      <c r="X810" s="627" t="s">
        <v>51</v>
      </c>
      <c r="Y810" s="89"/>
    </row>
    <row r="811" ht="22.5" customHeight="1">
      <c r="A811" s="125"/>
      <c r="B811" s="125"/>
      <c r="C811" s="125"/>
      <c r="D811" s="125"/>
      <c r="E811" s="125"/>
      <c r="F811" s="125"/>
      <c r="G811" s="125"/>
      <c r="H811" s="125"/>
      <c r="I811" s="627" t="s">
        <v>51</v>
      </c>
      <c r="J811" s="125" t="s">
        <v>51</v>
      </c>
      <c r="K811" s="125" t="s">
        <v>51</v>
      </c>
      <c r="L811" s="125" t="s">
        <v>51</v>
      </c>
      <c r="M811" s="125" t="str">
        <f t="shared" si="1"/>
        <v/>
      </c>
      <c r="N811" s="125" t="str">
        <f t="shared" si="2"/>
        <v/>
      </c>
      <c r="O811" s="125"/>
      <c r="P811" s="125"/>
      <c r="Q811" s="125"/>
      <c r="R811" s="125"/>
      <c r="S811" s="628">
        <f t="shared" si="3"/>
        <v>0</v>
      </c>
      <c r="T811" s="627" t="s">
        <v>51</v>
      </c>
      <c r="U811" s="627" t="s">
        <v>51</v>
      </c>
      <c r="V811" s="627" t="s">
        <v>51</v>
      </c>
      <c r="W811" s="627" t="s">
        <v>51</v>
      </c>
      <c r="X811" s="627" t="s">
        <v>51</v>
      </c>
      <c r="Y811" s="89"/>
    </row>
    <row r="812" ht="22.5" customHeight="1">
      <c r="A812" s="125"/>
      <c r="B812" s="125"/>
      <c r="C812" s="125"/>
      <c r="D812" s="125"/>
      <c r="E812" s="125"/>
      <c r="F812" s="125"/>
      <c r="G812" s="125"/>
      <c r="H812" s="125"/>
      <c r="I812" s="627" t="s">
        <v>51</v>
      </c>
      <c r="J812" s="125" t="s">
        <v>51</v>
      </c>
      <c r="K812" s="125" t="s">
        <v>51</v>
      </c>
      <c r="L812" s="125" t="s">
        <v>51</v>
      </c>
      <c r="M812" s="125" t="str">
        <f t="shared" si="1"/>
        <v/>
      </c>
      <c r="N812" s="125" t="str">
        <f t="shared" si="2"/>
        <v/>
      </c>
      <c r="O812" s="125"/>
      <c r="P812" s="125"/>
      <c r="Q812" s="125"/>
      <c r="R812" s="125"/>
      <c r="S812" s="628">
        <f t="shared" si="3"/>
        <v>0</v>
      </c>
      <c r="T812" s="627" t="s">
        <v>51</v>
      </c>
      <c r="U812" s="627" t="s">
        <v>51</v>
      </c>
      <c r="V812" s="627" t="s">
        <v>51</v>
      </c>
      <c r="W812" s="627" t="s">
        <v>51</v>
      </c>
      <c r="X812" s="627" t="s">
        <v>51</v>
      </c>
      <c r="Y812" s="89"/>
    </row>
    <row r="813" ht="22.5" customHeight="1">
      <c r="A813" s="125"/>
      <c r="B813" s="125"/>
      <c r="C813" s="125"/>
      <c r="D813" s="125"/>
      <c r="E813" s="125"/>
      <c r="F813" s="125"/>
      <c r="G813" s="125"/>
      <c r="H813" s="125"/>
      <c r="I813" s="627" t="s">
        <v>51</v>
      </c>
      <c r="J813" s="125" t="s">
        <v>51</v>
      </c>
      <c r="K813" s="125" t="s">
        <v>51</v>
      </c>
      <c r="L813" s="125" t="s">
        <v>51</v>
      </c>
      <c r="M813" s="125" t="str">
        <f t="shared" si="1"/>
        <v/>
      </c>
      <c r="N813" s="125" t="str">
        <f t="shared" si="2"/>
        <v/>
      </c>
      <c r="O813" s="125"/>
      <c r="P813" s="125"/>
      <c r="Q813" s="125"/>
      <c r="R813" s="125"/>
      <c r="S813" s="628">
        <f t="shared" si="3"/>
        <v>0</v>
      </c>
      <c r="T813" s="627" t="s">
        <v>51</v>
      </c>
      <c r="U813" s="627" t="s">
        <v>51</v>
      </c>
      <c r="V813" s="627" t="s">
        <v>51</v>
      </c>
      <c r="W813" s="627" t="s">
        <v>51</v>
      </c>
      <c r="X813" s="627" t="s">
        <v>51</v>
      </c>
      <c r="Y813" s="89"/>
    </row>
    <row r="814" ht="22.5" customHeight="1">
      <c r="A814" s="125"/>
      <c r="B814" s="125"/>
      <c r="C814" s="125"/>
      <c r="D814" s="125"/>
      <c r="E814" s="125"/>
      <c r="F814" s="125"/>
      <c r="G814" s="125"/>
      <c r="H814" s="125"/>
      <c r="I814" s="627" t="s">
        <v>51</v>
      </c>
      <c r="J814" s="125" t="s">
        <v>51</v>
      </c>
      <c r="K814" s="125" t="s">
        <v>51</v>
      </c>
      <c r="L814" s="125" t="s">
        <v>51</v>
      </c>
      <c r="M814" s="125" t="str">
        <f t="shared" si="1"/>
        <v/>
      </c>
      <c r="N814" s="125" t="str">
        <f t="shared" si="2"/>
        <v/>
      </c>
      <c r="O814" s="125"/>
      <c r="P814" s="125"/>
      <c r="Q814" s="125"/>
      <c r="R814" s="125"/>
      <c r="S814" s="628">
        <f t="shared" si="3"/>
        <v>0</v>
      </c>
      <c r="T814" s="627" t="s">
        <v>51</v>
      </c>
      <c r="U814" s="627" t="s">
        <v>51</v>
      </c>
      <c r="V814" s="627" t="s">
        <v>51</v>
      </c>
      <c r="W814" s="627" t="s">
        <v>51</v>
      </c>
      <c r="X814" s="627" t="s">
        <v>51</v>
      </c>
      <c r="Y814" s="89"/>
    </row>
    <row r="815" ht="22.5" customHeight="1">
      <c r="A815" s="125"/>
      <c r="B815" s="125"/>
      <c r="C815" s="125"/>
      <c r="D815" s="125"/>
      <c r="E815" s="125"/>
      <c r="F815" s="125"/>
      <c r="G815" s="125"/>
      <c r="H815" s="125"/>
      <c r="I815" s="627" t="s">
        <v>51</v>
      </c>
      <c r="J815" s="125" t="s">
        <v>51</v>
      </c>
      <c r="K815" s="125" t="s">
        <v>51</v>
      </c>
      <c r="L815" s="125" t="s">
        <v>51</v>
      </c>
      <c r="M815" s="125" t="str">
        <f t="shared" si="1"/>
        <v/>
      </c>
      <c r="N815" s="125" t="str">
        <f t="shared" si="2"/>
        <v/>
      </c>
      <c r="O815" s="125"/>
      <c r="P815" s="125"/>
      <c r="Q815" s="125"/>
      <c r="R815" s="125"/>
      <c r="S815" s="628">
        <f t="shared" si="3"/>
        <v>0</v>
      </c>
      <c r="T815" s="627" t="s">
        <v>51</v>
      </c>
      <c r="U815" s="627" t="s">
        <v>51</v>
      </c>
      <c r="V815" s="627" t="s">
        <v>51</v>
      </c>
      <c r="W815" s="627" t="s">
        <v>51</v>
      </c>
      <c r="X815" s="627" t="s">
        <v>51</v>
      </c>
      <c r="Y815" s="89"/>
    </row>
    <row r="816" ht="22.5" customHeight="1">
      <c r="A816" s="125"/>
      <c r="B816" s="125"/>
      <c r="C816" s="125"/>
      <c r="D816" s="125"/>
      <c r="E816" s="125"/>
      <c r="F816" s="125"/>
      <c r="G816" s="125"/>
      <c r="H816" s="125"/>
      <c r="I816" s="627" t="s">
        <v>51</v>
      </c>
      <c r="J816" s="125" t="s">
        <v>51</v>
      </c>
      <c r="K816" s="125" t="s">
        <v>51</v>
      </c>
      <c r="L816" s="125" t="s">
        <v>51</v>
      </c>
      <c r="M816" s="125" t="str">
        <f t="shared" si="1"/>
        <v/>
      </c>
      <c r="N816" s="125" t="str">
        <f t="shared" si="2"/>
        <v/>
      </c>
      <c r="O816" s="125"/>
      <c r="P816" s="125"/>
      <c r="Q816" s="125"/>
      <c r="R816" s="125"/>
      <c r="S816" s="628">
        <f t="shared" si="3"/>
        <v>0</v>
      </c>
      <c r="T816" s="627" t="s">
        <v>51</v>
      </c>
      <c r="U816" s="627" t="s">
        <v>51</v>
      </c>
      <c r="V816" s="627" t="s">
        <v>51</v>
      </c>
      <c r="W816" s="627" t="s">
        <v>51</v>
      </c>
      <c r="X816" s="627" t="s">
        <v>51</v>
      </c>
      <c r="Y816" s="89"/>
    </row>
    <row r="817" ht="22.5" customHeight="1">
      <c r="A817" s="125"/>
      <c r="B817" s="125"/>
      <c r="C817" s="125"/>
      <c r="D817" s="125"/>
      <c r="E817" s="125"/>
      <c r="F817" s="125"/>
      <c r="G817" s="125"/>
      <c r="H817" s="125"/>
      <c r="I817" s="627" t="s">
        <v>51</v>
      </c>
      <c r="J817" s="125" t="s">
        <v>51</v>
      </c>
      <c r="K817" s="125" t="s">
        <v>51</v>
      </c>
      <c r="L817" s="125" t="s">
        <v>51</v>
      </c>
      <c r="M817" s="125" t="str">
        <f t="shared" si="1"/>
        <v/>
      </c>
      <c r="N817" s="125" t="str">
        <f t="shared" si="2"/>
        <v/>
      </c>
      <c r="O817" s="125"/>
      <c r="P817" s="125"/>
      <c r="Q817" s="125"/>
      <c r="R817" s="125"/>
      <c r="S817" s="628">
        <f t="shared" si="3"/>
        <v>0</v>
      </c>
      <c r="T817" s="627" t="s">
        <v>51</v>
      </c>
      <c r="U817" s="627" t="s">
        <v>51</v>
      </c>
      <c r="V817" s="627" t="s">
        <v>51</v>
      </c>
      <c r="W817" s="627" t="s">
        <v>51</v>
      </c>
      <c r="X817" s="627" t="s">
        <v>51</v>
      </c>
      <c r="Y817" s="89"/>
    </row>
    <row r="818" ht="22.5" customHeight="1">
      <c r="A818" s="125"/>
      <c r="B818" s="125"/>
      <c r="C818" s="125"/>
      <c r="D818" s="125"/>
      <c r="E818" s="125"/>
      <c r="F818" s="125"/>
      <c r="G818" s="125"/>
      <c r="H818" s="125"/>
      <c r="I818" s="627" t="s">
        <v>51</v>
      </c>
      <c r="J818" s="125" t="s">
        <v>51</v>
      </c>
      <c r="K818" s="125" t="s">
        <v>51</v>
      </c>
      <c r="L818" s="125" t="s">
        <v>51</v>
      </c>
      <c r="M818" s="125" t="str">
        <f t="shared" si="1"/>
        <v/>
      </c>
      <c r="N818" s="125" t="str">
        <f t="shared" si="2"/>
        <v/>
      </c>
      <c r="O818" s="125"/>
      <c r="P818" s="125"/>
      <c r="Q818" s="125"/>
      <c r="R818" s="125"/>
      <c r="S818" s="628">
        <f t="shared" si="3"/>
        <v>0</v>
      </c>
      <c r="T818" s="627" t="s">
        <v>51</v>
      </c>
      <c r="U818" s="627" t="s">
        <v>51</v>
      </c>
      <c r="V818" s="627" t="s">
        <v>51</v>
      </c>
      <c r="W818" s="627" t="s">
        <v>51</v>
      </c>
      <c r="X818" s="627" t="s">
        <v>51</v>
      </c>
      <c r="Y818" s="89"/>
    </row>
    <row r="819" ht="22.5" customHeight="1">
      <c r="A819" s="125"/>
      <c r="B819" s="125"/>
      <c r="C819" s="125"/>
      <c r="D819" s="125"/>
      <c r="E819" s="125"/>
      <c r="F819" s="125"/>
      <c r="G819" s="125"/>
      <c r="H819" s="125"/>
      <c r="I819" s="627" t="s">
        <v>51</v>
      </c>
      <c r="J819" s="125" t="s">
        <v>51</v>
      </c>
      <c r="K819" s="125" t="s">
        <v>51</v>
      </c>
      <c r="L819" s="125" t="s">
        <v>51</v>
      </c>
      <c r="M819" s="125" t="str">
        <f t="shared" si="1"/>
        <v/>
      </c>
      <c r="N819" s="125" t="str">
        <f t="shared" si="2"/>
        <v/>
      </c>
      <c r="O819" s="125"/>
      <c r="P819" s="125"/>
      <c r="Q819" s="125"/>
      <c r="R819" s="125"/>
      <c r="S819" s="628">
        <f t="shared" si="3"/>
        <v>0</v>
      </c>
      <c r="T819" s="627" t="s">
        <v>51</v>
      </c>
      <c r="U819" s="627" t="s">
        <v>51</v>
      </c>
      <c r="V819" s="627" t="s">
        <v>51</v>
      </c>
      <c r="W819" s="627" t="s">
        <v>51</v>
      </c>
      <c r="X819" s="627" t="s">
        <v>51</v>
      </c>
      <c r="Y819" s="89"/>
    </row>
    <row r="820" ht="22.5" customHeight="1">
      <c r="A820" s="125"/>
      <c r="B820" s="125"/>
      <c r="C820" s="125"/>
      <c r="D820" s="125"/>
      <c r="E820" s="125"/>
      <c r="F820" s="125"/>
      <c r="G820" s="125"/>
      <c r="H820" s="125"/>
      <c r="I820" s="627" t="s">
        <v>51</v>
      </c>
      <c r="J820" s="125" t="s">
        <v>51</v>
      </c>
      <c r="K820" s="125" t="s">
        <v>51</v>
      </c>
      <c r="L820" s="125" t="s">
        <v>51</v>
      </c>
      <c r="M820" s="125" t="str">
        <f t="shared" si="1"/>
        <v/>
      </c>
      <c r="N820" s="125" t="str">
        <f t="shared" si="2"/>
        <v/>
      </c>
      <c r="O820" s="125"/>
      <c r="P820" s="125"/>
      <c r="Q820" s="125"/>
      <c r="R820" s="125"/>
      <c r="S820" s="628">
        <f t="shared" si="3"/>
        <v>0</v>
      </c>
      <c r="T820" s="627" t="s">
        <v>51</v>
      </c>
      <c r="U820" s="627" t="s">
        <v>51</v>
      </c>
      <c r="V820" s="627" t="s">
        <v>51</v>
      </c>
      <c r="W820" s="627" t="s">
        <v>51</v>
      </c>
      <c r="X820" s="627" t="s">
        <v>51</v>
      </c>
      <c r="Y820" s="89"/>
    </row>
    <row r="821" ht="22.5" customHeight="1">
      <c r="A821" s="125"/>
      <c r="B821" s="125"/>
      <c r="C821" s="125"/>
      <c r="D821" s="125"/>
      <c r="E821" s="125"/>
      <c r="F821" s="125"/>
      <c r="G821" s="125"/>
      <c r="H821" s="125"/>
      <c r="I821" s="627" t="s">
        <v>51</v>
      </c>
      <c r="J821" s="125" t="s">
        <v>51</v>
      </c>
      <c r="K821" s="125" t="s">
        <v>51</v>
      </c>
      <c r="L821" s="125" t="s">
        <v>51</v>
      </c>
      <c r="M821" s="125" t="str">
        <f t="shared" si="1"/>
        <v/>
      </c>
      <c r="N821" s="125" t="str">
        <f t="shared" si="2"/>
        <v/>
      </c>
      <c r="O821" s="125"/>
      <c r="P821" s="125"/>
      <c r="Q821" s="125"/>
      <c r="R821" s="125"/>
      <c r="S821" s="628">
        <f t="shared" si="3"/>
        <v>0</v>
      </c>
      <c r="T821" s="627" t="s">
        <v>51</v>
      </c>
      <c r="U821" s="627" t="s">
        <v>51</v>
      </c>
      <c r="V821" s="627" t="s">
        <v>51</v>
      </c>
      <c r="W821" s="627" t="s">
        <v>51</v>
      </c>
      <c r="X821" s="627" t="s">
        <v>51</v>
      </c>
      <c r="Y821" s="89"/>
    </row>
    <row r="822" ht="22.5" customHeight="1">
      <c r="A822" s="125"/>
      <c r="B822" s="125"/>
      <c r="C822" s="125"/>
      <c r="D822" s="125"/>
      <c r="E822" s="125"/>
      <c r="F822" s="125"/>
      <c r="G822" s="125"/>
      <c r="H822" s="125"/>
      <c r="I822" s="627" t="s">
        <v>51</v>
      </c>
      <c r="J822" s="125" t="s">
        <v>51</v>
      </c>
      <c r="K822" s="125" t="s">
        <v>51</v>
      </c>
      <c r="L822" s="125" t="s">
        <v>51</v>
      </c>
      <c r="M822" s="125" t="str">
        <f t="shared" si="1"/>
        <v/>
      </c>
      <c r="N822" s="125" t="str">
        <f t="shared" si="2"/>
        <v/>
      </c>
      <c r="O822" s="125"/>
      <c r="P822" s="125"/>
      <c r="Q822" s="125"/>
      <c r="R822" s="125"/>
      <c r="S822" s="628">
        <f t="shared" si="3"/>
        <v>0</v>
      </c>
      <c r="T822" s="627" t="s">
        <v>51</v>
      </c>
      <c r="U822" s="627" t="s">
        <v>51</v>
      </c>
      <c r="V822" s="627" t="s">
        <v>51</v>
      </c>
      <c r="W822" s="627" t="s">
        <v>51</v>
      </c>
      <c r="X822" s="627" t="s">
        <v>51</v>
      </c>
      <c r="Y822" s="89"/>
    </row>
    <row r="823" ht="22.5" customHeight="1">
      <c r="A823" s="125"/>
      <c r="B823" s="125"/>
      <c r="C823" s="125"/>
      <c r="D823" s="125"/>
      <c r="E823" s="125"/>
      <c r="F823" s="125"/>
      <c r="G823" s="125"/>
      <c r="H823" s="125"/>
      <c r="I823" s="627" t="s">
        <v>51</v>
      </c>
      <c r="J823" s="125" t="s">
        <v>51</v>
      </c>
      <c r="K823" s="125" t="s">
        <v>51</v>
      </c>
      <c r="L823" s="125" t="s">
        <v>51</v>
      </c>
      <c r="M823" s="125" t="str">
        <f t="shared" si="1"/>
        <v/>
      </c>
      <c r="N823" s="125" t="str">
        <f t="shared" si="2"/>
        <v/>
      </c>
      <c r="O823" s="125"/>
      <c r="P823" s="125"/>
      <c r="Q823" s="125"/>
      <c r="R823" s="125"/>
      <c r="S823" s="628">
        <f t="shared" si="3"/>
        <v>0</v>
      </c>
      <c r="T823" s="627" t="s">
        <v>51</v>
      </c>
      <c r="U823" s="627" t="s">
        <v>51</v>
      </c>
      <c r="V823" s="627" t="s">
        <v>51</v>
      </c>
      <c r="W823" s="627" t="s">
        <v>51</v>
      </c>
      <c r="X823" s="627" t="s">
        <v>51</v>
      </c>
      <c r="Y823" s="89"/>
    </row>
    <row r="824" ht="22.5" customHeight="1">
      <c r="A824" s="125"/>
      <c r="B824" s="125"/>
      <c r="C824" s="125"/>
      <c r="D824" s="125"/>
      <c r="E824" s="125"/>
      <c r="F824" s="125"/>
      <c r="G824" s="125"/>
      <c r="H824" s="125"/>
      <c r="I824" s="627" t="s">
        <v>51</v>
      </c>
      <c r="J824" s="125" t="s">
        <v>51</v>
      </c>
      <c r="K824" s="125" t="s">
        <v>51</v>
      </c>
      <c r="L824" s="125" t="s">
        <v>51</v>
      </c>
      <c r="M824" s="125" t="str">
        <f t="shared" si="1"/>
        <v/>
      </c>
      <c r="N824" s="125" t="str">
        <f t="shared" si="2"/>
        <v/>
      </c>
      <c r="O824" s="125"/>
      <c r="P824" s="125"/>
      <c r="Q824" s="125"/>
      <c r="R824" s="125"/>
      <c r="S824" s="628">
        <f t="shared" si="3"/>
        <v>0</v>
      </c>
      <c r="T824" s="627" t="s">
        <v>51</v>
      </c>
      <c r="U824" s="627" t="s">
        <v>51</v>
      </c>
      <c r="V824" s="627" t="s">
        <v>51</v>
      </c>
      <c r="W824" s="627" t="s">
        <v>51</v>
      </c>
      <c r="X824" s="627" t="s">
        <v>51</v>
      </c>
      <c r="Y824" s="89"/>
    </row>
    <row r="825" ht="22.5" customHeight="1">
      <c r="A825" s="125"/>
      <c r="B825" s="125"/>
      <c r="C825" s="125"/>
      <c r="D825" s="125"/>
      <c r="E825" s="125"/>
      <c r="F825" s="125"/>
      <c r="G825" s="125"/>
      <c r="H825" s="125"/>
      <c r="I825" s="627" t="s">
        <v>51</v>
      </c>
      <c r="J825" s="125" t="s">
        <v>51</v>
      </c>
      <c r="K825" s="125" t="s">
        <v>51</v>
      </c>
      <c r="L825" s="125" t="s">
        <v>51</v>
      </c>
      <c r="M825" s="125" t="str">
        <f t="shared" si="1"/>
        <v/>
      </c>
      <c r="N825" s="125" t="str">
        <f t="shared" si="2"/>
        <v/>
      </c>
      <c r="O825" s="125"/>
      <c r="P825" s="125"/>
      <c r="Q825" s="125"/>
      <c r="R825" s="125"/>
      <c r="S825" s="628">
        <f t="shared" si="3"/>
        <v>0</v>
      </c>
      <c r="T825" s="627" t="s">
        <v>51</v>
      </c>
      <c r="U825" s="627" t="s">
        <v>51</v>
      </c>
      <c r="V825" s="627" t="s">
        <v>51</v>
      </c>
      <c r="W825" s="627" t="s">
        <v>51</v>
      </c>
      <c r="X825" s="627" t="s">
        <v>51</v>
      </c>
      <c r="Y825" s="89"/>
    </row>
    <row r="826" ht="22.5" customHeight="1">
      <c r="A826" s="125"/>
      <c r="B826" s="125"/>
      <c r="C826" s="125"/>
      <c r="D826" s="125"/>
      <c r="E826" s="125"/>
      <c r="F826" s="125"/>
      <c r="G826" s="125"/>
      <c r="H826" s="125"/>
      <c r="I826" s="627" t="s">
        <v>51</v>
      </c>
      <c r="J826" s="125" t="s">
        <v>51</v>
      </c>
      <c r="K826" s="125" t="s">
        <v>51</v>
      </c>
      <c r="L826" s="125" t="s">
        <v>51</v>
      </c>
      <c r="M826" s="125" t="str">
        <f t="shared" si="1"/>
        <v/>
      </c>
      <c r="N826" s="125" t="str">
        <f t="shared" si="2"/>
        <v/>
      </c>
      <c r="O826" s="125"/>
      <c r="P826" s="125"/>
      <c r="Q826" s="125"/>
      <c r="R826" s="125"/>
      <c r="S826" s="628">
        <f t="shared" si="3"/>
        <v>0</v>
      </c>
      <c r="T826" s="627" t="s">
        <v>51</v>
      </c>
      <c r="U826" s="627" t="s">
        <v>51</v>
      </c>
      <c r="V826" s="627" t="s">
        <v>51</v>
      </c>
      <c r="W826" s="627" t="s">
        <v>51</v>
      </c>
      <c r="X826" s="627" t="s">
        <v>51</v>
      </c>
      <c r="Y826" s="89"/>
    </row>
    <row r="827" ht="22.5" customHeight="1">
      <c r="A827" s="125"/>
      <c r="B827" s="125"/>
      <c r="C827" s="125"/>
      <c r="D827" s="125"/>
      <c r="E827" s="125"/>
      <c r="F827" s="125"/>
      <c r="G827" s="125"/>
      <c r="H827" s="125"/>
      <c r="I827" s="627" t="s">
        <v>51</v>
      </c>
      <c r="J827" s="125" t="s">
        <v>51</v>
      </c>
      <c r="K827" s="125" t="s">
        <v>51</v>
      </c>
      <c r="L827" s="125" t="s">
        <v>51</v>
      </c>
      <c r="M827" s="125" t="str">
        <f t="shared" si="1"/>
        <v/>
      </c>
      <c r="N827" s="125" t="str">
        <f t="shared" si="2"/>
        <v/>
      </c>
      <c r="O827" s="125"/>
      <c r="P827" s="125"/>
      <c r="Q827" s="125"/>
      <c r="R827" s="125"/>
      <c r="S827" s="628">
        <f t="shared" si="3"/>
        <v>0</v>
      </c>
      <c r="T827" s="627" t="s">
        <v>51</v>
      </c>
      <c r="U827" s="627" t="s">
        <v>51</v>
      </c>
      <c r="V827" s="627" t="s">
        <v>51</v>
      </c>
      <c r="W827" s="627" t="s">
        <v>51</v>
      </c>
      <c r="X827" s="627" t="s">
        <v>51</v>
      </c>
      <c r="Y827" s="89"/>
    </row>
    <row r="828" ht="22.5" customHeight="1">
      <c r="A828" s="125"/>
      <c r="B828" s="125"/>
      <c r="C828" s="125"/>
      <c r="D828" s="125"/>
      <c r="E828" s="125"/>
      <c r="F828" s="125"/>
      <c r="G828" s="125"/>
      <c r="H828" s="125"/>
      <c r="I828" s="627" t="s">
        <v>51</v>
      </c>
      <c r="J828" s="125" t="s">
        <v>51</v>
      </c>
      <c r="K828" s="125" t="s">
        <v>51</v>
      </c>
      <c r="L828" s="125" t="s">
        <v>51</v>
      </c>
      <c r="M828" s="125" t="str">
        <f t="shared" si="1"/>
        <v/>
      </c>
      <c r="N828" s="125" t="str">
        <f t="shared" si="2"/>
        <v/>
      </c>
      <c r="O828" s="125"/>
      <c r="P828" s="125"/>
      <c r="Q828" s="125"/>
      <c r="R828" s="125"/>
      <c r="S828" s="628">
        <f t="shared" si="3"/>
        <v>0</v>
      </c>
      <c r="T828" s="627" t="s">
        <v>51</v>
      </c>
      <c r="U828" s="627" t="s">
        <v>51</v>
      </c>
      <c r="V828" s="627" t="s">
        <v>51</v>
      </c>
      <c r="W828" s="627" t="s">
        <v>51</v>
      </c>
      <c r="X828" s="627" t="s">
        <v>51</v>
      </c>
      <c r="Y828" s="89"/>
    </row>
    <row r="829" ht="22.5" customHeight="1">
      <c r="A829" s="125"/>
      <c r="B829" s="125"/>
      <c r="C829" s="125"/>
      <c r="D829" s="125"/>
      <c r="E829" s="125"/>
      <c r="F829" s="125"/>
      <c r="G829" s="125"/>
      <c r="H829" s="125"/>
      <c r="I829" s="627" t="s">
        <v>51</v>
      </c>
      <c r="J829" s="125" t="s">
        <v>51</v>
      </c>
      <c r="K829" s="125" t="s">
        <v>51</v>
      </c>
      <c r="L829" s="125" t="s">
        <v>51</v>
      </c>
      <c r="M829" s="125" t="str">
        <f t="shared" si="1"/>
        <v/>
      </c>
      <c r="N829" s="125" t="str">
        <f t="shared" si="2"/>
        <v/>
      </c>
      <c r="O829" s="125"/>
      <c r="P829" s="125"/>
      <c r="Q829" s="125"/>
      <c r="R829" s="125"/>
      <c r="S829" s="628">
        <f t="shared" si="3"/>
        <v>0</v>
      </c>
      <c r="T829" s="627" t="s">
        <v>51</v>
      </c>
      <c r="U829" s="627" t="s">
        <v>51</v>
      </c>
      <c r="V829" s="627" t="s">
        <v>51</v>
      </c>
      <c r="W829" s="627" t="s">
        <v>51</v>
      </c>
      <c r="X829" s="627" t="s">
        <v>51</v>
      </c>
      <c r="Y829" s="89"/>
    </row>
    <row r="830" ht="22.5" customHeight="1">
      <c r="A830" s="125"/>
      <c r="B830" s="125"/>
      <c r="C830" s="125"/>
      <c r="D830" s="125"/>
      <c r="E830" s="125"/>
      <c r="F830" s="125"/>
      <c r="G830" s="125"/>
      <c r="H830" s="125"/>
      <c r="I830" s="627" t="s">
        <v>51</v>
      </c>
      <c r="J830" s="125" t="s">
        <v>51</v>
      </c>
      <c r="K830" s="125" t="s">
        <v>51</v>
      </c>
      <c r="L830" s="125" t="s">
        <v>51</v>
      </c>
      <c r="M830" s="125" t="str">
        <f t="shared" si="1"/>
        <v/>
      </c>
      <c r="N830" s="125" t="str">
        <f t="shared" si="2"/>
        <v/>
      </c>
      <c r="O830" s="125"/>
      <c r="P830" s="125"/>
      <c r="Q830" s="125"/>
      <c r="R830" s="125"/>
      <c r="S830" s="628">
        <f t="shared" si="3"/>
        <v>0</v>
      </c>
      <c r="T830" s="627" t="s">
        <v>51</v>
      </c>
      <c r="U830" s="627" t="s">
        <v>51</v>
      </c>
      <c r="V830" s="627" t="s">
        <v>51</v>
      </c>
      <c r="W830" s="627" t="s">
        <v>51</v>
      </c>
      <c r="X830" s="627" t="s">
        <v>51</v>
      </c>
      <c r="Y830" s="89"/>
    </row>
    <row r="831" ht="22.5" customHeight="1">
      <c r="A831" s="125"/>
      <c r="B831" s="125"/>
      <c r="C831" s="125"/>
      <c r="D831" s="125"/>
      <c r="E831" s="125"/>
      <c r="F831" s="125"/>
      <c r="G831" s="125"/>
      <c r="H831" s="125"/>
      <c r="I831" s="627" t="s">
        <v>51</v>
      </c>
      <c r="J831" s="125" t="s">
        <v>51</v>
      </c>
      <c r="K831" s="125" t="s">
        <v>51</v>
      </c>
      <c r="L831" s="125" t="s">
        <v>51</v>
      </c>
      <c r="M831" s="125" t="str">
        <f t="shared" si="1"/>
        <v/>
      </c>
      <c r="N831" s="125" t="str">
        <f t="shared" si="2"/>
        <v/>
      </c>
      <c r="O831" s="125"/>
      <c r="P831" s="125"/>
      <c r="Q831" s="125"/>
      <c r="R831" s="125"/>
      <c r="S831" s="628">
        <f t="shared" si="3"/>
        <v>0</v>
      </c>
      <c r="T831" s="627" t="s">
        <v>51</v>
      </c>
      <c r="U831" s="627" t="s">
        <v>51</v>
      </c>
      <c r="V831" s="627" t="s">
        <v>51</v>
      </c>
      <c r="W831" s="627" t="s">
        <v>51</v>
      </c>
      <c r="X831" s="627" t="s">
        <v>51</v>
      </c>
      <c r="Y831" s="89"/>
    </row>
    <row r="832" ht="22.5" customHeight="1">
      <c r="A832" s="125"/>
      <c r="B832" s="125"/>
      <c r="C832" s="125"/>
      <c r="D832" s="125"/>
      <c r="E832" s="125"/>
      <c r="F832" s="125"/>
      <c r="G832" s="125"/>
      <c r="H832" s="125"/>
      <c r="I832" s="627" t="s">
        <v>51</v>
      </c>
      <c r="J832" s="125" t="s">
        <v>51</v>
      </c>
      <c r="K832" s="125" t="s">
        <v>51</v>
      </c>
      <c r="L832" s="125" t="s">
        <v>51</v>
      </c>
      <c r="M832" s="125" t="str">
        <f t="shared" si="1"/>
        <v/>
      </c>
      <c r="N832" s="125" t="str">
        <f t="shared" si="2"/>
        <v/>
      </c>
      <c r="O832" s="125"/>
      <c r="P832" s="125"/>
      <c r="Q832" s="125"/>
      <c r="R832" s="125"/>
      <c r="S832" s="628">
        <f t="shared" si="3"/>
        <v>0</v>
      </c>
      <c r="T832" s="627" t="s">
        <v>51</v>
      </c>
      <c r="U832" s="627" t="s">
        <v>51</v>
      </c>
      <c r="V832" s="627" t="s">
        <v>51</v>
      </c>
      <c r="W832" s="627" t="s">
        <v>51</v>
      </c>
      <c r="X832" s="627" t="s">
        <v>51</v>
      </c>
      <c r="Y832" s="89"/>
    </row>
    <row r="833" ht="22.5" customHeight="1">
      <c r="A833" s="125"/>
      <c r="B833" s="125"/>
      <c r="C833" s="125"/>
      <c r="D833" s="125"/>
      <c r="E833" s="125"/>
      <c r="F833" s="125"/>
      <c r="G833" s="125"/>
      <c r="H833" s="125"/>
      <c r="I833" s="627" t="s">
        <v>51</v>
      </c>
      <c r="J833" s="125" t="s">
        <v>51</v>
      </c>
      <c r="K833" s="125" t="s">
        <v>51</v>
      </c>
      <c r="L833" s="125" t="s">
        <v>51</v>
      </c>
      <c r="M833" s="125" t="str">
        <f t="shared" si="1"/>
        <v/>
      </c>
      <c r="N833" s="125" t="str">
        <f t="shared" si="2"/>
        <v/>
      </c>
      <c r="O833" s="125"/>
      <c r="P833" s="125"/>
      <c r="Q833" s="125"/>
      <c r="R833" s="125"/>
      <c r="S833" s="628">
        <f t="shared" si="3"/>
        <v>0</v>
      </c>
      <c r="T833" s="627" t="s">
        <v>51</v>
      </c>
      <c r="U833" s="627" t="s">
        <v>51</v>
      </c>
      <c r="V833" s="627" t="s">
        <v>51</v>
      </c>
      <c r="W833" s="627" t="s">
        <v>51</v>
      </c>
      <c r="X833" s="627" t="s">
        <v>51</v>
      </c>
      <c r="Y833" s="89"/>
    </row>
    <row r="834" ht="22.5" customHeight="1">
      <c r="A834" s="125"/>
      <c r="B834" s="125"/>
      <c r="C834" s="125"/>
      <c r="D834" s="125"/>
      <c r="E834" s="125"/>
      <c r="F834" s="125"/>
      <c r="G834" s="125"/>
      <c r="H834" s="125"/>
      <c r="I834" s="627" t="s">
        <v>51</v>
      </c>
      <c r="J834" s="125" t="s">
        <v>51</v>
      </c>
      <c r="K834" s="125" t="s">
        <v>51</v>
      </c>
      <c r="L834" s="125" t="s">
        <v>51</v>
      </c>
      <c r="M834" s="125" t="str">
        <f t="shared" si="1"/>
        <v/>
      </c>
      <c r="N834" s="125" t="str">
        <f t="shared" si="2"/>
        <v/>
      </c>
      <c r="O834" s="125"/>
      <c r="P834" s="125"/>
      <c r="Q834" s="125"/>
      <c r="R834" s="125"/>
      <c r="S834" s="628">
        <f t="shared" si="3"/>
        <v>0</v>
      </c>
      <c r="T834" s="627" t="s">
        <v>51</v>
      </c>
      <c r="U834" s="627" t="s">
        <v>51</v>
      </c>
      <c r="V834" s="627" t="s">
        <v>51</v>
      </c>
      <c r="W834" s="627" t="s">
        <v>51</v>
      </c>
      <c r="X834" s="627" t="s">
        <v>51</v>
      </c>
      <c r="Y834" s="89"/>
    </row>
    <row r="835" ht="22.5" customHeight="1">
      <c r="A835" s="125"/>
      <c r="B835" s="125"/>
      <c r="C835" s="125"/>
      <c r="D835" s="125"/>
      <c r="E835" s="125"/>
      <c r="F835" s="125"/>
      <c r="G835" s="125"/>
      <c r="H835" s="125"/>
      <c r="I835" s="627" t="s">
        <v>51</v>
      </c>
      <c r="J835" s="125" t="s">
        <v>51</v>
      </c>
      <c r="K835" s="125" t="s">
        <v>51</v>
      </c>
      <c r="L835" s="125" t="s">
        <v>51</v>
      </c>
      <c r="M835" s="125" t="str">
        <f t="shared" si="1"/>
        <v/>
      </c>
      <c r="N835" s="125" t="str">
        <f t="shared" si="2"/>
        <v/>
      </c>
      <c r="O835" s="125"/>
      <c r="P835" s="125"/>
      <c r="Q835" s="125"/>
      <c r="R835" s="125"/>
      <c r="S835" s="628">
        <f t="shared" si="3"/>
        <v>0</v>
      </c>
      <c r="T835" s="627" t="s">
        <v>51</v>
      </c>
      <c r="U835" s="627" t="s">
        <v>51</v>
      </c>
      <c r="V835" s="627" t="s">
        <v>51</v>
      </c>
      <c r="W835" s="627" t="s">
        <v>51</v>
      </c>
      <c r="X835" s="627" t="s">
        <v>51</v>
      </c>
      <c r="Y835" s="89"/>
    </row>
    <row r="836" ht="22.5" customHeight="1">
      <c r="A836" s="125"/>
      <c r="B836" s="125"/>
      <c r="C836" s="125"/>
      <c r="D836" s="125"/>
      <c r="E836" s="125"/>
      <c r="F836" s="125"/>
      <c r="G836" s="125"/>
      <c r="H836" s="125"/>
      <c r="I836" s="627" t="s">
        <v>51</v>
      </c>
      <c r="J836" s="125" t="s">
        <v>51</v>
      </c>
      <c r="K836" s="125" t="s">
        <v>51</v>
      </c>
      <c r="L836" s="125" t="s">
        <v>51</v>
      </c>
      <c r="M836" s="125" t="str">
        <f t="shared" si="1"/>
        <v/>
      </c>
      <c r="N836" s="125" t="str">
        <f t="shared" si="2"/>
        <v/>
      </c>
      <c r="O836" s="125"/>
      <c r="P836" s="125"/>
      <c r="Q836" s="125"/>
      <c r="R836" s="125"/>
      <c r="S836" s="628">
        <f t="shared" si="3"/>
        <v>0</v>
      </c>
      <c r="T836" s="627" t="s">
        <v>51</v>
      </c>
      <c r="U836" s="627" t="s">
        <v>51</v>
      </c>
      <c r="V836" s="627" t="s">
        <v>51</v>
      </c>
      <c r="W836" s="627" t="s">
        <v>51</v>
      </c>
      <c r="X836" s="627" t="s">
        <v>51</v>
      </c>
      <c r="Y836" s="89"/>
    </row>
    <row r="837" ht="22.5" customHeight="1">
      <c r="A837" s="125"/>
      <c r="B837" s="125"/>
      <c r="C837" s="125"/>
      <c r="D837" s="125"/>
      <c r="E837" s="125"/>
      <c r="F837" s="125"/>
      <c r="G837" s="125"/>
      <c r="H837" s="125"/>
      <c r="I837" s="627" t="s">
        <v>51</v>
      </c>
      <c r="J837" s="125" t="s">
        <v>51</v>
      </c>
      <c r="K837" s="125" t="s">
        <v>51</v>
      </c>
      <c r="L837" s="125" t="s">
        <v>51</v>
      </c>
      <c r="M837" s="125" t="str">
        <f t="shared" si="1"/>
        <v/>
      </c>
      <c r="N837" s="125" t="str">
        <f t="shared" si="2"/>
        <v/>
      </c>
      <c r="O837" s="125"/>
      <c r="P837" s="125"/>
      <c r="Q837" s="125"/>
      <c r="R837" s="125"/>
      <c r="S837" s="628">
        <f t="shared" si="3"/>
        <v>0</v>
      </c>
      <c r="T837" s="627" t="s">
        <v>51</v>
      </c>
      <c r="U837" s="627" t="s">
        <v>51</v>
      </c>
      <c r="V837" s="627" t="s">
        <v>51</v>
      </c>
      <c r="W837" s="627" t="s">
        <v>51</v>
      </c>
      <c r="X837" s="627" t="s">
        <v>51</v>
      </c>
      <c r="Y837" s="89"/>
    </row>
    <row r="838" ht="22.5" customHeight="1">
      <c r="A838" s="125"/>
      <c r="B838" s="125"/>
      <c r="C838" s="125"/>
      <c r="D838" s="125"/>
      <c r="E838" s="125"/>
      <c r="F838" s="125"/>
      <c r="G838" s="125"/>
      <c r="H838" s="125"/>
      <c r="I838" s="627" t="s">
        <v>51</v>
      </c>
      <c r="J838" s="125" t="s">
        <v>51</v>
      </c>
      <c r="K838" s="125" t="s">
        <v>51</v>
      </c>
      <c r="L838" s="125" t="s">
        <v>51</v>
      </c>
      <c r="M838" s="125" t="str">
        <f t="shared" si="1"/>
        <v/>
      </c>
      <c r="N838" s="125" t="str">
        <f t="shared" si="2"/>
        <v/>
      </c>
      <c r="O838" s="125"/>
      <c r="P838" s="125"/>
      <c r="Q838" s="125"/>
      <c r="R838" s="125"/>
      <c r="S838" s="628">
        <f t="shared" si="3"/>
        <v>0</v>
      </c>
      <c r="T838" s="627" t="s">
        <v>51</v>
      </c>
      <c r="U838" s="627" t="s">
        <v>51</v>
      </c>
      <c r="V838" s="627" t="s">
        <v>51</v>
      </c>
      <c r="W838" s="627" t="s">
        <v>51</v>
      </c>
      <c r="X838" s="627" t="s">
        <v>51</v>
      </c>
      <c r="Y838" s="89"/>
    </row>
    <row r="839" ht="22.5" customHeight="1">
      <c r="A839" s="125"/>
      <c r="B839" s="125"/>
      <c r="C839" s="125"/>
      <c r="D839" s="125"/>
      <c r="E839" s="125"/>
      <c r="F839" s="125"/>
      <c r="G839" s="125"/>
      <c r="H839" s="125"/>
      <c r="I839" s="627" t="s">
        <v>51</v>
      </c>
      <c r="J839" s="125" t="s">
        <v>51</v>
      </c>
      <c r="K839" s="125" t="s">
        <v>51</v>
      </c>
      <c r="L839" s="125" t="s">
        <v>51</v>
      </c>
      <c r="M839" s="125" t="str">
        <f t="shared" si="1"/>
        <v/>
      </c>
      <c r="N839" s="125" t="str">
        <f t="shared" si="2"/>
        <v/>
      </c>
      <c r="O839" s="125"/>
      <c r="P839" s="125"/>
      <c r="Q839" s="125"/>
      <c r="R839" s="125"/>
      <c r="S839" s="628">
        <f t="shared" si="3"/>
        <v>0</v>
      </c>
      <c r="T839" s="627" t="s">
        <v>51</v>
      </c>
      <c r="U839" s="627" t="s">
        <v>51</v>
      </c>
      <c r="V839" s="627" t="s">
        <v>51</v>
      </c>
      <c r="W839" s="627" t="s">
        <v>51</v>
      </c>
      <c r="X839" s="627" t="s">
        <v>51</v>
      </c>
      <c r="Y839" s="89"/>
    </row>
    <row r="840" ht="22.5" customHeight="1">
      <c r="A840" s="125"/>
      <c r="B840" s="125"/>
      <c r="C840" s="125"/>
      <c r="D840" s="125"/>
      <c r="E840" s="125"/>
      <c r="F840" s="125"/>
      <c r="G840" s="125"/>
      <c r="H840" s="125"/>
      <c r="I840" s="627" t="s">
        <v>51</v>
      </c>
      <c r="J840" s="125" t="s">
        <v>51</v>
      </c>
      <c r="K840" s="125" t="s">
        <v>51</v>
      </c>
      <c r="L840" s="125" t="s">
        <v>51</v>
      </c>
      <c r="M840" s="125" t="str">
        <f t="shared" si="1"/>
        <v/>
      </c>
      <c r="N840" s="125" t="str">
        <f t="shared" si="2"/>
        <v/>
      </c>
      <c r="O840" s="125"/>
      <c r="P840" s="125"/>
      <c r="Q840" s="125"/>
      <c r="R840" s="125"/>
      <c r="S840" s="628">
        <f t="shared" si="3"/>
        <v>0</v>
      </c>
      <c r="T840" s="627" t="s">
        <v>51</v>
      </c>
      <c r="U840" s="627" t="s">
        <v>51</v>
      </c>
      <c r="V840" s="627" t="s">
        <v>51</v>
      </c>
      <c r="W840" s="627" t="s">
        <v>51</v>
      </c>
      <c r="X840" s="627" t="s">
        <v>51</v>
      </c>
      <c r="Y840" s="89"/>
    </row>
    <row r="841" ht="22.5" customHeight="1">
      <c r="A841" s="125"/>
      <c r="B841" s="125"/>
      <c r="C841" s="125"/>
      <c r="D841" s="125"/>
      <c r="E841" s="125"/>
      <c r="F841" s="125"/>
      <c r="G841" s="125"/>
      <c r="H841" s="125"/>
      <c r="I841" s="627" t="s">
        <v>51</v>
      </c>
      <c r="J841" s="125" t="s">
        <v>51</v>
      </c>
      <c r="K841" s="125" t="s">
        <v>51</v>
      </c>
      <c r="L841" s="125" t="s">
        <v>51</v>
      </c>
      <c r="M841" s="125" t="str">
        <f t="shared" si="1"/>
        <v/>
      </c>
      <c r="N841" s="125" t="str">
        <f t="shared" si="2"/>
        <v/>
      </c>
      <c r="O841" s="125"/>
      <c r="P841" s="125"/>
      <c r="Q841" s="125"/>
      <c r="R841" s="125"/>
      <c r="S841" s="628">
        <f t="shared" si="3"/>
        <v>0</v>
      </c>
      <c r="T841" s="627" t="s">
        <v>51</v>
      </c>
      <c r="U841" s="627" t="s">
        <v>51</v>
      </c>
      <c r="V841" s="627" t="s">
        <v>51</v>
      </c>
      <c r="W841" s="627" t="s">
        <v>51</v>
      </c>
      <c r="X841" s="627" t="s">
        <v>51</v>
      </c>
      <c r="Y841" s="89"/>
    </row>
    <row r="842" ht="22.5" customHeight="1">
      <c r="A842" s="125"/>
      <c r="B842" s="125"/>
      <c r="C842" s="125"/>
      <c r="D842" s="125"/>
      <c r="E842" s="125"/>
      <c r="F842" s="125"/>
      <c r="G842" s="125"/>
      <c r="H842" s="125"/>
      <c r="I842" s="627" t="s">
        <v>51</v>
      </c>
      <c r="J842" s="125" t="s">
        <v>51</v>
      </c>
      <c r="K842" s="125" t="s">
        <v>51</v>
      </c>
      <c r="L842" s="125" t="s">
        <v>51</v>
      </c>
      <c r="M842" s="125" t="str">
        <f t="shared" si="1"/>
        <v/>
      </c>
      <c r="N842" s="125" t="str">
        <f t="shared" si="2"/>
        <v/>
      </c>
      <c r="O842" s="125"/>
      <c r="P842" s="125"/>
      <c r="Q842" s="125"/>
      <c r="R842" s="125"/>
      <c r="S842" s="628">
        <f t="shared" si="3"/>
        <v>0</v>
      </c>
      <c r="T842" s="627" t="s">
        <v>51</v>
      </c>
      <c r="U842" s="627" t="s">
        <v>51</v>
      </c>
      <c r="V842" s="627" t="s">
        <v>51</v>
      </c>
      <c r="W842" s="627" t="s">
        <v>51</v>
      </c>
      <c r="X842" s="627" t="s">
        <v>51</v>
      </c>
      <c r="Y842" s="89"/>
    </row>
    <row r="843" ht="22.5" customHeight="1">
      <c r="A843" s="125"/>
      <c r="B843" s="125"/>
      <c r="C843" s="125"/>
      <c r="D843" s="125"/>
      <c r="E843" s="125"/>
      <c r="F843" s="125"/>
      <c r="G843" s="125"/>
      <c r="H843" s="125"/>
      <c r="I843" s="627" t="s">
        <v>51</v>
      </c>
      <c r="J843" s="125" t="s">
        <v>51</v>
      </c>
      <c r="K843" s="125" t="s">
        <v>51</v>
      </c>
      <c r="L843" s="125" t="s">
        <v>51</v>
      </c>
      <c r="M843" s="125" t="str">
        <f t="shared" si="1"/>
        <v/>
      </c>
      <c r="N843" s="125" t="str">
        <f t="shared" si="2"/>
        <v/>
      </c>
      <c r="O843" s="125"/>
      <c r="P843" s="125"/>
      <c r="Q843" s="125"/>
      <c r="R843" s="125"/>
      <c r="S843" s="628">
        <f t="shared" si="3"/>
        <v>0</v>
      </c>
      <c r="T843" s="627" t="s">
        <v>51</v>
      </c>
      <c r="U843" s="627" t="s">
        <v>51</v>
      </c>
      <c r="V843" s="627" t="s">
        <v>51</v>
      </c>
      <c r="W843" s="627" t="s">
        <v>51</v>
      </c>
      <c r="X843" s="627" t="s">
        <v>51</v>
      </c>
      <c r="Y843" s="89"/>
    </row>
    <row r="844" ht="22.5" customHeight="1">
      <c r="A844" s="125"/>
      <c r="B844" s="125"/>
      <c r="C844" s="125"/>
      <c r="D844" s="125"/>
      <c r="E844" s="125"/>
      <c r="F844" s="125"/>
      <c r="G844" s="125"/>
      <c r="H844" s="125"/>
      <c r="I844" s="627" t="s">
        <v>51</v>
      </c>
      <c r="J844" s="125" t="s">
        <v>51</v>
      </c>
      <c r="K844" s="125" t="s">
        <v>51</v>
      </c>
      <c r="L844" s="125" t="s">
        <v>51</v>
      </c>
      <c r="M844" s="125" t="str">
        <f t="shared" si="1"/>
        <v/>
      </c>
      <c r="N844" s="125" t="str">
        <f t="shared" si="2"/>
        <v/>
      </c>
      <c r="O844" s="125"/>
      <c r="P844" s="125"/>
      <c r="Q844" s="125"/>
      <c r="R844" s="125"/>
      <c r="S844" s="628">
        <f t="shared" si="3"/>
        <v>0</v>
      </c>
      <c r="T844" s="627" t="s">
        <v>51</v>
      </c>
      <c r="U844" s="627" t="s">
        <v>51</v>
      </c>
      <c r="V844" s="627" t="s">
        <v>51</v>
      </c>
      <c r="W844" s="627" t="s">
        <v>51</v>
      </c>
      <c r="X844" s="627" t="s">
        <v>51</v>
      </c>
      <c r="Y844" s="89"/>
    </row>
    <row r="845" ht="22.5" customHeight="1">
      <c r="A845" s="125"/>
      <c r="B845" s="125"/>
      <c r="C845" s="125"/>
      <c r="D845" s="125"/>
      <c r="E845" s="125"/>
      <c r="F845" s="125"/>
      <c r="G845" s="125"/>
      <c r="H845" s="125"/>
      <c r="I845" s="627" t="s">
        <v>51</v>
      </c>
      <c r="J845" s="125" t="s">
        <v>51</v>
      </c>
      <c r="K845" s="125" t="s">
        <v>51</v>
      </c>
      <c r="L845" s="125" t="s">
        <v>51</v>
      </c>
      <c r="M845" s="125" t="str">
        <f t="shared" si="1"/>
        <v/>
      </c>
      <c r="N845" s="125" t="str">
        <f t="shared" si="2"/>
        <v/>
      </c>
      <c r="O845" s="125"/>
      <c r="P845" s="125"/>
      <c r="Q845" s="125"/>
      <c r="R845" s="125"/>
      <c r="S845" s="628">
        <f t="shared" si="3"/>
        <v>0</v>
      </c>
      <c r="T845" s="627" t="s">
        <v>51</v>
      </c>
      <c r="U845" s="627" t="s">
        <v>51</v>
      </c>
      <c r="V845" s="627" t="s">
        <v>51</v>
      </c>
      <c r="W845" s="627" t="s">
        <v>51</v>
      </c>
      <c r="X845" s="627" t="s">
        <v>51</v>
      </c>
      <c r="Y845" s="89"/>
    </row>
    <row r="846" ht="22.5" customHeight="1">
      <c r="A846" s="125"/>
      <c r="B846" s="125"/>
      <c r="C846" s="125"/>
      <c r="D846" s="125"/>
      <c r="E846" s="125"/>
      <c r="F846" s="125"/>
      <c r="G846" s="125"/>
      <c r="H846" s="125"/>
      <c r="I846" s="627" t="s">
        <v>51</v>
      </c>
      <c r="J846" s="125" t="s">
        <v>51</v>
      </c>
      <c r="K846" s="125" t="s">
        <v>51</v>
      </c>
      <c r="L846" s="125" t="s">
        <v>51</v>
      </c>
      <c r="M846" s="125" t="str">
        <f t="shared" si="1"/>
        <v/>
      </c>
      <c r="N846" s="125" t="str">
        <f t="shared" si="2"/>
        <v/>
      </c>
      <c r="O846" s="125"/>
      <c r="P846" s="125"/>
      <c r="Q846" s="125"/>
      <c r="R846" s="125"/>
      <c r="S846" s="628">
        <f t="shared" si="3"/>
        <v>0</v>
      </c>
      <c r="T846" s="627" t="s">
        <v>51</v>
      </c>
      <c r="U846" s="627" t="s">
        <v>51</v>
      </c>
      <c r="V846" s="627" t="s">
        <v>51</v>
      </c>
      <c r="W846" s="627" t="s">
        <v>51</v>
      </c>
      <c r="X846" s="627" t="s">
        <v>51</v>
      </c>
      <c r="Y846" s="89"/>
    </row>
    <row r="847" ht="22.5" customHeight="1">
      <c r="A847" s="125"/>
      <c r="B847" s="125"/>
      <c r="C847" s="125"/>
      <c r="D847" s="125"/>
      <c r="E847" s="125"/>
      <c r="F847" s="125"/>
      <c r="G847" s="125"/>
      <c r="H847" s="125"/>
      <c r="I847" s="627" t="s">
        <v>51</v>
      </c>
      <c r="J847" s="125" t="s">
        <v>51</v>
      </c>
      <c r="K847" s="125" t="s">
        <v>51</v>
      </c>
      <c r="L847" s="125" t="s">
        <v>51</v>
      </c>
      <c r="M847" s="125" t="str">
        <f t="shared" si="1"/>
        <v/>
      </c>
      <c r="N847" s="125" t="str">
        <f t="shared" si="2"/>
        <v/>
      </c>
      <c r="O847" s="125"/>
      <c r="P847" s="125"/>
      <c r="Q847" s="125"/>
      <c r="R847" s="125"/>
      <c r="S847" s="628">
        <f t="shared" si="3"/>
        <v>0</v>
      </c>
      <c r="T847" s="627" t="s">
        <v>51</v>
      </c>
      <c r="U847" s="627" t="s">
        <v>51</v>
      </c>
      <c r="V847" s="627" t="s">
        <v>51</v>
      </c>
      <c r="W847" s="627" t="s">
        <v>51</v>
      </c>
      <c r="X847" s="627" t="s">
        <v>51</v>
      </c>
      <c r="Y847" s="89"/>
    </row>
    <row r="848" ht="22.5" customHeight="1">
      <c r="A848" s="125"/>
      <c r="B848" s="125"/>
      <c r="C848" s="125"/>
      <c r="D848" s="125"/>
      <c r="E848" s="125"/>
      <c r="F848" s="125"/>
      <c r="G848" s="125"/>
      <c r="H848" s="125"/>
      <c r="I848" s="627" t="s">
        <v>51</v>
      </c>
      <c r="J848" s="125" t="s">
        <v>51</v>
      </c>
      <c r="K848" s="125" t="s">
        <v>51</v>
      </c>
      <c r="L848" s="125" t="s">
        <v>51</v>
      </c>
      <c r="M848" s="125" t="str">
        <f t="shared" si="1"/>
        <v/>
      </c>
      <c r="N848" s="125" t="str">
        <f t="shared" si="2"/>
        <v/>
      </c>
      <c r="O848" s="125"/>
      <c r="P848" s="125"/>
      <c r="Q848" s="125"/>
      <c r="R848" s="125"/>
      <c r="S848" s="628">
        <f t="shared" si="3"/>
        <v>0</v>
      </c>
      <c r="T848" s="627" t="s">
        <v>51</v>
      </c>
      <c r="U848" s="627" t="s">
        <v>51</v>
      </c>
      <c r="V848" s="627" t="s">
        <v>51</v>
      </c>
      <c r="W848" s="627" t="s">
        <v>51</v>
      </c>
      <c r="X848" s="627" t="s">
        <v>51</v>
      </c>
      <c r="Y848" s="89"/>
    </row>
    <row r="849" ht="22.5" customHeight="1">
      <c r="A849" s="125"/>
      <c r="B849" s="125"/>
      <c r="C849" s="125"/>
      <c r="D849" s="125"/>
      <c r="E849" s="125"/>
      <c r="F849" s="125"/>
      <c r="G849" s="125"/>
      <c r="H849" s="125"/>
      <c r="I849" s="627" t="s">
        <v>51</v>
      </c>
      <c r="J849" s="125" t="s">
        <v>51</v>
      </c>
      <c r="K849" s="125" t="s">
        <v>51</v>
      </c>
      <c r="L849" s="125" t="s">
        <v>51</v>
      </c>
      <c r="M849" s="125" t="str">
        <f t="shared" si="1"/>
        <v/>
      </c>
      <c r="N849" s="125" t="str">
        <f t="shared" si="2"/>
        <v/>
      </c>
      <c r="O849" s="125"/>
      <c r="P849" s="125"/>
      <c r="Q849" s="125"/>
      <c r="R849" s="125"/>
      <c r="S849" s="628">
        <f t="shared" si="3"/>
        <v>0</v>
      </c>
      <c r="T849" s="627" t="s">
        <v>51</v>
      </c>
      <c r="U849" s="627" t="s">
        <v>51</v>
      </c>
      <c r="V849" s="627" t="s">
        <v>51</v>
      </c>
      <c r="W849" s="627" t="s">
        <v>51</v>
      </c>
      <c r="X849" s="627" t="s">
        <v>51</v>
      </c>
      <c r="Y849" s="89"/>
    </row>
    <row r="850" ht="22.5" customHeight="1">
      <c r="A850" s="125"/>
      <c r="B850" s="125"/>
      <c r="C850" s="125"/>
      <c r="D850" s="125"/>
      <c r="E850" s="125"/>
      <c r="F850" s="125"/>
      <c r="G850" s="125"/>
      <c r="H850" s="125"/>
      <c r="I850" s="627" t="s">
        <v>51</v>
      </c>
      <c r="J850" s="125" t="s">
        <v>51</v>
      </c>
      <c r="K850" s="125" t="s">
        <v>51</v>
      </c>
      <c r="L850" s="125" t="s">
        <v>51</v>
      </c>
      <c r="M850" s="125" t="str">
        <f t="shared" si="1"/>
        <v/>
      </c>
      <c r="N850" s="125" t="str">
        <f t="shared" si="2"/>
        <v/>
      </c>
      <c r="O850" s="125"/>
      <c r="P850" s="125"/>
      <c r="Q850" s="125"/>
      <c r="R850" s="125"/>
      <c r="S850" s="628">
        <f t="shared" si="3"/>
        <v>0</v>
      </c>
      <c r="T850" s="627" t="s">
        <v>51</v>
      </c>
      <c r="U850" s="627" t="s">
        <v>51</v>
      </c>
      <c r="V850" s="627" t="s">
        <v>51</v>
      </c>
      <c r="W850" s="627" t="s">
        <v>51</v>
      </c>
      <c r="X850" s="627" t="s">
        <v>51</v>
      </c>
      <c r="Y850" s="89"/>
    </row>
    <row r="851" ht="22.5" customHeight="1">
      <c r="A851" s="125"/>
      <c r="B851" s="125"/>
      <c r="C851" s="125"/>
      <c r="D851" s="125"/>
      <c r="E851" s="125"/>
      <c r="F851" s="125"/>
      <c r="G851" s="125"/>
      <c r="H851" s="125"/>
      <c r="I851" s="627" t="s">
        <v>51</v>
      </c>
      <c r="J851" s="125" t="s">
        <v>51</v>
      </c>
      <c r="K851" s="125" t="s">
        <v>51</v>
      </c>
      <c r="L851" s="125" t="s">
        <v>51</v>
      </c>
      <c r="M851" s="125" t="str">
        <f t="shared" si="1"/>
        <v/>
      </c>
      <c r="N851" s="125" t="str">
        <f t="shared" si="2"/>
        <v/>
      </c>
      <c r="O851" s="125"/>
      <c r="P851" s="125"/>
      <c r="Q851" s="125"/>
      <c r="R851" s="125"/>
      <c r="S851" s="628">
        <f t="shared" si="3"/>
        <v>0</v>
      </c>
      <c r="T851" s="627" t="s">
        <v>51</v>
      </c>
      <c r="U851" s="627" t="s">
        <v>51</v>
      </c>
      <c r="V851" s="627" t="s">
        <v>51</v>
      </c>
      <c r="W851" s="627" t="s">
        <v>51</v>
      </c>
      <c r="X851" s="627" t="s">
        <v>51</v>
      </c>
      <c r="Y851" s="89"/>
    </row>
    <row r="852" ht="22.5" customHeight="1">
      <c r="A852" s="125"/>
      <c r="B852" s="125"/>
      <c r="C852" s="125"/>
      <c r="D852" s="125"/>
      <c r="E852" s="125"/>
      <c r="F852" s="125"/>
      <c r="G852" s="125"/>
      <c r="H852" s="125"/>
      <c r="I852" s="627" t="s">
        <v>51</v>
      </c>
      <c r="J852" s="125" t="s">
        <v>51</v>
      </c>
      <c r="K852" s="125" t="s">
        <v>51</v>
      </c>
      <c r="L852" s="125" t="s">
        <v>51</v>
      </c>
      <c r="M852" s="125" t="str">
        <f t="shared" si="1"/>
        <v/>
      </c>
      <c r="N852" s="125" t="str">
        <f t="shared" si="2"/>
        <v/>
      </c>
      <c r="O852" s="125"/>
      <c r="P852" s="125"/>
      <c r="Q852" s="125"/>
      <c r="R852" s="125"/>
      <c r="S852" s="628">
        <f t="shared" si="3"/>
        <v>0</v>
      </c>
      <c r="T852" s="627" t="s">
        <v>51</v>
      </c>
      <c r="U852" s="627" t="s">
        <v>51</v>
      </c>
      <c r="V852" s="627" t="s">
        <v>51</v>
      </c>
      <c r="W852" s="627" t="s">
        <v>51</v>
      </c>
      <c r="X852" s="627" t="s">
        <v>51</v>
      </c>
      <c r="Y852" s="89"/>
    </row>
    <row r="853" ht="22.5" customHeight="1">
      <c r="A853" s="125"/>
      <c r="B853" s="125"/>
      <c r="C853" s="125"/>
      <c r="D853" s="125"/>
      <c r="E853" s="125"/>
      <c r="F853" s="125"/>
      <c r="G853" s="125"/>
      <c r="H853" s="125"/>
      <c r="I853" s="627" t="s">
        <v>51</v>
      </c>
      <c r="J853" s="125" t="s">
        <v>51</v>
      </c>
      <c r="K853" s="125" t="s">
        <v>51</v>
      </c>
      <c r="L853" s="125" t="s">
        <v>51</v>
      </c>
      <c r="M853" s="125" t="str">
        <f t="shared" si="1"/>
        <v/>
      </c>
      <c r="N853" s="125" t="str">
        <f t="shared" si="2"/>
        <v/>
      </c>
      <c r="O853" s="125"/>
      <c r="P853" s="125"/>
      <c r="Q853" s="125"/>
      <c r="R853" s="125"/>
      <c r="S853" s="628">
        <f t="shared" si="3"/>
        <v>0</v>
      </c>
      <c r="T853" s="627" t="s">
        <v>51</v>
      </c>
      <c r="U853" s="627" t="s">
        <v>51</v>
      </c>
      <c r="V853" s="627" t="s">
        <v>51</v>
      </c>
      <c r="W853" s="627" t="s">
        <v>51</v>
      </c>
      <c r="X853" s="627" t="s">
        <v>51</v>
      </c>
      <c r="Y853" s="89"/>
    </row>
    <row r="854" ht="22.5" customHeight="1">
      <c r="A854" s="125"/>
      <c r="B854" s="125"/>
      <c r="C854" s="125"/>
      <c r="D854" s="125"/>
      <c r="E854" s="125"/>
      <c r="F854" s="125"/>
      <c r="G854" s="125"/>
      <c r="H854" s="125"/>
      <c r="I854" s="627" t="s">
        <v>51</v>
      </c>
      <c r="J854" s="125" t="s">
        <v>51</v>
      </c>
      <c r="K854" s="125" t="s">
        <v>51</v>
      </c>
      <c r="L854" s="125" t="s">
        <v>51</v>
      </c>
      <c r="M854" s="125" t="str">
        <f t="shared" si="1"/>
        <v/>
      </c>
      <c r="N854" s="125" t="str">
        <f t="shared" si="2"/>
        <v/>
      </c>
      <c r="O854" s="125"/>
      <c r="P854" s="125"/>
      <c r="Q854" s="125"/>
      <c r="R854" s="125"/>
      <c r="S854" s="628">
        <f t="shared" si="3"/>
        <v>0</v>
      </c>
      <c r="T854" s="627" t="s">
        <v>51</v>
      </c>
      <c r="U854" s="627" t="s">
        <v>51</v>
      </c>
      <c r="V854" s="627" t="s">
        <v>51</v>
      </c>
      <c r="W854" s="627" t="s">
        <v>51</v>
      </c>
      <c r="X854" s="627" t="s">
        <v>51</v>
      </c>
      <c r="Y854" s="89"/>
    </row>
    <row r="855" ht="22.5" customHeight="1">
      <c r="A855" s="223"/>
      <c r="B855" s="125"/>
      <c r="C855" s="125"/>
      <c r="D855" s="125"/>
      <c r="E855" s="125"/>
      <c r="F855" s="125"/>
      <c r="G855" s="125"/>
      <c r="H855" s="125"/>
      <c r="I855" s="627" t="s">
        <v>51</v>
      </c>
      <c r="J855" s="125" t="s">
        <v>51</v>
      </c>
      <c r="K855" s="125" t="s">
        <v>51</v>
      </c>
      <c r="L855" s="125" t="s">
        <v>51</v>
      </c>
      <c r="M855" s="125" t="str">
        <f t="shared" si="1"/>
        <v/>
      </c>
      <c r="N855" s="125" t="str">
        <f t="shared" si="2"/>
        <v/>
      </c>
      <c r="O855" s="125"/>
      <c r="P855" s="125"/>
      <c r="Q855" s="125"/>
      <c r="R855" s="125"/>
      <c r="S855" s="628">
        <f t="shared" si="3"/>
        <v>0</v>
      </c>
      <c r="T855" s="627" t="s">
        <v>51</v>
      </c>
      <c r="U855" s="627" t="s">
        <v>51</v>
      </c>
      <c r="V855" s="627" t="s">
        <v>51</v>
      </c>
      <c r="W855" s="627" t="s">
        <v>51</v>
      </c>
      <c r="X855" s="627" t="s">
        <v>51</v>
      </c>
      <c r="Y855" s="89"/>
    </row>
    <row r="856" ht="22.5" customHeight="1">
      <c r="A856" s="223"/>
      <c r="B856" s="125"/>
      <c r="C856" s="125"/>
      <c r="D856" s="125"/>
      <c r="E856" s="125"/>
      <c r="F856" s="125"/>
      <c r="G856" s="125"/>
      <c r="H856" s="125"/>
      <c r="I856" s="627" t="s">
        <v>51</v>
      </c>
      <c r="J856" s="125" t="s">
        <v>51</v>
      </c>
      <c r="K856" s="125" t="s">
        <v>51</v>
      </c>
      <c r="L856" s="125" t="s">
        <v>51</v>
      </c>
      <c r="M856" s="125" t="str">
        <f t="shared" si="1"/>
        <v/>
      </c>
      <c r="N856" s="125" t="str">
        <f t="shared" si="2"/>
        <v/>
      </c>
      <c r="O856" s="125"/>
      <c r="P856" s="125"/>
      <c r="Q856" s="125"/>
      <c r="R856" s="125"/>
      <c r="S856" s="628">
        <f t="shared" si="3"/>
        <v>0</v>
      </c>
      <c r="T856" s="627" t="s">
        <v>51</v>
      </c>
      <c r="U856" s="627" t="s">
        <v>51</v>
      </c>
      <c r="V856" s="627" t="s">
        <v>51</v>
      </c>
      <c r="W856" s="627" t="s">
        <v>51</v>
      </c>
      <c r="X856" s="627" t="s">
        <v>51</v>
      </c>
      <c r="Y856" s="89"/>
    </row>
    <row r="857" ht="22.5" customHeight="1">
      <c r="A857" s="223"/>
      <c r="B857" s="125"/>
      <c r="C857" s="125"/>
      <c r="D857" s="125"/>
      <c r="E857" s="125"/>
      <c r="F857" s="125"/>
      <c r="G857" s="125"/>
      <c r="H857" s="125"/>
      <c r="I857" s="627" t="s">
        <v>51</v>
      </c>
      <c r="J857" s="125" t="s">
        <v>51</v>
      </c>
      <c r="K857" s="125" t="s">
        <v>51</v>
      </c>
      <c r="L857" s="125" t="s">
        <v>51</v>
      </c>
      <c r="M857" s="125" t="str">
        <f t="shared" si="1"/>
        <v/>
      </c>
      <c r="N857" s="125" t="str">
        <f t="shared" si="2"/>
        <v/>
      </c>
      <c r="O857" s="125"/>
      <c r="P857" s="125"/>
      <c r="Q857" s="125"/>
      <c r="R857" s="125"/>
      <c r="S857" s="628">
        <f t="shared" si="3"/>
        <v>0</v>
      </c>
      <c r="T857" s="627" t="s">
        <v>51</v>
      </c>
      <c r="U857" s="627" t="s">
        <v>51</v>
      </c>
      <c r="V857" s="627" t="s">
        <v>51</v>
      </c>
      <c r="W857" s="627" t="s">
        <v>51</v>
      </c>
      <c r="X857" s="627" t="s">
        <v>51</v>
      </c>
      <c r="Y857" s="89"/>
    </row>
    <row r="858" ht="22.5" customHeight="1">
      <c r="A858" s="223"/>
      <c r="B858" s="125"/>
      <c r="C858" s="125"/>
      <c r="D858" s="125"/>
      <c r="E858" s="125"/>
      <c r="F858" s="125"/>
      <c r="G858" s="125"/>
      <c r="H858" s="125"/>
      <c r="I858" s="627" t="s">
        <v>51</v>
      </c>
      <c r="J858" s="125" t="s">
        <v>51</v>
      </c>
      <c r="K858" s="125" t="s">
        <v>51</v>
      </c>
      <c r="L858" s="125" t="s">
        <v>51</v>
      </c>
      <c r="M858" s="125" t="str">
        <f t="shared" si="1"/>
        <v/>
      </c>
      <c r="N858" s="125" t="str">
        <f t="shared" si="2"/>
        <v/>
      </c>
      <c r="O858" s="125"/>
      <c r="P858" s="125"/>
      <c r="Q858" s="125"/>
      <c r="R858" s="125"/>
      <c r="S858" s="628">
        <f t="shared" si="3"/>
        <v>0</v>
      </c>
      <c r="T858" s="627" t="s">
        <v>51</v>
      </c>
      <c r="U858" s="627" t="s">
        <v>51</v>
      </c>
      <c r="V858" s="627" t="s">
        <v>51</v>
      </c>
      <c r="W858" s="627" t="s">
        <v>51</v>
      </c>
      <c r="X858" s="627" t="s">
        <v>51</v>
      </c>
      <c r="Y858" s="89"/>
    </row>
    <row r="859" ht="22.5" customHeight="1">
      <c r="A859" s="223"/>
      <c r="B859" s="125"/>
      <c r="C859" s="125"/>
      <c r="D859" s="125"/>
      <c r="E859" s="125"/>
      <c r="F859" s="125"/>
      <c r="G859" s="125"/>
      <c r="H859" s="125"/>
      <c r="I859" s="627" t="s">
        <v>51</v>
      </c>
      <c r="J859" s="125" t="s">
        <v>51</v>
      </c>
      <c r="K859" s="125" t="s">
        <v>51</v>
      </c>
      <c r="L859" s="125" t="s">
        <v>51</v>
      </c>
      <c r="M859" s="125" t="str">
        <f t="shared" si="1"/>
        <v/>
      </c>
      <c r="N859" s="125" t="str">
        <f t="shared" si="2"/>
        <v/>
      </c>
      <c r="O859" s="125"/>
      <c r="P859" s="125"/>
      <c r="Q859" s="125"/>
      <c r="R859" s="125"/>
      <c r="S859" s="628">
        <f t="shared" si="3"/>
        <v>0</v>
      </c>
      <c r="T859" s="627" t="s">
        <v>51</v>
      </c>
      <c r="U859" s="627" t="s">
        <v>51</v>
      </c>
      <c r="V859" s="627" t="s">
        <v>51</v>
      </c>
      <c r="W859" s="627" t="s">
        <v>51</v>
      </c>
      <c r="X859" s="627" t="s">
        <v>51</v>
      </c>
      <c r="Y859" s="89"/>
    </row>
    <row r="860" ht="22.5" customHeight="1">
      <c r="A860" s="223"/>
      <c r="B860" s="125"/>
      <c r="C860" s="125"/>
      <c r="D860" s="125"/>
      <c r="E860" s="125"/>
      <c r="F860" s="125"/>
      <c r="G860" s="125"/>
      <c r="H860" s="125"/>
      <c r="I860" s="627" t="s">
        <v>51</v>
      </c>
      <c r="J860" s="125" t="s">
        <v>51</v>
      </c>
      <c r="K860" s="125" t="s">
        <v>51</v>
      </c>
      <c r="L860" s="125" t="s">
        <v>51</v>
      </c>
      <c r="M860" s="125" t="str">
        <f t="shared" si="1"/>
        <v/>
      </c>
      <c r="N860" s="125" t="str">
        <f t="shared" si="2"/>
        <v/>
      </c>
      <c r="O860" s="125"/>
      <c r="P860" s="125"/>
      <c r="Q860" s="125"/>
      <c r="R860" s="125"/>
      <c r="S860" s="628">
        <f t="shared" si="3"/>
        <v>0</v>
      </c>
      <c r="T860" s="627" t="s">
        <v>51</v>
      </c>
      <c r="U860" s="627" t="s">
        <v>51</v>
      </c>
      <c r="V860" s="627" t="s">
        <v>51</v>
      </c>
      <c r="W860" s="627" t="s">
        <v>51</v>
      </c>
      <c r="X860" s="627" t="s">
        <v>51</v>
      </c>
      <c r="Y860" s="89"/>
    </row>
    <row r="861" ht="22.5" customHeight="1">
      <c r="A861" s="223"/>
      <c r="B861" s="125"/>
      <c r="C861" s="125"/>
      <c r="D861" s="125"/>
      <c r="E861" s="125"/>
      <c r="F861" s="125"/>
      <c r="G861" s="125"/>
      <c r="H861" s="125"/>
      <c r="I861" s="627" t="s">
        <v>51</v>
      </c>
      <c r="J861" s="125" t="s">
        <v>51</v>
      </c>
      <c r="K861" s="125" t="s">
        <v>51</v>
      </c>
      <c r="L861" s="125" t="s">
        <v>51</v>
      </c>
      <c r="M861" s="125" t="str">
        <f t="shared" si="1"/>
        <v/>
      </c>
      <c r="N861" s="125" t="str">
        <f t="shared" si="2"/>
        <v/>
      </c>
      <c r="O861" s="125"/>
      <c r="P861" s="125"/>
      <c r="Q861" s="125"/>
      <c r="R861" s="125"/>
      <c r="S861" s="628">
        <f t="shared" si="3"/>
        <v>0</v>
      </c>
      <c r="T861" s="627" t="s">
        <v>51</v>
      </c>
      <c r="U861" s="627" t="s">
        <v>51</v>
      </c>
      <c r="V861" s="627" t="s">
        <v>51</v>
      </c>
      <c r="W861" s="627" t="s">
        <v>51</v>
      </c>
      <c r="X861" s="627" t="s">
        <v>51</v>
      </c>
      <c r="Y861" s="89"/>
    </row>
    <row r="862" ht="22.5" customHeight="1">
      <c r="A862" s="223"/>
      <c r="B862" s="125"/>
      <c r="C862" s="125"/>
      <c r="D862" s="125"/>
      <c r="E862" s="125"/>
      <c r="F862" s="125"/>
      <c r="G862" s="125"/>
      <c r="H862" s="125"/>
      <c r="I862" s="627" t="s">
        <v>51</v>
      </c>
      <c r="J862" s="125" t="s">
        <v>51</v>
      </c>
      <c r="K862" s="125" t="s">
        <v>51</v>
      </c>
      <c r="L862" s="125" t="s">
        <v>51</v>
      </c>
      <c r="M862" s="125" t="str">
        <f t="shared" si="1"/>
        <v/>
      </c>
      <c r="N862" s="125" t="str">
        <f t="shared" si="2"/>
        <v/>
      </c>
      <c r="O862" s="125"/>
      <c r="P862" s="125"/>
      <c r="Q862" s="125"/>
      <c r="R862" s="125"/>
      <c r="S862" s="628">
        <f t="shared" si="3"/>
        <v>0</v>
      </c>
      <c r="T862" s="627" t="s">
        <v>51</v>
      </c>
      <c r="U862" s="627" t="s">
        <v>51</v>
      </c>
      <c r="V862" s="627" t="s">
        <v>51</v>
      </c>
      <c r="W862" s="627" t="s">
        <v>51</v>
      </c>
      <c r="X862" s="627" t="s">
        <v>51</v>
      </c>
      <c r="Y862" s="89"/>
    </row>
    <row r="863" ht="22.5" customHeight="1">
      <c r="A863" s="223"/>
      <c r="B863" s="125"/>
      <c r="C863" s="125"/>
      <c r="D863" s="125"/>
      <c r="E863" s="125"/>
      <c r="F863" s="125"/>
      <c r="G863" s="125"/>
      <c r="H863" s="125"/>
      <c r="I863" s="627" t="s">
        <v>51</v>
      </c>
      <c r="J863" s="125" t="s">
        <v>51</v>
      </c>
      <c r="K863" s="125" t="s">
        <v>51</v>
      </c>
      <c r="L863" s="125" t="s">
        <v>51</v>
      </c>
      <c r="M863" s="125" t="str">
        <f t="shared" si="1"/>
        <v/>
      </c>
      <c r="N863" s="125" t="str">
        <f t="shared" si="2"/>
        <v/>
      </c>
      <c r="O863" s="125"/>
      <c r="P863" s="125"/>
      <c r="Q863" s="125"/>
      <c r="R863" s="125"/>
      <c r="S863" s="628">
        <f t="shared" si="3"/>
        <v>0</v>
      </c>
      <c r="T863" s="627" t="s">
        <v>51</v>
      </c>
      <c r="U863" s="627" t="s">
        <v>51</v>
      </c>
      <c r="V863" s="627" t="s">
        <v>51</v>
      </c>
      <c r="W863" s="627" t="s">
        <v>51</v>
      </c>
      <c r="X863" s="627" t="s">
        <v>51</v>
      </c>
      <c r="Y863" s="89"/>
    </row>
    <row r="864" ht="22.5" customHeight="1">
      <c r="A864" s="223"/>
      <c r="B864" s="125"/>
      <c r="C864" s="125"/>
      <c r="D864" s="125"/>
      <c r="E864" s="125"/>
      <c r="F864" s="125"/>
      <c r="G864" s="125"/>
      <c r="H864" s="125"/>
      <c r="I864" s="627" t="s">
        <v>51</v>
      </c>
      <c r="J864" s="125" t="s">
        <v>51</v>
      </c>
      <c r="K864" s="125" t="s">
        <v>51</v>
      </c>
      <c r="L864" s="125" t="s">
        <v>51</v>
      </c>
      <c r="M864" s="125" t="str">
        <f t="shared" si="1"/>
        <v/>
      </c>
      <c r="N864" s="125" t="str">
        <f t="shared" si="2"/>
        <v/>
      </c>
      <c r="O864" s="125"/>
      <c r="P864" s="125"/>
      <c r="Q864" s="125"/>
      <c r="R864" s="125"/>
      <c r="S864" s="628">
        <f t="shared" si="3"/>
        <v>0</v>
      </c>
      <c r="T864" s="627" t="s">
        <v>51</v>
      </c>
      <c r="U864" s="627" t="s">
        <v>51</v>
      </c>
      <c r="V864" s="627" t="s">
        <v>51</v>
      </c>
      <c r="W864" s="627" t="s">
        <v>51</v>
      </c>
      <c r="X864" s="627" t="s">
        <v>51</v>
      </c>
      <c r="Y864" s="89"/>
    </row>
    <row r="865" ht="22.5" customHeight="1">
      <c r="A865" s="223"/>
      <c r="B865" s="125"/>
      <c r="C865" s="125"/>
      <c r="D865" s="125"/>
      <c r="E865" s="125"/>
      <c r="F865" s="125"/>
      <c r="G865" s="125"/>
      <c r="H865" s="125"/>
      <c r="I865" s="627" t="s">
        <v>51</v>
      </c>
      <c r="J865" s="125" t="s">
        <v>51</v>
      </c>
      <c r="K865" s="125" t="s">
        <v>51</v>
      </c>
      <c r="L865" s="125" t="s">
        <v>51</v>
      </c>
      <c r="M865" s="125" t="str">
        <f t="shared" si="1"/>
        <v/>
      </c>
      <c r="N865" s="125" t="str">
        <f t="shared" si="2"/>
        <v/>
      </c>
      <c r="O865" s="125"/>
      <c r="P865" s="125"/>
      <c r="Q865" s="125"/>
      <c r="R865" s="125"/>
      <c r="S865" s="628">
        <f t="shared" si="3"/>
        <v>0</v>
      </c>
      <c r="T865" s="627" t="s">
        <v>51</v>
      </c>
      <c r="U865" s="627" t="s">
        <v>51</v>
      </c>
      <c r="V865" s="627" t="s">
        <v>51</v>
      </c>
      <c r="W865" s="627" t="s">
        <v>51</v>
      </c>
      <c r="X865" s="627" t="s">
        <v>51</v>
      </c>
      <c r="Y865" s="89"/>
    </row>
    <row r="866" ht="22.5" customHeight="1">
      <c r="A866" s="223"/>
      <c r="B866" s="125"/>
      <c r="C866" s="125"/>
      <c r="D866" s="125"/>
      <c r="E866" s="125"/>
      <c r="F866" s="125"/>
      <c r="G866" s="125"/>
      <c r="H866" s="125"/>
      <c r="I866" s="627" t="s">
        <v>51</v>
      </c>
      <c r="J866" s="125" t="s">
        <v>51</v>
      </c>
      <c r="K866" s="125" t="s">
        <v>51</v>
      </c>
      <c r="L866" s="125" t="s">
        <v>51</v>
      </c>
      <c r="M866" s="125" t="str">
        <f t="shared" si="1"/>
        <v/>
      </c>
      <c r="N866" s="125" t="str">
        <f t="shared" si="2"/>
        <v/>
      </c>
      <c r="O866" s="125"/>
      <c r="P866" s="125"/>
      <c r="Q866" s="125"/>
      <c r="R866" s="125"/>
      <c r="S866" s="628">
        <f t="shared" si="3"/>
        <v>0</v>
      </c>
      <c r="T866" s="627" t="s">
        <v>51</v>
      </c>
      <c r="U866" s="627" t="s">
        <v>51</v>
      </c>
      <c r="V866" s="627" t="s">
        <v>51</v>
      </c>
      <c r="W866" s="627" t="s">
        <v>51</v>
      </c>
      <c r="X866" s="627" t="s">
        <v>51</v>
      </c>
      <c r="Y866" s="89"/>
    </row>
    <row r="867" ht="22.5" customHeight="1">
      <c r="A867" s="223"/>
      <c r="B867" s="125"/>
      <c r="C867" s="125"/>
      <c r="D867" s="125"/>
      <c r="E867" s="125"/>
      <c r="F867" s="125"/>
      <c r="G867" s="125"/>
      <c r="H867" s="125"/>
      <c r="I867" s="627" t="s">
        <v>51</v>
      </c>
      <c r="J867" s="125" t="s">
        <v>51</v>
      </c>
      <c r="K867" s="125" t="s">
        <v>51</v>
      </c>
      <c r="L867" s="125" t="s">
        <v>51</v>
      </c>
      <c r="M867" s="125" t="str">
        <f t="shared" si="1"/>
        <v/>
      </c>
      <c r="N867" s="125" t="str">
        <f t="shared" si="2"/>
        <v/>
      </c>
      <c r="O867" s="125"/>
      <c r="P867" s="125"/>
      <c r="Q867" s="125"/>
      <c r="R867" s="125"/>
      <c r="S867" s="628">
        <f t="shared" si="3"/>
        <v>0</v>
      </c>
      <c r="T867" s="627" t="s">
        <v>51</v>
      </c>
      <c r="U867" s="627" t="s">
        <v>51</v>
      </c>
      <c r="V867" s="627" t="s">
        <v>51</v>
      </c>
      <c r="W867" s="627" t="s">
        <v>51</v>
      </c>
      <c r="X867" s="627" t="s">
        <v>51</v>
      </c>
      <c r="Y867" s="89"/>
    </row>
    <row r="868" ht="22.5" customHeight="1">
      <c r="A868" s="223"/>
      <c r="B868" s="125"/>
      <c r="C868" s="125"/>
      <c r="D868" s="125"/>
      <c r="E868" s="125"/>
      <c r="F868" s="125"/>
      <c r="G868" s="125"/>
      <c r="H868" s="125"/>
      <c r="I868" s="627" t="s">
        <v>51</v>
      </c>
      <c r="J868" s="125" t="s">
        <v>51</v>
      </c>
      <c r="K868" s="125" t="s">
        <v>51</v>
      </c>
      <c r="L868" s="125" t="s">
        <v>51</v>
      </c>
      <c r="M868" s="125" t="str">
        <f t="shared" si="1"/>
        <v/>
      </c>
      <c r="N868" s="125" t="str">
        <f t="shared" si="2"/>
        <v/>
      </c>
      <c r="O868" s="125"/>
      <c r="P868" s="125"/>
      <c r="Q868" s="125"/>
      <c r="R868" s="125"/>
      <c r="S868" s="628">
        <f t="shared" si="3"/>
        <v>0</v>
      </c>
      <c r="T868" s="627" t="s">
        <v>51</v>
      </c>
      <c r="U868" s="627" t="s">
        <v>51</v>
      </c>
      <c r="V868" s="627" t="s">
        <v>51</v>
      </c>
      <c r="W868" s="627" t="s">
        <v>51</v>
      </c>
      <c r="X868" s="627" t="s">
        <v>51</v>
      </c>
      <c r="Y868" s="89"/>
    </row>
    <row r="869" ht="22.5" customHeight="1">
      <c r="A869" s="223"/>
      <c r="B869" s="125"/>
      <c r="C869" s="125"/>
      <c r="D869" s="125"/>
      <c r="E869" s="125"/>
      <c r="F869" s="125"/>
      <c r="G869" s="125"/>
      <c r="H869" s="125"/>
      <c r="I869" s="627" t="s">
        <v>51</v>
      </c>
      <c r="J869" s="125" t="s">
        <v>51</v>
      </c>
      <c r="K869" s="125" t="s">
        <v>51</v>
      </c>
      <c r="L869" s="125" t="s">
        <v>51</v>
      </c>
      <c r="M869" s="125" t="str">
        <f t="shared" si="1"/>
        <v/>
      </c>
      <c r="N869" s="125" t="str">
        <f t="shared" si="2"/>
        <v/>
      </c>
      <c r="O869" s="125"/>
      <c r="P869" s="125"/>
      <c r="Q869" s="125"/>
      <c r="R869" s="125"/>
      <c r="S869" s="628">
        <f t="shared" si="3"/>
        <v>0</v>
      </c>
      <c r="T869" s="627" t="s">
        <v>51</v>
      </c>
      <c r="U869" s="627" t="s">
        <v>51</v>
      </c>
      <c r="V869" s="627" t="s">
        <v>51</v>
      </c>
      <c r="W869" s="627" t="s">
        <v>51</v>
      </c>
      <c r="X869" s="627" t="s">
        <v>51</v>
      </c>
      <c r="Y869" s="89"/>
    </row>
    <row r="870" ht="22.5" customHeight="1">
      <c r="A870" s="223"/>
      <c r="B870" s="125"/>
      <c r="C870" s="125"/>
      <c r="D870" s="125"/>
      <c r="E870" s="125"/>
      <c r="F870" s="125"/>
      <c r="G870" s="125"/>
      <c r="H870" s="125"/>
      <c r="I870" s="627" t="s">
        <v>51</v>
      </c>
      <c r="J870" s="125" t="s">
        <v>51</v>
      </c>
      <c r="K870" s="125" t="s">
        <v>51</v>
      </c>
      <c r="L870" s="125" t="s">
        <v>51</v>
      </c>
      <c r="M870" s="125" t="str">
        <f t="shared" si="1"/>
        <v/>
      </c>
      <c r="N870" s="125" t="str">
        <f t="shared" si="2"/>
        <v/>
      </c>
      <c r="O870" s="125"/>
      <c r="P870" s="125"/>
      <c r="Q870" s="125"/>
      <c r="R870" s="125"/>
      <c r="S870" s="628">
        <f t="shared" si="3"/>
        <v>0</v>
      </c>
      <c r="T870" s="627" t="s">
        <v>51</v>
      </c>
      <c r="U870" s="627" t="s">
        <v>51</v>
      </c>
      <c r="V870" s="627" t="s">
        <v>51</v>
      </c>
      <c r="W870" s="627" t="s">
        <v>51</v>
      </c>
      <c r="X870" s="627" t="s">
        <v>51</v>
      </c>
      <c r="Y870" s="89"/>
    </row>
    <row r="871" ht="22.5" customHeight="1">
      <c r="A871" s="223"/>
      <c r="B871" s="125"/>
      <c r="C871" s="125"/>
      <c r="D871" s="125"/>
      <c r="E871" s="125"/>
      <c r="F871" s="125"/>
      <c r="G871" s="125"/>
      <c r="H871" s="125"/>
      <c r="I871" s="627" t="s">
        <v>51</v>
      </c>
      <c r="J871" s="125" t="s">
        <v>51</v>
      </c>
      <c r="K871" s="125" t="s">
        <v>51</v>
      </c>
      <c r="L871" s="125" t="s">
        <v>51</v>
      </c>
      <c r="M871" s="125" t="str">
        <f t="shared" si="1"/>
        <v/>
      </c>
      <c r="N871" s="125" t="str">
        <f t="shared" si="2"/>
        <v/>
      </c>
      <c r="O871" s="125"/>
      <c r="P871" s="125"/>
      <c r="Q871" s="125"/>
      <c r="R871" s="125"/>
      <c r="S871" s="628">
        <f t="shared" si="3"/>
        <v>0</v>
      </c>
      <c r="T871" s="627" t="s">
        <v>51</v>
      </c>
      <c r="U871" s="627" t="s">
        <v>51</v>
      </c>
      <c r="V871" s="627" t="s">
        <v>51</v>
      </c>
      <c r="W871" s="627" t="s">
        <v>51</v>
      </c>
      <c r="X871" s="627" t="s">
        <v>51</v>
      </c>
      <c r="Y871" s="89"/>
    </row>
    <row r="872" ht="22.5" customHeight="1">
      <c r="A872" s="223"/>
      <c r="B872" s="125"/>
      <c r="C872" s="125"/>
      <c r="D872" s="125"/>
      <c r="E872" s="125"/>
      <c r="F872" s="125"/>
      <c r="G872" s="125"/>
      <c r="H872" s="125"/>
      <c r="I872" s="627" t="s">
        <v>51</v>
      </c>
      <c r="J872" s="125" t="s">
        <v>51</v>
      </c>
      <c r="K872" s="125" t="s">
        <v>51</v>
      </c>
      <c r="L872" s="125" t="s">
        <v>51</v>
      </c>
      <c r="M872" s="125" t="str">
        <f t="shared" si="1"/>
        <v/>
      </c>
      <c r="N872" s="125" t="str">
        <f t="shared" si="2"/>
        <v/>
      </c>
      <c r="O872" s="125"/>
      <c r="P872" s="125"/>
      <c r="Q872" s="125"/>
      <c r="R872" s="125"/>
      <c r="S872" s="628">
        <f t="shared" si="3"/>
        <v>0</v>
      </c>
      <c r="T872" s="627" t="s">
        <v>51</v>
      </c>
      <c r="U872" s="627" t="s">
        <v>51</v>
      </c>
      <c r="V872" s="627" t="s">
        <v>51</v>
      </c>
      <c r="W872" s="627" t="s">
        <v>51</v>
      </c>
      <c r="X872" s="627" t="s">
        <v>51</v>
      </c>
      <c r="Y872" s="89"/>
    </row>
    <row r="873" ht="22.5" customHeight="1">
      <c r="A873" s="223"/>
      <c r="B873" s="125"/>
      <c r="C873" s="125"/>
      <c r="D873" s="125"/>
      <c r="E873" s="125"/>
      <c r="F873" s="125"/>
      <c r="G873" s="125"/>
      <c r="H873" s="125"/>
      <c r="I873" s="627" t="s">
        <v>51</v>
      </c>
      <c r="J873" s="125" t="s">
        <v>51</v>
      </c>
      <c r="K873" s="125" t="s">
        <v>51</v>
      </c>
      <c r="L873" s="125" t="s">
        <v>51</v>
      </c>
      <c r="M873" s="125" t="str">
        <f t="shared" si="1"/>
        <v/>
      </c>
      <c r="N873" s="125" t="str">
        <f t="shared" si="2"/>
        <v/>
      </c>
      <c r="O873" s="125"/>
      <c r="P873" s="125"/>
      <c r="Q873" s="125"/>
      <c r="R873" s="125"/>
      <c r="S873" s="628">
        <f t="shared" si="3"/>
        <v>0</v>
      </c>
      <c r="T873" s="627" t="s">
        <v>51</v>
      </c>
      <c r="U873" s="627" t="s">
        <v>51</v>
      </c>
      <c r="V873" s="627" t="s">
        <v>51</v>
      </c>
      <c r="W873" s="627" t="s">
        <v>51</v>
      </c>
      <c r="X873" s="627" t="s">
        <v>51</v>
      </c>
      <c r="Y873" s="89"/>
    </row>
    <row r="874" ht="22.5" customHeight="1">
      <c r="A874" s="223"/>
      <c r="B874" s="125"/>
      <c r="C874" s="125"/>
      <c r="D874" s="125"/>
      <c r="E874" s="125"/>
      <c r="F874" s="125"/>
      <c r="G874" s="125"/>
      <c r="H874" s="125"/>
      <c r="I874" s="627" t="s">
        <v>51</v>
      </c>
      <c r="J874" s="125" t="s">
        <v>51</v>
      </c>
      <c r="K874" s="125" t="s">
        <v>51</v>
      </c>
      <c r="L874" s="125" t="s">
        <v>51</v>
      </c>
      <c r="M874" s="125" t="str">
        <f t="shared" si="1"/>
        <v/>
      </c>
      <c r="N874" s="125" t="str">
        <f t="shared" si="2"/>
        <v/>
      </c>
      <c r="O874" s="125"/>
      <c r="P874" s="125"/>
      <c r="Q874" s="125"/>
      <c r="R874" s="125"/>
      <c r="S874" s="628">
        <f t="shared" si="3"/>
        <v>0</v>
      </c>
      <c r="T874" s="627" t="s">
        <v>51</v>
      </c>
      <c r="U874" s="627" t="s">
        <v>51</v>
      </c>
      <c r="V874" s="627" t="s">
        <v>51</v>
      </c>
      <c r="W874" s="627" t="s">
        <v>51</v>
      </c>
      <c r="X874" s="627" t="s">
        <v>51</v>
      </c>
      <c r="Y874" s="89"/>
    </row>
    <row r="875" ht="22.5" customHeight="1">
      <c r="A875" s="223"/>
      <c r="B875" s="125"/>
      <c r="C875" s="125"/>
      <c r="D875" s="125"/>
      <c r="E875" s="125"/>
      <c r="F875" s="125"/>
      <c r="G875" s="125"/>
      <c r="H875" s="125"/>
      <c r="I875" s="627" t="s">
        <v>51</v>
      </c>
      <c r="J875" s="125" t="s">
        <v>51</v>
      </c>
      <c r="K875" s="125" t="s">
        <v>51</v>
      </c>
      <c r="L875" s="125" t="s">
        <v>51</v>
      </c>
      <c r="M875" s="125" t="str">
        <f t="shared" si="1"/>
        <v/>
      </c>
      <c r="N875" s="125" t="str">
        <f t="shared" si="2"/>
        <v/>
      </c>
      <c r="O875" s="125"/>
      <c r="P875" s="125"/>
      <c r="Q875" s="125"/>
      <c r="R875" s="125"/>
      <c r="S875" s="628">
        <f t="shared" si="3"/>
        <v>0</v>
      </c>
      <c r="T875" s="627" t="s">
        <v>51</v>
      </c>
      <c r="U875" s="627" t="s">
        <v>51</v>
      </c>
      <c r="V875" s="627" t="s">
        <v>51</v>
      </c>
      <c r="W875" s="627" t="s">
        <v>51</v>
      </c>
      <c r="X875" s="627" t="s">
        <v>51</v>
      </c>
      <c r="Y875" s="89"/>
    </row>
    <row r="876" ht="22.5" customHeight="1">
      <c r="A876" s="223"/>
      <c r="B876" s="125"/>
      <c r="C876" s="125"/>
      <c r="D876" s="125"/>
      <c r="E876" s="125"/>
      <c r="F876" s="125"/>
      <c r="G876" s="125"/>
      <c r="H876" s="125"/>
      <c r="I876" s="627" t="s">
        <v>51</v>
      </c>
      <c r="J876" s="125" t="s">
        <v>51</v>
      </c>
      <c r="K876" s="125" t="s">
        <v>51</v>
      </c>
      <c r="L876" s="125" t="s">
        <v>51</v>
      </c>
      <c r="M876" s="125" t="str">
        <f t="shared" si="1"/>
        <v/>
      </c>
      <c r="N876" s="125" t="str">
        <f t="shared" si="2"/>
        <v/>
      </c>
      <c r="O876" s="125"/>
      <c r="P876" s="125"/>
      <c r="Q876" s="125"/>
      <c r="R876" s="125"/>
      <c r="S876" s="628">
        <f t="shared" si="3"/>
        <v>0</v>
      </c>
      <c r="T876" s="627" t="s">
        <v>51</v>
      </c>
      <c r="U876" s="627" t="s">
        <v>51</v>
      </c>
      <c r="V876" s="627" t="s">
        <v>51</v>
      </c>
      <c r="W876" s="627" t="s">
        <v>51</v>
      </c>
      <c r="X876" s="627" t="s">
        <v>51</v>
      </c>
      <c r="Y876" s="89"/>
    </row>
    <row r="877" ht="22.5" customHeight="1">
      <c r="A877" s="223"/>
      <c r="B877" s="125"/>
      <c r="C877" s="125"/>
      <c r="D877" s="125"/>
      <c r="E877" s="125"/>
      <c r="F877" s="125"/>
      <c r="G877" s="125"/>
      <c r="H877" s="125"/>
      <c r="I877" s="627" t="s">
        <v>51</v>
      </c>
      <c r="J877" s="125" t="s">
        <v>51</v>
      </c>
      <c r="K877" s="125" t="s">
        <v>51</v>
      </c>
      <c r="L877" s="125" t="s">
        <v>51</v>
      </c>
      <c r="M877" s="125" t="str">
        <f t="shared" si="1"/>
        <v/>
      </c>
      <c r="N877" s="125" t="str">
        <f t="shared" si="2"/>
        <v/>
      </c>
      <c r="O877" s="125"/>
      <c r="P877" s="125"/>
      <c r="Q877" s="125"/>
      <c r="R877" s="125"/>
      <c r="S877" s="628">
        <f t="shared" si="3"/>
        <v>0</v>
      </c>
      <c r="T877" s="627" t="s">
        <v>51</v>
      </c>
      <c r="U877" s="627" t="s">
        <v>51</v>
      </c>
      <c r="V877" s="627" t="s">
        <v>51</v>
      </c>
      <c r="W877" s="627" t="s">
        <v>51</v>
      </c>
      <c r="X877" s="627" t="s">
        <v>51</v>
      </c>
      <c r="Y877" s="89"/>
    </row>
    <row r="878" ht="22.5" customHeight="1">
      <c r="A878" s="223"/>
      <c r="B878" s="125"/>
      <c r="C878" s="125"/>
      <c r="D878" s="125"/>
      <c r="E878" s="125"/>
      <c r="F878" s="125"/>
      <c r="G878" s="125"/>
      <c r="H878" s="125"/>
      <c r="I878" s="627" t="s">
        <v>51</v>
      </c>
      <c r="J878" s="125" t="s">
        <v>51</v>
      </c>
      <c r="K878" s="125" t="s">
        <v>51</v>
      </c>
      <c r="L878" s="125" t="s">
        <v>51</v>
      </c>
      <c r="M878" s="125" t="str">
        <f t="shared" si="1"/>
        <v/>
      </c>
      <c r="N878" s="125" t="str">
        <f t="shared" si="2"/>
        <v/>
      </c>
      <c r="O878" s="125"/>
      <c r="P878" s="125"/>
      <c r="Q878" s="125"/>
      <c r="R878" s="125"/>
      <c r="S878" s="628">
        <f t="shared" si="3"/>
        <v>0</v>
      </c>
      <c r="T878" s="627" t="s">
        <v>51</v>
      </c>
      <c r="U878" s="627" t="s">
        <v>51</v>
      </c>
      <c r="V878" s="627" t="s">
        <v>51</v>
      </c>
      <c r="W878" s="627" t="s">
        <v>51</v>
      </c>
      <c r="X878" s="627" t="s">
        <v>51</v>
      </c>
      <c r="Y878" s="89"/>
    </row>
    <row r="879" ht="22.5" customHeight="1">
      <c r="A879" s="223"/>
      <c r="B879" s="125"/>
      <c r="C879" s="125"/>
      <c r="D879" s="125"/>
      <c r="E879" s="125"/>
      <c r="F879" s="125"/>
      <c r="G879" s="125"/>
      <c r="H879" s="125"/>
      <c r="I879" s="627" t="s">
        <v>51</v>
      </c>
      <c r="J879" s="125" t="s">
        <v>51</v>
      </c>
      <c r="K879" s="125" t="s">
        <v>51</v>
      </c>
      <c r="L879" s="125" t="s">
        <v>51</v>
      </c>
      <c r="M879" s="125" t="str">
        <f t="shared" si="1"/>
        <v/>
      </c>
      <c r="N879" s="125" t="str">
        <f t="shared" si="2"/>
        <v/>
      </c>
      <c r="O879" s="125"/>
      <c r="P879" s="125"/>
      <c r="Q879" s="125"/>
      <c r="R879" s="125"/>
      <c r="S879" s="628">
        <f t="shared" si="3"/>
        <v>0</v>
      </c>
      <c r="T879" s="627" t="s">
        <v>51</v>
      </c>
      <c r="U879" s="627" t="s">
        <v>51</v>
      </c>
      <c r="V879" s="627" t="s">
        <v>51</v>
      </c>
      <c r="W879" s="627" t="s">
        <v>51</v>
      </c>
      <c r="X879" s="627" t="s">
        <v>51</v>
      </c>
      <c r="Y879" s="89"/>
    </row>
    <row r="880" ht="22.5" customHeight="1">
      <c r="A880" s="223"/>
      <c r="B880" s="125"/>
      <c r="C880" s="125"/>
      <c r="D880" s="125"/>
      <c r="E880" s="125"/>
      <c r="F880" s="125"/>
      <c r="G880" s="125"/>
      <c r="H880" s="125"/>
      <c r="I880" s="627" t="s">
        <v>51</v>
      </c>
      <c r="J880" s="125" t="s">
        <v>51</v>
      </c>
      <c r="K880" s="125" t="s">
        <v>51</v>
      </c>
      <c r="L880" s="125" t="s">
        <v>51</v>
      </c>
      <c r="M880" s="125" t="str">
        <f t="shared" si="1"/>
        <v/>
      </c>
      <c r="N880" s="125" t="str">
        <f t="shared" si="2"/>
        <v/>
      </c>
      <c r="O880" s="125"/>
      <c r="P880" s="125"/>
      <c r="Q880" s="125"/>
      <c r="R880" s="125"/>
      <c r="S880" s="628">
        <f t="shared" si="3"/>
        <v>0</v>
      </c>
      <c r="T880" s="627" t="s">
        <v>51</v>
      </c>
      <c r="U880" s="627" t="s">
        <v>51</v>
      </c>
      <c r="V880" s="627" t="s">
        <v>51</v>
      </c>
      <c r="W880" s="627" t="s">
        <v>51</v>
      </c>
      <c r="X880" s="627" t="s">
        <v>51</v>
      </c>
      <c r="Y880" s="89"/>
    </row>
    <row r="881" ht="22.5" customHeight="1">
      <c r="A881" s="223"/>
      <c r="B881" s="125"/>
      <c r="C881" s="125"/>
      <c r="D881" s="125"/>
      <c r="E881" s="125"/>
      <c r="F881" s="125"/>
      <c r="G881" s="125"/>
      <c r="H881" s="125"/>
      <c r="I881" s="627" t="s">
        <v>51</v>
      </c>
      <c r="J881" s="125" t="s">
        <v>51</v>
      </c>
      <c r="K881" s="125" t="s">
        <v>51</v>
      </c>
      <c r="L881" s="125" t="s">
        <v>51</v>
      </c>
      <c r="M881" s="125" t="str">
        <f t="shared" si="1"/>
        <v/>
      </c>
      <c r="N881" s="125" t="str">
        <f t="shared" si="2"/>
        <v/>
      </c>
      <c r="O881" s="125"/>
      <c r="P881" s="125"/>
      <c r="Q881" s="125"/>
      <c r="R881" s="125"/>
      <c r="S881" s="628">
        <f t="shared" si="3"/>
        <v>0</v>
      </c>
      <c r="T881" s="627" t="s">
        <v>51</v>
      </c>
      <c r="U881" s="627" t="s">
        <v>51</v>
      </c>
      <c r="V881" s="627" t="s">
        <v>51</v>
      </c>
      <c r="W881" s="627" t="s">
        <v>51</v>
      </c>
      <c r="X881" s="627" t="s">
        <v>51</v>
      </c>
      <c r="Y881" s="89"/>
    </row>
    <row r="882" ht="22.5" customHeight="1">
      <c r="A882" s="223"/>
      <c r="B882" s="125"/>
      <c r="C882" s="125"/>
      <c r="D882" s="125"/>
      <c r="E882" s="125"/>
      <c r="F882" s="125"/>
      <c r="G882" s="125"/>
      <c r="H882" s="125"/>
      <c r="I882" s="627" t="s">
        <v>51</v>
      </c>
      <c r="J882" s="125" t="s">
        <v>51</v>
      </c>
      <c r="K882" s="125" t="s">
        <v>51</v>
      </c>
      <c r="L882" s="125" t="s">
        <v>51</v>
      </c>
      <c r="M882" s="125" t="str">
        <f t="shared" si="1"/>
        <v/>
      </c>
      <c r="N882" s="125" t="str">
        <f t="shared" si="2"/>
        <v/>
      </c>
      <c r="O882" s="125"/>
      <c r="P882" s="125"/>
      <c r="Q882" s="125"/>
      <c r="R882" s="125"/>
      <c r="S882" s="628">
        <f t="shared" si="3"/>
        <v>0</v>
      </c>
      <c r="T882" s="627" t="s">
        <v>51</v>
      </c>
      <c r="U882" s="627" t="s">
        <v>51</v>
      </c>
      <c r="V882" s="627" t="s">
        <v>51</v>
      </c>
      <c r="W882" s="627" t="s">
        <v>51</v>
      </c>
      <c r="X882" s="627" t="s">
        <v>51</v>
      </c>
      <c r="Y882" s="89"/>
    </row>
    <row r="883" ht="22.5" customHeight="1">
      <c r="A883" s="223"/>
      <c r="B883" s="125"/>
      <c r="C883" s="125"/>
      <c r="D883" s="125"/>
      <c r="E883" s="125"/>
      <c r="F883" s="125"/>
      <c r="G883" s="125"/>
      <c r="H883" s="125"/>
      <c r="I883" s="627" t="s">
        <v>51</v>
      </c>
      <c r="J883" s="125" t="s">
        <v>51</v>
      </c>
      <c r="K883" s="125" t="s">
        <v>51</v>
      </c>
      <c r="L883" s="125" t="s">
        <v>51</v>
      </c>
      <c r="M883" s="125" t="str">
        <f t="shared" si="1"/>
        <v/>
      </c>
      <c r="N883" s="125" t="str">
        <f t="shared" si="2"/>
        <v/>
      </c>
      <c r="O883" s="125"/>
      <c r="P883" s="125"/>
      <c r="Q883" s="125"/>
      <c r="R883" s="125"/>
      <c r="S883" s="628">
        <f t="shared" si="3"/>
        <v>0</v>
      </c>
      <c r="T883" s="627" t="s">
        <v>51</v>
      </c>
      <c r="U883" s="627" t="s">
        <v>51</v>
      </c>
      <c r="V883" s="627" t="s">
        <v>51</v>
      </c>
      <c r="W883" s="627" t="s">
        <v>51</v>
      </c>
      <c r="X883" s="627" t="s">
        <v>51</v>
      </c>
      <c r="Y883" s="89"/>
    </row>
    <row r="884" ht="22.5" customHeight="1">
      <c r="A884" s="223"/>
      <c r="B884" s="125"/>
      <c r="C884" s="125"/>
      <c r="D884" s="125"/>
      <c r="E884" s="125"/>
      <c r="F884" s="125"/>
      <c r="G884" s="125"/>
      <c r="H884" s="125"/>
      <c r="I884" s="627" t="s">
        <v>51</v>
      </c>
      <c r="J884" s="125" t="s">
        <v>51</v>
      </c>
      <c r="K884" s="125" t="s">
        <v>51</v>
      </c>
      <c r="L884" s="125" t="s">
        <v>51</v>
      </c>
      <c r="M884" s="125" t="str">
        <f t="shared" si="1"/>
        <v/>
      </c>
      <c r="N884" s="125" t="str">
        <f t="shared" si="2"/>
        <v/>
      </c>
      <c r="O884" s="125"/>
      <c r="P884" s="125"/>
      <c r="Q884" s="125"/>
      <c r="R884" s="125"/>
      <c r="S884" s="628">
        <f t="shared" si="3"/>
        <v>0</v>
      </c>
      <c r="T884" s="627" t="s">
        <v>51</v>
      </c>
      <c r="U884" s="627" t="s">
        <v>51</v>
      </c>
      <c r="V884" s="627" t="s">
        <v>51</v>
      </c>
      <c r="W884" s="627" t="s">
        <v>51</v>
      </c>
      <c r="X884" s="627" t="s">
        <v>51</v>
      </c>
      <c r="Y884" s="89"/>
    </row>
    <row r="885" ht="22.5" customHeight="1">
      <c r="A885" s="223"/>
      <c r="B885" s="125"/>
      <c r="C885" s="125"/>
      <c r="D885" s="125"/>
      <c r="E885" s="125"/>
      <c r="F885" s="125"/>
      <c r="G885" s="125"/>
      <c r="H885" s="125"/>
      <c r="I885" s="627" t="s">
        <v>51</v>
      </c>
      <c r="J885" s="125" t="s">
        <v>51</v>
      </c>
      <c r="K885" s="125" t="s">
        <v>51</v>
      </c>
      <c r="L885" s="125" t="s">
        <v>51</v>
      </c>
      <c r="M885" s="125" t="str">
        <f t="shared" si="1"/>
        <v/>
      </c>
      <c r="N885" s="125" t="str">
        <f t="shared" si="2"/>
        <v/>
      </c>
      <c r="O885" s="125"/>
      <c r="P885" s="125"/>
      <c r="Q885" s="125"/>
      <c r="R885" s="125"/>
      <c r="S885" s="628">
        <f t="shared" si="3"/>
        <v>0</v>
      </c>
      <c r="T885" s="627" t="s">
        <v>51</v>
      </c>
      <c r="U885" s="627" t="s">
        <v>51</v>
      </c>
      <c r="V885" s="627" t="s">
        <v>51</v>
      </c>
      <c r="W885" s="627" t="s">
        <v>51</v>
      </c>
      <c r="X885" s="627" t="s">
        <v>51</v>
      </c>
      <c r="Y885" s="89"/>
    </row>
    <row r="886" ht="22.5" customHeight="1">
      <c r="A886" s="223"/>
      <c r="B886" s="125"/>
      <c r="C886" s="125"/>
      <c r="D886" s="125"/>
      <c r="E886" s="125"/>
      <c r="F886" s="125"/>
      <c r="G886" s="125"/>
      <c r="H886" s="125"/>
      <c r="I886" s="627" t="s">
        <v>51</v>
      </c>
      <c r="J886" s="125" t="s">
        <v>51</v>
      </c>
      <c r="K886" s="125" t="s">
        <v>51</v>
      </c>
      <c r="L886" s="125" t="s">
        <v>51</v>
      </c>
      <c r="M886" s="125" t="str">
        <f t="shared" si="1"/>
        <v/>
      </c>
      <c r="N886" s="125" t="str">
        <f t="shared" si="2"/>
        <v/>
      </c>
      <c r="O886" s="125"/>
      <c r="P886" s="125"/>
      <c r="Q886" s="125"/>
      <c r="R886" s="125"/>
      <c r="S886" s="628">
        <f t="shared" si="3"/>
        <v>0</v>
      </c>
      <c r="T886" s="627" t="s">
        <v>51</v>
      </c>
      <c r="U886" s="627" t="s">
        <v>51</v>
      </c>
      <c r="V886" s="627" t="s">
        <v>51</v>
      </c>
      <c r="W886" s="627" t="s">
        <v>51</v>
      </c>
      <c r="X886" s="627" t="s">
        <v>51</v>
      </c>
      <c r="Y886" s="89"/>
    </row>
    <row r="887" ht="22.5" customHeight="1">
      <c r="A887" s="223"/>
      <c r="B887" s="125"/>
      <c r="C887" s="125"/>
      <c r="D887" s="125"/>
      <c r="E887" s="125"/>
      <c r="F887" s="125"/>
      <c r="G887" s="125"/>
      <c r="H887" s="125"/>
      <c r="I887" s="627" t="s">
        <v>51</v>
      </c>
      <c r="J887" s="125" t="s">
        <v>51</v>
      </c>
      <c r="K887" s="125" t="s">
        <v>51</v>
      </c>
      <c r="L887" s="125" t="s">
        <v>51</v>
      </c>
      <c r="M887" s="125" t="str">
        <f t="shared" si="1"/>
        <v/>
      </c>
      <c r="N887" s="125" t="str">
        <f t="shared" si="2"/>
        <v/>
      </c>
      <c r="O887" s="125"/>
      <c r="P887" s="125"/>
      <c r="Q887" s="125"/>
      <c r="R887" s="125"/>
      <c r="S887" s="628">
        <f t="shared" si="3"/>
        <v>0</v>
      </c>
      <c r="T887" s="627" t="s">
        <v>51</v>
      </c>
      <c r="U887" s="627" t="s">
        <v>51</v>
      </c>
      <c r="V887" s="627" t="s">
        <v>51</v>
      </c>
      <c r="W887" s="627" t="s">
        <v>51</v>
      </c>
      <c r="X887" s="627" t="s">
        <v>51</v>
      </c>
      <c r="Y887" s="89"/>
    </row>
    <row r="888" ht="22.5" customHeight="1">
      <c r="A888" s="223"/>
      <c r="B888" s="125"/>
      <c r="C888" s="125"/>
      <c r="D888" s="125"/>
      <c r="E888" s="125"/>
      <c r="F888" s="125"/>
      <c r="G888" s="125"/>
      <c r="H888" s="125"/>
      <c r="I888" s="627" t="s">
        <v>51</v>
      </c>
      <c r="J888" s="125" t="s">
        <v>51</v>
      </c>
      <c r="K888" s="125" t="s">
        <v>51</v>
      </c>
      <c r="L888" s="125" t="s">
        <v>51</v>
      </c>
      <c r="M888" s="125" t="str">
        <f t="shared" si="1"/>
        <v/>
      </c>
      <c r="N888" s="125" t="str">
        <f t="shared" si="2"/>
        <v/>
      </c>
      <c r="O888" s="125"/>
      <c r="P888" s="125"/>
      <c r="Q888" s="125"/>
      <c r="R888" s="125"/>
      <c r="S888" s="628">
        <f t="shared" si="3"/>
        <v>0</v>
      </c>
      <c r="T888" s="627" t="s">
        <v>51</v>
      </c>
      <c r="U888" s="627" t="s">
        <v>51</v>
      </c>
      <c r="V888" s="627" t="s">
        <v>51</v>
      </c>
      <c r="W888" s="627" t="s">
        <v>51</v>
      </c>
      <c r="X888" s="627" t="s">
        <v>51</v>
      </c>
      <c r="Y888" s="89"/>
    </row>
    <row r="889" ht="22.5" customHeight="1">
      <c r="A889" s="223"/>
      <c r="B889" s="125"/>
      <c r="C889" s="125"/>
      <c r="D889" s="125"/>
      <c r="E889" s="125"/>
      <c r="F889" s="125"/>
      <c r="G889" s="125"/>
      <c r="H889" s="125"/>
      <c r="I889" s="627" t="s">
        <v>51</v>
      </c>
      <c r="J889" s="125" t="s">
        <v>51</v>
      </c>
      <c r="K889" s="125" t="s">
        <v>51</v>
      </c>
      <c r="L889" s="125" t="s">
        <v>51</v>
      </c>
      <c r="M889" s="125" t="str">
        <f t="shared" si="1"/>
        <v/>
      </c>
      <c r="N889" s="125" t="str">
        <f t="shared" si="2"/>
        <v/>
      </c>
      <c r="O889" s="125"/>
      <c r="P889" s="125"/>
      <c r="Q889" s="125"/>
      <c r="R889" s="125"/>
      <c r="S889" s="628">
        <f t="shared" si="3"/>
        <v>0</v>
      </c>
      <c r="T889" s="627" t="s">
        <v>51</v>
      </c>
      <c r="U889" s="627" t="s">
        <v>51</v>
      </c>
      <c r="V889" s="627" t="s">
        <v>51</v>
      </c>
      <c r="W889" s="627" t="s">
        <v>51</v>
      </c>
      <c r="X889" s="627" t="s">
        <v>51</v>
      </c>
      <c r="Y889" s="89"/>
    </row>
    <row r="890" ht="22.5" customHeight="1">
      <c r="A890" s="223"/>
      <c r="B890" s="125"/>
      <c r="C890" s="125"/>
      <c r="D890" s="125"/>
      <c r="E890" s="125"/>
      <c r="F890" s="125"/>
      <c r="G890" s="125"/>
      <c r="H890" s="125"/>
      <c r="I890" s="627" t="s">
        <v>51</v>
      </c>
      <c r="J890" s="125" t="s">
        <v>51</v>
      </c>
      <c r="K890" s="125" t="s">
        <v>51</v>
      </c>
      <c r="L890" s="125" t="s">
        <v>51</v>
      </c>
      <c r="M890" s="125" t="str">
        <f t="shared" si="1"/>
        <v/>
      </c>
      <c r="N890" s="125" t="str">
        <f t="shared" si="2"/>
        <v/>
      </c>
      <c r="O890" s="125"/>
      <c r="P890" s="125"/>
      <c r="Q890" s="125"/>
      <c r="R890" s="125"/>
      <c r="S890" s="628">
        <f t="shared" si="3"/>
        <v>0</v>
      </c>
      <c r="T890" s="627" t="s">
        <v>51</v>
      </c>
      <c r="U890" s="627" t="s">
        <v>51</v>
      </c>
      <c r="V890" s="627" t="s">
        <v>51</v>
      </c>
      <c r="W890" s="627" t="s">
        <v>51</v>
      </c>
      <c r="X890" s="627" t="s">
        <v>51</v>
      </c>
      <c r="Y890" s="89"/>
    </row>
    <row r="891" ht="22.5" customHeight="1">
      <c r="A891" s="223"/>
      <c r="B891" s="125"/>
      <c r="C891" s="125"/>
      <c r="D891" s="125"/>
      <c r="E891" s="125"/>
      <c r="F891" s="125"/>
      <c r="G891" s="125"/>
      <c r="H891" s="125"/>
      <c r="I891" s="627" t="s">
        <v>51</v>
      </c>
      <c r="J891" s="125" t="s">
        <v>51</v>
      </c>
      <c r="K891" s="125" t="s">
        <v>51</v>
      </c>
      <c r="L891" s="125" t="s">
        <v>51</v>
      </c>
      <c r="M891" s="125" t="str">
        <f t="shared" si="1"/>
        <v/>
      </c>
      <c r="N891" s="125" t="str">
        <f t="shared" si="2"/>
        <v/>
      </c>
      <c r="O891" s="125"/>
      <c r="P891" s="125"/>
      <c r="Q891" s="125"/>
      <c r="R891" s="125"/>
      <c r="S891" s="628">
        <f t="shared" si="3"/>
        <v>0</v>
      </c>
      <c r="T891" s="627" t="s">
        <v>51</v>
      </c>
      <c r="U891" s="627" t="s">
        <v>51</v>
      </c>
      <c r="V891" s="627" t="s">
        <v>51</v>
      </c>
      <c r="W891" s="627" t="s">
        <v>51</v>
      </c>
      <c r="X891" s="627" t="s">
        <v>51</v>
      </c>
      <c r="Y891" s="89"/>
    </row>
    <row r="892" ht="22.5" customHeight="1">
      <c r="A892" s="223"/>
      <c r="B892" s="125"/>
      <c r="C892" s="125"/>
      <c r="D892" s="125"/>
      <c r="E892" s="125"/>
      <c r="F892" s="125"/>
      <c r="G892" s="125"/>
      <c r="H892" s="125"/>
      <c r="I892" s="627" t="s">
        <v>51</v>
      </c>
      <c r="J892" s="125" t="s">
        <v>51</v>
      </c>
      <c r="K892" s="125" t="s">
        <v>51</v>
      </c>
      <c r="L892" s="125" t="s">
        <v>51</v>
      </c>
      <c r="M892" s="125" t="str">
        <f t="shared" si="1"/>
        <v/>
      </c>
      <c r="N892" s="125" t="str">
        <f t="shared" si="2"/>
        <v/>
      </c>
      <c r="O892" s="125"/>
      <c r="P892" s="125"/>
      <c r="Q892" s="125"/>
      <c r="R892" s="125"/>
      <c r="S892" s="628">
        <f t="shared" si="3"/>
        <v>0</v>
      </c>
      <c r="T892" s="627" t="s">
        <v>51</v>
      </c>
      <c r="U892" s="627" t="s">
        <v>51</v>
      </c>
      <c r="V892" s="627" t="s">
        <v>51</v>
      </c>
      <c r="W892" s="627" t="s">
        <v>51</v>
      </c>
      <c r="X892" s="627" t="s">
        <v>51</v>
      </c>
      <c r="Y892" s="89"/>
    </row>
    <row r="893" ht="22.5" customHeight="1">
      <c r="A893" s="223"/>
      <c r="B893" s="125"/>
      <c r="C893" s="125"/>
      <c r="D893" s="125"/>
      <c r="E893" s="125"/>
      <c r="F893" s="125"/>
      <c r="G893" s="125"/>
      <c r="H893" s="125"/>
      <c r="I893" s="627" t="s">
        <v>51</v>
      </c>
      <c r="J893" s="125" t="s">
        <v>51</v>
      </c>
      <c r="K893" s="125" t="s">
        <v>51</v>
      </c>
      <c r="L893" s="125" t="s">
        <v>51</v>
      </c>
      <c r="M893" s="125" t="str">
        <f t="shared" si="1"/>
        <v/>
      </c>
      <c r="N893" s="125" t="str">
        <f t="shared" si="2"/>
        <v/>
      </c>
      <c r="O893" s="125"/>
      <c r="P893" s="125"/>
      <c r="Q893" s="125"/>
      <c r="R893" s="125"/>
      <c r="S893" s="628">
        <f t="shared" si="3"/>
        <v>0</v>
      </c>
      <c r="T893" s="627" t="s">
        <v>51</v>
      </c>
      <c r="U893" s="627" t="s">
        <v>51</v>
      </c>
      <c r="V893" s="627" t="s">
        <v>51</v>
      </c>
      <c r="W893" s="627" t="s">
        <v>51</v>
      </c>
      <c r="X893" s="627" t="s">
        <v>51</v>
      </c>
      <c r="Y893" s="89"/>
    </row>
    <row r="894" ht="22.5" customHeight="1">
      <c r="A894" s="223"/>
      <c r="B894" s="125"/>
      <c r="C894" s="125"/>
      <c r="D894" s="125"/>
      <c r="E894" s="125"/>
      <c r="F894" s="125"/>
      <c r="G894" s="125"/>
      <c r="H894" s="125"/>
      <c r="I894" s="627" t="s">
        <v>51</v>
      </c>
      <c r="J894" s="125" t="s">
        <v>51</v>
      </c>
      <c r="K894" s="125" t="s">
        <v>51</v>
      </c>
      <c r="L894" s="125" t="s">
        <v>51</v>
      </c>
      <c r="M894" s="125" t="str">
        <f t="shared" si="1"/>
        <v/>
      </c>
      <c r="N894" s="125" t="str">
        <f t="shared" si="2"/>
        <v/>
      </c>
      <c r="O894" s="125"/>
      <c r="P894" s="125"/>
      <c r="Q894" s="125"/>
      <c r="R894" s="125"/>
      <c r="S894" s="628">
        <f t="shared" si="3"/>
        <v>0</v>
      </c>
      <c r="T894" s="627" t="s">
        <v>51</v>
      </c>
      <c r="U894" s="627" t="s">
        <v>51</v>
      </c>
      <c r="V894" s="627" t="s">
        <v>51</v>
      </c>
      <c r="W894" s="627" t="s">
        <v>51</v>
      </c>
      <c r="X894" s="627" t="s">
        <v>51</v>
      </c>
      <c r="Y894" s="89"/>
    </row>
    <row r="895" ht="22.5" customHeight="1">
      <c r="A895" s="223"/>
      <c r="B895" s="125"/>
      <c r="C895" s="125"/>
      <c r="D895" s="125"/>
      <c r="E895" s="125"/>
      <c r="F895" s="125"/>
      <c r="G895" s="125"/>
      <c r="H895" s="125"/>
      <c r="I895" s="627" t="s">
        <v>51</v>
      </c>
      <c r="J895" s="125" t="s">
        <v>51</v>
      </c>
      <c r="K895" s="125" t="s">
        <v>51</v>
      </c>
      <c r="L895" s="125" t="s">
        <v>51</v>
      </c>
      <c r="M895" s="125" t="str">
        <f t="shared" si="1"/>
        <v/>
      </c>
      <c r="N895" s="125" t="str">
        <f t="shared" si="2"/>
        <v/>
      </c>
      <c r="O895" s="125"/>
      <c r="P895" s="125"/>
      <c r="Q895" s="125"/>
      <c r="R895" s="125"/>
      <c r="S895" s="628">
        <f t="shared" si="3"/>
        <v>0</v>
      </c>
      <c r="T895" s="627" t="s">
        <v>51</v>
      </c>
      <c r="U895" s="627" t="s">
        <v>51</v>
      </c>
      <c r="V895" s="627" t="s">
        <v>51</v>
      </c>
      <c r="W895" s="627" t="s">
        <v>51</v>
      </c>
      <c r="X895" s="627" t="s">
        <v>51</v>
      </c>
      <c r="Y895" s="89"/>
    </row>
    <row r="896" ht="22.5" customHeight="1">
      <c r="A896" s="223"/>
      <c r="B896" s="125"/>
      <c r="C896" s="125"/>
      <c r="D896" s="125"/>
      <c r="E896" s="125"/>
      <c r="F896" s="125"/>
      <c r="G896" s="125"/>
      <c r="H896" s="125"/>
      <c r="I896" s="627" t="s">
        <v>51</v>
      </c>
      <c r="J896" s="125" t="s">
        <v>51</v>
      </c>
      <c r="K896" s="125" t="s">
        <v>51</v>
      </c>
      <c r="L896" s="125" t="s">
        <v>51</v>
      </c>
      <c r="M896" s="125" t="str">
        <f t="shared" si="1"/>
        <v/>
      </c>
      <c r="N896" s="125" t="str">
        <f t="shared" si="2"/>
        <v/>
      </c>
      <c r="O896" s="125"/>
      <c r="P896" s="125"/>
      <c r="Q896" s="125"/>
      <c r="R896" s="125"/>
      <c r="S896" s="628">
        <f t="shared" si="3"/>
        <v>0</v>
      </c>
      <c r="T896" s="627" t="s">
        <v>51</v>
      </c>
      <c r="U896" s="627" t="s">
        <v>51</v>
      </c>
      <c r="V896" s="627" t="s">
        <v>51</v>
      </c>
      <c r="W896" s="627" t="s">
        <v>51</v>
      </c>
      <c r="X896" s="627" t="s">
        <v>51</v>
      </c>
      <c r="Y896" s="89"/>
    </row>
    <row r="897" ht="22.5" customHeight="1">
      <c r="A897" s="223"/>
      <c r="B897" s="125"/>
      <c r="C897" s="125"/>
      <c r="D897" s="125"/>
      <c r="E897" s="125"/>
      <c r="F897" s="125"/>
      <c r="G897" s="125"/>
      <c r="H897" s="125"/>
      <c r="I897" s="627" t="s">
        <v>51</v>
      </c>
      <c r="J897" s="125" t="s">
        <v>51</v>
      </c>
      <c r="K897" s="125" t="s">
        <v>51</v>
      </c>
      <c r="L897" s="125" t="s">
        <v>51</v>
      </c>
      <c r="M897" s="125" t="str">
        <f t="shared" si="1"/>
        <v/>
      </c>
      <c r="N897" s="125" t="str">
        <f t="shared" si="2"/>
        <v/>
      </c>
      <c r="O897" s="125"/>
      <c r="P897" s="125"/>
      <c r="Q897" s="125"/>
      <c r="R897" s="125"/>
      <c r="S897" s="628">
        <f t="shared" si="3"/>
        <v>0</v>
      </c>
      <c r="T897" s="627" t="s">
        <v>51</v>
      </c>
      <c r="U897" s="627" t="s">
        <v>51</v>
      </c>
      <c r="V897" s="627" t="s">
        <v>51</v>
      </c>
      <c r="W897" s="627" t="s">
        <v>51</v>
      </c>
      <c r="X897" s="627" t="s">
        <v>51</v>
      </c>
      <c r="Y897" s="89"/>
    </row>
    <row r="898" ht="22.5" customHeight="1">
      <c r="A898" s="223"/>
      <c r="B898" s="125"/>
      <c r="C898" s="125"/>
      <c r="D898" s="125"/>
      <c r="E898" s="125"/>
      <c r="F898" s="125"/>
      <c r="G898" s="125"/>
      <c r="H898" s="125"/>
      <c r="I898" s="627" t="s">
        <v>51</v>
      </c>
      <c r="J898" s="125" t="s">
        <v>51</v>
      </c>
      <c r="K898" s="125" t="s">
        <v>51</v>
      </c>
      <c r="L898" s="125" t="s">
        <v>51</v>
      </c>
      <c r="M898" s="125" t="str">
        <f t="shared" si="1"/>
        <v/>
      </c>
      <c r="N898" s="125" t="str">
        <f t="shared" si="2"/>
        <v/>
      </c>
      <c r="O898" s="125"/>
      <c r="P898" s="125"/>
      <c r="Q898" s="125"/>
      <c r="R898" s="125"/>
      <c r="S898" s="628">
        <f t="shared" si="3"/>
        <v>0</v>
      </c>
      <c r="T898" s="627" t="s">
        <v>51</v>
      </c>
      <c r="U898" s="627" t="s">
        <v>51</v>
      </c>
      <c r="V898" s="627" t="s">
        <v>51</v>
      </c>
      <c r="W898" s="627" t="s">
        <v>51</v>
      </c>
      <c r="X898" s="627" t="s">
        <v>51</v>
      </c>
      <c r="Y898" s="89"/>
    </row>
    <row r="899" ht="22.5" customHeight="1">
      <c r="A899" s="223"/>
      <c r="B899" s="125"/>
      <c r="C899" s="125"/>
      <c r="D899" s="125"/>
      <c r="E899" s="125"/>
      <c r="F899" s="125"/>
      <c r="G899" s="125"/>
      <c r="H899" s="125"/>
      <c r="I899" s="627" t="s">
        <v>51</v>
      </c>
      <c r="J899" s="125" t="s">
        <v>51</v>
      </c>
      <c r="K899" s="125" t="s">
        <v>51</v>
      </c>
      <c r="L899" s="125" t="s">
        <v>51</v>
      </c>
      <c r="M899" s="125" t="str">
        <f t="shared" si="1"/>
        <v/>
      </c>
      <c r="N899" s="125" t="str">
        <f t="shared" si="2"/>
        <v/>
      </c>
      <c r="O899" s="125"/>
      <c r="P899" s="125"/>
      <c r="Q899" s="125"/>
      <c r="R899" s="125"/>
      <c r="S899" s="628">
        <f t="shared" si="3"/>
        <v>0</v>
      </c>
      <c r="T899" s="627" t="s">
        <v>51</v>
      </c>
      <c r="U899" s="627" t="s">
        <v>51</v>
      </c>
      <c r="V899" s="627" t="s">
        <v>51</v>
      </c>
      <c r="W899" s="627" t="s">
        <v>51</v>
      </c>
      <c r="X899" s="627" t="s">
        <v>51</v>
      </c>
      <c r="Y899" s="89"/>
    </row>
    <row r="900" ht="22.5" customHeight="1">
      <c r="A900" s="223"/>
      <c r="B900" s="125"/>
      <c r="C900" s="125"/>
      <c r="D900" s="125"/>
      <c r="E900" s="125"/>
      <c r="F900" s="125"/>
      <c r="G900" s="125"/>
      <c r="H900" s="125"/>
      <c r="I900" s="627" t="s">
        <v>51</v>
      </c>
      <c r="J900" s="125" t="s">
        <v>51</v>
      </c>
      <c r="K900" s="125" t="s">
        <v>51</v>
      </c>
      <c r="L900" s="125" t="s">
        <v>51</v>
      </c>
      <c r="M900" s="125" t="str">
        <f t="shared" si="1"/>
        <v/>
      </c>
      <c r="N900" s="125" t="str">
        <f t="shared" si="2"/>
        <v/>
      </c>
      <c r="O900" s="125"/>
      <c r="P900" s="125"/>
      <c r="Q900" s="125"/>
      <c r="R900" s="125"/>
      <c r="S900" s="628">
        <f t="shared" si="3"/>
        <v>0</v>
      </c>
      <c r="T900" s="627" t="s">
        <v>51</v>
      </c>
      <c r="U900" s="627" t="s">
        <v>51</v>
      </c>
      <c r="V900" s="627" t="s">
        <v>51</v>
      </c>
      <c r="W900" s="627" t="s">
        <v>51</v>
      </c>
      <c r="X900" s="627" t="s">
        <v>51</v>
      </c>
      <c r="Y900" s="89"/>
    </row>
    <row r="901" ht="22.5" customHeight="1">
      <c r="A901" s="223"/>
      <c r="B901" s="125"/>
      <c r="C901" s="125"/>
      <c r="D901" s="125"/>
      <c r="E901" s="125"/>
      <c r="F901" s="125"/>
      <c r="G901" s="125"/>
      <c r="H901" s="125"/>
      <c r="I901" s="627" t="s">
        <v>51</v>
      </c>
      <c r="J901" s="125" t="s">
        <v>51</v>
      </c>
      <c r="K901" s="125" t="s">
        <v>51</v>
      </c>
      <c r="L901" s="125" t="s">
        <v>51</v>
      </c>
      <c r="M901" s="125" t="str">
        <f t="shared" si="1"/>
        <v/>
      </c>
      <c r="N901" s="125" t="str">
        <f t="shared" si="2"/>
        <v/>
      </c>
      <c r="O901" s="125"/>
      <c r="P901" s="125"/>
      <c r="Q901" s="125"/>
      <c r="R901" s="125"/>
      <c r="S901" s="628">
        <f t="shared" si="3"/>
        <v>0</v>
      </c>
      <c r="T901" s="627" t="s">
        <v>51</v>
      </c>
      <c r="U901" s="627" t="s">
        <v>51</v>
      </c>
      <c r="V901" s="627" t="s">
        <v>51</v>
      </c>
      <c r="W901" s="627" t="s">
        <v>51</v>
      </c>
      <c r="X901" s="627" t="s">
        <v>51</v>
      </c>
      <c r="Y901" s="89"/>
    </row>
    <row r="902" ht="22.5" customHeight="1">
      <c r="A902" s="223"/>
      <c r="B902" s="125"/>
      <c r="C902" s="125"/>
      <c r="D902" s="125"/>
      <c r="E902" s="125"/>
      <c r="F902" s="125"/>
      <c r="G902" s="125"/>
      <c r="H902" s="125"/>
      <c r="I902" s="627" t="s">
        <v>51</v>
      </c>
      <c r="J902" s="125" t="s">
        <v>51</v>
      </c>
      <c r="K902" s="125" t="s">
        <v>51</v>
      </c>
      <c r="L902" s="125" t="s">
        <v>51</v>
      </c>
      <c r="M902" s="125" t="str">
        <f t="shared" si="1"/>
        <v/>
      </c>
      <c r="N902" s="125" t="str">
        <f t="shared" si="2"/>
        <v/>
      </c>
      <c r="O902" s="125"/>
      <c r="P902" s="125"/>
      <c r="Q902" s="125"/>
      <c r="R902" s="125"/>
      <c r="S902" s="628">
        <f t="shared" si="3"/>
        <v>0</v>
      </c>
      <c r="T902" s="627" t="s">
        <v>51</v>
      </c>
      <c r="U902" s="627" t="s">
        <v>51</v>
      </c>
      <c r="V902" s="627" t="s">
        <v>51</v>
      </c>
      <c r="W902" s="627" t="s">
        <v>51</v>
      </c>
      <c r="X902" s="627" t="s">
        <v>51</v>
      </c>
      <c r="Y902" s="89"/>
    </row>
    <row r="903" ht="22.5" customHeight="1">
      <c r="A903" s="223"/>
      <c r="B903" s="125"/>
      <c r="C903" s="125"/>
      <c r="D903" s="125"/>
      <c r="E903" s="125"/>
      <c r="F903" s="125"/>
      <c r="G903" s="125"/>
      <c r="H903" s="125"/>
      <c r="I903" s="627" t="s">
        <v>51</v>
      </c>
      <c r="J903" s="125" t="s">
        <v>51</v>
      </c>
      <c r="K903" s="125" t="s">
        <v>51</v>
      </c>
      <c r="L903" s="125" t="s">
        <v>51</v>
      </c>
      <c r="M903" s="125" t="str">
        <f t="shared" si="1"/>
        <v/>
      </c>
      <c r="N903" s="125" t="str">
        <f t="shared" si="2"/>
        <v/>
      </c>
      <c r="O903" s="125"/>
      <c r="P903" s="125"/>
      <c r="Q903" s="125"/>
      <c r="R903" s="125"/>
      <c r="S903" s="628">
        <f t="shared" si="3"/>
        <v>0</v>
      </c>
      <c r="T903" s="627" t="s">
        <v>51</v>
      </c>
      <c r="U903" s="627" t="s">
        <v>51</v>
      </c>
      <c r="V903" s="627" t="s">
        <v>51</v>
      </c>
      <c r="W903" s="627" t="s">
        <v>51</v>
      </c>
      <c r="X903" s="627" t="s">
        <v>51</v>
      </c>
      <c r="Y903" s="89"/>
    </row>
    <row r="904" ht="22.5" customHeight="1">
      <c r="A904" s="223"/>
      <c r="B904" s="125"/>
      <c r="C904" s="125"/>
      <c r="D904" s="125"/>
      <c r="E904" s="125"/>
      <c r="F904" s="125"/>
      <c r="G904" s="125"/>
      <c r="H904" s="125"/>
      <c r="I904" s="627" t="s">
        <v>51</v>
      </c>
      <c r="J904" s="125" t="s">
        <v>51</v>
      </c>
      <c r="K904" s="125" t="s">
        <v>51</v>
      </c>
      <c r="L904" s="125" t="s">
        <v>51</v>
      </c>
      <c r="M904" s="125" t="str">
        <f t="shared" si="1"/>
        <v/>
      </c>
      <c r="N904" s="125" t="str">
        <f t="shared" si="2"/>
        <v/>
      </c>
      <c r="O904" s="125"/>
      <c r="P904" s="125"/>
      <c r="Q904" s="125"/>
      <c r="R904" s="125"/>
      <c r="S904" s="628">
        <f t="shared" si="3"/>
        <v>0</v>
      </c>
      <c r="T904" s="627" t="s">
        <v>51</v>
      </c>
      <c r="U904" s="627" t="s">
        <v>51</v>
      </c>
      <c r="V904" s="627" t="s">
        <v>51</v>
      </c>
      <c r="W904" s="627" t="s">
        <v>51</v>
      </c>
      <c r="X904" s="627" t="s">
        <v>51</v>
      </c>
      <c r="Y904" s="89"/>
    </row>
    <row r="905" ht="22.5" customHeight="1">
      <c r="A905" s="223"/>
      <c r="B905" s="125"/>
      <c r="C905" s="125"/>
      <c r="D905" s="125"/>
      <c r="E905" s="125"/>
      <c r="F905" s="125"/>
      <c r="G905" s="125"/>
      <c r="H905" s="125"/>
      <c r="I905" s="627" t="s">
        <v>51</v>
      </c>
      <c r="J905" s="125" t="s">
        <v>51</v>
      </c>
      <c r="K905" s="125" t="s">
        <v>51</v>
      </c>
      <c r="L905" s="125" t="s">
        <v>51</v>
      </c>
      <c r="M905" s="125" t="str">
        <f t="shared" si="1"/>
        <v/>
      </c>
      <c r="N905" s="125" t="str">
        <f t="shared" si="2"/>
        <v/>
      </c>
      <c r="O905" s="125"/>
      <c r="P905" s="125"/>
      <c r="Q905" s="125"/>
      <c r="R905" s="125"/>
      <c r="S905" s="628">
        <f t="shared" si="3"/>
        <v>0</v>
      </c>
      <c r="T905" s="627" t="s">
        <v>51</v>
      </c>
      <c r="U905" s="627" t="s">
        <v>51</v>
      </c>
      <c r="V905" s="627" t="s">
        <v>51</v>
      </c>
      <c r="W905" s="627" t="s">
        <v>51</v>
      </c>
      <c r="X905" s="627" t="s">
        <v>51</v>
      </c>
      <c r="Y905" s="89"/>
    </row>
    <row r="906" ht="22.5" customHeight="1">
      <c r="A906" s="223"/>
      <c r="B906" s="125"/>
      <c r="C906" s="125"/>
      <c r="D906" s="125"/>
      <c r="E906" s="125"/>
      <c r="F906" s="125"/>
      <c r="G906" s="125"/>
      <c r="H906" s="125"/>
      <c r="I906" s="627" t="s">
        <v>51</v>
      </c>
      <c r="J906" s="125" t="s">
        <v>51</v>
      </c>
      <c r="K906" s="125" t="s">
        <v>51</v>
      </c>
      <c r="L906" s="125" t="s">
        <v>51</v>
      </c>
      <c r="M906" s="125" t="str">
        <f t="shared" si="1"/>
        <v/>
      </c>
      <c r="N906" s="125" t="str">
        <f t="shared" si="2"/>
        <v/>
      </c>
      <c r="O906" s="125"/>
      <c r="P906" s="125"/>
      <c r="Q906" s="125"/>
      <c r="R906" s="125"/>
      <c r="S906" s="628">
        <f t="shared" si="3"/>
        <v>0</v>
      </c>
      <c r="T906" s="627" t="s">
        <v>51</v>
      </c>
      <c r="U906" s="627" t="s">
        <v>51</v>
      </c>
      <c r="V906" s="627" t="s">
        <v>51</v>
      </c>
      <c r="W906" s="627" t="s">
        <v>51</v>
      </c>
      <c r="X906" s="627" t="s">
        <v>51</v>
      </c>
      <c r="Y906" s="89"/>
    </row>
    <row r="907" ht="22.5" customHeight="1">
      <c r="A907" s="223"/>
      <c r="B907" s="125"/>
      <c r="C907" s="125"/>
      <c r="D907" s="125"/>
      <c r="E907" s="125"/>
      <c r="F907" s="125"/>
      <c r="G907" s="125"/>
      <c r="H907" s="125"/>
      <c r="I907" s="627" t="s">
        <v>51</v>
      </c>
      <c r="J907" s="125" t="s">
        <v>51</v>
      </c>
      <c r="K907" s="125" t="s">
        <v>51</v>
      </c>
      <c r="L907" s="125" t="s">
        <v>51</v>
      </c>
      <c r="M907" s="125" t="str">
        <f t="shared" si="1"/>
        <v/>
      </c>
      <c r="N907" s="125" t="str">
        <f t="shared" si="2"/>
        <v/>
      </c>
      <c r="O907" s="125"/>
      <c r="P907" s="125"/>
      <c r="Q907" s="125"/>
      <c r="R907" s="125"/>
      <c r="S907" s="628">
        <f t="shared" si="3"/>
        <v>0</v>
      </c>
      <c r="T907" s="627" t="s">
        <v>51</v>
      </c>
      <c r="U907" s="627" t="s">
        <v>51</v>
      </c>
      <c r="V907" s="627" t="s">
        <v>51</v>
      </c>
      <c r="W907" s="627" t="s">
        <v>51</v>
      </c>
      <c r="X907" s="627" t="s">
        <v>51</v>
      </c>
      <c r="Y907" s="89"/>
    </row>
    <row r="908" ht="22.5" customHeight="1">
      <c r="A908" s="223"/>
      <c r="B908" s="125"/>
      <c r="C908" s="125"/>
      <c r="D908" s="125"/>
      <c r="E908" s="125"/>
      <c r="F908" s="125"/>
      <c r="G908" s="125"/>
      <c r="H908" s="125"/>
      <c r="I908" s="627" t="s">
        <v>51</v>
      </c>
      <c r="J908" s="125" t="s">
        <v>51</v>
      </c>
      <c r="K908" s="125" t="s">
        <v>51</v>
      </c>
      <c r="L908" s="125" t="s">
        <v>51</v>
      </c>
      <c r="M908" s="125" t="str">
        <f t="shared" si="1"/>
        <v/>
      </c>
      <c r="N908" s="125" t="str">
        <f t="shared" si="2"/>
        <v/>
      </c>
      <c r="O908" s="125"/>
      <c r="P908" s="125"/>
      <c r="Q908" s="125"/>
      <c r="R908" s="125"/>
      <c r="S908" s="628">
        <f t="shared" si="3"/>
        <v>0</v>
      </c>
      <c r="T908" s="627" t="s">
        <v>51</v>
      </c>
      <c r="U908" s="627" t="s">
        <v>51</v>
      </c>
      <c r="V908" s="627" t="s">
        <v>51</v>
      </c>
      <c r="W908" s="627" t="s">
        <v>51</v>
      </c>
      <c r="X908" s="627" t="s">
        <v>51</v>
      </c>
      <c r="Y908" s="89"/>
    </row>
    <row r="909" ht="22.5" customHeight="1">
      <c r="A909" s="223"/>
      <c r="B909" s="125"/>
      <c r="C909" s="125"/>
      <c r="D909" s="125"/>
      <c r="E909" s="125"/>
      <c r="F909" s="125"/>
      <c r="G909" s="125"/>
      <c r="H909" s="125"/>
      <c r="I909" s="627" t="s">
        <v>51</v>
      </c>
      <c r="J909" s="125" t="s">
        <v>51</v>
      </c>
      <c r="K909" s="125" t="s">
        <v>51</v>
      </c>
      <c r="L909" s="125" t="s">
        <v>51</v>
      </c>
      <c r="M909" s="125" t="str">
        <f t="shared" si="1"/>
        <v/>
      </c>
      <c r="N909" s="125" t="str">
        <f t="shared" si="2"/>
        <v/>
      </c>
      <c r="O909" s="125"/>
      <c r="P909" s="125"/>
      <c r="Q909" s="125"/>
      <c r="R909" s="125"/>
      <c r="S909" s="628">
        <f t="shared" si="3"/>
        <v>0</v>
      </c>
      <c r="T909" s="627" t="s">
        <v>51</v>
      </c>
      <c r="U909" s="627" t="s">
        <v>51</v>
      </c>
      <c r="V909" s="627" t="s">
        <v>51</v>
      </c>
      <c r="W909" s="627" t="s">
        <v>51</v>
      </c>
      <c r="X909" s="627" t="s">
        <v>51</v>
      </c>
      <c r="Y909" s="89"/>
    </row>
    <row r="910" ht="22.5" customHeight="1">
      <c r="A910" s="223"/>
      <c r="B910" s="125"/>
      <c r="C910" s="125"/>
      <c r="D910" s="125"/>
      <c r="E910" s="125"/>
      <c r="F910" s="125"/>
      <c r="G910" s="125"/>
      <c r="H910" s="125"/>
      <c r="I910" s="627" t="s">
        <v>51</v>
      </c>
      <c r="J910" s="125" t="s">
        <v>51</v>
      </c>
      <c r="K910" s="125" t="s">
        <v>51</v>
      </c>
      <c r="L910" s="125" t="s">
        <v>51</v>
      </c>
      <c r="M910" s="125" t="str">
        <f t="shared" si="1"/>
        <v/>
      </c>
      <c r="N910" s="125" t="str">
        <f t="shared" si="2"/>
        <v/>
      </c>
      <c r="O910" s="125"/>
      <c r="P910" s="125"/>
      <c r="Q910" s="125"/>
      <c r="R910" s="125"/>
      <c r="S910" s="628">
        <f t="shared" si="3"/>
        <v>0</v>
      </c>
      <c r="T910" s="627" t="s">
        <v>51</v>
      </c>
      <c r="U910" s="627" t="s">
        <v>51</v>
      </c>
      <c r="V910" s="627" t="s">
        <v>51</v>
      </c>
      <c r="W910" s="627" t="s">
        <v>51</v>
      </c>
      <c r="X910" s="627" t="s">
        <v>51</v>
      </c>
      <c r="Y910" s="89"/>
    </row>
    <row r="911" ht="22.5" customHeight="1">
      <c r="A911" s="223"/>
      <c r="B911" s="125"/>
      <c r="C911" s="125"/>
      <c r="D911" s="125"/>
      <c r="E911" s="125"/>
      <c r="F911" s="125"/>
      <c r="G911" s="125"/>
      <c r="H911" s="125"/>
      <c r="I911" s="627" t="s">
        <v>51</v>
      </c>
      <c r="J911" s="125" t="s">
        <v>51</v>
      </c>
      <c r="K911" s="125" t="s">
        <v>51</v>
      </c>
      <c r="L911" s="125" t="s">
        <v>51</v>
      </c>
      <c r="M911" s="125" t="str">
        <f t="shared" si="1"/>
        <v/>
      </c>
      <c r="N911" s="125" t="str">
        <f t="shared" si="2"/>
        <v/>
      </c>
      <c r="O911" s="125"/>
      <c r="P911" s="125"/>
      <c r="Q911" s="125"/>
      <c r="R911" s="125"/>
      <c r="S911" s="628">
        <f t="shared" si="3"/>
        <v>0</v>
      </c>
      <c r="T911" s="627" t="s">
        <v>51</v>
      </c>
      <c r="U911" s="627" t="s">
        <v>51</v>
      </c>
      <c r="V911" s="627" t="s">
        <v>51</v>
      </c>
      <c r="W911" s="627" t="s">
        <v>51</v>
      </c>
      <c r="X911" s="627" t="s">
        <v>51</v>
      </c>
      <c r="Y911" s="89"/>
    </row>
    <row r="912" ht="22.5" customHeight="1">
      <c r="A912" s="223"/>
      <c r="B912" s="125"/>
      <c r="C912" s="125"/>
      <c r="D912" s="125"/>
      <c r="E912" s="125"/>
      <c r="F912" s="125"/>
      <c r="G912" s="125"/>
      <c r="H912" s="125"/>
      <c r="I912" s="627" t="s">
        <v>51</v>
      </c>
      <c r="J912" s="125" t="s">
        <v>51</v>
      </c>
      <c r="K912" s="125" t="s">
        <v>51</v>
      </c>
      <c r="L912" s="125" t="s">
        <v>51</v>
      </c>
      <c r="M912" s="125" t="str">
        <f t="shared" si="1"/>
        <v/>
      </c>
      <c r="N912" s="125" t="str">
        <f t="shared" si="2"/>
        <v/>
      </c>
      <c r="O912" s="125"/>
      <c r="P912" s="125"/>
      <c r="Q912" s="125"/>
      <c r="R912" s="125"/>
      <c r="S912" s="628">
        <f t="shared" si="3"/>
        <v>0</v>
      </c>
      <c r="T912" s="627" t="s">
        <v>51</v>
      </c>
      <c r="U912" s="627" t="s">
        <v>51</v>
      </c>
      <c r="V912" s="627" t="s">
        <v>51</v>
      </c>
      <c r="W912" s="627" t="s">
        <v>51</v>
      </c>
      <c r="X912" s="627" t="s">
        <v>51</v>
      </c>
      <c r="Y912" s="89"/>
    </row>
    <row r="913" ht="22.5" customHeight="1">
      <c r="A913" s="223"/>
      <c r="B913" s="125"/>
      <c r="C913" s="125"/>
      <c r="D913" s="125"/>
      <c r="E913" s="125"/>
      <c r="F913" s="125"/>
      <c r="G913" s="125"/>
      <c r="H913" s="125"/>
      <c r="I913" s="627" t="s">
        <v>51</v>
      </c>
      <c r="J913" s="125" t="s">
        <v>51</v>
      </c>
      <c r="K913" s="125" t="s">
        <v>51</v>
      </c>
      <c r="L913" s="125" t="s">
        <v>51</v>
      </c>
      <c r="M913" s="125" t="str">
        <f t="shared" si="1"/>
        <v/>
      </c>
      <c r="N913" s="125" t="str">
        <f t="shared" si="2"/>
        <v/>
      </c>
      <c r="O913" s="125"/>
      <c r="P913" s="125"/>
      <c r="Q913" s="125"/>
      <c r="R913" s="125"/>
      <c r="S913" s="628">
        <f t="shared" si="3"/>
        <v>0</v>
      </c>
      <c r="T913" s="627" t="s">
        <v>51</v>
      </c>
      <c r="U913" s="627" t="s">
        <v>51</v>
      </c>
      <c r="V913" s="627" t="s">
        <v>51</v>
      </c>
      <c r="W913" s="627" t="s">
        <v>51</v>
      </c>
      <c r="X913" s="627" t="s">
        <v>51</v>
      </c>
      <c r="Y913" s="89"/>
    </row>
    <row r="914" ht="22.5" customHeight="1">
      <c r="A914" s="223"/>
      <c r="B914" s="125"/>
      <c r="C914" s="125"/>
      <c r="D914" s="125"/>
      <c r="E914" s="125"/>
      <c r="F914" s="125"/>
      <c r="G914" s="125"/>
      <c r="H914" s="125"/>
      <c r="I914" s="627" t="s">
        <v>51</v>
      </c>
      <c r="J914" s="125" t="s">
        <v>51</v>
      </c>
      <c r="K914" s="125" t="s">
        <v>51</v>
      </c>
      <c r="L914" s="125" t="s">
        <v>51</v>
      </c>
      <c r="M914" s="125" t="str">
        <f t="shared" si="1"/>
        <v/>
      </c>
      <c r="N914" s="125" t="str">
        <f t="shared" si="2"/>
        <v/>
      </c>
      <c r="O914" s="125"/>
      <c r="P914" s="125"/>
      <c r="Q914" s="125"/>
      <c r="R914" s="125"/>
      <c r="S914" s="628">
        <f t="shared" si="3"/>
        <v>0</v>
      </c>
      <c r="T914" s="627" t="s">
        <v>51</v>
      </c>
      <c r="U914" s="627" t="s">
        <v>51</v>
      </c>
      <c r="V914" s="627" t="s">
        <v>51</v>
      </c>
      <c r="W914" s="627" t="s">
        <v>51</v>
      </c>
      <c r="X914" s="627" t="s">
        <v>51</v>
      </c>
      <c r="Y914" s="89"/>
    </row>
    <row r="915" ht="22.5" customHeight="1">
      <c r="A915" s="223"/>
      <c r="B915" s="125"/>
      <c r="C915" s="125"/>
      <c r="D915" s="125"/>
      <c r="E915" s="125"/>
      <c r="F915" s="125"/>
      <c r="G915" s="125"/>
      <c r="H915" s="125"/>
      <c r="I915" s="627" t="s">
        <v>51</v>
      </c>
      <c r="J915" s="125" t="s">
        <v>51</v>
      </c>
      <c r="K915" s="125" t="s">
        <v>51</v>
      </c>
      <c r="L915" s="125" t="s">
        <v>51</v>
      </c>
      <c r="M915" s="125" t="str">
        <f t="shared" si="1"/>
        <v/>
      </c>
      <c r="N915" s="125" t="str">
        <f t="shared" si="2"/>
        <v/>
      </c>
      <c r="O915" s="125"/>
      <c r="P915" s="125"/>
      <c r="Q915" s="125"/>
      <c r="R915" s="125"/>
      <c r="S915" s="628">
        <f t="shared" si="3"/>
        <v>0</v>
      </c>
      <c r="T915" s="627" t="s">
        <v>51</v>
      </c>
      <c r="U915" s="627" t="s">
        <v>51</v>
      </c>
      <c r="V915" s="627" t="s">
        <v>51</v>
      </c>
      <c r="W915" s="627" t="s">
        <v>51</v>
      </c>
      <c r="X915" s="627" t="s">
        <v>51</v>
      </c>
      <c r="Y915" s="89"/>
    </row>
    <row r="916" ht="22.5" customHeight="1">
      <c r="A916" s="223"/>
      <c r="B916" s="125"/>
      <c r="C916" s="125"/>
      <c r="D916" s="125"/>
      <c r="E916" s="125"/>
      <c r="F916" s="125"/>
      <c r="G916" s="125"/>
      <c r="H916" s="125"/>
      <c r="I916" s="627" t="s">
        <v>51</v>
      </c>
      <c r="J916" s="125" t="s">
        <v>51</v>
      </c>
      <c r="K916" s="125" t="s">
        <v>51</v>
      </c>
      <c r="L916" s="125" t="s">
        <v>51</v>
      </c>
      <c r="M916" s="125" t="str">
        <f t="shared" si="1"/>
        <v/>
      </c>
      <c r="N916" s="125" t="str">
        <f t="shared" si="2"/>
        <v/>
      </c>
      <c r="O916" s="125"/>
      <c r="P916" s="125"/>
      <c r="Q916" s="125"/>
      <c r="R916" s="125"/>
      <c r="S916" s="628">
        <f t="shared" si="3"/>
        <v>0</v>
      </c>
      <c r="T916" s="627" t="s">
        <v>51</v>
      </c>
      <c r="U916" s="627" t="s">
        <v>51</v>
      </c>
      <c r="V916" s="627" t="s">
        <v>51</v>
      </c>
      <c r="W916" s="627" t="s">
        <v>51</v>
      </c>
      <c r="X916" s="627" t="s">
        <v>51</v>
      </c>
      <c r="Y916" s="89"/>
    </row>
    <row r="917" ht="22.5" customHeight="1">
      <c r="A917" s="223"/>
      <c r="B917" s="125"/>
      <c r="C917" s="125"/>
      <c r="D917" s="125"/>
      <c r="E917" s="125"/>
      <c r="F917" s="125"/>
      <c r="G917" s="125"/>
      <c r="H917" s="125"/>
      <c r="I917" s="627" t="s">
        <v>51</v>
      </c>
      <c r="J917" s="125" t="s">
        <v>51</v>
      </c>
      <c r="K917" s="125" t="s">
        <v>51</v>
      </c>
      <c r="L917" s="125" t="s">
        <v>51</v>
      </c>
      <c r="M917" s="125" t="str">
        <f t="shared" si="1"/>
        <v/>
      </c>
      <c r="N917" s="125" t="str">
        <f t="shared" si="2"/>
        <v/>
      </c>
      <c r="O917" s="125"/>
      <c r="P917" s="125"/>
      <c r="Q917" s="125"/>
      <c r="R917" s="125"/>
      <c r="S917" s="628">
        <f t="shared" si="3"/>
        <v>0</v>
      </c>
      <c r="T917" s="627" t="s">
        <v>51</v>
      </c>
      <c r="U917" s="627" t="s">
        <v>51</v>
      </c>
      <c r="V917" s="627" t="s">
        <v>51</v>
      </c>
      <c r="W917" s="627" t="s">
        <v>51</v>
      </c>
      <c r="X917" s="627" t="s">
        <v>51</v>
      </c>
      <c r="Y917" s="89"/>
    </row>
    <row r="918" ht="22.5" customHeight="1">
      <c r="A918" s="223"/>
      <c r="B918" s="125"/>
      <c r="C918" s="125"/>
      <c r="D918" s="125"/>
      <c r="E918" s="125"/>
      <c r="F918" s="125"/>
      <c r="G918" s="125"/>
      <c r="H918" s="125"/>
      <c r="I918" s="627" t="s">
        <v>51</v>
      </c>
      <c r="J918" s="125" t="s">
        <v>51</v>
      </c>
      <c r="K918" s="125" t="s">
        <v>51</v>
      </c>
      <c r="L918" s="125" t="s">
        <v>51</v>
      </c>
      <c r="M918" s="125" t="str">
        <f t="shared" si="1"/>
        <v/>
      </c>
      <c r="N918" s="125" t="str">
        <f t="shared" si="2"/>
        <v/>
      </c>
      <c r="O918" s="125"/>
      <c r="P918" s="125"/>
      <c r="Q918" s="125"/>
      <c r="R918" s="125"/>
      <c r="S918" s="628">
        <f t="shared" si="3"/>
        <v>0</v>
      </c>
      <c r="T918" s="627" t="s">
        <v>51</v>
      </c>
      <c r="U918" s="627" t="s">
        <v>51</v>
      </c>
      <c r="V918" s="627" t="s">
        <v>51</v>
      </c>
      <c r="W918" s="627" t="s">
        <v>51</v>
      </c>
      <c r="X918" s="627" t="s">
        <v>51</v>
      </c>
      <c r="Y918" s="89"/>
    </row>
    <row r="919" ht="22.5" customHeight="1">
      <c r="A919" s="223"/>
      <c r="B919" s="125"/>
      <c r="C919" s="125"/>
      <c r="D919" s="125"/>
      <c r="E919" s="125"/>
      <c r="F919" s="125"/>
      <c r="G919" s="125"/>
      <c r="H919" s="125"/>
      <c r="I919" s="627" t="s">
        <v>51</v>
      </c>
      <c r="J919" s="125" t="s">
        <v>51</v>
      </c>
      <c r="K919" s="125" t="s">
        <v>51</v>
      </c>
      <c r="L919" s="125" t="s">
        <v>51</v>
      </c>
      <c r="M919" s="125" t="str">
        <f t="shared" si="1"/>
        <v/>
      </c>
      <c r="N919" s="125" t="str">
        <f t="shared" si="2"/>
        <v/>
      </c>
      <c r="O919" s="125"/>
      <c r="P919" s="125"/>
      <c r="Q919" s="125"/>
      <c r="R919" s="125"/>
      <c r="S919" s="628">
        <f t="shared" si="3"/>
        <v>0</v>
      </c>
      <c r="T919" s="627" t="s">
        <v>51</v>
      </c>
      <c r="U919" s="627" t="s">
        <v>51</v>
      </c>
      <c r="V919" s="627" t="s">
        <v>51</v>
      </c>
      <c r="W919" s="627" t="s">
        <v>51</v>
      </c>
      <c r="X919" s="627" t="s">
        <v>51</v>
      </c>
      <c r="Y919" s="89"/>
    </row>
    <row r="920" ht="22.5" customHeight="1">
      <c r="A920" s="223"/>
      <c r="B920" s="125"/>
      <c r="C920" s="125"/>
      <c r="D920" s="125"/>
      <c r="E920" s="125"/>
      <c r="F920" s="125"/>
      <c r="G920" s="125"/>
      <c r="H920" s="125"/>
      <c r="I920" s="627" t="s">
        <v>51</v>
      </c>
      <c r="J920" s="125" t="s">
        <v>51</v>
      </c>
      <c r="K920" s="125" t="s">
        <v>51</v>
      </c>
      <c r="L920" s="125" t="s">
        <v>51</v>
      </c>
      <c r="M920" s="125" t="str">
        <f t="shared" si="1"/>
        <v/>
      </c>
      <c r="N920" s="125" t="str">
        <f t="shared" si="2"/>
        <v/>
      </c>
      <c r="O920" s="125"/>
      <c r="P920" s="125"/>
      <c r="Q920" s="125"/>
      <c r="R920" s="125"/>
      <c r="S920" s="628">
        <f t="shared" si="3"/>
        <v>0</v>
      </c>
      <c r="T920" s="627" t="s">
        <v>51</v>
      </c>
      <c r="U920" s="627" t="s">
        <v>51</v>
      </c>
      <c r="V920" s="627" t="s">
        <v>51</v>
      </c>
      <c r="W920" s="627" t="s">
        <v>51</v>
      </c>
      <c r="X920" s="627" t="s">
        <v>51</v>
      </c>
      <c r="Y920" s="89"/>
    </row>
    <row r="921" ht="22.5" customHeight="1">
      <c r="A921" s="223"/>
      <c r="B921" s="125"/>
      <c r="C921" s="125"/>
      <c r="D921" s="125"/>
      <c r="E921" s="125"/>
      <c r="F921" s="125"/>
      <c r="G921" s="125"/>
      <c r="H921" s="125"/>
      <c r="I921" s="627" t="s">
        <v>51</v>
      </c>
      <c r="J921" s="125" t="s">
        <v>51</v>
      </c>
      <c r="K921" s="125" t="s">
        <v>51</v>
      </c>
      <c r="L921" s="125" t="s">
        <v>51</v>
      </c>
      <c r="M921" s="125" t="str">
        <f t="shared" si="1"/>
        <v/>
      </c>
      <c r="N921" s="125" t="str">
        <f t="shared" si="2"/>
        <v/>
      </c>
      <c r="O921" s="125"/>
      <c r="P921" s="125"/>
      <c r="Q921" s="125"/>
      <c r="R921" s="125"/>
      <c r="S921" s="628">
        <f t="shared" si="3"/>
        <v>0</v>
      </c>
      <c r="T921" s="627" t="s">
        <v>51</v>
      </c>
      <c r="U921" s="627" t="s">
        <v>51</v>
      </c>
      <c r="V921" s="627" t="s">
        <v>51</v>
      </c>
      <c r="W921" s="627" t="s">
        <v>51</v>
      </c>
      <c r="X921" s="627" t="s">
        <v>51</v>
      </c>
      <c r="Y921" s="89"/>
    </row>
    <row r="922" ht="22.5" customHeight="1">
      <c r="A922" s="223"/>
      <c r="B922" s="125"/>
      <c r="C922" s="125"/>
      <c r="D922" s="125"/>
      <c r="E922" s="125"/>
      <c r="F922" s="125"/>
      <c r="G922" s="125"/>
      <c r="H922" s="125"/>
      <c r="I922" s="627" t="s">
        <v>51</v>
      </c>
      <c r="J922" s="125" t="s">
        <v>51</v>
      </c>
      <c r="K922" s="125" t="s">
        <v>51</v>
      </c>
      <c r="L922" s="125" t="s">
        <v>51</v>
      </c>
      <c r="M922" s="125" t="str">
        <f t="shared" si="1"/>
        <v/>
      </c>
      <c r="N922" s="125" t="str">
        <f t="shared" si="2"/>
        <v/>
      </c>
      <c r="O922" s="125"/>
      <c r="P922" s="125"/>
      <c r="Q922" s="125"/>
      <c r="R922" s="125"/>
      <c r="S922" s="628">
        <f t="shared" si="3"/>
        <v>0</v>
      </c>
      <c r="T922" s="627" t="s">
        <v>51</v>
      </c>
      <c r="U922" s="627" t="s">
        <v>51</v>
      </c>
      <c r="V922" s="627" t="s">
        <v>51</v>
      </c>
      <c r="W922" s="627" t="s">
        <v>51</v>
      </c>
      <c r="X922" s="627" t="s">
        <v>51</v>
      </c>
      <c r="Y922" s="89"/>
    </row>
    <row r="923" ht="22.5" customHeight="1">
      <c r="A923" s="223"/>
      <c r="B923" s="125"/>
      <c r="C923" s="125"/>
      <c r="D923" s="125"/>
      <c r="E923" s="125"/>
      <c r="F923" s="125"/>
      <c r="G923" s="125"/>
      <c r="H923" s="125"/>
      <c r="I923" s="627" t="s">
        <v>51</v>
      </c>
      <c r="J923" s="125" t="s">
        <v>51</v>
      </c>
      <c r="K923" s="125" t="s">
        <v>51</v>
      </c>
      <c r="L923" s="125" t="s">
        <v>51</v>
      </c>
      <c r="M923" s="125" t="str">
        <f t="shared" si="1"/>
        <v/>
      </c>
      <c r="N923" s="125" t="str">
        <f t="shared" si="2"/>
        <v/>
      </c>
      <c r="O923" s="125"/>
      <c r="P923" s="125"/>
      <c r="Q923" s="125"/>
      <c r="R923" s="125"/>
      <c r="S923" s="628">
        <f t="shared" si="3"/>
        <v>0</v>
      </c>
      <c r="T923" s="627" t="s">
        <v>51</v>
      </c>
      <c r="U923" s="627" t="s">
        <v>51</v>
      </c>
      <c r="V923" s="627" t="s">
        <v>51</v>
      </c>
      <c r="W923" s="627" t="s">
        <v>51</v>
      </c>
      <c r="X923" s="627" t="s">
        <v>51</v>
      </c>
      <c r="Y923" s="89"/>
    </row>
    <row r="924" ht="22.5" customHeight="1">
      <c r="A924" s="223"/>
      <c r="B924" s="125"/>
      <c r="C924" s="125"/>
      <c r="D924" s="125"/>
      <c r="E924" s="125"/>
      <c r="F924" s="125"/>
      <c r="G924" s="125"/>
      <c r="H924" s="125"/>
      <c r="I924" s="627" t="s">
        <v>51</v>
      </c>
      <c r="J924" s="125" t="s">
        <v>51</v>
      </c>
      <c r="K924" s="125" t="s">
        <v>51</v>
      </c>
      <c r="L924" s="125" t="s">
        <v>51</v>
      </c>
      <c r="M924" s="125" t="str">
        <f t="shared" si="1"/>
        <v/>
      </c>
      <c r="N924" s="125" t="str">
        <f t="shared" si="2"/>
        <v/>
      </c>
      <c r="O924" s="125"/>
      <c r="P924" s="125"/>
      <c r="Q924" s="125"/>
      <c r="R924" s="125"/>
      <c r="S924" s="628">
        <f t="shared" si="3"/>
        <v>0</v>
      </c>
      <c r="T924" s="627" t="s">
        <v>51</v>
      </c>
      <c r="U924" s="627" t="s">
        <v>51</v>
      </c>
      <c r="V924" s="627" t="s">
        <v>51</v>
      </c>
      <c r="W924" s="627" t="s">
        <v>51</v>
      </c>
      <c r="X924" s="627" t="s">
        <v>51</v>
      </c>
      <c r="Y924" s="89"/>
    </row>
    <row r="925" ht="22.5" customHeight="1">
      <c r="A925" s="223"/>
      <c r="B925" s="125"/>
      <c r="C925" s="125"/>
      <c r="D925" s="125"/>
      <c r="E925" s="125"/>
      <c r="F925" s="125"/>
      <c r="G925" s="125"/>
      <c r="H925" s="125"/>
      <c r="I925" s="627" t="s">
        <v>51</v>
      </c>
      <c r="J925" s="125" t="s">
        <v>51</v>
      </c>
      <c r="K925" s="125" t="s">
        <v>51</v>
      </c>
      <c r="L925" s="125" t="s">
        <v>51</v>
      </c>
      <c r="M925" s="125" t="str">
        <f t="shared" si="1"/>
        <v/>
      </c>
      <c r="N925" s="125" t="str">
        <f t="shared" si="2"/>
        <v/>
      </c>
      <c r="O925" s="125"/>
      <c r="P925" s="125"/>
      <c r="Q925" s="125"/>
      <c r="R925" s="125"/>
      <c r="S925" s="628">
        <f t="shared" si="3"/>
        <v>0</v>
      </c>
      <c r="T925" s="627" t="s">
        <v>51</v>
      </c>
      <c r="U925" s="627" t="s">
        <v>51</v>
      </c>
      <c r="V925" s="627" t="s">
        <v>51</v>
      </c>
      <c r="W925" s="627" t="s">
        <v>51</v>
      </c>
      <c r="X925" s="627" t="s">
        <v>51</v>
      </c>
      <c r="Y925" s="89"/>
    </row>
    <row r="926" ht="22.5" customHeight="1">
      <c r="A926" s="223"/>
      <c r="B926" s="125"/>
      <c r="C926" s="125"/>
      <c r="D926" s="125"/>
      <c r="E926" s="125"/>
      <c r="F926" s="125"/>
      <c r="G926" s="125"/>
      <c r="H926" s="125"/>
      <c r="I926" s="627" t="s">
        <v>51</v>
      </c>
      <c r="J926" s="125" t="s">
        <v>51</v>
      </c>
      <c r="K926" s="125" t="s">
        <v>51</v>
      </c>
      <c r="L926" s="125" t="s">
        <v>51</v>
      </c>
      <c r="M926" s="125" t="str">
        <f t="shared" si="1"/>
        <v/>
      </c>
      <c r="N926" s="125" t="str">
        <f t="shared" si="2"/>
        <v/>
      </c>
      <c r="O926" s="125"/>
      <c r="P926" s="125"/>
      <c r="Q926" s="125"/>
      <c r="R926" s="125"/>
      <c r="S926" s="628">
        <f t="shared" si="3"/>
        <v>0</v>
      </c>
      <c r="T926" s="627" t="s">
        <v>51</v>
      </c>
      <c r="U926" s="627" t="s">
        <v>51</v>
      </c>
      <c r="V926" s="627" t="s">
        <v>51</v>
      </c>
      <c r="W926" s="627" t="s">
        <v>51</v>
      </c>
      <c r="X926" s="627" t="s">
        <v>51</v>
      </c>
      <c r="Y926" s="89"/>
    </row>
    <row r="927" ht="22.5" customHeight="1">
      <c r="A927" s="223"/>
      <c r="B927" s="125"/>
      <c r="C927" s="125"/>
      <c r="D927" s="125"/>
      <c r="E927" s="125"/>
      <c r="F927" s="125"/>
      <c r="G927" s="125"/>
      <c r="H927" s="125"/>
      <c r="I927" s="627" t="s">
        <v>51</v>
      </c>
      <c r="J927" s="125" t="s">
        <v>51</v>
      </c>
      <c r="K927" s="125" t="s">
        <v>51</v>
      </c>
      <c r="L927" s="125" t="s">
        <v>51</v>
      </c>
      <c r="M927" s="125" t="str">
        <f t="shared" si="1"/>
        <v/>
      </c>
      <c r="N927" s="125" t="str">
        <f t="shared" si="2"/>
        <v/>
      </c>
      <c r="O927" s="125"/>
      <c r="P927" s="125"/>
      <c r="Q927" s="125"/>
      <c r="R927" s="125"/>
      <c r="S927" s="628">
        <f t="shared" si="3"/>
        <v>0</v>
      </c>
      <c r="T927" s="627" t="s">
        <v>51</v>
      </c>
      <c r="U927" s="627" t="s">
        <v>51</v>
      </c>
      <c r="V927" s="627" t="s">
        <v>51</v>
      </c>
      <c r="W927" s="627" t="s">
        <v>51</v>
      </c>
      <c r="X927" s="627" t="s">
        <v>51</v>
      </c>
      <c r="Y927" s="89"/>
    </row>
    <row r="928" ht="22.5" customHeight="1">
      <c r="A928" s="223"/>
      <c r="B928" s="125"/>
      <c r="C928" s="125"/>
      <c r="D928" s="125"/>
      <c r="E928" s="125"/>
      <c r="F928" s="125"/>
      <c r="G928" s="125"/>
      <c r="H928" s="125"/>
      <c r="I928" s="627" t="s">
        <v>51</v>
      </c>
      <c r="J928" s="125" t="s">
        <v>51</v>
      </c>
      <c r="K928" s="125" t="s">
        <v>51</v>
      </c>
      <c r="L928" s="125" t="s">
        <v>51</v>
      </c>
      <c r="M928" s="125" t="str">
        <f t="shared" si="1"/>
        <v/>
      </c>
      <c r="N928" s="125" t="str">
        <f t="shared" si="2"/>
        <v/>
      </c>
      <c r="O928" s="125"/>
      <c r="P928" s="125"/>
      <c r="Q928" s="125"/>
      <c r="R928" s="125"/>
      <c r="S928" s="628">
        <f t="shared" si="3"/>
        <v>0</v>
      </c>
      <c r="T928" s="627" t="s">
        <v>51</v>
      </c>
      <c r="U928" s="627" t="s">
        <v>51</v>
      </c>
      <c r="V928" s="627" t="s">
        <v>51</v>
      </c>
      <c r="W928" s="627" t="s">
        <v>51</v>
      </c>
      <c r="X928" s="627" t="s">
        <v>51</v>
      </c>
      <c r="Y928" s="89"/>
    </row>
    <row r="929" ht="22.5" customHeight="1">
      <c r="A929" s="223"/>
      <c r="B929" s="125"/>
      <c r="C929" s="125"/>
      <c r="D929" s="125"/>
      <c r="E929" s="125"/>
      <c r="F929" s="125"/>
      <c r="G929" s="125"/>
      <c r="H929" s="125"/>
      <c r="I929" s="627" t="s">
        <v>51</v>
      </c>
      <c r="J929" s="125" t="s">
        <v>51</v>
      </c>
      <c r="K929" s="125" t="s">
        <v>51</v>
      </c>
      <c r="L929" s="125" t="s">
        <v>51</v>
      </c>
      <c r="M929" s="125" t="str">
        <f t="shared" si="1"/>
        <v/>
      </c>
      <c r="N929" s="125" t="str">
        <f t="shared" si="2"/>
        <v/>
      </c>
      <c r="O929" s="125"/>
      <c r="P929" s="125"/>
      <c r="Q929" s="125"/>
      <c r="R929" s="125"/>
      <c r="S929" s="628">
        <f t="shared" si="3"/>
        <v>0</v>
      </c>
      <c r="T929" s="627" t="s">
        <v>51</v>
      </c>
      <c r="U929" s="627" t="s">
        <v>51</v>
      </c>
      <c r="V929" s="627" t="s">
        <v>51</v>
      </c>
      <c r="W929" s="627" t="s">
        <v>51</v>
      </c>
      <c r="X929" s="627" t="s">
        <v>51</v>
      </c>
      <c r="Y929" s="89"/>
    </row>
    <row r="930" ht="22.5" customHeight="1">
      <c r="A930" s="223"/>
      <c r="B930" s="125"/>
      <c r="C930" s="125"/>
      <c r="D930" s="125"/>
      <c r="E930" s="125"/>
      <c r="F930" s="125"/>
      <c r="G930" s="125"/>
      <c r="H930" s="125"/>
      <c r="I930" s="627" t="s">
        <v>51</v>
      </c>
      <c r="J930" s="125" t="s">
        <v>51</v>
      </c>
      <c r="K930" s="125" t="s">
        <v>51</v>
      </c>
      <c r="L930" s="125" t="s">
        <v>51</v>
      </c>
      <c r="M930" s="125" t="str">
        <f t="shared" si="1"/>
        <v/>
      </c>
      <c r="N930" s="125" t="str">
        <f t="shared" si="2"/>
        <v/>
      </c>
      <c r="O930" s="125"/>
      <c r="P930" s="125"/>
      <c r="Q930" s="125"/>
      <c r="R930" s="125"/>
      <c r="S930" s="628">
        <f t="shared" si="3"/>
        <v>0</v>
      </c>
      <c r="T930" s="627" t="s">
        <v>51</v>
      </c>
      <c r="U930" s="627" t="s">
        <v>51</v>
      </c>
      <c r="V930" s="627" t="s">
        <v>51</v>
      </c>
      <c r="W930" s="627" t="s">
        <v>51</v>
      </c>
      <c r="X930" s="627" t="s">
        <v>51</v>
      </c>
      <c r="Y930" s="89"/>
    </row>
    <row r="931" ht="22.5" customHeight="1">
      <c r="A931" s="223"/>
      <c r="B931" s="125"/>
      <c r="C931" s="125"/>
      <c r="D931" s="125"/>
      <c r="E931" s="125"/>
      <c r="F931" s="125"/>
      <c r="G931" s="125"/>
      <c r="H931" s="125"/>
      <c r="I931" s="627" t="s">
        <v>51</v>
      </c>
      <c r="J931" s="125" t="s">
        <v>51</v>
      </c>
      <c r="K931" s="125" t="s">
        <v>51</v>
      </c>
      <c r="L931" s="125" t="s">
        <v>51</v>
      </c>
      <c r="M931" s="125" t="str">
        <f t="shared" si="1"/>
        <v/>
      </c>
      <c r="N931" s="125" t="str">
        <f t="shared" si="2"/>
        <v/>
      </c>
      <c r="O931" s="125"/>
      <c r="P931" s="125"/>
      <c r="Q931" s="125"/>
      <c r="R931" s="125"/>
      <c r="S931" s="628">
        <f t="shared" si="3"/>
        <v>0</v>
      </c>
      <c r="T931" s="627" t="s">
        <v>51</v>
      </c>
      <c r="U931" s="627" t="s">
        <v>51</v>
      </c>
      <c r="V931" s="627" t="s">
        <v>51</v>
      </c>
      <c r="W931" s="627" t="s">
        <v>51</v>
      </c>
      <c r="X931" s="627" t="s">
        <v>51</v>
      </c>
      <c r="Y931" s="89"/>
    </row>
    <row r="932" ht="22.5" customHeight="1">
      <c r="A932" s="223"/>
      <c r="B932" s="125"/>
      <c r="C932" s="125"/>
      <c r="D932" s="125"/>
      <c r="E932" s="125"/>
      <c r="F932" s="125"/>
      <c r="G932" s="125"/>
      <c r="H932" s="125"/>
      <c r="I932" s="627" t="s">
        <v>51</v>
      </c>
      <c r="J932" s="125" t="s">
        <v>51</v>
      </c>
      <c r="K932" s="125" t="s">
        <v>51</v>
      </c>
      <c r="L932" s="125" t="s">
        <v>51</v>
      </c>
      <c r="M932" s="125" t="str">
        <f t="shared" si="1"/>
        <v/>
      </c>
      <c r="N932" s="125" t="str">
        <f t="shared" si="2"/>
        <v/>
      </c>
      <c r="O932" s="125"/>
      <c r="P932" s="125"/>
      <c r="Q932" s="125"/>
      <c r="R932" s="125"/>
      <c r="S932" s="628">
        <f t="shared" si="3"/>
        <v>0</v>
      </c>
      <c r="T932" s="627" t="s">
        <v>51</v>
      </c>
      <c r="U932" s="627" t="s">
        <v>51</v>
      </c>
      <c r="V932" s="627" t="s">
        <v>51</v>
      </c>
      <c r="W932" s="627" t="s">
        <v>51</v>
      </c>
      <c r="X932" s="627" t="s">
        <v>51</v>
      </c>
      <c r="Y932" s="89"/>
    </row>
    <row r="933" ht="22.5" customHeight="1">
      <c r="A933" s="223"/>
      <c r="B933" s="125"/>
      <c r="C933" s="125"/>
      <c r="D933" s="125"/>
      <c r="E933" s="125"/>
      <c r="F933" s="125"/>
      <c r="G933" s="125"/>
      <c r="H933" s="125"/>
      <c r="I933" s="627" t="s">
        <v>51</v>
      </c>
      <c r="J933" s="125" t="s">
        <v>51</v>
      </c>
      <c r="K933" s="125" t="s">
        <v>51</v>
      </c>
      <c r="L933" s="125" t="s">
        <v>51</v>
      </c>
      <c r="M933" s="125" t="str">
        <f t="shared" si="1"/>
        <v/>
      </c>
      <c r="N933" s="125" t="str">
        <f t="shared" si="2"/>
        <v/>
      </c>
      <c r="O933" s="125"/>
      <c r="P933" s="125"/>
      <c r="Q933" s="125"/>
      <c r="R933" s="125"/>
      <c r="S933" s="628">
        <f t="shared" si="3"/>
        <v>0</v>
      </c>
      <c r="T933" s="627" t="s">
        <v>51</v>
      </c>
      <c r="U933" s="627" t="s">
        <v>51</v>
      </c>
      <c r="V933" s="627" t="s">
        <v>51</v>
      </c>
      <c r="W933" s="627" t="s">
        <v>51</v>
      </c>
      <c r="X933" s="627" t="s">
        <v>51</v>
      </c>
      <c r="Y933" s="89"/>
    </row>
    <row r="934" ht="22.5" customHeight="1">
      <c r="A934" s="223"/>
      <c r="B934" s="125"/>
      <c r="C934" s="125"/>
      <c r="D934" s="125"/>
      <c r="E934" s="125"/>
      <c r="F934" s="125"/>
      <c r="G934" s="125"/>
      <c r="H934" s="125"/>
      <c r="I934" s="627" t="s">
        <v>51</v>
      </c>
      <c r="J934" s="125" t="s">
        <v>51</v>
      </c>
      <c r="K934" s="125" t="s">
        <v>51</v>
      </c>
      <c r="L934" s="125" t="s">
        <v>51</v>
      </c>
      <c r="M934" s="125" t="str">
        <f t="shared" si="1"/>
        <v/>
      </c>
      <c r="N934" s="125" t="str">
        <f t="shared" si="2"/>
        <v/>
      </c>
      <c r="O934" s="125"/>
      <c r="P934" s="125"/>
      <c r="Q934" s="125"/>
      <c r="R934" s="125"/>
      <c r="S934" s="628">
        <f t="shared" si="3"/>
        <v>0</v>
      </c>
      <c r="T934" s="627" t="s">
        <v>51</v>
      </c>
      <c r="U934" s="627" t="s">
        <v>51</v>
      </c>
      <c r="V934" s="627" t="s">
        <v>51</v>
      </c>
      <c r="W934" s="627" t="s">
        <v>51</v>
      </c>
      <c r="X934" s="627" t="s">
        <v>51</v>
      </c>
      <c r="Y934" s="89"/>
    </row>
    <row r="935" ht="22.5" customHeight="1">
      <c r="A935" s="223"/>
      <c r="B935" s="125"/>
      <c r="C935" s="125"/>
      <c r="D935" s="125"/>
      <c r="E935" s="125"/>
      <c r="F935" s="125"/>
      <c r="G935" s="125"/>
      <c r="H935" s="125"/>
      <c r="I935" s="627" t="s">
        <v>51</v>
      </c>
      <c r="J935" s="125" t="s">
        <v>51</v>
      </c>
      <c r="K935" s="125" t="s">
        <v>51</v>
      </c>
      <c r="L935" s="125" t="s">
        <v>51</v>
      </c>
      <c r="M935" s="125" t="str">
        <f t="shared" si="1"/>
        <v/>
      </c>
      <c r="N935" s="125" t="str">
        <f t="shared" si="2"/>
        <v/>
      </c>
      <c r="O935" s="125"/>
      <c r="P935" s="125"/>
      <c r="Q935" s="125"/>
      <c r="R935" s="125"/>
      <c r="S935" s="628">
        <f t="shared" si="3"/>
        <v>0</v>
      </c>
      <c r="T935" s="627" t="s">
        <v>51</v>
      </c>
      <c r="U935" s="627" t="s">
        <v>51</v>
      </c>
      <c r="V935" s="627" t="s">
        <v>51</v>
      </c>
      <c r="W935" s="627" t="s">
        <v>51</v>
      </c>
      <c r="X935" s="627" t="s">
        <v>51</v>
      </c>
      <c r="Y935" s="89"/>
    </row>
    <row r="936" ht="22.5" customHeight="1">
      <c r="A936" s="223"/>
      <c r="B936" s="125"/>
      <c r="C936" s="125"/>
      <c r="D936" s="125"/>
      <c r="E936" s="125"/>
      <c r="F936" s="125"/>
      <c r="G936" s="125"/>
      <c r="H936" s="125"/>
      <c r="I936" s="627" t="s">
        <v>51</v>
      </c>
      <c r="J936" s="125" t="s">
        <v>51</v>
      </c>
      <c r="K936" s="125" t="s">
        <v>51</v>
      </c>
      <c r="L936" s="125" t="s">
        <v>51</v>
      </c>
      <c r="M936" s="125" t="str">
        <f t="shared" si="1"/>
        <v/>
      </c>
      <c r="N936" s="125" t="str">
        <f t="shared" si="2"/>
        <v/>
      </c>
      <c r="O936" s="125"/>
      <c r="P936" s="125"/>
      <c r="Q936" s="125"/>
      <c r="R936" s="125"/>
      <c r="S936" s="628">
        <f t="shared" si="3"/>
        <v>0</v>
      </c>
      <c r="T936" s="627" t="s">
        <v>51</v>
      </c>
      <c r="U936" s="627" t="s">
        <v>51</v>
      </c>
      <c r="V936" s="627" t="s">
        <v>51</v>
      </c>
      <c r="W936" s="627" t="s">
        <v>51</v>
      </c>
      <c r="X936" s="627" t="s">
        <v>51</v>
      </c>
      <c r="Y936" s="89"/>
    </row>
    <row r="937" ht="22.5" customHeight="1">
      <c r="A937" s="223"/>
      <c r="B937" s="125"/>
      <c r="C937" s="125"/>
      <c r="D937" s="125"/>
      <c r="E937" s="125"/>
      <c r="F937" s="125"/>
      <c r="G937" s="125"/>
      <c r="H937" s="125"/>
      <c r="I937" s="627" t="s">
        <v>51</v>
      </c>
      <c r="J937" s="125" t="s">
        <v>51</v>
      </c>
      <c r="K937" s="125" t="s">
        <v>51</v>
      </c>
      <c r="L937" s="125" t="s">
        <v>51</v>
      </c>
      <c r="M937" s="125" t="str">
        <f t="shared" si="1"/>
        <v/>
      </c>
      <c r="N937" s="125" t="str">
        <f t="shared" si="2"/>
        <v/>
      </c>
      <c r="O937" s="125"/>
      <c r="P937" s="125"/>
      <c r="Q937" s="125"/>
      <c r="R937" s="125"/>
      <c r="S937" s="628">
        <f t="shared" si="3"/>
        <v>0</v>
      </c>
      <c r="T937" s="627" t="s">
        <v>51</v>
      </c>
      <c r="U937" s="627" t="s">
        <v>51</v>
      </c>
      <c r="V937" s="627" t="s">
        <v>51</v>
      </c>
      <c r="W937" s="627" t="s">
        <v>51</v>
      </c>
      <c r="X937" s="627" t="s">
        <v>51</v>
      </c>
      <c r="Y937" s="89"/>
    </row>
    <row r="938" ht="22.5" customHeight="1">
      <c r="A938" s="223"/>
      <c r="B938" s="125"/>
      <c r="C938" s="125"/>
      <c r="D938" s="125"/>
      <c r="E938" s="125"/>
      <c r="F938" s="125"/>
      <c r="G938" s="125"/>
      <c r="H938" s="125"/>
      <c r="I938" s="627" t="s">
        <v>51</v>
      </c>
      <c r="J938" s="125" t="s">
        <v>51</v>
      </c>
      <c r="K938" s="125" t="s">
        <v>51</v>
      </c>
      <c r="L938" s="125" t="s">
        <v>51</v>
      </c>
      <c r="M938" s="125" t="str">
        <f t="shared" si="1"/>
        <v/>
      </c>
      <c r="N938" s="125" t="str">
        <f t="shared" si="2"/>
        <v/>
      </c>
      <c r="O938" s="125"/>
      <c r="P938" s="125"/>
      <c r="Q938" s="125"/>
      <c r="R938" s="125"/>
      <c r="S938" s="628">
        <f t="shared" si="3"/>
        <v>0</v>
      </c>
      <c r="T938" s="627" t="s">
        <v>51</v>
      </c>
      <c r="U938" s="627" t="s">
        <v>51</v>
      </c>
      <c r="V938" s="627" t="s">
        <v>51</v>
      </c>
      <c r="W938" s="627" t="s">
        <v>51</v>
      </c>
      <c r="X938" s="627" t="s">
        <v>51</v>
      </c>
      <c r="Y938" s="89"/>
    </row>
    <row r="939" ht="22.5" customHeight="1">
      <c r="A939" s="223"/>
      <c r="B939" s="125"/>
      <c r="C939" s="125"/>
      <c r="D939" s="125"/>
      <c r="E939" s="125"/>
      <c r="F939" s="125"/>
      <c r="G939" s="125"/>
      <c r="H939" s="125"/>
      <c r="I939" s="627" t="s">
        <v>51</v>
      </c>
      <c r="J939" s="125" t="s">
        <v>51</v>
      </c>
      <c r="K939" s="125" t="s">
        <v>51</v>
      </c>
      <c r="L939" s="125" t="s">
        <v>51</v>
      </c>
      <c r="M939" s="125" t="str">
        <f t="shared" si="1"/>
        <v/>
      </c>
      <c r="N939" s="125" t="str">
        <f t="shared" si="2"/>
        <v/>
      </c>
      <c r="O939" s="125"/>
      <c r="P939" s="125"/>
      <c r="Q939" s="125"/>
      <c r="R939" s="125"/>
      <c r="S939" s="628">
        <f t="shared" si="3"/>
        <v>0</v>
      </c>
      <c r="T939" s="627" t="s">
        <v>51</v>
      </c>
      <c r="U939" s="627" t="s">
        <v>51</v>
      </c>
      <c r="V939" s="627" t="s">
        <v>51</v>
      </c>
      <c r="W939" s="627" t="s">
        <v>51</v>
      </c>
      <c r="X939" s="627" t="s">
        <v>51</v>
      </c>
      <c r="Y939" s="89"/>
    </row>
    <row r="940" ht="22.5" customHeight="1">
      <c r="A940" s="223"/>
      <c r="B940" s="125"/>
      <c r="C940" s="125"/>
      <c r="D940" s="125"/>
      <c r="E940" s="125"/>
      <c r="F940" s="125"/>
      <c r="G940" s="125"/>
      <c r="H940" s="125"/>
      <c r="I940" s="627" t="s">
        <v>51</v>
      </c>
      <c r="J940" s="125" t="s">
        <v>51</v>
      </c>
      <c r="K940" s="125" t="s">
        <v>51</v>
      </c>
      <c r="L940" s="125" t="s">
        <v>51</v>
      </c>
      <c r="M940" s="125" t="str">
        <f t="shared" si="1"/>
        <v/>
      </c>
      <c r="N940" s="125" t="str">
        <f t="shared" si="2"/>
        <v/>
      </c>
      <c r="O940" s="125"/>
      <c r="P940" s="125"/>
      <c r="Q940" s="125"/>
      <c r="R940" s="125"/>
      <c r="S940" s="628">
        <f t="shared" si="3"/>
        <v>0</v>
      </c>
      <c r="T940" s="627" t="s">
        <v>51</v>
      </c>
      <c r="U940" s="627" t="s">
        <v>51</v>
      </c>
      <c r="V940" s="627" t="s">
        <v>51</v>
      </c>
      <c r="W940" s="627" t="s">
        <v>51</v>
      </c>
      <c r="X940" s="627" t="s">
        <v>51</v>
      </c>
      <c r="Y940" s="89"/>
    </row>
    <row r="941" ht="22.5" customHeight="1">
      <c r="A941" s="223"/>
      <c r="B941" s="125"/>
      <c r="C941" s="125"/>
      <c r="D941" s="125"/>
      <c r="E941" s="125"/>
      <c r="F941" s="125"/>
      <c r="G941" s="125"/>
      <c r="H941" s="125"/>
      <c r="I941" s="627" t="s">
        <v>51</v>
      </c>
      <c r="J941" s="125" t="s">
        <v>51</v>
      </c>
      <c r="K941" s="125" t="s">
        <v>51</v>
      </c>
      <c r="L941" s="125" t="s">
        <v>51</v>
      </c>
      <c r="M941" s="125" t="str">
        <f t="shared" si="1"/>
        <v/>
      </c>
      <c r="N941" s="125" t="str">
        <f t="shared" si="2"/>
        <v/>
      </c>
      <c r="O941" s="125"/>
      <c r="P941" s="125"/>
      <c r="Q941" s="125"/>
      <c r="R941" s="125"/>
      <c r="S941" s="628">
        <f t="shared" si="3"/>
        <v>0</v>
      </c>
      <c r="T941" s="627" t="s">
        <v>51</v>
      </c>
      <c r="U941" s="627" t="s">
        <v>51</v>
      </c>
      <c r="V941" s="627" t="s">
        <v>51</v>
      </c>
      <c r="W941" s="627" t="s">
        <v>51</v>
      </c>
      <c r="X941" s="627" t="s">
        <v>51</v>
      </c>
      <c r="Y941" s="89"/>
    </row>
    <row r="942" ht="22.5" customHeight="1">
      <c r="A942" s="223"/>
      <c r="B942" s="125"/>
      <c r="C942" s="125"/>
      <c r="D942" s="125"/>
      <c r="E942" s="125"/>
      <c r="F942" s="125"/>
      <c r="G942" s="125"/>
      <c r="H942" s="125"/>
      <c r="I942" s="627" t="s">
        <v>51</v>
      </c>
      <c r="J942" s="125" t="s">
        <v>51</v>
      </c>
      <c r="K942" s="125" t="s">
        <v>51</v>
      </c>
      <c r="L942" s="125" t="s">
        <v>51</v>
      </c>
      <c r="M942" s="125" t="str">
        <f t="shared" si="1"/>
        <v/>
      </c>
      <c r="N942" s="125" t="str">
        <f t="shared" si="2"/>
        <v/>
      </c>
      <c r="O942" s="125"/>
      <c r="P942" s="125"/>
      <c r="Q942" s="125"/>
      <c r="R942" s="125"/>
      <c r="S942" s="628">
        <f t="shared" si="3"/>
        <v>0</v>
      </c>
      <c r="T942" s="627" t="s">
        <v>51</v>
      </c>
      <c r="U942" s="627" t="s">
        <v>51</v>
      </c>
      <c r="V942" s="627" t="s">
        <v>51</v>
      </c>
      <c r="W942" s="627" t="s">
        <v>51</v>
      </c>
      <c r="X942" s="627" t="s">
        <v>51</v>
      </c>
      <c r="Y942" s="89"/>
    </row>
    <row r="943" ht="22.5" customHeight="1">
      <c r="A943" s="223"/>
      <c r="B943" s="125"/>
      <c r="C943" s="125"/>
      <c r="D943" s="125"/>
      <c r="E943" s="125"/>
      <c r="F943" s="125"/>
      <c r="G943" s="125"/>
      <c r="H943" s="125"/>
      <c r="I943" s="627" t="s">
        <v>51</v>
      </c>
      <c r="J943" s="125" t="s">
        <v>51</v>
      </c>
      <c r="K943" s="125" t="s">
        <v>51</v>
      </c>
      <c r="L943" s="125" t="s">
        <v>51</v>
      </c>
      <c r="M943" s="125" t="str">
        <f t="shared" si="1"/>
        <v/>
      </c>
      <c r="N943" s="125" t="str">
        <f t="shared" si="2"/>
        <v/>
      </c>
      <c r="O943" s="125"/>
      <c r="P943" s="125"/>
      <c r="Q943" s="125"/>
      <c r="R943" s="125"/>
      <c r="S943" s="628">
        <f t="shared" si="3"/>
        <v>0</v>
      </c>
      <c r="T943" s="627" t="s">
        <v>51</v>
      </c>
      <c r="U943" s="627" t="s">
        <v>51</v>
      </c>
      <c r="V943" s="627" t="s">
        <v>51</v>
      </c>
      <c r="W943" s="627" t="s">
        <v>51</v>
      </c>
      <c r="X943" s="627" t="s">
        <v>51</v>
      </c>
      <c r="Y943" s="89"/>
    </row>
    <row r="944" ht="22.5" customHeight="1">
      <c r="A944" s="223"/>
      <c r="B944" s="125"/>
      <c r="C944" s="125"/>
      <c r="D944" s="125"/>
      <c r="E944" s="125"/>
      <c r="F944" s="125"/>
      <c r="G944" s="125"/>
      <c r="H944" s="125"/>
      <c r="I944" s="627" t="s">
        <v>51</v>
      </c>
      <c r="J944" s="125" t="s">
        <v>51</v>
      </c>
      <c r="K944" s="125" t="s">
        <v>51</v>
      </c>
      <c r="L944" s="125" t="s">
        <v>51</v>
      </c>
      <c r="M944" s="125" t="str">
        <f t="shared" si="1"/>
        <v/>
      </c>
      <c r="N944" s="125" t="str">
        <f t="shared" si="2"/>
        <v/>
      </c>
      <c r="O944" s="125"/>
      <c r="P944" s="125"/>
      <c r="Q944" s="125"/>
      <c r="R944" s="125"/>
      <c r="S944" s="628">
        <f t="shared" si="3"/>
        <v>0</v>
      </c>
      <c r="T944" s="627" t="s">
        <v>51</v>
      </c>
      <c r="U944" s="627" t="s">
        <v>51</v>
      </c>
      <c r="V944" s="627" t="s">
        <v>51</v>
      </c>
      <c r="W944" s="627" t="s">
        <v>51</v>
      </c>
      <c r="X944" s="627" t="s">
        <v>51</v>
      </c>
      <c r="Y944" s="89"/>
    </row>
    <row r="945" ht="22.5" customHeight="1">
      <c r="A945" s="223"/>
      <c r="B945" s="125"/>
      <c r="C945" s="125"/>
      <c r="D945" s="125"/>
      <c r="E945" s="125"/>
      <c r="F945" s="125"/>
      <c r="G945" s="125"/>
      <c r="H945" s="125"/>
      <c r="I945" s="627" t="s">
        <v>51</v>
      </c>
      <c r="J945" s="125" t="s">
        <v>51</v>
      </c>
      <c r="K945" s="125" t="s">
        <v>51</v>
      </c>
      <c r="L945" s="125" t="s">
        <v>51</v>
      </c>
      <c r="M945" s="125" t="str">
        <f t="shared" si="1"/>
        <v/>
      </c>
      <c r="N945" s="125" t="str">
        <f t="shared" si="2"/>
        <v/>
      </c>
      <c r="O945" s="125"/>
      <c r="P945" s="125"/>
      <c r="Q945" s="125"/>
      <c r="R945" s="125"/>
      <c r="S945" s="628">
        <f t="shared" si="3"/>
        <v>0</v>
      </c>
      <c r="T945" s="627" t="s">
        <v>51</v>
      </c>
      <c r="U945" s="627" t="s">
        <v>51</v>
      </c>
      <c r="V945" s="627" t="s">
        <v>51</v>
      </c>
      <c r="W945" s="627" t="s">
        <v>51</v>
      </c>
      <c r="X945" s="627" t="s">
        <v>51</v>
      </c>
      <c r="Y945" s="89"/>
    </row>
    <row r="946" ht="22.5" customHeight="1">
      <c r="A946" s="223"/>
      <c r="B946" s="125"/>
      <c r="C946" s="125"/>
      <c r="D946" s="125"/>
      <c r="E946" s="125"/>
      <c r="F946" s="125"/>
      <c r="G946" s="125"/>
      <c r="H946" s="125"/>
      <c r="I946" s="627" t="s">
        <v>51</v>
      </c>
      <c r="J946" s="125" t="s">
        <v>51</v>
      </c>
      <c r="K946" s="125" t="s">
        <v>51</v>
      </c>
      <c r="L946" s="125" t="s">
        <v>51</v>
      </c>
      <c r="M946" s="125" t="str">
        <f t="shared" si="1"/>
        <v/>
      </c>
      <c r="N946" s="125" t="str">
        <f t="shared" si="2"/>
        <v/>
      </c>
      <c r="O946" s="125"/>
      <c r="P946" s="125"/>
      <c r="Q946" s="125"/>
      <c r="R946" s="125"/>
      <c r="S946" s="628">
        <f t="shared" si="3"/>
        <v>0</v>
      </c>
      <c r="T946" s="627" t="s">
        <v>51</v>
      </c>
      <c r="U946" s="627" t="s">
        <v>51</v>
      </c>
      <c r="V946" s="627" t="s">
        <v>51</v>
      </c>
      <c r="W946" s="627" t="s">
        <v>51</v>
      </c>
      <c r="X946" s="627" t="s">
        <v>51</v>
      </c>
      <c r="Y946" s="89"/>
    </row>
    <row r="947" ht="22.5" customHeight="1">
      <c r="A947" s="223"/>
      <c r="B947" s="125"/>
      <c r="C947" s="125"/>
      <c r="D947" s="125"/>
      <c r="E947" s="125"/>
      <c r="F947" s="125"/>
      <c r="G947" s="125"/>
      <c r="H947" s="125"/>
      <c r="I947" s="627" t="s">
        <v>51</v>
      </c>
      <c r="J947" s="125" t="s">
        <v>51</v>
      </c>
      <c r="K947" s="125" t="s">
        <v>51</v>
      </c>
      <c r="L947" s="125" t="s">
        <v>51</v>
      </c>
      <c r="M947" s="125" t="str">
        <f t="shared" si="1"/>
        <v/>
      </c>
      <c r="N947" s="125" t="str">
        <f t="shared" si="2"/>
        <v/>
      </c>
      <c r="O947" s="125"/>
      <c r="P947" s="125"/>
      <c r="Q947" s="125"/>
      <c r="R947" s="125"/>
      <c r="S947" s="628">
        <f t="shared" si="3"/>
        <v>0</v>
      </c>
      <c r="T947" s="627" t="s">
        <v>51</v>
      </c>
      <c r="U947" s="627" t="s">
        <v>51</v>
      </c>
      <c r="V947" s="627" t="s">
        <v>51</v>
      </c>
      <c r="W947" s="627" t="s">
        <v>51</v>
      </c>
      <c r="X947" s="627" t="s">
        <v>51</v>
      </c>
      <c r="Y947" s="89"/>
    </row>
    <row r="948" ht="22.5" customHeight="1">
      <c r="A948" s="223"/>
      <c r="B948" s="125"/>
      <c r="C948" s="125"/>
      <c r="D948" s="125"/>
      <c r="E948" s="125"/>
      <c r="F948" s="125"/>
      <c r="G948" s="125"/>
      <c r="H948" s="125"/>
      <c r="I948" s="627" t="s">
        <v>51</v>
      </c>
      <c r="J948" s="125" t="s">
        <v>51</v>
      </c>
      <c r="K948" s="125" t="s">
        <v>51</v>
      </c>
      <c r="L948" s="125" t="s">
        <v>51</v>
      </c>
      <c r="M948" s="125" t="str">
        <f t="shared" si="1"/>
        <v/>
      </c>
      <c r="N948" s="125" t="str">
        <f t="shared" si="2"/>
        <v/>
      </c>
      <c r="O948" s="125"/>
      <c r="P948" s="125"/>
      <c r="Q948" s="125"/>
      <c r="R948" s="125"/>
      <c r="S948" s="628">
        <f t="shared" si="3"/>
        <v>0</v>
      </c>
      <c r="T948" s="627" t="s">
        <v>51</v>
      </c>
      <c r="U948" s="627" t="s">
        <v>51</v>
      </c>
      <c r="V948" s="627" t="s">
        <v>51</v>
      </c>
      <c r="W948" s="627" t="s">
        <v>51</v>
      </c>
      <c r="X948" s="627" t="s">
        <v>51</v>
      </c>
      <c r="Y948" s="89"/>
    </row>
    <row r="949" ht="22.5" customHeight="1">
      <c r="A949" s="223"/>
      <c r="B949" s="125"/>
      <c r="C949" s="125"/>
      <c r="D949" s="125"/>
      <c r="E949" s="125"/>
      <c r="F949" s="125"/>
      <c r="G949" s="125"/>
      <c r="H949" s="125"/>
      <c r="I949" s="627" t="s">
        <v>51</v>
      </c>
      <c r="J949" s="125" t="s">
        <v>51</v>
      </c>
      <c r="K949" s="125" t="s">
        <v>51</v>
      </c>
      <c r="L949" s="125" t="s">
        <v>51</v>
      </c>
      <c r="M949" s="125" t="str">
        <f t="shared" si="1"/>
        <v/>
      </c>
      <c r="N949" s="125" t="str">
        <f t="shared" si="2"/>
        <v/>
      </c>
      <c r="O949" s="125"/>
      <c r="P949" s="125"/>
      <c r="Q949" s="125"/>
      <c r="R949" s="125"/>
      <c r="S949" s="628">
        <f t="shared" si="3"/>
        <v>0</v>
      </c>
      <c r="T949" s="627" t="s">
        <v>51</v>
      </c>
      <c r="U949" s="627" t="s">
        <v>51</v>
      </c>
      <c r="V949" s="627" t="s">
        <v>51</v>
      </c>
      <c r="W949" s="627" t="s">
        <v>51</v>
      </c>
      <c r="X949" s="627" t="s">
        <v>51</v>
      </c>
      <c r="Y949" s="89"/>
    </row>
    <row r="950" ht="22.5" customHeight="1">
      <c r="A950" s="223"/>
      <c r="B950" s="125"/>
      <c r="C950" s="125"/>
      <c r="D950" s="125"/>
      <c r="E950" s="125"/>
      <c r="F950" s="125"/>
      <c r="G950" s="125"/>
      <c r="H950" s="125"/>
      <c r="I950" s="627" t="s">
        <v>51</v>
      </c>
      <c r="J950" s="125" t="s">
        <v>51</v>
      </c>
      <c r="K950" s="125" t="s">
        <v>51</v>
      </c>
      <c r="L950" s="125" t="s">
        <v>51</v>
      </c>
      <c r="M950" s="125" t="str">
        <f t="shared" si="1"/>
        <v/>
      </c>
      <c r="N950" s="125" t="str">
        <f t="shared" si="2"/>
        <v/>
      </c>
      <c r="O950" s="125"/>
      <c r="P950" s="125"/>
      <c r="Q950" s="125"/>
      <c r="R950" s="125"/>
      <c r="S950" s="628">
        <f t="shared" si="3"/>
        <v>0</v>
      </c>
      <c r="T950" s="627" t="s">
        <v>51</v>
      </c>
      <c r="U950" s="627" t="s">
        <v>51</v>
      </c>
      <c r="V950" s="627" t="s">
        <v>51</v>
      </c>
      <c r="W950" s="627" t="s">
        <v>51</v>
      </c>
      <c r="X950" s="627" t="s">
        <v>51</v>
      </c>
      <c r="Y950" s="89"/>
    </row>
    <row r="951" ht="22.5" customHeight="1">
      <c r="A951" s="223"/>
      <c r="B951" s="125"/>
      <c r="C951" s="125"/>
      <c r="D951" s="125"/>
      <c r="E951" s="125"/>
      <c r="F951" s="125"/>
      <c r="G951" s="125"/>
      <c r="H951" s="125"/>
      <c r="I951" s="627" t="s">
        <v>51</v>
      </c>
      <c r="J951" s="125" t="s">
        <v>51</v>
      </c>
      <c r="K951" s="125" t="s">
        <v>51</v>
      </c>
      <c r="L951" s="125" t="s">
        <v>51</v>
      </c>
      <c r="M951" s="125" t="str">
        <f t="shared" si="1"/>
        <v/>
      </c>
      <c r="N951" s="125" t="str">
        <f t="shared" si="2"/>
        <v/>
      </c>
      <c r="O951" s="125"/>
      <c r="P951" s="125"/>
      <c r="Q951" s="125"/>
      <c r="R951" s="125"/>
      <c r="S951" s="628">
        <f t="shared" si="3"/>
        <v>0</v>
      </c>
      <c r="T951" s="627" t="s">
        <v>51</v>
      </c>
      <c r="U951" s="627" t="s">
        <v>51</v>
      </c>
      <c r="V951" s="627" t="s">
        <v>51</v>
      </c>
      <c r="W951" s="627" t="s">
        <v>51</v>
      </c>
      <c r="X951" s="627" t="s">
        <v>51</v>
      </c>
      <c r="Y951" s="89"/>
    </row>
    <row r="952" ht="22.5" customHeight="1">
      <c r="A952" s="223"/>
      <c r="B952" s="125"/>
      <c r="C952" s="125"/>
      <c r="D952" s="125"/>
      <c r="E952" s="125"/>
      <c r="F952" s="125"/>
      <c r="G952" s="125"/>
      <c r="H952" s="125"/>
      <c r="I952" s="627" t="s">
        <v>51</v>
      </c>
      <c r="J952" s="125" t="s">
        <v>51</v>
      </c>
      <c r="K952" s="125" t="s">
        <v>51</v>
      </c>
      <c r="L952" s="125" t="s">
        <v>51</v>
      </c>
      <c r="M952" s="125" t="str">
        <f t="shared" si="1"/>
        <v/>
      </c>
      <c r="N952" s="125" t="str">
        <f t="shared" si="2"/>
        <v/>
      </c>
      <c r="O952" s="125"/>
      <c r="P952" s="125"/>
      <c r="Q952" s="125"/>
      <c r="R952" s="125"/>
      <c r="S952" s="628">
        <f t="shared" si="3"/>
        <v>0</v>
      </c>
      <c r="T952" s="627" t="s">
        <v>51</v>
      </c>
      <c r="U952" s="627" t="s">
        <v>51</v>
      </c>
      <c r="V952" s="627" t="s">
        <v>51</v>
      </c>
      <c r="W952" s="627" t="s">
        <v>51</v>
      </c>
      <c r="X952" s="627" t="s">
        <v>51</v>
      </c>
      <c r="Y952" s="89"/>
    </row>
    <row r="953" ht="22.5" customHeight="1">
      <c r="A953" s="223"/>
      <c r="B953" s="125"/>
      <c r="C953" s="125"/>
      <c r="D953" s="125"/>
      <c r="E953" s="125"/>
      <c r="F953" s="125"/>
      <c r="G953" s="125"/>
      <c r="H953" s="125"/>
      <c r="I953" s="627" t="s">
        <v>51</v>
      </c>
      <c r="J953" s="125" t="s">
        <v>51</v>
      </c>
      <c r="K953" s="125" t="s">
        <v>51</v>
      </c>
      <c r="L953" s="125" t="s">
        <v>51</v>
      </c>
      <c r="M953" s="125" t="str">
        <f t="shared" si="1"/>
        <v/>
      </c>
      <c r="N953" s="125" t="str">
        <f t="shared" si="2"/>
        <v/>
      </c>
      <c r="O953" s="125"/>
      <c r="P953" s="125"/>
      <c r="Q953" s="125"/>
      <c r="R953" s="125"/>
      <c r="S953" s="628">
        <f t="shared" si="3"/>
        <v>0</v>
      </c>
      <c r="T953" s="627" t="s">
        <v>51</v>
      </c>
      <c r="U953" s="627" t="s">
        <v>51</v>
      </c>
      <c r="V953" s="627" t="s">
        <v>51</v>
      </c>
      <c r="W953" s="627" t="s">
        <v>51</v>
      </c>
      <c r="X953" s="627" t="s">
        <v>51</v>
      </c>
      <c r="Y953" s="89"/>
    </row>
    <row r="954" ht="22.5" customHeight="1">
      <c r="A954" s="223"/>
      <c r="B954" s="125"/>
      <c r="C954" s="125"/>
      <c r="D954" s="125"/>
      <c r="E954" s="125"/>
      <c r="F954" s="125"/>
      <c r="G954" s="125"/>
      <c r="H954" s="125"/>
      <c r="I954" s="627" t="s">
        <v>51</v>
      </c>
      <c r="J954" s="125" t="s">
        <v>51</v>
      </c>
      <c r="K954" s="125" t="s">
        <v>51</v>
      </c>
      <c r="L954" s="125" t="s">
        <v>51</v>
      </c>
      <c r="M954" s="125" t="str">
        <f t="shared" si="1"/>
        <v/>
      </c>
      <c r="N954" s="125" t="str">
        <f t="shared" si="2"/>
        <v/>
      </c>
      <c r="O954" s="125"/>
      <c r="P954" s="125"/>
      <c r="Q954" s="125"/>
      <c r="R954" s="125"/>
      <c r="S954" s="628">
        <f t="shared" si="3"/>
        <v>0</v>
      </c>
      <c r="T954" s="627" t="s">
        <v>51</v>
      </c>
      <c r="U954" s="627" t="s">
        <v>51</v>
      </c>
      <c r="V954" s="627" t="s">
        <v>51</v>
      </c>
      <c r="W954" s="627" t="s">
        <v>51</v>
      </c>
      <c r="X954" s="627" t="s">
        <v>51</v>
      </c>
      <c r="Y954" s="89"/>
    </row>
    <row r="955" ht="22.5" customHeight="1">
      <c r="A955" s="223"/>
      <c r="B955" s="125"/>
      <c r="C955" s="125"/>
      <c r="D955" s="125"/>
      <c r="E955" s="125"/>
      <c r="F955" s="125"/>
      <c r="G955" s="125"/>
      <c r="H955" s="125"/>
      <c r="I955" s="627" t="s">
        <v>51</v>
      </c>
      <c r="J955" s="125" t="s">
        <v>51</v>
      </c>
      <c r="K955" s="125" t="s">
        <v>51</v>
      </c>
      <c r="L955" s="125" t="s">
        <v>51</v>
      </c>
      <c r="M955" s="125" t="str">
        <f t="shared" si="1"/>
        <v/>
      </c>
      <c r="N955" s="125" t="str">
        <f t="shared" si="2"/>
        <v/>
      </c>
      <c r="O955" s="125"/>
      <c r="P955" s="125"/>
      <c r="Q955" s="125"/>
      <c r="R955" s="125"/>
      <c r="S955" s="628">
        <f t="shared" si="3"/>
        <v>0</v>
      </c>
      <c r="T955" s="627" t="s">
        <v>51</v>
      </c>
      <c r="U955" s="627" t="s">
        <v>51</v>
      </c>
      <c r="V955" s="627" t="s">
        <v>51</v>
      </c>
      <c r="W955" s="627" t="s">
        <v>51</v>
      </c>
      <c r="X955" s="627" t="s">
        <v>51</v>
      </c>
      <c r="Y955" s="89"/>
    </row>
    <row r="956" ht="22.5" customHeight="1">
      <c r="A956" s="223"/>
      <c r="B956" s="125"/>
      <c r="C956" s="125"/>
      <c r="D956" s="125"/>
      <c r="E956" s="125"/>
      <c r="F956" s="125"/>
      <c r="G956" s="125"/>
      <c r="H956" s="125"/>
      <c r="I956" s="627" t="s">
        <v>51</v>
      </c>
      <c r="J956" s="125" t="s">
        <v>51</v>
      </c>
      <c r="K956" s="125" t="s">
        <v>51</v>
      </c>
      <c r="L956" s="125" t="s">
        <v>51</v>
      </c>
      <c r="M956" s="125" t="str">
        <f t="shared" si="1"/>
        <v/>
      </c>
      <c r="N956" s="125" t="str">
        <f t="shared" si="2"/>
        <v/>
      </c>
      <c r="O956" s="125"/>
      <c r="P956" s="125"/>
      <c r="Q956" s="125"/>
      <c r="R956" s="125"/>
      <c r="S956" s="628">
        <f t="shared" si="3"/>
        <v>0</v>
      </c>
      <c r="T956" s="627" t="s">
        <v>51</v>
      </c>
      <c r="U956" s="627" t="s">
        <v>51</v>
      </c>
      <c r="V956" s="627" t="s">
        <v>51</v>
      </c>
      <c r="W956" s="627" t="s">
        <v>51</v>
      </c>
      <c r="X956" s="627" t="s">
        <v>51</v>
      </c>
      <c r="Y956" s="89"/>
    </row>
    <row r="957" ht="22.5" customHeight="1">
      <c r="A957" s="223"/>
      <c r="B957" s="125"/>
      <c r="C957" s="125"/>
      <c r="D957" s="125"/>
      <c r="E957" s="125"/>
      <c r="F957" s="125"/>
      <c r="G957" s="125"/>
      <c r="H957" s="125"/>
      <c r="I957" s="627" t="s">
        <v>51</v>
      </c>
      <c r="J957" s="125" t="s">
        <v>51</v>
      </c>
      <c r="K957" s="125" t="s">
        <v>51</v>
      </c>
      <c r="L957" s="125" t="s">
        <v>51</v>
      </c>
      <c r="M957" s="125" t="str">
        <f t="shared" si="1"/>
        <v/>
      </c>
      <c r="N957" s="125" t="str">
        <f t="shared" si="2"/>
        <v/>
      </c>
      <c r="O957" s="125"/>
      <c r="P957" s="125"/>
      <c r="Q957" s="125"/>
      <c r="R957" s="125"/>
      <c r="S957" s="628">
        <f t="shared" si="3"/>
        <v>0</v>
      </c>
      <c r="T957" s="627" t="s">
        <v>51</v>
      </c>
      <c r="U957" s="627" t="s">
        <v>51</v>
      </c>
      <c r="V957" s="627" t="s">
        <v>51</v>
      </c>
      <c r="W957" s="627" t="s">
        <v>51</v>
      </c>
      <c r="X957" s="627" t="s">
        <v>51</v>
      </c>
      <c r="Y957" s="89"/>
    </row>
    <row r="958" ht="22.5" customHeight="1">
      <c r="A958" s="223"/>
      <c r="B958" s="125"/>
      <c r="C958" s="125"/>
      <c r="D958" s="125"/>
      <c r="E958" s="125"/>
      <c r="F958" s="125"/>
      <c r="G958" s="125"/>
      <c r="H958" s="125"/>
      <c r="I958" s="627" t="s">
        <v>51</v>
      </c>
      <c r="J958" s="125" t="s">
        <v>51</v>
      </c>
      <c r="K958" s="125" t="s">
        <v>51</v>
      </c>
      <c r="L958" s="125" t="s">
        <v>51</v>
      </c>
      <c r="M958" s="125" t="str">
        <f t="shared" si="1"/>
        <v/>
      </c>
      <c r="N958" s="125" t="str">
        <f t="shared" si="2"/>
        <v/>
      </c>
      <c r="O958" s="125"/>
      <c r="P958" s="125"/>
      <c r="Q958" s="125"/>
      <c r="R958" s="125"/>
      <c r="S958" s="628">
        <f t="shared" si="3"/>
        <v>0</v>
      </c>
      <c r="T958" s="627" t="s">
        <v>51</v>
      </c>
      <c r="U958" s="627" t="s">
        <v>51</v>
      </c>
      <c r="V958" s="627" t="s">
        <v>51</v>
      </c>
      <c r="W958" s="627" t="s">
        <v>51</v>
      </c>
      <c r="X958" s="627" t="s">
        <v>51</v>
      </c>
      <c r="Y958" s="89"/>
    </row>
    <row r="959" ht="22.5" customHeight="1">
      <c r="A959" s="223"/>
      <c r="B959" s="125"/>
      <c r="C959" s="125"/>
      <c r="D959" s="125"/>
      <c r="E959" s="125"/>
      <c r="F959" s="125"/>
      <c r="G959" s="125"/>
      <c r="H959" s="125"/>
      <c r="I959" s="627" t="s">
        <v>51</v>
      </c>
      <c r="J959" s="125" t="s">
        <v>51</v>
      </c>
      <c r="K959" s="125" t="s">
        <v>51</v>
      </c>
      <c r="L959" s="125" t="s">
        <v>51</v>
      </c>
      <c r="M959" s="125" t="str">
        <f t="shared" si="1"/>
        <v/>
      </c>
      <c r="N959" s="125" t="str">
        <f t="shared" si="2"/>
        <v/>
      </c>
      <c r="O959" s="125"/>
      <c r="P959" s="125"/>
      <c r="Q959" s="125"/>
      <c r="R959" s="125"/>
      <c r="S959" s="628">
        <f t="shared" si="3"/>
        <v>0</v>
      </c>
      <c r="T959" s="627" t="s">
        <v>51</v>
      </c>
      <c r="U959" s="627" t="s">
        <v>51</v>
      </c>
      <c r="V959" s="627" t="s">
        <v>51</v>
      </c>
      <c r="W959" s="627" t="s">
        <v>51</v>
      </c>
      <c r="X959" s="627" t="s">
        <v>51</v>
      </c>
      <c r="Y959" s="89"/>
    </row>
    <row r="960" ht="22.5" customHeight="1">
      <c r="A960" s="223"/>
      <c r="B960" s="125"/>
      <c r="C960" s="125"/>
      <c r="D960" s="125"/>
      <c r="E960" s="125"/>
      <c r="F960" s="125"/>
      <c r="G960" s="125"/>
      <c r="H960" s="125"/>
      <c r="I960" s="627" t="s">
        <v>51</v>
      </c>
      <c r="J960" s="125" t="s">
        <v>51</v>
      </c>
      <c r="K960" s="125" t="s">
        <v>51</v>
      </c>
      <c r="L960" s="125" t="s">
        <v>51</v>
      </c>
      <c r="M960" s="125" t="str">
        <f t="shared" si="1"/>
        <v/>
      </c>
      <c r="N960" s="125" t="str">
        <f t="shared" si="2"/>
        <v/>
      </c>
      <c r="O960" s="125"/>
      <c r="P960" s="125"/>
      <c r="Q960" s="125"/>
      <c r="R960" s="125"/>
      <c r="S960" s="628">
        <f t="shared" si="3"/>
        <v>0</v>
      </c>
      <c r="T960" s="627" t="s">
        <v>51</v>
      </c>
      <c r="U960" s="627" t="s">
        <v>51</v>
      </c>
      <c r="V960" s="627" t="s">
        <v>51</v>
      </c>
      <c r="W960" s="627" t="s">
        <v>51</v>
      </c>
      <c r="X960" s="627" t="s">
        <v>51</v>
      </c>
      <c r="Y960" s="89"/>
    </row>
    <row r="961" ht="22.5" customHeight="1">
      <c r="A961" s="223"/>
      <c r="B961" s="125"/>
      <c r="C961" s="125"/>
      <c r="D961" s="125"/>
      <c r="E961" s="125"/>
      <c r="F961" s="125"/>
      <c r="G961" s="125"/>
      <c r="H961" s="125"/>
      <c r="I961" s="627" t="s">
        <v>51</v>
      </c>
      <c r="J961" s="125" t="s">
        <v>51</v>
      </c>
      <c r="K961" s="125" t="s">
        <v>51</v>
      </c>
      <c r="L961" s="125" t="s">
        <v>51</v>
      </c>
      <c r="M961" s="125" t="str">
        <f t="shared" si="1"/>
        <v/>
      </c>
      <c r="N961" s="125" t="str">
        <f t="shared" si="2"/>
        <v/>
      </c>
      <c r="O961" s="125"/>
      <c r="P961" s="125"/>
      <c r="Q961" s="125"/>
      <c r="R961" s="125"/>
      <c r="S961" s="628">
        <f t="shared" si="3"/>
        <v>0</v>
      </c>
      <c r="T961" s="627" t="s">
        <v>51</v>
      </c>
      <c r="U961" s="627" t="s">
        <v>51</v>
      </c>
      <c r="V961" s="627" t="s">
        <v>51</v>
      </c>
      <c r="W961" s="627" t="s">
        <v>51</v>
      </c>
      <c r="X961" s="627" t="s">
        <v>51</v>
      </c>
      <c r="Y961" s="89"/>
    </row>
    <row r="962" ht="22.5" customHeight="1">
      <c r="A962" s="223"/>
      <c r="B962" s="125"/>
      <c r="C962" s="125"/>
      <c r="D962" s="125"/>
      <c r="E962" s="125"/>
      <c r="F962" s="125"/>
      <c r="G962" s="125"/>
      <c r="H962" s="125"/>
      <c r="I962" s="627" t="s">
        <v>51</v>
      </c>
      <c r="J962" s="125" t="s">
        <v>51</v>
      </c>
      <c r="K962" s="125" t="s">
        <v>51</v>
      </c>
      <c r="L962" s="125" t="s">
        <v>51</v>
      </c>
      <c r="M962" s="125" t="str">
        <f t="shared" si="1"/>
        <v/>
      </c>
      <c r="N962" s="125" t="str">
        <f t="shared" si="2"/>
        <v/>
      </c>
      <c r="O962" s="125"/>
      <c r="P962" s="125"/>
      <c r="Q962" s="125"/>
      <c r="R962" s="125"/>
      <c r="S962" s="628">
        <f t="shared" si="3"/>
        <v>0</v>
      </c>
      <c r="T962" s="627" t="s">
        <v>51</v>
      </c>
      <c r="U962" s="627" t="s">
        <v>51</v>
      </c>
      <c r="V962" s="627" t="s">
        <v>51</v>
      </c>
      <c r="W962" s="627" t="s">
        <v>51</v>
      </c>
      <c r="X962" s="627" t="s">
        <v>51</v>
      </c>
      <c r="Y962" s="89"/>
    </row>
    <row r="963" ht="22.5" customHeight="1">
      <c r="A963" s="223"/>
      <c r="B963" s="125"/>
      <c r="C963" s="125"/>
      <c r="D963" s="125"/>
      <c r="E963" s="125"/>
      <c r="F963" s="125"/>
      <c r="G963" s="125"/>
      <c r="H963" s="125"/>
      <c r="I963" s="627" t="s">
        <v>51</v>
      </c>
      <c r="J963" s="125" t="s">
        <v>51</v>
      </c>
      <c r="K963" s="125" t="s">
        <v>51</v>
      </c>
      <c r="L963" s="125" t="s">
        <v>51</v>
      </c>
      <c r="M963" s="125" t="str">
        <f t="shared" si="1"/>
        <v/>
      </c>
      <c r="N963" s="125" t="str">
        <f t="shared" si="2"/>
        <v/>
      </c>
      <c r="O963" s="125"/>
      <c r="P963" s="125"/>
      <c r="Q963" s="125"/>
      <c r="R963" s="125"/>
      <c r="S963" s="628">
        <f t="shared" si="3"/>
        <v>0</v>
      </c>
      <c r="T963" s="627" t="s">
        <v>51</v>
      </c>
      <c r="U963" s="627" t="s">
        <v>51</v>
      </c>
      <c r="V963" s="627" t="s">
        <v>51</v>
      </c>
      <c r="W963" s="627" t="s">
        <v>51</v>
      </c>
      <c r="X963" s="627" t="s">
        <v>51</v>
      </c>
      <c r="Y963" s="89"/>
    </row>
    <row r="964" ht="22.5" customHeight="1">
      <c r="A964" s="223"/>
      <c r="B964" s="125"/>
      <c r="C964" s="125"/>
      <c r="D964" s="125"/>
      <c r="E964" s="125"/>
      <c r="F964" s="125"/>
      <c r="G964" s="125"/>
      <c r="H964" s="125"/>
      <c r="I964" s="627" t="s">
        <v>51</v>
      </c>
      <c r="J964" s="125" t="s">
        <v>51</v>
      </c>
      <c r="K964" s="125" t="s">
        <v>51</v>
      </c>
      <c r="L964" s="125" t="s">
        <v>51</v>
      </c>
      <c r="M964" s="125" t="str">
        <f t="shared" si="1"/>
        <v/>
      </c>
      <c r="N964" s="125" t="str">
        <f t="shared" si="2"/>
        <v/>
      </c>
      <c r="O964" s="125"/>
      <c r="P964" s="125"/>
      <c r="Q964" s="125"/>
      <c r="R964" s="125"/>
      <c r="S964" s="628">
        <f t="shared" si="3"/>
        <v>0</v>
      </c>
      <c r="T964" s="627" t="s">
        <v>51</v>
      </c>
      <c r="U964" s="627" t="s">
        <v>51</v>
      </c>
      <c r="V964" s="627" t="s">
        <v>51</v>
      </c>
      <c r="W964" s="627" t="s">
        <v>51</v>
      </c>
      <c r="X964" s="627" t="s">
        <v>51</v>
      </c>
      <c r="Y964" s="89"/>
    </row>
    <row r="965" ht="22.5" customHeight="1">
      <c r="A965" s="223"/>
      <c r="B965" s="125"/>
      <c r="C965" s="125"/>
      <c r="D965" s="125"/>
      <c r="E965" s="125"/>
      <c r="F965" s="125"/>
      <c r="G965" s="125"/>
      <c r="H965" s="125"/>
      <c r="I965" s="627" t="s">
        <v>51</v>
      </c>
      <c r="J965" s="125" t="s">
        <v>51</v>
      </c>
      <c r="K965" s="125" t="s">
        <v>51</v>
      </c>
      <c r="L965" s="125" t="s">
        <v>51</v>
      </c>
      <c r="M965" s="125" t="str">
        <f t="shared" si="1"/>
        <v/>
      </c>
      <c r="N965" s="125" t="str">
        <f t="shared" si="2"/>
        <v/>
      </c>
      <c r="O965" s="125"/>
      <c r="P965" s="125"/>
      <c r="Q965" s="125"/>
      <c r="R965" s="125"/>
      <c r="S965" s="628">
        <f t="shared" si="3"/>
        <v>0</v>
      </c>
      <c r="T965" s="627" t="s">
        <v>51</v>
      </c>
      <c r="U965" s="627" t="s">
        <v>51</v>
      </c>
      <c r="V965" s="627" t="s">
        <v>51</v>
      </c>
      <c r="W965" s="627" t="s">
        <v>51</v>
      </c>
      <c r="X965" s="627" t="s">
        <v>51</v>
      </c>
      <c r="Y965" s="89"/>
    </row>
    <row r="966" ht="22.5" customHeight="1">
      <c r="A966" s="223"/>
      <c r="B966" s="125"/>
      <c r="C966" s="125"/>
      <c r="D966" s="125"/>
      <c r="E966" s="125"/>
      <c r="F966" s="125"/>
      <c r="G966" s="125"/>
      <c r="H966" s="125"/>
      <c r="I966" s="627" t="s">
        <v>51</v>
      </c>
      <c r="J966" s="125" t="s">
        <v>51</v>
      </c>
      <c r="K966" s="125" t="s">
        <v>51</v>
      </c>
      <c r="L966" s="125" t="s">
        <v>51</v>
      </c>
      <c r="M966" s="125" t="str">
        <f t="shared" si="1"/>
        <v/>
      </c>
      <c r="N966" s="125" t="str">
        <f t="shared" si="2"/>
        <v/>
      </c>
      <c r="O966" s="125"/>
      <c r="P966" s="125"/>
      <c r="Q966" s="125"/>
      <c r="R966" s="125"/>
      <c r="S966" s="628">
        <f t="shared" si="3"/>
        <v>0</v>
      </c>
      <c r="T966" s="627" t="s">
        <v>51</v>
      </c>
      <c r="U966" s="627" t="s">
        <v>51</v>
      </c>
      <c r="V966" s="627" t="s">
        <v>51</v>
      </c>
      <c r="W966" s="627" t="s">
        <v>51</v>
      </c>
      <c r="X966" s="627" t="s">
        <v>51</v>
      </c>
      <c r="Y966" s="89"/>
    </row>
    <row r="967" ht="22.5" customHeight="1">
      <c r="A967" s="223"/>
      <c r="B967" s="125"/>
      <c r="C967" s="125"/>
      <c r="D967" s="125"/>
      <c r="E967" s="125"/>
      <c r="F967" s="125"/>
      <c r="G967" s="125"/>
      <c r="H967" s="125"/>
      <c r="I967" s="627" t="s">
        <v>51</v>
      </c>
      <c r="J967" s="125" t="s">
        <v>51</v>
      </c>
      <c r="K967" s="125" t="s">
        <v>51</v>
      </c>
      <c r="L967" s="125" t="s">
        <v>51</v>
      </c>
      <c r="M967" s="125" t="str">
        <f t="shared" si="1"/>
        <v/>
      </c>
      <c r="N967" s="125" t="str">
        <f t="shared" si="2"/>
        <v/>
      </c>
      <c r="O967" s="125"/>
      <c r="P967" s="125"/>
      <c r="Q967" s="125"/>
      <c r="R967" s="125"/>
      <c r="S967" s="628">
        <f t="shared" si="3"/>
        <v>0</v>
      </c>
      <c r="T967" s="627" t="s">
        <v>51</v>
      </c>
      <c r="U967" s="627" t="s">
        <v>51</v>
      </c>
      <c r="V967" s="627" t="s">
        <v>51</v>
      </c>
      <c r="W967" s="627" t="s">
        <v>51</v>
      </c>
      <c r="X967" s="627" t="s">
        <v>51</v>
      </c>
      <c r="Y967" s="89"/>
    </row>
    <row r="968" ht="22.5" customHeight="1">
      <c r="A968" s="223"/>
      <c r="B968" s="125"/>
      <c r="C968" s="125"/>
      <c r="D968" s="125"/>
      <c r="E968" s="125"/>
      <c r="F968" s="125"/>
      <c r="G968" s="125"/>
      <c r="H968" s="125"/>
      <c r="I968" s="627" t="s">
        <v>51</v>
      </c>
      <c r="J968" s="125" t="s">
        <v>51</v>
      </c>
      <c r="K968" s="125" t="s">
        <v>51</v>
      </c>
      <c r="L968" s="125" t="s">
        <v>51</v>
      </c>
      <c r="M968" s="125" t="str">
        <f t="shared" si="1"/>
        <v/>
      </c>
      <c r="N968" s="125" t="str">
        <f t="shared" si="2"/>
        <v/>
      </c>
      <c r="O968" s="125"/>
      <c r="P968" s="125"/>
      <c r="Q968" s="125"/>
      <c r="R968" s="125"/>
      <c r="S968" s="628">
        <f t="shared" si="3"/>
        <v>0</v>
      </c>
      <c r="T968" s="627" t="s">
        <v>51</v>
      </c>
      <c r="U968" s="627" t="s">
        <v>51</v>
      </c>
      <c r="V968" s="627" t="s">
        <v>51</v>
      </c>
      <c r="W968" s="627" t="s">
        <v>51</v>
      </c>
      <c r="X968" s="627" t="s">
        <v>51</v>
      </c>
      <c r="Y968" s="89"/>
    </row>
    <row r="969" ht="22.5" customHeight="1">
      <c r="A969" s="223"/>
      <c r="B969" s="125"/>
      <c r="C969" s="125"/>
      <c r="D969" s="125"/>
      <c r="E969" s="125"/>
      <c r="F969" s="125"/>
      <c r="G969" s="125"/>
      <c r="H969" s="125"/>
      <c r="I969" s="627" t="s">
        <v>51</v>
      </c>
      <c r="J969" s="125" t="s">
        <v>51</v>
      </c>
      <c r="K969" s="125" t="s">
        <v>51</v>
      </c>
      <c r="L969" s="125" t="s">
        <v>51</v>
      </c>
      <c r="M969" s="125" t="str">
        <f t="shared" si="1"/>
        <v/>
      </c>
      <c r="N969" s="125" t="str">
        <f t="shared" si="2"/>
        <v/>
      </c>
      <c r="O969" s="125"/>
      <c r="P969" s="125"/>
      <c r="Q969" s="125"/>
      <c r="R969" s="125"/>
      <c r="S969" s="628">
        <f t="shared" si="3"/>
        <v>0</v>
      </c>
      <c r="T969" s="627" t="s">
        <v>51</v>
      </c>
      <c r="U969" s="627" t="s">
        <v>51</v>
      </c>
      <c r="V969" s="627" t="s">
        <v>51</v>
      </c>
      <c r="W969" s="627" t="s">
        <v>51</v>
      </c>
      <c r="X969" s="627" t="s">
        <v>51</v>
      </c>
      <c r="Y969" s="89"/>
    </row>
    <row r="970" ht="22.5" customHeight="1">
      <c r="A970" s="223"/>
      <c r="B970" s="125"/>
      <c r="C970" s="125"/>
      <c r="D970" s="125"/>
      <c r="E970" s="125"/>
      <c r="F970" s="125"/>
      <c r="G970" s="125"/>
      <c r="H970" s="125"/>
      <c r="I970" s="627" t="s">
        <v>51</v>
      </c>
      <c r="J970" s="125" t="s">
        <v>51</v>
      </c>
      <c r="K970" s="125" t="s">
        <v>51</v>
      </c>
      <c r="L970" s="125" t="s">
        <v>51</v>
      </c>
      <c r="M970" s="125" t="str">
        <f t="shared" si="1"/>
        <v/>
      </c>
      <c r="N970" s="125" t="str">
        <f t="shared" si="2"/>
        <v/>
      </c>
      <c r="O970" s="125"/>
      <c r="P970" s="125"/>
      <c r="Q970" s="125"/>
      <c r="R970" s="125"/>
      <c r="S970" s="628">
        <f t="shared" si="3"/>
        <v>0</v>
      </c>
      <c r="T970" s="627" t="s">
        <v>51</v>
      </c>
      <c r="U970" s="627" t="s">
        <v>51</v>
      </c>
      <c r="V970" s="627" t="s">
        <v>51</v>
      </c>
      <c r="W970" s="627" t="s">
        <v>51</v>
      </c>
      <c r="X970" s="627" t="s">
        <v>51</v>
      </c>
      <c r="Y970" s="89"/>
    </row>
    <row r="971" ht="22.5" customHeight="1">
      <c r="A971" s="223"/>
      <c r="B971" s="125"/>
      <c r="C971" s="125"/>
      <c r="D971" s="125"/>
      <c r="E971" s="125"/>
      <c r="F971" s="125"/>
      <c r="G971" s="125"/>
      <c r="H971" s="125"/>
      <c r="I971" s="627" t="s">
        <v>51</v>
      </c>
      <c r="J971" s="125" t="s">
        <v>51</v>
      </c>
      <c r="K971" s="125" t="s">
        <v>51</v>
      </c>
      <c r="L971" s="125" t="s">
        <v>51</v>
      </c>
      <c r="M971" s="125" t="str">
        <f t="shared" si="1"/>
        <v/>
      </c>
      <c r="N971" s="125" t="str">
        <f t="shared" si="2"/>
        <v/>
      </c>
      <c r="O971" s="125"/>
      <c r="P971" s="125"/>
      <c r="Q971" s="125"/>
      <c r="R971" s="125"/>
      <c r="S971" s="628">
        <f t="shared" si="3"/>
        <v>0</v>
      </c>
      <c r="T971" s="627" t="s">
        <v>51</v>
      </c>
      <c r="U971" s="627" t="s">
        <v>51</v>
      </c>
      <c r="V971" s="627" t="s">
        <v>51</v>
      </c>
      <c r="W971" s="627" t="s">
        <v>51</v>
      </c>
      <c r="X971" s="627" t="s">
        <v>51</v>
      </c>
      <c r="Y971" s="89"/>
    </row>
    <row r="972" ht="22.5" customHeight="1">
      <c r="A972" s="223"/>
      <c r="B972" s="125"/>
      <c r="C972" s="125"/>
      <c r="D972" s="125"/>
      <c r="E972" s="125"/>
      <c r="F972" s="125"/>
      <c r="G972" s="125"/>
      <c r="H972" s="125"/>
      <c r="I972" s="627" t="s">
        <v>51</v>
      </c>
      <c r="J972" s="125" t="s">
        <v>51</v>
      </c>
      <c r="K972" s="125" t="s">
        <v>51</v>
      </c>
      <c r="L972" s="125" t="s">
        <v>51</v>
      </c>
      <c r="M972" s="125" t="str">
        <f t="shared" si="1"/>
        <v/>
      </c>
      <c r="N972" s="125" t="str">
        <f t="shared" si="2"/>
        <v/>
      </c>
      <c r="O972" s="125"/>
      <c r="P972" s="125"/>
      <c r="Q972" s="125"/>
      <c r="R972" s="125"/>
      <c r="S972" s="628">
        <f t="shared" si="3"/>
        <v>0</v>
      </c>
      <c r="T972" s="627" t="s">
        <v>51</v>
      </c>
      <c r="U972" s="627" t="s">
        <v>51</v>
      </c>
      <c r="V972" s="627" t="s">
        <v>51</v>
      </c>
      <c r="W972" s="627" t="s">
        <v>51</v>
      </c>
      <c r="X972" s="627" t="s">
        <v>51</v>
      </c>
      <c r="Y972" s="89"/>
    </row>
    <row r="973" ht="22.5" customHeight="1">
      <c r="A973" s="223"/>
      <c r="B973" s="125"/>
      <c r="C973" s="125"/>
      <c r="D973" s="125"/>
      <c r="E973" s="125"/>
      <c r="F973" s="125"/>
      <c r="G973" s="125"/>
      <c r="H973" s="125"/>
      <c r="I973" s="627" t="s">
        <v>51</v>
      </c>
      <c r="J973" s="125" t="s">
        <v>51</v>
      </c>
      <c r="K973" s="125" t="s">
        <v>51</v>
      </c>
      <c r="L973" s="125" t="s">
        <v>51</v>
      </c>
      <c r="M973" s="125" t="str">
        <f t="shared" si="1"/>
        <v/>
      </c>
      <c r="N973" s="125" t="str">
        <f t="shared" si="2"/>
        <v/>
      </c>
      <c r="O973" s="125"/>
      <c r="P973" s="125"/>
      <c r="Q973" s="125"/>
      <c r="R973" s="125"/>
      <c r="S973" s="628">
        <f t="shared" si="3"/>
        <v>0</v>
      </c>
      <c r="T973" s="627" t="s">
        <v>51</v>
      </c>
      <c r="U973" s="627" t="s">
        <v>51</v>
      </c>
      <c r="V973" s="627" t="s">
        <v>51</v>
      </c>
      <c r="W973" s="627" t="s">
        <v>51</v>
      </c>
      <c r="X973" s="627" t="s">
        <v>51</v>
      </c>
      <c r="Y973" s="89"/>
    </row>
    <row r="974" ht="22.5" customHeight="1">
      <c r="A974" s="223"/>
      <c r="B974" s="125"/>
      <c r="C974" s="125"/>
      <c r="D974" s="125"/>
      <c r="E974" s="125"/>
      <c r="F974" s="125"/>
      <c r="G974" s="125"/>
      <c r="H974" s="125"/>
      <c r="I974" s="627" t="s">
        <v>51</v>
      </c>
      <c r="J974" s="125" t="s">
        <v>51</v>
      </c>
      <c r="K974" s="125" t="s">
        <v>51</v>
      </c>
      <c r="L974" s="125" t="s">
        <v>51</v>
      </c>
      <c r="M974" s="125" t="str">
        <f t="shared" si="1"/>
        <v/>
      </c>
      <c r="N974" s="125" t="str">
        <f t="shared" si="2"/>
        <v/>
      </c>
      <c r="O974" s="125"/>
      <c r="P974" s="125"/>
      <c r="Q974" s="125"/>
      <c r="R974" s="125"/>
      <c r="S974" s="628">
        <f t="shared" si="3"/>
        <v>0</v>
      </c>
      <c r="T974" s="627" t="s">
        <v>51</v>
      </c>
      <c r="U974" s="627" t="s">
        <v>51</v>
      </c>
      <c r="V974" s="627" t="s">
        <v>51</v>
      </c>
      <c r="W974" s="627" t="s">
        <v>51</v>
      </c>
      <c r="X974" s="627" t="s">
        <v>51</v>
      </c>
      <c r="Y974" s="89"/>
    </row>
    <row r="975" ht="22.5" customHeight="1">
      <c r="A975" s="223"/>
      <c r="B975" s="125"/>
      <c r="C975" s="125"/>
      <c r="D975" s="125"/>
      <c r="E975" s="125"/>
      <c r="F975" s="125"/>
      <c r="G975" s="125"/>
      <c r="H975" s="125"/>
      <c r="I975" s="627" t="s">
        <v>51</v>
      </c>
      <c r="J975" s="125" t="s">
        <v>51</v>
      </c>
      <c r="K975" s="125" t="s">
        <v>51</v>
      </c>
      <c r="L975" s="125" t="s">
        <v>51</v>
      </c>
      <c r="M975" s="125" t="str">
        <f t="shared" si="1"/>
        <v/>
      </c>
      <c r="N975" s="125" t="str">
        <f t="shared" si="2"/>
        <v/>
      </c>
      <c r="O975" s="125"/>
      <c r="P975" s="125"/>
      <c r="Q975" s="125"/>
      <c r="R975" s="125"/>
      <c r="S975" s="628">
        <f t="shared" si="3"/>
        <v>0</v>
      </c>
      <c r="T975" s="627" t="s">
        <v>51</v>
      </c>
      <c r="U975" s="627" t="s">
        <v>51</v>
      </c>
      <c r="V975" s="627" t="s">
        <v>51</v>
      </c>
      <c r="W975" s="627" t="s">
        <v>51</v>
      </c>
      <c r="X975" s="627" t="s">
        <v>51</v>
      </c>
      <c r="Y975" s="89"/>
    </row>
    <row r="976" ht="22.5" customHeight="1">
      <c r="A976" s="223"/>
      <c r="B976" s="125"/>
      <c r="C976" s="125"/>
      <c r="D976" s="125"/>
      <c r="E976" s="125"/>
      <c r="F976" s="125"/>
      <c r="G976" s="125"/>
      <c r="H976" s="125"/>
      <c r="I976" s="627" t="s">
        <v>51</v>
      </c>
      <c r="J976" s="125" t="s">
        <v>51</v>
      </c>
      <c r="K976" s="125" t="s">
        <v>51</v>
      </c>
      <c r="L976" s="125" t="s">
        <v>51</v>
      </c>
      <c r="M976" s="125" t="str">
        <f t="shared" si="1"/>
        <v/>
      </c>
      <c r="N976" s="125" t="str">
        <f t="shared" si="2"/>
        <v/>
      </c>
      <c r="O976" s="125"/>
      <c r="P976" s="125"/>
      <c r="Q976" s="125"/>
      <c r="R976" s="125"/>
      <c r="S976" s="628">
        <f t="shared" si="3"/>
        <v>0</v>
      </c>
      <c r="T976" s="627" t="s">
        <v>51</v>
      </c>
      <c r="U976" s="627" t="s">
        <v>51</v>
      </c>
      <c r="V976" s="627" t="s">
        <v>51</v>
      </c>
      <c r="W976" s="627" t="s">
        <v>51</v>
      </c>
      <c r="X976" s="627" t="s">
        <v>51</v>
      </c>
      <c r="Y976" s="89"/>
    </row>
    <row r="977" ht="22.5" customHeight="1">
      <c r="A977" s="223"/>
      <c r="B977" s="125"/>
      <c r="C977" s="125"/>
      <c r="D977" s="125"/>
      <c r="E977" s="125"/>
      <c r="F977" s="125"/>
      <c r="G977" s="125"/>
      <c r="H977" s="125"/>
      <c r="I977" s="627" t="s">
        <v>51</v>
      </c>
      <c r="J977" s="125" t="s">
        <v>51</v>
      </c>
      <c r="K977" s="125" t="s">
        <v>51</v>
      </c>
      <c r="L977" s="125" t="s">
        <v>51</v>
      </c>
      <c r="M977" s="125" t="str">
        <f t="shared" si="1"/>
        <v/>
      </c>
      <c r="N977" s="125" t="str">
        <f t="shared" si="2"/>
        <v/>
      </c>
      <c r="O977" s="125"/>
      <c r="P977" s="125"/>
      <c r="Q977" s="125"/>
      <c r="R977" s="125"/>
      <c r="S977" s="628">
        <f t="shared" si="3"/>
        <v>0</v>
      </c>
      <c r="T977" s="627" t="s">
        <v>51</v>
      </c>
      <c r="U977" s="627" t="s">
        <v>51</v>
      </c>
      <c r="V977" s="627" t="s">
        <v>51</v>
      </c>
      <c r="W977" s="627" t="s">
        <v>51</v>
      </c>
      <c r="X977" s="627" t="s">
        <v>51</v>
      </c>
      <c r="Y977" s="89"/>
    </row>
    <row r="978" ht="22.5" customHeight="1">
      <c r="A978" s="223"/>
      <c r="B978" s="125"/>
      <c r="C978" s="125"/>
      <c r="D978" s="125"/>
      <c r="E978" s="125"/>
      <c r="F978" s="125"/>
      <c r="G978" s="125"/>
      <c r="H978" s="125"/>
      <c r="I978" s="627" t="s">
        <v>51</v>
      </c>
      <c r="J978" s="125" t="s">
        <v>51</v>
      </c>
      <c r="K978" s="125" t="s">
        <v>51</v>
      </c>
      <c r="L978" s="125" t="s">
        <v>51</v>
      </c>
      <c r="M978" s="125" t="str">
        <f t="shared" si="1"/>
        <v/>
      </c>
      <c r="N978" s="125" t="str">
        <f t="shared" si="2"/>
        <v/>
      </c>
      <c r="O978" s="125"/>
      <c r="P978" s="125"/>
      <c r="Q978" s="125"/>
      <c r="R978" s="125"/>
      <c r="S978" s="628">
        <f t="shared" si="3"/>
        <v>0</v>
      </c>
      <c r="T978" s="627" t="s">
        <v>51</v>
      </c>
      <c r="U978" s="627" t="s">
        <v>51</v>
      </c>
      <c r="V978" s="627" t="s">
        <v>51</v>
      </c>
      <c r="W978" s="627" t="s">
        <v>51</v>
      </c>
      <c r="X978" s="627" t="s">
        <v>51</v>
      </c>
      <c r="Y978" s="89"/>
    </row>
    <row r="979" ht="22.5" customHeight="1">
      <c r="A979" s="223"/>
      <c r="B979" s="125"/>
      <c r="C979" s="125"/>
      <c r="D979" s="125"/>
      <c r="E979" s="125"/>
      <c r="F979" s="125"/>
      <c r="G979" s="125"/>
      <c r="H979" s="125"/>
      <c r="I979" s="627" t="s">
        <v>51</v>
      </c>
      <c r="J979" s="125" t="s">
        <v>51</v>
      </c>
      <c r="K979" s="125" t="s">
        <v>51</v>
      </c>
      <c r="L979" s="125" t="s">
        <v>51</v>
      </c>
      <c r="M979" s="125" t="str">
        <f t="shared" si="1"/>
        <v/>
      </c>
      <c r="N979" s="125" t="str">
        <f t="shared" si="2"/>
        <v/>
      </c>
      <c r="O979" s="125"/>
      <c r="P979" s="125"/>
      <c r="Q979" s="125"/>
      <c r="R979" s="125"/>
      <c r="S979" s="628">
        <f t="shared" si="3"/>
        <v>0</v>
      </c>
      <c r="T979" s="627" t="s">
        <v>51</v>
      </c>
      <c r="U979" s="627" t="s">
        <v>51</v>
      </c>
      <c r="V979" s="627" t="s">
        <v>51</v>
      </c>
      <c r="W979" s="627" t="s">
        <v>51</v>
      </c>
      <c r="X979" s="627" t="s">
        <v>51</v>
      </c>
      <c r="Y979" s="89"/>
    </row>
    <row r="980" ht="22.5" customHeight="1">
      <c r="A980" s="223"/>
      <c r="B980" s="125"/>
      <c r="C980" s="125"/>
      <c r="D980" s="125"/>
      <c r="E980" s="125"/>
      <c r="F980" s="125"/>
      <c r="G980" s="125"/>
      <c r="H980" s="125"/>
      <c r="I980" s="627" t="s">
        <v>51</v>
      </c>
      <c r="J980" s="125" t="s">
        <v>51</v>
      </c>
      <c r="K980" s="125" t="s">
        <v>51</v>
      </c>
      <c r="L980" s="125" t="s">
        <v>51</v>
      </c>
      <c r="M980" s="125" t="str">
        <f t="shared" si="1"/>
        <v/>
      </c>
      <c r="N980" s="125" t="str">
        <f t="shared" si="2"/>
        <v/>
      </c>
      <c r="O980" s="125"/>
      <c r="P980" s="125"/>
      <c r="Q980" s="125"/>
      <c r="R980" s="125"/>
      <c r="S980" s="628">
        <f t="shared" si="3"/>
        <v>0</v>
      </c>
      <c r="T980" s="627" t="s">
        <v>51</v>
      </c>
      <c r="U980" s="627" t="s">
        <v>51</v>
      </c>
      <c r="V980" s="627" t="s">
        <v>51</v>
      </c>
      <c r="W980" s="627" t="s">
        <v>51</v>
      </c>
      <c r="X980" s="627" t="s">
        <v>51</v>
      </c>
      <c r="Y980" s="89"/>
    </row>
    <row r="981" ht="22.5" customHeight="1">
      <c r="A981" s="223"/>
      <c r="B981" s="125"/>
      <c r="C981" s="125"/>
      <c r="D981" s="125"/>
      <c r="E981" s="125"/>
      <c r="F981" s="125"/>
      <c r="G981" s="125"/>
      <c r="H981" s="125"/>
      <c r="I981" s="627" t="s">
        <v>51</v>
      </c>
      <c r="J981" s="125" t="s">
        <v>51</v>
      </c>
      <c r="K981" s="125" t="s">
        <v>51</v>
      </c>
      <c r="L981" s="125" t="s">
        <v>51</v>
      </c>
      <c r="M981" s="125" t="str">
        <f t="shared" si="1"/>
        <v/>
      </c>
      <c r="N981" s="125" t="str">
        <f t="shared" si="2"/>
        <v/>
      </c>
      <c r="O981" s="125"/>
      <c r="P981" s="125"/>
      <c r="Q981" s="125"/>
      <c r="R981" s="125"/>
      <c r="S981" s="628">
        <f t="shared" si="3"/>
        <v>0</v>
      </c>
      <c r="T981" s="627" t="s">
        <v>51</v>
      </c>
      <c r="U981" s="627" t="s">
        <v>51</v>
      </c>
      <c r="V981" s="627" t="s">
        <v>51</v>
      </c>
      <c r="W981" s="627" t="s">
        <v>51</v>
      </c>
      <c r="X981" s="627" t="s">
        <v>51</v>
      </c>
      <c r="Y981" s="89"/>
    </row>
    <row r="982" ht="22.5" customHeight="1">
      <c r="A982" s="223"/>
      <c r="B982" s="125"/>
      <c r="C982" s="125"/>
      <c r="D982" s="125"/>
      <c r="E982" s="125"/>
      <c r="F982" s="125"/>
      <c r="G982" s="125"/>
      <c r="H982" s="125"/>
      <c r="I982" s="627" t="s">
        <v>51</v>
      </c>
      <c r="J982" s="125" t="s">
        <v>51</v>
      </c>
      <c r="K982" s="125" t="s">
        <v>51</v>
      </c>
      <c r="L982" s="125" t="s">
        <v>51</v>
      </c>
      <c r="M982" s="125" t="str">
        <f t="shared" si="1"/>
        <v/>
      </c>
      <c r="N982" s="125" t="str">
        <f t="shared" si="2"/>
        <v/>
      </c>
      <c r="O982" s="125"/>
      <c r="P982" s="125"/>
      <c r="Q982" s="125"/>
      <c r="R982" s="125"/>
      <c r="S982" s="628">
        <f t="shared" si="3"/>
        <v>0</v>
      </c>
      <c r="T982" s="627" t="s">
        <v>51</v>
      </c>
      <c r="U982" s="627" t="s">
        <v>51</v>
      </c>
      <c r="V982" s="627" t="s">
        <v>51</v>
      </c>
      <c r="W982" s="627" t="s">
        <v>51</v>
      </c>
      <c r="X982" s="627" t="s">
        <v>51</v>
      </c>
      <c r="Y982" s="89"/>
    </row>
    <row r="983" ht="22.5" customHeight="1">
      <c r="A983" s="223"/>
      <c r="B983" s="125"/>
      <c r="C983" s="125"/>
      <c r="D983" s="125"/>
      <c r="E983" s="125"/>
      <c r="F983" s="125"/>
      <c r="G983" s="125"/>
      <c r="H983" s="125"/>
      <c r="I983" s="627" t="s">
        <v>51</v>
      </c>
      <c r="J983" s="125" t="s">
        <v>51</v>
      </c>
      <c r="K983" s="125" t="s">
        <v>51</v>
      </c>
      <c r="L983" s="125" t="s">
        <v>51</v>
      </c>
      <c r="M983" s="125" t="str">
        <f t="shared" si="1"/>
        <v/>
      </c>
      <c r="N983" s="125" t="str">
        <f t="shared" si="2"/>
        <v/>
      </c>
      <c r="O983" s="125"/>
      <c r="P983" s="125"/>
      <c r="Q983" s="125"/>
      <c r="R983" s="125"/>
      <c r="S983" s="628">
        <f t="shared" si="3"/>
        <v>0</v>
      </c>
      <c r="T983" s="627" t="s">
        <v>51</v>
      </c>
      <c r="U983" s="627" t="s">
        <v>51</v>
      </c>
      <c r="V983" s="627" t="s">
        <v>51</v>
      </c>
      <c r="W983" s="627" t="s">
        <v>51</v>
      </c>
      <c r="X983" s="627" t="s">
        <v>51</v>
      </c>
      <c r="Y983" s="89"/>
    </row>
    <row r="984" ht="22.5" customHeight="1">
      <c r="A984" s="223"/>
      <c r="B984" s="125"/>
      <c r="C984" s="125"/>
      <c r="D984" s="125"/>
      <c r="E984" s="125"/>
      <c r="F984" s="125"/>
      <c r="G984" s="125"/>
      <c r="H984" s="125"/>
      <c r="I984" s="627" t="s">
        <v>51</v>
      </c>
      <c r="J984" s="125" t="s">
        <v>51</v>
      </c>
      <c r="K984" s="125" t="s">
        <v>51</v>
      </c>
      <c r="L984" s="125" t="s">
        <v>51</v>
      </c>
      <c r="M984" s="125" t="str">
        <f t="shared" si="1"/>
        <v/>
      </c>
      <c r="N984" s="125" t="str">
        <f t="shared" si="2"/>
        <v/>
      </c>
      <c r="O984" s="125"/>
      <c r="P984" s="125"/>
      <c r="Q984" s="125"/>
      <c r="R984" s="125"/>
      <c r="S984" s="628">
        <f t="shared" si="3"/>
        <v>0</v>
      </c>
      <c r="T984" s="627" t="s">
        <v>51</v>
      </c>
      <c r="U984" s="627" t="s">
        <v>51</v>
      </c>
      <c r="V984" s="627" t="s">
        <v>51</v>
      </c>
      <c r="W984" s="627" t="s">
        <v>51</v>
      </c>
      <c r="X984" s="627" t="s">
        <v>51</v>
      </c>
      <c r="Y984" s="89"/>
    </row>
    <row r="985" ht="22.5" customHeight="1">
      <c r="A985" s="223"/>
      <c r="B985" s="125"/>
      <c r="C985" s="125"/>
      <c r="D985" s="125"/>
      <c r="E985" s="125"/>
      <c r="F985" s="125"/>
      <c r="G985" s="125"/>
      <c r="H985" s="125"/>
      <c r="I985" s="627" t="s">
        <v>51</v>
      </c>
      <c r="J985" s="125" t="s">
        <v>51</v>
      </c>
      <c r="K985" s="125" t="s">
        <v>51</v>
      </c>
      <c r="L985" s="125" t="s">
        <v>51</v>
      </c>
      <c r="M985" s="125" t="str">
        <f t="shared" si="1"/>
        <v/>
      </c>
      <c r="N985" s="125" t="str">
        <f t="shared" si="2"/>
        <v/>
      </c>
      <c r="O985" s="125"/>
      <c r="P985" s="125"/>
      <c r="Q985" s="125"/>
      <c r="R985" s="125"/>
      <c r="S985" s="628">
        <f t="shared" si="3"/>
        <v>0</v>
      </c>
      <c r="T985" s="627" t="s">
        <v>51</v>
      </c>
      <c r="U985" s="627" t="s">
        <v>51</v>
      </c>
      <c r="V985" s="627" t="s">
        <v>51</v>
      </c>
      <c r="W985" s="627" t="s">
        <v>51</v>
      </c>
      <c r="X985" s="627" t="s">
        <v>51</v>
      </c>
      <c r="Y985" s="89"/>
    </row>
    <row r="986" ht="22.5" customHeight="1">
      <c r="A986" s="223"/>
      <c r="B986" s="125"/>
      <c r="C986" s="125"/>
      <c r="D986" s="125"/>
      <c r="E986" s="125"/>
      <c r="F986" s="125"/>
      <c r="G986" s="125"/>
      <c r="H986" s="125"/>
      <c r="I986" s="627" t="s">
        <v>51</v>
      </c>
      <c r="J986" s="125" t="s">
        <v>51</v>
      </c>
      <c r="K986" s="125" t="s">
        <v>51</v>
      </c>
      <c r="L986" s="125" t="s">
        <v>51</v>
      </c>
      <c r="M986" s="125" t="str">
        <f t="shared" si="1"/>
        <v/>
      </c>
      <c r="N986" s="125" t="str">
        <f t="shared" si="2"/>
        <v/>
      </c>
      <c r="O986" s="125"/>
      <c r="P986" s="125"/>
      <c r="Q986" s="125"/>
      <c r="R986" s="125"/>
      <c r="S986" s="628">
        <f t="shared" si="3"/>
        <v>0</v>
      </c>
      <c r="T986" s="627" t="s">
        <v>51</v>
      </c>
      <c r="U986" s="627" t="s">
        <v>51</v>
      </c>
      <c r="V986" s="627" t="s">
        <v>51</v>
      </c>
      <c r="W986" s="627" t="s">
        <v>51</v>
      </c>
      <c r="X986" s="627" t="s">
        <v>51</v>
      </c>
      <c r="Y986" s="89"/>
    </row>
    <row r="987" ht="22.5" customHeight="1">
      <c r="A987" s="223"/>
      <c r="B987" s="125"/>
      <c r="C987" s="125"/>
      <c r="D987" s="125"/>
      <c r="E987" s="125"/>
      <c r="F987" s="125"/>
      <c r="G987" s="125"/>
      <c r="H987" s="125"/>
      <c r="I987" s="627" t="s">
        <v>51</v>
      </c>
      <c r="J987" s="125" t="s">
        <v>51</v>
      </c>
      <c r="K987" s="125" t="s">
        <v>51</v>
      </c>
      <c r="L987" s="125" t="s">
        <v>51</v>
      </c>
      <c r="M987" s="125" t="str">
        <f t="shared" si="1"/>
        <v/>
      </c>
      <c r="N987" s="125" t="str">
        <f t="shared" si="2"/>
        <v/>
      </c>
      <c r="O987" s="125"/>
      <c r="P987" s="125"/>
      <c r="Q987" s="125"/>
      <c r="R987" s="125"/>
      <c r="S987" s="628">
        <f t="shared" si="3"/>
        <v>0</v>
      </c>
      <c r="T987" s="627" t="s">
        <v>51</v>
      </c>
      <c r="U987" s="627" t="s">
        <v>51</v>
      </c>
      <c r="V987" s="627" t="s">
        <v>51</v>
      </c>
      <c r="W987" s="627" t="s">
        <v>51</v>
      </c>
      <c r="X987" s="627" t="s">
        <v>51</v>
      </c>
      <c r="Y987" s="89"/>
    </row>
    <row r="988" ht="22.5" customHeight="1">
      <c r="A988" s="223"/>
      <c r="B988" s="125"/>
      <c r="C988" s="125"/>
      <c r="D988" s="125"/>
      <c r="E988" s="125"/>
      <c r="F988" s="125"/>
      <c r="G988" s="125"/>
      <c r="H988" s="125"/>
      <c r="I988" s="627" t="s">
        <v>51</v>
      </c>
      <c r="J988" s="125" t="s">
        <v>51</v>
      </c>
      <c r="K988" s="125" t="s">
        <v>51</v>
      </c>
      <c r="L988" s="125" t="s">
        <v>51</v>
      </c>
      <c r="M988" s="125" t="str">
        <f t="shared" si="1"/>
        <v/>
      </c>
      <c r="N988" s="125" t="str">
        <f t="shared" si="2"/>
        <v/>
      </c>
      <c r="O988" s="125"/>
      <c r="P988" s="125"/>
      <c r="Q988" s="125"/>
      <c r="R988" s="125"/>
      <c r="S988" s="628">
        <f t="shared" si="3"/>
        <v>0</v>
      </c>
      <c r="T988" s="627" t="s">
        <v>51</v>
      </c>
      <c r="U988" s="627" t="s">
        <v>51</v>
      </c>
      <c r="V988" s="627" t="s">
        <v>51</v>
      </c>
      <c r="W988" s="627" t="s">
        <v>51</v>
      </c>
      <c r="X988" s="627" t="s">
        <v>51</v>
      </c>
      <c r="Y988" s="89"/>
    </row>
    <row r="989" ht="22.5" customHeight="1">
      <c r="A989" s="223"/>
      <c r="B989" s="125"/>
      <c r="C989" s="125"/>
      <c r="D989" s="125"/>
      <c r="E989" s="125"/>
      <c r="F989" s="125"/>
      <c r="G989" s="125"/>
      <c r="H989" s="125"/>
      <c r="I989" s="627" t="s">
        <v>51</v>
      </c>
      <c r="J989" s="125" t="s">
        <v>51</v>
      </c>
      <c r="K989" s="125" t="s">
        <v>51</v>
      </c>
      <c r="L989" s="125" t="s">
        <v>51</v>
      </c>
      <c r="M989" s="125" t="str">
        <f t="shared" si="1"/>
        <v/>
      </c>
      <c r="N989" s="125" t="str">
        <f t="shared" si="2"/>
        <v/>
      </c>
      <c r="O989" s="125"/>
      <c r="P989" s="125"/>
      <c r="Q989" s="125"/>
      <c r="R989" s="125"/>
      <c r="S989" s="628">
        <f t="shared" si="3"/>
        <v>0</v>
      </c>
      <c r="T989" s="627" t="s">
        <v>51</v>
      </c>
      <c r="U989" s="627" t="s">
        <v>51</v>
      </c>
      <c r="V989" s="627" t="s">
        <v>51</v>
      </c>
      <c r="W989" s="627" t="s">
        <v>51</v>
      </c>
      <c r="X989" s="627" t="s">
        <v>51</v>
      </c>
      <c r="Y989" s="89"/>
    </row>
    <row r="990" ht="22.5" customHeight="1">
      <c r="A990" s="223"/>
      <c r="B990" s="125"/>
      <c r="C990" s="125"/>
      <c r="D990" s="125"/>
      <c r="E990" s="125"/>
      <c r="F990" s="125"/>
      <c r="G990" s="125"/>
      <c r="H990" s="125"/>
      <c r="I990" s="627" t="s">
        <v>51</v>
      </c>
      <c r="J990" s="125" t="s">
        <v>51</v>
      </c>
      <c r="K990" s="125" t="s">
        <v>51</v>
      </c>
      <c r="L990" s="125" t="s">
        <v>51</v>
      </c>
      <c r="M990" s="125" t="str">
        <f t="shared" si="1"/>
        <v/>
      </c>
      <c r="N990" s="125" t="str">
        <f t="shared" si="2"/>
        <v/>
      </c>
      <c r="O990" s="125"/>
      <c r="P990" s="125"/>
      <c r="Q990" s="125"/>
      <c r="R990" s="125"/>
      <c r="S990" s="628">
        <f t="shared" si="3"/>
        <v>0</v>
      </c>
      <c r="T990" s="627" t="s">
        <v>51</v>
      </c>
      <c r="U990" s="627" t="s">
        <v>51</v>
      </c>
      <c r="V990" s="627" t="s">
        <v>51</v>
      </c>
      <c r="W990" s="627" t="s">
        <v>51</v>
      </c>
      <c r="X990" s="627" t="s">
        <v>51</v>
      </c>
      <c r="Y990" s="89"/>
    </row>
    <row r="991" ht="22.5" customHeight="1">
      <c r="A991" s="223"/>
      <c r="B991" s="125"/>
      <c r="C991" s="125"/>
      <c r="D991" s="125"/>
      <c r="E991" s="125"/>
      <c r="F991" s="125"/>
      <c r="G991" s="125"/>
      <c r="H991" s="125"/>
      <c r="I991" s="627" t="s">
        <v>51</v>
      </c>
      <c r="J991" s="125" t="s">
        <v>51</v>
      </c>
      <c r="K991" s="125" t="s">
        <v>51</v>
      </c>
      <c r="L991" s="125" t="s">
        <v>51</v>
      </c>
      <c r="M991" s="125" t="str">
        <f t="shared" si="1"/>
        <v/>
      </c>
      <c r="N991" s="125" t="str">
        <f t="shared" si="2"/>
        <v/>
      </c>
      <c r="O991" s="125"/>
      <c r="P991" s="125"/>
      <c r="Q991" s="125"/>
      <c r="R991" s="125"/>
      <c r="S991" s="628">
        <f t="shared" si="3"/>
        <v>0</v>
      </c>
      <c r="T991" s="627" t="s">
        <v>51</v>
      </c>
      <c r="U991" s="627" t="s">
        <v>51</v>
      </c>
      <c r="V991" s="627" t="s">
        <v>51</v>
      </c>
      <c r="W991" s="627" t="s">
        <v>51</v>
      </c>
      <c r="X991" s="627" t="s">
        <v>51</v>
      </c>
      <c r="Y991" s="89"/>
    </row>
    <row r="992" ht="22.5" customHeight="1">
      <c r="A992" s="223"/>
      <c r="B992" s="125"/>
      <c r="C992" s="125"/>
      <c r="D992" s="125"/>
      <c r="E992" s="125"/>
      <c r="F992" s="125"/>
      <c r="G992" s="125"/>
      <c r="H992" s="125"/>
      <c r="I992" s="627" t="s">
        <v>51</v>
      </c>
      <c r="J992" s="125" t="s">
        <v>51</v>
      </c>
      <c r="K992" s="125" t="s">
        <v>51</v>
      </c>
      <c r="L992" s="125" t="s">
        <v>51</v>
      </c>
      <c r="M992" s="125" t="str">
        <f t="shared" si="1"/>
        <v/>
      </c>
      <c r="N992" s="125" t="str">
        <f t="shared" si="2"/>
        <v/>
      </c>
      <c r="O992" s="125"/>
      <c r="P992" s="125"/>
      <c r="Q992" s="125"/>
      <c r="R992" s="125"/>
      <c r="S992" s="628">
        <f t="shared" si="3"/>
        <v>0</v>
      </c>
      <c r="T992" s="627" t="s">
        <v>51</v>
      </c>
      <c r="U992" s="627" t="s">
        <v>51</v>
      </c>
      <c r="V992" s="627" t="s">
        <v>51</v>
      </c>
      <c r="W992" s="627" t="s">
        <v>51</v>
      </c>
      <c r="X992" s="627" t="s">
        <v>51</v>
      </c>
      <c r="Y992" s="89"/>
    </row>
    <row r="993" ht="22.5" customHeight="1">
      <c r="A993" s="223"/>
      <c r="B993" s="125"/>
      <c r="C993" s="125"/>
      <c r="D993" s="125"/>
      <c r="E993" s="125"/>
      <c r="F993" s="125"/>
      <c r="G993" s="125"/>
      <c r="H993" s="125"/>
      <c r="I993" s="627" t="s">
        <v>51</v>
      </c>
      <c r="J993" s="125" t="s">
        <v>51</v>
      </c>
      <c r="K993" s="125" t="s">
        <v>51</v>
      </c>
      <c r="L993" s="125" t="s">
        <v>51</v>
      </c>
      <c r="M993" s="125" t="str">
        <f t="shared" si="1"/>
        <v/>
      </c>
      <c r="N993" s="125" t="str">
        <f t="shared" si="2"/>
        <v/>
      </c>
      <c r="O993" s="125"/>
      <c r="P993" s="125"/>
      <c r="Q993" s="125"/>
      <c r="R993" s="125"/>
      <c r="S993" s="628">
        <f t="shared" si="3"/>
        <v>0</v>
      </c>
      <c r="T993" s="627" t="s">
        <v>51</v>
      </c>
      <c r="U993" s="627" t="s">
        <v>51</v>
      </c>
      <c r="V993" s="627" t="s">
        <v>51</v>
      </c>
      <c r="W993" s="627" t="s">
        <v>51</v>
      </c>
      <c r="X993" s="627" t="s">
        <v>51</v>
      </c>
      <c r="Y993" s="89"/>
    </row>
    <row r="994" ht="22.5" customHeight="1">
      <c r="A994" s="223"/>
      <c r="B994" s="125"/>
      <c r="C994" s="125"/>
      <c r="D994" s="125"/>
      <c r="E994" s="125"/>
      <c r="F994" s="125"/>
      <c r="G994" s="125"/>
      <c r="H994" s="125"/>
      <c r="I994" s="627" t="s">
        <v>51</v>
      </c>
      <c r="J994" s="125" t="s">
        <v>51</v>
      </c>
      <c r="K994" s="125" t="s">
        <v>51</v>
      </c>
      <c r="L994" s="125" t="s">
        <v>51</v>
      </c>
      <c r="M994" s="125" t="str">
        <f t="shared" si="1"/>
        <v/>
      </c>
      <c r="N994" s="125" t="str">
        <f t="shared" si="2"/>
        <v/>
      </c>
      <c r="O994" s="125"/>
      <c r="P994" s="125"/>
      <c r="Q994" s="125"/>
      <c r="R994" s="125"/>
      <c r="S994" s="628">
        <f t="shared" si="3"/>
        <v>0</v>
      </c>
      <c r="T994" s="627" t="s">
        <v>51</v>
      </c>
      <c r="U994" s="627" t="s">
        <v>51</v>
      </c>
      <c r="V994" s="627" t="s">
        <v>51</v>
      </c>
      <c r="W994" s="627" t="s">
        <v>51</v>
      </c>
      <c r="X994" s="627" t="s">
        <v>51</v>
      </c>
      <c r="Y994" s="89"/>
    </row>
    <row r="995" ht="22.5" customHeight="1">
      <c r="A995" s="223"/>
      <c r="B995" s="125"/>
      <c r="C995" s="125"/>
      <c r="D995" s="125"/>
      <c r="E995" s="125"/>
      <c r="F995" s="125"/>
      <c r="G995" s="125"/>
      <c r="H995" s="125"/>
      <c r="I995" s="627" t="s">
        <v>51</v>
      </c>
      <c r="J995" s="125" t="s">
        <v>51</v>
      </c>
      <c r="K995" s="125" t="s">
        <v>51</v>
      </c>
      <c r="L995" s="125" t="s">
        <v>51</v>
      </c>
      <c r="M995" s="125" t="str">
        <f t="shared" si="1"/>
        <v/>
      </c>
      <c r="N995" s="125" t="str">
        <f t="shared" si="2"/>
        <v/>
      </c>
      <c r="O995" s="125"/>
      <c r="P995" s="125"/>
      <c r="Q995" s="125"/>
      <c r="R995" s="125"/>
      <c r="S995" s="628">
        <f t="shared" si="3"/>
        <v>0</v>
      </c>
      <c r="T995" s="627" t="s">
        <v>51</v>
      </c>
      <c r="U995" s="627" t="s">
        <v>51</v>
      </c>
      <c r="V995" s="627" t="s">
        <v>51</v>
      </c>
      <c r="W995" s="627" t="s">
        <v>51</v>
      </c>
      <c r="X995" s="627" t="s">
        <v>51</v>
      </c>
      <c r="Y995" s="89"/>
    </row>
    <row r="996" ht="22.5" customHeight="1">
      <c r="A996" s="223"/>
      <c r="B996" s="125"/>
      <c r="C996" s="125"/>
      <c r="D996" s="125"/>
      <c r="E996" s="125"/>
      <c r="F996" s="125"/>
      <c r="G996" s="125"/>
      <c r="H996" s="125"/>
      <c r="I996" s="627" t="s">
        <v>51</v>
      </c>
      <c r="J996" s="125" t="s">
        <v>51</v>
      </c>
      <c r="K996" s="125" t="s">
        <v>51</v>
      </c>
      <c r="L996" s="125" t="s">
        <v>51</v>
      </c>
      <c r="M996" s="125" t="str">
        <f t="shared" si="1"/>
        <v/>
      </c>
      <c r="N996" s="125" t="str">
        <f t="shared" si="2"/>
        <v/>
      </c>
      <c r="O996" s="125"/>
      <c r="P996" s="125"/>
      <c r="Q996" s="125"/>
      <c r="R996" s="125"/>
      <c r="S996" s="628">
        <f t="shared" si="3"/>
        <v>0</v>
      </c>
      <c r="T996" s="627" t="s">
        <v>51</v>
      </c>
      <c r="U996" s="627" t="s">
        <v>51</v>
      </c>
      <c r="V996" s="627" t="s">
        <v>51</v>
      </c>
      <c r="W996" s="627" t="s">
        <v>51</v>
      </c>
      <c r="X996" s="627" t="s">
        <v>51</v>
      </c>
      <c r="Y996" s="89"/>
    </row>
    <row r="997" ht="22.5" customHeight="1">
      <c r="A997" s="223"/>
      <c r="B997" s="125"/>
      <c r="C997" s="125"/>
      <c r="D997" s="125"/>
      <c r="E997" s="125"/>
      <c r="F997" s="125"/>
      <c r="G997" s="125"/>
      <c r="H997" s="125"/>
      <c r="I997" s="627" t="s">
        <v>51</v>
      </c>
      <c r="J997" s="125" t="s">
        <v>51</v>
      </c>
      <c r="K997" s="125" t="s">
        <v>51</v>
      </c>
      <c r="L997" s="125" t="s">
        <v>51</v>
      </c>
      <c r="M997" s="125" t="str">
        <f t="shared" si="1"/>
        <v/>
      </c>
      <c r="N997" s="125" t="str">
        <f t="shared" si="2"/>
        <v/>
      </c>
      <c r="O997" s="125"/>
      <c r="P997" s="125"/>
      <c r="Q997" s="125"/>
      <c r="R997" s="125"/>
      <c r="S997" s="628">
        <f t="shared" si="3"/>
        <v>0</v>
      </c>
      <c r="T997" s="627" t="s">
        <v>51</v>
      </c>
      <c r="U997" s="627" t="s">
        <v>51</v>
      </c>
      <c r="V997" s="627" t="s">
        <v>51</v>
      </c>
      <c r="W997" s="627" t="s">
        <v>51</v>
      </c>
      <c r="X997" s="627" t="s">
        <v>51</v>
      </c>
      <c r="Y997" s="89"/>
    </row>
    <row r="998" ht="22.5" customHeight="1">
      <c r="A998" s="223"/>
      <c r="B998" s="125"/>
      <c r="C998" s="125"/>
      <c r="D998" s="125"/>
      <c r="E998" s="125"/>
      <c r="F998" s="125"/>
      <c r="G998" s="125"/>
      <c r="H998" s="125"/>
      <c r="I998" s="627" t="s">
        <v>51</v>
      </c>
      <c r="J998" s="125" t="s">
        <v>51</v>
      </c>
      <c r="K998" s="125" t="s">
        <v>51</v>
      </c>
      <c r="L998" s="125" t="s">
        <v>51</v>
      </c>
      <c r="M998" s="125" t="str">
        <f t="shared" si="1"/>
        <v/>
      </c>
      <c r="N998" s="125" t="str">
        <f t="shared" si="2"/>
        <v/>
      </c>
      <c r="O998" s="125"/>
      <c r="P998" s="125"/>
      <c r="Q998" s="125"/>
      <c r="R998" s="125"/>
      <c r="S998" s="628">
        <f t="shared" si="3"/>
        <v>0</v>
      </c>
      <c r="T998" s="627" t="s">
        <v>51</v>
      </c>
      <c r="U998" s="627" t="s">
        <v>51</v>
      </c>
      <c r="V998" s="627" t="s">
        <v>51</v>
      </c>
      <c r="W998" s="627" t="s">
        <v>51</v>
      </c>
      <c r="X998" s="627" t="s">
        <v>51</v>
      </c>
      <c r="Y998" s="89"/>
    </row>
    <row r="999" ht="22.5" customHeight="1">
      <c r="A999" s="223"/>
      <c r="B999" s="125"/>
      <c r="C999" s="125"/>
      <c r="D999" s="125"/>
      <c r="E999" s="125"/>
      <c r="F999" s="125"/>
      <c r="G999" s="125"/>
      <c r="H999" s="125"/>
      <c r="I999" s="627" t="s">
        <v>51</v>
      </c>
      <c r="J999" s="125" t="s">
        <v>51</v>
      </c>
      <c r="K999" s="125" t="s">
        <v>51</v>
      </c>
      <c r="L999" s="125" t="s">
        <v>51</v>
      </c>
      <c r="M999" s="125" t="str">
        <f t="shared" si="1"/>
        <v/>
      </c>
      <c r="N999" s="125" t="str">
        <f t="shared" si="2"/>
        <v/>
      </c>
      <c r="O999" s="125"/>
      <c r="P999" s="125"/>
      <c r="Q999" s="125"/>
      <c r="R999" s="125"/>
      <c r="S999" s="628">
        <f t="shared" si="3"/>
        <v>0</v>
      </c>
      <c r="T999" s="627" t="s">
        <v>51</v>
      </c>
      <c r="U999" s="627" t="s">
        <v>51</v>
      </c>
      <c r="V999" s="627" t="s">
        <v>51</v>
      </c>
      <c r="W999" s="627" t="s">
        <v>51</v>
      </c>
      <c r="X999" s="627" t="s">
        <v>51</v>
      </c>
      <c r="Y999" s="89"/>
    </row>
    <row r="1000" ht="22.5" customHeight="1">
      <c r="A1000" s="223"/>
      <c r="B1000" s="125"/>
      <c r="C1000" s="125"/>
      <c r="D1000" s="125"/>
      <c r="E1000" s="125"/>
      <c r="F1000" s="125"/>
      <c r="G1000" s="125"/>
      <c r="H1000" s="125"/>
      <c r="I1000" s="627" t="s">
        <v>51</v>
      </c>
      <c r="J1000" s="125" t="s">
        <v>51</v>
      </c>
      <c r="K1000" s="125" t="s">
        <v>51</v>
      </c>
      <c r="L1000" s="125" t="s">
        <v>51</v>
      </c>
      <c r="M1000" s="125" t="str">
        <f t="shared" si="1"/>
        <v/>
      </c>
      <c r="N1000" s="125" t="str">
        <f t="shared" si="2"/>
        <v/>
      </c>
      <c r="O1000" s="125"/>
      <c r="P1000" s="125"/>
      <c r="Q1000" s="125"/>
      <c r="R1000" s="125"/>
      <c r="S1000" s="628">
        <f t="shared" si="3"/>
        <v>0</v>
      </c>
      <c r="T1000" s="627" t="s">
        <v>51</v>
      </c>
      <c r="U1000" s="627" t="s">
        <v>51</v>
      </c>
      <c r="V1000" s="627" t="s">
        <v>51</v>
      </c>
      <c r="W1000" s="627" t="s">
        <v>51</v>
      </c>
      <c r="X1000" s="627" t="s">
        <v>51</v>
      </c>
      <c r="Y1000" s="89"/>
    </row>
    <row r="1001" ht="22.5" customHeight="1">
      <c r="A1001" s="223"/>
      <c r="B1001" s="125"/>
      <c r="C1001" s="125"/>
      <c r="D1001" s="125"/>
      <c r="E1001" s="125"/>
      <c r="F1001" s="125"/>
      <c r="G1001" s="125"/>
      <c r="H1001" s="125"/>
      <c r="I1001" s="627" t="s">
        <v>51</v>
      </c>
      <c r="J1001" s="125" t="s">
        <v>51</v>
      </c>
      <c r="K1001" s="125" t="s">
        <v>51</v>
      </c>
      <c r="L1001" s="125" t="s">
        <v>51</v>
      </c>
      <c r="M1001" s="125" t="str">
        <f t="shared" si="1"/>
        <v/>
      </c>
      <c r="N1001" s="125" t="str">
        <f t="shared" si="2"/>
        <v/>
      </c>
      <c r="O1001" s="125"/>
      <c r="P1001" s="125"/>
      <c r="Q1001" s="125"/>
      <c r="R1001" s="125"/>
      <c r="S1001" s="628">
        <f t="shared" si="3"/>
        <v>0</v>
      </c>
      <c r="T1001" s="627" t="s">
        <v>51</v>
      </c>
      <c r="U1001" s="627" t="s">
        <v>51</v>
      </c>
      <c r="V1001" s="627" t="s">
        <v>51</v>
      </c>
      <c r="W1001" s="627" t="s">
        <v>51</v>
      </c>
      <c r="X1001" s="627" t="s">
        <v>51</v>
      </c>
      <c r="Y1001" s="89"/>
    </row>
    <row r="1002" ht="22.5" customHeight="1">
      <c r="A1002" s="223"/>
      <c r="B1002" s="125"/>
      <c r="C1002" s="125"/>
      <c r="D1002" s="125"/>
      <c r="E1002" s="125"/>
      <c r="F1002" s="125"/>
      <c r="G1002" s="125"/>
      <c r="H1002" s="125"/>
      <c r="I1002" s="627" t="s">
        <v>51</v>
      </c>
      <c r="J1002" s="125" t="s">
        <v>51</v>
      </c>
      <c r="K1002" s="125" t="s">
        <v>51</v>
      </c>
      <c r="L1002" s="125" t="s">
        <v>51</v>
      </c>
      <c r="M1002" s="125" t="str">
        <f t="shared" si="1"/>
        <v/>
      </c>
      <c r="N1002" s="125" t="str">
        <f t="shared" si="2"/>
        <v/>
      </c>
      <c r="O1002" s="125"/>
      <c r="P1002" s="125"/>
      <c r="Q1002" s="125"/>
      <c r="R1002" s="125"/>
      <c r="S1002" s="628">
        <f t="shared" si="3"/>
        <v>0</v>
      </c>
      <c r="T1002" s="627" t="s">
        <v>51</v>
      </c>
      <c r="U1002" s="627" t="s">
        <v>51</v>
      </c>
      <c r="V1002" s="627" t="s">
        <v>51</v>
      </c>
      <c r="W1002" s="627" t="s">
        <v>51</v>
      </c>
      <c r="X1002" s="627" t="s">
        <v>51</v>
      </c>
      <c r="Y1002" s="89"/>
    </row>
    <row r="1003" ht="22.5" customHeight="1">
      <c r="A1003" s="223"/>
      <c r="B1003" s="125"/>
      <c r="C1003" s="125"/>
      <c r="D1003" s="125"/>
      <c r="E1003" s="125"/>
      <c r="F1003" s="125"/>
      <c r="G1003" s="125"/>
      <c r="H1003" s="125"/>
      <c r="I1003" s="627" t="s">
        <v>51</v>
      </c>
      <c r="J1003" s="125" t="s">
        <v>51</v>
      </c>
      <c r="K1003" s="125" t="s">
        <v>51</v>
      </c>
      <c r="L1003" s="125" t="s">
        <v>51</v>
      </c>
      <c r="M1003" s="125" t="str">
        <f t="shared" si="1"/>
        <v/>
      </c>
      <c r="N1003" s="125" t="str">
        <f t="shared" si="2"/>
        <v/>
      </c>
      <c r="O1003" s="125"/>
      <c r="P1003" s="125"/>
      <c r="Q1003" s="125"/>
      <c r="R1003" s="125"/>
      <c r="S1003" s="628">
        <f t="shared" si="3"/>
        <v>0</v>
      </c>
      <c r="T1003" s="627" t="s">
        <v>51</v>
      </c>
      <c r="U1003" s="627" t="s">
        <v>51</v>
      </c>
      <c r="V1003" s="627" t="s">
        <v>51</v>
      </c>
      <c r="W1003" s="627" t="s">
        <v>51</v>
      </c>
      <c r="X1003" s="627" t="s">
        <v>51</v>
      </c>
      <c r="Y1003" s="89"/>
    </row>
    <row r="1004" ht="22.5" customHeight="1">
      <c r="A1004" s="223"/>
      <c r="B1004" s="125"/>
      <c r="C1004" s="125"/>
      <c r="D1004" s="125"/>
      <c r="E1004" s="125"/>
      <c r="F1004" s="125"/>
      <c r="G1004" s="125"/>
      <c r="H1004" s="125"/>
      <c r="I1004" s="627" t="s">
        <v>51</v>
      </c>
      <c r="J1004" s="125" t="s">
        <v>51</v>
      </c>
      <c r="K1004" s="125" t="s">
        <v>51</v>
      </c>
      <c r="L1004" s="125" t="s">
        <v>51</v>
      </c>
      <c r="M1004" s="125" t="str">
        <f t="shared" si="1"/>
        <v/>
      </c>
      <c r="N1004" s="125" t="str">
        <f t="shared" si="2"/>
        <v/>
      </c>
      <c r="O1004" s="125"/>
      <c r="P1004" s="125"/>
      <c r="Q1004" s="125"/>
      <c r="R1004" s="125"/>
      <c r="S1004" s="628">
        <f t="shared" si="3"/>
        <v>0</v>
      </c>
      <c r="T1004" s="627" t="s">
        <v>51</v>
      </c>
      <c r="U1004" s="627" t="s">
        <v>51</v>
      </c>
      <c r="V1004" s="627" t="s">
        <v>51</v>
      </c>
      <c r="W1004" s="627" t="s">
        <v>51</v>
      </c>
      <c r="X1004" s="627" t="s">
        <v>51</v>
      </c>
      <c r="Y1004" s="89"/>
    </row>
    <row r="1005" ht="22.5" customHeight="1">
      <c r="A1005" s="223"/>
      <c r="B1005" s="125"/>
      <c r="C1005" s="125"/>
      <c r="D1005" s="125"/>
      <c r="E1005" s="125"/>
      <c r="F1005" s="125"/>
      <c r="G1005" s="125"/>
      <c r="H1005" s="125"/>
      <c r="I1005" s="627" t="s">
        <v>51</v>
      </c>
      <c r="J1005" s="125" t="s">
        <v>51</v>
      </c>
      <c r="K1005" s="125" t="s">
        <v>51</v>
      </c>
      <c r="L1005" s="125" t="s">
        <v>51</v>
      </c>
      <c r="M1005" s="125" t="str">
        <f t="shared" si="1"/>
        <v/>
      </c>
      <c r="N1005" s="125" t="str">
        <f t="shared" si="2"/>
        <v/>
      </c>
      <c r="O1005" s="125"/>
      <c r="P1005" s="125"/>
      <c r="Q1005" s="125"/>
      <c r="R1005" s="125"/>
      <c r="S1005" s="628">
        <f t="shared" si="3"/>
        <v>0</v>
      </c>
      <c r="T1005" s="627" t="s">
        <v>51</v>
      </c>
      <c r="U1005" s="627" t="s">
        <v>51</v>
      </c>
      <c r="V1005" s="627" t="s">
        <v>51</v>
      </c>
      <c r="W1005" s="627" t="s">
        <v>51</v>
      </c>
      <c r="X1005" s="627" t="s">
        <v>51</v>
      </c>
      <c r="Y1005" s="89"/>
    </row>
    <row r="1006" ht="22.5" customHeight="1">
      <c r="A1006" s="223"/>
      <c r="B1006" s="125"/>
      <c r="C1006" s="125"/>
      <c r="D1006" s="125"/>
      <c r="E1006" s="125"/>
      <c r="F1006" s="125"/>
      <c r="G1006" s="125"/>
      <c r="H1006" s="125"/>
      <c r="I1006" s="627" t="s">
        <v>51</v>
      </c>
      <c r="J1006" s="125" t="s">
        <v>51</v>
      </c>
      <c r="K1006" s="125" t="s">
        <v>51</v>
      </c>
      <c r="L1006" s="125" t="s">
        <v>51</v>
      </c>
      <c r="M1006" s="125" t="str">
        <f t="shared" si="1"/>
        <v/>
      </c>
      <c r="N1006" s="125" t="str">
        <f t="shared" si="2"/>
        <v/>
      </c>
      <c r="O1006" s="125"/>
      <c r="P1006" s="125"/>
      <c r="Q1006" s="125"/>
      <c r="R1006" s="125"/>
      <c r="S1006" s="628">
        <f t="shared" si="3"/>
        <v>0</v>
      </c>
      <c r="T1006" s="627" t="s">
        <v>51</v>
      </c>
      <c r="U1006" s="627" t="s">
        <v>51</v>
      </c>
      <c r="V1006" s="627" t="s">
        <v>51</v>
      </c>
      <c r="W1006" s="627" t="s">
        <v>51</v>
      </c>
      <c r="X1006" s="627" t="s">
        <v>51</v>
      </c>
      <c r="Y1006" s="89"/>
    </row>
    <row r="1007" ht="22.5" customHeight="1">
      <c r="A1007" s="223"/>
      <c r="B1007" s="125"/>
      <c r="C1007" s="125"/>
      <c r="D1007" s="125"/>
      <c r="E1007" s="125"/>
      <c r="F1007" s="125"/>
      <c r="G1007" s="125"/>
      <c r="H1007" s="125"/>
      <c r="I1007" s="627" t="s">
        <v>51</v>
      </c>
      <c r="J1007" s="125" t="s">
        <v>51</v>
      </c>
      <c r="K1007" s="125" t="s">
        <v>51</v>
      </c>
      <c r="L1007" s="125" t="s">
        <v>51</v>
      </c>
      <c r="M1007" s="125" t="str">
        <f t="shared" si="1"/>
        <v/>
      </c>
      <c r="N1007" s="125" t="str">
        <f t="shared" si="2"/>
        <v/>
      </c>
      <c r="O1007" s="125"/>
      <c r="P1007" s="125"/>
      <c r="Q1007" s="125"/>
      <c r="R1007" s="125"/>
      <c r="S1007" s="628">
        <f t="shared" si="3"/>
        <v>0</v>
      </c>
      <c r="T1007" s="627" t="s">
        <v>51</v>
      </c>
      <c r="U1007" s="627" t="s">
        <v>51</v>
      </c>
      <c r="V1007" s="627" t="s">
        <v>51</v>
      </c>
      <c r="W1007" s="627" t="s">
        <v>51</v>
      </c>
      <c r="X1007" s="627" t="s">
        <v>51</v>
      </c>
      <c r="Y1007" s="89"/>
    </row>
    <row r="1008" ht="22.5" customHeight="1">
      <c r="A1008" s="223"/>
      <c r="B1008" s="125"/>
      <c r="C1008" s="125"/>
      <c r="D1008" s="125"/>
      <c r="E1008" s="125"/>
      <c r="F1008" s="125"/>
      <c r="G1008" s="125"/>
      <c r="H1008" s="125"/>
      <c r="I1008" s="627" t="s">
        <v>51</v>
      </c>
      <c r="J1008" s="125" t="s">
        <v>51</v>
      </c>
      <c r="K1008" s="125" t="s">
        <v>51</v>
      </c>
      <c r="L1008" s="125" t="s">
        <v>51</v>
      </c>
      <c r="M1008" s="125" t="str">
        <f t="shared" si="1"/>
        <v/>
      </c>
      <c r="N1008" s="125" t="str">
        <f t="shared" si="2"/>
        <v/>
      </c>
      <c r="O1008" s="125"/>
      <c r="P1008" s="125"/>
      <c r="Q1008" s="125"/>
      <c r="R1008" s="125"/>
      <c r="S1008" s="628">
        <f t="shared" si="3"/>
        <v>0</v>
      </c>
      <c r="T1008" s="627" t="s">
        <v>51</v>
      </c>
      <c r="U1008" s="627" t="s">
        <v>51</v>
      </c>
      <c r="V1008" s="627" t="s">
        <v>51</v>
      </c>
      <c r="W1008" s="627" t="s">
        <v>51</v>
      </c>
      <c r="X1008" s="627" t="s">
        <v>51</v>
      </c>
      <c r="Y1008" s="89"/>
    </row>
    <row r="1009" ht="22.5" customHeight="1">
      <c r="A1009" s="223"/>
      <c r="B1009" s="125"/>
      <c r="C1009" s="125"/>
      <c r="D1009" s="125"/>
      <c r="E1009" s="125"/>
      <c r="F1009" s="125"/>
      <c r="G1009" s="125"/>
      <c r="H1009" s="125"/>
      <c r="I1009" s="627" t="s">
        <v>51</v>
      </c>
      <c r="J1009" s="125" t="s">
        <v>51</v>
      </c>
      <c r="K1009" s="125" t="s">
        <v>51</v>
      </c>
      <c r="L1009" s="125" t="s">
        <v>51</v>
      </c>
      <c r="M1009" s="125" t="str">
        <f t="shared" si="1"/>
        <v/>
      </c>
      <c r="N1009" s="125" t="str">
        <f t="shared" si="2"/>
        <v/>
      </c>
      <c r="O1009" s="125"/>
      <c r="P1009" s="125"/>
      <c r="Q1009" s="125"/>
      <c r="R1009" s="125"/>
      <c r="S1009" s="628">
        <f t="shared" si="3"/>
        <v>0</v>
      </c>
      <c r="T1009" s="627" t="s">
        <v>51</v>
      </c>
      <c r="U1009" s="627" t="s">
        <v>51</v>
      </c>
      <c r="V1009" s="627" t="s">
        <v>51</v>
      </c>
      <c r="W1009" s="627" t="s">
        <v>51</v>
      </c>
      <c r="X1009" s="627" t="s">
        <v>51</v>
      </c>
      <c r="Y1009" s="89"/>
    </row>
    <row r="1010" ht="22.5" customHeight="1">
      <c r="A1010" s="223"/>
      <c r="B1010" s="125"/>
      <c r="C1010" s="125"/>
      <c r="D1010" s="125"/>
      <c r="E1010" s="125"/>
      <c r="F1010" s="125"/>
      <c r="G1010" s="125"/>
      <c r="H1010" s="125"/>
      <c r="I1010" s="627" t="s">
        <v>51</v>
      </c>
      <c r="J1010" s="125" t="s">
        <v>51</v>
      </c>
      <c r="K1010" s="125" t="s">
        <v>51</v>
      </c>
      <c r="L1010" s="125" t="s">
        <v>51</v>
      </c>
      <c r="M1010" s="125" t="str">
        <f t="shared" si="1"/>
        <v/>
      </c>
      <c r="N1010" s="125" t="str">
        <f t="shared" si="2"/>
        <v/>
      </c>
      <c r="O1010" s="125"/>
      <c r="P1010" s="125"/>
      <c r="Q1010" s="125"/>
      <c r="R1010" s="125"/>
      <c r="S1010" s="628">
        <f t="shared" si="3"/>
        <v>0</v>
      </c>
      <c r="T1010" s="627" t="s">
        <v>51</v>
      </c>
      <c r="U1010" s="627" t="s">
        <v>51</v>
      </c>
      <c r="V1010" s="627" t="s">
        <v>51</v>
      </c>
      <c r="W1010" s="627" t="s">
        <v>51</v>
      </c>
      <c r="X1010" s="627" t="s">
        <v>51</v>
      </c>
      <c r="Y1010" s="89"/>
    </row>
    <row r="1011" ht="22.5" customHeight="1">
      <c r="A1011" s="223"/>
      <c r="B1011" s="125"/>
      <c r="C1011" s="125"/>
      <c r="D1011" s="125"/>
      <c r="E1011" s="125"/>
      <c r="F1011" s="125"/>
      <c r="G1011" s="125"/>
      <c r="H1011" s="125"/>
      <c r="I1011" s="627" t="s">
        <v>51</v>
      </c>
      <c r="J1011" s="125" t="s">
        <v>51</v>
      </c>
      <c r="K1011" s="125" t="s">
        <v>51</v>
      </c>
      <c r="L1011" s="125" t="s">
        <v>51</v>
      </c>
      <c r="M1011" s="125" t="str">
        <f t="shared" si="1"/>
        <v/>
      </c>
      <c r="N1011" s="125" t="str">
        <f t="shared" si="2"/>
        <v/>
      </c>
      <c r="O1011" s="125"/>
      <c r="P1011" s="125"/>
      <c r="Q1011" s="125"/>
      <c r="R1011" s="125"/>
      <c r="S1011" s="628">
        <f t="shared" si="3"/>
        <v>0</v>
      </c>
      <c r="T1011" s="627" t="s">
        <v>51</v>
      </c>
      <c r="U1011" s="627" t="s">
        <v>51</v>
      </c>
      <c r="V1011" s="627" t="s">
        <v>51</v>
      </c>
      <c r="W1011" s="627" t="s">
        <v>51</v>
      </c>
      <c r="X1011" s="627" t="s">
        <v>51</v>
      </c>
      <c r="Y1011" s="89"/>
    </row>
    <row r="1012" ht="22.5" customHeight="1">
      <c r="A1012" s="223"/>
      <c r="B1012" s="125"/>
      <c r="C1012" s="125"/>
      <c r="D1012" s="125"/>
      <c r="E1012" s="125"/>
      <c r="F1012" s="125"/>
      <c r="G1012" s="125"/>
      <c r="H1012" s="125"/>
      <c r="I1012" s="627" t="s">
        <v>51</v>
      </c>
      <c r="J1012" s="125" t="s">
        <v>51</v>
      </c>
      <c r="K1012" s="125" t="s">
        <v>51</v>
      </c>
      <c r="L1012" s="125" t="s">
        <v>51</v>
      </c>
      <c r="M1012" s="125" t="str">
        <f t="shared" si="1"/>
        <v/>
      </c>
      <c r="N1012" s="125" t="str">
        <f t="shared" si="2"/>
        <v/>
      </c>
      <c r="O1012" s="125"/>
      <c r="P1012" s="125"/>
      <c r="Q1012" s="125"/>
      <c r="R1012" s="125"/>
      <c r="S1012" s="628">
        <f t="shared" si="3"/>
        <v>0</v>
      </c>
      <c r="T1012" s="627" t="s">
        <v>51</v>
      </c>
      <c r="U1012" s="627" t="s">
        <v>51</v>
      </c>
      <c r="V1012" s="627" t="s">
        <v>51</v>
      </c>
      <c r="W1012" s="627" t="s">
        <v>51</v>
      </c>
      <c r="X1012" s="627" t="s">
        <v>51</v>
      </c>
      <c r="Y1012" s="89"/>
    </row>
    <row r="1013" ht="22.5" customHeight="1">
      <c r="A1013" s="223"/>
      <c r="B1013" s="125"/>
      <c r="C1013" s="125"/>
      <c r="D1013" s="125"/>
      <c r="E1013" s="125"/>
      <c r="F1013" s="125"/>
      <c r="G1013" s="125"/>
      <c r="H1013" s="125"/>
      <c r="I1013" s="627" t="s">
        <v>51</v>
      </c>
      <c r="J1013" s="125" t="s">
        <v>51</v>
      </c>
      <c r="K1013" s="125" t="s">
        <v>51</v>
      </c>
      <c r="L1013" s="125" t="s">
        <v>51</v>
      </c>
      <c r="M1013" s="125" t="str">
        <f t="shared" si="1"/>
        <v/>
      </c>
      <c r="N1013" s="125" t="str">
        <f t="shared" si="2"/>
        <v/>
      </c>
      <c r="O1013" s="125"/>
      <c r="P1013" s="125"/>
      <c r="Q1013" s="125"/>
      <c r="R1013" s="125"/>
      <c r="S1013" s="628">
        <f t="shared" si="3"/>
        <v>0</v>
      </c>
      <c r="T1013" s="627" t="s">
        <v>51</v>
      </c>
      <c r="U1013" s="627" t="s">
        <v>51</v>
      </c>
      <c r="V1013" s="627" t="s">
        <v>51</v>
      </c>
      <c r="W1013" s="627" t="s">
        <v>51</v>
      </c>
      <c r="X1013" s="627" t="s">
        <v>51</v>
      </c>
      <c r="Y1013" s="89"/>
    </row>
    <row r="1014" ht="22.5" customHeight="1">
      <c r="A1014" s="223"/>
      <c r="B1014" s="125"/>
      <c r="C1014" s="125"/>
      <c r="D1014" s="125"/>
      <c r="E1014" s="125"/>
      <c r="F1014" s="125"/>
      <c r="G1014" s="125"/>
      <c r="H1014" s="125"/>
      <c r="I1014" s="627" t="s">
        <v>51</v>
      </c>
      <c r="J1014" s="125" t="s">
        <v>51</v>
      </c>
      <c r="K1014" s="125" t="s">
        <v>51</v>
      </c>
      <c r="L1014" s="125" t="s">
        <v>51</v>
      </c>
      <c r="M1014" s="125" t="str">
        <f t="shared" si="1"/>
        <v/>
      </c>
      <c r="N1014" s="125" t="str">
        <f t="shared" si="2"/>
        <v/>
      </c>
      <c r="O1014" s="125"/>
      <c r="P1014" s="125"/>
      <c r="Q1014" s="125"/>
      <c r="R1014" s="125"/>
      <c r="S1014" s="628">
        <f t="shared" si="3"/>
        <v>0</v>
      </c>
      <c r="T1014" s="627" t="s">
        <v>51</v>
      </c>
      <c r="U1014" s="627" t="s">
        <v>51</v>
      </c>
      <c r="V1014" s="627" t="s">
        <v>51</v>
      </c>
      <c r="W1014" s="627" t="s">
        <v>51</v>
      </c>
      <c r="X1014" s="627" t="s">
        <v>51</v>
      </c>
      <c r="Y1014" s="89"/>
    </row>
    <row r="1015" ht="22.5" customHeight="1">
      <c r="A1015" s="223"/>
      <c r="B1015" s="125"/>
      <c r="C1015" s="125"/>
      <c r="D1015" s="125"/>
      <c r="E1015" s="125"/>
      <c r="F1015" s="125"/>
      <c r="G1015" s="125"/>
      <c r="H1015" s="125"/>
      <c r="I1015" s="627" t="s">
        <v>51</v>
      </c>
      <c r="J1015" s="125" t="s">
        <v>51</v>
      </c>
      <c r="K1015" s="125" t="s">
        <v>51</v>
      </c>
      <c r="L1015" s="125" t="s">
        <v>51</v>
      </c>
      <c r="M1015" s="125" t="str">
        <f t="shared" si="1"/>
        <v/>
      </c>
      <c r="N1015" s="125" t="str">
        <f t="shared" si="2"/>
        <v/>
      </c>
      <c r="O1015" s="125"/>
      <c r="P1015" s="125"/>
      <c r="Q1015" s="125"/>
      <c r="R1015" s="125"/>
      <c r="S1015" s="628">
        <f t="shared" si="3"/>
        <v>0</v>
      </c>
      <c r="T1015" s="627" t="s">
        <v>51</v>
      </c>
      <c r="U1015" s="627" t="s">
        <v>51</v>
      </c>
      <c r="V1015" s="627" t="s">
        <v>51</v>
      </c>
      <c r="W1015" s="627" t="s">
        <v>51</v>
      </c>
      <c r="X1015" s="627" t="s">
        <v>51</v>
      </c>
      <c r="Y1015" s="89"/>
    </row>
    <row r="1016" ht="22.5" customHeight="1">
      <c r="A1016" s="223"/>
      <c r="B1016" s="125"/>
      <c r="C1016" s="125"/>
      <c r="D1016" s="125"/>
      <c r="E1016" s="125"/>
      <c r="F1016" s="125"/>
      <c r="G1016" s="125"/>
      <c r="H1016" s="125"/>
      <c r="I1016" s="627" t="s">
        <v>51</v>
      </c>
      <c r="J1016" s="125" t="s">
        <v>51</v>
      </c>
      <c r="K1016" s="125" t="s">
        <v>51</v>
      </c>
      <c r="L1016" s="125" t="s">
        <v>51</v>
      </c>
      <c r="M1016" s="125" t="str">
        <f t="shared" si="1"/>
        <v/>
      </c>
      <c r="N1016" s="125" t="str">
        <f t="shared" si="2"/>
        <v/>
      </c>
      <c r="O1016" s="125"/>
      <c r="P1016" s="125"/>
      <c r="Q1016" s="125"/>
      <c r="R1016" s="125"/>
      <c r="S1016" s="628">
        <f t="shared" si="3"/>
        <v>0</v>
      </c>
      <c r="T1016" s="627" t="s">
        <v>51</v>
      </c>
      <c r="U1016" s="627" t="s">
        <v>51</v>
      </c>
      <c r="V1016" s="627" t="s">
        <v>51</v>
      </c>
      <c r="W1016" s="627" t="s">
        <v>51</v>
      </c>
      <c r="X1016" s="627" t="s">
        <v>51</v>
      </c>
      <c r="Y1016" s="89"/>
    </row>
    <row r="1017" ht="22.5" customHeight="1">
      <c r="A1017" s="223"/>
      <c r="B1017" s="125"/>
      <c r="C1017" s="125"/>
      <c r="D1017" s="125"/>
      <c r="E1017" s="125"/>
      <c r="F1017" s="125"/>
      <c r="G1017" s="125"/>
      <c r="H1017" s="125"/>
      <c r="I1017" s="627" t="s">
        <v>51</v>
      </c>
      <c r="J1017" s="125" t="s">
        <v>51</v>
      </c>
      <c r="K1017" s="125" t="s">
        <v>51</v>
      </c>
      <c r="L1017" s="125" t="s">
        <v>51</v>
      </c>
      <c r="M1017" s="125" t="str">
        <f t="shared" si="1"/>
        <v/>
      </c>
      <c r="N1017" s="125" t="str">
        <f t="shared" si="2"/>
        <v/>
      </c>
      <c r="O1017" s="125"/>
      <c r="P1017" s="125"/>
      <c r="Q1017" s="125"/>
      <c r="R1017" s="125"/>
      <c r="S1017" s="628">
        <f t="shared" si="3"/>
        <v>0</v>
      </c>
      <c r="T1017" s="627" t="s">
        <v>51</v>
      </c>
      <c r="U1017" s="627" t="s">
        <v>51</v>
      </c>
      <c r="V1017" s="627" t="s">
        <v>51</v>
      </c>
      <c r="W1017" s="627" t="s">
        <v>51</v>
      </c>
      <c r="X1017" s="627" t="s">
        <v>51</v>
      </c>
      <c r="Y1017" s="89"/>
    </row>
    <row r="1018" ht="22.5" customHeight="1">
      <c r="A1018" s="223"/>
      <c r="B1018" s="125"/>
      <c r="C1018" s="125"/>
      <c r="D1018" s="125"/>
      <c r="E1018" s="125"/>
      <c r="F1018" s="125"/>
      <c r="G1018" s="125"/>
      <c r="H1018" s="125"/>
      <c r="I1018" s="627" t="s">
        <v>51</v>
      </c>
      <c r="J1018" s="125" t="s">
        <v>51</v>
      </c>
      <c r="K1018" s="125" t="s">
        <v>51</v>
      </c>
      <c r="L1018" s="125" t="s">
        <v>51</v>
      </c>
      <c r="M1018" s="125" t="str">
        <f t="shared" si="1"/>
        <v/>
      </c>
      <c r="N1018" s="125" t="str">
        <f t="shared" si="2"/>
        <v/>
      </c>
      <c r="O1018" s="125"/>
      <c r="P1018" s="125"/>
      <c r="Q1018" s="125"/>
      <c r="R1018" s="125"/>
      <c r="S1018" s="628">
        <f t="shared" si="3"/>
        <v>0</v>
      </c>
      <c r="T1018" s="627" t="s">
        <v>51</v>
      </c>
      <c r="U1018" s="627" t="s">
        <v>51</v>
      </c>
      <c r="V1018" s="627" t="s">
        <v>51</v>
      </c>
      <c r="W1018" s="627" t="s">
        <v>51</v>
      </c>
      <c r="X1018" s="627" t="s">
        <v>51</v>
      </c>
      <c r="Y1018" s="89"/>
    </row>
    <row r="1019" ht="22.5" customHeight="1">
      <c r="A1019" s="223"/>
      <c r="B1019" s="125"/>
      <c r="C1019" s="125"/>
      <c r="D1019" s="125"/>
      <c r="E1019" s="125"/>
      <c r="F1019" s="125"/>
      <c r="G1019" s="125"/>
      <c r="H1019" s="125"/>
      <c r="I1019" s="627" t="s">
        <v>51</v>
      </c>
      <c r="J1019" s="125" t="s">
        <v>51</v>
      </c>
      <c r="K1019" s="125" t="s">
        <v>51</v>
      </c>
      <c r="L1019" s="125" t="s">
        <v>51</v>
      </c>
      <c r="M1019" s="125" t="str">
        <f t="shared" si="1"/>
        <v/>
      </c>
      <c r="N1019" s="125" t="str">
        <f t="shared" si="2"/>
        <v/>
      </c>
      <c r="O1019" s="125"/>
      <c r="P1019" s="125"/>
      <c r="Q1019" s="125"/>
      <c r="R1019" s="125"/>
      <c r="S1019" s="628">
        <f t="shared" si="3"/>
        <v>0</v>
      </c>
      <c r="T1019" s="627" t="s">
        <v>51</v>
      </c>
      <c r="U1019" s="627" t="s">
        <v>51</v>
      </c>
      <c r="V1019" s="627" t="s">
        <v>51</v>
      </c>
      <c r="W1019" s="627" t="s">
        <v>51</v>
      </c>
      <c r="X1019" s="627" t="s">
        <v>51</v>
      </c>
      <c r="Y1019" s="89"/>
    </row>
    <row r="1020" ht="22.5" customHeight="1">
      <c r="A1020" s="223"/>
      <c r="B1020" s="125"/>
      <c r="C1020" s="125"/>
      <c r="D1020" s="125"/>
      <c r="E1020" s="125"/>
      <c r="F1020" s="125"/>
      <c r="G1020" s="125"/>
      <c r="H1020" s="125"/>
      <c r="I1020" s="627" t="s">
        <v>51</v>
      </c>
      <c r="J1020" s="125" t="s">
        <v>51</v>
      </c>
      <c r="K1020" s="125" t="s">
        <v>51</v>
      </c>
      <c r="L1020" s="125" t="s">
        <v>51</v>
      </c>
      <c r="M1020" s="125" t="str">
        <f t="shared" si="1"/>
        <v/>
      </c>
      <c r="N1020" s="125" t="str">
        <f t="shared" si="2"/>
        <v/>
      </c>
      <c r="O1020" s="125"/>
      <c r="P1020" s="125"/>
      <c r="Q1020" s="125"/>
      <c r="R1020" s="125"/>
      <c r="S1020" s="628">
        <f t="shared" si="3"/>
        <v>0</v>
      </c>
      <c r="T1020" s="627" t="s">
        <v>51</v>
      </c>
      <c r="U1020" s="627" t="s">
        <v>51</v>
      </c>
      <c r="V1020" s="627" t="s">
        <v>51</v>
      </c>
      <c r="W1020" s="627" t="s">
        <v>51</v>
      </c>
      <c r="X1020" s="627" t="s">
        <v>51</v>
      </c>
      <c r="Y1020" s="89"/>
    </row>
    <row r="1021" ht="22.5" customHeight="1">
      <c r="A1021" s="223"/>
      <c r="B1021" s="125"/>
      <c r="C1021" s="125"/>
      <c r="D1021" s="125"/>
      <c r="E1021" s="125"/>
      <c r="F1021" s="125"/>
      <c r="G1021" s="125"/>
      <c r="H1021" s="125"/>
      <c r="I1021" s="627" t="s">
        <v>51</v>
      </c>
      <c r="J1021" s="125" t="s">
        <v>51</v>
      </c>
      <c r="K1021" s="125" t="s">
        <v>51</v>
      </c>
      <c r="L1021" s="125" t="s">
        <v>51</v>
      </c>
      <c r="M1021" s="125" t="str">
        <f t="shared" si="1"/>
        <v/>
      </c>
      <c r="N1021" s="125" t="str">
        <f t="shared" si="2"/>
        <v/>
      </c>
      <c r="O1021" s="125"/>
      <c r="P1021" s="125"/>
      <c r="Q1021" s="125"/>
      <c r="R1021" s="125"/>
      <c r="S1021" s="628">
        <f t="shared" si="3"/>
        <v>0</v>
      </c>
      <c r="T1021" s="627" t="s">
        <v>51</v>
      </c>
      <c r="U1021" s="627" t="s">
        <v>51</v>
      </c>
      <c r="V1021" s="627" t="s">
        <v>51</v>
      </c>
      <c r="W1021" s="627" t="s">
        <v>51</v>
      </c>
      <c r="X1021" s="627" t="s">
        <v>51</v>
      </c>
      <c r="Y1021" s="89"/>
    </row>
    <row r="1022" ht="22.5" customHeight="1">
      <c r="A1022" s="223"/>
      <c r="B1022" s="125"/>
      <c r="C1022" s="125"/>
      <c r="D1022" s="125"/>
      <c r="E1022" s="125"/>
      <c r="F1022" s="125"/>
      <c r="G1022" s="125"/>
      <c r="H1022" s="125"/>
      <c r="I1022" s="627" t="s">
        <v>51</v>
      </c>
      <c r="J1022" s="125" t="s">
        <v>51</v>
      </c>
      <c r="K1022" s="125" t="s">
        <v>51</v>
      </c>
      <c r="L1022" s="125" t="s">
        <v>51</v>
      </c>
      <c r="M1022" s="125" t="str">
        <f t="shared" si="1"/>
        <v/>
      </c>
      <c r="N1022" s="125" t="str">
        <f t="shared" si="2"/>
        <v/>
      </c>
      <c r="O1022" s="125"/>
      <c r="P1022" s="125"/>
      <c r="Q1022" s="125"/>
      <c r="R1022" s="125"/>
      <c r="S1022" s="628">
        <f t="shared" si="3"/>
        <v>0</v>
      </c>
      <c r="T1022" s="627" t="s">
        <v>51</v>
      </c>
      <c r="U1022" s="627" t="s">
        <v>51</v>
      </c>
      <c r="V1022" s="627" t="s">
        <v>51</v>
      </c>
      <c r="W1022" s="627" t="s">
        <v>51</v>
      </c>
      <c r="X1022" s="627" t="s">
        <v>51</v>
      </c>
      <c r="Y1022" s="89"/>
    </row>
    <row r="1023" ht="22.5" customHeight="1">
      <c r="A1023" s="223"/>
      <c r="B1023" s="125"/>
      <c r="C1023" s="125"/>
      <c r="D1023" s="125"/>
      <c r="E1023" s="125"/>
      <c r="F1023" s="125"/>
      <c r="G1023" s="125"/>
      <c r="H1023" s="125"/>
      <c r="I1023" s="627" t="s">
        <v>51</v>
      </c>
      <c r="J1023" s="125" t="s">
        <v>51</v>
      </c>
      <c r="K1023" s="125" t="s">
        <v>51</v>
      </c>
      <c r="L1023" s="125" t="s">
        <v>51</v>
      </c>
      <c r="M1023" s="125" t="str">
        <f t="shared" si="1"/>
        <v/>
      </c>
      <c r="N1023" s="125" t="str">
        <f t="shared" si="2"/>
        <v/>
      </c>
      <c r="O1023" s="125"/>
      <c r="P1023" s="125"/>
      <c r="Q1023" s="125"/>
      <c r="R1023" s="125"/>
      <c r="S1023" s="628">
        <f t="shared" si="3"/>
        <v>0</v>
      </c>
      <c r="T1023" s="627" t="s">
        <v>51</v>
      </c>
      <c r="U1023" s="627" t="s">
        <v>51</v>
      </c>
      <c r="V1023" s="627" t="s">
        <v>51</v>
      </c>
      <c r="W1023" s="627" t="s">
        <v>51</v>
      </c>
      <c r="X1023" s="627" t="s">
        <v>51</v>
      </c>
      <c r="Y1023" s="89"/>
    </row>
    <row r="1024" ht="22.5" customHeight="1">
      <c r="A1024" s="223"/>
      <c r="B1024" s="125"/>
      <c r="C1024" s="125"/>
      <c r="D1024" s="125"/>
      <c r="E1024" s="125"/>
      <c r="F1024" s="125"/>
      <c r="G1024" s="125"/>
      <c r="H1024" s="125"/>
      <c r="I1024" s="627" t="s">
        <v>51</v>
      </c>
      <c r="J1024" s="125" t="s">
        <v>51</v>
      </c>
      <c r="K1024" s="125" t="s">
        <v>51</v>
      </c>
      <c r="L1024" s="125" t="s">
        <v>51</v>
      </c>
      <c r="M1024" s="125" t="str">
        <f t="shared" si="1"/>
        <v/>
      </c>
      <c r="N1024" s="125" t="str">
        <f t="shared" si="2"/>
        <v/>
      </c>
      <c r="O1024" s="125"/>
      <c r="P1024" s="125"/>
      <c r="Q1024" s="125"/>
      <c r="R1024" s="125"/>
      <c r="S1024" s="628">
        <f t="shared" si="3"/>
        <v>0</v>
      </c>
      <c r="T1024" s="627" t="s">
        <v>51</v>
      </c>
      <c r="U1024" s="627" t="s">
        <v>51</v>
      </c>
      <c r="V1024" s="627" t="s">
        <v>51</v>
      </c>
      <c r="W1024" s="627" t="s">
        <v>51</v>
      </c>
      <c r="X1024" s="627" t="s">
        <v>51</v>
      </c>
      <c r="Y1024" s="89"/>
    </row>
    <row r="1025" ht="22.5" customHeight="1">
      <c r="A1025" s="223"/>
      <c r="B1025" s="125"/>
      <c r="C1025" s="125"/>
      <c r="D1025" s="125"/>
      <c r="E1025" s="125"/>
      <c r="F1025" s="125"/>
      <c r="G1025" s="125"/>
      <c r="H1025" s="125"/>
      <c r="I1025" s="627" t="s">
        <v>51</v>
      </c>
      <c r="J1025" s="125" t="s">
        <v>51</v>
      </c>
      <c r="K1025" s="125" t="s">
        <v>51</v>
      </c>
      <c r="L1025" s="125" t="s">
        <v>51</v>
      </c>
      <c r="M1025" s="125" t="str">
        <f t="shared" si="1"/>
        <v/>
      </c>
      <c r="N1025" s="125" t="str">
        <f t="shared" si="2"/>
        <v/>
      </c>
      <c r="O1025" s="125"/>
      <c r="P1025" s="125"/>
      <c r="Q1025" s="125"/>
      <c r="R1025" s="125"/>
      <c r="S1025" s="628">
        <f t="shared" si="3"/>
        <v>0</v>
      </c>
      <c r="T1025" s="627" t="s">
        <v>51</v>
      </c>
      <c r="U1025" s="627" t="s">
        <v>51</v>
      </c>
      <c r="V1025" s="627" t="s">
        <v>51</v>
      </c>
      <c r="W1025" s="627" t="s">
        <v>51</v>
      </c>
      <c r="X1025" s="627" t="s">
        <v>51</v>
      </c>
      <c r="Y1025" s="89"/>
    </row>
    <row r="1026" ht="22.5" customHeight="1">
      <c r="A1026" s="223"/>
      <c r="B1026" s="125"/>
      <c r="C1026" s="125"/>
      <c r="D1026" s="125"/>
      <c r="E1026" s="125"/>
      <c r="F1026" s="125"/>
      <c r="G1026" s="125"/>
      <c r="H1026" s="125"/>
      <c r="I1026" s="627" t="s">
        <v>51</v>
      </c>
      <c r="J1026" s="125" t="s">
        <v>51</v>
      </c>
      <c r="K1026" s="125" t="s">
        <v>51</v>
      </c>
      <c r="L1026" s="125" t="s">
        <v>51</v>
      </c>
      <c r="M1026" s="125" t="str">
        <f t="shared" si="1"/>
        <v/>
      </c>
      <c r="N1026" s="125" t="str">
        <f t="shared" si="2"/>
        <v/>
      </c>
      <c r="O1026" s="125"/>
      <c r="P1026" s="125"/>
      <c r="Q1026" s="125"/>
      <c r="R1026" s="125"/>
      <c r="S1026" s="628">
        <f t="shared" si="3"/>
        <v>0</v>
      </c>
      <c r="T1026" s="627" t="s">
        <v>51</v>
      </c>
      <c r="U1026" s="627" t="s">
        <v>51</v>
      </c>
      <c r="V1026" s="627" t="s">
        <v>51</v>
      </c>
      <c r="W1026" s="627" t="s">
        <v>51</v>
      </c>
      <c r="X1026" s="627" t="s">
        <v>51</v>
      </c>
      <c r="Y1026" s="89"/>
    </row>
    <row r="1027" ht="22.5" customHeight="1">
      <c r="A1027" s="223"/>
      <c r="B1027" s="125"/>
      <c r="C1027" s="125"/>
      <c r="D1027" s="125"/>
      <c r="E1027" s="125"/>
      <c r="F1027" s="125"/>
      <c r="G1027" s="125"/>
      <c r="H1027" s="125"/>
      <c r="I1027" s="627" t="s">
        <v>51</v>
      </c>
      <c r="J1027" s="125" t="s">
        <v>51</v>
      </c>
      <c r="K1027" s="125" t="s">
        <v>51</v>
      </c>
      <c r="L1027" s="125" t="s">
        <v>51</v>
      </c>
      <c r="M1027" s="125" t="str">
        <f t="shared" si="1"/>
        <v/>
      </c>
      <c r="N1027" s="125" t="str">
        <f t="shared" si="2"/>
        <v/>
      </c>
      <c r="O1027" s="125"/>
      <c r="P1027" s="125"/>
      <c r="Q1027" s="125"/>
      <c r="R1027" s="125"/>
      <c r="S1027" s="628">
        <f t="shared" si="3"/>
        <v>0</v>
      </c>
      <c r="T1027" s="627" t="s">
        <v>51</v>
      </c>
      <c r="U1027" s="627" t="s">
        <v>51</v>
      </c>
      <c r="V1027" s="627" t="s">
        <v>51</v>
      </c>
      <c r="W1027" s="627" t="s">
        <v>51</v>
      </c>
      <c r="X1027" s="627" t="s">
        <v>51</v>
      </c>
      <c r="Y1027" s="89"/>
    </row>
    <row r="1028" ht="22.5" customHeight="1">
      <c r="A1028" s="223"/>
      <c r="B1028" s="125"/>
      <c r="C1028" s="125"/>
      <c r="D1028" s="125"/>
      <c r="E1028" s="125"/>
      <c r="F1028" s="125"/>
      <c r="G1028" s="125"/>
      <c r="H1028" s="125"/>
      <c r="I1028" s="627" t="s">
        <v>51</v>
      </c>
      <c r="J1028" s="125" t="s">
        <v>51</v>
      </c>
      <c r="K1028" s="125" t="s">
        <v>51</v>
      </c>
      <c r="L1028" s="125" t="s">
        <v>51</v>
      </c>
      <c r="M1028" s="125" t="str">
        <f t="shared" si="1"/>
        <v/>
      </c>
      <c r="N1028" s="125" t="str">
        <f t="shared" si="2"/>
        <v/>
      </c>
      <c r="O1028" s="125"/>
      <c r="P1028" s="125"/>
      <c r="Q1028" s="125"/>
      <c r="R1028" s="125"/>
      <c r="S1028" s="628">
        <f t="shared" si="3"/>
        <v>0</v>
      </c>
      <c r="T1028" s="627" t="s">
        <v>51</v>
      </c>
      <c r="U1028" s="627" t="s">
        <v>51</v>
      </c>
      <c r="V1028" s="627" t="s">
        <v>51</v>
      </c>
      <c r="W1028" s="627" t="s">
        <v>51</v>
      </c>
      <c r="X1028" s="627" t="s">
        <v>51</v>
      </c>
      <c r="Y1028" s="89"/>
    </row>
    <row r="1029" ht="22.5" customHeight="1">
      <c r="A1029" s="223"/>
      <c r="B1029" s="125"/>
      <c r="C1029" s="125"/>
      <c r="D1029" s="125"/>
      <c r="E1029" s="125"/>
      <c r="F1029" s="125"/>
      <c r="G1029" s="125"/>
      <c r="H1029" s="125"/>
      <c r="I1029" s="627" t="s">
        <v>51</v>
      </c>
      <c r="J1029" s="125" t="s">
        <v>51</v>
      </c>
      <c r="K1029" s="125" t="s">
        <v>51</v>
      </c>
      <c r="L1029" s="125" t="s">
        <v>51</v>
      </c>
      <c r="M1029" s="125" t="str">
        <f t="shared" si="1"/>
        <v/>
      </c>
      <c r="N1029" s="125" t="str">
        <f t="shared" si="2"/>
        <v/>
      </c>
      <c r="O1029" s="125"/>
      <c r="P1029" s="125"/>
      <c r="Q1029" s="125"/>
      <c r="R1029" s="125"/>
      <c r="S1029" s="628">
        <f t="shared" si="3"/>
        <v>0</v>
      </c>
      <c r="T1029" s="627" t="s">
        <v>51</v>
      </c>
      <c r="U1029" s="627" t="s">
        <v>51</v>
      </c>
      <c r="V1029" s="627" t="s">
        <v>51</v>
      </c>
      <c r="W1029" s="627" t="s">
        <v>51</v>
      </c>
      <c r="X1029" s="627" t="s">
        <v>51</v>
      </c>
      <c r="Y1029" s="89"/>
    </row>
    <row r="1030" ht="22.5" customHeight="1">
      <c r="A1030" s="223"/>
      <c r="B1030" s="125"/>
      <c r="C1030" s="125"/>
      <c r="D1030" s="125"/>
      <c r="E1030" s="125"/>
      <c r="F1030" s="125"/>
      <c r="G1030" s="125"/>
      <c r="H1030" s="125"/>
      <c r="I1030" s="627" t="s">
        <v>51</v>
      </c>
      <c r="J1030" s="125" t="s">
        <v>51</v>
      </c>
      <c r="K1030" s="125" t="s">
        <v>51</v>
      </c>
      <c r="L1030" s="125" t="s">
        <v>51</v>
      </c>
      <c r="M1030" s="125" t="str">
        <f t="shared" si="1"/>
        <v/>
      </c>
      <c r="N1030" s="125" t="str">
        <f t="shared" si="2"/>
        <v/>
      </c>
      <c r="O1030" s="125"/>
      <c r="P1030" s="125"/>
      <c r="Q1030" s="125"/>
      <c r="R1030" s="125"/>
      <c r="S1030" s="628">
        <f t="shared" si="3"/>
        <v>0</v>
      </c>
      <c r="T1030" s="627" t="s">
        <v>51</v>
      </c>
      <c r="U1030" s="627" t="s">
        <v>51</v>
      </c>
      <c r="V1030" s="627" t="s">
        <v>51</v>
      </c>
      <c r="W1030" s="627" t="s">
        <v>51</v>
      </c>
      <c r="X1030" s="627" t="s">
        <v>51</v>
      </c>
      <c r="Y1030" s="89"/>
    </row>
    <row r="1031" ht="22.5" customHeight="1">
      <c r="A1031" s="223"/>
      <c r="B1031" s="125"/>
      <c r="C1031" s="125"/>
      <c r="D1031" s="125"/>
      <c r="E1031" s="125"/>
      <c r="F1031" s="125"/>
      <c r="G1031" s="125"/>
      <c r="H1031" s="125"/>
      <c r="I1031" s="627" t="s">
        <v>51</v>
      </c>
      <c r="J1031" s="125" t="s">
        <v>51</v>
      </c>
      <c r="K1031" s="125" t="s">
        <v>51</v>
      </c>
      <c r="L1031" s="125" t="s">
        <v>51</v>
      </c>
      <c r="M1031" s="125" t="str">
        <f t="shared" si="1"/>
        <v/>
      </c>
      <c r="N1031" s="125" t="str">
        <f t="shared" si="2"/>
        <v/>
      </c>
      <c r="O1031" s="125"/>
      <c r="P1031" s="125"/>
      <c r="Q1031" s="125"/>
      <c r="R1031" s="125"/>
      <c r="S1031" s="628">
        <f t="shared" si="3"/>
        <v>0</v>
      </c>
      <c r="T1031" s="627" t="s">
        <v>51</v>
      </c>
      <c r="U1031" s="627" t="s">
        <v>51</v>
      </c>
      <c r="V1031" s="627" t="s">
        <v>51</v>
      </c>
      <c r="W1031" s="627" t="s">
        <v>51</v>
      </c>
      <c r="X1031" s="627" t="s">
        <v>51</v>
      </c>
      <c r="Y1031" s="89"/>
    </row>
    <row r="1032" ht="22.5" customHeight="1">
      <c r="A1032" s="223"/>
      <c r="B1032" s="125"/>
      <c r="C1032" s="125"/>
      <c r="D1032" s="125"/>
      <c r="E1032" s="125"/>
      <c r="F1032" s="125"/>
      <c r="G1032" s="125"/>
      <c r="H1032" s="125"/>
      <c r="I1032" s="627" t="s">
        <v>51</v>
      </c>
      <c r="J1032" s="125" t="s">
        <v>51</v>
      </c>
      <c r="K1032" s="125" t="s">
        <v>51</v>
      </c>
      <c r="L1032" s="125" t="s">
        <v>51</v>
      </c>
      <c r="M1032" s="125" t="str">
        <f t="shared" si="1"/>
        <v/>
      </c>
      <c r="N1032" s="125" t="str">
        <f t="shared" si="2"/>
        <v/>
      </c>
      <c r="O1032" s="125"/>
      <c r="P1032" s="125"/>
      <c r="Q1032" s="125"/>
      <c r="R1032" s="125"/>
      <c r="S1032" s="628">
        <f t="shared" si="3"/>
        <v>0</v>
      </c>
      <c r="T1032" s="627" t="s">
        <v>51</v>
      </c>
      <c r="U1032" s="627" t="s">
        <v>51</v>
      </c>
      <c r="V1032" s="627" t="s">
        <v>51</v>
      </c>
      <c r="W1032" s="627" t="s">
        <v>51</v>
      </c>
      <c r="X1032" s="627" t="s">
        <v>51</v>
      </c>
      <c r="Y1032" s="89"/>
    </row>
    <row r="1033" ht="22.5" customHeight="1">
      <c r="A1033" s="223"/>
      <c r="B1033" s="125"/>
      <c r="C1033" s="125"/>
      <c r="D1033" s="125"/>
      <c r="E1033" s="125"/>
      <c r="F1033" s="125"/>
      <c r="G1033" s="125"/>
      <c r="H1033" s="125"/>
      <c r="I1033" s="627" t="s">
        <v>51</v>
      </c>
      <c r="J1033" s="125" t="s">
        <v>51</v>
      </c>
      <c r="K1033" s="125" t="s">
        <v>51</v>
      </c>
      <c r="L1033" s="125" t="s">
        <v>51</v>
      </c>
      <c r="M1033" s="125" t="str">
        <f t="shared" si="1"/>
        <v/>
      </c>
      <c r="N1033" s="125" t="str">
        <f t="shared" si="2"/>
        <v/>
      </c>
      <c r="O1033" s="125"/>
      <c r="P1033" s="125"/>
      <c r="Q1033" s="125"/>
      <c r="R1033" s="125"/>
      <c r="S1033" s="628">
        <f t="shared" si="3"/>
        <v>0</v>
      </c>
      <c r="T1033" s="627" t="s">
        <v>51</v>
      </c>
      <c r="U1033" s="627" t="s">
        <v>51</v>
      </c>
      <c r="V1033" s="627" t="s">
        <v>51</v>
      </c>
      <c r="W1033" s="627" t="s">
        <v>51</v>
      </c>
      <c r="X1033" s="627" t="s">
        <v>51</v>
      </c>
      <c r="Y1033" s="89"/>
    </row>
    <row r="1034" ht="22.5" customHeight="1">
      <c r="A1034" s="223"/>
      <c r="B1034" s="125"/>
      <c r="C1034" s="125"/>
      <c r="D1034" s="125"/>
      <c r="E1034" s="125"/>
      <c r="F1034" s="125"/>
      <c r="G1034" s="125"/>
      <c r="H1034" s="125"/>
      <c r="I1034" s="627" t="s">
        <v>51</v>
      </c>
      <c r="J1034" s="125" t="s">
        <v>51</v>
      </c>
      <c r="K1034" s="125" t="s">
        <v>51</v>
      </c>
      <c r="L1034" s="125" t="s">
        <v>51</v>
      </c>
      <c r="M1034" s="125" t="str">
        <f t="shared" si="1"/>
        <v/>
      </c>
      <c r="N1034" s="125" t="str">
        <f t="shared" si="2"/>
        <v/>
      </c>
      <c r="O1034" s="125"/>
      <c r="P1034" s="125"/>
      <c r="Q1034" s="125"/>
      <c r="R1034" s="125"/>
      <c r="S1034" s="628">
        <f t="shared" si="3"/>
        <v>0</v>
      </c>
      <c r="T1034" s="627" t="s">
        <v>51</v>
      </c>
      <c r="U1034" s="627" t="s">
        <v>51</v>
      </c>
      <c r="V1034" s="627" t="s">
        <v>51</v>
      </c>
      <c r="W1034" s="627" t="s">
        <v>51</v>
      </c>
      <c r="X1034" s="627" t="s">
        <v>51</v>
      </c>
      <c r="Y1034" s="89"/>
    </row>
    <row r="1035" ht="22.5" customHeight="1">
      <c r="A1035" s="223"/>
      <c r="B1035" s="125"/>
      <c r="C1035" s="125"/>
      <c r="D1035" s="125"/>
      <c r="E1035" s="125"/>
      <c r="F1035" s="125"/>
      <c r="G1035" s="125"/>
      <c r="H1035" s="125"/>
      <c r="I1035" s="627" t="s">
        <v>51</v>
      </c>
      <c r="J1035" s="125" t="s">
        <v>51</v>
      </c>
      <c r="K1035" s="125" t="s">
        <v>51</v>
      </c>
      <c r="L1035" s="125" t="s">
        <v>51</v>
      </c>
      <c r="M1035" s="125" t="str">
        <f t="shared" si="1"/>
        <v/>
      </c>
      <c r="N1035" s="125" t="str">
        <f t="shared" si="2"/>
        <v/>
      </c>
      <c r="O1035" s="125"/>
      <c r="P1035" s="125"/>
      <c r="Q1035" s="125"/>
      <c r="R1035" s="125"/>
      <c r="S1035" s="628">
        <f t="shared" si="3"/>
        <v>0</v>
      </c>
      <c r="T1035" s="627" t="s">
        <v>51</v>
      </c>
      <c r="U1035" s="627" t="s">
        <v>51</v>
      </c>
      <c r="V1035" s="627" t="s">
        <v>51</v>
      </c>
      <c r="W1035" s="627" t="s">
        <v>51</v>
      </c>
      <c r="X1035" s="627" t="s">
        <v>51</v>
      </c>
      <c r="Y1035" s="89"/>
    </row>
    <row r="1036" ht="22.5" customHeight="1">
      <c r="A1036" s="223"/>
      <c r="B1036" s="125"/>
      <c r="C1036" s="125"/>
      <c r="D1036" s="125"/>
      <c r="E1036" s="125"/>
      <c r="F1036" s="125"/>
      <c r="G1036" s="125"/>
      <c r="H1036" s="125"/>
      <c r="I1036" s="627" t="s">
        <v>51</v>
      </c>
      <c r="J1036" s="125" t="s">
        <v>51</v>
      </c>
      <c r="K1036" s="125" t="s">
        <v>51</v>
      </c>
      <c r="L1036" s="125" t="s">
        <v>51</v>
      </c>
      <c r="M1036" s="125" t="str">
        <f t="shared" si="1"/>
        <v/>
      </c>
      <c r="N1036" s="125" t="str">
        <f t="shared" si="2"/>
        <v/>
      </c>
      <c r="O1036" s="125"/>
      <c r="P1036" s="125"/>
      <c r="Q1036" s="125"/>
      <c r="R1036" s="125"/>
      <c r="S1036" s="628">
        <f t="shared" si="3"/>
        <v>0</v>
      </c>
      <c r="T1036" s="627" t="s">
        <v>51</v>
      </c>
      <c r="U1036" s="627" t="s">
        <v>51</v>
      </c>
      <c r="V1036" s="627" t="s">
        <v>51</v>
      </c>
      <c r="W1036" s="627" t="s">
        <v>51</v>
      </c>
      <c r="X1036" s="627" t="s">
        <v>51</v>
      </c>
      <c r="Y1036" s="89"/>
    </row>
    <row r="1037" ht="22.5" customHeight="1">
      <c r="A1037" s="223"/>
      <c r="B1037" s="125"/>
      <c r="C1037" s="125"/>
      <c r="D1037" s="125"/>
      <c r="E1037" s="125"/>
      <c r="F1037" s="125"/>
      <c r="G1037" s="125"/>
      <c r="H1037" s="125"/>
      <c r="I1037" s="627" t="s">
        <v>51</v>
      </c>
      <c r="J1037" s="125" t="s">
        <v>51</v>
      </c>
      <c r="K1037" s="125" t="s">
        <v>51</v>
      </c>
      <c r="L1037" s="125" t="s">
        <v>51</v>
      </c>
      <c r="M1037" s="125" t="str">
        <f t="shared" si="1"/>
        <v/>
      </c>
      <c r="N1037" s="125" t="str">
        <f t="shared" si="2"/>
        <v/>
      </c>
      <c r="O1037" s="125"/>
      <c r="P1037" s="125"/>
      <c r="Q1037" s="125"/>
      <c r="R1037" s="125"/>
      <c r="S1037" s="628">
        <f t="shared" si="3"/>
        <v>0</v>
      </c>
      <c r="T1037" s="627" t="s">
        <v>51</v>
      </c>
      <c r="U1037" s="627" t="s">
        <v>51</v>
      </c>
      <c r="V1037" s="627" t="s">
        <v>51</v>
      </c>
      <c r="W1037" s="627" t="s">
        <v>51</v>
      </c>
      <c r="X1037" s="627" t="s">
        <v>51</v>
      </c>
      <c r="Y1037" s="89"/>
    </row>
    <row r="1038" ht="22.5" customHeight="1">
      <c r="A1038" s="223"/>
      <c r="B1038" s="125"/>
      <c r="C1038" s="125"/>
      <c r="D1038" s="125"/>
      <c r="E1038" s="125"/>
      <c r="F1038" s="125"/>
      <c r="G1038" s="125"/>
      <c r="H1038" s="125"/>
      <c r="I1038" s="627" t="s">
        <v>51</v>
      </c>
      <c r="J1038" s="125" t="s">
        <v>51</v>
      </c>
      <c r="K1038" s="125" t="s">
        <v>51</v>
      </c>
      <c r="L1038" s="125" t="s">
        <v>51</v>
      </c>
      <c r="M1038" s="125" t="str">
        <f t="shared" si="1"/>
        <v/>
      </c>
      <c r="N1038" s="125" t="str">
        <f t="shared" si="2"/>
        <v/>
      </c>
      <c r="O1038" s="125"/>
      <c r="P1038" s="125"/>
      <c r="Q1038" s="125"/>
      <c r="R1038" s="125"/>
      <c r="S1038" s="628">
        <f t="shared" si="3"/>
        <v>0</v>
      </c>
      <c r="T1038" s="627" t="s">
        <v>51</v>
      </c>
      <c r="U1038" s="627" t="s">
        <v>51</v>
      </c>
      <c r="V1038" s="627" t="s">
        <v>51</v>
      </c>
      <c r="W1038" s="627" t="s">
        <v>51</v>
      </c>
      <c r="X1038" s="627" t="s">
        <v>51</v>
      </c>
      <c r="Y1038" s="89"/>
    </row>
    <row r="1039" ht="22.5" customHeight="1">
      <c r="A1039" s="223"/>
      <c r="B1039" s="125"/>
      <c r="C1039" s="125"/>
      <c r="D1039" s="125"/>
      <c r="E1039" s="125"/>
      <c r="F1039" s="125"/>
      <c r="G1039" s="125"/>
      <c r="H1039" s="125"/>
      <c r="I1039" s="627" t="s">
        <v>51</v>
      </c>
      <c r="J1039" s="125" t="s">
        <v>51</v>
      </c>
      <c r="K1039" s="125" t="s">
        <v>51</v>
      </c>
      <c r="L1039" s="125" t="s">
        <v>51</v>
      </c>
      <c r="M1039" s="125" t="str">
        <f t="shared" si="1"/>
        <v/>
      </c>
      <c r="N1039" s="125" t="str">
        <f t="shared" si="2"/>
        <v/>
      </c>
      <c r="O1039" s="125"/>
      <c r="P1039" s="125"/>
      <c r="Q1039" s="125"/>
      <c r="R1039" s="125"/>
      <c r="S1039" s="628">
        <f t="shared" si="3"/>
        <v>0</v>
      </c>
      <c r="T1039" s="627" t="s">
        <v>51</v>
      </c>
      <c r="U1039" s="627" t="s">
        <v>51</v>
      </c>
      <c r="V1039" s="627" t="s">
        <v>51</v>
      </c>
      <c r="W1039" s="627" t="s">
        <v>51</v>
      </c>
      <c r="X1039" s="627" t="s">
        <v>51</v>
      </c>
      <c r="Y1039" s="89"/>
    </row>
    <row r="1040" ht="22.5" customHeight="1">
      <c r="A1040" s="223"/>
      <c r="B1040" s="125"/>
      <c r="C1040" s="125"/>
      <c r="D1040" s="125"/>
      <c r="E1040" s="125"/>
      <c r="F1040" s="125"/>
      <c r="G1040" s="125"/>
      <c r="H1040" s="125"/>
      <c r="I1040" s="627" t="s">
        <v>51</v>
      </c>
      <c r="J1040" s="125" t="s">
        <v>51</v>
      </c>
      <c r="K1040" s="125" t="s">
        <v>51</v>
      </c>
      <c r="L1040" s="125" t="s">
        <v>51</v>
      </c>
      <c r="M1040" s="125" t="str">
        <f t="shared" si="1"/>
        <v/>
      </c>
      <c r="N1040" s="125" t="str">
        <f t="shared" si="2"/>
        <v/>
      </c>
      <c r="O1040" s="125"/>
      <c r="P1040" s="125"/>
      <c r="Q1040" s="125"/>
      <c r="R1040" s="125"/>
      <c r="S1040" s="628">
        <f t="shared" si="3"/>
        <v>0</v>
      </c>
      <c r="T1040" s="627" t="s">
        <v>51</v>
      </c>
      <c r="U1040" s="627" t="s">
        <v>51</v>
      </c>
      <c r="V1040" s="627" t="s">
        <v>51</v>
      </c>
      <c r="W1040" s="627" t="s">
        <v>51</v>
      </c>
      <c r="X1040" s="627" t="s">
        <v>51</v>
      </c>
      <c r="Y1040" s="89"/>
    </row>
    <row r="1041" ht="22.5" customHeight="1">
      <c r="A1041" s="223"/>
      <c r="B1041" s="125"/>
      <c r="C1041" s="125"/>
      <c r="D1041" s="125"/>
      <c r="E1041" s="125"/>
      <c r="F1041" s="125"/>
      <c r="G1041" s="125"/>
      <c r="H1041" s="125"/>
      <c r="I1041" s="627" t="s">
        <v>51</v>
      </c>
      <c r="J1041" s="125" t="s">
        <v>51</v>
      </c>
      <c r="K1041" s="125" t="s">
        <v>51</v>
      </c>
      <c r="L1041" s="125" t="s">
        <v>51</v>
      </c>
      <c r="M1041" s="125" t="str">
        <f t="shared" si="1"/>
        <v/>
      </c>
      <c r="N1041" s="125" t="str">
        <f t="shared" si="2"/>
        <v/>
      </c>
      <c r="O1041" s="125"/>
      <c r="P1041" s="125"/>
      <c r="Q1041" s="125"/>
      <c r="R1041" s="125"/>
      <c r="S1041" s="628">
        <f t="shared" si="3"/>
        <v>0</v>
      </c>
      <c r="T1041" s="627" t="s">
        <v>51</v>
      </c>
      <c r="U1041" s="627" t="s">
        <v>51</v>
      </c>
      <c r="V1041" s="627" t="s">
        <v>51</v>
      </c>
      <c r="W1041" s="627" t="s">
        <v>51</v>
      </c>
      <c r="X1041" s="627" t="s">
        <v>51</v>
      </c>
      <c r="Y1041" s="89"/>
    </row>
    <row r="1042" ht="22.5" customHeight="1">
      <c r="A1042" s="223"/>
      <c r="B1042" s="125"/>
      <c r="C1042" s="125"/>
      <c r="D1042" s="125"/>
      <c r="E1042" s="125"/>
      <c r="F1042" s="125"/>
      <c r="G1042" s="125"/>
      <c r="H1042" s="125"/>
      <c r="I1042" s="627" t="s">
        <v>51</v>
      </c>
      <c r="J1042" s="125" t="s">
        <v>51</v>
      </c>
      <c r="K1042" s="125" t="s">
        <v>51</v>
      </c>
      <c r="L1042" s="125" t="s">
        <v>51</v>
      </c>
      <c r="M1042" s="125" t="str">
        <f t="shared" si="1"/>
        <v/>
      </c>
      <c r="N1042" s="125" t="str">
        <f t="shared" si="2"/>
        <v/>
      </c>
      <c r="O1042" s="125"/>
      <c r="P1042" s="125"/>
      <c r="Q1042" s="125"/>
      <c r="R1042" s="125"/>
      <c r="S1042" s="628">
        <f t="shared" si="3"/>
        <v>0</v>
      </c>
      <c r="T1042" s="627" t="s">
        <v>51</v>
      </c>
      <c r="U1042" s="627" t="s">
        <v>51</v>
      </c>
      <c r="V1042" s="627" t="s">
        <v>51</v>
      </c>
      <c r="W1042" s="627" t="s">
        <v>51</v>
      </c>
      <c r="X1042" s="627" t="s">
        <v>51</v>
      </c>
      <c r="Y1042" s="89"/>
    </row>
    <row r="1043" ht="22.5" customHeight="1">
      <c r="A1043" s="223"/>
      <c r="B1043" s="125"/>
      <c r="C1043" s="125"/>
      <c r="D1043" s="125"/>
      <c r="E1043" s="125"/>
      <c r="F1043" s="125"/>
      <c r="G1043" s="125"/>
      <c r="H1043" s="125"/>
      <c r="I1043" s="627" t="s">
        <v>51</v>
      </c>
      <c r="J1043" s="125" t="s">
        <v>51</v>
      </c>
      <c r="K1043" s="125" t="s">
        <v>51</v>
      </c>
      <c r="L1043" s="125" t="s">
        <v>51</v>
      </c>
      <c r="M1043" s="125" t="str">
        <f t="shared" si="1"/>
        <v/>
      </c>
      <c r="N1043" s="125" t="str">
        <f t="shared" si="2"/>
        <v/>
      </c>
      <c r="O1043" s="125"/>
      <c r="P1043" s="125"/>
      <c r="Q1043" s="125"/>
      <c r="R1043" s="125"/>
      <c r="S1043" s="628">
        <f t="shared" si="3"/>
        <v>0</v>
      </c>
      <c r="T1043" s="627" t="s">
        <v>51</v>
      </c>
      <c r="U1043" s="627" t="s">
        <v>51</v>
      </c>
      <c r="V1043" s="627" t="s">
        <v>51</v>
      </c>
      <c r="W1043" s="627" t="s">
        <v>51</v>
      </c>
      <c r="X1043" s="627" t="s">
        <v>51</v>
      </c>
      <c r="Y1043" s="89"/>
    </row>
    <row r="1044" ht="22.5" customHeight="1">
      <c r="A1044" s="223"/>
      <c r="B1044" s="125"/>
      <c r="C1044" s="125"/>
      <c r="D1044" s="125"/>
      <c r="E1044" s="125"/>
      <c r="F1044" s="125"/>
      <c r="G1044" s="125"/>
      <c r="H1044" s="125"/>
      <c r="I1044" s="627" t="s">
        <v>51</v>
      </c>
      <c r="J1044" s="125" t="s">
        <v>51</v>
      </c>
      <c r="K1044" s="125" t="s">
        <v>51</v>
      </c>
      <c r="L1044" s="125" t="s">
        <v>51</v>
      </c>
      <c r="M1044" s="125" t="str">
        <f t="shared" si="1"/>
        <v/>
      </c>
      <c r="N1044" s="125" t="str">
        <f t="shared" si="2"/>
        <v/>
      </c>
      <c r="O1044" s="125"/>
      <c r="P1044" s="125"/>
      <c r="Q1044" s="125"/>
      <c r="R1044" s="125"/>
      <c r="S1044" s="628">
        <f t="shared" si="3"/>
        <v>0</v>
      </c>
      <c r="T1044" s="627" t="s">
        <v>51</v>
      </c>
      <c r="U1044" s="627" t="s">
        <v>51</v>
      </c>
      <c r="V1044" s="627" t="s">
        <v>51</v>
      </c>
      <c r="W1044" s="627" t="s">
        <v>51</v>
      </c>
      <c r="X1044" s="627" t="s">
        <v>51</v>
      </c>
      <c r="Y1044" s="89"/>
    </row>
    <row r="1045" ht="22.5" customHeight="1">
      <c r="A1045" s="223"/>
      <c r="B1045" s="125"/>
      <c r="C1045" s="125"/>
      <c r="D1045" s="125"/>
      <c r="E1045" s="125"/>
      <c r="F1045" s="125"/>
      <c r="G1045" s="125"/>
      <c r="H1045" s="125"/>
      <c r="I1045" s="627" t="s">
        <v>51</v>
      </c>
      <c r="J1045" s="125" t="s">
        <v>51</v>
      </c>
      <c r="K1045" s="125" t="s">
        <v>51</v>
      </c>
      <c r="L1045" s="125" t="s">
        <v>51</v>
      </c>
      <c r="M1045" s="125" t="str">
        <f t="shared" si="1"/>
        <v/>
      </c>
      <c r="N1045" s="125" t="str">
        <f t="shared" si="2"/>
        <v/>
      </c>
      <c r="O1045" s="125"/>
      <c r="P1045" s="125"/>
      <c r="Q1045" s="125"/>
      <c r="R1045" s="125"/>
      <c r="S1045" s="628">
        <f t="shared" si="3"/>
        <v>0</v>
      </c>
      <c r="T1045" s="627" t="s">
        <v>51</v>
      </c>
      <c r="U1045" s="627" t="s">
        <v>51</v>
      </c>
      <c r="V1045" s="627" t="s">
        <v>51</v>
      </c>
      <c r="W1045" s="627" t="s">
        <v>51</v>
      </c>
      <c r="X1045" s="627" t="s">
        <v>51</v>
      </c>
      <c r="Y1045" s="89"/>
    </row>
    <row r="1046" ht="22.5" customHeight="1">
      <c r="A1046" s="223"/>
      <c r="B1046" s="125"/>
      <c r="C1046" s="125"/>
      <c r="D1046" s="125"/>
      <c r="E1046" s="125"/>
      <c r="F1046" s="125"/>
      <c r="G1046" s="125"/>
      <c r="H1046" s="125"/>
      <c r="I1046" s="627" t="s">
        <v>51</v>
      </c>
      <c r="J1046" s="125" t="s">
        <v>51</v>
      </c>
      <c r="K1046" s="125" t="s">
        <v>51</v>
      </c>
      <c r="L1046" s="125" t="s">
        <v>51</v>
      </c>
      <c r="M1046" s="125" t="str">
        <f t="shared" si="1"/>
        <v/>
      </c>
      <c r="N1046" s="125" t="str">
        <f t="shared" si="2"/>
        <v/>
      </c>
      <c r="O1046" s="125"/>
      <c r="P1046" s="125"/>
      <c r="Q1046" s="125"/>
      <c r="R1046" s="125"/>
      <c r="S1046" s="628">
        <f t="shared" si="3"/>
        <v>0</v>
      </c>
      <c r="T1046" s="627" t="s">
        <v>51</v>
      </c>
      <c r="U1046" s="627" t="s">
        <v>51</v>
      </c>
      <c r="V1046" s="627" t="s">
        <v>51</v>
      </c>
      <c r="W1046" s="627" t="s">
        <v>51</v>
      </c>
      <c r="X1046" s="627" t="s">
        <v>51</v>
      </c>
      <c r="Y1046" s="89"/>
    </row>
    <row r="1047" ht="22.5" customHeight="1">
      <c r="A1047" s="223"/>
      <c r="B1047" s="125"/>
      <c r="C1047" s="125"/>
      <c r="D1047" s="125"/>
      <c r="E1047" s="125"/>
      <c r="F1047" s="125"/>
      <c r="G1047" s="125"/>
      <c r="H1047" s="125"/>
      <c r="I1047" s="627" t="s">
        <v>51</v>
      </c>
      <c r="J1047" s="125" t="s">
        <v>51</v>
      </c>
      <c r="K1047" s="125" t="s">
        <v>51</v>
      </c>
      <c r="L1047" s="125" t="s">
        <v>51</v>
      </c>
      <c r="M1047" s="125" t="str">
        <f t="shared" si="1"/>
        <v/>
      </c>
      <c r="N1047" s="125" t="str">
        <f t="shared" si="2"/>
        <v/>
      </c>
      <c r="O1047" s="125"/>
      <c r="P1047" s="125"/>
      <c r="Q1047" s="125"/>
      <c r="R1047" s="125"/>
      <c r="S1047" s="628">
        <f t="shared" si="3"/>
        <v>0</v>
      </c>
      <c r="T1047" s="627" t="s">
        <v>51</v>
      </c>
      <c r="U1047" s="627" t="s">
        <v>51</v>
      </c>
      <c r="V1047" s="627" t="s">
        <v>51</v>
      </c>
      <c r="W1047" s="627" t="s">
        <v>51</v>
      </c>
      <c r="X1047" s="627" t="s">
        <v>51</v>
      </c>
      <c r="Y1047" s="89"/>
    </row>
    <row r="1048" ht="22.5" customHeight="1">
      <c r="A1048" s="223"/>
      <c r="B1048" s="125"/>
      <c r="C1048" s="125"/>
      <c r="D1048" s="125"/>
      <c r="E1048" s="125"/>
      <c r="F1048" s="125"/>
      <c r="G1048" s="125"/>
      <c r="H1048" s="125"/>
      <c r="I1048" s="627" t="s">
        <v>51</v>
      </c>
      <c r="J1048" s="125" t="s">
        <v>51</v>
      </c>
      <c r="K1048" s="125" t="s">
        <v>51</v>
      </c>
      <c r="L1048" s="125" t="s">
        <v>51</v>
      </c>
      <c r="M1048" s="125" t="str">
        <f t="shared" si="1"/>
        <v/>
      </c>
      <c r="N1048" s="125" t="str">
        <f t="shared" si="2"/>
        <v/>
      </c>
      <c r="O1048" s="125"/>
      <c r="P1048" s="125"/>
      <c r="Q1048" s="125"/>
      <c r="R1048" s="125"/>
      <c r="S1048" s="628">
        <f t="shared" si="3"/>
        <v>0</v>
      </c>
      <c r="T1048" s="627" t="s">
        <v>51</v>
      </c>
      <c r="U1048" s="627" t="s">
        <v>51</v>
      </c>
      <c r="V1048" s="627" t="s">
        <v>51</v>
      </c>
      <c r="W1048" s="627" t="s">
        <v>51</v>
      </c>
      <c r="X1048" s="627" t="s">
        <v>51</v>
      </c>
      <c r="Y1048" s="89"/>
    </row>
    <row r="1049" ht="22.5" customHeight="1">
      <c r="A1049" s="223"/>
      <c r="B1049" s="125"/>
      <c r="C1049" s="125"/>
      <c r="D1049" s="125"/>
      <c r="E1049" s="125"/>
      <c r="F1049" s="125"/>
      <c r="G1049" s="125"/>
      <c r="H1049" s="125"/>
      <c r="I1049" s="627" t="s">
        <v>51</v>
      </c>
      <c r="J1049" s="125" t="s">
        <v>51</v>
      </c>
      <c r="K1049" s="125" t="s">
        <v>51</v>
      </c>
      <c r="L1049" s="125" t="s">
        <v>51</v>
      </c>
      <c r="M1049" s="125" t="str">
        <f t="shared" si="1"/>
        <v/>
      </c>
      <c r="N1049" s="125" t="str">
        <f t="shared" si="2"/>
        <v/>
      </c>
      <c r="O1049" s="125"/>
      <c r="P1049" s="125"/>
      <c r="Q1049" s="125"/>
      <c r="R1049" s="125"/>
      <c r="S1049" s="628">
        <f t="shared" si="3"/>
        <v>0</v>
      </c>
      <c r="T1049" s="627" t="s">
        <v>51</v>
      </c>
      <c r="U1049" s="627" t="s">
        <v>51</v>
      </c>
      <c r="V1049" s="627" t="s">
        <v>51</v>
      </c>
      <c r="W1049" s="627" t="s">
        <v>51</v>
      </c>
      <c r="X1049" s="627" t="s">
        <v>51</v>
      </c>
      <c r="Y1049" s="89"/>
    </row>
    <row r="1050" ht="22.5" customHeight="1">
      <c r="A1050" s="223"/>
      <c r="B1050" s="125"/>
      <c r="C1050" s="125"/>
      <c r="D1050" s="125"/>
      <c r="E1050" s="125"/>
      <c r="F1050" s="125"/>
      <c r="G1050" s="125"/>
      <c r="H1050" s="125"/>
      <c r="I1050" s="627" t="s">
        <v>51</v>
      </c>
      <c r="J1050" s="125" t="s">
        <v>51</v>
      </c>
      <c r="K1050" s="125" t="s">
        <v>51</v>
      </c>
      <c r="L1050" s="125" t="s">
        <v>51</v>
      </c>
      <c r="M1050" s="125" t="str">
        <f t="shared" si="1"/>
        <v/>
      </c>
      <c r="N1050" s="125" t="str">
        <f t="shared" si="2"/>
        <v/>
      </c>
      <c r="O1050" s="125"/>
      <c r="P1050" s="125"/>
      <c r="Q1050" s="125"/>
      <c r="R1050" s="125"/>
      <c r="S1050" s="628">
        <f t="shared" si="3"/>
        <v>0</v>
      </c>
      <c r="T1050" s="627" t="s">
        <v>51</v>
      </c>
      <c r="U1050" s="627" t="s">
        <v>51</v>
      </c>
      <c r="V1050" s="627" t="s">
        <v>51</v>
      </c>
      <c r="W1050" s="627" t="s">
        <v>51</v>
      </c>
      <c r="X1050" s="627" t="s">
        <v>51</v>
      </c>
      <c r="Y1050" s="89"/>
    </row>
    <row r="1051" ht="22.5" customHeight="1">
      <c r="A1051" s="223"/>
      <c r="B1051" s="125"/>
      <c r="C1051" s="125"/>
      <c r="D1051" s="125"/>
      <c r="E1051" s="125"/>
      <c r="F1051" s="125"/>
      <c r="G1051" s="125"/>
      <c r="H1051" s="125"/>
      <c r="I1051" s="627" t="s">
        <v>51</v>
      </c>
      <c r="J1051" s="125" t="s">
        <v>51</v>
      </c>
      <c r="K1051" s="125" t="s">
        <v>51</v>
      </c>
      <c r="L1051" s="125" t="s">
        <v>51</v>
      </c>
      <c r="M1051" s="125" t="str">
        <f t="shared" si="1"/>
        <v/>
      </c>
      <c r="N1051" s="125" t="str">
        <f t="shared" si="2"/>
        <v/>
      </c>
      <c r="O1051" s="125"/>
      <c r="P1051" s="125"/>
      <c r="Q1051" s="125"/>
      <c r="R1051" s="125"/>
      <c r="S1051" s="628">
        <f t="shared" si="3"/>
        <v>0</v>
      </c>
      <c r="T1051" s="627" t="s">
        <v>51</v>
      </c>
      <c r="U1051" s="627" t="s">
        <v>51</v>
      </c>
      <c r="V1051" s="627" t="s">
        <v>51</v>
      </c>
      <c r="W1051" s="627" t="s">
        <v>51</v>
      </c>
      <c r="X1051" s="627" t="s">
        <v>51</v>
      </c>
      <c r="Y1051" s="89"/>
    </row>
    <row r="1052" ht="22.5" customHeight="1">
      <c r="A1052" s="223"/>
      <c r="B1052" s="125"/>
      <c r="C1052" s="125"/>
      <c r="D1052" s="125"/>
      <c r="E1052" s="125"/>
      <c r="F1052" s="125"/>
      <c r="G1052" s="125"/>
      <c r="H1052" s="125"/>
      <c r="I1052" s="627" t="s">
        <v>51</v>
      </c>
      <c r="J1052" s="125" t="s">
        <v>51</v>
      </c>
      <c r="K1052" s="125" t="s">
        <v>51</v>
      </c>
      <c r="L1052" s="125" t="s">
        <v>51</v>
      </c>
      <c r="M1052" s="125" t="str">
        <f t="shared" si="1"/>
        <v/>
      </c>
      <c r="N1052" s="125" t="str">
        <f t="shared" si="2"/>
        <v/>
      </c>
      <c r="O1052" s="125"/>
      <c r="P1052" s="125"/>
      <c r="Q1052" s="125"/>
      <c r="R1052" s="125"/>
      <c r="S1052" s="628">
        <f t="shared" si="3"/>
        <v>0</v>
      </c>
      <c r="T1052" s="627" t="s">
        <v>51</v>
      </c>
      <c r="U1052" s="627" t="s">
        <v>51</v>
      </c>
      <c r="V1052" s="627" t="s">
        <v>51</v>
      </c>
      <c r="W1052" s="627" t="s">
        <v>51</v>
      </c>
      <c r="X1052" s="627" t="s">
        <v>51</v>
      </c>
      <c r="Y1052" s="89"/>
    </row>
    <row r="1053" ht="22.5" customHeight="1">
      <c r="A1053" s="223"/>
      <c r="B1053" s="125"/>
      <c r="C1053" s="125"/>
      <c r="D1053" s="125"/>
      <c r="E1053" s="125"/>
      <c r="F1053" s="125"/>
      <c r="G1053" s="125"/>
      <c r="H1053" s="125"/>
      <c r="I1053" s="627" t="s">
        <v>51</v>
      </c>
      <c r="J1053" s="125" t="s">
        <v>51</v>
      </c>
      <c r="K1053" s="125" t="s">
        <v>51</v>
      </c>
      <c r="L1053" s="125" t="s">
        <v>51</v>
      </c>
      <c r="M1053" s="125" t="str">
        <f t="shared" si="1"/>
        <v/>
      </c>
      <c r="N1053" s="125" t="str">
        <f t="shared" si="2"/>
        <v/>
      </c>
      <c r="O1053" s="125"/>
      <c r="P1053" s="125"/>
      <c r="Q1053" s="125"/>
      <c r="R1053" s="125"/>
      <c r="S1053" s="628">
        <f t="shared" si="3"/>
        <v>0</v>
      </c>
      <c r="T1053" s="627" t="s">
        <v>51</v>
      </c>
      <c r="U1053" s="627" t="s">
        <v>51</v>
      </c>
      <c r="V1053" s="627" t="s">
        <v>51</v>
      </c>
      <c r="W1053" s="627" t="s">
        <v>51</v>
      </c>
      <c r="X1053" s="627" t="s">
        <v>51</v>
      </c>
      <c r="Y1053" s="89"/>
    </row>
    <row r="1054" ht="22.5" customHeight="1">
      <c r="A1054" s="223"/>
      <c r="B1054" s="125"/>
      <c r="C1054" s="125"/>
      <c r="D1054" s="125"/>
      <c r="E1054" s="125"/>
      <c r="F1054" s="125"/>
      <c r="G1054" s="125"/>
      <c r="H1054" s="125"/>
      <c r="I1054" s="627" t="s">
        <v>51</v>
      </c>
      <c r="J1054" s="125" t="s">
        <v>51</v>
      </c>
      <c r="K1054" s="125" t="s">
        <v>51</v>
      </c>
      <c r="L1054" s="125" t="s">
        <v>51</v>
      </c>
      <c r="M1054" s="125" t="str">
        <f t="shared" si="1"/>
        <v/>
      </c>
      <c r="N1054" s="125" t="str">
        <f t="shared" si="2"/>
        <v/>
      </c>
      <c r="O1054" s="125"/>
      <c r="P1054" s="125"/>
      <c r="Q1054" s="125"/>
      <c r="R1054" s="125"/>
      <c r="S1054" s="628">
        <f t="shared" si="3"/>
        <v>0</v>
      </c>
      <c r="T1054" s="627" t="s">
        <v>51</v>
      </c>
      <c r="U1054" s="627" t="s">
        <v>51</v>
      </c>
      <c r="V1054" s="627" t="s">
        <v>51</v>
      </c>
      <c r="W1054" s="627" t="s">
        <v>51</v>
      </c>
      <c r="X1054" s="627" t="s">
        <v>51</v>
      </c>
      <c r="Y1054" s="89"/>
    </row>
    <row r="1055" ht="22.5" customHeight="1">
      <c r="A1055" s="223"/>
      <c r="B1055" s="125"/>
      <c r="C1055" s="125"/>
      <c r="D1055" s="125"/>
      <c r="E1055" s="125"/>
      <c r="F1055" s="125"/>
      <c r="G1055" s="125"/>
      <c r="H1055" s="125"/>
      <c r="I1055" s="627" t="s">
        <v>51</v>
      </c>
      <c r="J1055" s="125" t="s">
        <v>51</v>
      </c>
      <c r="K1055" s="125" t="s">
        <v>51</v>
      </c>
      <c r="L1055" s="125" t="s">
        <v>51</v>
      </c>
      <c r="M1055" s="125" t="str">
        <f t="shared" si="1"/>
        <v/>
      </c>
      <c r="N1055" s="125" t="str">
        <f t="shared" si="2"/>
        <v/>
      </c>
      <c r="O1055" s="125"/>
      <c r="P1055" s="125"/>
      <c r="Q1055" s="125"/>
      <c r="R1055" s="125"/>
      <c r="S1055" s="628">
        <f t="shared" si="3"/>
        <v>0</v>
      </c>
      <c r="T1055" s="627" t="s">
        <v>51</v>
      </c>
      <c r="U1055" s="627" t="s">
        <v>51</v>
      </c>
      <c r="V1055" s="627" t="s">
        <v>51</v>
      </c>
      <c r="W1055" s="627" t="s">
        <v>51</v>
      </c>
      <c r="X1055" s="627" t="s">
        <v>51</v>
      </c>
      <c r="Y1055" s="89"/>
    </row>
    <row r="1056" ht="22.5" customHeight="1">
      <c r="A1056" s="223"/>
      <c r="B1056" s="125"/>
      <c r="C1056" s="125"/>
      <c r="D1056" s="125"/>
      <c r="E1056" s="125"/>
      <c r="F1056" s="125"/>
      <c r="G1056" s="125"/>
      <c r="H1056" s="125"/>
      <c r="I1056" s="627" t="s">
        <v>51</v>
      </c>
      <c r="J1056" s="125" t="s">
        <v>51</v>
      </c>
      <c r="K1056" s="125" t="s">
        <v>51</v>
      </c>
      <c r="L1056" s="125" t="s">
        <v>51</v>
      </c>
      <c r="M1056" s="125" t="str">
        <f t="shared" si="1"/>
        <v/>
      </c>
      <c r="N1056" s="125" t="str">
        <f t="shared" si="2"/>
        <v/>
      </c>
      <c r="O1056" s="125"/>
      <c r="P1056" s="125"/>
      <c r="Q1056" s="125"/>
      <c r="R1056" s="125"/>
      <c r="S1056" s="628">
        <f t="shared" si="3"/>
        <v>0</v>
      </c>
      <c r="T1056" s="627" t="s">
        <v>51</v>
      </c>
      <c r="U1056" s="627" t="s">
        <v>51</v>
      </c>
      <c r="V1056" s="627" t="s">
        <v>51</v>
      </c>
      <c r="W1056" s="627" t="s">
        <v>51</v>
      </c>
      <c r="X1056" s="627" t="s">
        <v>51</v>
      </c>
      <c r="Y1056" s="89"/>
    </row>
    <row r="1057" ht="22.5" customHeight="1">
      <c r="A1057" s="223"/>
      <c r="B1057" s="125"/>
      <c r="C1057" s="125"/>
      <c r="D1057" s="125"/>
      <c r="E1057" s="125"/>
      <c r="F1057" s="125"/>
      <c r="G1057" s="125"/>
      <c r="H1057" s="125"/>
      <c r="I1057" s="627" t="s">
        <v>51</v>
      </c>
      <c r="J1057" s="125" t="s">
        <v>51</v>
      </c>
      <c r="K1057" s="125" t="s">
        <v>51</v>
      </c>
      <c r="L1057" s="125" t="s">
        <v>51</v>
      </c>
      <c r="M1057" s="125" t="str">
        <f t="shared" si="1"/>
        <v/>
      </c>
      <c r="N1057" s="125" t="str">
        <f t="shared" si="2"/>
        <v/>
      </c>
      <c r="O1057" s="125"/>
      <c r="P1057" s="125"/>
      <c r="Q1057" s="125"/>
      <c r="R1057" s="125"/>
      <c r="S1057" s="628">
        <f t="shared" si="3"/>
        <v>0</v>
      </c>
      <c r="T1057" s="627" t="s">
        <v>51</v>
      </c>
      <c r="U1057" s="627" t="s">
        <v>51</v>
      </c>
      <c r="V1057" s="627" t="s">
        <v>51</v>
      </c>
      <c r="W1057" s="627" t="s">
        <v>51</v>
      </c>
      <c r="X1057" s="627" t="s">
        <v>51</v>
      </c>
      <c r="Y1057" s="89"/>
    </row>
    <row r="1058" ht="22.5" customHeight="1">
      <c r="A1058" s="223"/>
      <c r="B1058" s="125"/>
      <c r="C1058" s="125"/>
      <c r="D1058" s="125"/>
      <c r="E1058" s="125"/>
      <c r="F1058" s="125"/>
      <c r="G1058" s="125"/>
      <c r="H1058" s="125"/>
      <c r="I1058" s="627" t="s">
        <v>51</v>
      </c>
      <c r="J1058" s="125" t="s">
        <v>51</v>
      </c>
      <c r="K1058" s="125" t="s">
        <v>51</v>
      </c>
      <c r="L1058" s="125" t="s">
        <v>51</v>
      </c>
      <c r="M1058" s="125" t="str">
        <f t="shared" si="1"/>
        <v/>
      </c>
      <c r="N1058" s="125" t="str">
        <f t="shared" si="2"/>
        <v/>
      </c>
      <c r="O1058" s="125"/>
      <c r="P1058" s="125"/>
      <c r="Q1058" s="125"/>
      <c r="R1058" s="125"/>
      <c r="S1058" s="628">
        <f t="shared" si="3"/>
        <v>0</v>
      </c>
      <c r="T1058" s="627" t="s">
        <v>51</v>
      </c>
      <c r="U1058" s="627" t="s">
        <v>51</v>
      </c>
      <c r="V1058" s="627" t="s">
        <v>51</v>
      </c>
      <c r="W1058" s="627" t="s">
        <v>51</v>
      </c>
      <c r="X1058" s="627" t="s">
        <v>51</v>
      </c>
      <c r="Y1058" s="89"/>
    </row>
    <row r="1059" ht="22.5" customHeight="1">
      <c r="A1059" s="223"/>
      <c r="B1059" s="125"/>
      <c r="C1059" s="125"/>
      <c r="D1059" s="125"/>
      <c r="E1059" s="125"/>
      <c r="F1059" s="125"/>
      <c r="G1059" s="125"/>
      <c r="H1059" s="125"/>
      <c r="I1059" s="627" t="s">
        <v>51</v>
      </c>
      <c r="J1059" s="125" t="s">
        <v>51</v>
      </c>
      <c r="K1059" s="125" t="s">
        <v>51</v>
      </c>
      <c r="L1059" s="125" t="s">
        <v>51</v>
      </c>
      <c r="M1059" s="125" t="str">
        <f t="shared" si="1"/>
        <v/>
      </c>
      <c r="N1059" s="125" t="str">
        <f t="shared" si="2"/>
        <v/>
      </c>
      <c r="O1059" s="125"/>
      <c r="P1059" s="125"/>
      <c r="Q1059" s="125"/>
      <c r="R1059" s="125"/>
      <c r="S1059" s="628">
        <f t="shared" si="3"/>
        <v>0</v>
      </c>
      <c r="T1059" s="627" t="s">
        <v>51</v>
      </c>
      <c r="U1059" s="627" t="s">
        <v>51</v>
      </c>
      <c r="V1059" s="627" t="s">
        <v>51</v>
      </c>
      <c r="W1059" s="627" t="s">
        <v>51</v>
      </c>
      <c r="X1059" s="627" t="s">
        <v>51</v>
      </c>
      <c r="Y1059" s="89"/>
    </row>
    <row r="1060" ht="22.5" customHeight="1">
      <c r="A1060" s="223"/>
      <c r="B1060" s="125"/>
      <c r="C1060" s="125"/>
      <c r="D1060" s="125"/>
      <c r="E1060" s="125"/>
      <c r="F1060" s="125"/>
      <c r="G1060" s="125"/>
      <c r="H1060" s="125"/>
      <c r="I1060" s="627" t="s">
        <v>51</v>
      </c>
      <c r="J1060" s="125" t="s">
        <v>51</v>
      </c>
      <c r="K1060" s="125" t="s">
        <v>51</v>
      </c>
      <c r="L1060" s="125" t="s">
        <v>51</v>
      </c>
      <c r="M1060" s="125" t="str">
        <f t="shared" si="1"/>
        <v/>
      </c>
      <c r="N1060" s="125" t="str">
        <f t="shared" si="2"/>
        <v/>
      </c>
      <c r="O1060" s="125"/>
      <c r="P1060" s="125"/>
      <c r="Q1060" s="125"/>
      <c r="R1060" s="125"/>
      <c r="S1060" s="628">
        <f t="shared" si="3"/>
        <v>0</v>
      </c>
      <c r="T1060" s="627" t="s">
        <v>51</v>
      </c>
      <c r="U1060" s="627" t="s">
        <v>51</v>
      </c>
      <c r="V1060" s="627" t="s">
        <v>51</v>
      </c>
      <c r="W1060" s="627" t="s">
        <v>51</v>
      </c>
      <c r="X1060" s="627" t="s">
        <v>51</v>
      </c>
      <c r="Y1060" s="89"/>
    </row>
    <row r="1061" ht="22.5" customHeight="1">
      <c r="A1061" s="223"/>
      <c r="B1061" s="125"/>
      <c r="C1061" s="125"/>
      <c r="D1061" s="125"/>
      <c r="E1061" s="125"/>
      <c r="F1061" s="125"/>
      <c r="G1061" s="125"/>
      <c r="H1061" s="125"/>
      <c r="I1061" s="627" t="s">
        <v>51</v>
      </c>
      <c r="J1061" s="125" t="s">
        <v>51</v>
      </c>
      <c r="K1061" s="125" t="s">
        <v>51</v>
      </c>
      <c r="L1061" s="125" t="s">
        <v>51</v>
      </c>
      <c r="M1061" s="125" t="str">
        <f t="shared" si="1"/>
        <v/>
      </c>
      <c r="N1061" s="125" t="str">
        <f t="shared" si="2"/>
        <v/>
      </c>
      <c r="O1061" s="125"/>
      <c r="P1061" s="125"/>
      <c r="Q1061" s="125"/>
      <c r="R1061" s="125"/>
      <c r="S1061" s="628">
        <f t="shared" si="3"/>
        <v>0</v>
      </c>
      <c r="T1061" s="627" t="s">
        <v>51</v>
      </c>
      <c r="U1061" s="627" t="s">
        <v>51</v>
      </c>
      <c r="V1061" s="627" t="s">
        <v>51</v>
      </c>
      <c r="W1061" s="627" t="s">
        <v>51</v>
      </c>
      <c r="X1061" s="627" t="s">
        <v>51</v>
      </c>
      <c r="Y1061" s="89"/>
    </row>
    <row r="1062" ht="22.5" customHeight="1">
      <c r="A1062" s="223"/>
      <c r="B1062" s="125"/>
      <c r="C1062" s="125"/>
      <c r="D1062" s="125"/>
      <c r="E1062" s="125"/>
      <c r="F1062" s="125"/>
      <c r="G1062" s="125"/>
      <c r="H1062" s="125"/>
      <c r="I1062" s="627" t="s">
        <v>51</v>
      </c>
      <c r="J1062" s="125" t="s">
        <v>51</v>
      </c>
      <c r="K1062" s="125" t="s">
        <v>51</v>
      </c>
      <c r="L1062" s="125" t="s">
        <v>51</v>
      </c>
      <c r="M1062" s="125" t="str">
        <f t="shared" si="1"/>
        <v/>
      </c>
      <c r="N1062" s="125" t="str">
        <f t="shared" si="2"/>
        <v/>
      </c>
      <c r="O1062" s="125"/>
      <c r="P1062" s="125"/>
      <c r="Q1062" s="125"/>
      <c r="R1062" s="125"/>
      <c r="S1062" s="628">
        <f t="shared" si="3"/>
        <v>0</v>
      </c>
      <c r="T1062" s="627" t="s">
        <v>51</v>
      </c>
      <c r="U1062" s="627" t="s">
        <v>51</v>
      </c>
      <c r="V1062" s="627" t="s">
        <v>51</v>
      </c>
      <c r="W1062" s="627" t="s">
        <v>51</v>
      </c>
      <c r="X1062" s="627" t="s">
        <v>51</v>
      </c>
      <c r="Y1062" s="89"/>
    </row>
    <row r="1063" ht="22.5" customHeight="1">
      <c r="A1063" s="223"/>
      <c r="B1063" s="125"/>
      <c r="C1063" s="125"/>
      <c r="D1063" s="125"/>
      <c r="E1063" s="125"/>
      <c r="F1063" s="125"/>
      <c r="G1063" s="125"/>
      <c r="H1063" s="125"/>
      <c r="I1063" s="627" t="s">
        <v>51</v>
      </c>
      <c r="J1063" s="125" t="s">
        <v>51</v>
      </c>
      <c r="K1063" s="125" t="s">
        <v>51</v>
      </c>
      <c r="L1063" s="125" t="s">
        <v>51</v>
      </c>
      <c r="M1063" s="125" t="str">
        <f t="shared" si="1"/>
        <v/>
      </c>
      <c r="N1063" s="125" t="str">
        <f t="shared" si="2"/>
        <v/>
      </c>
      <c r="O1063" s="125"/>
      <c r="P1063" s="125"/>
      <c r="Q1063" s="125"/>
      <c r="R1063" s="125"/>
      <c r="S1063" s="628">
        <f t="shared" si="3"/>
        <v>0</v>
      </c>
      <c r="T1063" s="627" t="s">
        <v>51</v>
      </c>
      <c r="U1063" s="627" t="s">
        <v>51</v>
      </c>
      <c r="V1063" s="627" t="s">
        <v>51</v>
      </c>
      <c r="W1063" s="627" t="s">
        <v>51</v>
      </c>
      <c r="X1063" s="627" t="s">
        <v>51</v>
      </c>
      <c r="Y1063" s="89"/>
    </row>
    <row r="1064" ht="22.5" customHeight="1">
      <c r="A1064" s="223"/>
      <c r="B1064" s="125"/>
      <c r="C1064" s="125"/>
      <c r="D1064" s="125"/>
      <c r="E1064" s="125"/>
      <c r="F1064" s="125"/>
      <c r="G1064" s="125"/>
      <c r="H1064" s="125"/>
      <c r="I1064" s="627" t="s">
        <v>51</v>
      </c>
      <c r="J1064" s="125" t="s">
        <v>51</v>
      </c>
      <c r="K1064" s="125" t="s">
        <v>51</v>
      </c>
      <c r="L1064" s="125" t="s">
        <v>51</v>
      </c>
      <c r="M1064" s="125" t="str">
        <f t="shared" si="1"/>
        <v/>
      </c>
      <c r="N1064" s="125" t="str">
        <f t="shared" si="2"/>
        <v/>
      </c>
      <c r="O1064" s="125"/>
      <c r="P1064" s="125"/>
      <c r="Q1064" s="125"/>
      <c r="R1064" s="125"/>
      <c r="S1064" s="628">
        <f t="shared" si="3"/>
        <v>0</v>
      </c>
      <c r="T1064" s="627" t="s">
        <v>51</v>
      </c>
      <c r="U1064" s="627" t="s">
        <v>51</v>
      </c>
      <c r="V1064" s="627" t="s">
        <v>51</v>
      </c>
      <c r="W1064" s="627" t="s">
        <v>51</v>
      </c>
      <c r="X1064" s="627" t="s">
        <v>51</v>
      </c>
      <c r="Y1064" s="89"/>
    </row>
    <row r="1065" ht="22.5" customHeight="1">
      <c r="A1065" s="223"/>
      <c r="B1065" s="125"/>
      <c r="C1065" s="125"/>
      <c r="D1065" s="125"/>
      <c r="E1065" s="125"/>
      <c r="F1065" s="125"/>
      <c r="G1065" s="125"/>
      <c r="H1065" s="125"/>
      <c r="I1065" s="627" t="s">
        <v>51</v>
      </c>
      <c r="J1065" s="125" t="s">
        <v>51</v>
      </c>
      <c r="K1065" s="125" t="s">
        <v>51</v>
      </c>
      <c r="L1065" s="125" t="s">
        <v>51</v>
      </c>
      <c r="M1065" s="125" t="str">
        <f t="shared" si="1"/>
        <v/>
      </c>
      <c r="N1065" s="125" t="str">
        <f t="shared" si="2"/>
        <v/>
      </c>
      <c r="O1065" s="125"/>
      <c r="P1065" s="125"/>
      <c r="Q1065" s="125"/>
      <c r="R1065" s="125"/>
      <c r="S1065" s="628">
        <f t="shared" si="3"/>
        <v>0</v>
      </c>
      <c r="T1065" s="627" t="s">
        <v>51</v>
      </c>
      <c r="U1065" s="627" t="s">
        <v>51</v>
      </c>
      <c r="V1065" s="627" t="s">
        <v>51</v>
      </c>
      <c r="W1065" s="627" t="s">
        <v>51</v>
      </c>
      <c r="X1065" s="627" t="s">
        <v>51</v>
      </c>
      <c r="Y1065" s="89"/>
    </row>
    <row r="1066" ht="22.5" customHeight="1">
      <c r="A1066" s="223"/>
      <c r="B1066" s="125"/>
      <c r="C1066" s="125"/>
      <c r="D1066" s="125"/>
      <c r="E1066" s="125"/>
      <c r="F1066" s="125"/>
      <c r="G1066" s="125"/>
      <c r="H1066" s="125"/>
      <c r="I1066" s="627" t="s">
        <v>51</v>
      </c>
      <c r="J1066" s="125" t="s">
        <v>51</v>
      </c>
      <c r="K1066" s="125" t="s">
        <v>51</v>
      </c>
      <c r="L1066" s="125" t="s">
        <v>51</v>
      </c>
      <c r="M1066" s="125" t="str">
        <f t="shared" si="1"/>
        <v/>
      </c>
      <c r="N1066" s="125" t="str">
        <f t="shared" si="2"/>
        <v/>
      </c>
      <c r="O1066" s="125"/>
      <c r="P1066" s="125"/>
      <c r="Q1066" s="125"/>
      <c r="R1066" s="125"/>
      <c r="S1066" s="628">
        <f t="shared" si="3"/>
        <v>0</v>
      </c>
      <c r="T1066" s="627" t="s">
        <v>51</v>
      </c>
      <c r="U1066" s="627" t="s">
        <v>51</v>
      </c>
      <c r="V1066" s="627" t="s">
        <v>51</v>
      </c>
      <c r="W1066" s="627" t="s">
        <v>51</v>
      </c>
      <c r="X1066" s="627" t="s">
        <v>51</v>
      </c>
      <c r="Y1066" s="89"/>
    </row>
    <row r="1067" ht="22.5" customHeight="1">
      <c r="A1067" s="223"/>
      <c r="B1067" s="125"/>
      <c r="C1067" s="125"/>
      <c r="D1067" s="125"/>
      <c r="E1067" s="125"/>
      <c r="F1067" s="125"/>
      <c r="G1067" s="125"/>
      <c r="H1067" s="125"/>
      <c r="I1067" s="627" t="s">
        <v>51</v>
      </c>
      <c r="J1067" s="125" t="s">
        <v>51</v>
      </c>
      <c r="K1067" s="125" t="s">
        <v>51</v>
      </c>
      <c r="L1067" s="125" t="s">
        <v>51</v>
      </c>
      <c r="M1067" s="125" t="str">
        <f t="shared" si="1"/>
        <v/>
      </c>
      <c r="N1067" s="125" t="str">
        <f t="shared" si="2"/>
        <v/>
      </c>
      <c r="O1067" s="125"/>
      <c r="P1067" s="125"/>
      <c r="Q1067" s="125"/>
      <c r="R1067" s="125"/>
      <c r="S1067" s="628">
        <f t="shared" si="3"/>
        <v>0</v>
      </c>
      <c r="T1067" s="627" t="s">
        <v>51</v>
      </c>
      <c r="U1067" s="627" t="s">
        <v>51</v>
      </c>
      <c r="V1067" s="627" t="s">
        <v>51</v>
      </c>
      <c r="W1067" s="627" t="s">
        <v>51</v>
      </c>
      <c r="X1067" s="627" t="s">
        <v>51</v>
      </c>
      <c r="Y1067" s="89"/>
    </row>
    <row r="1068" ht="22.5" customHeight="1">
      <c r="A1068" s="223"/>
      <c r="B1068" s="125"/>
      <c r="C1068" s="125"/>
      <c r="D1068" s="125"/>
      <c r="E1068" s="125"/>
      <c r="F1068" s="125"/>
      <c r="G1068" s="125"/>
      <c r="H1068" s="125"/>
      <c r="I1068" s="627" t="s">
        <v>51</v>
      </c>
      <c r="J1068" s="125" t="s">
        <v>51</v>
      </c>
      <c r="K1068" s="125" t="s">
        <v>51</v>
      </c>
      <c r="L1068" s="125" t="s">
        <v>51</v>
      </c>
      <c r="M1068" s="125" t="str">
        <f t="shared" si="1"/>
        <v/>
      </c>
      <c r="N1068" s="125" t="str">
        <f t="shared" si="2"/>
        <v/>
      </c>
      <c r="O1068" s="125"/>
      <c r="P1068" s="125"/>
      <c r="Q1068" s="125"/>
      <c r="R1068" s="125"/>
      <c r="S1068" s="628">
        <f t="shared" si="3"/>
        <v>0</v>
      </c>
      <c r="T1068" s="627" t="s">
        <v>51</v>
      </c>
      <c r="U1068" s="627" t="s">
        <v>51</v>
      </c>
      <c r="V1068" s="627" t="s">
        <v>51</v>
      </c>
      <c r="W1068" s="627" t="s">
        <v>51</v>
      </c>
      <c r="X1068" s="627" t="s">
        <v>51</v>
      </c>
      <c r="Y1068" s="89"/>
    </row>
    <row r="1069" ht="22.5" customHeight="1">
      <c r="A1069" s="223"/>
      <c r="B1069" s="125"/>
      <c r="C1069" s="125"/>
      <c r="D1069" s="125"/>
      <c r="E1069" s="125"/>
      <c r="F1069" s="125"/>
      <c r="G1069" s="125"/>
      <c r="H1069" s="125"/>
      <c r="I1069" s="627" t="s">
        <v>51</v>
      </c>
      <c r="J1069" s="125" t="s">
        <v>51</v>
      </c>
      <c r="K1069" s="125" t="s">
        <v>51</v>
      </c>
      <c r="L1069" s="125" t="s">
        <v>51</v>
      </c>
      <c r="M1069" s="125" t="str">
        <f t="shared" si="1"/>
        <v/>
      </c>
      <c r="N1069" s="125" t="str">
        <f t="shared" si="2"/>
        <v/>
      </c>
      <c r="O1069" s="125"/>
      <c r="P1069" s="125"/>
      <c r="Q1069" s="125"/>
      <c r="R1069" s="125"/>
      <c r="S1069" s="628">
        <f t="shared" si="3"/>
        <v>0</v>
      </c>
      <c r="T1069" s="627" t="s">
        <v>51</v>
      </c>
      <c r="U1069" s="627" t="s">
        <v>51</v>
      </c>
      <c r="V1069" s="627" t="s">
        <v>51</v>
      </c>
      <c r="W1069" s="627" t="s">
        <v>51</v>
      </c>
      <c r="X1069" s="627" t="s">
        <v>51</v>
      </c>
      <c r="Y1069" s="89"/>
    </row>
    <row r="1070" ht="22.5" customHeight="1">
      <c r="A1070" s="223"/>
      <c r="B1070" s="125"/>
      <c r="C1070" s="125"/>
      <c r="D1070" s="125"/>
      <c r="E1070" s="125"/>
      <c r="F1070" s="125"/>
      <c r="G1070" s="125"/>
      <c r="H1070" s="125"/>
      <c r="I1070" s="627" t="s">
        <v>51</v>
      </c>
      <c r="J1070" s="125" t="s">
        <v>51</v>
      </c>
      <c r="K1070" s="125" t="s">
        <v>51</v>
      </c>
      <c r="L1070" s="125" t="s">
        <v>51</v>
      </c>
      <c r="M1070" s="125" t="str">
        <f t="shared" si="1"/>
        <v/>
      </c>
      <c r="N1070" s="125" t="str">
        <f t="shared" si="2"/>
        <v/>
      </c>
      <c r="O1070" s="125"/>
      <c r="P1070" s="125"/>
      <c r="Q1070" s="125"/>
      <c r="R1070" s="125"/>
      <c r="S1070" s="628">
        <f t="shared" si="3"/>
        <v>0</v>
      </c>
      <c r="T1070" s="627" t="s">
        <v>51</v>
      </c>
      <c r="U1070" s="627" t="s">
        <v>51</v>
      </c>
      <c r="V1070" s="627" t="s">
        <v>51</v>
      </c>
      <c r="W1070" s="627" t="s">
        <v>51</v>
      </c>
      <c r="X1070" s="627" t="s">
        <v>51</v>
      </c>
      <c r="Y1070" s="89"/>
    </row>
    <row r="1071" ht="22.5" customHeight="1">
      <c r="A1071" s="223"/>
      <c r="B1071" s="125"/>
      <c r="C1071" s="125"/>
      <c r="D1071" s="125"/>
      <c r="E1071" s="125"/>
      <c r="F1071" s="125"/>
      <c r="G1071" s="125"/>
      <c r="H1071" s="125"/>
      <c r="I1071" s="627" t="s">
        <v>51</v>
      </c>
      <c r="J1071" s="125" t="s">
        <v>51</v>
      </c>
      <c r="K1071" s="125" t="s">
        <v>51</v>
      </c>
      <c r="L1071" s="125" t="s">
        <v>51</v>
      </c>
      <c r="M1071" s="125" t="str">
        <f t="shared" si="1"/>
        <v/>
      </c>
      <c r="N1071" s="125" t="str">
        <f t="shared" si="2"/>
        <v/>
      </c>
      <c r="O1071" s="125"/>
      <c r="P1071" s="125"/>
      <c r="Q1071" s="125"/>
      <c r="R1071" s="125"/>
      <c r="S1071" s="628">
        <f t="shared" si="3"/>
        <v>0</v>
      </c>
      <c r="T1071" s="627" t="s">
        <v>51</v>
      </c>
      <c r="U1071" s="627" t="s">
        <v>51</v>
      </c>
      <c r="V1071" s="627" t="s">
        <v>51</v>
      </c>
      <c r="W1071" s="627" t="s">
        <v>51</v>
      </c>
      <c r="X1071" s="627" t="s">
        <v>51</v>
      </c>
      <c r="Y1071" s="89"/>
    </row>
    <row r="1072" ht="22.5" customHeight="1">
      <c r="A1072" s="223"/>
      <c r="B1072" s="125"/>
      <c r="C1072" s="125"/>
      <c r="D1072" s="125"/>
      <c r="E1072" s="125"/>
      <c r="F1072" s="125"/>
      <c r="G1072" s="125"/>
      <c r="H1072" s="125"/>
      <c r="I1072" s="627" t="s">
        <v>51</v>
      </c>
      <c r="J1072" s="125" t="s">
        <v>51</v>
      </c>
      <c r="K1072" s="125" t="s">
        <v>51</v>
      </c>
      <c r="L1072" s="125" t="s">
        <v>51</v>
      </c>
      <c r="M1072" s="125" t="str">
        <f t="shared" si="1"/>
        <v/>
      </c>
      <c r="N1072" s="125" t="str">
        <f t="shared" si="2"/>
        <v/>
      </c>
      <c r="O1072" s="125"/>
      <c r="P1072" s="125"/>
      <c r="Q1072" s="125"/>
      <c r="R1072" s="125"/>
      <c r="S1072" s="628">
        <f t="shared" si="3"/>
        <v>0</v>
      </c>
      <c r="T1072" s="627" t="s">
        <v>51</v>
      </c>
      <c r="U1072" s="627" t="s">
        <v>51</v>
      </c>
      <c r="V1072" s="627" t="s">
        <v>51</v>
      </c>
      <c r="W1072" s="627" t="s">
        <v>51</v>
      </c>
      <c r="X1072" s="627" t="s">
        <v>51</v>
      </c>
      <c r="Y1072" s="89"/>
    </row>
    <row r="1073" ht="22.5" customHeight="1">
      <c r="A1073" s="223"/>
      <c r="B1073" s="125"/>
      <c r="C1073" s="125"/>
      <c r="D1073" s="125"/>
      <c r="E1073" s="125"/>
      <c r="F1073" s="125"/>
      <c r="G1073" s="125"/>
      <c r="H1073" s="125"/>
      <c r="I1073" s="627" t="s">
        <v>51</v>
      </c>
      <c r="J1073" s="125" t="s">
        <v>51</v>
      </c>
      <c r="K1073" s="125" t="s">
        <v>51</v>
      </c>
      <c r="L1073" s="125" t="s">
        <v>51</v>
      </c>
      <c r="M1073" s="125" t="str">
        <f t="shared" si="1"/>
        <v/>
      </c>
      <c r="N1073" s="125" t="str">
        <f t="shared" si="2"/>
        <v/>
      </c>
      <c r="O1073" s="125"/>
      <c r="P1073" s="125"/>
      <c r="Q1073" s="125"/>
      <c r="R1073" s="125"/>
      <c r="S1073" s="628">
        <f t="shared" si="3"/>
        <v>0</v>
      </c>
      <c r="T1073" s="627" t="s">
        <v>51</v>
      </c>
      <c r="U1073" s="627" t="s">
        <v>51</v>
      </c>
      <c r="V1073" s="627" t="s">
        <v>51</v>
      </c>
      <c r="W1073" s="627" t="s">
        <v>51</v>
      </c>
      <c r="X1073" s="627" t="s">
        <v>51</v>
      </c>
      <c r="Y1073" s="89"/>
    </row>
    <row r="1074" ht="22.5" customHeight="1">
      <c r="A1074" s="223"/>
      <c r="B1074" s="125"/>
      <c r="C1074" s="125"/>
      <c r="D1074" s="125"/>
      <c r="E1074" s="125"/>
      <c r="F1074" s="125"/>
      <c r="G1074" s="125"/>
      <c r="H1074" s="125"/>
      <c r="I1074" s="627" t="s">
        <v>51</v>
      </c>
      <c r="J1074" s="125" t="s">
        <v>51</v>
      </c>
      <c r="K1074" s="125" t="s">
        <v>51</v>
      </c>
      <c r="L1074" s="125" t="s">
        <v>51</v>
      </c>
      <c r="M1074" s="125" t="str">
        <f t="shared" si="1"/>
        <v/>
      </c>
      <c r="N1074" s="125" t="str">
        <f t="shared" si="2"/>
        <v/>
      </c>
      <c r="O1074" s="125"/>
      <c r="P1074" s="125"/>
      <c r="Q1074" s="125"/>
      <c r="R1074" s="125"/>
      <c r="S1074" s="628">
        <f t="shared" si="3"/>
        <v>0</v>
      </c>
      <c r="T1074" s="627" t="s">
        <v>51</v>
      </c>
      <c r="U1074" s="627" t="s">
        <v>51</v>
      </c>
      <c r="V1074" s="627" t="s">
        <v>51</v>
      </c>
      <c r="W1074" s="627" t="s">
        <v>51</v>
      </c>
      <c r="X1074" s="627" t="s">
        <v>51</v>
      </c>
      <c r="Y1074" s="89"/>
    </row>
    <row r="1075" ht="22.5" customHeight="1">
      <c r="A1075" s="223"/>
      <c r="B1075" s="125"/>
      <c r="C1075" s="125"/>
      <c r="D1075" s="125"/>
      <c r="E1075" s="125"/>
      <c r="F1075" s="125"/>
      <c r="G1075" s="125"/>
      <c r="H1075" s="125"/>
      <c r="I1075" s="627" t="s">
        <v>51</v>
      </c>
      <c r="J1075" s="125" t="s">
        <v>51</v>
      </c>
      <c r="K1075" s="125" t="s">
        <v>51</v>
      </c>
      <c r="L1075" s="125" t="s">
        <v>51</v>
      </c>
      <c r="M1075" s="125" t="str">
        <f t="shared" si="1"/>
        <v/>
      </c>
      <c r="N1075" s="125" t="str">
        <f t="shared" si="2"/>
        <v/>
      </c>
      <c r="O1075" s="125"/>
      <c r="P1075" s="125"/>
      <c r="Q1075" s="125"/>
      <c r="R1075" s="125"/>
      <c r="S1075" s="628">
        <f t="shared" si="3"/>
        <v>0</v>
      </c>
      <c r="T1075" s="627" t="s">
        <v>51</v>
      </c>
      <c r="U1075" s="627" t="s">
        <v>51</v>
      </c>
      <c r="V1075" s="627" t="s">
        <v>51</v>
      </c>
      <c r="W1075" s="627" t="s">
        <v>51</v>
      </c>
      <c r="X1075" s="627" t="s">
        <v>51</v>
      </c>
      <c r="Y1075" s="89"/>
    </row>
    <row r="1076" ht="22.5" customHeight="1">
      <c r="A1076" s="223"/>
      <c r="B1076" s="125"/>
      <c r="C1076" s="125"/>
      <c r="D1076" s="125"/>
      <c r="E1076" s="125"/>
      <c r="F1076" s="125"/>
      <c r="G1076" s="125"/>
      <c r="H1076" s="125"/>
      <c r="I1076" s="627" t="s">
        <v>51</v>
      </c>
      <c r="J1076" s="125" t="s">
        <v>51</v>
      </c>
      <c r="K1076" s="125" t="s">
        <v>51</v>
      </c>
      <c r="L1076" s="125" t="s">
        <v>51</v>
      </c>
      <c r="M1076" s="125" t="str">
        <f t="shared" si="1"/>
        <v/>
      </c>
      <c r="N1076" s="125" t="str">
        <f t="shared" si="2"/>
        <v/>
      </c>
      <c r="O1076" s="125"/>
      <c r="P1076" s="125"/>
      <c r="Q1076" s="125"/>
      <c r="R1076" s="125"/>
      <c r="S1076" s="628">
        <f t="shared" si="3"/>
        <v>0</v>
      </c>
      <c r="T1076" s="627" t="s">
        <v>51</v>
      </c>
      <c r="U1076" s="627" t="s">
        <v>51</v>
      </c>
      <c r="V1076" s="627" t="s">
        <v>51</v>
      </c>
      <c r="W1076" s="627" t="s">
        <v>51</v>
      </c>
      <c r="X1076" s="627" t="s">
        <v>51</v>
      </c>
      <c r="Y1076" s="89"/>
    </row>
    <row r="1077" ht="22.5" customHeight="1">
      <c r="A1077" s="223"/>
      <c r="B1077" s="125"/>
      <c r="C1077" s="125"/>
      <c r="D1077" s="125"/>
      <c r="E1077" s="125"/>
      <c r="F1077" s="125"/>
      <c r="G1077" s="125"/>
      <c r="H1077" s="125"/>
      <c r="I1077" s="627" t="s">
        <v>51</v>
      </c>
      <c r="J1077" s="125" t="s">
        <v>51</v>
      </c>
      <c r="K1077" s="125" t="s">
        <v>51</v>
      </c>
      <c r="L1077" s="125" t="s">
        <v>51</v>
      </c>
      <c r="M1077" s="125" t="str">
        <f t="shared" si="1"/>
        <v/>
      </c>
      <c r="N1077" s="125" t="str">
        <f t="shared" si="2"/>
        <v/>
      </c>
      <c r="O1077" s="125"/>
      <c r="P1077" s="125"/>
      <c r="Q1077" s="125"/>
      <c r="R1077" s="125"/>
      <c r="S1077" s="628">
        <f t="shared" si="3"/>
        <v>0</v>
      </c>
      <c r="T1077" s="627" t="s">
        <v>51</v>
      </c>
      <c r="U1077" s="627" t="s">
        <v>51</v>
      </c>
      <c r="V1077" s="627" t="s">
        <v>51</v>
      </c>
      <c r="W1077" s="627" t="s">
        <v>51</v>
      </c>
      <c r="X1077" s="627" t="s">
        <v>51</v>
      </c>
      <c r="Y1077" s="89"/>
    </row>
    <row r="1078" ht="22.5" customHeight="1">
      <c r="A1078" s="223"/>
      <c r="B1078" s="125"/>
      <c r="C1078" s="125"/>
      <c r="D1078" s="125"/>
      <c r="E1078" s="125"/>
      <c r="F1078" s="125"/>
      <c r="G1078" s="125"/>
      <c r="H1078" s="125"/>
      <c r="I1078" s="627" t="s">
        <v>51</v>
      </c>
      <c r="J1078" s="125" t="s">
        <v>51</v>
      </c>
      <c r="K1078" s="125" t="s">
        <v>51</v>
      </c>
      <c r="L1078" s="125" t="s">
        <v>51</v>
      </c>
      <c r="M1078" s="125" t="str">
        <f t="shared" si="1"/>
        <v/>
      </c>
      <c r="N1078" s="125" t="str">
        <f t="shared" si="2"/>
        <v/>
      </c>
      <c r="O1078" s="125"/>
      <c r="P1078" s="125"/>
      <c r="Q1078" s="125"/>
      <c r="R1078" s="125"/>
      <c r="S1078" s="628">
        <f t="shared" si="3"/>
        <v>0</v>
      </c>
      <c r="T1078" s="627" t="s">
        <v>51</v>
      </c>
      <c r="U1078" s="627" t="s">
        <v>51</v>
      </c>
      <c r="V1078" s="627" t="s">
        <v>51</v>
      </c>
      <c r="W1078" s="627" t="s">
        <v>51</v>
      </c>
      <c r="X1078" s="627" t="s">
        <v>51</v>
      </c>
      <c r="Y1078" s="89"/>
    </row>
    <row r="1079" ht="22.5" customHeight="1">
      <c r="A1079" s="223"/>
      <c r="B1079" s="125"/>
      <c r="C1079" s="125"/>
      <c r="D1079" s="125"/>
      <c r="E1079" s="125"/>
      <c r="F1079" s="125"/>
      <c r="G1079" s="125"/>
      <c r="H1079" s="125"/>
      <c r="I1079" s="627" t="s">
        <v>51</v>
      </c>
      <c r="J1079" s="125" t="s">
        <v>51</v>
      </c>
      <c r="K1079" s="125" t="s">
        <v>51</v>
      </c>
      <c r="L1079" s="125" t="s">
        <v>51</v>
      </c>
      <c r="M1079" s="125" t="str">
        <f t="shared" si="1"/>
        <v/>
      </c>
      <c r="N1079" s="125" t="str">
        <f t="shared" si="2"/>
        <v/>
      </c>
      <c r="O1079" s="125"/>
      <c r="P1079" s="125"/>
      <c r="Q1079" s="125"/>
      <c r="R1079" s="125"/>
      <c r="S1079" s="628">
        <f t="shared" si="3"/>
        <v>0</v>
      </c>
      <c r="T1079" s="627" t="s">
        <v>51</v>
      </c>
      <c r="U1079" s="627" t="s">
        <v>51</v>
      </c>
      <c r="V1079" s="627" t="s">
        <v>51</v>
      </c>
      <c r="W1079" s="627" t="s">
        <v>51</v>
      </c>
      <c r="X1079" s="627" t="s">
        <v>51</v>
      </c>
      <c r="Y1079" s="89"/>
    </row>
    <row r="1080" ht="22.5" customHeight="1">
      <c r="A1080" s="223"/>
      <c r="B1080" s="125"/>
      <c r="C1080" s="125"/>
      <c r="D1080" s="125"/>
      <c r="E1080" s="125"/>
      <c r="F1080" s="125"/>
      <c r="G1080" s="125"/>
      <c r="H1080" s="125"/>
      <c r="I1080" s="627" t="s">
        <v>51</v>
      </c>
      <c r="J1080" s="125" t="s">
        <v>51</v>
      </c>
      <c r="K1080" s="125" t="s">
        <v>51</v>
      </c>
      <c r="L1080" s="125" t="s">
        <v>51</v>
      </c>
      <c r="M1080" s="125" t="str">
        <f t="shared" si="1"/>
        <v/>
      </c>
      <c r="N1080" s="125" t="str">
        <f t="shared" si="2"/>
        <v/>
      </c>
      <c r="O1080" s="125"/>
      <c r="P1080" s="125"/>
      <c r="Q1080" s="125"/>
      <c r="R1080" s="125"/>
      <c r="S1080" s="628">
        <f t="shared" si="3"/>
        <v>0</v>
      </c>
      <c r="T1080" s="627" t="s">
        <v>51</v>
      </c>
      <c r="U1080" s="627" t="s">
        <v>51</v>
      </c>
      <c r="V1080" s="627" t="s">
        <v>51</v>
      </c>
      <c r="W1080" s="627" t="s">
        <v>51</v>
      </c>
      <c r="X1080" s="627" t="s">
        <v>51</v>
      </c>
      <c r="Y1080" s="89"/>
    </row>
    <row r="1081" ht="22.5" customHeight="1">
      <c r="A1081" s="223"/>
      <c r="B1081" s="125"/>
      <c r="C1081" s="125"/>
      <c r="D1081" s="125"/>
      <c r="E1081" s="125"/>
      <c r="F1081" s="125"/>
      <c r="G1081" s="125"/>
      <c r="H1081" s="125"/>
      <c r="I1081" s="627" t="s">
        <v>51</v>
      </c>
      <c r="J1081" s="125" t="s">
        <v>51</v>
      </c>
      <c r="K1081" s="125" t="s">
        <v>51</v>
      </c>
      <c r="L1081" s="125" t="s">
        <v>51</v>
      </c>
      <c r="M1081" s="125" t="str">
        <f t="shared" si="1"/>
        <v/>
      </c>
      <c r="N1081" s="125" t="str">
        <f t="shared" si="2"/>
        <v/>
      </c>
      <c r="O1081" s="125"/>
      <c r="P1081" s="125"/>
      <c r="Q1081" s="125"/>
      <c r="R1081" s="125"/>
      <c r="S1081" s="628">
        <f t="shared" si="3"/>
        <v>0</v>
      </c>
      <c r="T1081" s="627" t="s">
        <v>51</v>
      </c>
      <c r="U1081" s="627" t="s">
        <v>51</v>
      </c>
      <c r="V1081" s="627" t="s">
        <v>51</v>
      </c>
      <c r="W1081" s="627" t="s">
        <v>51</v>
      </c>
      <c r="X1081" s="627" t="s">
        <v>51</v>
      </c>
      <c r="Y1081" s="89"/>
    </row>
    <row r="1082" ht="22.5" customHeight="1">
      <c r="A1082" s="223"/>
      <c r="B1082" s="125"/>
      <c r="C1082" s="125"/>
      <c r="D1082" s="125"/>
      <c r="E1082" s="125"/>
      <c r="F1082" s="125"/>
      <c r="G1082" s="125"/>
      <c r="H1082" s="125"/>
      <c r="I1082" s="627" t="s">
        <v>51</v>
      </c>
      <c r="J1082" s="125" t="s">
        <v>51</v>
      </c>
      <c r="K1082" s="125" t="s">
        <v>51</v>
      </c>
      <c r="L1082" s="125" t="s">
        <v>51</v>
      </c>
      <c r="M1082" s="125" t="str">
        <f t="shared" si="1"/>
        <v/>
      </c>
      <c r="N1082" s="125" t="str">
        <f t="shared" si="2"/>
        <v/>
      </c>
      <c r="O1082" s="125"/>
      <c r="P1082" s="125"/>
      <c r="Q1082" s="125"/>
      <c r="R1082" s="125"/>
      <c r="S1082" s="628">
        <f t="shared" si="3"/>
        <v>0</v>
      </c>
      <c r="T1082" s="627" t="s">
        <v>51</v>
      </c>
      <c r="U1082" s="627" t="s">
        <v>51</v>
      </c>
      <c r="V1082" s="627" t="s">
        <v>51</v>
      </c>
      <c r="W1082" s="627" t="s">
        <v>51</v>
      </c>
      <c r="X1082" s="627" t="s">
        <v>51</v>
      </c>
      <c r="Y1082" s="89"/>
    </row>
    <row r="1083" ht="22.5" customHeight="1">
      <c r="A1083" s="223"/>
      <c r="B1083" s="125"/>
      <c r="C1083" s="125"/>
      <c r="D1083" s="125"/>
      <c r="E1083" s="125"/>
      <c r="F1083" s="125"/>
      <c r="G1083" s="125"/>
      <c r="H1083" s="125"/>
      <c r="I1083" s="627" t="s">
        <v>51</v>
      </c>
      <c r="J1083" s="125" t="s">
        <v>51</v>
      </c>
      <c r="K1083" s="125" t="s">
        <v>51</v>
      </c>
      <c r="L1083" s="125" t="s">
        <v>51</v>
      </c>
      <c r="M1083" s="125" t="str">
        <f t="shared" si="1"/>
        <v/>
      </c>
      <c r="N1083" s="125" t="str">
        <f t="shared" si="2"/>
        <v/>
      </c>
      <c r="O1083" s="125"/>
      <c r="P1083" s="125"/>
      <c r="Q1083" s="125"/>
      <c r="R1083" s="125"/>
      <c r="S1083" s="628">
        <f t="shared" si="3"/>
        <v>0</v>
      </c>
      <c r="T1083" s="627" t="s">
        <v>51</v>
      </c>
      <c r="U1083" s="627" t="s">
        <v>51</v>
      </c>
      <c r="V1083" s="627" t="s">
        <v>51</v>
      </c>
      <c r="W1083" s="627" t="s">
        <v>51</v>
      </c>
      <c r="X1083" s="627" t="s">
        <v>51</v>
      </c>
      <c r="Y1083" s="89"/>
    </row>
    <row r="1084" ht="22.5" customHeight="1">
      <c r="A1084" s="223"/>
      <c r="B1084" s="125"/>
      <c r="C1084" s="125"/>
      <c r="D1084" s="125"/>
      <c r="E1084" s="125"/>
      <c r="F1084" s="125"/>
      <c r="G1084" s="125"/>
      <c r="H1084" s="125"/>
      <c r="I1084" s="627" t="s">
        <v>51</v>
      </c>
      <c r="J1084" s="125" t="s">
        <v>51</v>
      </c>
      <c r="K1084" s="125" t="s">
        <v>51</v>
      </c>
      <c r="L1084" s="125" t="s">
        <v>51</v>
      </c>
      <c r="M1084" s="125" t="str">
        <f t="shared" si="1"/>
        <v/>
      </c>
      <c r="N1084" s="125" t="str">
        <f t="shared" si="2"/>
        <v/>
      </c>
      <c r="O1084" s="125"/>
      <c r="P1084" s="125"/>
      <c r="Q1084" s="125"/>
      <c r="R1084" s="125"/>
      <c r="S1084" s="628">
        <f t="shared" si="3"/>
        <v>0</v>
      </c>
      <c r="T1084" s="627" t="s">
        <v>51</v>
      </c>
      <c r="U1084" s="627" t="s">
        <v>51</v>
      </c>
      <c r="V1084" s="627" t="s">
        <v>51</v>
      </c>
      <c r="W1084" s="627" t="s">
        <v>51</v>
      </c>
      <c r="X1084" s="627" t="s">
        <v>51</v>
      </c>
      <c r="Y1084" s="89"/>
    </row>
    <row r="1085" ht="22.5" customHeight="1">
      <c r="A1085" s="223"/>
      <c r="B1085" s="125"/>
      <c r="C1085" s="125"/>
      <c r="D1085" s="125"/>
      <c r="E1085" s="125"/>
      <c r="F1085" s="125"/>
      <c r="G1085" s="125"/>
      <c r="H1085" s="125"/>
      <c r="I1085" s="627" t="s">
        <v>51</v>
      </c>
      <c r="J1085" s="125" t="s">
        <v>51</v>
      </c>
      <c r="K1085" s="125" t="s">
        <v>51</v>
      </c>
      <c r="L1085" s="125" t="s">
        <v>51</v>
      </c>
      <c r="M1085" s="125" t="str">
        <f t="shared" si="1"/>
        <v/>
      </c>
      <c r="N1085" s="125" t="str">
        <f t="shared" si="2"/>
        <v/>
      </c>
      <c r="O1085" s="125"/>
      <c r="P1085" s="125"/>
      <c r="Q1085" s="125"/>
      <c r="R1085" s="125"/>
      <c r="S1085" s="628">
        <f t="shared" si="3"/>
        <v>0</v>
      </c>
      <c r="T1085" s="627" t="s">
        <v>51</v>
      </c>
      <c r="U1085" s="627" t="s">
        <v>51</v>
      </c>
      <c r="V1085" s="627" t="s">
        <v>51</v>
      </c>
      <c r="W1085" s="627" t="s">
        <v>51</v>
      </c>
      <c r="X1085" s="627" t="s">
        <v>51</v>
      </c>
      <c r="Y1085" s="89"/>
    </row>
    <row r="1086" ht="22.5" customHeight="1">
      <c r="A1086" s="223"/>
      <c r="B1086" s="125"/>
      <c r="C1086" s="125"/>
      <c r="D1086" s="125"/>
      <c r="E1086" s="125"/>
      <c r="F1086" s="125"/>
      <c r="G1086" s="125"/>
      <c r="H1086" s="125"/>
      <c r="I1086" s="627" t="s">
        <v>51</v>
      </c>
      <c r="J1086" s="125" t="s">
        <v>51</v>
      </c>
      <c r="K1086" s="125" t="s">
        <v>51</v>
      </c>
      <c r="L1086" s="125" t="s">
        <v>51</v>
      </c>
      <c r="M1086" s="125" t="str">
        <f t="shared" si="1"/>
        <v/>
      </c>
      <c r="N1086" s="125" t="str">
        <f t="shared" si="2"/>
        <v/>
      </c>
      <c r="O1086" s="125"/>
      <c r="P1086" s="125"/>
      <c r="Q1086" s="125"/>
      <c r="R1086" s="125"/>
      <c r="S1086" s="628">
        <f t="shared" si="3"/>
        <v>0</v>
      </c>
      <c r="T1086" s="627" t="s">
        <v>51</v>
      </c>
      <c r="U1086" s="627" t="s">
        <v>51</v>
      </c>
      <c r="V1086" s="627" t="s">
        <v>51</v>
      </c>
      <c r="W1086" s="627" t="s">
        <v>51</v>
      </c>
      <c r="X1086" s="627" t="s">
        <v>51</v>
      </c>
      <c r="Y1086" s="89"/>
    </row>
    <row r="1087" ht="22.5" customHeight="1">
      <c r="A1087" s="223"/>
      <c r="B1087" s="125"/>
      <c r="C1087" s="125"/>
      <c r="D1087" s="125"/>
      <c r="E1087" s="125"/>
      <c r="F1087" s="125"/>
      <c r="G1087" s="125"/>
      <c r="H1087" s="125"/>
      <c r="I1087" s="627" t="s">
        <v>51</v>
      </c>
      <c r="J1087" s="125" t="s">
        <v>51</v>
      </c>
      <c r="K1087" s="125" t="s">
        <v>51</v>
      </c>
      <c r="L1087" s="125" t="s">
        <v>51</v>
      </c>
      <c r="M1087" s="125" t="str">
        <f t="shared" si="1"/>
        <v/>
      </c>
      <c r="N1087" s="125" t="str">
        <f t="shared" si="2"/>
        <v/>
      </c>
      <c r="O1087" s="125"/>
      <c r="P1087" s="125"/>
      <c r="Q1087" s="125"/>
      <c r="R1087" s="125"/>
      <c r="S1087" s="628">
        <f t="shared" si="3"/>
        <v>0</v>
      </c>
      <c r="T1087" s="627" t="s">
        <v>51</v>
      </c>
      <c r="U1087" s="627" t="s">
        <v>51</v>
      </c>
      <c r="V1087" s="627" t="s">
        <v>51</v>
      </c>
      <c r="W1087" s="627" t="s">
        <v>51</v>
      </c>
      <c r="X1087" s="627" t="s">
        <v>51</v>
      </c>
      <c r="Y1087" s="89"/>
    </row>
    <row r="1088" ht="22.5" customHeight="1">
      <c r="A1088" s="223"/>
      <c r="B1088" s="125"/>
      <c r="C1088" s="125"/>
      <c r="D1088" s="125"/>
      <c r="E1088" s="125"/>
      <c r="F1088" s="125"/>
      <c r="G1088" s="125"/>
      <c r="H1088" s="125"/>
      <c r="I1088" s="627" t="s">
        <v>51</v>
      </c>
      <c r="J1088" s="125" t="s">
        <v>51</v>
      </c>
      <c r="K1088" s="125" t="s">
        <v>51</v>
      </c>
      <c r="L1088" s="125" t="s">
        <v>51</v>
      </c>
      <c r="M1088" s="125" t="str">
        <f t="shared" si="1"/>
        <v/>
      </c>
      <c r="N1088" s="125" t="str">
        <f t="shared" si="2"/>
        <v/>
      </c>
      <c r="O1088" s="125"/>
      <c r="P1088" s="125"/>
      <c r="Q1088" s="125"/>
      <c r="R1088" s="125"/>
      <c r="S1088" s="628">
        <f t="shared" si="3"/>
        <v>0</v>
      </c>
      <c r="T1088" s="627" t="s">
        <v>51</v>
      </c>
      <c r="U1088" s="627" t="s">
        <v>51</v>
      </c>
      <c r="V1088" s="627" t="s">
        <v>51</v>
      </c>
      <c r="W1088" s="627" t="s">
        <v>51</v>
      </c>
      <c r="X1088" s="627" t="s">
        <v>51</v>
      </c>
      <c r="Y1088" s="89"/>
    </row>
    <row r="1089" ht="22.5" customHeight="1">
      <c r="A1089" s="223"/>
      <c r="B1089" s="125"/>
      <c r="C1089" s="125"/>
      <c r="D1089" s="125"/>
      <c r="E1089" s="125"/>
      <c r="F1089" s="125"/>
      <c r="G1089" s="125"/>
      <c r="H1089" s="125"/>
      <c r="I1089" s="627" t="s">
        <v>51</v>
      </c>
      <c r="J1089" s="125" t="s">
        <v>51</v>
      </c>
      <c r="K1089" s="125" t="s">
        <v>51</v>
      </c>
      <c r="L1089" s="125" t="s">
        <v>51</v>
      </c>
      <c r="M1089" s="125" t="str">
        <f t="shared" si="1"/>
        <v/>
      </c>
      <c r="N1089" s="125" t="str">
        <f t="shared" si="2"/>
        <v/>
      </c>
      <c r="O1089" s="125"/>
      <c r="P1089" s="125"/>
      <c r="Q1089" s="125"/>
      <c r="R1089" s="125"/>
      <c r="S1089" s="628">
        <f t="shared" si="3"/>
        <v>0</v>
      </c>
      <c r="T1089" s="627" t="s">
        <v>51</v>
      </c>
      <c r="U1089" s="627" t="s">
        <v>51</v>
      </c>
      <c r="V1089" s="627" t="s">
        <v>51</v>
      </c>
      <c r="W1089" s="627" t="s">
        <v>51</v>
      </c>
      <c r="X1089" s="627" t="s">
        <v>51</v>
      </c>
      <c r="Y1089" s="89"/>
    </row>
    <row r="1090" ht="22.5" customHeight="1">
      <c r="A1090" s="223"/>
      <c r="B1090" s="125"/>
      <c r="C1090" s="125"/>
      <c r="D1090" s="125"/>
      <c r="E1090" s="125"/>
      <c r="F1090" s="125"/>
      <c r="G1090" s="125"/>
      <c r="H1090" s="125"/>
      <c r="I1090" s="627" t="s">
        <v>51</v>
      </c>
      <c r="J1090" s="125" t="s">
        <v>51</v>
      </c>
      <c r="K1090" s="125" t="s">
        <v>51</v>
      </c>
      <c r="L1090" s="125" t="s">
        <v>51</v>
      </c>
      <c r="M1090" s="125" t="str">
        <f t="shared" si="1"/>
        <v/>
      </c>
      <c r="N1090" s="125" t="str">
        <f t="shared" si="2"/>
        <v/>
      </c>
      <c r="O1090" s="125"/>
      <c r="P1090" s="125"/>
      <c r="Q1090" s="125"/>
      <c r="R1090" s="125"/>
      <c r="S1090" s="628">
        <f t="shared" si="3"/>
        <v>0</v>
      </c>
      <c r="T1090" s="627" t="s">
        <v>51</v>
      </c>
      <c r="U1090" s="627" t="s">
        <v>51</v>
      </c>
      <c r="V1090" s="627" t="s">
        <v>51</v>
      </c>
      <c r="W1090" s="627" t="s">
        <v>51</v>
      </c>
      <c r="X1090" s="627" t="s">
        <v>51</v>
      </c>
      <c r="Y1090" s="89"/>
    </row>
    <row r="1091" ht="22.5" customHeight="1">
      <c r="A1091" s="223"/>
      <c r="B1091" s="125"/>
      <c r="C1091" s="125"/>
      <c r="D1091" s="125"/>
      <c r="E1091" s="125"/>
      <c r="F1091" s="125"/>
      <c r="G1091" s="125"/>
      <c r="H1091" s="125"/>
      <c r="I1091" s="627" t="s">
        <v>51</v>
      </c>
      <c r="J1091" s="125" t="s">
        <v>51</v>
      </c>
      <c r="K1091" s="125" t="s">
        <v>51</v>
      </c>
      <c r="L1091" s="125" t="s">
        <v>51</v>
      </c>
      <c r="M1091" s="125" t="str">
        <f t="shared" si="1"/>
        <v/>
      </c>
      <c r="N1091" s="125" t="str">
        <f t="shared" si="2"/>
        <v/>
      </c>
      <c r="O1091" s="125"/>
      <c r="P1091" s="125"/>
      <c r="Q1091" s="125"/>
      <c r="R1091" s="125"/>
      <c r="S1091" s="628">
        <f t="shared" si="3"/>
        <v>0</v>
      </c>
      <c r="T1091" s="627" t="s">
        <v>51</v>
      </c>
      <c r="U1091" s="627" t="s">
        <v>51</v>
      </c>
      <c r="V1091" s="627" t="s">
        <v>51</v>
      </c>
      <c r="W1091" s="627" t="s">
        <v>51</v>
      </c>
      <c r="X1091" s="627" t="s">
        <v>51</v>
      </c>
      <c r="Y1091" s="89"/>
    </row>
    <row r="1092" ht="22.5" customHeight="1">
      <c r="A1092" s="223"/>
      <c r="B1092" s="125"/>
      <c r="C1092" s="125"/>
      <c r="D1092" s="125"/>
      <c r="E1092" s="125"/>
      <c r="F1092" s="125"/>
      <c r="G1092" s="125"/>
      <c r="H1092" s="125"/>
      <c r="I1092" s="627" t="s">
        <v>51</v>
      </c>
      <c r="J1092" s="125" t="s">
        <v>51</v>
      </c>
      <c r="K1092" s="125" t="s">
        <v>51</v>
      </c>
      <c r="L1092" s="125" t="s">
        <v>51</v>
      </c>
      <c r="M1092" s="125" t="str">
        <f t="shared" si="1"/>
        <v/>
      </c>
      <c r="N1092" s="125" t="str">
        <f t="shared" si="2"/>
        <v/>
      </c>
      <c r="O1092" s="125"/>
      <c r="P1092" s="125"/>
      <c r="Q1092" s="125"/>
      <c r="R1092" s="125"/>
      <c r="S1092" s="628">
        <f t="shared" si="3"/>
        <v>0</v>
      </c>
      <c r="T1092" s="627" t="s">
        <v>51</v>
      </c>
      <c r="U1092" s="627" t="s">
        <v>51</v>
      </c>
      <c r="V1092" s="627" t="s">
        <v>51</v>
      </c>
      <c r="W1092" s="627" t="s">
        <v>51</v>
      </c>
      <c r="X1092" s="627" t="s">
        <v>51</v>
      </c>
      <c r="Y1092" s="89"/>
    </row>
    <row r="1093" ht="22.5" customHeight="1">
      <c r="A1093" s="223"/>
      <c r="B1093" s="125"/>
      <c r="C1093" s="125"/>
      <c r="D1093" s="125"/>
      <c r="E1093" s="125"/>
      <c r="F1093" s="125"/>
      <c r="G1093" s="125"/>
      <c r="H1093" s="125"/>
      <c r="I1093" s="627" t="s">
        <v>51</v>
      </c>
      <c r="J1093" s="125" t="s">
        <v>51</v>
      </c>
      <c r="K1093" s="125" t="s">
        <v>51</v>
      </c>
      <c r="L1093" s="125" t="s">
        <v>51</v>
      </c>
      <c r="M1093" s="125" t="str">
        <f t="shared" si="1"/>
        <v/>
      </c>
      <c r="N1093" s="125" t="str">
        <f t="shared" si="2"/>
        <v/>
      </c>
      <c r="O1093" s="125"/>
      <c r="P1093" s="125"/>
      <c r="Q1093" s="125"/>
      <c r="R1093" s="125"/>
      <c r="S1093" s="628">
        <f t="shared" si="3"/>
        <v>0</v>
      </c>
      <c r="T1093" s="627" t="s">
        <v>51</v>
      </c>
      <c r="U1093" s="627" t="s">
        <v>51</v>
      </c>
      <c r="V1093" s="627" t="s">
        <v>51</v>
      </c>
      <c r="W1093" s="627" t="s">
        <v>51</v>
      </c>
      <c r="X1093" s="627" t="s">
        <v>51</v>
      </c>
      <c r="Y1093" s="89"/>
    </row>
    <row r="1094" ht="22.5" customHeight="1">
      <c r="A1094" s="223"/>
      <c r="B1094" s="125"/>
      <c r="C1094" s="125"/>
      <c r="D1094" s="125"/>
      <c r="E1094" s="125"/>
      <c r="F1094" s="125"/>
      <c r="G1094" s="125"/>
      <c r="H1094" s="125"/>
      <c r="I1094" s="627" t="s">
        <v>51</v>
      </c>
      <c r="J1094" s="125" t="s">
        <v>51</v>
      </c>
      <c r="K1094" s="125" t="s">
        <v>51</v>
      </c>
      <c r="L1094" s="125" t="s">
        <v>51</v>
      </c>
      <c r="M1094" s="125" t="str">
        <f t="shared" si="1"/>
        <v/>
      </c>
      <c r="N1094" s="125" t="str">
        <f t="shared" si="2"/>
        <v/>
      </c>
      <c r="O1094" s="125"/>
      <c r="P1094" s="125"/>
      <c r="Q1094" s="125"/>
      <c r="R1094" s="125"/>
      <c r="S1094" s="628">
        <f t="shared" si="3"/>
        <v>0</v>
      </c>
      <c r="T1094" s="627" t="s">
        <v>51</v>
      </c>
      <c r="U1094" s="627" t="s">
        <v>51</v>
      </c>
      <c r="V1094" s="627" t="s">
        <v>51</v>
      </c>
      <c r="W1094" s="627" t="s">
        <v>51</v>
      </c>
      <c r="X1094" s="627" t="s">
        <v>51</v>
      </c>
      <c r="Y1094" s="89"/>
    </row>
    <row r="1095" ht="22.5" customHeight="1">
      <c r="A1095" s="223"/>
      <c r="B1095" s="125"/>
      <c r="C1095" s="125"/>
      <c r="D1095" s="125"/>
      <c r="E1095" s="125"/>
      <c r="F1095" s="125"/>
      <c r="G1095" s="125"/>
      <c r="H1095" s="125"/>
      <c r="I1095" s="627" t="s">
        <v>51</v>
      </c>
      <c r="J1095" s="125" t="s">
        <v>51</v>
      </c>
      <c r="K1095" s="125" t="s">
        <v>51</v>
      </c>
      <c r="L1095" s="125" t="s">
        <v>51</v>
      </c>
      <c r="M1095" s="125" t="str">
        <f t="shared" si="1"/>
        <v/>
      </c>
      <c r="N1095" s="125" t="str">
        <f t="shared" si="2"/>
        <v/>
      </c>
      <c r="O1095" s="125"/>
      <c r="P1095" s="125"/>
      <c r="Q1095" s="125"/>
      <c r="R1095" s="125"/>
      <c r="S1095" s="628">
        <f t="shared" si="3"/>
        <v>0</v>
      </c>
      <c r="T1095" s="627" t="s">
        <v>51</v>
      </c>
      <c r="U1095" s="627" t="s">
        <v>51</v>
      </c>
      <c r="V1095" s="627" t="s">
        <v>51</v>
      </c>
      <c r="W1095" s="627" t="s">
        <v>51</v>
      </c>
      <c r="X1095" s="627" t="s">
        <v>51</v>
      </c>
      <c r="Y1095" s="89"/>
    </row>
    <row r="1096" ht="22.5" customHeight="1">
      <c r="A1096" s="223"/>
      <c r="B1096" s="125"/>
      <c r="C1096" s="125"/>
      <c r="D1096" s="125"/>
      <c r="E1096" s="125"/>
      <c r="F1096" s="125"/>
      <c r="G1096" s="125"/>
      <c r="H1096" s="125"/>
      <c r="I1096" s="627" t="s">
        <v>51</v>
      </c>
      <c r="J1096" s="125" t="s">
        <v>51</v>
      </c>
      <c r="K1096" s="125" t="s">
        <v>51</v>
      </c>
      <c r="L1096" s="125" t="s">
        <v>51</v>
      </c>
      <c r="M1096" s="125" t="str">
        <f t="shared" si="1"/>
        <v/>
      </c>
      <c r="N1096" s="125" t="str">
        <f t="shared" si="2"/>
        <v/>
      </c>
      <c r="O1096" s="125"/>
      <c r="P1096" s="125"/>
      <c r="Q1096" s="125"/>
      <c r="R1096" s="125"/>
      <c r="S1096" s="628">
        <f t="shared" si="3"/>
        <v>0</v>
      </c>
      <c r="T1096" s="627" t="s">
        <v>51</v>
      </c>
      <c r="U1096" s="627" t="s">
        <v>51</v>
      </c>
      <c r="V1096" s="627" t="s">
        <v>51</v>
      </c>
      <c r="W1096" s="627" t="s">
        <v>51</v>
      </c>
      <c r="X1096" s="627" t="s">
        <v>51</v>
      </c>
      <c r="Y1096" s="89"/>
    </row>
    <row r="1097" ht="22.5" customHeight="1">
      <c r="A1097" s="223"/>
      <c r="B1097" s="125"/>
      <c r="C1097" s="125"/>
      <c r="D1097" s="125"/>
      <c r="E1097" s="125"/>
      <c r="F1097" s="125"/>
      <c r="G1097" s="125"/>
      <c r="H1097" s="125"/>
      <c r="I1097" s="627" t="s">
        <v>51</v>
      </c>
      <c r="J1097" s="125" t="s">
        <v>51</v>
      </c>
      <c r="K1097" s="125" t="s">
        <v>51</v>
      </c>
      <c r="L1097" s="125" t="s">
        <v>51</v>
      </c>
      <c r="M1097" s="125" t="str">
        <f t="shared" si="1"/>
        <v/>
      </c>
      <c r="N1097" s="125" t="str">
        <f t="shared" si="2"/>
        <v/>
      </c>
      <c r="O1097" s="125"/>
      <c r="P1097" s="125"/>
      <c r="Q1097" s="125"/>
      <c r="R1097" s="125"/>
      <c r="S1097" s="628">
        <f t="shared" si="3"/>
        <v>0</v>
      </c>
      <c r="T1097" s="627" t="s">
        <v>51</v>
      </c>
      <c r="U1097" s="627" t="s">
        <v>51</v>
      </c>
      <c r="V1097" s="627" t="s">
        <v>51</v>
      </c>
      <c r="W1097" s="627" t="s">
        <v>51</v>
      </c>
      <c r="X1097" s="627" t="s">
        <v>51</v>
      </c>
      <c r="Y1097" s="89"/>
    </row>
    <row r="1098" ht="22.5" customHeight="1">
      <c r="A1098" s="223"/>
      <c r="B1098" s="125"/>
      <c r="C1098" s="125"/>
      <c r="D1098" s="125"/>
      <c r="E1098" s="125"/>
      <c r="F1098" s="125"/>
      <c r="G1098" s="125"/>
      <c r="H1098" s="125"/>
      <c r="I1098" s="627" t="s">
        <v>51</v>
      </c>
      <c r="J1098" s="125" t="s">
        <v>51</v>
      </c>
      <c r="K1098" s="125" t="s">
        <v>51</v>
      </c>
      <c r="L1098" s="125" t="s">
        <v>51</v>
      </c>
      <c r="M1098" s="125" t="str">
        <f t="shared" si="1"/>
        <v/>
      </c>
      <c r="N1098" s="125" t="str">
        <f t="shared" si="2"/>
        <v/>
      </c>
      <c r="O1098" s="125"/>
      <c r="P1098" s="125"/>
      <c r="Q1098" s="125"/>
      <c r="R1098" s="125"/>
      <c r="S1098" s="628">
        <f t="shared" si="3"/>
        <v>0</v>
      </c>
      <c r="T1098" s="627" t="s">
        <v>51</v>
      </c>
      <c r="U1098" s="627" t="s">
        <v>51</v>
      </c>
      <c r="V1098" s="627" t="s">
        <v>51</v>
      </c>
      <c r="W1098" s="627" t="s">
        <v>51</v>
      </c>
      <c r="X1098" s="627" t="s">
        <v>51</v>
      </c>
      <c r="Y1098" s="89"/>
    </row>
    <row r="1099" ht="22.5" customHeight="1">
      <c r="A1099" s="223"/>
      <c r="B1099" s="125"/>
      <c r="C1099" s="125"/>
      <c r="D1099" s="125"/>
      <c r="E1099" s="125"/>
      <c r="F1099" s="125"/>
      <c r="G1099" s="125"/>
      <c r="H1099" s="125"/>
      <c r="I1099" s="627" t="s">
        <v>51</v>
      </c>
      <c r="J1099" s="125" t="s">
        <v>51</v>
      </c>
      <c r="K1099" s="125" t="s">
        <v>51</v>
      </c>
      <c r="L1099" s="125" t="s">
        <v>51</v>
      </c>
      <c r="M1099" s="125" t="str">
        <f t="shared" si="1"/>
        <v/>
      </c>
      <c r="N1099" s="125" t="str">
        <f t="shared" si="2"/>
        <v/>
      </c>
      <c r="O1099" s="125"/>
      <c r="P1099" s="125"/>
      <c r="Q1099" s="125"/>
      <c r="R1099" s="125"/>
      <c r="S1099" s="628">
        <f t="shared" si="3"/>
        <v>0</v>
      </c>
      <c r="T1099" s="627" t="s">
        <v>51</v>
      </c>
      <c r="U1099" s="627" t="s">
        <v>51</v>
      </c>
      <c r="V1099" s="627" t="s">
        <v>51</v>
      </c>
      <c r="W1099" s="627" t="s">
        <v>51</v>
      </c>
      <c r="X1099" s="627" t="s">
        <v>51</v>
      </c>
      <c r="Y1099" s="89"/>
    </row>
    <row r="1100" ht="22.5" customHeight="1">
      <c r="A1100" s="223"/>
      <c r="B1100" s="125"/>
      <c r="C1100" s="125"/>
      <c r="D1100" s="125"/>
      <c r="E1100" s="125"/>
      <c r="F1100" s="125"/>
      <c r="G1100" s="125"/>
      <c r="H1100" s="125"/>
      <c r="I1100" s="627" t="s">
        <v>51</v>
      </c>
      <c r="J1100" s="125" t="s">
        <v>51</v>
      </c>
      <c r="K1100" s="125" t="s">
        <v>51</v>
      </c>
      <c r="L1100" s="125" t="s">
        <v>51</v>
      </c>
      <c r="M1100" s="125" t="str">
        <f t="shared" si="1"/>
        <v/>
      </c>
      <c r="N1100" s="125" t="str">
        <f t="shared" si="2"/>
        <v/>
      </c>
      <c r="O1100" s="125"/>
      <c r="P1100" s="125"/>
      <c r="Q1100" s="125"/>
      <c r="R1100" s="125"/>
      <c r="S1100" s="628">
        <f t="shared" si="3"/>
        <v>0</v>
      </c>
      <c r="T1100" s="627" t="s">
        <v>51</v>
      </c>
      <c r="U1100" s="627" t="s">
        <v>51</v>
      </c>
      <c r="V1100" s="627" t="s">
        <v>51</v>
      </c>
      <c r="W1100" s="627" t="s">
        <v>51</v>
      </c>
      <c r="X1100" s="627" t="s">
        <v>51</v>
      </c>
      <c r="Y1100" s="89"/>
    </row>
    <row r="1101" ht="22.5" customHeight="1">
      <c r="A1101" s="223"/>
      <c r="B1101" s="125"/>
      <c r="C1101" s="125"/>
      <c r="D1101" s="125"/>
      <c r="E1101" s="125"/>
      <c r="F1101" s="125"/>
      <c r="G1101" s="125"/>
      <c r="H1101" s="125"/>
      <c r="I1101" s="627" t="s">
        <v>51</v>
      </c>
      <c r="J1101" s="125" t="s">
        <v>51</v>
      </c>
      <c r="K1101" s="125" t="s">
        <v>51</v>
      </c>
      <c r="L1101" s="125" t="s">
        <v>51</v>
      </c>
      <c r="M1101" s="125" t="str">
        <f t="shared" si="1"/>
        <v/>
      </c>
      <c r="N1101" s="125" t="str">
        <f t="shared" si="2"/>
        <v/>
      </c>
      <c r="O1101" s="125"/>
      <c r="P1101" s="125"/>
      <c r="Q1101" s="125"/>
      <c r="R1101" s="125"/>
      <c r="S1101" s="628">
        <f t="shared" si="3"/>
        <v>0</v>
      </c>
      <c r="T1101" s="627" t="s">
        <v>51</v>
      </c>
      <c r="U1101" s="627" t="s">
        <v>51</v>
      </c>
      <c r="V1101" s="627" t="s">
        <v>51</v>
      </c>
      <c r="W1101" s="627" t="s">
        <v>51</v>
      </c>
      <c r="X1101" s="627" t="s">
        <v>51</v>
      </c>
      <c r="Y1101" s="89"/>
    </row>
    <row r="1102" ht="22.5" customHeight="1">
      <c r="A1102" s="223"/>
      <c r="B1102" s="125"/>
      <c r="C1102" s="125"/>
      <c r="D1102" s="125"/>
      <c r="E1102" s="125"/>
      <c r="F1102" s="125"/>
      <c r="G1102" s="125"/>
      <c r="H1102" s="125"/>
      <c r="I1102" s="627" t="s">
        <v>51</v>
      </c>
      <c r="J1102" s="125" t="s">
        <v>51</v>
      </c>
      <c r="K1102" s="125" t="s">
        <v>51</v>
      </c>
      <c r="L1102" s="125" t="s">
        <v>51</v>
      </c>
      <c r="M1102" s="125" t="str">
        <f t="shared" si="1"/>
        <v/>
      </c>
      <c r="N1102" s="125" t="str">
        <f t="shared" si="2"/>
        <v/>
      </c>
      <c r="O1102" s="125"/>
      <c r="P1102" s="125"/>
      <c r="Q1102" s="125"/>
      <c r="R1102" s="125"/>
      <c r="S1102" s="628">
        <f t="shared" si="3"/>
        <v>0</v>
      </c>
      <c r="T1102" s="627" t="s">
        <v>51</v>
      </c>
      <c r="U1102" s="627" t="s">
        <v>51</v>
      </c>
      <c r="V1102" s="627" t="s">
        <v>51</v>
      </c>
      <c r="W1102" s="627" t="s">
        <v>51</v>
      </c>
      <c r="X1102" s="627" t="s">
        <v>51</v>
      </c>
      <c r="Y1102" s="89"/>
    </row>
    <row r="1103" ht="22.5" customHeight="1">
      <c r="A1103" s="223"/>
      <c r="B1103" s="125"/>
      <c r="C1103" s="125"/>
      <c r="D1103" s="125"/>
      <c r="E1103" s="125"/>
      <c r="F1103" s="125"/>
      <c r="G1103" s="125"/>
      <c r="H1103" s="125"/>
      <c r="I1103" s="627" t="s">
        <v>51</v>
      </c>
      <c r="J1103" s="125" t="s">
        <v>51</v>
      </c>
      <c r="K1103" s="125" t="s">
        <v>51</v>
      </c>
      <c r="L1103" s="125" t="s">
        <v>51</v>
      </c>
      <c r="M1103" s="125" t="str">
        <f t="shared" si="1"/>
        <v/>
      </c>
      <c r="N1103" s="125" t="str">
        <f t="shared" si="2"/>
        <v/>
      </c>
      <c r="O1103" s="125"/>
      <c r="P1103" s="125"/>
      <c r="Q1103" s="125"/>
      <c r="R1103" s="125"/>
      <c r="S1103" s="628">
        <f t="shared" si="3"/>
        <v>0</v>
      </c>
      <c r="T1103" s="627" t="s">
        <v>51</v>
      </c>
      <c r="U1103" s="627" t="s">
        <v>51</v>
      </c>
      <c r="V1103" s="627" t="s">
        <v>51</v>
      </c>
      <c r="W1103" s="627" t="s">
        <v>51</v>
      </c>
      <c r="X1103" s="627" t="s">
        <v>51</v>
      </c>
      <c r="Y1103" s="89"/>
    </row>
    <row r="1104" ht="22.5" customHeight="1">
      <c r="A1104" s="223"/>
      <c r="B1104" s="125"/>
      <c r="C1104" s="125"/>
      <c r="D1104" s="125"/>
      <c r="E1104" s="125"/>
      <c r="F1104" s="125"/>
      <c r="G1104" s="125"/>
      <c r="H1104" s="125"/>
      <c r="I1104" s="627" t="s">
        <v>51</v>
      </c>
      <c r="J1104" s="125" t="s">
        <v>51</v>
      </c>
      <c r="K1104" s="125" t="s">
        <v>51</v>
      </c>
      <c r="L1104" s="125" t="s">
        <v>51</v>
      </c>
      <c r="M1104" s="125" t="str">
        <f t="shared" si="1"/>
        <v/>
      </c>
      <c r="N1104" s="125" t="str">
        <f t="shared" si="2"/>
        <v/>
      </c>
      <c r="O1104" s="125"/>
      <c r="P1104" s="125"/>
      <c r="Q1104" s="125"/>
      <c r="R1104" s="125"/>
      <c r="S1104" s="628">
        <f t="shared" si="3"/>
        <v>0</v>
      </c>
      <c r="T1104" s="627" t="s">
        <v>51</v>
      </c>
      <c r="U1104" s="627" t="s">
        <v>51</v>
      </c>
      <c r="V1104" s="627" t="s">
        <v>51</v>
      </c>
      <c r="W1104" s="627" t="s">
        <v>51</v>
      </c>
      <c r="X1104" s="627" t="s">
        <v>51</v>
      </c>
      <c r="Y1104" s="89"/>
    </row>
    <row r="1105" ht="22.5" customHeight="1">
      <c r="A1105" s="223"/>
      <c r="B1105" s="125"/>
      <c r="C1105" s="125"/>
      <c r="D1105" s="125"/>
      <c r="E1105" s="125"/>
      <c r="F1105" s="125"/>
      <c r="G1105" s="125"/>
      <c r="H1105" s="125"/>
      <c r="I1105" s="627" t="s">
        <v>51</v>
      </c>
      <c r="J1105" s="125" t="s">
        <v>51</v>
      </c>
      <c r="K1105" s="125" t="s">
        <v>51</v>
      </c>
      <c r="L1105" s="125" t="s">
        <v>51</v>
      </c>
      <c r="M1105" s="125" t="str">
        <f t="shared" si="1"/>
        <v/>
      </c>
      <c r="N1105" s="125" t="str">
        <f t="shared" si="2"/>
        <v/>
      </c>
      <c r="O1105" s="125"/>
      <c r="P1105" s="125"/>
      <c r="Q1105" s="125"/>
      <c r="R1105" s="125"/>
      <c r="S1105" s="628">
        <f t="shared" si="3"/>
        <v>0</v>
      </c>
      <c r="T1105" s="627" t="s">
        <v>51</v>
      </c>
      <c r="U1105" s="627" t="s">
        <v>51</v>
      </c>
      <c r="V1105" s="627" t="s">
        <v>51</v>
      </c>
      <c r="W1105" s="627" t="s">
        <v>51</v>
      </c>
      <c r="X1105" s="627" t="s">
        <v>51</v>
      </c>
      <c r="Y1105" s="89"/>
    </row>
    <row r="1106" ht="22.5" customHeight="1">
      <c r="A1106" s="223"/>
      <c r="B1106" s="125"/>
      <c r="C1106" s="125"/>
      <c r="D1106" s="125"/>
      <c r="E1106" s="125"/>
      <c r="F1106" s="125"/>
      <c r="G1106" s="125"/>
      <c r="H1106" s="125"/>
      <c r="I1106" s="627" t="s">
        <v>51</v>
      </c>
      <c r="J1106" s="125" t="s">
        <v>51</v>
      </c>
      <c r="K1106" s="125" t="s">
        <v>51</v>
      </c>
      <c r="L1106" s="125" t="s">
        <v>51</v>
      </c>
      <c r="M1106" s="125" t="str">
        <f t="shared" si="1"/>
        <v/>
      </c>
      <c r="N1106" s="125" t="str">
        <f t="shared" si="2"/>
        <v/>
      </c>
      <c r="O1106" s="125"/>
      <c r="P1106" s="125"/>
      <c r="Q1106" s="125"/>
      <c r="R1106" s="125"/>
      <c r="S1106" s="628">
        <f t="shared" si="3"/>
        <v>0</v>
      </c>
      <c r="T1106" s="627" t="s">
        <v>51</v>
      </c>
      <c r="U1106" s="627" t="s">
        <v>51</v>
      </c>
      <c r="V1106" s="627" t="s">
        <v>51</v>
      </c>
      <c r="W1106" s="627" t="s">
        <v>51</v>
      </c>
      <c r="X1106" s="627" t="s">
        <v>51</v>
      </c>
      <c r="Y1106" s="89"/>
    </row>
    <row r="1107" ht="22.5" customHeight="1">
      <c r="A1107" s="223"/>
      <c r="B1107" s="125"/>
      <c r="C1107" s="125"/>
      <c r="D1107" s="125"/>
      <c r="E1107" s="125"/>
      <c r="F1107" s="125"/>
      <c r="G1107" s="125"/>
      <c r="H1107" s="125"/>
      <c r="I1107" s="627" t="s">
        <v>51</v>
      </c>
      <c r="J1107" s="125" t="s">
        <v>51</v>
      </c>
      <c r="K1107" s="125" t="s">
        <v>51</v>
      </c>
      <c r="L1107" s="125" t="s">
        <v>51</v>
      </c>
      <c r="M1107" s="125" t="str">
        <f t="shared" si="1"/>
        <v/>
      </c>
      <c r="N1107" s="125" t="str">
        <f t="shared" si="2"/>
        <v/>
      </c>
      <c r="O1107" s="125"/>
      <c r="P1107" s="125"/>
      <c r="Q1107" s="125"/>
      <c r="R1107" s="125"/>
      <c r="S1107" s="628">
        <f t="shared" si="3"/>
        <v>0</v>
      </c>
      <c r="T1107" s="627" t="s">
        <v>51</v>
      </c>
      <c r="U1107" s="627" t="s">
        <v>51</v>
      </c>
      <c r="V1107" s="627" t="s">
        <v>51</v>
      </c>
      <c r="W1107" s="627" t="s">
        <v>51</v>
      </c>
      <c r="X1107" s="627" t="s">
        <v>51</v>
      </c>
      <c r="Y1107" s="89"/>
    </row>
    <row r="1108" ht="22.5" customHeight="1">
      <c r="A1108" s="223"/>
      <c r="B1108" s="125"/>
      <c r="C1108" s="125"/>
      <c r="D1108" s="125"/>
      <c r="E1108" s="125"/>
      <c r="F1108" s="125"/>
      <c r="G1108" s="125"/>
      <c r="H1108" s="125"/>
      <c r="I1108" s="627" t="s">
        <v>51</v>
      </c>
      <c r="J1108" s="125" t="s">
        <v>51</v>
      </c>
      <c r="K1108" s="125" t="s">
        <v>51</v>
      </c>
      <c r="L1108" s="125" t="s">
        <v>51</v>
      </c>
      <c r="M1108" s="125" t="str">
        <f t="shared" si="1"/>
        <v/>
      </c>
      <c r="N1108" s="125" t="str">
        <f t="shared" si="2"/>
        <v/>
      </c>
      <c r="O1108" s="125"/>
      <c r="P1108" s="125"/>
      <c r="Q1108" s="125"/>
      <c r="R1108" s="125"/>
      <c r="S1108" s="628">
        <f t="shared" si="3"/>
        <v>0</v>
      </c>
      <c r="T1108" s="627" t="s">
        <v>51</v>
      </c>
      <c r="U1108" s="627" t="s">
        <v>51</v>
      </c>
      <c r="V1108" s="627" t="s">
        <v>51</v>
      </c>
      <c r="W1108" s="627" t="s">
        <v>51</v>
      </c>
      <c r="X1108" s="627" t="s">
        <v>51</v>
      </c>
      <c r="Y1108" s="89"/>
    </row>
    <row r="1109" ht="22.5" customHeight="1">
      <c r="A1109" s="223"/>
      <c r="B1109" s="125"/>
      <c r="C1109" s="125"/>
      <c r="D1109" s="125"/>
      <c r="E1109" s="125"/>
      <c r="F1109" s="125"/>
      <c r="G1109" s="125"/>
      <c r="H1109" s="125"/>
      <c r="I1109" s="627" t="s">
        <v>51</v>
      </c>
      <c r="J1109" s="125" t="s">
        <v>51</v>
      </c>
      <c r="K1109" s="125" t="s">
        <v>51</v>
      </c>
      <c r="L1109" s="125" t="s">
        <v>51</v>
      </c>
      <c r="M1109" s="125" t="str">
        <f t="shared" si="1"/>
        <v/>
      </c>
      <c r="N1109" s="125" t="str">
        <f t="shared" si="2"/>
        <v/>
      </c>
      <c r="O1109" s="125"/>
      <c r="P1109" s="125"/>
      <c r="Q1109" s="125"/>
      <c r="R1109" s="125"/>
      <c r="S1109" s="628">
        <f t="shared" si="3"/>
        <v>0</v>
      </c>
      <c r="T1109" s="627" t="s">
        <v>51</v>
      </c>
      <c r="U1109" s="627" t="s">
        <v>51</v>
      </c>
      <c r="V1109" s="627" t="s">
        <v>51</v>
      </c>
      <c r="W1109" s="627" t="s">
        <v>51</v>
      </c>
      <c r="X1109" s="627" t="s">
        <v>51</v>
      </c>
      <c r="Y1109" s="89"/>
    </row>
    <row r="1110" ht="22.5" customHeight="1">
      <c r="A1110" s="223"/>
      <c r="B1110" s="125"/>
      <c r="C1110" s="125"/>
      <c r="D1110" s="125"/>
      <c r="E1110" s="125"/>
      <c r="F1110" s="125"/>
      <c r="G1110" s="125"/>
      <c r="H1110" s="125"/>
      <c r="I1110" s="627" t="s">
        <v>51</v>
      </c>
      <c r="J1110" s="125" t="s">
        <v>51</v>
      </c>
      <c r="K1110" s="125" t="s">
        <v>51</v>
      </c>
      <c r="L1110" s="125" t="s">
        <v>51</v>
      </c>
      <c r="M1110" s="125" t="str">
        <f t="shared" si="1"/>
        <v/>
      </c>
      <c r="N1110" s="125" t="str">
        <f t="shared" si="2"/>
        <v/>
      </c>
      <c r="O1110" s="125"/>
      <c r="P1110" s="125"/>
      <c r="Q1110" s="125"/>
      <c r="R1110" s="125"/>
      <c r="S1110" s="628">
        <f t="shared" si="3"/>
        <v>0</v>
      </c>
      <c r="T1110" s="627" t="s">
        <v>51</v>
      </c>
      <c r="U1110" s="627" t="s">
        <v>51</v>
      </c>
      <c r="V1110" s="627" t="s">
        <v>51</v>
      </c>
      <c r="W1110" s="627" t="s">
        <v>51</v>
      </c>
      <c r="X1110" s="627" t="s">
        <v>51</v>
      </c>
      <c r="Y1110" s="89"/>
    </row>
    <row r="1111" ht="22.5" customHeight="1">
      <c r="A1111" s="223"/>
      <c r="B1111" s="125"/>
      <c r="C1111" s="125"/>
      <c r="D1111" s="125"/>
      <c r="E1111" s="125"/>
      <c r="F1111" s="125"/>
      <c r="G1111" s="125"/>
      <c r="H1111" s="125"/>
      <c r="I1111" s="627" t="s">
        <v>51</v>
      </c>
      <c r="J1111" s="125" t="s">
        <v>51</v>
      </c>
      <c r="K1111" s="125" t="s">
        <v>51</v>
      </c>
      <c r="L1111" s="125" t="s">
        <v>51</v>
      </c>
      <c r="M1111" s="125" t="str">
        <f t="shared" si="1"/>
        <v/>
      </c>
      <c r="N1111" s="125" t="str">
        <f t="shared" si="2"/>
        <v/>
      </c>
      <c r="O1111" s="125"/>
      <c r="P1111" s="125"/>
      <c r="Q1111" s="125"/>
      <c r="R1111" s="125"/>
      <c r="S1111" s="628">
        <f t="shared" si="3"/>
        <v>0</v>
      </c>
      <c r="T1111" s="627" t="s">
        <v>51</v>
      </c>
      <c r="U1111" s="627" t="s">
        <v>51</v>
      </c>
      <c r="V1111" s="627" t="s">
        <v>51</v>
      </c>
      <c r="W1111" s="627" t="s">
        <v>51</v>
      </c>
      <c r="X1111" s="627" t="s">
        <v>51</v>
      </c>
      <c r="Y1111" s="89"/>
    </row>
    <row r="1112" ht="22.5" customHeight="1">
      <c r="A1112" s="223"/>
      <c r="B1112" s="125"/>
      <c r="C1112" s="125"/>
      <c r="D1112" s="125"/>
      <c r="E1112" s="125"/>
      <c r="F1112" s="125"/>
      <c r="G1112" s="125"/>
      <c r="H1112" s="125"/>
      <c r="I1112" s="627" t="s">
        <v>51</v>
      </c>
      <c r="J1112" s="125" t="s">
        <v>51</v>
      </c>
      <c r="K1112" s="125" t="s">
        <v>51</v>
      </c>
      <c r="L1112" s="125" t="s">
        <v>51</v>
      </c>
      <c r="M1112" s="125" t="str">
        <f t="shared" si="1"/>
        <v/>
      </c>
      <c r="N1112" s="125" t="str">
        <f t="shared" si="2"/>
        <v/>
      </c>
      <c r="O1112" s="125"/>
      <c r="P1112" s="125"/>
      <c r="Q1112" s="125"/>
      <c r="R1112" s="125"/>
      <c r="S1112" s="628">
        <f t="shared" si="3"/>
        <v>0</v>
      </c>
      <c r="T1112" s="627" t="s">
        <v>51</v>
      </c>
      <c r="U1112" s="627" t="s">
        <v>51</v>
      </c>
      <c r="V1112" s="627" t="s">
        <v>51</v>
      </c>
      <c r="W1112" s="627" t="s">
        <v>51</v>
      </c>
      <c r="X1112" s="627" t="s">
        <v>51</v>
      </c>
      <c r="Y1112" s="89"/>
    </row>
    <row r="1113" ht="22.5" customHeight="1">
      <c r="A1113" s="223"/>
      <c r="B1113" s="125"/>
      <c r="C1113" s="125"/>
      <c r="D1113" s="125"/>
      <c r="E1113" s="125"/>
      <c r="F1113" s="125"/>
      <c r="G1113" s="125"/>
      <c r="H1113" s="125"/>
      <c r="I1113" s="627" t="s">
        <v>51</v>
      </c>
      <c r="J1113" s="125" t="s">
        <v>51</v>
      </c>
      <c r="K1113" s="125" t="s">
        <v>51</v>
      </c>
      <c r="L1113" s="125" t="s">
        <v>51</v>
      </c>
      <c r="M1113" s="125" t="str">
        <f t="shared" si="1"/>
        <v/>
      </c>
      <c r="N1113" s="125" t="str">
        <f t="shared" si="2"/>
        <v/>
      </c>
      <c r="O1113" s="125"/>
      <c r="P1113" s="125"/>
      <c r="Q1113" s="125"/>
      <c r="R1113" s="125"/>
      <c r="S1113" s="628">
        <f t="shared" si="3"/>
        <v>0</v>
      </c>
      <c r="T1113" s="627" t="s">
        <v>51</v>
      </c>
      <c r="U1113" s="627" t="s">
        <v>51</v>
      </c>
      <c r="V1113" s="627" t="s">
        <v>51</v>
      </c>
      <c r="W1113" s="627" t="s">
        <v>51</v>
      </c>
      <c r="X1113" s="627" t="s">
        <v>51</v>
      </c>
      <c r="Y1113" s="89"/>
    </row>
    <row r="1114" ht="22.5" customHeight="1">
      <c r="A1114" s="223"/>
      <c r="B1114" s="125"/>
      <c r="C1114" s="125"/>
      <c r="D1114" s="125"/>
      <c r="E1114" s="125"/>
      <c r="F1114" s="125"/>
      <c r="G1114" s="125"/>
      <c r="H1114" s="125"/>
      <c r="I1114" s="627" t="s">
        <v>51</v>
      </c>
      <c r="J1114" s="125" t="s">
        <v>51</v>
      </c>
      <c r="K1114" s="125" t="s">
        <v>51</v>
      </c>
      <c r="L1114" s="125" t="s">
        <v>51</v>
      </c>
      <c r="M1114" s="125" t="str">
        <f t="shared" si="1"/>
        <v/>
      </c>
      <c r="N1114" s="125" t="str">
        <f t="shared" si="2"/>
        <v/>
      </c>
      <c r="O1114" s="125"/>
      <c r="P1114" s="125"/>
      <c r="Q1114" s="125"/>
      <c r="R1114" s="125"/>
      <c r="S1114" s="628">
        <f t="shared" si="3"/>
        <v>0</v>
      </c>
      <c r="T1114" s="627" t="s">
        <v>51</v>
      </c>
      <c r="U1114" s="627" t="s">
        <v>51</v>
      </c>
      <c r="V1114" s="627" t="s">
        <v>51</v>
      </c>
      <c r="W1114" s="627" t="s">
        <v>51</v>
      </c>
      <c r="X1114" s="627" t="s">
        <v>51</v>
      </c>
      <c r="Y1114" s="89"/>
    </row>
    <row r="1115" ht="22.5" customHeight="1">
      <c r="A1115" s="223"/>
      <c r="B1115" s="125"/>
      <c r="C1115" s="125"/>
      <c r="D1115" s="125"/>
      <c r="E1115" s="125"/>
      <c r="F1115" s="125"/>
      <c r="G1115" s="125"/>
      <c r="H1115" s="125"/>
      <c r="I1115" s="627" t="s">
        <v>51</v>
      </c>
      <c r="J1115" s="125" t="s">
        <v>51</v>
      </c>
      <c r="K1115" s="125" t="s">
        <v>51</v>
      </c>
      <c r="L1115" s="125" t="s">
        <v>51</v>
      </c>
      <c r="M1115" s="125" t="str">
        <f t="shared" si="1"/>
        <v/>
      </c>
      <c r="N1115" s="125" t="str">
        <f t="shared" si="2"/>
        <v/>
      </c>
      <c r="O1115" s="125"/>
      <c r="P1115" s="125"/>
      <c r="Q1115" s="125"/>
      <c r="R1115" s="125"/>
      <c r="S1115" s="628">
        <f t="shared" si="3"/>
        <v>0</v>
      </c>
      <c r="T1115" s="627" t="s">
        <v>51</v>
      </c>
      <c r="U1115" s="627" t="s">
        <v>51</v>
      </c>
      <c r="V1115" s="627" t="s">
        <v>51</v>
      </c>
      <c r="W1115" s="627" t="s">
        <v>51</v>
      </c>
      <c r="X1115" s="627" t="s">
        <v>51</v>
      </c>
      <c r="Y1115" s="89"/>
    </row>
    <row r="1116" ht="22.5" customHeight="1">
      <c r="A1116" s="223"/>
      <c r="B1116" s="125"/>
      <c r="C1116" s="125"/>
      <c r="D1116" s="125"/>
      <c r="E1116" s="125"/>
      <c r="F1116" s="125"/>
      <c r="G1116" s="125"/>
      <c r="H1116" s="125"/>
      <c r="I1116" s="627" t="s">
        <v>51</v>
      </c>
      <c r="J1116" s="125" t="s">
        <v>51</v>
      </c>
      <c r="K1116" s="125" t="s">
        <v>51</v>
      </c>
      <c r="L1116" s="125" t="s">
        <v>51</v>
      </c>
      <c r="M1116" s="125" t="str">
        <f t="shared" si="1"/>
        <v/>
      </c>
      <c r="N1116" s="125" t="str">
        <f t="shared" si="2"/>
        <v/>
      </c>
      <c r="O1116" s="125"/>
      <c r="P1116" s="125"/>
      <c r="Q1116" s="125"/>
      <c r="R1116" s="125"/>
      <c r="S1116" s="628">
        <f t="shared" si="3"/>
        <v>0</v>
      </c>
      <c r="T1116" s="627" t="s">
        <v>51</v>
      </c>
      <c r="U1116" s="627" t="s">
        <v>51</v>
      </c>
      <c r="V1116" s="627" t="s">
        <v>51</v>
      </c>
      <c r="W1116" s="627" t="s">
        <v>51</v>
      </c>
      <c r="X1116" s="627" t="s">
        <v>51</v>
      </c>
      <c r="Y1116" s="89"/>
    </row>
    <row r="1117" ht="22.5" customHeight="1">
      <c r="A1117" s="223"/>
      <c r="B1117" s="125"/>
      <c r="C1117" s="125"/>
      <c r="D1117" s="125"/>
      <c r="E1117" s="125"/>
      <c r="F1117" s="125"/>
      <c r="G1117" s="125"/>
      <c r="H1117" s="125"/>
      <c r="I1117" s="627" t="s">
        <v>51</v>
      </c>
      <c r="J1117" s="125" t="s">
        <v>51</v>
      </c>
      <c r="K1117" s="125" t="s">
        <v>51</v>
      </c>
      <c r="L1117" s="125" t="s">
        <v>51</v>
      </c>
      <c r="M1117" s="125" t="str">
        <f t="shared" si="1"/>
        <v/>
      </c>
      <c r="N1117" s="125" t="str">
        <f t="shared" si="2"/>
        <v/>
      </c>
      <c r="O1117" s="125"/>
      <c r="P1117" s="125"/>
      <c r="Q1117" s="125"/>
      <c r="R1117" s="125"/>
      <c r="S1117" s="628">
        <f t="shared" si="3"/>
        <v>0</v>
      </c>
      <c r="T1117" s="627" t="s">
        <v>51</v>
      </c>
      <c r="U1117" s="627" t="s">
        <v>51</v>
      </c>
      <c r="V1117" s="627" t="s">
        <v>51</v>
      </c>
      <c r="W1117" s="627" t="s">
        <v>51</v>
      </c>
      <c r="X1117" s="627" t="s">
        <v>51</v>
      </c>
      <c r="Y1117" s="89"/>
    </row>
    <row r="1118" ht="22.5" customHeight="1">
      <c r="A1118" s="223"/>
      <c r="B1118" s="125"/>
      <c r="C1118" s="125"/>
      <c r="D1118" s="125"/>
      <c r="E1118" s="125"/>
      <c r="F1118" s="125"/>
      <c r="G1118" s="125"/>
      <c r="H1118" s="125"/>
      <c r="I1118" s="627" t="s">
        <v>51</v>
      </c>
      <c r="J1118" s="125" t="s">
        <v>51</v>
      </c>
      <c r="K1118" s="125" t="s">
        <v>51</v>
      </c>
      <c r="L1118" s="125" t="s">
        <v>51</v>
      </c>
      <c r="M1118" s="125" t="str">
        <f t="shared" si="1"/>
        <v/>
      </c>
      <c r="N1118" s="125" t="str">
        <f t="shared" si="2"/>
        <v/>
      </c>
      <c r="O1118" s="125"/>
      <c r="P1118" s="125"/>
      <c r="Q1118" s="125"/>
      <c r="R1118" s="125"/>
      <c r="S1118" s="628">
        <f t="shared" si="3"/>
        <v>0</v>
      </c>
      <c r="T1118" s="627" t="s">
        <v>51</v>
      </c>
      <c r="U1118" s="627" t="s">
        <v>51</v>
      </c>
      <c r="V1118" s="627" t="s">
        <v>51</v>
      </c>
      <c r="W1118" s="627" t="s">
        <v>51</v>
      </c>
      <c r="X1118" s="627" t="s">
        <v>51</v>
      </c>
      <c r="Y1118" s="89"/>
    </row>
    <row r="1119" ht="22.5" customHeight="1">
      <c r="A1119" s="223"/>
      <c r="B1119" s="125"/>
      <c r="C1119" s="125"/>
      <c r="D1119" s="125"/>
      <c r="E1119" s="125"/>
      <c r="F1119" s="125"/>
      <c r="G1119" s="125"/>
      <c r="H1119" s="125"/>
      <c r="I1119" s="627" t="s">
        <v>51</v>
      </c>
      <c r="J1119" s="125" t="s">
        <v>51</v>
      </c>
      <c r="K1119" s="125" t="s">
        <v>51</v>
      </c>
      <c r="L1119" s="125" t="s">
        <v>51</v>
      </c>
      <c r="M1119" s="125" t="str">
        <f t="shared" si="1"/>
        <v/>
      </c>
      <c r="N1119" s="125" t="str">
        <f t="shared" si="2"/>
        <v/>
      </c>
      <c r="O1119" s="125"/>
      <c r="P1119" s="125"/>
      <c r="Q1119" s="125"/>
      <c r="R1119" s="125"/>
      <c r="S1119" s="628">
        <f t="shared" si="3"/>
        <v>0</v>
      </c>
      <c r="T1119" s="627" t="s">
        <v>51</v>
      </c>
      <c r="U1119" s="627" t="s">
        <v>51</v>
      </c>
      <c r="V1119" s="627" t="s">
        <v>51</v>
      </c>
      <c r="W1119" s="627" t="s">
        <v>51</v>
      </c>
      <c r="X1119" s="627" t="s">
        <v>51</v>
      </c>
      <c r="Y1119" s="89"/>
    </row>
    <row r="1120" ht="22.5" customHeight="1">
      <c r="A1120" s="223"/>
      <c r="B1120" s="125"/>
      <c r="C1120" s="125"/>
      <c r="D1120" s="125"/>
      <c r="E1120" s="125"/>
      <c r="F1120" s="125"/>
      <c r="G1120" s="125"/>
      <c r="H1120" s="125"/>
      <c r="I1120" s="627" t="s">
        <v>51</v>
      </c>
      <c r="J1120" s="125" t="s">
        <v>51</v>
      </c>
      <c r="K1120" s="125" t="s">
        <v>51</v>
      </c>
      <c r="L1120" s="125" t="s">
        <v>51</v>
      </c>
      <c r="M1120" s="125" t="str">
        <f t="shared" si="1"/>
        <v/>
      </c>
      <c r="N1120" s="125" t="str">
        <f t="shared" si="2"/>
        <v/>
      </c>
      <c r="O1120" s="125"/>
      <c r="P1120" s="125"/>
      <c r="Q1120" s="125"/>
      <c r="R1120" s="125"/>
      <c r="S1120" s="628">
        <f t="shared" si="3"/>
        <v>0</v>
      </c>
      <c r="T1120" s="627" t="s">
        <v>51</v>
      </c>
      <c r="U1120" s="627" t="s">
        <v>51</v>
      </c>
      <c r="V1120" s="627" t="s">
        <v>51</v>
      </c>
      <c r="W1120" s="627" t="s">
        <v>51</v>
      </c>
      <c r="X1120" s="627" t="s">
        <v>51</v>
      </c>
      <c r="Y1120" s="89"/>
    </row>
    <row r="1121" ht="22.5" customHeight="1">
      <c r="A1121" s="223"/>
      <c r="B1121" s="125"/>
      <c r="C1121" s="125"/>
      <c r="D1121" s="125"/>
      <c r="E1121" s="125"/>
      <c r="F1121" s="125"/>
      <c r="G1121" s="125"/>
      <c r="H1121" s="125"/>
      <c r="I1121" s="627" t="s">
        <v>51</v>
      </c>
      <c r="J1121" s="125" t="s">
        <v>51</v>
      </c>
      <c r="K1121" s="125" t="s">
        <v>51</v>
      </c>
      <c r="L1121" s="125" t="s">
        <v>51</v>
      </c>
      <c r="M1121" s="125" t="str">
        <f t="shared" si="1"/>
        <v/>
      </c>
      <c r="N1121" s="125" t="str">
        <f t="shared" si="2"/>
        <v/>
      </c>
      <c r="O1121" s="125"/>
      <c r="P1121" s="125"/>
      <c r="Q1121" s="125"/>
      <c r="R1121" s="125"/>
      <c r="S1121" s="628">
        <f t="shared" si="3"/>
        <v>0</v>
      </c>
      <c r="T1121" s="627" t="s">
        <v>51</v>
      </c>
      <c r="U1121" s="627" t="s">
        <v>51</v>
      </c>
      <c r="V1121" s="627" t="s">
        <v>51</v>
      </c>
      <c r="W1121" s="627" t="s">
        <v>51</v>
      </c>
      <c r="X1121" s="627" t="s">
        <v>51</v>
      </c>
      <c r="Y1121" s="89"/>
    </row>
    <row r="1122" ht="22.5" customHeight="1">
      <c r="A1122" s="223"/>
      <c r="B1122" s="125"/>
      <c r="C1122" s="125"/>
      <c r="D1122" s="125"/>
      <c r="E1122" s="125"/>
      <c r="F1122" s="125"/>
      <c r="G1122" s="125"/>
      <c r="H1122" s="125"/>
      <c r="I1122" s="627" t="s">
        <v>51</v>
      </c>
      <c r="J1122" s="125" t="s">
        <v>51</v>
      </c>
      <c r="K1122" s="125" t="s">
        <v>51</v>
      </c>
      <c r="L1122" s="125" t="s">
        <v>51</v>
      </c>
      <c r="M1122" s="125" t="str">
        <f t="shared" si="1"/>
        <v/>
      </c>
      <c r="N1122" s="125" t="str">
        <f t="shared" si="2"/>
        <v/>
      </c>
      <c r="O1122" s="125"/>
      <c r="P1122" s="125"/>
      <c r="Q1122" s="125"/>
      <c r="R1122" s="125"/>
      <c r="S1122" s="628">
        <f t="shared" si="3"/>
        <v>0</v>
      </c>
      <c r="T1122" s="627" t="s">
        <v>51</v>
      </c>
      <c r="U1122" s="627" t="s">
        <v>51</v>
      </c>
      <c r="V1122" s="627" t="s">
        <v>51</v>
      </c>
      <c r="W1122" s="627" t="s">
        <v>51</v>
      </c>
      <c r="X1122" s="627" t="s">
        <v>51</v>
      </c>
      <c r="Y1122" s="89"/>
    </row>
    <row r="1123" ht="22.5" customHeight="1">
      <c r="A1123" s="223"/>
      <c r="B1123" s="125"/>
      <c r="C1123" s="125"/>
      <c r="D1123" s="125"/>
      <c r="E1123" s="125"/>
      <c r="F1123" s="125"/>
      <c r="G1123" s="125"/>
      <c r="H1123" s="125"/>
      <c r="I1123" s="627" t="s">
        <v>51</v>
      </c>
      <c r="J1123" s="125" t="s">
        <v>51</v>
      </c>
      <c r="K1123" s="125" t="s">
        <v>51</v>
      </c>
      <c r="L1123" s="125" t="s">
        <v>51</v>
      </c>
      <c r="M1123" s="125" t="str">
        <f t="shared" si="1"/>
        <v/>
      </c>
      <c r="N1123" s="125" t="str">
        <f t="shared" si="2"/>
        <v/>
      </c>
      <c r="O1123" s="125"/>
      <c r="P1123" s="125"/>
      <c r="Q1123" s="125"/>
      <c r="R1123" s="125"/>
      <c r="S1123" s="628">
        <f t="shared" si="3"/>
        <v>0</v>
      </c>
      <c r="T1123" s="627" t="s">
        <v>51</v>
      </c>
      <c r="U1123" s="627" t="s">
        <v>51</v>
      </c>
      <c r="V1123" s="627" t="s">
        <v>51</v>
      </c>
      <c r="W1123" s="627" t="s">
        <v>51</v>
      </c>
      <c r="X1123" s="627" t="s">
        <v>51</v>
      </c>
      <c r="Y1123" s="89"/>
    </row>
    <row r="1124" ht="22.5" customHeight="1">
      <c r="A1124" s="223"/>
      <c r="B1124" s="125"/>
      <c r="C1124" s="125"/>
      <c r="D1124" s="125"/>
      <c r="E1124" s="125"/>
      <c r="F1124" s="125"/>
      <c r="G1124" s="125"/>
      <c r="H1124" s="125"/>
      <c r="I1124" s="627" t="s">
        <v>51</v>
      </c>
      <c r="J1124" s="125" t="s">
        <v>51</v>
      </c>
      <c r="K1124" s="125" t="s">
        <v>51</v>
      </c>
      <c r="L1124" s="125" t="s">
        <v>51</v>
      </c>
      <c r="M1124" s="125" t="str">
        <f t="shared" si="1"/>
        <v/>
      </c>
      <c r="N1124" s="125" t="str">
        <f t="shared" si="2"/>
        <v/>
      </c>
      <c r="O1124" s="125"/>
      <c r="P1124" s="125"/>
      <c r="Q1124" s="125"/>
      <c r="R1124" s="125"/>
      <c r="S1124" s="628">
        <f t="shared" si="3"/>
        <v>0</v>
      </c>
      <c r="T1124" s="627" t="s">
        <v>51</v>
      </c>
      <c r="U1124" s="627" t="s">
        <v>51</v>
      </c>
      <c r="V1124" s="627" t="s">
        <v>51</v>
      </c>
      <c r="W1124" s="627" t="s">
        <v>51</v>
      </c>
      <c r="X1124" s="627" t="s">
        <v>51</v>
      </c>
      <c r="Y1124" s="89"/>
    </row>
    <row r="1125" ht="22.5" customHeight="1">
      <c r="A1125" s="223"/>
      <c r="B1125" s="125"/>
      <c r="C1125" s="125"/>
      <c r="D1125" s="125"/>
      <c r="E1125" s="125"/>
      <c r="F1125" s="125"/>
      <c r="G1125" s="125"/>
      <c r="H1125" s="125"/>
      <c r="I1125" s="627" t="s">
        <v>51</v>
      </c>
      <c r="J1125" s="125" t="s">
        <v>51</v>
      </c>
      <c r="K1125" s="125" t="s">
        <v>51</v>
      </c>
      <c r="L1125" s="125" t="s">
        <v>51</v>
      </c>
      <c r="M1125" s="125" t="str">
        <f t="shared" si="1"/>
        <v/>
      </c>
      <c r="N1125" s="125" t="str">
        <f t="shared" si="2"/>
        <v/>
      </c>
      <c r="O1125" s="125"/>
      <c r="P1125" s="125"/>
      <c r="Q1125" s="125"/>
      <c r="R1125" s="125"/>
      <c r="S1125" s="628">
        <f t="shared" si="3"/>
        <v>0</v>
      </c>
      <c r="T1125" s="627" t="s">
        <v>51</v>
      </c>
      <c r="U1125" s="627" t="s">
        <v>51</v>
      </c>
      <c r="V1125" s="627" t="s">
        <v>51</v>
      </c>
      <c r="W1125" s="627" t="s">
        <v>51</v>
      </c>
      <c r="X1125" s="627" t="s">
        <v>51</v>
      </c>
      <c r="Y1125" s="89"/>
    </row>
    <row r="1126" ht="22.5" customHeight="1">
      <c r="A1126" s="223"/>
      <c r="B1126" s="125"/>
      <c r="C1126" s="125"/>
      <c r="D1126" s="125"/>
      <c r="E1126" s="125"/>
      <c r="F1126" s="125"/>
      <c r="G1126" s="125"/>
      <c r="H1126" s="125"/>
      <c r="I1126" s="627" t="s">
        <v>51</v>
      </c>
      <c r="J1126" s="125" t="s">
        <v>51</v>
      </c>
      <c r="K1126" s="125" t="s">
        <v>51</v>
      </c>
      <c r="L1126" s="125" t="s">
        <v>51</v>
      </c>
      <c r="M1126" s="125" t="str">
        <f t="shared" si="1"/>
        <v/>
      </c>
      <c r="N1126" s="125" t="str">
        <f t="shared" si="2"/>
        <v/>
      </c>
      <c r="O1126" s="125"/>
      <c r="P1126" s="125"/>
      <c r="Q1126" s="125"/>
      <c r="R1126" s="125"/>
      <c r="S1126" s="628">
        <f t="shared" si="3"/>
        <v>0</v>
      </c>
      <c r="T1126" s="627" t="s">
        <v>51</v>
      </c>
      <c r="U1126" s="627" t="s">
        <v>51</v>
      </c>
      <c r="V1126" s="627" t="s">
        <v>51</v>
      </c>
      <c r="W1126" s="627" t="s">
        <v>51</v>
      </c>
      <c r="X1126" s="627" t="s">
        <v>51</v>
      </c>
      <c r="Y1126" s="89"/>
    </row>
    <row r="1127" ht="22.5" customHeight="1">
      <c r="A1127" s="223"/>
      <c r="B1127" s="125"/>
      <c r="C1127" s="125"/>
      <c r="D1127" s="125"/>
      <c r="E1127" s="125"/>
      <c r="F1127" s="125"/>
      <c r="G1127" s="125"/>
      <c r="H1127" s="125"/>
      <c r="I1127" s="627" t="s">
        <v>51</v>
      </c>
      <c r="J1127" s="125" t="s">
        <v>51</v>
      </c>
      <c r="K1127" s="125" t="s">
        <v>51</v>
      </c>
      <c r="L1127" s="125" t="s">
        <v>51</v>
      </c>
      <c r="M1127" s="125" t="str">
        <f t="shared" si="1"/>
        <v/>
      </c>
      <c r="N1127" s="125" t="str">
        <f t="shared" si="2"/>
        <v/>
      </c>
      <c r="O1127" s="125"/>
      <c r="P1127" s="125"/>
      <c r="Q1127" s="125"/>
      <c r="R1127" s="125"/>
      <c r="S1127" s="628">
        <f t="shared" si="3"/>
        <v>0</v>
      </c>
      <c r="T1127" s="627" t="s">
        <v>51</v>
      </c>
      <c r="U1127" s="627" t="s">
        <v>51</v>
      </c>
      <c r="V1127" s="627" t="s">
        <v>51</v>
      </c>
      <c r="W1127" s="627" t="s">
        <v>51</v>
      </c>
      <c r="X1127" s="627" t="s">
        <v>51</v>
      </c>
      <c r="Y1127" s="89"/>
    </row>
    <row r="1128" ht="22.5" customHeight="1">
      <c r="A1128" s="223"/>
      <c r="B1128" s="125"/>
      <c r="C1128" s="125"/>
      <c r="D1128" s="125"/>
      <c r="E1128" s="125"/>
      <c r="F1128" s="125"/>
      <c r="G1128" s="125"/>
      <c r="H1128" s="125"/>
      <c r="I1128" s="627" t="s">
        <v>51</v>
      </c>
      <c r="J1128" s="125" t="s">
        <v>51</v>
      </c>
      <c r="K1128" s="125" t="s">
        <v>51</v>
      </c>
      <c r="L1128" s="125" t="s">
        <v>51</v>
      </c>
      <c r="M1128" s="125" t="str">
        <f t="shared" si="1"/>
        <v/>
      </c>
      <c r="N1128" s="125" t="str">
        <f t="shared" si="2"/>
        <v/>
      </c>
      <c r="O1128" s="125"/>
      <c r="P1128" s="125"/>
      <c r="Q1128" s="125"/>
      <c r="R1128" s="125"/>
      <c r="S1128" s="628">
        <f t="shared" si="3"/>
        <v>0</v>
      </c>
      <c r="T1128" s="627" t="s">
        <v>51</v>
      </c>
      <c r="U1128" s="627" t="s">
        <v>51</v>
      </c>
      <c r="V1128" s="627" t="s">
        <v>51</v>
      </c>
      <c r="W1128" s="627" t="s">
        <v>51</v>
      </c>
      <c r="X1128" s="627" t="s">
        <v>51</v>
      </c>
      <c r="Y1128" s="89"/>
    </row>
    <row r="1129" ht="22.5" customHeight="1">
      <c r="A1129" s="223"/>
      <c r="B1129" s="125"/>
      <c r="C1129" s="125"/>
      <c r="D1129" s="125"/>
      <c r="E1129" s="125"/>
      <c r="F1129" s="125"/>
      <c r="G1129" s="125"/>
      <c r="H1129" s="125"/>
      <c r="I1129" s="627" t="s">
        <v>51</v>
      </c>
      <c r="J1129" s="125" t="s">
        <v>51</v>
      </c>
      <c r="K1129" s="125" t="s">
        <v>51</v>
      </c>
      <c r="L1129" s="125" t="s">
        <v>51</v>
      </c>
      <c r="M1129" s="125" t="str">
        <f t="shared" si="1"/>
        <v/>
      </c>
      <c r="N1129" s="125" t="str">
        <f t="shared" si="2"/>
        <v/>
      </c>
      <c r="O1129" s="125"/>
      <c r="P1129" s="125"/>
      <c r="Q1129" s="125"/>
      <c r="R1129" s="125"/>
      <c r="S1129" s="628">
        <f t="shared" si="3"/>
        <v>0</v>
      </c>
      <c r="T1129" s="627" t="s">
        <v>51</v>
      </c>
      <c r="U1129" s="627" t="s">
        <v>51</v>
      </c>
      <c r="V1129" s="627" t="s">
        <v>51</v>
      </c>
      <c r="W1129" s="627" t="s">
        <v>51</v>
      </c>
      <c r="X1129" s="627" t="s">
        <v>51</v>
      </c>
      <c r="Y1129" s="89"/>
    </row>
    <row r="1130" ht="22.5" customHeight="1">
      <c r="A1130" s="223"/>
      <c r="B1130" s="125"/>
      <c r="C1130" s="125"/>
      <c r="D1130" s="125"/>
      <c r="E1130" s="125"/>
      <c r="F1130" s="125"/>
      <c r="G1130" s="125"/>
      <c r="H1130" s="125"/>
      <c r="I1130" s="627" t="s">
        <v>51</v>
      </c>
      <c r="J1130" s="125" t="s">
        <v>51</v>
      </c>
      <c r="K1130" s="125" t="s">
        <v>51</v>
      </c>
      <c r="L1130" s="125" t="s">
        <v>51</v>
      </c>
      <c r="M1130" s="125" t="str">
        <f t="shared" si="1"/>
        <v/>
      </c>
      <c r="N1130" s="125" t="str">
        <f t="shared" si="2"/>
        <v/>
      </c>
      <c r="O1130" s="125"/>
      <c r="P1130" s="125"/>
      <c r="Q1130" s="125"/>
      <c r="R1130" s="125"/>
      <c r="S1130" s="628">
        <f t="shared" si="3"/>
        <v>0</v>
      </c>
      <c r="T1130" s="627" t="s">
        <v>51</v>
      </c>
      <c r="U1130" s="627" t="s">
        <v>51</v>
      </c>
      <c r="V1130" s="627" t="s">
        <v>51</v>
      </c>
      <c r="W1130" s="627" t="s">
        <v>51</v>
      </c>
      <c r="X1130" s="627" t="s">
        <v>51</v>
      </c>
      <c r="Y1130" s="89"/>
    </row>
    <row r="1131" ht="22.5" customHeight="1">
      <c r="A1131" s="223"/>
      <c r="B1131" s="125"/>
      <c r="C1131" s="125"/>
      <c r="D1131" s="125"/>
      <c r="E1131" s="125"/>
      <c r="F1131" s="125"/>
      <c r="G1131" s="125"/>
      <c r="H1131" s="125"/>
      <c r="I1131" s="627" t="s">
        <v>51</v>
      </c>
      <c r="J1131" s="125" t="s">
        <v>51</v>
      </c>
      <c r="K1131" s="125" t="s">
        <v>51</v>
      </c>
      <c r="L1131" s="125" t="s">
        <v>51</v>
      </c>
      <c r="M1131" s="125" t="str">
        <f t="shared" si="1"/>
        <v/>
      </c>
      <c r="N1131" s="125" t="str">
        <f t="shared" si="2"/>
        <v/>
      </c>
      <c r="O1131" s="125"/>
      <c r="P1131" s="125"/>
      <c r="Q1131" s="125"/>
      <c r="R1131" s="125"/>
      <c r="S1131" s="628">
        <f t="shared" si="3"/>
        <v>0</v>
      </c>
      <c r="T1131" s="627" t="s">
        <v>51</v>
      </c>
      <c r="U1131" s="627" t="s">
        <v>51</v>
      </c>
      <c r="V1131" s="627" t="s">
        <v>51</v>
      </c>
      <c r="W1131" s="627" t="s">
        <v>51</v>
      </c>
      <c r="X1131" s="627" t="s">
        <v>51</v>
      </c>
      <c r="Y1131" s="89"/>
    </row>
    <row r="1132" ht="22.5" customHeight="1">
      <c r="A1132" s="223"/>
      <c r="B1132" s="125"/>
      <c r="C1132" s="125"/>
      <c r="D1132" s="125"/>
      <c r="E1132" s="125"/>
      <c r="F1132" s="125"/>
      <c r="G1132" s="125"/>
      <c r="H1132" s="125"/>
      <c r="I1132" s="627" t="s">
        <v>51</v>
      </c>
      <c r="J1132" s="125" t="s">
        <v>51</v>
      </c>
      <c r="K1132" s="125" t="s">
        <v>51</v>
      </c>
      <c r="L1132" s="125" t="s">
        <v>51</v>
      </c>
      <c r="M1132" s="125" t="str">
        <f t="shared" si="1"/>
        <v/>
      </c>
      <c r="N1132" s="125" t="str">
        <f t="shared" si="2"/>
        <v/>
      </c>
      <c r="O1132" s="125"/>
      <c r="P1132" s="125"/>
      <c r="Q1132" s="125"/>
      <c r="R1132" s="125"/>
      <c r="S1132" s="628">
        <f t="shared" si="3"/>
        <v>0</v>
      </c>
      <c r="T1132" s="627" t="s">
        <v>51</v>
      </c>
      <c r="U1132" s="627" t="s">
        <v>51</v>
      </c>
      <c r="V1132" s="627" t="s">
        <v>51</v>
      </c>
      <c r="W1132" s="627" t="s">
        <v>51</v>
      </c>
      <c r="X1132" s="627" t="s">
        <v>51</v>
      </c>
      <c r="Y1132" s="89"/>
    </row>
    <row r="1133" ht="22.5" customHeight="1">
      <c r="A1133" s="223"/>
      <c r="B1133" s="125"/>
      <c r="C1133" s="125"/>
      <c r="D1133" s="125"/>
      <c r="E1133" s="125"/>
      <c r="F1133" s="125"/>
      <c r="G1133" s="125"/>
      <c r="H1133" s="125"/>
      <c r="I1133" s="627" t="s">
        <v>51</v>
      </c>
      <c r="J1133" s="125" t="s">
        <v>51</v>
      </c>
      <c r="K1133" s="125" t="s">
        <v>51</v>
      </c>
      <c r="L1133" s="125" t="s">
        <v>51</v>
      </c>
      <c r="M1133" s="125" t="str">
        <f t="shared" si="1"/>
        <v/>
      </c>
      <c r="N1133" s="125" t="str">
        <f t="shared" si="2"/>
        <v/>
      </c>
      <c r="O1133" s="125"/>
      <c r="P1133" s="125"/>
      <c r="Q1133" s="125"/>
      <c r="R1133" s="125"/>
      <c r="S1133" s="628">
        <f t="shared" si="3"/>
        <v>0</v>
      </c>
      <c r="T1133" s="627" t="s">
        <v>51</v>
      </c>
      <c r="U1133" s="627" t="s">
        <v>51</v>
      </c>
      <c r="V1133" s="627" t="s">
        <v>51</v>
      </c>
      <c r="W1133" s="627" t="s">
        <v>51</v>
      </c>
      <c r="X1133" s="627" t="s">
        <v>51</v>
      </c>
      <c r="Y1133" s="89"/>
    </row>
    <row r="1134" ht="22.5" customHeight="1">
      <c r="A1134" s="223"/>
      <c r="B1134" s="125"/>
      <c r="C1134" s="125"/>
      <c r="D1134" s="125"/>
      <c r="E1134" s="125"/>
      <c r="F1134" s="125"/>
      <c r="G1134" s="125"/>
      <c r="H1134" s="125"/>
      <c r="I1134" s="627" t="s">
        <v>51</v>
      </c>
      <c r="J1134" s="125" t="s">
        <v>51</v>
      </c>
      <c r="K1134" s="125" t="s">
        <v>51</v>
      </c>
      <c r="L1134" s="125" t="s">
        <v>51</v>
      </c>
      <c r="M1134" s="125" t="str">
        <f t="shared" si="1"/>
        <v/>
      </c>
      <c r="N1134" s="125" t="str">
        <f t="shared" si="2"/>
        <v/>
      </c>
      <c r="O1134" s="125"/>
      <c r="P1134" s="125"/>
      <c r="Q1134" s="125"/>
      <c r="R1134" s="125"/>
      <c r="S1134" s="628">
        <f t="shared" si="3"/>
        <v>0</v>
      </c>
      <c r="T1134" s="627" t="s">
        <v>51</v>
      </c>
      <c r="U1134" s="627" t="s">
        <v>51</v>
      </c>
      <c r="V1134" s="627" t="s">
        <v>51</v>
      </c>
      <c r="W1134" s="627" t="s">
        <v>51</v>
      </c>
      <c r="X1134" s="627" t="s">
        <v>51</v>
      </c>
      <c r="Y1134" s="89"/>
    </row>
    <row r="1135" ht="22.5" customHeight="1">
      <c r="A1135" s="223"/>
      <c r="B1135" s="125"/>
      <c r="C1135" s="125"/>
      <c r="D1135" s="125"/>
      <c r="E1135" s="125"/>
      <c r="F1135" s="125"/>
      <c r="G1135" s="125"/>
      <c r="H1135" s="125"/>
      <c r="I1135" s="627" t="s">
        <v>51</v>
      </c>
      <c r="J1135" s="125" t="s">
        <v>51</v>
      </c>
      <c r="K1135" s="125" t="s">
        <v>51</v>
      </c>
      <c r="L1135" s="125" t="s">
        <v>51</v>
      </c>
      <c r="M1135" s="125" t="str">
        <f t="shared" si="1"/>
        <v/>
      </c>
      <c r="N1135" s="125" t="str">
        <f t="shared" si="2"/>
        <v/>
      </c>
      <c r="O1135" s="125"/>
      <c r="P1135" s="125"/>
      <c r="Q1135" s="125"/>
      <c r="R1135" s="125"/>
      <c r="S1135" s="628">
        <f t="shared" si="3"/>
        <v>0</v>
      </c>
      <c r="T1135" s="627" t="s">
        <v>51</v>
      </c>
      <c r="U1135" s="627" t="s">
        <v>51</v>
      </c>
      <c r="V1135" s="627" t="s">
        <v>51</v>
      </c>
      <c r="W1135" s="627" t="s">
        <v>51</v>
      </c>
      <c r="X1135" s="627" t="s">
        <v>51</v>
      </c>
      <c r="Y1135" s="89"/>
    </row>
    <row r="1136" ht="22.5" customHeight="1">
      <c r="A1136" s="223"/>
      <c r="B1136" s="125"/>
      <c r="C1136" s="125"/>
      <c r="D1136" s="125"/>
      <c r="E1136" s="125"/>
      <c r="F1136" s="125"/>
      <c r="G1136" s="125"/>
      <c r="H1136" s="125"/>
      <c r="I1136" s="627" t="s">
        <v>51</v>
      </c>
      <c r="J1136" s="125" t="s">
        <v>51</v>
      </c>
      <c r="K1136" s="125" t="s">
        <v>51</v>
      </c>
      <c r="L1136" s="125" t="s">
        <v>51</v>
      </c>
      <c r="M1136" s="125" t="str">
        <f t="shared" si="1"/>
        <v/>
      </c>
      <c r="N1136" s="125" t="str">
        <f t="shared" si="2"/>
        <v/>
      </c>
      <c r="O1136" s="125"/>
      <c r="P1136" s="125"/>
      <c r="Q1136" s="125"/>
      <c r="R1136" s="125"/>
      <c r="S1136" s="628">
        <f t="shared" si="3"/>
        <v>0</v>
      </c>
      <c r="T1136" s="627" t="s">
        <v>51</v>
      </c>
      <c r="U1136" s="627" t="s">
        <v>51</v>
      </c>
      <c r="V1136" s="627" t="s">
        <v>51</v>
      </c>
      <c r="W1136" s="627" t="s">
        <v>51</v>
      </c>
      <c r="X1136" s="627" t="s">
        <v>51</v>
      </c>
      <c r="Y1136" s="89"/>
    </row>
    <row r="1137" ht="22.5" customHeight="1">
      <c r="A1137" s="223"/>
      <c r="B1137" s="125"/>
      <c r="C1137" s="125"/>
      <c r="D1137" s="125"/>
      <c r="E1137" s="125"/>
      <c r="F1137" s="125"/>
      <c r="G1137" s="125"/>
      <c r="H1137" s="125"/>
      <c r="I1137" s="627" t="s">
        <v>51</v>
      </c>
      <c r="J1137" s="125" t="s">
        <v>51</v>
      </c>
      <c r="K1137" s="125" t="s">
        <v>51</v>
      </c>
      <c r="L1137" s="125" t="s">
        <v>51</v>
      </c>
      <c r="M1137" s="125" t="str">
        <f t="shared" si="1"/>
        <v/>
      </c>
      <c r="N1137" s="125" t="str">
        <f t="shared" si="2"/>
        <v/>
      </c>
      <c r="O1137" s="125"/>
      <c r="P1137" s="125"/>
      <c r="Q1137" s="125"/>
      <c r="R1137" s="125"/>
      <c r="S1137" s="628">
        <f t="shared" si="3"/>
        <v>0</v>
      </c>
      <c r="T1137" s="627" t="s">
        <v>51</v>
      </c>
      <c r="U1137" s="627" t="s">
        <v>51</v>
      </c>
      <c r="V1137" s="627" t="s">
        <v>51</v>
      </c>
      <c r="W1137" s="627" t="s">
        <v>51</v>
      </c>
      <c r="X1137" s="627" t="s">
        <v>51</v>
      </c>
      <c r="Y1137" s="89"/>
    </row>
    <row r="1138" ht="22.5" customHeight="1">
      <c r="A1138" s="223"/>
      <c r="B1138" s="125"/>
      <c r="C1138" s="125"/>
      <c r="D1138" s="125"/>
      <c r="E1138" s="125"/>
      <c r="F1138" s="125"/>
      <c r="G1138" s="125"/>
      <c r="H1138" s="125"/>
      <c r="I1138" s="627" t="s">
        <v>51</v>
      </c>
      <c r="J1138" s="125" t="s">
        <v>51</v>
      </c>
      <c r="K1138" s="125" t="s">
        <v>51</v>
      </c>
      <c r="L1138" s="125" t="s">
        <v>51</v>
      </c>
      <c r="M1138" s="125" t="str">
        <f t="shared" si="1"/>
        <v/>
      </c>
      <c r="N1138" s="125" t="str">
        <f t="shared" si="2"/>
        <v/>
      </c>
      <c r="O1138" s="125"/>
      <c r="P1138" s="125"/>
      <c r="Q1138" s="125"/>
      <c r="R1138" s="125"/>
      <c r="S1138" s="628">
        <f t="shared" si="3"/>
        <v>0</v>
      </c>
      <c r="T1138" s="627" t="s">
        <v>51</v>
      </c>
      <c r="U1138" s="627" t="s">
        <v>51</v>
      </c>
      <c r="V1138" s="627" t="s">
        <v>51</v>
      </c>
      <c r="W1138" s="627" t="s">
        <v>51</v>
      </c>
      <c r="X1138" s="627" t="s">
        <v>51</v>
      </c>
      <c r="Y1138" s="89"/>
    </row>
    <row r="1139" ht="22.5" customHeight="1">
      <c r="A1139" s="223"/>
      <c r="B1139" s="125"/>
      <c r="C1139" s="125"/>
      <c r="D1139" s="125"/>
      <c r="E1139" s="125"/>
      <c r="F1139" s="125"/>
      <c r="G1139" s="125"/>
      <c r="H1139" s="125"/>
      <c r="I1139" s="627" t="s">
        <v>51</v>
      </c>
      <c r="J1139" s="125" t="s">
        <v>51</v>
      </c>
      <c r="K1139" s="125" t="s">
        <v>51</v>
      </c>
      <c r="L1139" s="125" t="s">
        <v>51</v>
      </c>
      <c r="M1139" s="125" t="str">
        <f t="shared" si="1"/>
        <v/>
      </c>
      <c r="N1139" s="125" t="str">
        <f t="shared" si="2"/>
        <v/>
      </c>
      <c r="O1139" s="125"/>
      <c r="P1139" s="125"/>
      <c r="Q1139" s="125"/>
      <c r="R1139" s="125"/>
      <c r="S1139" s="628">
        <f t="shared" si="3"/>
        <v>0</v>
      </c>
      <c r="T1139" s="627" t="s">
        <v>51</v>
      </c>
      <c r="U1139" s="627" t="s">
        <v>51</v>
      </c>
      <c r="V1139" s="627" t="s">
        <v>51</v>
      </c>
      <c r="W1139" s="627" t="s">
        <v>51</v>
      </c>
      <c r="X1139" s="627" t="s">
        <v>51</v>
      </c>
      <c r="Y1139" s="89"/>
    </row>
    <row r="1140" ht="22.5" customHeight="1">
      <c r="A1140" s="223"/>
      <c r="B1140" s="125"/>
      <c r="C1140" s="125"/>
      <c r="D1140" s="125"/>
      <c r="E1140" s="125"/>
      <c r="F1140" s="125"/>
      <c r="G1140" s="125"/>
      <c r="H1140" s="125"/>
      <c r="I1140" s="627" t="s">
        <v>51</v>
      </c>
      <c r="J1140" s="125" t="s">
        <v>51</v>
      </c>
      <c r="K1140" s="125" t="s">
        <v>51</v>
      </c>
      <c r="L1140" s="125" t="s">
        <v>51</v>
      </c>
      <c r="M1140" s="125" t="str">
        <f t="shared" si="1"/>
        <v/>
      </c>
      <c r="N1140" s="125" t="str">
        <f t="shared" si="2"/>
        <v/>
      </c>
      <c r="O1140" s="125"/>
      <c r="P1140" s="125"/>
      <c r="Q1140" s="125"/>
      <c r="R1140" s="125"/>
      <c r="S1140" s="628">
        <f t="shared" si="3"/>
        <v>0</v>
      </c>
      <c r="T1140" s="627" t="s">
        <v>51</v>
      </c>
      <c r="U1140" s="627" t="s">
        <v>51</v>
      </c>
      <c r="V1140" s="627" t="s">
        <v>51</v>
      </c>
      <c r="W1140" s="627" t="s">
        <v>51</v>
      </c>
      <c r="X1140" s="627" t="s">
        <v>51</v>
      </c>
      <c r="Y1140" s="89"/>
    </row>
    <row r="1141" ht="22.5" customHeight="1">
      <c r="A1141" s="223"/>
      <c r="B1141" s="125"/>
      <c r="C1141" s="125"/>
      <c r="D1141" s="125"/>
      <c r="E1141" s="125"/>
      <c r="F1141" s="125"/>
      <c r="G1141" s="125"/>
      <c r="H1141" s="125"/>
      <c r="I1141" s="627" t="s">
        <v>51</v>
      </c>
      <c r="J1141" s="125" t="s">
        <v>51</v>
      </c>
      <c r="K1141" s="125" t="s">
        <v>51</v>
      </c>
      <c r="L1141" s="125" t="s">
        <v>51</v>
      </c>
      <c r="M1141" s="125" t="str">
        <f t="shared" si="1"/>
        <v/>
      </c>
      <c r="N1141" s="125" t="str">
        <f t="shared" si="2"/>
        <v/>
      </c>
      <c r="O1141" s="125"/>
      <c r="P1141" s="125"/>
      <c r="Q1141" s="125"/>
      <c r="R1141" s="125"/>
      <c r="S1141" s="628">
        <f t="shared" si="3"/>
        <v>0</v>
      </c>
      <c r="T1141" s="627" t="s">
        <v>51</v>
      </c>
      <c r="U1141" s="627" t="s">
        <v>51</v>
      </c>
      <c r="V1141" s="627" t="s">
        <v>51</v>
      </c>
      <c r="W1141" s="627" t="s">
        <v>51</v>
      </c>
      <c r="X1141" s="627" t="s">
        <v>51</v>
      </c>
      <c r="Y1141" s="89"/>
    </row>
    <row r="1142" ht="22.5" customHeight="1">
      <c r="A1142" s="223"/>
      <c r="B1142" s="125"/>
      <c r="C1142" s="125"/>
      <c r="D1142" s="125"/>
      <c r="E1142" s="125"/>
      <c r="F1142" s="125"/>
      <c r="G1142" s="125"/>
      <c r="H1142" s="125"/>
      <c r="I1142" s="627" t="s">
        <v>51</v>
      </c>
      <c r="J1142" s="125" t="s">
        <v>51</v>
      </c>
      <c r="K1142" s="125" t="s">
        <v>51</v>
      </c>
      <c r="L1142" s="125" t="s">
        <v>51</v>
      </c>
      <c r="M1142" s="125" t="str">
        <f t="shared" si="1"/>
        <v/>
      </c>
      <c r="N1142" s="125" t="str">
        <f t="shared" si="2"/>
        <v/>
      </c>
      <c r="O1142" s="125"/>
      <c r="P1142" s="125"/>
      <c r="Q1142" s="125"/>
      <c r="R1142" s="125"/>
      <c r="S1142" s="628">
        <f t="shared" si="3"/>
        <v>0</v>
      </c>
      <c r="T1142" s="627" t="s">
        <v>51</v>
      </c>
      <c r="U1142" s="627" t="s">
        <v>51</v>
      </c>
      <c r="V1142" s="627" t="s">
        <v>51</v>
      </c>
      <c r="W1142" s="627" t="s">
        <v>51</v>
      </c>
      <c r="X1142" s="627" t="s">
        <v>51</v>
      </c>
      <c r="Y1142" s="89"/>
    </row>
    <row r="1143" ht="22.5" customHeight="1">
      <c r="A1143" s="223"/>
      <c r="B1143" s="125"/>
      <c r="C1143" s="125"/>
      <c r="D1143" s="125"/>
      <c r="E1143" s="125"/>
      <c r="F1143" s="125"/>
      <c r="G1143" s="125"/>
      <c r="H1143" s="125"/>
      <c r="I1143" s="627" t="s">
        <v>51</v>
      </c>
      <c r="J1143" s="125" t="s">
        <v>51</v>
      </c>
      <c r="K1143" s="125" t="s">
        <v>51</v>
      </c>
      <c r="L1143" s="125" t="s">
        <v>51</v>
      </c>
      <c r="M1143" s="125" t="str">
        <f t="shared" si="1"/>
        <v/>
      </c>
      <c r="N1143" s="125" t="str">
        <f t="shared" si="2"/>
        <v/>
      </c>
      <c r="O1143" s="125"/>
      <c r="P1143" s="125"/>
      <c r="Q1143" s="125"/>
      <c r="R1143" s="125"/>
      <c r="S1143" s="628">
        <f t="shared" si="3"/>
        <v>0</v>
      </c>
      <c r="T1143" s="627" t="s">
        <v>51</v>
      </c>
      <c r="U1143" s="627" t="s">
        <v>51</v>
      </c>
      <c r="V1143" s="627" t="s">
        <v>51</v>
      </c>
      <c r="W1143" s="627" t="s">
        <v>51</v>
      </c>
      <c r="X1143" s="627" t="s">
        <v>51</v>
      </c>
      <c r="Y1143" s="89"/>
    </row>
    <row r="1144" ht="22.5" customHeight="1">
      <c r="A1144" s="223"/>
      <c r="B1144" s="125"/>
      <c r="C1144" s="125"/>
      <c r="D1144" s="125"/>
      <c r="E1144" s="125"/>
      <c r="F1144" s="125"/>
      <c r="G1144" s="125"/>
      <c r="H1144" s="125"/>
      <c r="I1144" s="627" t="s">
        <v>51</v>
      </c>
      <c r="J1144" s="125" t="s">
        <v>51</v>
      </c>
      <c r="K1144" s="125" t="s">
        <v>51</v>
      </c>
      <c r="L1144" s="125" t="s">
        <v>51</v>
      </c>
      <c r="M1144" s="125" t="str">
        <f t="shared" si="1"/>
        <v/>
      </c>
      <c r="N1144" s="125" t="str">
        <f t="shared" si="2"/>
        <v/>
      </c>
      <c r="O1144" s="125"/>
      <c r="P1144" s="125"/>
      <c r="Q1144" s="125"/>
      <c r="R1144" s="125"/>
      <c r="S1144" s="628">
        <f t="shared" si="3"/>
        <v>0</v>
      </c>
      <c r="T1144" s="627" t="s">
        <v>51</v>
      </c>
      <c r="U1144" s="627" t="s">
        <v>51</v>
      </c>
      <c r="V1144" s="627" t="s">
        <v>51</v>
      </c>
      <c r="W1144" s="627" t="s">
        <v>51</v>
      </c>
      <c r="X1144" s="627" t="s">
        <v>51</v>
      </c>
      <c r="Y1144" s="89"/>
    </row>
    <row r="1145" ht="22.5" customHeight="1">
      <c r="A1145" s="223"/>
      <c r="B1145" s="125"/>
      <c r="C1145" s="125"/>
      <c r="D1145" s="125"/>
      <c r="E1145" s="125"/>
      <c r="F1145" s="125"/>
      <c r="G1145" s="125"/>
      <c r="H1145" s="125"/>
      <c r="I1145" s="627" t="s">
        <v>51</v>
      </c>
      <c r="J1145" s="125" t="s">
        <v>51</v>
      </c>
      <c r="K1145" s="125" t="s">
        <v>51</v>
      </c>
      <c r="L1145" s="125" t="s">
        <v>51</v>
      </c>
      <c r="M1145" s="125" t="str">
        <f t="shared" si="1"/>
        <v/>
      </c>
      <c r="N1145" s="125" t="str">
        <f t="shared" si="2"/>
        <v/>
      </c>
      <c r="O1145" s="125"/>
      <c r="P1145" s="125"/>
      <c r="Q1145" s="125"/>
      <c r="R1145" s="125"/>
      <c r="S1145" s="628">
        <f t="shared" si="3"/>
        <v>0</v>
      </c>
      <c r="T1145" s="627" t="s">
        <v>51</v>
      </c>
      <c r="U1145" s="627" t="s">
        <v>51</v>
      </c>
      <c r="V1145" s="627" t="s">
        <v>51</v>
      </c>
      <c r="W1145" s="627" t="s">
        <v>51</v>
      </c>
      <c r="X1145" s="627" t="s">
        <v>51</v>
      </c>
      <c r="Y1145" s="89"/>
    </row>
    <row r="1146" ht="22.5" customHeight="1">
      <c r="A1146" s="223"/>
      <c r="B1146" s="125"/>
      <c r="C1146" s="125"/>
      <c r="D1146" s="125"/>
      <c r="E1146" s="125"/>
      <c r="F1146" s="125"/>
      <c r="G1146" s="125"/>
      <c r="H1146" s="125"/>
      <c r="I1146" s="627" t="s">
        <v>51</v>
      </c>
      <c r="J1146" s="125" t="s">
        <v>51</v>
      </c>
      <c r="K1146" s="125" t="s">
        <v>51</v>
      </c>
      <c r="L1146" s="125" t="s">
        <v>51</v>
      </c>
      <c r="M1146" s="125" t="str">
        <f t="shared" si="1"/>
        <v/>
      </c>
      <c r="N1146" s="125" t="str">
        <f t="shared" si="2"/>
        <v/>
      </c>
      <c r="O1146" s="125"/>
      <c r="P1146" s="125"/>
      <c r="Q1146" s="125"/>
      <c r="R1146" s="125"/>
      <c r="S1146" s="628">
        <f t="shared" si="3"/>
        <v>0</v>
      </c>
      <c r="T1146" s="627" t="s">
        <v>51</v>
      </c>
      <c r="U1146" s="627" t="s">
        <v>51</v>
      </c>
      <c r="V1146" s="627" t="s">
        <v>51</v>
      </c>
      <c r="W1146" s="627" t="s">
        <v>51</v>
      </c>
      <c r="X1146" s="627" t="s">
        <v>51</v>
      </c>
      <c r="Y1146" s="89"/>
    </row>
    <row r="1147" ht="22.5" customHeight="1">
      <c r="A1147" s="223"/>
      <c r="B1147" s="125"/>
      <c r="C1147" s="125"/>
      <c r="D1147" s="125"/>
      <c r="E1147" s="125"/>
      <c r="F1147" s="125"/>
      <c r="G1147" s="125"/>
      <c r="H1147" s="125"/>
      <c r="I1147" s="627" t="s">
        <v>51</v>
      </c>
      <c r="J1147" s="125" t="s">
        <v>51</v>
      </c>
      <c r="K1147" s="125" t="s">
        <v>51</v>
      </c>
      <c r="L1147" s="125" t="s">
        <v>51</v>
      </c>
      <c r="M1147" s="125" t="str">
        <f t="shared" si="1"/>
        <v/>
      </c>
      <c r="N1147" s="125" t="str">
        <f t="shared" si="2"/>
        <v/>
      </c>
      <c r="O1147" s="125"/>
      <c r="P1147" s="125"/>
      <c r="Q1147" s="125"/>
      <c r="R1147" s="125"/>
      <c r="S1147" s="628">
        <f t="shared" si="3"/>
        <v>0</v>
      </c>
      <c r="T1147" s="627" t="s">
        <v>51</v>
      </c>
      <c r="U1147" s="627" t="s">
        <v>51</v>
      </c>
      <c r="V1147" s="627" t="s">
        <v>51</v>
      </c>
      <c r="W1147" s="627" t="s">
        <v>51</v>
      </c>
      <c r="X1147" s="627" t="s">
        <v>51</v>
      </c>
      <c r="Y1147" s="89"/>
    </row>
    <row r="1148" ht="22.5" customHeight="1">
      <c r="A1148" s="223"/>
      <c r="B1148" s="125"/>
      <c r="C1148" s="125"/>
      <c r="D1148" s="125"/>
      <c r="E1148" s="125"/>
      <c r="F1148" s="125"/>
      <c r="G1148" s="125"/>
      <c r="H1148" s="125"/>
      <c r="I1148" s="627" t="s">
        <v>51</v>
      </c>
      <c r="J1148" s="125" t="s">
        <v>51</v>
      </c>
      <c r="K1148" s="125" t="s">
        <v>51</v>
      </c>
      <c r="L1148" s="125" t="s">
        <v>51</v>
      </c>
      <c r="M1148" s="125" t="str">
        <f t="shared" si="1"/>
        <v/>
      </c>
      <c r="N1148" s="125" t="str">
        <f t="shared" si="2"/>
        <v/>
      </c>
      <c r="O1148" s="125"/>
      <c r="P1148" s="125"/>
      <c r="Q1148" s="125"/>
      <c r="R1148" s="125"/>
      <c r="S1148" s="628">
        <f t="shared" si="3"/>
        <v>0</v>
      </c>
      <c r="T1148" s="627" t="s">
        <v>51</v>
      </c>
      <c r="U1148" s="627" t="s">
        <v>51</v>
      </c>
      <c r="V1148" s="627" t="s">
        <v>51</v>
      </c>
      <c r="W1148" s="627" t="s">
        <v>51</v>
      </c>
      <c r="X1148" s="627" t="s">
        <v>51</v>
      </c>
      <c r="Y1148" s="89"/>
    </row>
    <row r="1149" ht="22.5" customHeight="1">
      <c r="A1149" s="223"/>
      <c r="B1149" s="125"/>
      <c r="C1149" s="125"/>
      <c r="D1149" s="125"/>
      <c r="E1149" s="125"/>
      <c r="F1149" s="125"/>
      <c r="G1149" s="125"/>
      <c r="H1149" s="125"/>
      <c r="I1149" s="627" t="s">
        <v>51</v>
      </c>
      <c r="J1149" s="125" t="s">
        <v>51</v>
      </c>
      <c r="K1149" s="125" t="s">
        <v>51</v>
      </c>
      <c r="L1149" s="125" t="s">
        <v>51</v>
      </c>
      <c r="M1149" s="125" t="str">
        <f t="shared" si="1"/>
        <v/>
      </c>
      <c r="N1149" s="125" t="str">
        <f t="shared" si="2"/>
        <v/>
      </c>
      <c r="O1149" s="125"/>
      <c r="P1149" s="125"/>
      <c r="Q1149" s="125"/>
      <c r="R1149" s="125"/>
      <c r="S1149" s="628">
        <f t="shared" si="3"/>
        <v>0</v>
      </c>
      <c r="T1149" s="627" t="s">
        <v>51</v>
      </c>
      <c r="U1149" s="627" t="s">
        <v>51</v>
      </c>
      <c r="V1149" s="627" t="s">
        <v>51</v>
      </c>
      <c r="W1149" s="627" t="s">
        <v>51</v>
      </c>
      <c r="X1149" s="627" t="s">
        <v>51</v>
      </c>
      <c r="Y1149" s="89"/>
    </row>
    <row r="1150" ht="22.5" customHeight="1">
      <c r="A1150" s="223"/>
      <c r="B1150" s="125"/>
      <c r="C1150" s="125"/>
      <c r="D1150" s="125"/>
      <c r="E1150" s="125"/>
      <c r="F1150" s="125"/>
      <c r="G1150" s="125"/>
      <c r="H1150" s="125"/>
      <c r="I1150" s="627" t="s">
        <v>51</v>
      </c>
      <c r="J1150" s="125" t="s">
        <v>51</v>
      </c>
      <c r="K1150" s="125" t="s">
        <v>51</v>
      </c>
      <c r="L1150" s="125" t="s">
        <v>51</v>
      </c>
      <c r="M1150" s="125" t="str">
        <f t="shared" si="1"/>
        <v/>
      </c>
      <c r="N1150" s="125" t="str">
        <f t="shared" si="2"/>
        <v/>
      </c>
      <c r="O1150" s="125"/>
      <c r="P1150" s="125"/>
      <c r="Q1150" s="125"/>
      <c r="R1150" s="125"/>
      <c r="S1150" s="628">
        <f t="shared" si="3"/>
        <v>0</v>
      </c>
      <c r="T1150" s="627" t="s">
        <v>51</v>
      </c>
      <c r="U1150" s="627" t="s">
        <v>51</v>
      </c>
      <c r="V1150" s="627" t="s">
        <v>51</v>
      </c>
      <c r="W1150" s="627" t="s">
        <v>51</v>
      </c>
      <c r="X1150" s="627" t="s">
        <v>51</v>
      </c>
      <c r="Y1150" s="89"/>
    </row>
    <row r="1151" ht="22.5" customHeight="1">
      <c r="A1151" s="223"/>
      <c r="B1151" s="125"/>
      <c r="C1151" s="125"/>
      <c r="D1151" s="125"/>
      <c r="E1151" s="125"/>
      <c r="F1151" s="125"/>
      <c r="G1151" s="125"/>
      <c r="H1151" s="125"/>
      <c r="I1151" s="627" t="s">
        <v>51</v>
      </c>
      <c r="J1151" s="125" t="s">
        <v>51</v>
      </c>
      <c r="K1151" s="125" t="s">
        <v>51</v>
      </c>
      <c r="L1151" s="125" t="s">
        <v>51</v>
      </c>
      <c r="M1151" s="125" t="str">
        <f t="shared" si="1"/>
        <v/>
      </c>
      <c r="N1151" s="125" t="str">
        <f t="shared" si="2"/>
        <v/>
      </c>
      <c r="O1151" s="125"/>
      <c r="P1151" s="125"/>
      <c r="Q1151" s="125"/>
      <c r="R1151" s="125"/>
      <c r="S1151" s="628">
        <f t="shared" si="3"/>
        <v>0</v>
      </c>
      <c r="T1151" s="627" t="s">
        <v>51</v>
      </c>
      <c r="U1151" s="627" t="s">
        <v>51</v>
      </c>
      <c r="V1151" s="627" t="s">
        <v>51</v>
      </c>
      <c r="W1151" s="627" t="s">
        <v>51</v>
      </c>
      <c r="X1151" s="627" t="s">
        <v>51</v>
      </c>
      <c r="Y1151" s="89"/>
    </row>
    <row r="1152" ht="22.5" customHeight="1">
      <c r="A1152" s="223"/>
      <c r="B1152" s="125"/>
      <c r="C1152" s="125"/>
      <c r="D1152" s="125"/>
      <c r="E1152" s="125"/>
      <c r="F1152" s="125"/>
      <c r="G1152" s="125"/>
      <c r="H1152" s="125"/>
      <c r="I1152" s="627" t="s">
        <v>51</v>
      </c>
      <c r="J1152" s="125" t="s">
        <v>51</v>
      </c>
      <c r="K1152" s="125" t="s">
        <v>51</v>
      </c>
      <c r="L1152" s="125" t="s">
        <v>51</v>
      </c>
      <c r="M1152" s="125" t="str">
        <f t="shared" si="1"/>
        <v/>
      </c>
      <c r="N1152" s="125" t="str">
        <f t="shared" si="2"/>
        <v/>
      </c>
      <c r="O1152" s="125"/>
      <c r="P1152" s="125"/>
      <c r="Q1152" s="125"/>
      <c r="R1152" s="125"/>
      <c r="S1152" s="628">
        <f t="shared" si="3"/>
        <v>0</v>
      </c>
      <c r="T1152" s="627" t="s">
        <v>51</v>
      </c>
      <c r="U1152" s="627" t="s">
        <v>51</v>
      </c>
      <c r="V1152" s="627" t="s">
        <v>51</v>
      </c>
      <c r="W1152" s="627" t="s">
        <v>51</v>
      </c>
      <c r="X1152" s="627" t="s">
        <v>51</v>
      </c>
      <c r="Y1152" s="89"/>
    </row>
    <row r="1153" ht="22.5" customHeight="1">
      <c r="A1153" s="223"/>
      <c r="B1153" s="125"/>
      <c r="C1153" s="125"/>
      <c r="D1153" s="125"/>
      <c r="E1153" s="125"/>
      <c r="F1153" s="125"/>
      <c r="G1153" s="125"/>
      <c r="H1153" s="125"/>
      <c r="I1153" s="627" t="s">
        <v>51</v>
      </c>
      <c r="J1153" s="125" t="s">
        <v>51</v>
      </c>
      <c r="K1153" s="125" t="s">
        <v>51</v>
      </c>
      <c r="L1153" s="125" t="s">
        <v>51</v>
      </c>
      <c r="M1153" s="125" t="str">
        <f t="shared" si="1"/>
        <v/>
      </c>
      <c r="N1153" s="125" t="str">
        <f t="shared" si="2"/>
        <v/>
      </c>
      <c r="O1153" s="125"/>
      <c r="P1153" s="125"/>
      <c r="Q1153" s="125"/>
      <c r="R1153" s="125"/>
      <c r="S1153" s="628">
        <f t="shared" si="3"/>
        <v>0</v>
      </c>
      <c r="T1153" s="627" t="s">
        <v>51</v>
      </c>
      <c r="U1153" s="627" t="s">
        <v>51</v>
      </c>
      <c r="V1153" s="627" t="s">
        <v>51</v>
      </c>
      <c r="W1153" s="627" t="s">
        <v>51</v>
      </c>
      <c r="X1153" s="627" t="s">
        <v>51</v>
      </c>
      <c r="Y1153" s="89"/>
    </row>
    <row r="1154" ht="22.5" customHeight="1">
      <c r="A1154" s="223"/>
      <c r="B1154" s="125"/>
      <c r="C1154" s="125"/>
      <c r="D1154" s="125"/>
      <c r="E1154" s="125"/>
      <c r="F1154" s="125"/>
      <c r="G1154" s="125"/>
      <c r="H1154" s="125"/>
      <c r="I1154" s="627" t="s">
        <v>51</v>
      </c>
      <c r="J1154" s="125" t="s">
        <v>51</v>
      </c>
      <c r="K1154" s="125" t="s">
        <v>51</v>
      </c>
      <c r="L1154" s="125" t="s">
        <v>51</v>
      </c>
      <c r="M1154" s="125" t="str">
        <f t="shared" si="1"/>
        <v/>
      </c>
      <c r="N1154" s="125" t="str">
        <f t="shared" si="2"/>
        <v/>
      </c>
      <c r="O1154" s="125"/>
      <c r="P1154" s="125"/>
      <c r="Q1154" s="125"/>
      <c r="R1154" s="125"/>
      <c r="S1154" s="628">
        <f t="shared" si="3"/>
        <v>0</v>
      </c>
      <c r="T1154" s="627" t="s">
        <v>51</v>
      </c>
      <c r="U1154" s="627" t="s">
        <v>51</v>
      </c>
      <c r="V1154" s="627" t="s">
        <v>51</v>
      </c>
      <c r="W1154" s="627" t="s">
        <v>51</v>
      </c>
      <c r="X1154" s="627" t="s">
        <v>51</v>
      </c>
      <c r="Y1154" s="89"/>
    </row>
    <row r="1155" ht="22.5" customHeight="1">
      <c r="A1155" s="223"/>
      <c r="B1155" s="125"/>
      <c r="C1155" s="125"/>
      <c r="D1155" s="125"/>
      <c r="E1155" s="125"/>
      <c r="F1155" s="125"/>
      <c r="G1155" s="125"/>
      <c r="H1155" s="125"/>
      <c r="I1155" s="627" t="s">
        <v>51</v>
      </c>
      <c r="J1155" s="125" t="s">
        <v>51</v>
      </c>
      <c r="K1155" s="125" t="s">
        <v>51</v>
      </c>
      <c r="L1155" s="125" t="s">
        <v>51</v>
      </c>
      <c r="M1155" s="125" t="str">
        <f t="shared" si="1"/>
        <v/>
      </c>
      <c r="N1155" s="125" t="str">
        <f t="shared" si="2"/>
        <v/>
      </c>
      <c r="O1155" s="125"/>
      <c r="P1155" s="125"/>
      <c r="Q1155" s="125"/>
      <c r="R1155" s="125"/>
      <c r="S1155" s="628">
        <f t="shared" si="3"/>
        <v>0</v>
      </c>
      <c r="T1155" s="627" t="s">
        <v>51</v>
      </c>
      <c r="U1155" s="627" t="s">
        <v>51</v>
      </c>
      <c r="V1155" s="627" t="s">
        <v>51</v>
      </c>
      <c r="W1155" s="627" t="s">
        <v>51</v>
      </c>
      <c r="X1155" s="627" t="s">
        <v>51</v>
      </c>
      <c r="Y1155" s="89"/>
    </row>
    <row r="1156" ht="22.5" customHeight="1">
      <c r="A1156" s="223"/>
      <c r="B1156" s="125"/>
      <c r="C1156" s="125"/>
      <c r="D1156" s="125"/>
      <c r="E1156" s="125"/>
      <c r="F1156" s="125"/>
      <c r="G1156" s="125"/>
      <c r="H1156" s="125"/>
      <c r="I1156" s="627" t="s">
        <v>51</v>
      </c>
      <c r="J1156" s="125" t="s">
        <v>51</v>
      </c>
      <c r="K1156" s="125" t="s">
        <v>51</v>
      </c>
      <c r="L1156" s="125" t="s">
        <v>51</v>
      </c>
      <c r="M1156" s="125" t="str">
        <f t="shared" si="1"/>
        <v/>
      </c>
      <c r="N1156" s="125" t="str">
        <f t="shared" si="2"/>
        <v/>
      </c>
      <c r="O1156" s="125"/>
      <c r="P1156" s="125"/>
      <c r="Q1156" s="125"/>
      <c r="R1156" s="125"/>
      <c r="S1156" s="628">
        <f t="shared" si="3"/>
        <v>0</v>
      </c>
      <c r="T1156" s="627" t="s">
        <v>51</v>
      </c>
      <c r="U1156" s="627" t="s">
        <v>51</v>
      </c>
      <c r="V1156" s="627" t="s">
        <v>51</v>
      </c>
      <c r="W1156" s="627" t="s">
        <v>51</v>
      </c>
      <c r="X1156" s="627" t="s">
        <v>51</v>
      </c>
      <c r="Y1156" s="89"/>
    </row>
    <row r="1157" ht="22.5" customHeight="1">
      <c r="A1157" s="223"/>
      <c r="B1157" s="125"/>
      <c r="C1157" s="125"/>
      <c r="D1157" s="125"/>
      <c r="E1157" s="125"/>
      <c r="F1157" s="125"/>
      <c r="G1157" s="125"/>
      <c r="H1157" s="125"/>
      <c r="I1157" s="627" t="s">
        <v>51</v>
      </c>
      <c r="J1157" s="125" t="s">
        <v>51</v>
      </c>
      <c r="K1157" s="125" t="s">
        <v>51</v>
      </c>
      <c r="L1157" s="125" t="s">
        <v>51</v>
      </c>
      <c r="M1157" s="125" t="str">
        <f t="shared" si="1"/>
        <v/>
      </c>
      <c r="N1157" s="125" t="str">
        <f t="shared" si="2"/>
        <v/>
      </c>
      <c r="O1157" s="125"/>
      <c r="P1157" s="125"/>
      <c r="Q1157" s="125"/>
      <c r="R1157" s="125"/>
      <c r="S1157" s="628">
        <f t="shared" si="3"/>
        <v>0</v>
      </c>
      <c r="T1157" s="627" t="s">
        <v>51</v>
      </c>
      <c r="U1157" s="627" t="s">
        <v>51</v>
      </c>
      <c r="V1157" s="627" t="s">
        <v>51</v>
      </c>
      <c r="W1157" s="627" t="s">
        <v>51</v>
      </c>
      <c r="X1157" s="627" t="s">
        <v>51</v>
      </c>
      <c r="Y1157" s="89"/>
    </row>
    <row r="1158" ht="22.5" customHeight="1">
      <c r="A1158" s="223"/>
      <c r="B1158" s="125"/>
      <c r="C1158" s="125"/>
      <c r="D1158" s="125"/>
      <c r="E1158" s="125"/>
      <c r="F1158" s="125"/>
      <c r="G1158" s="125"/>
      <c r="H1158" s="125"/>
      <c r="I1158" s="627" t="s">
        <v>51</v>
      </c>
      <c r="J1158" s="125" t="s">
        <v>51</v>
      </c>
      <c r="K1158" s="125" t="s">
        <v>51</v>
      </c>
      <c r="L1158" s="125" t="s">
        <v>51</v>
      </c>
      <c r="M1158" s="125" t="str">
        <f t="shared" si="1"/>
        <v/>
      </c>
      <c r="N1158" s="125" t="str">
        <f t="shared" si="2"/>
        <v/>
      </c>
      <c r="O1158" s="125"/>
      <c r="P1158" s="125"/>
      <c r="Q1158" s="125"/>
      <c r="R1158" s="125"/>
      <c r="S1158" s="628">
        <f t="shared" si="3"/>
        <v>0</v>
      </c>
      <c r="T1158" s="627" t="s">
        <v>51</v>
      </c>
      <c r="U1158" s="627" t="s">
        <v>51</v>
      </c>
      <c r="V1158" s="627" t="s">
        <v>51</v>
      </c>
      <c r="W1158" s="627" t="s">
        <v>51</v>
      </c>
      <c r="X1158" s="627" t="s">
        <v>51</v>
      </c>
      <c r="Y1158" s="89"/>
    </row>
    <row r="1159" ht="22.5" customHeight="1">
      <c r="A1159" s="223"/>
      <c r="B1159" s="125"/>
      <c r="C1159" s="125"/>
      <c r="D1159" s="125"/>
      <c r="E1159" s="125"/>
      <c r="F1159" s="125"/>
      <c r="G1159" s="125"/>
      <c r="H1159" s="125"/>
      <c r="I1159" s="627" t="s">
        <v>51</v>
      </c>
      <c r="J1159" s="125" t="s">
        <v>51</v>
      </c>
      <c r="K1159" s="125" t="s">
        <v>51</v>
      </c>
      <c r="L1159" s="125" t="s">
        <v>51</v>
      </c>
      <c r="M1159" s="125" t="str">
        <f t="shared" si="1"/>
        <v/>
      </c>
      <c r="N1159" s="125" t="str">
        <f t="shared" si="2"/>
        <v/>
      </c>
      <c r="O1159" s="125"/>
      <c r="P1159" s="125"/>
      <c r="Q1159" s="125"/>
      <c r="R1159" s="125"/>
      <c r="S1159" s="628">
        <f t="shared" si="3"/>
        <v>0</v>
      </c>
      <c r="T1159" s="627" t="s">
        <v>51</v>
      </c>
      <c r="U1159" s="627" t="s">
        <v>51</v>
      </c>
      <c r="V1159" s="627" t="s">
        <v>51</v>
      </c>
      <c r="W1159" s="627" t="s">
        <v>51</v>
      </c>
      <c r="X1159" s="627" t="s">
        <v>51</v>
      </c>
      <c r="Y1159" s="89"/>
    </row>
    <row r="1160" ht="22.5" customHeight="1">
      <c r="A1160" s="223"/>
      <c r="B1160" s="125"/>
      <c r="C1160" s="125"/>
      <c r="D1160" s="125"/>
      <c r="E1160" s="125"/>
      <c r="F1160" s="125"/>
      <c r="G1160" s="125"/>
      <c r="H1160" s="125"/>
      <c r="I1160" s="627" t="s">
        <v>51</v>
      </c>
      <c r="J1160" s="125" t="s">
        <v>51</v>
      </c>
      <c r="K1160" s="125" t="s">
        <v>51</v>
      </c>
      <c r="L1160" s="125" t="s">
        <v>51</v>
      </c>
      <c r="M1160" s="125" t="str">
        <f t="shared" si="1"/>
        <v/>
      </c>
      <c r="N1160" s="125" t="str">
        <f t="shared" si="2"/>
        <v/>
      </c>
      <c r="O1160" s="125"/>
      <c r="P1160" s="125"/>
      <c r="Q1160" s="125"/>
      <c r="R1160" s="125"/>
      <c r="S1160" s="628">
        <f t="shared" si="3"/>
        <v>0</v>
      </c>
      <c r="T1160" s="627" t="s">
        <v>51</v>
      </c>
      <c r="U1160" s="627" t="s">
        <v>51</v>
      </c>
      <c r="V1160" s="627" t="s">
        <v>51</v>
      </c>
      <c r="W1160" s="627" t="s">
        <v>51</v>
      </c>
      <c r="X1160" s="627" t="s">
        <v>51</v>
      </c>
      <c r="Y1160" s="89"/>
    </row>
    <row r="1161" ht="22.5" customHeight="1">
      <c r="A1161" s="223"/>
      <c r="B1161" s="125"/>
      <c r="C1161" s="125"/>
      <c r="D1161" s="125"/>
      <c r="E1161" s="125"/>
      <c r="F1161" s="125"/>
      <c r="G1161" s="125"/>
      <c r="H1161" s="125"/>
      <c r="I1161" s="627" t="s">
        <v>51</v>
      </c>
      <c r="J1161" s="125" t="s">
        <v>51</v>
      </c>
      <c r="K1161" s="125" t="s">
        <v>51</v>
      </c>
      <c r="L1161" s="125" t="s">
        <v>51</v>
      </c>
      <c r="M1161" s="125" t="str">
        <f t="shared" si="1"/>
        <v/>
      </c>
      <c r="N1161" s="125" t="str">
        <f t="shared" si="2"/>
        <v/>
      </c>
      <c r="O1161" s="125"/>
      <c r="P1161" s="125"/>
      <c r="Q1161" s="125"/>
      <c r="R1161" s="125"/>
      <c r="S1161" s="628">
        <f t="shared" si="3"/>
        <v>0</v>
      </c>
      <c r="T1161" s="627" t="s">
        <v>51</v>
      </c>
      <c r="U1161" s="627" t="s">
        <v>51</v>
      </c>
      <c r="V1161" s="627" t="s">
        <v>51</v>
      </c>
      <c r="W1161" s="627" t="s">
        <v>51</v>
      </c>
      <c r="X1161" s="627" t="s">
        <v>51</v>
      </c>
      <c r="Y1161" s="89"/>
    </row>
    <row r="1162" ht="22.5" customHeight="1">
      <c r="A1162" s="223"/>
      <c r="B1162" s="125"/>
      <c r="C1162" s="125"/>
      <c r="D1162" s="125"/>
      <c r="E1162" s="125"/>
      <c r="F1162" s="125"/>
      <c r="G1162" s="125"/>
      <c r="H1162" s="125"/>
      <c r="I1162" s="627" t="s">
        <v>51</v>
      </c>
      <c r="J1162" s="125" t="s">
        <v>51</v>
      </c>
      <c r="K1162" s="125" t="s">
        <v>51</v>
      </c>
      <c r="L1162" s="125" t="s">
        <v>51</v>
      </c>
      <c r="M1162" s="125" t="str">
        <f t="shared" si="1"/>
        <v/>
      </c>
      <c r="N1162" s="125" t="str">
        <f t="shared" si="2"/>
        <v/>
      </c>
      <c r="O1162" s="125"/>
      <c r="P1162" s="125"/>
      <c r="Q1162" s="125"/>
      <c r="R1162" s="125"/>
      <c r="S1162" s="628">
        <f t="shared" si="3"/>
        <v>0</v>
      </c>
      <c r="T1162" s="627" t="s">
        <v>51</v>
      </c>
      <c r="U1162" s="627" t="s">
        <v>51</v>
      </c>
      <c r="V1162" s="627" t="s">
        <v>51</v>
      </c>
      <c r="W1162" s="627" t="s">
        <v>51</v>
      </c>
      <c r="X1162" s="627" t="s">
        <v>51</v>
      </c>
      <c r="Y1162" s="89"/>
    </row>
    <row r="1163" ht="22.5" customHeight="1">
      <c r="A1163" s="223"/>
      <c r="B1163" s="125"/>
      <c r="C1163" s="125"/>
      <c r="D1163" s="125"/>
      <c r="E1163" s="125"/>
      <c r="F1163" s="125"/>
      <c r="G1163" s="125"/>
      <c r="H1163" s="125"/>
      <c r="I1163" s="627" t="s">
        <v>51</v>
      </c>
      <c r="J1163" s="125" t="s">
        <v>51</v>
      </c>
      <c r="K1163" s="125" t="s">
        <v>51</v>
      </c>
      <c r="L1163" s="125" t="s">
        <v>51</v>
      </c>
      <c r="M1163" s="125" t="str">
        <f t="shared" si="1"/>
        <v/>
      </c>
      <c r="N1163" s="125" t="str">
        <f t="shared" si="2"/>
        <v/>
      </c>
      <c r="O1163" s="125"/>
      <c r="P1163" s="125"/>
      <c r="Q1163" s="125"/>
      <c r="R1163" s="125"/>
      <c r="S1163" s="628">
        <f t="shared" si="3"/>
        <v>0</v>
      </c>
      <c r="T1163" s="627" t="s">
        <v>51</v>
      </c>
      <c r="U1163" s="627" t="s">
        <v>51</v>
      </c>
      <c r="V1163" s="627" t="s">
        <v>51</v>
      </c>
      <c r="W1163" s="627" t="s">
        <v>51</v>
      </c>
      <c r="X1163" s="627" t="s">
        <v>51</v>
      </c>
      <c r="Y1163" s="89"/>
    </row>
    <row r="1164" ht="22.5" customHeight="1">
      <c r="A1164" s="223"/>
      <c r="B1164" s="125"/>
      <c r="C1164" s="125"/>
      <c r="D1164" s="125"/>
      <c r="E1164" s="125"/>
      <c r="F1164" s="125"/>
      <c r="G1164" s="125"/>
      <c r="H1164" s="125"/>
      <c r="I1164" s="627" t="s">
        <v>51</v>
      </c>
      <c r="J1164" s="125" t="s">
        <v>51</v>
      </c>
      <c r="K1164" s="125" t="s">
        <v>51</v>
      </c>
      <c r="L1164" s="125" t="s">
        <v>51</v>
      </c>
      <c r="M1164" s="125" t="str">
        <f t="shared" si="1"/>
        <v/>
      </c>
      <c r="N1164" s="125" t="str">
        <f t="shared" si="2"/>
        <v/>
      </c>
      <c r="O1164" s="125"/>
      <c r="P1164" s="125"/>
      <c r="Q1164" s="125"/>
      <c r="R1164" s="125"/>
      <c r="S1164" s="628">
        <f t="shared" si="3"/>
        <v>0</v>
      </c>
      <c r="T1164" s="627" t="s">
        <v>51</v>
      </c>
      <c r="U1164" s="627" t="s">
        <v>51</v>
      </c>
      <c r="V1164" s="627" t="s">
        <v>51</v>
      </c>
      <c r="W1164" s="627" t="s">
        <v>51</v>
      </c>
      <c r="X1164" s="627" t="s">
        <v>51</v>
      </c>
      <c r="Y1164" s="89"/>
    </row>
    <row r="1165" ht="22.5" customHeight="1">
      <c r="A1165" s="223"/>
      <c r="B1165" s="125"/>
      <c r="C1165" s="125"/>
      <c r="D1165" s="125"/>
      <c r="E1165" s="125"/>
      <c r="F1165" s="125"/>
      <c r="G1165" s="125"/>
      <c r="H1165" s="125"/>
      <c r="I1165" s="627" t="s">
        <v>51</v>
      </c>
      <c r="J1165" s="125" t="s">
        <v>51</v>
      </c>
      <c r="K1165" s="125" t="s">
        <v>51</v>
      </c>
      <c r="L1165" s="125" t="s">
        <v>51</v>
      </c>
      <c r="M1165" s="125" t="str">
        <f t="shared" si="1"/>
        <v/>
      </c>
      <c r="N1165" s="125" t="str">
        <f t="shared" si="2"/>
        <v/>
      </c>
      <c r="O1165" s="125"/>
      <c r="P1165" s="125"/>
      <c r="Q1165" s="125"/>
      <c r="R1165" s="125"/>
      <c r="S1165" s="628">
        <f t="shared" si="3"/>
        <v>0</v>
      </c>
      <c r="T1165" s="627" t="s">
        <v>51</v>
      </c>
      <c r="U1165" s="627" t="s">
        <v>51</v>
      </c>
      <c r="V1165" s="627" t="s">
        <v>51</v>
      </c>
      <c r="W1165" s="627" t="s">
        <v>51</v>
      </c>
      <c r="X1165" s="627" t="s">
        <v>51</v>
      </c>
      <c r="Y1165" s="89"/>
    </row>
    <row r="1166" ht="22.5" customHeight="1">
      <c r="A1166" s="223"/>
      <c r="B1166" s="125"/>
      <c r="C1166" s="125"/>
      <c r="D1166" s="125"/>
      <c r="E1166" s="125"/>
      <c r="F1166" s="125"/>
      <c r="G1166" s="125"/>
      <c r="H1166" s="125"/>
      <c r="I1166" s="627" t="s">
        <v>51</v>
      </c>
      <c r="J1166" s="125" t="s">
        <v>51</v>
      </c>
      <c r="K1166" s="125" t="s">
        <v>51</v>
      </c>
      <c r="L1166" s="125" t="s">
        <v>51</v>
      </c>
      <c r="M1166" s="125" t="str">
        <f t="shared" si="1"/>
        <v/>
      </c>
      <c r="N1166" s="125" t="str">
        <f t="shared" si="2"/>
        <v/>
      </c>
      <c r="O1166" s="125"/>
      <c r="P1166" s="125"/>
      <c r="Q1166" s="125"/>
      <c r="R1166" s="125"/>
      <c r="S1166" s="628">
        <f t="shared" si="3"/>
        <v>0</v>
      </c>
      <c r="T1166" s="627" t="s">
        <v>51</v>
      </c>
      <c r="U1166" s="627" t="s">
        <v>51</v>
      </c>
      <c r="V1166" s="627" t="s">
        <v>51</v>
      </c>
      <c r="W1166" s="627" t="s">
        <v>51</v>
      </c>
      <c r="X1166" s="627" t="s">
        <v>51</v>
      </c>
      <c r="Y1166" s="89"/>
    </row>
    <row r="1167" ht="22.5" customHeight="1">
      <c r="A1167" s="223"/>
      <c r="B1167" s="125"/>
      <c r="C1167" s="125"/>
      <c r="D1167" s="125"/>
      <c r="E1167" s="125"/>
      <c r="F1167" s="125"/>
      <c r="G1167" s="125"/>
      <c r="H1167" s="125"/>
      <c r="I1167" s="627" t="s">
        <v>51</v>
      </c>
      <c r="J1167" s="125" t="s">
        <v>51</v>
      </c>
      <c r="K1167" s="125" t="s">
        <v>51</v>
      </c>
      <c r="L1167" s="125" t="s">
        <v>51</v>
      </c>
      <c r="M1167" s="125" t="str">
        <f t="shared" si="1"/>
        <v/>
      </c>
      <c r="N1167" s="125" t="str">
        <f t="shared" si="2"/>
        <v/>
      </c>
      <c r="O1167" s="125"/>
      <c r="P1167" s="125"/>
      <c r="Q1167" s="125"/>
      <c r="R1167" s="125"/>
      <c r="S1167" s="628">
        <f t="shared" si="3"/>
        <v>0</v>
      </c>
      <c r="T1167" s="627" t="s">
        <v>51</v>
      </c>
      <c r="U1167" s="627" t="s">
        <v>51</v>
      </c>
      <c r="V1167" s="627" t="s">
        <v>51</v>
      </c>
      <c r="W1167" s="627" t="s">
        <v>51</v>
      </c>
      <c r="X1167" s="627" t="s">
        <v>51</v>
      </c>
      <c r="Y1167" s="89"/>
    </row>
    <row r="1168" ht="22.5" customHeight="1">
      <c r="A1168" s="223"/>
      <c r="B1168" s="125"/>
      <c r="C1168" s="125"/>
      <c r="D1168" s="125"/>
      <c r="E1168" s="125"/>
      <c r="F1168" s="125"/>
      <c r="G1168" s="125"/>
      <c r="H1168" s="125"/>
      <c r="I1168" s="627" t="s">
        <v>51</v>
      </c>
      <c r="J1168" s="125" t="s">
        <v>51</v>
      </c>
      <c r="K1168" s="125" t="s">
        <v>51</v>
      </c>
      <c r="L1168" s="125" t="s">
        <v>51</v>
      </c>
      <c r="M1168" s="125" t="str">
        <f t="shared" si="1"/>
        <v/>
      </c>
      <c r="N1168" s="125" t="str">
        <f t="shared" si="2"/>
        <v/>
      </c>
      <c r="O1168" s="125"/>
      <c r="P1168" s="125"/>
      <c r="Q1168" s="125"/>
      <c r="R1168" s="125"/>
      <c r="S1168" s="628">
        <f t="shared" si="3"/>
        <v>0</v>
      </c>
      <c r="T1168" s="627" t="s">
        <v>51</v>
      </c>
      <c r="U1168" s="627" t="s">
        <v>51</v>
      </c>
      <c r="V1168" s="627" t="s">
        <v>51</v>
      </c>
      <c r="W1168" s="627" t="s">
        <v>51</v>
      </c>
      <c r="X1168" s="627" t="s">
        <v>51</v>
      </c>
      <c r="Y1168" s="89"/>
    </row>
    <row r="1169" ht="22.5" customHeight="1">
      <c r="A1169" s="223"/>
      <c r="B1169" s="125"/>
      <c r="C1169" s="125"/>
      <c r="D1169" s="125"/>
      <c r="E1169" s="125"/>
      <c r="F1169" s="125"/>
      <c r="G1169" s="125"/>
      <c r="H1169" s="125"/>
      <c r="I1169" s="627" t="s">
        <v>51</v>
      </c>
      <c r="J1169" s="125" t="s">
        <v>51</v>
      </c>
      <c r="K1169" s="125" t="s">
        <v>51</v>
      </c>
      <c r="L1169" s="125" t="s">
        <v>51</v>
      </c>
      <c r="M1169" s="125" t="str">
        <f t="shared" si="1"/>
        <v/>
      </c>
      <c r="N1169" s="125" t="str">
        <f t="shared" si="2"/>
        <v/>
      </c>
      <c r="O1169" s="125"/>
      <c r="P1169" s="125"/>
      <c r="Q1169" s="125"/>
      <c r="R1169" s="125"/>
      <c r="S1169" s="628">
        <f t="shared" si="3"/>
        <v>0</v>
      </c>
      <c r="T1169" s="627" t="s">
        <v>51</v>
      </c>
      <c r="U1169" s="627" t="s">
        <v>51</v>
      </c>
      <c r="V1169" s="627" t="s">
        <v>51</v>
      </c>
      <c r="W1169" s="627" t="s">
        <v>51</v>
      </c>
      <c r="X1169" s="627" t="s">
        <v>51</v>
      </c>
      <c r="Y1169" s="89"/>
    </row>
    <row r="1170" ht="22.5" customHeight="1">
      <c r="A1170" s="223"/>
      <c r="B1170" s="125"/>
      <c r="C1170" s="125"/>
      <c r="D1170" s="125"/>
      <c r="E1170" s="125"/>
      <c r="F1170" s="125"/>
      <c r="G1170" s="125"/>
      <c r="H1170" s="125"/>
      <c r="I1170" s="627" t="s">
        <v>51</v>
      </c>
      <c r="J1170" s="125" t="s">
        <v>51</v>
      </c>
      <c r="K1170" s="125" t="s">
        <v>51</v>
      </c>
      <c r="L1170" s="125" t="s">
        <v>51</v>
      </c>
      <c r="M1170" s="125" t="str">
        <f t="shared" si="1"/>
        <v/>
      </c>
      <c r="N1170" s="125" t="str">
        <f t="shared" si="2"/>
        <v/>
      </c>
      <c r="O1170" s="125"/>
      <c r="P1170" s="125"/>
      <c r="Q1170" s="125"/>
      <c r="R1170" s="125"/>
      <c r="S1170" s="628">
        <f t="shared" si="3"/>
        <v>0</v>
      </c>
      <c r="T1170" s="627" t="s">
        <v>51</v>
      </c>
      <c r="U1170" s="627" t="s">
        <v>51</v>
      </c>
      <c r="V1170" s="627" t="s">
        <v>51</v>
      </c>
      <c r="W1170" s="627" t="s">
        <v>51</v>
      </c>
      <c r="X1170" s="627" t="s">
        <v>51</v>
      </c>
      <c r="Y1170" s="89"/>
    </row>
    <row r="1171" ht="22.5" customHeight="1">
      <c r="A1171" s="223"/>
      <c r="B1171" s="125"/>
      <c r="C1171" s="125"/>
      <c r="D1171" s="125"/>
      <c r="E1171" s="125"/>
      <c r="F1171" s="125"/>
      <c r="G1171" s="125"/>
      <c r="H1171" s="125"/>
      <c r="I1171" s="627" t="s">
        <v>51</v>
      </c>
      <c r="J1171" s="125" t="s">
        <v>51</v>
      </c>
      <c r="K1171" s="125" t="s">
        <v>51</v>
      </c>
      <c r="L1171" s="125" t="s">
        <v>51</v>
      </c>
      <c r="M1171" s="125" t="str">
        <f t="shared" si="1"/>
        <v/>
      </c>
      <c r="N1171" s="125" t="str">
        <f t="shared" si="2"/>
        <v/>
      </c>
      <c r="O1171" s="125"/>
      <c r="P1171" s="125"/>
      <c r="Q1171" s="125"/>
      <c r="R1171" s="125"/>
      <c r="S1171" s="628">
        <f t="shared" si="3"/>
        <v>0</v>
      </c>
      <c r="T1171" s="627" t="s">
        <v>51</v>
      </c>
      <c r="U1171" s="627" t="s">
        <v>51</v>
      </c>
      <c r="V1171" s="627" t="s">
        <v>51</v>
      </c>
      <c r="W1171" s="627" t="s">
        <v>51</v>
      </c>
      <c r="X1171" s="627" t="s">
        <v>51</v>
      </c>
      <c r="Y1171" s="89"/>
    </row>
    <row r="1172" ht="22.5" customHeight="1">
      <c r="A1172" s="223"/>
      <c r="B1172" s="125"/>
      <c r="C1172" s="125"/>
      <c r="D1172" s="125"/>
      <c r="E1172" s="125"/>
      <c r="F1172" s="125"/>
      <c r="G1172" s="125"/>
      <c r="H1172" s="125"/>
      <c r="I1172" s="627" t="s">
        <v>51</v>
      </c>
      <c r="J1172" s="125" t="s">
        <v>51</v>
      </c>
      <c r="K1172" s="125" t="s">
        <v>51</v>
      </c>
      <c r="L1172" s="125" t="s">
        <v>51</v>
      </c>
      <c r="M1172" s="125" t="str">
        <f t="shared" si="1"/>
        <v/>
      </c>
      <c r="N1172" s="125" t="str">
        <f t="shared" si="2"/>
        <v/>
      </c>
      <c r="O1172" s="125"/>
      <c r="P1172" s="125"/>
      <c r="Q1172" s="125"/>
      <c r="R1172" s="125"/>
      <c r="S1172" s="628">
        <f t="shared" si="3"/>
        <v>0</v>
      </c>
      <c r="T1172" s="627" t="s">
        <v>51</v>
      </c>
      <c r="U1172" s="627" t="s">
        <v>51</v>
      </c>
      <c r="V1172" s="627" t="s">
        <v>51</v>
      </c>
      <c r="W1172" s="627" t="s">
        <v>51</v>
      </c>
      <c r="X1172" s="627" t="s">
        <v>51</v>
      </c>
      <c r="Y1172" s="89"/>
    </row>
    <row r="1173" ht="22.5" customHeight="1">
      <c r="A1173" s="223"/>
      <c r="B1173" s="125"/>
      <c r="C1173" s="125"/>
      <c r="D1173" s="125"/>
      <c r="E1173" s="125"/>
      <c r="F1173" s="125"/>
      <c r="G1173" s="125"/>
      <c r="H1173" s="125"/>
      <c r="I1173" s="627" t="s">
        <v>51</v>
      </c>
      <c r="J1173" s="125" t="s">
        <v>51</v>
      </c>
      <c r="K1173" s="125" t="s">
        <v>51</v>
      </c>
      <c r="L1173" s="125" t="s">
        <v>51</v>
      </c>
      <c r="M1173" s="125" t="str">
        <f t="shared" si="1"/>
        <v/>
      </c>
      <c r="N1173" s="125" t="str">
        <f t="shared" si="2"/>
        <v/>
      </c>
      <c r="O1173" s="125"/>
      <c r="P1173" s="125"/>
      <c r="Q1173" s="125"/>
      <c r="R1173" s="125"/>
      <c r="S1173" s="628">
        <f t="shared" si="3"/>
        <v>0</v>
      </c>
      <c r="T1173" s="627" t="s">
        <v>51</v>
      </c>
      <c r="U1173" s="627" t="s">
        <v>51</v>
      </c>
      <c r="V1173" s="627" t="s">
        <v>51</v>
      </c>
      <c r="W1173" s="627" t="s">
        <v>51</v>
      </c>
      <c r="X1173" s="627" t="s">
        <v>51</v>
      </c>
      <c r="Y1173" s="89"/>
    </row>
    <row r="1174" ht="22.5" customHeight="1">
      <c r="A1174" s="223"/>
      <c r="B1174" s="125"/>
      <c r="C1174" s="125"/>
      <c r="D1174" s="125"/>
      <c r="E1174" s="125"/>
      <c r="F1174" s="125"/>
      <c r="G1174" s="125"/>
      <c r="H1174" s="125"/>
      <c r="I1174" s="627" t="s">
        <v>51</v>
      </c>
      <c r="J1174" s="125" t="s">
        <v>51</v>
      </c>
      <c r="K1174" s="125" t="s">
        <v>51</v>
      </c>
      <c r="L1174" s="125" t="s">
        <v>51</v>
      </c>
      <c r="M1174" s="125" t="str">
        <f t="shared" si="1"/>
        <v/>
      </c>
      <c r="N1174" s="125" t="str">
        <f t="shared" si="2"/>
        <v/>
      </c>
      <c r="O1174" s="125"/>
      <c r="P1174" s="125"/>
      <c r="Q1174" s="125"/>
      <c r="R1174" s="125"/>
      <c r="S1174" s="628">
        <f t="shared" si="3"/>
        <v>0</v>
      </c>
      <c r="T1174" s="627" t="s">
        <v>51</v>
      </c>
      <c r="U1174" s="627" t="s">
        <v>51</v>
      </c>
      <c r="V1174" s="627" t="s">
        <v>51</v>
      </c>
      <c r="W1174" s="627" t="s">
        <v>51</v>
      </c>
      <c r="X1174" s="627" t="s">
        <v>51</v>
      </c>
      <c r="Y1174" s="89"/>
    </row>
    <row r="1175" ht="22.5" customHeight="1">
      <c r="A1175" s="223"/>
      <c r="B1175" s="125"/>
      <c r="C1175" s="125"/>
      <c r="D1175" s="125"/>
      <c r="E1175" s="125"/>
      <c r="F1175" s="125"/>
      <c r="G1175" s="125"/>
      <c r="H1175" s="125"/>
      <c r="I1175" s="627" t="s">
        <v>51</v>
      </c>
      <c r="J1175" s="125" t="s">
        <v>51</v>
      </c>
      <c r="K1175" s="125" t="s">
        <v>51</v>
      </c>
      <c r="L1175" s="125" t="s">
        <v>51</v>
      </c>
      <c r="M1175" s="125" t="str">
        <f t="shared" si="1"/>
        <v/>
      </c>
      <c r="N1175" s="125" t="str">
        <f t="shared" si="2"/>
        <v/>
      </c>
      <c r="O1175" s="125"/>
      <c r="P1175" s="125"/>
      <c r="Q1175" s="125"/>
      <c r="R1175" s="125"/>
      <c r="S1175" s="628">
        <f t="shared" si="3"/>
        <v>0</v>
      </c>
      <c r="T1175" s="627" t="s">
        <v>51</v>
      </c>
      <c r="U1175" s="627" t="s">
        <v>51</v>
      </c>
      <c r="V1175" s="627" t="s">
        <v>51</v>
      </c>
      <c r="W1175" s="627" t="s">
        <v>51</v>
      </c>
      <c r="X1175" s="627" t="s">
        <v>51</v>
      </c>
      <c r="Y1175" s="89"/>
    </row>
    <row r="1176" ht="22.5" customHeight="1">
      <c r="A1176" s="223"/>
      <c r="B1176" s="125"/>
      <c r="C1176" s="125"/>
      <c r="D1176" s="125"/>
      <c r="E1176" s="125"/>
      <c r="F1176" s="125"/>
      <c r="G1176" s="125"/>
      <c r="H1176" s="125"/>
      <c r="I1176" s="627" t="s">
        <v>51</v>
      </c>
      <c r="J1176" s="125" t="s">
        <v>51</v>
      </c>
      <c r="K1176" s="125" t="s">
        <v>51</v>
      </c>
      <c r="L1176" s="125" t="s">
        <v>51</v>
      </c>
      <c r="M1176" s="125" t="str">
        <f t="shared" si="1"/>
        <v/>
      </c>
      <c r="N1176" s="125" t="str">
        <f t="shared" si="2"/>
        <v/>
      </c>
      <c r="O1176" s="125"/>
      <c r="P1176" s="125"/>
      <c r="Q1176" s="125"/>
      <c r="R1176" s="125"/>
      <c r="S1176" s="628">
        <f t="shared" si="3"/>
        <v>0</v>
      </c>
      <c r="T1176" s="627" t="s">
        <v>51</v>
      </c>
      <c r="U1176" s="627" t="s">
        <v>51</v>
      </c>
      <c r="V1176" s="627" t="s">
        <v>51</v>
      </c>
      <c r="W1176" s="627" t="s">
        <v>51</v>
      </c>
      <c r="X1176" s="627" t="s">
        <v>51</v>
      </c>
      <c r="Y1176" s="89"/>
    </row>
    <row r="1177" ht="22.5" customHeight="1">
      <c r="A1177" s="223"/>
      <c r="B1177" s="125"/>
      <c r="C1177" s="125"/>
      <c r="D1177" s="125"/>
      <c r="E1177" s="125"/>
      <c r="F1177" s="125"/>
      <c r="G1177" s="125"/>
      <c r="H1177" s="125"/>
      <c r="I1177" s="627" t="s">
        <v>51</v>
      </c>
      <c r="J1177" s="125" t="s">
        <v>51</v>
      </c>
      <c r="K1177" s="125" t="s">
        <v>51</v>
      </c>
      <c r="L1177" s="125" t="s">
        <v>51</v>
      </c>
      <c r="M1177" s="125" t="str">
        <f t="shared" si="1"/>
        <v/>
      </c>
      <c r="N1177" s="125" t="str">
        <f t="shared" si="2"/>
        <v/>
      </c>
      <c r="O1177" s="125"/>
      <c r="P1177" s="125"/>
      <c r="Q1177" s="125"/>
      <c r="R1177" s="125"/>
      <c r="S1177" s="628">
        <f t="shared" si="3"/>
        <v>0</v>
      </c>
      <c r="T1177" s="627" t="s">
        <v>51</v>
      </c>
      <c r="U1177" s="627" t="s">
        <v>51</v>
      </c>
      <c r="V1177" s="627" t="s">
        <v>51</v>
      </c>
      <c r="W1177" s="627" t="s">
        <v>51</v>
      </c>
      <c r="X1177" s="627" t="s">
        <v>51</v>
      </c>
      <c r="Y1177" s="89"/>
    </row>
    <row r="1178" ht="22.5" customHeight="1">
      <c r="A1178" s="223"/>
      <c r="B1178" s="125"/>
      <c r="C1178" s="125"/>
      <c r="D1178" s="125"/>
      <c r="E1178" s="125"/>
      <c r="F1178" s="125"/>
      <c r="G1178" s="125"/>
      <c r="H1178" s="125"/>
      <c r="I1178" s="627" t="s">
        <v>51</v>
      </c>
      <c r="J1178" s="125" t="s">
        <v>51</v>
      </c>
      <c r="K1178" s="125" t="s">
        <v>51</v>
      </c>
      <c r="L1178" s="125" t="s">
        <v>51</v>
      </c>
      <c r="M1178" s="125" t="str">
        <f t="shared" si="1"/>
        <v/>
      </c>
      <c r="N1178" s="125" t="str">
        <f t="shared" si="2"/>
        <v/>
      </c>
      <c r="O1178" s="125"/>
      <c r="P1178" s="125"/>
      <c r="Q1178" s="125"/>
      <c r="R1178" s="125"/>
      <c r="S1178" s="628">
        <f t="shared" si="3"/>
        <v>0</v>
      </c>
      <c r="T1178" s="627" t="s">
        <v>51</v>
      </c>
      <c r="U1178" s="627" t="s">
        <v>51</v>
      </c>
      <c r="V1178" s="627" t="s">
        <v>51</v>
      </c>
      <c r="W1178" s="627" t="s">
        <v>51</v>
      </c>
      <c r="X1178" s="627" t="s">
        <v>51</v>
      </c>
      <c r="Y1178" s="89"/>
    </row>
    <row r="1179" ht="22.5" customHeight="1">
      <c r="A1179" s="223"/>
      <c r="B1179" s="125"/>
      <c r="C1179" s="125"/>
      <c r="D1179" s="125"/>
      <c r="E1179" s="125"/>
      <c r="F1179" s="125"/>
      <c r="G1179" s="125"/>
      <c r="H1179" s="125"/>
      <c r="I1179" s="627" t="s">
        <v>51</v>
      </c>
      <c r="J1179" s="125" t="s">
        <v>51</v>
      </c>
      <c r="K1179" s="125" t="s">
        <v>51</v>
      </c>
      <c r="L1179" s="125" t="s">
        <v>51</v>
      </c>
      <c r="M1179" s="125" t="str">
        <f t="shared" si="1"/>
        <v/>
      </c>
      <c r="N1179" s="125" t="str">
        <f t="shared" si="2"/>
        <v/>
      </c>
      <c r="O1179" s="125"/>
      <c r="P1179" s="125"/>
      <c r="Q1179" s="125"/>
      <c r="R1179" s="125"/>
      <c r="S1179" s="628">
        <f t="shared" si="3"/>
        <v>0</v>
      </c>
      <c r="T1179" s="627" t="s">
        <v>51</v>
      </c>
      <c r="U1179" s="627" t="s">
        <v>51</v>
      </c>
      <c r="V1179" s="627" t="s">
        <v>51</v>
      </c>
      <c r="W1179" s="627" t="s">
        <v>51</v>
      </c>
      <c r="X1179" s="627" t="s">
        <v>51</v>
      </c>
      <c r="Y1179" s="89"/>
    </row>
    <row r="1180" ht="22.5" customHeight="1">
      <c r="A1180" s="223"/>
      <c r="B1180" s="125"/>
      <c r="C1180" s="125"/>
      <c r="D1180" s="125"/>
      <c r="E1180" s="125"/>
      <c r="F1180" s="125"/>
      <c r="G1180" s="125"/>
      <c r="H1180" s="125"/>
      <c r="I1180" s="627" t="s">
        <v>51</v>
      </c>
      <c r="J1180" s="125" t="s">
        <v>51</v>
      </c>
      <c r="K1180" s="125" t="s">
        <v>51</v>
      </c>
      <c r="L1180" s="125" t="s">
        <v>51</v>
      </c>
      <c r="M1180" s="125" t="str">
        <f t="shared" si="1"/>
        <v/>
      </c>
      <c r="N1180" s="125" t="str">
        <f t="shared" si="2"/>
        <v/>
      </c>
      <c r="O1180" s="125"/>
      <c r="P1180" s="125"/>
      <c r="Q1180" s="125"/>
      <c r="R1180" s="125"/>
      <c r="S1180" s="628">
        <f t="shared" si="3"/>
        <v>0</v>
      </c>
      <c r="T1180" s="627" t="s">
        <v>51</v>
      </c>
      <c r="U1180" s="627" t="s">
        <v>51</v>
      </c>
      <c r="V1180" s="627" t="s">
        <v>51</v>
      </c>
      <c r="W1180" s="627" t="s">
        <v>51</v>
      </c>
      <c r="X1180" s="627" t="s">
        <v>51</v>
      </c>
      <c r="Y1180" s="89"/>
    </row>
    <row r="1181" ht="22.5" customHeight="1">
      <c r="A1181" s="223"/>
      <c r="B1181" s="125"/>
      <c r="C1181" s="125"/>
      <c r="D1181" s="125"/>
      <c r="E1181" s="125"/>
      <c r="F1181" s="125"/>
      <c r="G1181" s="125"/>
      <c r="H1181" s="125"/>
      <c r="I1181" s="627" t="s">
        <v>51</v>
      </c>
      <c r="J1181" s="125" t="s">
        <v>51</v>
      </c>
      <c r="K1181" s="125" t="s">
        <v>51</v>
      </c>
      <c r="L1181" s="125" t="s">
        <v>51</v>
      </c>
      <c r="M1181" s="125" t="str">
        <f t="shared" si="1"/>
        <v/>
      </c>
      <c r="N1181" s="125" t="str">
        <f t="shared" si="2"/>
        <v/>
      </c>
      <c r="O1181" s="125"/>
      <c r="P1181" s="125"/>
      <c r="Q1181" s="125"/>
      <c r="R1181" s="125"/>
      <c r="S1181" s="628">
        <f t="shared" si="3"/>
        <v>0</v>
      </c>
      <c r="T1181" s="627" t="s">
        <v>51</v>
      </c>
      <c r="U1181" s="627" t="s">
        <v>51</v>
      </c>
      <c r="V1181" s="627" t="s">
        <v>51</v>
      </c>
      <c r="W1181" s="627" t="s">
        <v>51</v>
      </c>
      <c r="X1181" s="627" t="s">
        <v>51</v>
      </c>
      <c r="Y1181" s="89"/>
    </row>
    <row r="1182" ht="22.5" customHeight="1">
      <c r="A1182" s="223"/>
      <c r="B1182" s="125"/>
      <c r="C1182" s="125"/>
      <c r="D1182" s="125"/>
      <c r="E1182" s="125"/>
      <c r="F1182" s="125"/>
      <c r="G1182" s="125"/>
      <c r="H1182" s="125"/>
      <c r="I1182" s="627" t="s">
        <v>51</v>
      </c>
      <c r="J1182" s="125" t="s">
        <v>51</v>
      </c>
      <c r="K1182" s="125" t="s">
        <v>51</v>
      </c>
      <c r="L1182" s="125" t="s">
        <v>51</v>
      </c>
      <c r="M1182" s="125" t="str">
        <f t="shared" si="1"/>
        <v/>
      </c>
      <c r="N1182" s="125" t="str">
        <f t="shared" si="2"/>
        <v/>
      </c>
      <c r="O1182" s="125"/>
      <c r="P1182" s="125"/>
      <c r="Q1182" s="125"/>
      <c r="R1182" s="125"/>
      <c r="S1182" s="628">
        <f t="shared" si="3"/>
        <v>0</v>
      </c>
      <c r="T1182" s="627" t="s">
        <v>51</v>
      </c>
      <c r="U1182" s="627" t="s">
        <v>51</v>
      </c>
      <c r="V1182" s="627" t="s">
        <v>51</v>
      </c>
      <c r="W1182" s="627" t="s">
        <v>51</v>
      </c>
      <c r="X1182" s="627" t="s">
        <v>51</v>
      </c>
      <c r="Y1182" s="89"/>
    </row>
    <row r="1183" ht="22.5" customHeight="1">
      <c r="A1183" s="223"/>
      <c r="B1183" s="125"/>
      <c r="C1183" s="125"/>
      <c r="D1183" s="125"/>
      <c r="E1183" s="125"/>
      <c r="F1183" s="125"/>
      <c r="G1183" s="125"/>
      <c r="H1183" s="125"/>
      <c r="I1183" s="627" t="s">
        <v>51</v>
      </c>
      <c r="J1183" s="125" t="s">
        <v>51</v>
      </c>
      <c r="K1183" s="125" t="s">
        <v>51</v>
      </c>
      <c r="L1183" s="125" t="s">
        <v>51</v>
      </c>
      <c r="M1183" s="125" t="str">
        <f t="shared" si="1"/>
        <v/>
      </c>
      <c r="N1183" s="125" t="str">
        <f t="shared" si="2"/>
        <v/>
      </c>
      <c r="O1183" s="125"/>
      <c r="P1183" s="125"/>
      <c r="Q1183" s="125"/>
      <c r="R1183" s="125"/>
      <c r="S1183" s="628">
        <f t="shared" si="3"/>
        <v>0</v>
      </c>
      <c r="T1183" s="627" t="s">
        <v>51</v>
      </c>
      <c r="U1183" s="627" t="s">
        <v>51</v>
      </c>
      <c r="V1183" s="627" t="s">
        <v>51</v>
      </c>
      <c r="W1183" s="627" t="s">
        <v>51</v>
      </c>
      <c r="X1183" s="627" t="s">
        <v>51</v>
      </c>
      <c r="Y1183" s="89"/>
    </row>
    <row r="1184" ht="22.5" customHeight="1">
      <c r="A1184" s="223"/>
      <c r="B1184" s="125"/>
      <c r="C1184" s="125"/>
      <c r="D1184" s="125"/>
      <c r="E1184" s="125"/>
      <c r="F1184" s="125"/>
      <c r="G1184" s="125"/>
      <c r="H1184" s="125"/>
      <c r="I1184" s="627" t="s">
        <v>51</v>
      </c>
      <c r="J1184" s="125" t="s">
        <v>51</v>
      </c>
      <c r="K1184" s="125" t="s">
        <v>51</v>
      </c>
      <c r="L1184" s="125" t="s">
        <v>51</v>
      </c>
      <c r="M1184" s="125" t="str">
        <f t="shared" si="1"/>
        <v/>
      </c>
      <c r="N1184" s="125" t="str">
        <f t="shared" si="2"/>
        <v/>
      </c>
      <c r="O1184" s="125"/>
      <c r="P1184" s="125"/>
      <c r="Q1184" s="125"/>
      <c r="R1184" s="125"/>
      <c r="S1184" s="628">
        <f t="shared" si="3"/>
        <v>0</v>
      </c>
      <c r="T1184" s="627" t="s">
        <v>51</v>
      </c>
      <c r="U1184" s="627" t="s">
        <v>51</v>
      </c>
      <c r="V1184" s="627" t="s">
        <v>51</v>
      </c>
      <c r="W1184" s="627" t="s">
        <v>51</v>
      </c>
      <c r="X1184" s="627" t="s">
        <v>51</v>
      </c>
      <c r="Y1184" s="89"/>
    </row>
    <row r="1185" ht="22.5" customHeight="1">
      <c r="A1185" s="223"/>
      <c r="B1185" s="125"/>
      <c r="C1185" s="125"/>
      <c r="D1185" s="125"/>
      <c r="E1185" s="125"/>
      <c r="F1185" s="125"/>
      <c r="G1185" s="125"/>
      <c r="H1185" s="125"/>
      <c r="I1185" s="627" t="s">
        <v>51</v>
      </c>
      <c r="J1185" s="125" t="s">
        <v>51</v>
      </c>
      <c r="K1185" s="125" t="s">
        <v>51</v>
      </c>
      <c r="L1185" s="125" t="s">
        <v>51</v>
      </c>
      <c r="M1185" s="125" t="str">
        <f t="shared" si="1"/>
        <v/>
      </c>
      <c r="N1185" s="125" t="str">
        <f t="shared" si="2"/>
        <v/>
      </c>
      <c r="O1185" s="125"/>
      <c r="P1185" s="125"/>
      <c r="Q1185" s="125"/>
      <c r="R1185" s="125"/>
      <c r="S1185" s="628">
        <f t="shared" si="3"/>
        <v>0</v>
      </c>
      <c r="T1185" s="627" t="s">
        <v>51</v>
      </c>
      <c r="U1185" s="627" t="s">
        <v>51</v>
      </c>
      <c r="V1185" s="627" t="s">
        <v>51</v>
      </c>
      <c r="W1185" s="627" t="s">
        <v>51</v>
      </c>
      <c r="X1185" s="627" t="s">
        <v>51</v>
      </c>
      <c r="Y1185" s="89"/>
    </row>
    <row r="1186" ht="22.5" customHeight="1">
      <c r="A1186" s="223"/>
      <c r="B1186" s="125"/>
      <c r="C1186" s="125"/>
      <c r="D1186" s="125"/>
      <c r="E1186" s="125"/>
      <c r="F1186" s="125"/>
      <c r="G1186" s="125"/>
      <c r="H1186" s="125"/>
      <c r="I1186" s="627" t="s">
        <v>51</v>
      </c>
      <c r="J1186" s="125" t="s">
        <v>51</v>
      </c>
      <c r="K1186" s="125" t="s">
        <v>51</v>
      </c>
      <c r="L1186" s="125" t="s">
        <v>51</v>
      </c>
      <c r="M1186" s="125" t="str">
        <f t="shared" si="1"/>
        <v/>
      </c>
      <c r="N1186" s="125" t="str">
        <f t="shared" si="2"/>
        <v/>
      </c>
      <c r="O1186" s="125"/>
      <c r="P1186" s="125"/>
      <c r="Q1186" s="125"/>
      <c r="R1186" s="125"/>
      <c r="S1186" s="628">
        <f t="shared" si="3"/>
        <v>0</v>
      </c>
      <c r="T1186" s="627" t="s">
        <v>51</v>
      </c>
      <c r="U1186" s="627" t="s">
        <v>51</v>
      </c>
      <c r="V1186" s="627" t="s">
        <v>51</v>
      </c>
      <c r="W1186" s="627" t="s">
        <v>51</v>
      </c>
      <c r="X1186" s="627" t="s">
        <v>51</v>
      </c>
      <c r="Y1186" s="89"/>
    </row>
    <row r="1187" ht="22.5" customHeight="1">
      <c r="A1187" s="223"/>
      <c r="B1187" s="125"/>
      <c r="C1187" s="125"/>
      <c r="D1187" s="125"/>
      <c r="E1187" s="125"/>
      <c r="F1187" s="125"/>
      <c r="G1187" s="125"/>
      <c r="H1187" s="125"/>
      <c r="I1187" s="627" t="s">
        <v>51</v>
      </c>
      <c r="J1187" s="125" t="s">
        <v>51</v>
      </c>
      <c r="K1187" s="125" t="s">
        <v>51</v>
      </c>
      <c r="L1187" s="125" t="s">
        <v>51</v>
      </c>
      <c r="M1187" s="125" t="str">
        <f t="shared" si="1"/>
        <v/>
      </c>
      <c r="N1187" s="125" t="str">
        <f t="shared" si="2"/>
        <v/>
      </c>
      <c r="O1187" s="125"/>
      <c r="P1187" s="125"/>
      <c r="Q1187" s="125"/>
      <c r="R1187" s="125"/>
      <c r="S1187" s="628">
        <f t="shared" si="3"/>
        <v>0</v>
      </c>
      <c r="T1187" s="627" t="s">
        <v>51</v>
      </c>
      <c r="U1187" s="627" t="s">
        <v>51</v>
      </c>
      <c r="V1187" s="627" t="s">
        <v>51</v>
      </c>
      <c r="W1187" s="627" t="s">
        <v>51</v>
      </c>
      <c r="X1187" s="627" t="s">
        <v>51</v>
      </c>
      <c r="Y1187" s="89"/>
    </row>
    <row r="1188" ht="22.5" customHeight="1">
      <c r="A1188" s="223"/>
      <c r="B1188" s="125"/>
      <c r="C1188" s="125"/>
      <c r="D1188" s="125"/>
      <c r="E1188" s="125"/>
      <c r="F1188" s="125"/>
      <c r="G1188" s="125"/>
      <c r="H1188" s="125"/>
      <c r="I1188" s="627" t="s">
        <v>51</v>
      </c>
      <c r="J1188" s="125" t="s">
        <v>51</v>
      </c>
      <c r="K1188" s="125" t="s">
        <v>51</v>
      </c>
      <c r="L1188" s="125" t="s">
        <v>51</v>
      </c>
      <c r="M1188" s="125" t="str">
        <f t="shared" si="1"/>
        <v/>
      </c>
      <c r="N1188" s="125" t="str">
        <f t="shared" si="2"/>
        <v/>
      </c>
      <c r="O1188" s="125"/>
      <c r="P1188" s="125"/>
      <c r="Q1188" s="125"/>
      <c r="R1188" s="125"/>
      <c r="S1188" s="628">
        <f t="shared" si="3"/>
        <v>0</v>
      </c>
      <c r="T1188" s="627" t="s">
        <v>51</v>
      </c>
      <c r="U1188" s="627" t="s">
        <v>51</v>
      </c>
      <c r="V1188" s="627" t="s">
        <v>51</v>
      </c>
      <c r="W1188" s="627" t="s">
        <v>51</v>
      </c>
      <c r="X1188" s="627" t="s">
        <v>51</v>
      </c>
      <c r="Y1188" s="89"/>
    </row>
    <row r="1189" ht="22.5" customHeight="1">
      <c r="A1189" s="223"/>
      <c r="B1189" s="125"/>
      <c r="C1189" s="125"/>
      <c r="D1189" s="125"/>
      <c r="E1189" s="125"/>
      <c r="F1189" s="125"/>
      <c r="G1189" s="125"/>
      <c r="H1189" s="125"/>
      <c r="I1189" s="627" t="s">
        <v>51</v>
      </c>
      <c r="J1189" s="125" t="s">
        <v>51</v>
      </c>
      <c r="K1189" s="125" t="s">
        <v>51</v>
      </c>
      <c r="L1189" s="125" t="s">
        <v>51</v>
      </c>
      <c r="M1189" s="125" t="str">
        <f t="shared" si="1"/>
        <v/>
      </c>
      <c r="N1189" s="125" t="str">
        <f t="shared" si="2"/>
        <v/>
      </c>
      <c r="O1189" s="125"/>
      <c r="P1189" s="125"/>
      <c r="Q1189" s="125"/>
      <c r="R1189" s="125"/>
      <c r="S1189" s="628">
        <f t="shared" si="3"/>
        <v>0</v>
      </c>
      <c r="T1189" s="627" t="s">
        <v>51</v>
      </c>
      <c r="U1189" s="627" t="s">
        <v>51</v>
      </c>
      <c r="V1189" s="627" t="s">
        <v>51</v>
      </c>
      <c r="W1189" s="627" t="s">
        <v>51</v>
      </c>
      <c r="X1189" s="627" t="s">
        <v>51</v>
      </c>
      <c r="Y1189" s="89"/>
    </row>
    <row r="1190" ht="22.5" customHeight="1">
      <c r="A1190" s="223"/>
      <c r="B1190" s="125"/>
      <c r="C1190" s="125"/>
      <c r="D1190" s="125"/>
      <c r="E1190" s="125"/>
      <c r="F1190" s="125"/>
      <c r="G1190" s="125"/>
      <c r="H1190" s="125"/>
      <c r="I1190" s="627" t="s">
        <v>51</v>
      </c>
      <c r="J1190" s="125" t="s">
        <v>51</v>
      </c>
      <c r="K1190" s="125" t="s">
        <v>51</v>
      </c>
      <c r="L1190" s="125" t="s">
        <v>51</v>
      </c>
      <c r="M1190" s="125" t="str">
        <f t="shared" si="1"/>
        <v/>
      </c>
      <c r="N1190" s="125" t="str">
        <f t="shared" si="2"/>
        <v/>
      </c>
      <c r="O1190" s="125"/>
      <c r="P1190" s="125"/>
      <c r="Q1190" s="125"/>
      <c r="R1190" s="125"/>
      <c r="S1190" s="628">
        <f t="shared" si="3"/>
        <v>0</v>
      </c>
      <c r="T1190" s="627" t="s">
        <v>51</v>
      </c>
      <c r="U1190" s="627" t="s">
        <v>51</v>
      </c>
      <c r="V1190" s="627" t="s">
        <v>51</v>
      </c>
      <c r="W1190" s="627" t="s">
        <v>51</v>
      </c>
      <c r="X1190" s="627" t="s">
        <v>51</v>
      </c>
      <c r="Y1190" s="89"/>
    </row>
    <row r="1191" ht="22.5" customHeight="1">
      <c r="A1191" s="223"/>
      <c r="B1191" s="125"/>
      <c r="C1191" s="125"/>
      <c r="D1191" s="125"/>
      <c r="E1191" s="125"/>
      <c r="F1191" s="125"/>
      <c r="G1191" s="125"/>
      <c r="H1191" s="125"/>
      <c r="I1191" s="627" t="s">
        <v>51</v>
      </c>
      <c r="J1191" s="125" t="s">
        <v>51</v>
      </c>
      <c r="K1191" s="125" t="s">
        <v>51</v>
      </c>
      <c r="L1191" s="125" t="s">
        <v>51</v>
      </c>
      <c r="M1191" s="125" t="str">
        <f t="shared" si="1"/>
        <v/>
      </c>
      <c r="N1191" s="125" t="str">
        <f t="shared" si="2"/>
        <v/>
      </c>
      <c r="O1191" s="125"/>
      <c r="P1191" s="125"/>
      <c r="Q1191" s="125"/>
      <c r="R1191" s="125"/>
      <c r="S1191" s="628">
        <f t="shared" si="3"/>
        <v>0</v>
      </c>
      <c r="T1191" s="627" t="s">
        <v>51</v>
      </c>
      <c r="U1191" s="627" t="s">
        <v>51</v>
      </c>
      <c r="V1191" s="627" t="s">
        <v>51</v>
      </c>
      <c r="W1191" s="627" t="s">
        <v>51</v>
      </c>
      <c r="X1191" s="627" t="s">
        <v>51</v>
      </c>
      <c r="Y1191" s="89"/>
    </row>
    <row r="1192" ht="22.5" customHeight="1">
      <c r="A1192" s="223"/>
      <c r="B1192" s="125"/>
      <c r="C1192" s="125"/>
      <c r="D1192" s="125"/>
      <c r="E1192" s="125"/>
      <c r="F1192" s="125"/>
      <c r="G1192" s="125"/>
      <c r="H1192" s="125"/>
      <c r="I1192" s="627" t="s">
        <v>51</v>
      </c>
      <c r="J1192" s="125" t="s">
        <v>51</v>
      </c>
      <c r="K1192" s="125" t="s">
        <v>51</v>
      </c>
      <c r="L1192" s="125" t="s">
        <v>51</v>
      </c>
      <c r="M1192" s="125" t="str">
        <f t="shared" si="1"/>
        <v/>
      </c>
      <c r="N1192" s="125" t="str">
        <f t="shared" si="2"/>
        <v/>
      </c>
      <c r="O1192" s="125"/>
      <c r="P1192" s="125"/>
      <c r="Q1192" s="125"/>
      <c r="R1192" s="125"/>
      <c r="S1192" s="628">
        <f t="shared" si="3"/>
        <v>0</v>
      </c>
      <c r="T1192" s="627" t="s">
        <v>51</v>
      </c>
      <c r="U1192" s="627" t="s">
        <v>51</v>
      </c>
      <c r="V1192" s="627" t="s">
        <v>51</v>
      </c>
      <c r="W1192" s="627" t="s">
        <v>51</v>
      </c>
      <c r="X1192" s="627" t="s">
        <v>51</v>
      </c>
      <c r="Y1192" s="89"/>
    </row>
    <row r="1193" ht="22.5" customHeight="1">
      <c r="A1193" s="223"/>
      <c r="B1193" s="125"/>
      <c r="C1193" s="125"/>
      <c r="D1193" s="125"/>
      <c r="E1193" s="125"/>
      <c r="F1193" s="125"/>
      <c r="G1193" s="125"/>
      <c r="H1193" s="125"/>
      <c r="I1193" s="627" t="s">
        <v>51</v>
      </c>
      <c r="J1193" s="125" t="s">
        <v>51</v>
      </c>
      <c r="K1193" s="125" t="s">
        <v>51</v>
      </c>
      <c r="L1193" s="125" t="s">
        <v>51</v>
      </c>
      <c r="M1193" s="125" t="str">
        <f t="shared" si="1"/>
        <v/>
      </c>
      <c r="N1193" s="125" t="str">
        <f t="shared" si="2"/>
        <v/>
      </c>
      <c r="O1193" s="125"/>
      <c r="P1193" s="125"/>
      <c r="Q1193" s="125"/>
      <c r="R1193" s="125"/>
      <c r="S1193" s="628">
        <f t="shared" si="3"/>
        <v>0</v>
      </c>
      <c r="T1193" s="627" t="s">
        <v>51</v>
      </c>
      <c r="U1193" s="627" t="s">
        <v>51</v>
      </c>
      <c r="V1193" s="627" t="s">
        <v>51</v>
      </c>
      <c r="W1193" s="627" t="s">
        <v>51</v>
      </c>
      <c r="X1193" s="627" t="s">
        <v>51</v>
      </c>
      <c r="Y1193" s="89"/>
    </row>
    <row r="1194" ht="22.5" customHeight="1">
      <c r="A1194" s="223"/>
      <c r="B1194" s="125"/>
      <c r="C1194" s="125"/>
      <c r="D1194" s="125"/>
      <c r="E1194" s="125"/>
      <c r="F1194" s="125"/>
      <c r="G1194" s="125"/>
      <c r="H1194" s="125"/>
      <c r="I1194" s="627" t="s">
        <v>51</v>
      </c>
      <c r="J1194" s="125" t="s">
        <v>51</v>
      </c>
      <c r="K1194" s="125" t="s">
        <v>51</v>
      </c>
      <c r="L1194" s="125" t="s">
        <v>51</v>
      </c>
      <c r="M1194" s="125" t="str">
        <f t="shared" si="1"/>
        <v/>
      </c>
      <c r="N1194" s="125" t="str">
        <f t="shared" si="2"/>
        <v/>
      </c>
      <c r="O1194" s="125"/>
      <c r="P1194" s="125"/>
      <c r="Q1194" s="125"/>
      <c r="R1194" s="125"/>
      <c r="S1194" s="628">
        <f t="shared" si="3"/>
        <v>0</v>
      </c>
      <c r="T1194" s="627" t="s">
        <v>51</v>
      </c>
      <c r="U1194" s="627" t="s">
        <v>51</v>
      </c>
      <c r="V1194" s="627" t="s">
        <v>51</v>
      </c>
      <c r="W1194" s="627" t="s">
        <v>51</v>
      </c>
      <c r="X1194" s="627" t="s">
        <v>51</v>
      </c>
      <c r="Y1194" s="89"/>
    </row>
    <row r="1195" ht="22.5" customHeight="1">
      <c r="A1195" s="223"/>
      <c r="B1195" s="125"/>
      <c r="C1195" s="125"/>
      <c r="D1195" s="125"/>
      <c r="E1195" s="125"/>
      <c r="F1195" s="125"/>
      <c r="G1195" s="125"/>
      <c r="H1195" s="125"/>
      <c r="I1195" s="627" t="s">
        <v>51</v>
      </c>
      <c r="J1195" s="125" t="s">
        <v>51</v>
      </c>
      <c r="K1195" s="125" t="s">
        <v>51</v>
      </c>
      <c r="L1195" s="125" t="s">
        <v>51</v>
      </c>
      <c r="M1195" s="125" t="str">
        <f t="shared" si="1"/>
        <v/>
      </c>
      <c r="N1195" s="125" t="str">
        <f t="shared" si="2"/>
        <v/>
      </c>
      <c r="O1195" s="125"/>
      <c r="P1195" s="125"/>
      <c r="Q1195" s="125"/>
      <c r="R1195" s="125"/>
      <c r="S1195" s="628">
        <f t="shared" si="3"/>
        <v>0</v>
      </c>
      <c r="T1195" s="627" t="s">
        <v>51</v>
      </c>
      <c r="U1195" s="627" t="s">
        <v>51</v>
      </c>
      <c r="V1195" s="627" t="s">
        <v>51</v>
      </c>
      <c r="W1195" s="627" t="s">
        <v>51</v>
      </c>
      <c r="X1195" s="627" t="s">
        <v>51</v>
      </c>
      <c r="Y1195" s="89"/>
    </row>
    <row r="1196" ht="22.5" customHeight="1">
      <c r="A1196" s="223"/>
      <c r="B1196" s="125"/>
      <c r="C1196" s="125"/>
      <c r="D1196" s="125"/>
      <c r="E1196" s="125"/>
      <c r="F1196" s="125"/>
      <c r="G1196" s="125"/>
      <c r="H1196" s="125"/>
      <c r="I1196" s="627" t="s">
        <v>51</v>
      </c>
      <c r="J1196" s="125" t="s">
        <v>51</v>
      </c>
      <c r="K1196" s="125" t="s">
        <v>51</v>
      </c>
      <c r="L1196" s="125" t="s">
        <v>51</v>
      </c>
      <c r="M1196" s="125" t="str">
        <f t="shared" si="1"/>
        <v/>
      </c>
      <c r="N1196" s="125" t="str">
        <f t="shared" si="2"/>
        <v/>
      </c>
      <c r="O1196" s="125"/>
      <c r="P1196" s="125"/>
      <c r="Q1196" s="125"/>
      <c r="R1196" s="125"/>
      <c r="S1196" s="628">
        <f t="shared" si="3"/>
        <v>0</v>
      </c>
      <c r="T1196" s="627" t="s">
        <v>51</v>
      </c>
      <c r="U1196" s="627" t="s">
        <v>51</v>
      </c>
      <c r="V1196" s="627" t="s">
        <v>51</v>
      </c>
      <c r="W1196" s="627" t="s">
        <v>51</v>
      </c>
      <c r="X1196" s="627" t="s">
        <v>51</v>
      </c>
      <c r="Y1196" s="89"/>
    </row>
    <row r="1197" ht="22.5" customHeight="1">
      <c r="A1197" s="223"/>
      <c r="B1197" s="125"/>
      <c r="C1197" s="125"/>
      <c r="D1197" s="125"/>
      <c r="E1197" s="125"/>
      <c r="F1197" s="125"/>
      <c r="G1197" s="125"/>
      <c r="H1197" s="125"/>
      <c r="I1197" s="627" t="s">
        <v>51</v>
      </c>
      <c r="J1197" s="125" t="s">
        <v>51</v>
      </c>
      <c r="K1197" s="125" t="s">
        <v>51</v>
      </c>
      <c r="L1197" s="125" t="s">
        <v>51</v>
      </c>
      <c r="M1197" s="125" t="str">
        <f t="shared" si="1"/>
        <v/>
      </c>
      <c r="N1197" s="125" t="str">
        <f t="shared" si="2"/>
        <v/>
      </c>
      <c r="O1197" s="125"/>
      <c r="P1197" s="125"/>
      <c r="Q1197" s="125"/>
      <c r="R1197" s="125"/>
      <c r="S1197" s="628">
        <f t="shared" si="3"/>
        <v>0</v>
      </c>
      <c r="T1197" s="627" t="s">
        <v>51</v>
      </c>
      <c r="U1197" s="627" t="s">
        <v>51</v>
      </c>
      <c r="V1197" s="627" t="s">
        <v>51</v>
      </c>
      <c r="W1197" s="627" t="s">
        <v>51</v>
      </c>
      <c r="X1197" s="627" t="s">
        <v>51</v>
      </c>
      <c r="Y1197" s="89"/>
    </row>
    <row r="1198" ht="22.5" customHeight="1">
      <c r="A1198" s="223"/>
      <c r="B1198" s="125"/>
      <c r="C1198" s="125"/>
      <c r="D1198" s="125"/>
      <c r="E1198" s="125"/>
      <c r="F1198" s="125"/>
      <c r="G1198" s="125"/>
      <c r="H1198" s="125"/>
      <c r="I1198" s="627" t="s">
        <v>51</v>
      </c>
      <c r="J1198" s="125" t="s">
        <v>51</v>
      </c>
      <c r="K1198" s="125" t="s">
        <v>51</v>
      </c>
      <c r="L1198" s="125" t="s">
        <v>51</v>
      </c>
      <c r="M1198" s="125" t="str">
        <f t="shared" si="1"/>
        <v/>
      </c>
      <c r="N1198" s="125" t="str">
        <f t="shared" si="2"/>
        <v/>
      </c>
      <c r="O1198" s="125"/>
      <c r="P1198" s="125"/>
      <c r="Q1198" s="125"/>
      <c r="R1198" s="125"/>
      <c r="S1198" s="628">
        <f t="shared" si="3"/>
        <v>0</v>
      </c>
      <c r="T1198" s="627" t="s">
        <v>51</v>
      </c>
      <c r="U1198" s="627" t="s">
        <v>51</v>
      </c>
      <c r="V1198" s="627" t="s">
        <v>51</v>
      </c>
      <c r="W1198" s="627" t="s">
        <v>51</v>
      </c>
      <c r="X1198" s="627" t="s">
        <v>51</v>
      </c>
      <c r="Y1198" s="89"/>
    </row>
    <row r="1199" ht="22.5" customHeight="1">
      <c r="A1199" s="223"/>
      <c r="B1199" s="125"/>
      <c r="C1199" s="125"/>
      <c r="D1199" s="125"/>
      <c r="E1199" s="125"/>
      <c r="F1199" s="125"/>
      <c r="G1199" s="125"/>
      <c r="H1199" s="125"/>
      <c r="I1199" s="627" t="s">
        <v>51</v>
      </c>
      <c r="J1199" s="125" t="s">
        <v>51</v>
      </c>
      <c r="K1199" s="125" t="s">
        <v>51</v>
      </c>
      <c r="L1199" s="125" t="s">
        <v>51</v>
      </c>
      <c r="M1199" s="125" t="str">
        <f t="shared" si="1"/>
        <v/>
      </c>
      <c r="N1199" s="125" t="str">
        <f t="shared" si="2"/>
        <v/>
      </c>
      <c r="O1199" s="125"/>
      <c r="P1199" s="125"/>
      <c r="Q1199" s="125"/>
      <c r="R1199" s="125"/>
      <c r="S1199" s="628">
        <f t="shared" si="3"/>
        <v>0</v>
      </c>
      <c r="T1199" s="627" t="s">
        <v>51</v>
      </c>
      <c r="U1199" s="627" t="s">
        <v>51</v>
      </c>
      <c r="V1199" s="627" t="s">
        <v>51</v>
      </c>
      <c r="W1199" s="627" t="s">
        <v>51</v>
      </c>
      <c r="X1199" s="627" t="s">
        <v>51</v>
      </c>
      <c r="Y1199" s="89"/>
    </row>
    <row r="1200" ht="22.5" customHeight="1">
      <c r="A1200" s="223"/>
      <c r="B1200" s="125"/>
      <c r="C1200" s="125"/>
      <c r="D1200" s="125"/>
      <c r="E1200" s="125"/>
      <c r="F1200" s="125"/>
      <c r="G1200" s="125"/>
      <c r="H1200" s="125"/>
      <c r="I1200" s="627" t="s">
        <v>51</v>
      </c>
      <c r="J1200" s="125" t="s">
        <v>51</v>
      </c>
      <c r="K1200" s="125" t="s">
        <v>51</v>
      </c>
      <c r="L1200" s="125" t="s">
        <v>51</v>
      </c>
      <c r="M1200" s="125" t="str">
        <f t="shared" si="1"/>
        <v/>
      </c>
      <c r="N1200" s="125" t="str">
        <f t="shared" si="2"/>
        <v/>
      </c>
      <c r="O1200" s="125"/>
      <c r="P1200" s="125"/>
      <c r="Q1200" s="125"/>
      <c r="R1200" s="125"/>
      <c r="S1200" s="628">
        <f t="shared" si="3"/>
        <v>0</v>
      </c>
      <c r="T1200" s="627" t="s">
        <v>51</v>
      </c>
      <c r="U1200" s="627" t="s">
        <v>51</v>
      </c>
      <c r="V1200" s="627" t="s">
        <v>51</v>
      </c>
      <c r="W1200" s="627" t="s">
        <v>51</v>
      </c>
      <c r="X1200" s="627" t="s">
        <v>51</v>
      </c>
      <c r="Y1200" s="89"/>
    </row>
    <row r="1201" ht="22.5" customHeight="1">
      <c r="A1201" s="223"/>
      <c r="B1201" s="125"/>
      <c r="C1201" s="125"/>
      <c r="D1201" s="125"/>
      <c r="E1201" s="125"/>
      <c r="F1201" s="125"/>
      <c r="G1201" s="125"/>
      <c r="H1201" s="125"/>
      <c r="I1201" s="627" t="s">
        <v>51</v>
      </c>
      <c r="J1201" s="125" t="s">
        <v>51</v>
      </c>
      <c r="K1201" s="125" t="s">
        <v>51</v>
      </c>
      <c r="L1201" s="125" t="s">
        <v>51</v>
      </c>
      <c r="M1201" s="125" t="str">
        <f t="shared" si="1"/>
        <v/>
      </c>
      <c r="N1201" s="125" t="str">
        <f t="shared" si="2"/>
        <v/>
      </c>
      <c r="O1201" s="125"/>
      <c r="P1201" s="125"/>
      <c r="Q1201" s="125"/>
      <c r="R1201" s="125"/>
      <c r="S1201" s="628">
        <f t="shared" si="3"/>
        <v>0</v>
      </c>
      <c r="T1201" s="627" t="s">
        <v>51</v>
      </c>
      <c r="U1201" s="627" t="s">
        <v>51</v>
      </c>
      <c r="V1201" s="627" t="s">
        <v>51</v>
      </c>
      <c r="W1201" s="627" t="s">
        <v>51</v>
      </c>
      <c r="X1201" s="627" t="s">
        <v>51</v>
      </c>
      <c r="Y1201" s="89"/>
    </row>
    <row r="1202" ht="22.5" customHeight="1">
      <c r="A1202" s="223"/>
      <c r="B1202" s="125"/>
      <c r="C1202" s="125"/>
      <c r="D1202" s="125"/>
      <c r="E1202" s="125"/>
      <c r="F1202" s="125"/>
      <c r="G1202" s="125"/>
      <c r="H1202" s="125"/>
      <c r="I1202" s="627" t="s">
        <v>51</v>
      </c>
      <c r="J1202" s="125" t="s">
        <v>51</v>
      </c>
      <c r="K1202" s="125" t="s">
        <v>51</v>
      </c>
      <c r="L1202" s="125" t="s">
        <v>51</v>
      </c>
      <c r="M1202" s="125" t="str">
        <f t="shared" si="1"/>
        <v/>
      </c>
      <c r="N1202" s="125" t="str">
        <f t="shared" si="2"/>
        <v/>
      </c>
      <c r="O1202" s="125"/>
      <c r="P1202" s="125"/>
      <c r="Q1202" s="125"/>
      <c r="R1202" s="125"/>
      <c r="S1202" s="628">
        <f t="shared" si="3"/>
        <v>0</v>
      </c>
      <c r="T1202" s="627" t="s">
        <v>51</v>
      </c>
      <c r="U1202" s="627" t="s">
        <v>51</v>
      </c>
      <c r="V1202" s="627" t="s">
        <v>51</v>
      </c>
      <c r="W1202" s="627" t="s">
        <v>51</v>
      </c>
      <c r="X1202" s="627" t="s">
        <v>51</v>
      </c>
      <c r="Y1202" s="89"/>
    </row>
    <row r="1203" ht="22.5" customHeight="1">
      <c r="A1203" s="223"/>
      <c r="B1203" s="125"/>
      <c r="C1203" s="125"/>
      <c r="D1203" s="125"/>
      <c r="E1203" s="125"/>
      <c r="F1203" s="125"/>
      <c r="G1203" s="125"/>
      <c r="H1203" s="125"/>
      <c r="I1203" s="627" t="s">
        <v>51</v>
      </c>
      <c r="J1203" s="125" t="s">
        <v>51</v>
      </c>
      <c r="K1203" s="125" t="s">
        <v>51</v>
      </c>
      <c r="L1203" s="125" t="s">
        <v>51</v>
      </c>
      <c r="M1203" s="125" t="str">
        <f t="shared" si="1"/>
        <v/>
      </c>
      <c r="N1203" s="125" t="str">
        <f t="shared" si="2"/>
        <v/>
      </c>
      <c r="O1203" s="125"/>
      <c r="P1203" s="125"/>
      <c r="Q1203" s="125"/>
      <c r="R1203" s="125"/>
      <c r="S1203" s="628">
        <f t="shared" si="3"/>
        <v>0</v>
      </c>
      <c r="T1203" s="627" t="s">
        <v>51</v>
      </c>
      <c r="U1203" s="627" t="s">
        <v>51</v>
      </c>
      <c r="V1203" s="627" t="s">
        <v>51</v>
      </c>
      <c r="W1203" s="627" t="s">
        <v>51</v>
      </c>
      <c r="X1203" s="627" t="s">
        <v>51</v>
      </c>
      <c r="Y1203" s="89"/>
    </row>
    <row r="1204" ht="22.5" customHeight="1">
      <c r="A1204" s="223"/>
      <c r="B1204" s="125"/>
      <c r="C1204" s="125"/>
      <c r="D1204" s="125"/>
      <c r="E1204" s="125"/>
      <c r="F1204" s="125"/>
      <c r="G1204" s="125"/>
      <c r="H1204" s="125"/>
      <c r="I1204" s="627" t="s">
        <v>51</v>
      </c>
      <c r="J1204" s="125" t="s">
        <v>51</v>
      </c>
      <c r="K1204" s="125" t="s">
        <v>51</v>
      </c>
      <c r="L1204" s="125" t="s">
        <v>51</v>
      </c>
      <c r="M1204" s="125" t="str">
        <f t="shared" si="1"/>
        <v/>
      </c>
      <c r="N1204" s="125" t="str">
        <f t="shared" si="2"/>
        <v/>
      </c>
      <c r="O1204" s="125"/>
      <c r="P1204" s="125"/>
      <c r="Q1204" s="125"/>
      <c r="R1204" s="125"/>
      <c r="S1204" s="628">
        <f t="shared" si="3"/>
        <v>0</v>
      </c>
      <c r="T1204" s="627" t="s">
        <v>51</v>
      </c>
      <c r="U1204" s="627" t="s">
        <v>51</v>
      </c>
      <c r="V1204" s="627" t="s">
        <v>51</v>
      </c>
      <c r="W1204" s="627" t="s">
        <v>51</v>
      </c>
      <c r="X1204" s="627" t="s">
        <v>51</v>
      </c>
      <c r="Y1204" s="89"/>
    </row>
    <row r="1205" ht="22.5" customHeight="1">
      <c r="A1205" s="223"/>
      <c r="B1205" s="125"/>
      <c r="C1205" s="125"/>
      <c r="D1205" s="125"/>
      <c r="E1205" s="125"/>
      <c r="F1205" s="125"/>
      <c r="G1205" s="125"/>
      <c r="H1205" s="125"/>
      <c r="I1205" s="627" t="s">
        <v>51</v>
      </c>
      <c r="J1205" s="125" t="s">
        <v>51</v>
      </c>
      <c r="K1205" s="125" t="s">
        <v>51</v>
      </c>
      <c r="L1205" s="125" t="s">
        <v>51</v>
      </c>
      <c r="M1205" s="125" t="str">
        <f t="shared" si="1"/>
        <v/>
      </c>
      <c r="N1205" s="125" t="str">
        <f t="shared" si="2"/>
        <v/>
      </c>
      <c r="O1205" s="125"/>
      <c r="P1205" s="125"/>
      <c r="Q1205" s="125"/>
      <c r="R1205" s="125"/>
      <c r="S1205" s="628">
        <f t="shared" si="3"/>
        <v>0</v>
      </c>
      <c r="T1205" s="627" t="s">
        <v>51</v>
      </c>
      <c r="U1205" s="627" t="s">
        <v>51</v>
      </c>
      <c r="V1205" s="627" t="s">
        <v>51</v>
      </c>
      <c r="W1205" s="627" t="s">
        <v>51</v>
      </c>
      <c r="X1205" s="627" t="s">
        <v>51</v>
      </c>
      <c r="Y1205" s="89"/>
    </row>
    <row r="1206" ht="22.5" customHeight="1">
      <c r="A1206" s="223"/>
      <c r="B1206" s="125"/>
      <c r="C1206" s="125"/>
      <c r="D1206" s="125"/>
      <c r="E1206" s="125"/>
      <c r="F1206" s="125"/>
      <c r="G1206" s="125"/>
      <c r="H1206" s="125"/>
      <c r="I1206" s="627" t="s">
        <v>51</v>
      </c>
      <c r="J1206" s="125" t="s">
        <v>51</v>
      </c>
      <c r="K1206" s="125" t="s">
        <v>51</v>
      </c>
      <c r="L1206" s="125" t="s">
        <v>51</v>
      </c>
      <c r="M1206" s="125" t="str">
        <f t="shared" si="1"/>
        <v/>
      </c>
      <c r="N1206" s="125" t="str">
        <f t="shared" si="2"/>
        <v/>
      </c>
      <c r="O1206" s="125"/>
      <c r="P1206" s="125"/>
      <c r="Q1206" s="125"/>
      <c r="R1206" s="125"/>
      <c r="S1206" s="628">
        <f t="shared" si="3"/>
        <v>0</v>
      </c>
      <c r="T1206" s="627" t="s">
        <v>51</v>
      </c>
      <c r="U1206" s="627" t="s">
        <v>51</v>
      </c>
      <c r="V1206" s="627" t="s">
        <v>51</v>
      </c>
      <c r="W1206" s="627" t="s">
        <v>51</v>
      </c>
      <c r="X1206" s="627" t="s">
        <v>51</v>
      </c>
      <c r="Y1206" s="89"/>
    </row>
    <row r="1207" ht="22.5" customHeight="1">
      <c r="A1207" s="223"/>
      <c r="B1207" s="125"/>
      <c r="C1207" s="125"/>
      <c r="D1207" s="125"/>
      <c r="E1207" s="125"/>
      <c r="F1207" s="125"/>
      <c r="G1207" s="125"/>
      <c r="H1207" s="125"/>
      <c r="I1207" s="627" t="s">
        <v>51</v>
      </c>
      <c r="J1207" s="125" t="s">
        <v>51</v>
      </c>
      <c r="K1207" s="125" t="s">
        <v>51</v>
      </c>
      <c r="L1207" s="125" t="s">
        <v>51</v>
      </c>
      <c r="M1207" s="125" t="str">
        <f t="shared" si="1"/>
        <v/>
      </c>
      <c r="N1207" s="125" t="str">
        <f t="shared" si="2"/>
        <v/>
      </c>
      <c r="O1207" s="125"/>
      <c r="P1207" s="125"/>
      <c r="Q1207" s="125"/>
      <c r="R1207" s="125"/>
      <c r="S1207" s="628">
        <f t="shared" si="3"/>
        <v>0</v>
      </c>
      <c r="T1207" s="627" t="s">
        <v>51</v>
      </c>
      <c r="U1207" s="627" t="s">
        <v>51</v>
      </c>
      <c r="V1207" s="627" t="s">
        <v>51</v>
      </c>
      <c r="W1207" s="627" t="s">
        <v>51</v>
      </c>
      <c r="X1207" s="627" t="s">
        <v>51</v>
      </c>
      <c r="Y1207" s="89"/>
    </row>
    <row r="1208" ht="22.5" customHeight="1">
      <c r="A1208" s="223"/>
      <c r="B1208" s="125"/>
      <c r="C1208" s="125"/>
      <c r="D1208" s="125"/>
      <c r="E1208" s="125"/>
      <c r="F1208" s="125"/>
      <c r="G1208" s="125"/>
      <c r="H1208" s="125"/>
      <c r="I1208" s="627" t="s">
        <v>51</v>
      </c>
      <c r="J1208" s="125" t="s">
        <v>51</v>
      </c>
      <c r="K1208" s="125" t="s">
        <v>51</v>
      </c>
      <c r="L1208" s="125" t="s">
        <v>51</v>
      </c>
      <c r="M1208" s="125" t="str">
        <f t="shared" si="1"/>
        <v/>
      </c>
      <c r="N1208" s="125" t="str">
        <f t="shared" si="2"/>
        <v/>
      </c>
      <c r="O1208" s="125"/>
      <c r="P1208" s="125"/>
      <c r="Q1208" s="125"/>
      <c r="R1208" s="125"/>
      <c r="S1208" s="628">
        <f t="shared" si="3"/>
        <v>0</v>
      </c>
      <c r="T1208" s="627" t="s">
        <v>51</v>
      </c>
      <c r="U1208" s="627" t="s">
        <v>51</v>
      </c>
      <c r="V1208" s="627" t="s">
        <v>51</v>
      </c>
      <c r="W1208" s="627" t="s">
        <v>51</v>
      </c>
      <c r="X1208" s="627" t="s">
        <v>51</v>
      </c>
      <c r="Y1208" s="89"/>
    </row>
    <row r="1209" ht="22.5" customHeight="1">
      <c r="A1209" s="223"/>
      <c r="B1209" s="125"/>
      <c r="C1209" s="125"/>
      <c r="D1209" s="125"/>
      <c r="E1209" s="125"/>
      <c r="F1209" s="125"/>
      <c r="G1209" s="125"/>
      <c r="H1209" s="125"/>
      <c r="I1209" s="627" t="s">
        <v>51</v>
      </c>
      <c r="J1209" s="125" t="s">
        <v>51</v>
      </c>
      <c r="K1209" s="125" t="s">
        <v>51</v>
      </c>
      <c r="L1209" s="125" t="s">
        <v>51</v>
      </c>
      <c r="M1209" s="125" t="str">
        <f t="shared" si="1"/>
        <v/>
      </c>
      <c r="N1209" s="125" t="str">
        <f t="shared" si="2"/>
        <v/>
      </c>
      <c r="O1209" s="125"/>
      <c r="P1209" s="125"/>
      <c r="Q1209" s="125"/>
      <c r="R1209" s="125"/>
      <c r="S1209" s="628">
        <f t="shared" si="3"/>
        <v>0</v>
      </c>
      <c r="T1209" s="627" t="s">
        <v>51</v>
      </c>
      <c r="U1209" s="627" t="s">
        <v>51</v>
      </c>
      <c r="V1209" s="627" t="s">
        <v>51</v>
      </c>
      <c r="W1209" s="627" t="s">
        <v>51</v>
      </c>
      <c r="X1209" s="627" t="s">
        <v>51</v>
      </c>
      <c r="Y1209" s="89"/>
    </row>
    <row r="1210" ht="22.5" customHeight="1">
      <c r="A1210" s="223"/>
      <c r="B1210" s="125"/>
      <c r="C1210" s="125"/>
      <c r="D1210" s="125"/>
      <c r="E1210" s="125"/>
      <c r="F1210" s="125"/>
      <c r="G1210" s="125"/>
      <c r="H1210" s="125"/>
      <c r="I1210" s="627" t="s">
        <v>51</v>
      </c>
      <c r="J1210" s="125" t="s">
        <v>51</v>
      </c>
      <c r="K1210" s="125" t="s">
        <v>51</v>
      </c>
      <c r="L1210" s="125" t="s">
        <v>51</v>
      </c>
      <c r="M1210" s="125" t="str">
        <f t="shared" si="1"/>
        <v/>
      </c>
      <c r="N1210" s="125" t="str">
        <f t="shared" si="2"/>
        <v/>
      </c>
      <c r="O1210" s="125"/>
      <c r="P1210" s="125"/>
      <c r="Q1210" s="125"/>
      <c r="R1210" s="125"/>
      <c r="S1210" s="628">
        <f t="shared" si="3"/>
        <v>0</v>
      </c>
      <c r="T1210" s="627" t="s">
        <v>51</v>
      </c>
      <c r="U1210" s="627" t="s">
        <v>51</v>
      </c>
      <c r="V1210" s="627" t="s">
        <v>51</v>
      </c>
      <c r="W1210" s="627" t="s">
        <v>51</v>
      </c>
      <c r="X1210" s="627" t="s">
        <v>51</v>
      </c>
      <c r="Y1210" s="89"/>
    </row>
    <row r="1211" ht="22.5" customHeight="1">
      <c r="A1211" s="223"/>
      <c r="B1211" s="125"/>
      <c r="C1211" s="125"/>
      <c r="D1211" s="125"/>
      <c r="E1211" s="125"/>
      <c r="F1211" s="125"/>
      <c r="G1211" s="125"/>
      <c r="H1211" s="125"/>
      <c r="I1211" s="627" t="s">
        <v>51</v>
      </c>
      <c r="J1211" s="125" t="s">
        <v>51</v>
      </c>
      <c r="K1211" s="125" t="s">
        <v>51</v>
      </c>
      <c r="L1211" s="125" t="s">
        <v>51</v>
      </c>
      <c r="M1211" s="125" t="str">
        <f t="shared" si="1"/>
        <v/>
      </c>
      <c r="N1211" s="125" t="str">
        <f t="shared" si="2"/>
        <v/>
      </c>
      <c r="O1211" s="125"/>
      <c r="P1211" s="125"/>
      <c r="Q1211" s="125"/>
      <c r="R1211" s="125"/>
      <c r="S1211" s="628">
        <f t="shared" si="3"/>
        <v>0</v>
      </c>
      <c r="T1211" s="627" t="s">
        <v>51</v>
      </c>
      <c r="U1211" s="627" t="s">
        <v>51</v>
      </c>
      <c r="V1211" s="627" t="s">
        <v>51</v>
      </c>
      <c r="W1211" s="627" t="s">
        <v>51</v>
      </c>
      <c r="X1211" s="627" t="s">
        <v>51</v>
      </c>
      <c r="Y1211" s="89"/>
    </row>
    <row r="1212" ht="22.5" customHeight="1">
      <c r="A1212" s="223"/>
      <c r="B1212" s="125"/>
      <c r="C1212" s="125"/>
      <c r="D1212" s="125"/>
      <c r="E1212" s="125"/>
      <c r="F1212" s="125"/>
      <c r="G1212" s="125"/>
      <c r="H1212" s="125"/>
      <c r="I1212" s="627" t="s">
        <v>51</v>
      </c>
      <c r="J1212" s="125" t="s">
        <v>51</v>
      </c>
      <c r="K1212" s="125" t="s">
        <v>51</v>
      </c>
      <c r="L1212" s="125" t="s">
        <v>51</v>
      </c>
      <c r="M1212" s="125" t="str">
        <f t="shared" si="1"/>
        <v/>
      </c>
      <c r="N1212" s="125" t="str">
        <f t="shared" si="2"/>
        <v/>
      </c>
      <c r="O1212" s="125"/>
      <c r="P1212" s="125"/>
      <c r="Q1212" s="125"/>
      <c r="R1212" s="125"/>
      <c r="S1212" s="628">
        <f t="shared" si="3"/>
        <v>0</v>
      </c>
      <c r="T1212" s="627" t="s">
        <v>51</v>
      </c>
      <c r="U1212" s="627" t="s">
        <v>51</v>
      </c>
      <c r="V1212" s="627" t="s">
        <v>51</v>
      </c>
      <c r="W1212" s="627" t="s">
        <v>51</v>
      </c>
      <c r="X1212" s="627" t="s">
        <v>51</v>
      </c>
      <c r="Y1212" s="89"/>
    </row>
    <row r="1213" ht="22.5" customHeight="1">
      <c r="A1213" s="223"/>
      <c r="B1213" s="125"/>
      <c r="C1213" s="125"/>
      <c r="D1213" s="125"/>
      <c r="E1213" s="125"/>
      <c r="F1213" s="125"/>
      <c r="G1213" s="125"/>
      <c r="H1213" s="125"/>
      <c r="I1213" s="627" t="s">
        <v>51</v>
      </c>
      <c r="J1213" s="125" t="s">
        <v>51</v>
      </c>
      <c r="K1213" s="125" t="s">
        <v>51</v>
      </c>
      <c r="L1213" s="125" t="s">
        <v>51</v>
      </c>
      <c r="M1213" s="125" t="str">
        <f t="shared" si="1"/>
        <v/>
      </c>
      <c r="N1213" s="125" t="str">
        <f t="shared" si="2"/>
        <v/>
      </c>
      <c r="O1213" s="125"/>
      <c r="P1213" s="125"/>
      <c r="Q1213" s="125"/>
      <c r="R1213" s="125"/>
      <c r="S1213" s="628">
        <f t="shared" si="3"/>
        <v>0</v>
      </c>
      <c r="T1213" s="627" t="s">
        <v>51</v>
      </c>
      <c r="U1213" s="627" t="s">
        <v>51</v>
      </c>
      <c r="V1213" s="627" t="s">
        <v>51</v>
      </c>
      <c r="W1213" s="627" t="s">
        <v>51</v>
      </c>
      <c r="X1213" s="627" t="s">
        <v>51</v>
      </c>
      <c r="Y1213" s="89"/>
    </row>
    <row r="1214" ht="22.5" customHeight="1">
      <c r="A1214" s="223"/>
      <c r="B1214" s="125"/>
      <c r="C1214" s="125"/>
      <c r="D1214" s="125"/>
      <c r="E1214" s="125"/>
      <c r="F1214" s="125"/>
      <c r="G1214" s="125"/>
      <c r="H1214" s="125"/>
      <c r="I1214" s="627" t="s">
        <v>51</v>
      </c>
      <c r="J1214" s="125" t="s">
        <v>51</v>
      </c>
      <c r="K1214" s="125" t="s">
        <v>51</v>
      </c>
      <c r="L1214" s="125" t="s">
        <v>51</v>
      </c>
      <c r="M1214" s="125" t="str">
        <f t="shared" si="1"/>
        <v/>
      </c>
      <c r="N1214" s="125" t="str">
        <f t="shared" si="2"/>
        <v/>
      </c>
      <c r="O1214" s="125"/>
      <c r="P1214" s="125"/>
      <c r="Q1214" s="125"/>
      <c r="R1214" s="125"/>
      <c r="S1214" s="628">
        <f t="shared" si="3"/>
        <v>0</v>
      </c>
      <c r="T1214" s="627" t="s">
        <v>51</v>
      </c>
      <c r="U1214" s="627" t="s">
        <v>51</v>
      </c>
      <c r="V1214" s="627" t="s">
        <v>51</v>
      </c>
      <c r="W1214" s="627" t="s">
        <v>51</v>
      </c>
      <c r="X1214" s="627" t="s">
        <v>51</v>
      </c>
      <c r="Y1214" s="89"/>
    </row>
    <row r="1215" ht="22.5" customHeight="1">
      <c r="A1215" s="223"/>
      <c r="B1215" s="125"/>
      <c r="C1215" s="125"/>
      <c r="D1215" s="125"/>
      <c r="E1215" s="125"/>
      <c r="F1215" s="125"/>
      <c r="G1215" s="125"/>
      <c r="H1215" s="125"/>
      <c r="I1215" s="627" t="s">
        <v>51</v>
      </c>
      <c r="J1215" s="125" t="s">
        <v>51</v>
      </c>
      <c r="K1215" s="125" t="s">
        <v>51</v>
      </c>
      <c r="L1215" s="125" t="s">
        <v>51</v>
      </c>
      <c r="M1215" s="125" t="str">
        <f t="shared" si="1"/>
        <v/>
      </c>
      <c r="N1215" s="125" t="str">
        <f t="shared" si="2"/>
        <v/>
      </c>
      <c r="O1215" s="125"/>
      <c r="P1215" s="125"/>
      <c r="Q1215" s="125"/>
      <c r="R1215" s="125"/>
      <c r="S1215" s="628">
        <f t="shared" si="3"/>
        <v>0</v>
      </c>
      <c r="T1215" s="627" t="s">
        <v>51</v>
      </c>
      <c r="U1215" s="627" t="s">
        <v>51</v>
      </c>
      <c r="V1215" s="627" t="s">
        <v>51</v>
      </c>
      <c r="W1215" s="627" t="s">
        <v>51</v>
      </c>
      <c r="X1215" s="627" t="s">
        <v>51</v>
      </c>
      <c r="Y1215" s="89"/>
    </row>
    <row r="1216" ht="22.5" customHeight="1">
      <c r="A1216" s="223"/>
      <c r="B1216" s="125"/>
      <c r="C1216" s="125"/>
      <c r="D1216" s="125"/>
      <c r="E1216" s="125"/>
      <c r="F1216" s="125"/>
      <c r="G1216" s="125"/>
      <c r="H1216" s="125"/>
      <c r="I1216" s="627" t="s">
        <v>51</v>
      </c>
      <c r="J1216" s="125" t="s">
        <v>51</v>
      </c>
      <c r="K1216" s="125" t="s">
        <v>51</v>
      </c>
      <c r="L1216" s="125" t="s">
        <v>51</v>
      </c>
      <c r="M1216" s="125" t="str">
        <f t="shared" si="1"/>
        <v/>
      </c>
      <c r="N1216" s="125" t="str">
        <f t="shared" si="2"/>
        <v/>
      </c>
      <c r="O1216" s="125"/>
      <c r="P1216" s="125"/>
      <c r="Q1216" s="125"/>
      <c r="R1216" s="125"/>
      <c r="S1216" s="628">
        <f t="shared" si="3"/>
        <v>0</v>
      </c>
      <c r="T1216" s="627" t="s">
        <v>51</v>
      </c>
      <c r="U1216" s="627" t="s">
        <v>51</v>
      </c>
      <c r="V1216" s="627" t="s">
        <v>51</v>
      </c>
      <c r="W1216" s="627" t="s">
        <v>51</v>
      </c>
      <c r="X1216" s="627" t="s">
        <v>51</v>
      </c>
      <c r="Y1216" s="89"/>
    </row>
    <row r="1217" ht="22.5" customHeight="1">
      <c r="A1217" s="223"/>
      <c r="B1217" s="125"/>
      <c r="C1217" s="125"/>
      <c r="D1217" s="125"/>
      <c r="E1217" s="125"/>
      <c r="F1217" s="125"/>
      <c r="G1217" s="125"/>
      <c r="H1217" s="125"/>
      <c r="I1217" s="627" t="s">
        <v>51</v>
      </c>
      <c r="J1217" s="125" t="s">
        <v>51</v>
      </c>
      <c r="K1217" s="125" t="s">
        <v>51</v>
      </c>
      <c r="L1217" s="125" t="s">
        <v>51</v>
      </c>
      <c r="M1217" s="125" t="str">
        <f t="shared" si="1"/>
        <v/>
      </c>
      <c r="N1217" s="125" t="str">
        <f t="shared" si="2"/>
        <v/>
      </c>
      <c r="O1217" s="125"/>
      <c r="P1217" s="125"/>
      <c r="Q1217" s="125"/>
      <c r="R1217" s="125"/>
      <c r="S1217" s="628">
        <f t="shared" si="3"/>
        <v>0</v>
      </c>
      <c r="T1217" s="627" t="s">
        <v>51</v>
      </c>
      <c r="U1217" s="627" t="s">
        <v>51</v>
      </c>
      <c r="V1217" s="627" t="s">
        <v>51</v>
      </c>
      <c r="W1217" s="627" t="s">
        <v>51</v>
      </c>
      <c r="X1217" s="627" t="s">
        <v>51</v>
      </c>
      <c r="Y1217" s="89"/>
    </row>
    <row r="1218" ht="22.5" customHeight="1">
      <c r="A1218" s="223"/>
      <c r="B1218" s="125"/>
      <c r="C1218" s="125"/>
      <c r="D1218" s="125"/>
      <c r="E1218" s="125"/>
      <c r="F1218" s="125"/>
      <c r="G1218" s="125"/>
      <c r="H1218" s="125"/>
      <c r="I1218" s="627" t="s">
        <v>51</v>
      </c>
      <c r="J1218" s="125" t="s">
        <v>51</v>
      </c>
      <c r="K1218" s="125" t="s">
        <v>51</v>
      </c>
      <c r="L1218" s="125" t="s">
        <v>51</v>
      </c>
      <c r="M1218" s="125" t="str">
        <f t="shared" si="1"/>
        <v/>
      </c>
      <c r="N1218" s="125" t="str">
        <f t="shared" si="2"/>
        <v/>
      </c>
      <c r="O1218" s="125"/>
      <c r="P1218" s="125"/>
      <c r="Q1218" s="125"/>
      <c r="R1218" s="125"/>
      <c r="S1218" s="628">
        <f t="shared" si="3"/>
        <v>0</v>
      </c>
      <c r="T1218" s="627" t="s">
        <v>51</v>
      </c>
      <c r="U1218" s="627" t="s">
        <v>51</v>
      </c>
      <c r="V1218" s="627" t="s">
        <v>51</v>
      </c>
      <c r="W1218" s="627" t="s">
        <v>51</v>
      </c>
      <c r="X1218" s="627" t="s">
        <v>51</v>
      </c>
      <c r="Y1218" s="89"/>
    </row>
    <row r="1219" ht="22.5" customHeight="1">
      <c r="A1219" s="223"/>
      <c r="B1219" s="125"/>
      <c r="C1219" s="125"/>
      <c r="D1219" s="125"/>
      <c r="E1219" s="125"/>
      <c r="F1219" s="125"/>
      <c r="G1219" s="125"/>
      <c r="H1219" s="125"/>
      <c r="I1219" s="627" t="s">
        <v>51</v>
      </c>
      <c r="J1219" s="125" t="s">
        <v>51</v>
      </c>
      <c r="K1219" s="125" t="s">
        <v>51</v>
      </c>
      <c r="L1219" s="125" t="s">
        <v>51</v>
      </c>
      <c r="M1219" s="125" t="str">
        <f t="shared" si="1"/>
        <v/>
      </c>
      <c r="N1219" s="125" t="str">
        <f t="shared" si="2"/>
        <v/>
      </c>
      <c r="O1219" s="125"/>
      <c r="P1219" s="125"/>
      <c r="Q1219" s="125"/>
      <c r="R1219" s="125"/>
      <c r="S1219" s="628">
        <f t="shared" si="3"/>
        <v>0</v>
      </c>
      <c r="T1219" s="627" t="s">
        <v>51</v>
      </c>
      <c r="U1219" s="627" t="s">
        <v>51</v>
      </c>
      <c r="V1219" s="627" t="s">
        <v>51</v>
      </c>
      <c r="W1219" s="627" t="s">
        <v>51</v>
      </c>
      <c r="X1219" s="627" t="s">
        <v>51</v>
      </c>
      <c r="Y1219" s="89"/>
    </row>
    <row r="1220" ht="22.5" customHeight="1">
      <c r="A1220" s="223"/>
      <c r="B1220" s="125"/>
      <c r="C1220" s="125"/>
      <c r="D1220" s="125"/>
      <c r="E1220" s="125"/>
      <c r="F1220" s="125"/>
      <c r="G1220" s="125"/>
      <c r="H1220" s="125"/>
      <c r="I1220" s="627" t="s">
        <v>51</v>
      </c>
      <c r="J1220" s="125" t="s">
        <v>51</v>
      </c>
      <c r="K1220" s="125" t="s">
        <v>51</v>
      </c>
      <c r="L1220" s="125" t="s">
        <v>51</v>
      </c>
      <c r="M1220" s="125" t="str">
        <f t="shared" si="1"/>
        <v/>
      </c>
      <c r="N1220" s="125" t="str">
        <f t="shared" si="2"/>
        <v/>
      </c>
      <c r="O1220" s="125"/>
      <c r="P1220" s="125"/>
      <c r="Q1220" s="125"/>
      <c r="R1220" s="125"/>
      <c r="S1220" s="628">
        <f t="shared" si="3"/>
        <v>0</v>
      </c>
      <c r="T1220" s="627" t="s">
        <v>51</v>
      </c>
      <c r="U1220" s="627" t="s">
        <v>51</v>
      </c>
      <c r="V1220" s="627" t="s">
        <v>51</v>
      </c>
      <c r="W1220" s="627" t="s">
        <v>51</v>
      </c>
      <c r="X1220" s="627" t="s">
        <v>51</v>
      </c>
      <c r="Y1220" s="89"/>
    </row>
    <row r="1221" ht="22.5" customHeight="1">
      <c r="A1221" s="223"/>
      <c r="B1221" s="125"/>
      <c r="C1221" s="125"/>
      <c r="D1221" s="125"/>
      <c r="E1221" s="125"/>
      <c r="F1221" s="125"/>
      <c r="G1221" s="125"/>
      <c r="H1221" s="125"/>
      <c r="I1221" s="627" t="s">
        <v>51</v>
      </c>
      <c r="J1221" s="125" t="s">
        <v>51</v>
      </c>
      <c r="K1221" s="125" t="s">
        <v>51</v>
      </c>
      <c r="L1221" s="125" t="s">
        <v>51</v>
      </c>
      <c r="M1221" s="125" t="str">
        <f t="shared" si="1"/>
        <v/>
      </c>
      <c r="N1221" s="125" t="str">
        <f t="shared" si="2"/>
        <v/>
      </c>
      <c r="O1221" s="125"/>
      <c r="P1221" s="125"/>
      <c r="Q1221" s="125"/>
      <c r="R1221" s="125"/>
      <c r="S1221" s="628">
        <f t="shared" si="3"/>
        <v>0</v>
      </c>
      <c r="T1221" s="627" t="s">
        <v>51</v>
      </c>
      <c r="U1221" s="627" t="s">
        <v>51</v>
      </c>
      <c r="V1221" s="627" t="s">
        <v>51</v>
      </c>
      <c r="W1221" s="627" t="s">
        <v>51</v>
      </c>
      <c r="X1221" s="627" t="s">
        <v>51</v>
      </c>
      <c r="Y1221" s="89"/>
    </row>
    <row r="1222" ht="22.5" customHeight="1">
      <c r="A1222" s="223"/>
      <c r="B1222" s="125"/>
      <c r="C1222" s="125"/>
      <c r="D1222" s="125"/>
      <c r="E1222" s="125"/>
      <c r="F1222" s="125"/>
      <c r="G1222" s="125"/>
      <c r="H1222" s="125"/>
      <c r="I1222" s="627" t="s">
        <v>51</v>
      </c>
      <c r="J1222" s="125" t="s">
        <v>51</v>
      </c>
      <c r="K1222" s="125" t="s">
        <v>51</v>
      </c>
      <c r="L1222" s="125" t="s">
        <v>51</v>
      </c>
      <c r="M1222" s="125" t="str">
        <f t="shared" si="1"/>
        <v/>
      </c>
      <c r="N1222" s="125" t="str">
        <f t="shared" si="2"/>
        <v/>
      </c>
      <c r="O1222" s="125"/>
      <c r="P1222" s="125"/>
      <c r="Q1222" s="125"/>
      <c r="R1222" s="125"/>
      <c r="S1222" s="628">
        <f t="shared" si="3"/>
        <v>0</v>
      </c>
      <c r="T1222" s="627" t="s">
        <v>51</v>
      </c>
      <c r="U1222" s="627" t="s">
        <v>51</v>
      </c>
      <c r="V1222" s="627" t="s">
        <v>51</v>
      </c>
      <c r="W1222" s="627" t="s">
        <v>51</v>
      </c>
      <c r="X1222" s="627" t="s">
        <v>51</v>
      </c>
      <c r="Y1222" s="89"/>
    </row>
    <row r="1223" ht="22.5" customHeight="1">
      <c r="A1223" s="223"/>
      <c r="B1223" s="125"/>
      <c r="C1223" s="125"/>
      <c r="D1223" s="125"/>
      <c r="E1223" s="125"/>
      <c r="F1223" s="125"/>
      <c r="G1223" s="125"/>
      <c r="H1223" s="125"/>
      <c r="I1223" s="627" t="s">
        <v>51</v>
      </c>
      <c r="J1223" s="125" t="s">
        <v>51</v>
      </c>
      <c r="K1223" s="125" t="s">
        <v>51</v>
      </c>
      <c r="L1223" s="125" t="s">
        <v>51</v>
      </c>
      <c r="M1223" s="125" t="str">
        <f t="shared" si="1"/>
        <v/>
      </c>
      <c r="N1223" s="125" t="str">
        <f t="shared" si="2"/>
        <v/>
      </c>
      <c r="O1223" s="125"/>
      <c r="P1223" s="125"/>
      <c r="Q1223" s="125"/>
      <c r="R1223" s="125"/>
      <c r="S1223" s="628">
        <f t="shared" si="3"/>
        <v>0</v>
      </c>
      <c r="T1223" s="627" t="s">
        <v>51</v>
      </c>
      <c r="U1223" s="627" t="s">
        <v>51</v>
      </c>
      <c r="V1223" s="627" t="s">
        <v>51</v>
      </c>
      <c r="W1223" s="627" t="s">
        <v>51</v>
      </c>
      <c r="X1223" s="627" t="s">
        <v>51</v>
      </c>
      <c r="Y1223" s="89"/>
    </row>
    <row r="1224" ht="22.5" customHeight="1">
      <c r="A1224" s="223"/>
      <c r="B1224" s="125"/>
      <c r="C1224" s="125"/>
      <c r="D1224" s="125"/>
      <c r="E1224" s="125"/>
      <c r="F1224" s="125"/>
      <c r="G1224" s="125"/>
      <c r="H1224" s="125"/>
      <c r="I1224" s="627" t="s">
        <v>51</v>
      </c>
      <c r="J1224" s="125" t="s">
        <v>51</v>
      </c>
      <c r="K1224" s="125" t="s">
        <v>51</v>
      </c>
      <c r="L1224" s="125" t="s">
        <v>51</v>
      </c>
      <c r="M1224" s="125" t="str">
        <f t="shared" si="1"/>
        <v/>
      </c>
      <c r="N1224" s="125" t="str">
        <f t="shared" si="2"/>
        <v/>
      </c>
      <c r="O1224" s="125"/>
      <c r="P1224" s="125"/>
      <c r="Q1224" s="125"/>
      <c r="R1224" s="125"/>
      <c r="S1224" s="628">
        <f t="shared" si="3"/>
        <v>0</v>
      </c>
      <c r="T1224" s="627" t="s">
        <v>51</v>
      </c>
      <c r="U1224" s="627" t="s">
        <v>51</v>
      </c>
      <c r="V1224" s="627" t="s">
        <v>51</v>
      </c>
      <c r="W1224" s="627" t="s">
        <v>51</v>
      </c>
      <c r="X1224" s="627" t="s">
        <v>51</v>
      </c>
      <c r="Y1224" s="89"/>
    </row>
    <row r="1225" ht="22.5" customHeight="1">
      <c r="A1225" s="223"/>
      <c r="B1225" s="125"/>
      <c r="C1225" s="125"/>
      <c r="D1225" s="125"/>
      <c r="E1225" s="125"/>
      <c r="F1225" s="125"/>
      <c r="G1225" s="125"/>
      <c r="H1225" s="125"/>
      <c r="I1225" s="627" t="s">
        <v>51</v>
      </c>
      <c r="J1225" s="125" t="s">
        <v>51</v>
      </c>
      <c r="K1225" s="125" t="s">
        <v>51</v>
      </c>
      <c r="L1225" s="125" t="s">
        <v>51</v>
      </c>
      <c r="M1225" s="125" t="str">
        <f t="shared" si="1"/>
        <v/>
      </c>
      <c r="N1225" s="125" t="str">
        <f t="shared" si="2"/>
        <v/>
      </c>
      <c r="O1225" s="125"/>
      <c r="P1225" s="125"/>
      <c r="Q1225" s="125"/>
      <c r="R1225" s="125"/>
      <c r="S1225" s="628">
        <f t="shared" si="3"/>
        <v>0</v>
      </c>
      <c r="T1225" s="627" t="s">
        <v>51</v>
      </c>
      <c r="U1225" s="627" t="s">
        <v>51</v>
      </c>
      <c r="V1225" s="627" t="s">
        <v>51</v>
      </c>
      <c r="W1225" s="627" t="s">
        <v>51</v>
      </c>
      <c r="X1225" s="627" t="s">
        <v>51</v>
      </c>
      <c r="Y1225" s="89"/>
    </row>
    <row r="1226" ht="22.5" customHeight="1">
      <c r="A1226" s="223"/>
      <c r="B1226" s="125"/>
      <c r="C1226" s="125"/>
      <c r="D1226" s="125"/>
      <c r="E1226" s="125"/>
      <c r="F1226" s="125"/>
      <c r="G1226" s="125"/>
      <c r="H1226" s="125"/>
      <c r="I1226" s="627" t="s">
        <v>51</v>
      </c>
      <c r="J1226" s="125" t="s">
        <v>51</v>
      </c>
      <c r="K1226" s="125" t="s">
        <v>51</v>
      </c>
      <c r="L1226" s="125" t="s">
        <v>51</v>
      </c>
      <c r="M1226" s="125" t="str">
        <f t="shared" si="1"/>
        <v/>
      </c>
      <c r="N1226" s="125" t="str">
        <f t="shared" si="2"/>
        <v/>
      </c>
      <c r="O1226" s="125"/>
      <c r="P1226" s="125"/>
      <c r="Q1226" s="125"/>
      <c r="R1226" s="125"/>
      <c r="S1226" s="628">
        <f t="shared" si="3"/>
        <v>0</v>
      </c>
      <c r="T1226" s="627" t="s">
        <v>51</v>
      </c>
      <c r="U1226" s="627" t="s">
        <v>51</v>
      </c>
      <c r="V1226" s="627" t="s">
        <v>51</v>
      </c>
      <c r="W1226" s="627" t="s">
        <v>51</v>
      </c>
      <c r="X1226" s="627" t="s">
        <v>51</v>
      </c>
      <c r="Y1226" s="89"/>
    </row>
    <row r="1227" ht="22.5" customHeight="1">
      <c r="A1227" s="223"/>
      <c r="B1227" s="125"/>
      <c r="C1227" s="125"/>
      <c r="D1227" s="125"/>
      <c r="E1227" s="125"/>
      <c r="F1227" s="125"/>
      <c r="G1227" s="125"/>
      <c r="H1227" s="125"/>
      <c r="I1227" s="627" t="s">
        <v>51</v>
      </c>
      <c r="J1227" s="125" t="s">
        <v>51</v>
      </c>
      <c r="K1227" s="125" t="s">
        <v>51</v>
      </c>
      <c r="L1227" s="125" t="s">
        <v>51</v>
      </c>
      <c r="M1227" s="125" t="str">
        <f t="shared" si="1"/>
        <v/>
      </c>
      <c r="N1227" s="125" t="str">
        <f t="shared" si="2"/>
        <v/>
      </c>
      <c r="O1227" s="125"/>
      <c r="P1227" s="125"/>
      <c r="Q1227" s="125"/>
      <c r="R1227" s="125"/>
      <c r="S1227" s="628">
        <f t="shared" si="3"/>
        <v>0</v>
      </c>
      <c r="T1227" s="627" t="s">
        <v>51</v>
      </c>
      <c r="U1227" s="627" t="s">
        <v>51</v>
      </c>
      <c r="V1227" s="627" t="s">
        <v>51</v>
      </c>
      <c r="W1227" s="627" t="s">
        <v>51</v>
      </c>
      <c r="X1227" s="627" t="s">
        <v>51</v>
      </c>
      <c r="Y1227" s="89"/>
    </row>
    <row r="1228" ht="22.5" customHeight="1">
      <c r="A1228" s="223"/>
      <c r="B1228" s="125"/>
      <c r="C1228" s="125"/>
      <c r="D1228" s="125"/>
      <c r="E1228" s="125"/>
      <c r="F1228" s="125"/>
      <c r="G1228" s="125"/>
      <c r="H1228" s="125"/>
      <c r="I1228" s="627" t="s">
        <v>51</v>
      </c>
      <c r="J1228" s="125" t="s">
        <v>51</v>
      </c>
      <c r="K1228" s="125" t="s">
        <v>51</v>
      </c>
      <c r="L1228" s="125" t="s">
        <v>51</v>
      </c>
      <c r="M1228" s="125" t="str">
        <f t="shared" si="1"/>
        <v/>
      </c>
      <c r="N1228" s="125" t="str">
        <f t="shared" si="2"/>
        <v/>
      </c>
      <c r="O1228" s="125"/>
      <c r="P1228" s="125"/>
      <c r="Q1228" s="125"/>
      <c r="R1228" s="125"/>
      <c r="S1228" s="628">
        <f t="shared" si="3"/>
        <v>0</v>
      </c>
      <c r="T1228" s="627" t="s">
        <v>51</v>
      </c>
      <c r="U1228" s="627" t="s">
        <v>51</v>
      </c>
      <c r="V1228" s="627" t="s">
        <v>51</v>
      </c>
      <c r="W1228" s="627" t="s">
        <v>51</v>
      </c>
      <c r="X1228" s="627" t="s">
        <v>51</v>
      </c>
      <c r="Y1228" s="89"/>
    </row>
    <row r="1229" ht="22.5" customHeight="1">
      <c r="A1229" s="223"/>
      <c r="B1229" s="125"/>
      <c r="C1229" s="125"/>
      <c r="D1229" s="125"/>
      <c r="E1229" s="125"/>
      <c r="F1229" s="125"/>
      <c r="G1229" s="125"/>
      <c r="H1229" s="125"/>
      <c r="I1229" s="627" t="s">
        <v>51</v>
      </c>
      <c r="J1229" s="125" t="s">
        <v>51</v>
      </c>
      <c r="K1229" s="125" t="s">
        <v>51</v>
      </c>
      <c r="L1229" s="125" t="s">
        <v>51</v>
      </c>
      <c r="M1229" s="125" t="str">
        <f t="shared" si="1"/>
        <v/>
      </c>
      <c r="N1229" s="125" t="str">
        <f t="shared" si="2"/>
        <v/>
      </c>
      <c r="O1229" s="125"/>
      <c r="P1229" s="125"/>
      <c r="Q1229" s="125"/>
      <c r="R1229" s="125"/>
      <c r="S1229" s="628">
        <f t="shared" si="3"/>
        <v>0</v>
      </c>
      <c r="T1229" s="627" t="s">
        <v>51</v>
      </c>
      <c r="U1229" s="627" t="s">
        <v>51</v>
      </c>
      <c r="V1229" s="627" t="s">
        <v>51</v>
      </c>
      <c r="W1229" s="627" t="s">
        <v>51</v>
      </c>
      <c r="X1229" s="627" t="s">
        <v>51</v>
      </c>
      <c r="Y1229" s="89"/>
    </row>
    <row r="1230" ht="22.5" customHeight="1">
      <c r="A1230" s="223"/>
      <c r="B1230" s="125"/>
      <c r="C1230" s="125"/>
      <c r="D1230" s="125"/>
      <c r="E1230" s="125"/>
      <c r="F1230" s="125"/>
      <c r="G1230" s="125"/>
      <c r="H1230" s="125"/>
      <c r="I1230" s="627" t="s">
        <v>51</v>
      </c>
      <c r="J1230" s="125" t="s">
        <v>51</v>
      </c>
      <c r="K1230" s="125" t="s">
        <v>51</v>
      </c>
      <c r="L1230" s="125" t="s">
        <v>51</v>
      </c>
      <c r="M1230" s="125" t="str">
        <f t="shared" si="1"/>
        <v/>
      </c>
      <c r="N1230" s="125" t="str">
        <f t="shared" si="2"/>
        <v/>
      </c>
      <c r="O1230" s="125"/>
      <c r="P1230" s="125"/>
      <c r="Q1230" s="125"/>
      <c r="R1230" s="125"/>
      <c r="S1230" s="628">
        <f t="shared" si="3"/>
        <v>0</v>
      </c>
      <c r="T1230" s="627" t="s">
        <v>51</v>
      </c>
      <c r="U1230" s="627" t="s">
        <v>51</v>
      </c>
      <c r="V1230" s="627" t="s">
        <v>51</v>
      </c>
      <c r="W1230" s="627" t="s">
        <v>51</v>
      </c>
      <c r="X1230" s="627" t="s">
        <v>51</v>
      </c>
      <c r="Y1230" s="89"/>
    </row>
    <row r="1231" ht="22.5" customHeight="1">
      <c r="A1231" s="223"/>
      <c r="B1231" s="125"/>
      <c r="C1231" s="125"/>
      <c r="D1231" s="125"/>
      <c r="E1231" s="125"/>
      <c r="F1231" s="125"/>
      <c r="G1231" s="125"/>
      <c r="H1231" s="125"/>
      <c r="I1231" s="627" t="s">
        <v>51</v>
      </c>
      <c r="J1231" s="125" t="s">
        <v>51</v>
      </c>
      <c r="K1231" s="125" t="s">
        <v>51</v>
      </c>
      <c r="L1231" s="125" t="s">
        <v>51</v>
      </c>
      <c r="M1231" s="125" t="str">
        <f t="shared" si="1"/>
        <v/>
      </c>
      <c r="N1231" s="125" t="str">
        <f t="shared" si="2"/>
        <v/>
      </c>
      <c r="O1231" s="125"/>
      <c r="P1231" s="125"/>
      <c r="Q1231" s="125"/>
      <c r="R1231" s="125"/>
      <c r="S1231" s="628">
        <f t="shared" si="3"/>
        <v>0</v>
      </c>
      <c r="T1231" s="627" t="s">
        <v>51</v>
      </c>
      <c r="U1231" s="627" t="s">
        <v>51</v>
      </c>
      <c r="V1231" s="627" t="s">
        <v>51</v>
      </c>
      <c r="W1231" s="627" t="s">
        <v>51</v>
      </c>
      <c r="X1231" s="627" t="s">
        <v>51</v>
      </c>
      <c r="Y1231" s="89"/>
    </row>
    <row r="1232" ht="22.5" customHeight="1">
      <c r="A1232" s="223"/>
      <c r="B1232" s="125"/>
      <c r="C1232" s="125"/>
      <c r="D1232" s="125"/>
      <c r="E1232" s="125"/>
      <c r="F1232" s="125"/>
      <c r="G1232" s="125"/>
      <c r="H1232" s="125"/>
      <c r="I1232" s="627" t="s">
        <v>51</v>
      </c>
      <c r="J1232" s="125" t="s">
        <v>51</v>
      </c>
      <c r="K1232" s="125" t="s">
        <v>51</v>
      </c>
      <c r="L1232" s="125" t="s">
        <v>51</v>
      </c>
      <c r="M1232" s="125" t="str">
        <f t="shared" si="1"/>
        <v/>
      </c>
      <c r="N1232" s="125" t="str">
        <f t="shared" si="2"/>
        <v/>
      </c>
      <c r="O1232" s="125"/>
      <c r="P1232" s="125"/>
      <c r="Q1232" s="125"/>
      <c r="R1232" s="125"/>
      <c r="S1232" s="628">
        <f t="shared" si="3"/>
        <v>0</v>
      </c>
      <c r="T1232" s="627" t="s">
        <v>51</v>
      </c>
      <c r="U1232" s="627" t="s">
        <v>51</v>
      </c>
      <c r="V1232" s="627" t="s">
        <v>51</v>
      </c>
      <c r="W1232" s="627" t="s">
        <v>51</v>
      </c>
      <c r="X1232" s="627" t="s">
        <v>51</v>
      </c>
      <c r="Y1232" s="89"/>
    </row>
    <row r="1233" ht="22.5" customHeight="1">
      <c r="A1233" s="223"/>
      <c r="B1233" s="125"/>
      <c r="C1233" s="125"/>
      <c r="D1233" s="125"/>
      <c r="E1233" s="125"/>
      <c r="F1233" s="125"/>
      <c r="G1233" s="125"/>
      <c r="H1233" s="125"/>
      <c r="I1233" s="627" t="s">
        <v>51</v>
      </c>
      <c r="J1233" s="125" t="s">
        <v>51</v>
      </c>
      <c r="K1233" s="125" t="s">
        <v>51</v>
      </c>
      <c r="L1233" s="125" t="s">
        <v>51</v>
      </c>
      <c r="M1233" s="125" t="str">
        <f t="shared" si="1"/>
        <v/>
      </c>
      <c r="N1233" s="125" t="str">
        <f t="shared" si="2"/>
        <v/>
      </c>
      <c r="O1233" s="125"/>
      <c r="P1233" s="125"/>
      <c r="Q1233" s="125"/>
      <c r="R1233" s="125"/>
      <c r="S1233" s="628">
        <f t="shared" si="3"/>
        <v>0</v>
      </c>
      <c r="T1233" s="627" t="s">
        <v>51</v>
      </c>
      <c r="U1233" s="627" t="s">
        <v>51</v>
      </c>
      <c r="V1233" s="627" t="s">
        <v>51</v>
      </c>
      <c r="W1233" s="627" t="s">
        <v>51</v>
      </c>
      <c r="X1233" s="627" t="s">
        <v>51</v>
      </c>
      <c r="Y1233" s="89"/>
    </row>
    <row r="1234" ht="22.5" customHeight="1">
      <c r="A1234" s="223"/>
      <c r="B1234" s="125"/>
      <c r="C1234" s="125"/>
      <c r="D1234" s="125"/>
      <c r="E1234" s="125"/>
      <c r="F1234" s="125"/>
      <c r="G1234" s="125"/>
      <c r="H1234" s="125"/>
      <c r="I1234" s="627" t="s">
        <v>51</v>
      </c>
      <c r="J1234" s="125" t="s">
        <v>51</v>
      </c>
      <c r="K1234" s="125" t="s">
        <v>51</v>
      </c>
      <c r="L1234" s="125" t="s">
        <v>51</v>
      </c>
      <c r="M1234" s="125" t="str">
        <f t="shared" si="1"/>
        <v/>
      </c>
      <c r="N1234" s="125" t="str">
        <f t="shared" si="2"/>
        <v/>
      </c>
      <c r="O1234" s="125"/>
      <c r="P1234" s="125"/>
      <c r="Q1234" s="125"/>
      <c r="R1234" s="125"/>
      <c r="S1234" s="628">
        <f t="shared" si="3"/>
        <v>0</v>
      </c>
      <c r="T1234" s="627" t="s">
        <v>51</v>
      </c>
      <c r="U1234" s="627" t="s">
        <v>51</v>
      </c>
      <c r="V1234" s="627" t="s">
        <v>51</v>
      </c>
      <c r="W1234" s="627" t="s">
        <v>51</v>
      </c>
      <c r="X1234" s="627" t="s">
        <v>51</v>
      </c>
      <c r="Y1234" s="89"/>
    </row>
    <row r="1235" ht="22.5" customHeight="1">
      <c r="A1235" s="223"/>
      <c r="B1235" s="125"/>
      <c r="C1235" s="125"/>
      <c r="D1235" s="125"/>
      <c r="E1235" s="125"/>
      <c r="F1235" s="125"/>
      <c r="G1235" s="125"/>
      <c r="H1235" s="125"/>
      <c r="I1235" s="627" t="s">
        <v>51</v>
      </c>
      <c r="J1235" s="125" t="s">
        <v>51</v>
      </c>
      <c r="K1235" s="125" t="s">
        <v>51</v>
      </c>
      <c r="L1235" s="125" t="s">
        <v>51</v>
      </c>
      <c r="M1235" s="125" t="str">
        <f t="shared" si="1"/>
        <v/>
      </c>
      <c r="N1235" s="125" t="str">
        <f t="shared" si="2"/>
        <v/>
      </c>
      <c r="O1235" s="125"/>
      <c r="P1235" s="125"/>
      <c r="Q1235" s="125"/>
      <c r="R1235" s="125"/>
      <c r="S1235" s="628">
        <f t="shared" si="3"/>
        <v>0</v>
      </c>
      <c r="T1235" s="627" t="s">
        <v>51</v>
      </c>
      <c r="U1235" s="627" t="s">
        <v>51</v>
      </c>
      <c r="V1235" s="627" t="s">
        <v>51</v>
      </c>
      <c r="W1235" s="627" t="s">
        <v>51</v>
      </c>
      <c r="X1235" s="627" t="s">
        <v>51</v>
      </c>
      <c r="Y1235" s="89"/>
    </row>
    <row r="1236" ht="22.5" customHeight="1">
      <c r="A1236" s="223"/>
      <c r="B1236" s="125"/>
      <c r="C1236" s="125"/>
      <c r="D1236" s="125"/>
      <c r="E1236" s="125"/>
      <c r="F1236" s="125"/>
      <c r="G1236" s="125"/>
      <c r="H1236" s="125"/>
      <c r="I1236" s="627" t="s">
        <v>51</v>
      </c>
      <c r="J1236" s="125" t="s">
        <v>51</v>
      </c>
      <c r="K1236" s="125" t="s">
        <v>51</v>
      </c>
      <c r="L1236" s="125" t="s">
        <v>51</v>
      </c>
      <c r="M1236" s="125" t="str">
        <f t="shared" si="1"/>
        <v/>
      </c>
      <c r="N1236" s="125" t="str">
        <f t="shared" si="2"/>
        <v/>
      </c>
      <c r="O1236" s="125"/>
      <c r="P1236" s="125"/>
      <c r="Q1236" s="125"/>
      <c r="R1236" s="125"/>
      <c r="S1236" s="628">
        <f t="shared" si="3"/>
        <v>0</v>
      </c>
      <c r="T1236" s="627" t="s">
        <v>51</v>
      </c>
      <c r="U1236" s="627" t="s">
        <v>51</v>
      </c>
      <c r="V1236" s="627" t="s">
        <v>51</v>
      </c>
      <c r="W1236" s="627" t="s">
        <v>51</v>
      </c>
      <c r="X1236" s="627" t="s">
        <v>51</v>
      </c>
      <c r="Y1236" s="89"/>
    </row>
    <row r="1237" ht="22.5" customHeight="1">
      <c r="A1237" s="223"/>
      <c r="B1237" s="125"/>
      <c r="C1237" s="125"/>
      <c r="D1237" s="125"/>
      <c r="E1237" s="125"/>
      <c r="F1237" s="125"/>
      <c r="G1237" s="125"/>
      <c r="H1237" s="125"/>
      <c r="I1237" s="627" t="s">
        <v>51</v>
      </c>
      <c r="J1237" s="125" t="s">
        <v>51</v>
      </c>
      <c r="K1237" s="125" t="s">
        <v>51</v>
      </c>
      <c r="L1237" s="125" t="s">
        <v>51</v>
      </c>
      <c r="M1237" s="125" t="str">
        <f t="shared" si="1"/>
        <v/>
      </c>
      <c r="N1237" s="125" t="str">
        <f t="shared" si="2"/>
        <v/>
      </c>
      <c r="O1237" s="125"/>
      <c r="P1237" s="125"/>
      <c r="Q1237" s="125"/>
      <c r="R1237" s="125"/>
      <c r="S1237" s="628">
        <f t="shared" si="3"/>
        <v>0</v>
      </c>
      <c r="T1237" s="627" t="s">
        <v>51</v>
      </c>
      <c r="U1237" s="627" t="s">
        <v>51</v>
      </c>
      <c r="V1237" s="627" t="s">
        <v>51</v>
      </c>
      <c r="W1237" s="627" t="s">
        <v>51</v>
      </c>
      <c r="X1237" s="627" t="s">
        <v>51</v>
      </c>
      <c r="Y1237" s="89"/>
    </row>
    <row r="1238" ht="22.5" customHeight="1">
      <c r="A1238" s="223"/>
      <c r="B1238" s="125"/>
      <c r="C1238" s="125"/>
      <c r="D1238" s="125"/>
      <c r="E1238" s="125"/>
      <c r="F1238" s="125"/>
      <c r="G1238" s="125"/>
      <c r="H1238" s="125"/>
      <c r="I1238" s="627" t="s">
        <v>51</v>
      </c>
      <c r="J1238" s="125" t="s">
        <v>51</v>
      </c>
      <c r="K1238" s="125" t="s">
        <v>51</v>
      </c>
      <c r="L1238" s="125" t="s">
        <v>51</v>
      </c>
      <c r="M1238" s="125" t="str">
        <f t="shared" si="1"/>
        <v/>
      </c>
      <c r="N1238" s="125" t="str">
        <f t="shared" si="2"/>
        <v/>
      </c>
      <c r="O1238" s="125"/>
      <c r="P1238" s="125"/>
      <c r="Q1238" s="125"/>
      <c r="R1238" s="125"/>
      <c r="S1238" s="628">
        <f t="shared" si="3"/>
        <v>0</v>
      </c>
      <c r="T1238" s="627" t="s">
        <v>51</v>
      </c>
      <c r="U1238" s="627" t="s">
        <v>51</v>
      </c>
      <c r="V1238" s="627" t="s">
        <v>51</v>
      </c>
      <c r="W1238" s="627" t="s">
        <v>51</v>
      </c>
      <c r="X1238" s="627" t="s">
        <v>51</v>
      </c>
      <c r="Y1238" s="89"/>
    </row>
    <row r="1239" ht="22.5" customHeight="1">
      <c r="A1239" s="223"/>
      <c r="B1239" s="125"/>
      <c r="C1239" s="125"/>
      <c r="D1239" s="125"/>
      <c r="E1239" s="125"/>
      <c r="F1239" s="125"/>
      <c r="G1239" s="125"/>
      <c r="H1239" s="125"/>
      <c r="I1239" s="627" t="s">
        <v>51</v>
      </c>
      <c r="J1239" s="125" t="s">
        <v>51</v>
      </c>
      <c r="K1239" s="125" t="s">
        <v>51</v>
      </c>
      <c r="L1239" s="125" t="s">
        <v>51</v>
      </c>
      <c r="M1239" s="125" t="str">
        <f t="shared" si="1"/>
        <v/>
      </c>
      <c r="N1239" s="125" t="str">
        <f t="shared" si="2"/>
        <v/>
      </c>
      <c r="O1239" s="125"/>
      <c r="P1239" s="125"/>
      <c r="Q1239" s="125"/>
      <c r="R1239" s="125"/>
      <c r="S1239" s="628">
        <f t="shared" si="3"/>
        <v>0</v>
      </c>
      <c r="T1239" s="627" t="s">
        <v>51</v>
      </c>
      <c r="U1239" s="627" t="s">
        <v>51</v>
      </c>
      <c r="V1239" s="627" t="s">
        <v>51</v>
      </c>
      <c r="W1239" s="627" t="s">
        <v>51</v>
      </c>
      <c r="X1239" s="627" t="s">
        <v>51</v>
      </c>
      <c r="Y1239" s="89"/>
    </row>
    <row r="1240" ht="22.5" customHeight="1">
      <c r="A1240" s="223"/>
      <c r="B1240" s="125"/>
      <c r="C1240" s="125"/>
      <c r="D1240" s="125"/>
      <c r="E1240" s="125"/>
      <c r="F1240" s="125"/>
      <c r="G1240" s="125"/>
      <c r="H1240" s="125"/>
      <c r="I1240" s="627" t="s">
        <v>51</v>
      </c>
      <c r="J1240" s="125" t="s">
        <v>51</v>
      </c>
      <c r="K1240" s="125" t="s">
        <v>51</v>
      </c>
      <c r="L1240" s="125" t="s">
        <v>51</v>
      </c>
      <c r="M1240" s="125" t="str">
        <f t="shared" si="1"/>
        <v/>
      </c>
      <c r="N1240" s="125" t="str">
        <f t="shared" si="2"/>
        <v/>
      </c>
      <c r="O1240" s="125"/>
      <c r="P1240" s="125"/>
      <c r="Q1240" s="125"/>
      <c r="R1240" s="125"/>
      <c r="S1240" s="628">
        <f t="shared" si="3"/>
        <v>0</v>
      </c>
      <c r="T1240" s="627" t="s">
        <v>51</v>
      </c>
      <c r="U1240" s="627" t="s">
        <v>51</v>
      </c>
      <c r="V1240" s="627" t="s">
        <v>51</v>
      </c>
      <c r="W1240" s="627" t="s">
        <v>51</v>
      </c>
      <c r="X1240" s="627" t="s">
        <v>51</v>
      </c>
      <c r="Y1240" s="89"/>
    </row>
    <row r="1241" ht="22.5" customHeight="1">
      <c r="A1241" s="223"/>
      <c r="B1241" s="125"/>
      <c r="C1241" s="125"/>
      <c r="D1241" s="125"/>
      <c r="E1241" s="125"/>
      <c r="F1241" s="125"/>
      <c r="G1241" s="125"/>
      <c r="H1241" s="125"/>
      <c r="I1241" s="627" t="s">
        <v>51</v>
      </c>
      <c r="J1241" s="125" t="s">
        <v>51</v>
      </c>
      <c r="K1241" s="125" t="s">
        <v>51</v>
      </c>
      <c r="L1241" s="125" t="s">
        <v>51</v>
      </c>
      <c r="M1241" s="125" t="str">
        <f t="shared" si="1"/>
        <v/>
      </c>
      <c r="N1241" s="125" t="str">
        <f t="shared" si="2"/>
        <v/>
      </c>
      <c r="O1241" s="125"/>
      <c r="P1241" s="125"/>
      <c r="Q1241" s="125"/>
      <c r="R1241" s="125"/>
      <c r="S1241" s="628">
        <f t="shared" si="3"/>
        <v>0</v>
      </c>
      <c r="T1241" s="627" t="s">
        <v>51</v>
      </c>
      <c r="U1241" s="627" t="s">
        <v>51</v>
      </c>
      <c r="V1241" s="627" t="s">
        <v>51</v>
      </c>
      <c r="W1241" s="627" t="s">
        <v>51</v>
      </c>
      <c r="X1241" s="627" t="s">
        <v>51</v>
      </c>
      <c r="Y1241" s="89"/>
    </row>
    <row r="1242" ht="22.5" customHeight="1">
      <c r="A1242" s="223"/>
      <c r="B1242" s="125"/>
      <c r="C1242" s="125"/>
      <c r="D1242" s="125"/>
      <c r="E1242" s="125"/>
      <c r="F1242" s="125"/>
      <c r="G1242" s="125"/>
      <c r="H1242" s="125"/>
      <c r="I1242" s="627" t="s">
        <v>51</v>
      </c>
      <c r="J1242" s="125" t="s">
        <v>51</v>
      </c>
      <c r="K1242" s="125" t="s">
        <v>51</v>
      </c>
      <c r="L1242" s="125" t="s">
        <v>51</v>
      </c>
      <c r="M1242" s="125" t="str">
        <f t="shared" si="1"/>
        <v/>
      </c>
      <c r="N1242" s="125" t="str">
        <f t="shared" si="2"/>
        <v/>
      </c>
      <c r="O1242" s="125"/>
      <c r="P1242" s="125"/>
      <c r="Q1242" s="125"/>
      <c r="R1242" s="125"/>
      <c r="S1242" s="628">
        <f t="shared" si="3"/>
        <v>0</v>
      </c>
      <c r="T1242" s="627" t="s">
        <v>51</v>
      </c>
      <c r="U1242" s="627" t="s">
        <v>51</v>
      </c>
      <c r="V1242" s="627" t="s">
        <v>51</v>
      </c>
      <c r="W1242" s="627" t="s">
        <v>51</v>
      </c>
      <c r="X1242" s="627" t="s">
        <v>51</v>
      </c>
      <c r="Y1242" s="89"/>
    </row>
    <row r="1243" ht="22.5" customHeight="1">
      <c r="A1243" s="223"/>
      <c r="B1243" s="125"/>
      <c r="C1243" s="125"/>
      <c r="D1243" s="125"/>
      <c r="E1243" s="125"/>
      <c r="F1243" s="125"/>
      <c r="G1243" s="125"/>
      <c r="H1243" s="125"/>
      <c r="I1243" s="627" t="s">
        <v>51</v>
      </c>
      <c r="J1243" s="125" t="s">
        <v>51</v>
      </c>
      <c r="K1243" s="125" t="s">
        <v>51</v>
      </c>
      <c r="L1243" s="125" t="s">
        <v>51</v>
      </c>
      <c r="M1243" s="125" t="str">
        <f t="shared" si="1"/>
        <v/>
      </c>
      <c r="N1243" s="125" t="str">
        <f t="shared" si="2"/>
        <v/>
      </c>
      <c r="O1243" s="125"/>
      <c r="P1243" s="125"/>
      <c r="Q1243" s="125"/>
      <c r="R1243" s="125"/>
      <c r="S1243" s="628">
        <f t="shared" si="3"/>
        <v>0</v>
      </c>
      <c r="T1243" s="627" t="s">
        <v>51</v>
      </c>
      <c r="U1243" s="627" t="s">
        <v>51</v>
      </c>
      <c r="V1243" s="627" t="s">
        <v>51</v>
      </c>
      <c r="W1243" s="627" t="s">
        <v>51</v>
      </c>
      <c r="X1243" s="627" t="s">
        <v>51</v>
      </c>
      <c r="Y1243" s="89"/>
    </row>
    <row r="1244" ht="22.5" customHeight="1">
      <c r="A1244" s="223"/>
      <c r="B1244" s="125"/>
      <c r="C1244" s="125"/>
      <c r="D1244" s="125"/>
      <c r="E1244" s="125"/>
      <c r="F1244" s="125"/>
      <c r="G1244" s="125"/>
      <c r="H1244" s="125"/>
      <c r="I1244" s="627" t="s">
        <v>51</v>
      </c>
      <c r="J1244" s="125" t="s">
        <v>51</v>
      </c>
      <c r="K1244" s="125" t="s">
        <v>51</v>
      </c>
      <c r="L1244" s="125" t="s">
        <v>51</v>
      </c>
      <c r="M1244" s="125" t="str">
        <f t="shared" si="1"/>
        <v/>
      </c>
      <c r="N1244" s="125" t="str">
        <f t="shared" si="2"/>
        <v/>
      </c>
      <c r="O1244" s="125"/>
      <c r="P1244" s="125"/>
      <c r="Q1244" s="125"/>
      <c r="R1244" s="125"/>
      <c r="S1244" s="628">
        <f t="shared" si="3"/>
        <v>0</v>
      </c>
      <c r="T1244" s="627" t="s">
        <v>51</v>
      </c>
      <c r="U1244" s="627" t="s">
        <v>51</v>
      </c>
      <c r="V1244" s="627" t="s">
        <v>51</v>
      </c>
      <c r="W1244" s="627" t="s">
        <v>51</v>
      </c>
      <c r="X1244" s="627" t="s">
        <v>51</v>
      </c>
      <c r="Y1244" s="89"/>
    </row>
    <row r="1245" ht="22.5" customHeight="1">
      <c r="A1245" s="223"/>
      <c r="B1245" s="125"/>
      <c r="C1245" s="125"/>
      <c r="D1245" s="125"/>
      <c r="E1245" s="125"/>
      <c r="F1245" s="125"/>
      <c r="G1245" s="125"/>
      <c r="H1245" s="125"/>
      <c r="I1245" s="627" t="s">
        <v>51</v>
      </c>
      <c r="J1245" s="125" t="s">
        <v>51</v>
      </c>
      <c r="K1245" s="125" t="s">
        <v>51</v>
      </c>
      <c r="L1245" s="125" t="s">
        <v>51</v>
      </c>
      <c r="M1245" s="125" t="str">
        <f t="shared" si="1"/>
        <v/>
      </c>
      <c r="N1245" s="125" t="str">
        <f t="shared" si="2"/>
        <v/>
      </c>
      <c r="O1245" s="125"/>
      <c r="P1245" s="125"/>
      <c r="Q1245" s="125"/>
      <c r="R1245" s="125"/>
      <c r="S1245" s="628">
        <f t="shared" si="3"/>
        <v>0</v>
      </c>
      <c r="T1245" s="627" t="s">
        <v>51</v>
      </c>
      <c r="U1245" s="627" t="s">
        <v>51</v>
      </c>
      <c r="V1245" s="627" t="s">
        <v>51</v>
      </c>
      <c r="W1245" s="627" t="s">
        <v>51</v>
      </c>
      <c r="X1245" s="627" t="s">
        <v>51</v>
      </c>
      <c r="Y1245" s="89"/>
    </row>
    <row r="1246" ht="22.5" customHeight="1">
      <c r="A1246" s="223"/>
      <c r="B1246" s="125"/>
      <c r="C1246" s="125"/>
      <c r="D1246" s="125"/>
      <c r="E1246" s="125"/>
      <c r="F1246" s="125"/>
      <c r="G1246" s="125"/>
      <c r="H1246" s="125"/>
      <c r="I1246" s="627" t="s">
        <v>51</v>
      </c>
      <c r="J1246" s="125" t="s">
        <v>51</v>
      </c>
      <c r="K1246" s="125" t="s">
        <v>51</v>
      </c>
      <c r="L1246" s="125" t="s">
        <v>51</v>
      </c>
      <c r="M1246" s="125" t="str">
        <f t="shared" si="1"/>
        <v/>
      </c>
      <c r="N1246" s="125" t="str">
        <f t="shared" si="2"/>
        <v/>
      </c>
      <c r="O1246" s="125"/>
      <c r="P1246" s="125"/>
      <c r="Q1246" s="125"/>
      <c r="R1246" s="125"/>
      <c r="S1246" s="628">
        <f t="shared" si="3"/>
        <v>0</v>
      </c>
      <c r="T1246" s="627" t="s">
        <v>51</v>
      </c>
      <c r="U1246" s="627" t="s">
        <v>51</v>
      </c>
      <c r="V1246" s="627" t="s">
        <v>51</v>
      </c>
      <c r="W1246" s="627" t="s">
        <v>51</v>
      </c>
      <c r="X1246" s="627" t="s">
        <v>51</v>
      </c>
      <c r="Y1246" s="89"/>
    </row>
    <row r="1247" ht="22.5" customHeight="1">
      <c r="A1247" s="223"/>
      <c r="B1247" s="125"/>
      <c r="C1247" s="125"/>
      <c r="D1247" s="125"/>
      <c r="E1247" s="125"/>
      <c r="F1247" s="125"/>
      <c r="G1247" s="125"/>
      <c r="H1247" s="125"/>
      <c r="I1247" s="627" t="s">
        <v>51</v>
      </c>
      <c r="J1247" s="125" t="s">
        <v>51</v>
      </c>
      <c r="K1247" s="125" t="s">
        <v>51</v>
      </c>
      <c r="L1247" s="125" t="s">
        <v>51</v>
      </c>
      <c r="M1247" s="125" t="str">
        <f t="shared" si="1"/>
        <v/>
      </c>
      <c r="N1247" s="125" t="str">
        <f t="shared" si="2"/>
        <v/>
      </c>
      <c r="O1247" s="125"/>
      <c r="P1247" s="125"/>
      <c r="Q1247" s="125"/>
      <c r="R1247" s="125"/>
      <c r="S1247" s="628">
        <f t="shared" si="3"/>
        <v>0</v>
      </c>
      <c r="T1247" s="627" t="s">
        <v>51</v>
      </c>
      <c r="U1247" s="627" t="s">
        <v>51</v>
      </c>
      <c r="V1247" s="627" t="s">
        <v>51</v>
      </c>
      <c r="W1247" s="627" t="s">
        <v>51</v>
      </c>
      <c r="X1247" s="627" t="s">
        <v>51</v>
      </c>
      <c r="Y1247" s="89"/>
    </row>
    <row r="1248" ht="22.5" customHeight="1">
      <c r="A1248" s="223"/>
      <c r="B1248" s="125"/>
      <c r="C1248" s="125"/>
      <c r="D1248" s="125"/>
      <c r="E1248" s="125"/>
      <c r="F1248" s="125"/>
      <c r="G1248" s="125"/>
      <c r="H1248" s="125"/>
      <c r="I1248" s="627" t="s">
        <v>51</v>
      </c>
      <c r="J1248" s="125" t="s">
        <v>51</v>
      </c>
      <c r="K1248" s="125" t="s">
        <v>51</v>
      </c>
      <c r="L1248" s="125" t="s">
        <v>51</v>
      </c>
      <c r="M1248" s="125" t="str">
        <f t="shared" si="1"/>
        <v/>
      </c>
      <c r="N1248" s="125" t="str">
        <f t="shared" si="2"/>
        <v/>
      </c>
      <c r="O1248" s="125"/>
      <c r="P1248" s="125"/>
      <c r="Q1248" s="125"/>
      <c r="R1248" s="125"/>
      <c r="S1248" s="628">
        <f t="shared" si="3"/>
        <v>0</v>
      </c>
      <c r="T1248" s="627" t="s">
        <v>51</v>
      </c>
      <c r="U1248" s="627" t="s">
        <v>51</v>
      </c>
      <c r="V1248" s="627" t="s">
        <v>51</v>
      </c>
      <c r="W1248" s="627" t="s">
        <v>51</v>
      </c>
      <c r="X1248" s="627" t="s">
        <v>51</v>
      </c>
      <c r="Y1248" s="89"/>
    </row>
    <row r="1249" ht="22.5" customHeight="1">
      <c r="A1249" s="223"/>
      <c r="B1249" s="125"/>
      <c r="C1249" s="125"/>
      <c r="D1249" s="125"/>
      <c r="E1249" s="125"/>
      <c r="F1249" s="125"/>
      <c r="G1249" s="125"/>
      <c r="H1249" s="125"/>
      <c r="I1249" s="627" t="s">
        <v>51</v>
      </c>
      <c r="J1249" s="125" t="s">
        <v>51</v>
      </c>
      <c r="K1249" s="125" t="s">
        <v>51</v>
      </c>
      <c r="L1249" s="125" t="s">
        <v>51</v>
      </c>
      <c r="M1249" s="125" t="str">
        <f t="shared" si="1"/>
        <v/>
      </c>
      <c r="N1249" s="125" t="str">
        <f t="shared" si="2"/>
        <v/>
      </c>
      <c r="O1249" s="125"/>
      <c r="P1249" s="125"/>
      <c r="Q1249" s="125"/>
      <c r="R1249" s="125"/>
      <c r="S1249" s="628">
        <f t="shared" si="3"/>
        <v>0</v>
      </c>
      <c r="T1249" s="627" t="s">
        <v>51</v>
      </c>
      <c r="U1249" s="627" t="s">
        <v>51</v>
      </c>
      <c r="V1249" s="627" t="s">
        <v>51</v>
      </c>
      <c r="W1249" s="627" t="s">
        <v>51</v>
      </c>
      <c r="X1249" s="627" t="s">
        <v>51</v>
      </c>
      <c r="Y1249" s="89"/>
    </row>
    <row r="1250" ht="22.5" customHeight="1">
      <c r="A1250" s="223"/>
      <c r="B1250" s="125"/>
      <c r="C1250" s="125"/>
      <c r="D1250" s="125"/>
      <c r="E1250" s="125"/>
      <c r="F1250" s="125"/>
      <c r="G1250" s="125"/>
      <c r="H1250" s="125"/>
      <c r="I1250" s="627" t="s">
        <v>51</v>
      </c>
      <c r="J1250" s="125" t="s">
        <v>51</v>
      </c>
      <c r="K1250" s="125" t="s">
        <v>51</v>
      </c>
      <c r="L1250" s="125" t="s">
        <v>51</v>
      </c>
      <c r="M1250" s="125" t="str">
        <f t="shared" si="1"/>
        <v/>
      </c>
      <c r="N1250" s="125" t="str">
        <f t="shared" si="2"/>
        <v/>
      </c>
      <c r="O1250" s="125"/>
      <c r="P1250" s="125"/>
      <c r="Q1250" s="125"/>
      <c r="R1250" s="125"/>
      <c r="S1250" s="628">
        <f t="shared" si="3"/>
        <v>0</v>
      </c>
      <c r="T1250" s="627" t="s">
        <v>51</v>
      </c>
      <c r="U1250" s="627" t="s">
        <v>51</v>
      </c>
      <c r="V1250" s="627" t="s">
        <v>51</v>
      </c>
      <c r="W1250" s="627" t="s">
        <v>51</v>
      </c>
      <c r="X1250" s="627" t="s">
        <v>51</v>
      </c>
      <c r="Y1250" s="89"/>
    </row>
    <row r="1251" ht="22.5" customHeight="1">
      <c r="A1251" s="223"/>
      <c r="B1251" s="125"/>
      <c r="C1251" s="125"/>
      <c r="D1251" s="125"/>
      <c r="E1251" s="125"/>
      <c r="F1251" s="125"/>
      <c r="G1251" s="125"/>
      <c r="H1251" s="125"/>
      <c r="I1251" s="627" t="s">
        <v>51</v>
      </c>
      <c r="J1251" s="125" t="s">
        <v>51</v>
      </c>
      <c r="K1251" s="125" t="s">
        <v>51</v>
      </c>
      <c r="L1251" s="125" t="s">
        <v>51</v>
      </c>
      <c r="M1251" s="125" t="str">
        <f t="shared" si="1"/>
        <v/>
      </c>
      <c r="N1251" s="125" t="str">
        <f t="shared" si="2"/>
        <v/>
      </c>
      <c r="O1251" s="125"/>
      <c r="P1251" s="125"/>
      <c r="Q1251" s="125"/>
      <c r="R1251" s="125"/>
      <c r="S1251" s="628">
        <f t="shared" si="3"/>
        <v>0</v>
      </c>
      <c r="T1251" s="627" t="s">
        <v>51</v>
      </c>
      <c r="U1251" s="627" t="s">
        <v>51</v>
      </c>
      <c r="V1251" s="627" t="s">
        <v>51</v>
      </c>
      <c r="W1251" s="627" t="s">
        <v>51</v>
      </c>
      <c r="X1251" s="627" t="s">
        <v>51</v>
      </c>
      <c r="Y1251" s="89"/>
    </row>
    <row r="1252" ht="22.5" customHeight="1">
      <c r="A1252" s="223"/>
      <c r="B1252" s="125"/>
      <c r="C1252" s="125"/>
      <c r="D1252" s="125"/>
      <c r="E1252" s="125"/>
      <c r="F1252" s="125"/>
      <c r="G1252" s="125"/>
      <c r="H1252" s="125"/>
      <c r="I1252" s="627" t="s">
        <v>51</v>
      </c>
      <c r="J1252" s="125" t="s">
        <v>51</v>
      </c>
      <c r="K1252" s="125" t="s">
        <v>51</v>
      </c>
      <c r="L1252" s="125" t="s">
        <v>51</v>
      </c>
      <c r="M1252" s="125" t="str">
        <f t="shared" si="1"/>
        <v/>
      </c>
      <c r="N1252" s="125" t="str">
        <f t="shared" si="2"/>
        <v/>
      </c>
      <c r="O1252" s="125"/>
      <c r="P1252" s="125"/>
      <c r="Q1252" s="125"/>
      <c r="R1252" s="125"/>
      <c r="S1252" s="628">
        <f t="shared" si="3"/>
        <v>0</v>
      </c>
      <c r="T1252" s="627" t="s">
        <v>51</v>
      </c>
      <c r="U1252" s="627" t="s">
        <v>51</v>
      </c>
      <c r="V1252" s="627" t="s">
        <v>51</v>
      </c>
      <c r="W1252" s="627" t="s">
        <v>51</v>
      </c>
      <c r="X1252" s="627" t="s">
        <v>51</v>
      </c>
      <c r="Y1252" s="89"/>
    </row>
    <row r="1253" ht="22.5" customHeight="1">
      <c r="A1253" s="223"/>
      <c r="B1253" s="125"/>
      <c r="C1253" s="125"/>
      <c r="D1253" s="125"/>
      <c r="E1253" s="125"/>
      <c r="F1253" s="125"/>
      <c r="G1253" s="125"/>
      <c r="H1253" s="125"/>
      <c r="I1253" s="627" t="s">
        <v>51</v>
      </c>
      <c r="J1253" s="125" t="s">
        <v>51</v>
      </c>
      <c r="K1253" s="125" t="s">
        <v>51</v>
      </c>
      <c r="L1253" s="125" t="s">
        <v>51</v>
      </c>
      <c r="M1253" s="125" t="str">
        <f t="shared" si="1"/>
        <v/>
      </c>
      <c r="N1253" s="125" t="str">
        <f t="shared" si="2"/>
        <v/>
      </c>
      <c r="O1253" s="125"/>
      <c r="P1253" s="125"/>
      <c r="Q1253" s="125"/>
      <c r="R1253" s="125"/>
      <c r="S1253" s="628">
        <f t="shared" si="3"/>
        <v>0</v>
      </c>
      <c r="T1253" s="627" t="s">
        <v>51</v>
      </c>
      <c r="U1253" s="627" t="s">
        <v>51</v>
      </c>
      <c r="V1253" s="627" t="s">
        <v>51</v>
      </c>
      <c r="W1253" s="627" t="s">
        <v>51</v>
      </c>
      <c r="X1253" s="627" t="s">
        <v>51</v>
      </c>
      <c r="Y1253" s="89"/>
    </row>
    <row r="1254" ht="22.5" customHeight="1">
      <c r="A1254" s="223"/>
      <c r="B1254" s="125"/>
      <c r="C1254" s="125"/>
      <c r="D1254" s="125"/>
      <c r="E1254" s="125"/>
      <c r="F1254" s="125"/>
      <c r="G1254" s="125"/>
      <c r="H1254" s="125"/>
      <c r="I1254" s="627" t="s">
        <v>51</v>
      </c>
      <c r="J1254" s="125" t="s">
        <v>51</v>
      </c>
      <c r="K1254" s="125" t="s">
        <v>51</v>
      </c>
      <c r="L1254" s="125" t="s">
        <v>51</v>
      </c>
      <c r="M1254" s="125" t="str">
        <f t="shared" si="1"/>
        <v/>
      </c>
      <c r="N1254" s="125" t="str">
        <f t="shared" si="2"/>
        <v/>
      </c>
      <c r="O1254" s="125"/>
      <c r="P1254" s="125"/>
      <c r="Q1254" s="125"/>
      <c r="R1254" s="125"/>
      <c r="S1254" s="628">
        <f t="shared" si="3"/>
        <v>0</v>
      </c>
      <c r="T1254" s="627" t="s">
        <v>51</v>
      </c>
      <c r="U1254" s="627" t="s">
        <v>51</v>
      </c>
      <c r="V1254" s="627" t="s">
        <v>51</v>
      </c>
      <c r="W1254" s="627" t="s">
        <v>51</v>
      </c>
      <c r="X1254" s="627" t="s">
        <v>51</v>
      </c>
      <c r="Y1254" s="89"/>
    </row>
    <row r="1255" ht="22.5" customHeight="1">
      <c r="A1255" s="223"/>
      <c r="B1255" s="125"/>
      <c r="C1255" s="125"/>
      <c r="D1255" s="125"/>
      <c r="E1255" s="125"/>
      <c r="F1255" s="125"/>
      <c r="G1255" s="125"/>
      <c r="H1255" s="125"/>
      <c r="I1255" s="627" t="s">
        <v>51</v>
      </c>
      <c r="J1255" s="125" t="s">
        <v>51</v>
      </c>
      <c r="K1255" s="125" t="s">
        <v>51</v>
      </c>
      <c r="L1255" s="125" t="s">
        <v>51</v>
      </c>
      <c r="M1255" s="125" t="str">
        <f t="shared" si="1"/>
        <v/>
      </c>
      <c r="N1255" s="125" t="str">
        <f t="shared" si="2"/>
        <v/>
      </c>
      <c r="O1255" s="125"/>
      <c r="P1255" s="125"/>
      <c r="Q1255" s="125"/>
      <c r="R1255" s="125"/>
      <c r="S1255" s="628">
        <f t="shared" si="3"/>
        <v>0</v>
      </c>
      <c r="T1255" s="627" t="s">
        <v>51</v>
      </c>
      <c r="U1255" s="627" t="s">
        <v>51</v>
      </c>
      <c r="V1255" s="627" t="s">
        <v>51</v>
      </c>
      <c r="W1255" s="627" t="s">
        <v>51</v>
      </c>
      <c r="X1255" s="627" t="s">
        <v>51</v>
      </c>
      <c r="Y1255" s="89"/>
    </row>
    <row r="1256" ht="22.5" customHeight="1">
      <c r="A1256" s="223"/>
      <c r="B1256" s="125"/>
      <c r="C1256" s="125"/>
      <c r="D1256" s="125"/>
      <c r="E1256" s="125"/>
      <c r="F1256" s="125"/>
      <c r="G1256" s="125"/>
      <c r="H1256" s="125"/>
      <c r="I1256" s="627" t="s">
        <v>51</v>
      </c>
      <c r="J1256" s="125" t="s">
        <v>51</v>
      </c>
      <c r="K1256" s="125" t="s">
        <v>51</v>
      </c>
      <c r="L1256" s="125" t="s">
        <v>51</v>
      </c>
      <c r="M1256" s="125" t="str">
        <f t="shared" si="1"/>
        <v/>
      </c>
      <c r="N1256" s="125" t="str">
        <f t="shared" si="2"/>
        <v/>
      </c>
      <c r="O1256" s="125"/>
      <c r="P1256" s="125"/>
      <c r="Q1256" s="125"/>
      <c r="R1256" s="125"/>
      <c r="S1256" s="628">
        <f t="shared" si="3"/>
        <v>0</v>
      </c>
      <c r="T1256" s="627" t="s">
        <v>51</v>
      </c>
      <c r="U1256" s="627" t="s">
        <v>51</v>
      </c>
      <c r="V1256" s="627" t="s">
        <v>51</v>
      </c>
      <c r="W1256" s="627" t="s">
        <v>51</v>
      </c>
      <c r="X1256" s="627" t="s">
        <v>51</v>
      </c>
      <c r="Y1256" s="89"/>
    </row>
    <row r="1257" ht="22.5" customHeight="1">
      <c r="A1257" s="223"/>
      <c r="B1257" s="125"/>
      <c r="C1257" s="125"/>
      <c r="D1257" s="125"/>
      <c r="E1257" s="125"/>
      <c r="F1257" s="125"/>
      <c r="G1257" s="125"/>
      <c r="H1257" s="125"/>
      <c r="I1257" s="627" t="s">
        <v>51</v>
      </c>
      <c r="J1257" s="125" t="s">
        <v>51</v>
      </c>
      <c r="K1257" s="125" t="s">
        <v>51</v>
      </c>
      <c r="L1257" s="125" t="s">
        <v>51</v>
      </c>
      <c r="M1257" s="125" t="str">
        <f t="shared" si="1"/>
        <v/>
      </c>
      <c r="N1257" s="125" t="str">
        <f t="shared" si="2"/>
        <v/>
      </c>
      <c r="O1257" s="125"/>
      <c r="P1257" s="125"/>
      <c r="Q1257" s="125"/>
      <c r="R1257" s="125"/>
      <c r="S1257" s="628">
        <f t="shared" si="3"/>
        <v>0</v>
      </c>
      <c r="T1257" s="627" t="s">
        <v>51</v>
      </c>
      <c r="U1257" s="627" t="s">
        <v>51</v>
      </c>
      <c r="V1257" s="627" t="s">
        <v>51</v>
      </c>
      <c r="W1257" s="627" t="s">
        <v>51</v>
      </c>
      <c r="X1257" s="627" t="s">
        <v>51</v>
      </c>
      <c r="Y1257" s="89"/>
    </row>
    <row r="1258" ht="22.5" customHeight="1">
      <c r="A1258" s="223"/>
      <c r="B1258" s="125"/>
      <c r="C1258" s="125"/>
      <c r="D1258" s="125"/>
      <c r="E1258" s="125"/>
      <c r="F1258" s="125"/>
      <c r="G1258" s="125"/>
      <c r="H1258" s="125"/>
      <c r="I1258" s="627" t="s">
        <v>51</v>
      </c>
      <c r="J1258" s="125" t="s">
        <v>51</v>
      </c>
      <c r="K1258" s="125" t="s">
        <v>51</v>
      </c>
      <c r="L1258" s="125" t="s">
        <v>51</v>
      </c>
      <c r="M1258" s="125" t="str">
        <f t="shared" si="1"/>
        <v/>
      </c>
      <c r="N1258" s="125" t="str">
        <f t="shared" si="2"/>
        <v/>
      </c>
      <c r="O1258" s="125"/>
      <c r="P1258" s="125"/>
      <c r="Q1258" s="125"/>
      <c r="R1258" s="125"/>
      <c r="S1258" s="628">
        <f t="shared" si="3"/>
        <v>0</v>
      </c>
      <c r="T1258" s="627" t="s">
        <v>51</v>
      </c>
      <c r="U1258" s="627" t="s">
        <v>51</v>
      </c>
      <c r="V1258" s="627" t="s">
        <v>51</v>
      </c>
      <c r="W1258" s="627" t="s">
        <v>51</v>
      </c>
      <c r="X1258" s="627" t="s">
        <v>51</v>
      </c>
      <c r="Y1258" s="89"/>
    </row>
    <row r="1259" ht="22.5" customHeight="1">
      <c r="A1259" s="223"/>
      <c r="B1259" s="125"/>
      <c r="C1259" s="125"/>
      <c r="D1259" s="125"/>
      <c r="E1259" s="125"/>
      <c r="F1259" s="125"/>
      <c r="G1259" s="125"/>
      <c r="H1259" s="125"/>
      <c r="I1259" s="627" t="s">
        <v>51</v>
      </c>
      <c r="J1259" s="125" t="s">
        <v>51</v>
      </c>
      <c r="K1259" s="125" t="s">
        <v>51</v>
      </c>
      <c r="L1259" s="125" t="s">
        <v>51</v>
      </c>
      <c r="M1259" s="125" t="str">
        <f t="shared" si="1"/>
        <v/>
      </c>
      <c r="N1259" s="125" t="str">
        <f t="shared" si="2"/>
        <v/>
      </c>
      <c r="O1259" s="125"/>
      <c r="P1259" s="125"/>
      <c r="Q1259" s="125"/>
      <c r="R1259" s="125"/>
      <c r="S1259" s="628">
        <f t="shared" si="3"/>
        <v>0</v>
      </c>
      <c r="T1259" s="627" t="s">
        <v>51</v>
      </c>
      <c r="U1259" s="627" t="s">
        <v>51</v>
      </c>
      <c r="V1259" s="627" t="s">
        <v>51</v>
      </c>
      <c r="W1259" s="627" t="s">
        <v>51</v>
      </c>
      <c r="X1259" s="627" t="s">
        <v>51</v>
      </c>
      <c r="Y1259" s="89"/>
    </row>
    <row r="1260" ht="22.5" customHeight="1">
      <c r="A1260" s="223"/>
      <c r="B1260" s="125"/>
      <c r="C1260" s="125"/>
      <c r="D1260" s="125"/>
      <c r="E1260" s="125"/>
      <c r="F1260" s="125"/>
      <c r="G1260" s="125"/>
      <c r="H1260" s="125"/>
      <c r="I1260" s="627" t="s">
        <v>51</v>
      </c>
      <c r="J1260" s="125" t="s">
        <v>51</v>
      </c>
      <c r="K1260" s="125" t="s">
        <v>51</v>
      </c>
      <c r="L1260" s="125" t="s">
        <v>51</v>
      </c>
      <c r="M1260" s="125" t="str">
        <f t="shared" si="1"/>
        <v/>
      </c>
      <c r="N1260" s="125" t="str">
        <f t="shared" si="2"/>
        <v/>
      </c>
      <c r="O1260" s="125"/>
      <c r="P1260" s="125"/>
      <c r="Q1260" s="125"/>
      <c r="R1260" s="125"/>
      <c r="S1260" s="628">
        <f t="shared" si="3"/>
        <v>0</v>
      </c>
      <c r="T1260" s="627" t="s">
        <v>51</v>
      </c>
      <c r="U1260" s="627" t="s">
        <v>51</v>
      </c>
      <c r="V1260" s="627" t="s">
        <v>51</v>
      </c>
      <c r="W1260" s="627" t="s">
        <v>51</v>
      </c>
      <c r="X1260" s="627" t="s">
        <v>51</v>
      </c>
      <c r="Y1260" s="89"/>
    </row>
    <row r="1261" ht="22.5" customHeight="1">
      <c r="A1261" s="223"/>
      <c r="B1261" s="125"/>
      <c r="C1261" s="125"/>
      <c r="D1261" s="125"/>
      <c r="E1261" s="125"/>
      <c r="F1261" s="125"/>
      <c r="G1261" s="125"/>
      <c r="H1261" s="125"/>
      <c r="I1261" s="627" t="s">
        <v>51</v>
      </c>
      <c r="J1261" s="125" t="s">
        <v>51</v>
      </c>
      <c r="K1261" s="125" t="s">
        <v>51</v>
      </c>
      <c r="L1261" s="125" t="s">
        <v>51</v>
      </c>
      <c r="M1261" s="125" t="str">
        <f t="shared" si="1"/>
        <v/>
      </c>
      <c r="N1261" s="125" t="str">
        <f t="shared" si="2"/>
        <v/>
      </c>
      <c r="O1261" s="125"/>
      <c r="P1261" s="125"/>
      <c r="Q1261" s="125"/>
      <c r="R1261" s="125"/>
      <c r="S1261" s="628">
        <f t="shared" si="3"/>
        <v>0</v>
      </c>
      <c r="T1261" s="627" t="s">
        <v>51</v>
      </c>
      <c r="U1261" s="627" t="s">
        <v>51</v>
      </c>
      <c r="V1261" s="627" t="s">
        <v>51</v>
      </c>
      <c r="W1261" s="627" t="s">
        <v>51</v>
      </c>
      <c r="X1261" s="627" t="s">
        <v>51</v>
      </c>
      <c r="Y1261" s="89"/>
    </row>
    <row r="1262" ht="22.5" customHeight="1">
      <c r="A1262" s="223"/>
      <c r="B1262" s="125"/>
      <c r="C1262" s="125"/>
      <c r="D1262" s="125"/>
      <c r="E1262" s="125"/>
      <c r="F1262" s="125"/>
      <c r="G1262" s="125"/>
      <c r="H1262" s="125"/>
      <c r="I1262" s="627" t="s">
        <v>51</v>
      </c>
      <c r="J1262" s="125" t="s">
        <v>51</v>
      </c>
      <c r="K1262" s="125" t="s">
        <v>51</v>
      </c>
      <c r="L1262" s="125" t="s">
        <v>51</v>
      </c>
      <c r="M1262" s="125" t="str">
        <f t="shared" si="1"/>
        <v/>
      </c>
      <c r="N1262" s="125" t="str">
        <f t="shared" si="2"/>
        <v/>
      </c>
      <c r="O1262" s="125"/>
      <c r="P1262" s="125"/>
      <c r="Q1262" s="125"/>
      <c r="R1262" s="125"/>
      <c r="S1262" s="628">
        <f t="shared" si="3"/>
        <v>0</v>
      </c>
      <c r="T1262" s="627" t="s">
        <v>51</v>
      </c>
      <c r="U1262" s="627" t="s">
        <v>51</v>
      </c>
      <c r="V1262" s="627" t="s">
        <v>51</v>
      </c>
      <c r="W1262" s="627" t="s">
        <v>51</v>
      </c>
      <c r="X1262" s="627" t="s">
        <v>51</v>
      </c>
      <c r="Y1262" s="89"/>
    </row>
    <row r="1263" ht="22.5" customHeight="1">
      <c r="A1263" s="223"/>
      <c r="B1263" s="125"/>
      <c r="C1263" s="125"/>
      <c r="D1263" s="125"/>
      <c r="E1263" s="125"/>
      <c r="F1263" s="125"/>
      <c r="G1263" s="125"/>
      <c r="H1263" s="125"/>
      <c r="I1263" s="627" t="s">
        <v>51</v>
      </c>
      <c r="J1263" s="125" t="s">
        <v>51</v>
      </c>
      <c r="K1263" s="125" t="s">
        <v>51</v>
      </c>
      <c r="L1263" s="125" t="s">
        <v>51</v>
      </c>
      <c r="M1263" s="125" t="str">
        <f t="shared" si="1"/>
        <v/>
      </c>
      <c r="N1263" s="125" t="str">
        <f t="shared" si="2"/>
        <v/>
      </c>
      <c r="O1263" s="125"/>
      <c r="P1263" s="125"/>
      <c r="Q1263" s="125"/>
      <c r="R1263" s="125"/>
      <c r="S1263" s="628">
        <f t="shared" si="3"/>
        <v>0</v>
      </c>
      <c r="T1263" s="627" t="s">
        <v>51</v>
      </c>
      <c r="U1263" s="627" t="s">
        <v>51</v>
      </c>
      <c r="V1263" s="627" t="s">
        <v>51</v>
      </c>
      <c r="W1263" s="627" t="s">
        <v>51</v>
      </c>
      <c r="X1263" s="627" t="s">
        <v>51</v>
      </c>
      <c r="Y1263" s="89"/>
    </row>
    <row r="1264" ht="22.5" customHeight="1">
      <c r="A1264" s="223"/>
      <c r="B1264" s="125"/>
      <c r="C1264" s="125"/>
      <c r="D1264" s="125"/>
      <c r="E1264" s="125"/>
      <c r="F1264" s="125"/>
      <c r="G1264" s="125"/>
      <c r="H1264" s="125"/>
      <c r="I1264" s="627" t="s">
        <v>51</v>
      </c>
      <c r="J1264" s="125" t="s">
        <v>51</v>
      </c>
      <c r="K1264" s="125" t="s">
        <v>51</v>
      </c>
      <c r="L1264" s="125" t="s">
        <v>51</v>
      </c>
      <c r="M1264" s="125" t="str">
        <f t="shared" si="1"/>
        <v/>
      </c>
      <c r="N1264" s="125" t="str">
        <f t="shared" si="2"/>
        <v/>
      </c>
      <c r="O1264" s="125"/>
      <c r="P1264" s="125"/>
      <c r="Q1264" s="125"/>
      <c r="R1264" s="125"/>
      <c r="S1264" s="628">
        <f t="shared" si="3"/>
        <v>0</v>
      </c>
      <c r="T1264" s="627" t="s">
        <v>51</v>
      </c>
      <c r="U1264" s="627" t="s">
        <v>51</v>
      </c>
      <c r="V1264" s="627" t="s">
        <v>51</v>
      </c>
      <c r="W1264" s="627" t="s">
        <v>51</v>
      </c>
      <c r="X1264" s="627" t="s">
        <v>51</v>
      </c>
      <c r="Y1264" s="89"/>
    </row>
    <row r="1265" ht="22.5" customHeight="1">
      <c r="A1265" s="223"/>
      <c r="B1265" s="125"/>
      <c r="C1265" s="125"/>
      <c r="D1265" s="125"/>
      <c r="E1265" s="125"/>
      <c r="F1265" s="125"/>
      <c r="G1265" s="125"/>
      <c r="H1265" s="125"/>
      <c r="I1265" s="627" t="s">
        <v>51</v>
      </c>
      <c r="J1265" s="125" t="s">
        <v>51</v>
      </c>
      <c r="K1265" s="125" t="s">
        <v>51</v>
      </c>
      <c r="L1265" s="125" t="s">
        <v>51</v>
      </c>
      <c r="M1265" s="125" t="str">
        <f t="shared" si="1"/>
        <v/>
      </c>
      <c r="N1265" s="125" t="str">
        <f t="shared" si="2"/>
        <v/>
      </c>
      <c r="O1265" s="125"/>
      <c r="P1265" s="125"/>
      <c r="Q1265" s="125"/>
      <c r="R1265" s="125"/>
      <c r="S1265" s="628">
        <f t="shared" si="3"/>
        <v>0</v>
      </c>
      <c r="T1265" s="627" t="s">
        <v>51</v>
      </c>
      <c r="U1265" s="627" t="s">
        <v>51</v>
      </c>
      <c r="V1265" s="627" t="s">
        <v>51</v>
      </c>
      <c r="W1265" s="627" t="s">
        <v>51</v>
      </c>
      <c r="X1265" s="627" t="s">
        <v>51</v>
      </c>
      <c r="Y1265" s="89"/>
    </row>
    <row r="1266" ht="22.5" customHeight="1">
      <c r="A1266" s="223"/>
      <c r="B1266" s="125"/>
      <c r="C1266" s="125"/>
      <c r="D1266" s="125"/>
      <c r="E1266" s="125"/>
      <c r="F1266" s="125"/>
      <c r="G1266" s="125"/>
      <c r="H1266" s="125"/>
      <c r="I1266" s="627" t="s">
        <v>51</v>
      </c>
      <c r="J1266" s="125" t="s">
        <v>51</v>
      </c>
      <c r="K1266" s="125" t="s">
        <v>51</v>
      </c>
      <c r="L1266" s="125" t="s">
        <v>51</v>
      </c>
      <c r="M1266" s="125" t="str">
        <f t="shared" si="1"/>
        <v/>
      </c>
      <c r="N1266" s="125" t="str">
        <f t="shared" si="2"/>
        <v/>
      </c>
      <c r="O1266" s="125"/>
      <c r="P1266" s="125"/>
      <c r="Q1266" s="125"/>
      <c r="R1266" s="125"/>
      <c r="S1266" s="628">
        <f t="shared" si="3"/>
        <v>0</v>
      </c>
      <c r="T1266" s="627" t="s">
        <v>51</v>
      </c>
      <c r="U1266" s="627" t="s">
        <v>51</v>
      </c>
      <c r="V1266" s="627" t="s">
        <v>51</v>
      </c>
      <c r="W1266" s="627" t="s">
        <v>51</v>
      </c>
      <c r="X1266" s="627" t="s">
        <v>51</v>
      </c>
      <c r="Y1266" s="89"/>
    </row>
    <row r="1267" ht="22.5" customHeight="1">
      <c r="A1267" s="223"/>
      <c r="B1267" s="125"/>
      <c r="C1267" s="125"/>
      <c r="D1267" s="125"/>
      <c r="E1267" s="125"/>
      <c r="F1267" s="125"/>
      <c r="G1267" s="125"/>
      <c r="H1267" s="125"/>
      <c r="I1267" s="627" t="s">
        <v>51</v>
      </c>
      <c r="J1267" s="125" t="s">
        <v>51</v>
      </c>
      <c r="K1267" s="125" t="s">
        <v>51</v>
      </c>
      <c r="L1267" s="125" t="s">
        <v>51</v>
      </c>
      <c r="M1267" s="125" t="str">
        <f t="shared" si="1"/>
        <v/>
      </c>
      <c r="N1267" s="125" t="str">
        <f t="shared" si="2"/>
        <v/>
      </c>
      <c r="O1267" s="125"/>
      <c r="P1267" s="125"/>
      <c r="Q1267" s="125"/>
      <c r="R1267" s="125"/>
      <c r="S1267" s="628">
        <f t="shared" si="3"/>
        <v>0</v>
      </c>
      <c r="T1267" s="627" t="s">
        <v>51</v>
      </c>
      <c r="U1267" s="627" t="s">
        <v>51</v>
      </c>
      <c r="V1267" s="627" t="s">
        <v>51</v>
      </c>
      <c r="W1267" s="627" t="s">
        <v>51</v>
      </c>
      <c r="X1267" s="627" t="s">
        <v>51</v>
      </c>
      <c r="Y1267" s="89"/>
    </row>
    <row r="1268" ht="22.5" customHeight="1">
      <c r="A1268" s="223"/>
      <c r="B1268" s="125"/>
      <c r="C1268" s="125"/>
      <c r="D1268" s="125"/>
      <c r="E1268" s="125"/>
      <c r="F1268" s="125"/>
      <c r="G1268" s="125"/>
      <c r="H1268" s="125"/>
      <c r="I1268" s="627" t="s">
        <v>51</v>
      </c>
      <c r="J1268" s="125" t="s">
        <v>51</v>
      </c>
      <c r="K1268" s="125" t="s">
        <v>51</v>
      </c>
      <c r="L1268" s="125" t="s">
        <v>51</v>
      </c>
      <c r="M1268" s="125" t="str">
        <f t="shared" si="1"/>
        <v/>
      </c>
      <c r="N1268" s="125" t="str">
        <f t="shared" si="2"/>
        <v/>
      </c>
      <c r="O1268" s="125"/>
      <c r="P1268" s="125"/>
      <c r="Q1268" s="125"/>
      <c r="R1268" s="125"/>
      <c r="S1268" s="628">
        <f t="shared" si="3"/>
        <v>0</v>
      </c>
      <c r="T1268" s="627" t="s">
        <v>51</v>
      </c>
      <c r="U1268" s="627" t="s">
        <v>51</v>
      </c>
      <c r="V1268" s="627" t="s">
        <v>51</v>
      </c>
      <c r="W1268" s="627" t="s">
        <v>51</v>
      </c>
      <c r="X1268" s="627" t="s">
        <v>51</v>
      </c>
      <c r="Y1268" s="89"/>
    </row>
    <row r="1269" ht="22.5" customHeight="1">
      <c r="A1269" s="223"/>
      <c r="B1269" s="125"/>
      <c r="C1269" s="125"/>
      <c r="D1269" s="125"/>
      <c r="E1269" s="125"/>
      <c r="F1269" s="125"/>
      <c r="G1269" s="125"/>
      <c r="H1269" s="125"/>
      <c r="I1269" s="627" t="s">
        <v>51</v>
      </c>
      <c r="J1269" s="125" t="s">
        <v>51</v>
      </c>
      <c r="K1269" s="125" t="s">
        <v>51</v>
      </c>
      <c r="L1269" s="125" t="s">
        <v>51</v>
      </c>
      <c r="M1269" s="125" t="str">
        <f t="shared" si="1"/>
        <v/>
      </c>
      <c r="N1269" s="125" t="str">
        <f t="shared" si="2"/>
        <v/>
      </c>
      <c r="O1269" s="125"/>
      <c r="P1269" s="125"/>
      <c r="Q1269" s="125"/>
      <c r="R1269" s="125"/>
      <c r="S1269" s="628">
        <f t="shared" si="3"/>
        <v>0</v>
      </c>
      <c r="T1269" s="627" t="s">
        <v>51</v>
      </c>
      <c r="U1269" s="627" t="s">
        <v>51</v>
      </c>
      <c r="V1269" s="627" t="s">
        <v>51</v>
      </c>
      <c r="W1269" s="627" t="s">
        <v>51</v>
      </c>
      <c r="X1269" s="627" t="s">
        <v>51</v>
      </c>
      <c r="Y1269" s="89"/>
    </row>
    <row r="1270" ht="22.5" customHeight="1">
      <c r="A1270" s="223"/>
      <c r="B1270" s="125"/>
      <c r="C1270" s="125"/>
      <c r="D1270" s="125"/>
      <c r="E1270" s="125"/>
      <c r="F1270" s="125"/>
      <c r="G1270" s="125"/>
      <c r="H1270" s="125"/>
      <c r="I1270" s="627" t="s">
        <v>51</v>
      </c>
      <c r="J1270" s="125" t="s">
        <v>51</v>
      </c>
      <c r="K1270" s="125" t="s">
        <v>51</v>
      </c>
      <c r="L1270" s="125" t="s">
        <v>51</v>
      </c>
      <c r="M1270" s="125" t="str">
        <f t="shared" si="1"/>
        <v/>
      </c>
      <c r="N1270" s="125" t="str">
        <f t="shared" si="2"/>
        <v/>
      </c>
      <c r="O1270" s="125"/>
      <c r="P1270" s="125"/>
      <c r="Q1270" s="125"/>
      <c r="R1270" s="125"/>
      <c r="S1270" s="628">
        <f t="shared" si="3"/>
        <v>0</v>
      </c>
      <c r="T1270" s="627" t="s">
        <v>51</v>
      </c>
      <c r="U1270" s="627" t="s">
        <v>51</v>
      </c>
      <c r="V1270" s="627" t="s">
        <v>51</v>
      </c>
      <c r="W1270" s="627" t="s">
        <v>51</v>
      </c>
      <c r="X1270" s="627" t="s">
        <v>51</v>
      </c>
      <c r="Y1270" s="89"/>
    </row>
    <row r="1271" ht="22.5" customHeight="1">
      <c r="A1271" s="223"/>
      <c r="B1271" s="125"/>
      <c r="C1271" s="125"/>
      <c r="D1271" s="125"/>
      <c r="E1271" s="125"/>
      <c r="F1271" s="125"/>
      <c r="G1271" s="125"/>
      <c r="H1271" s="125"/>
      <c r="I1271" s="627" t="s">
        <v>51</v>
      </c>
      <c r="J1271" s="125" t="s">
        <v>51</v>
      </c>
      <c r="K1271" s="125" t="s">
        <v>51</v>
      </c>
      <c r="L1271" s="125" t="s">
        <v>51</v>
      </c>
      <c r="M1271" s="125" t="str">
        <f t="shared" si="1"/>
        <v/>
      </c>
      <c r="N1271" s="125" t="str">
        <f t="shared" si="2"/>
        <v/>
      </c>
      <c r="O1271" s="125"/>
      <c r="P1271" s="125"/>
      <c r="Q1271" s="125"/>
      <c r="R1271" s="125"/>
      <c r="S1271" s="628">
        <f t="shared" si="3"/>
        <v>0</v>
      </c>
      <c r="T1271" s="627" t="s">
        <v>51</v>
      </c>
      <c r="U1271" s="627" t="s">
        <v>51</v>
      </c>
      <c r="V1271" s="627" t="s">
        <v>51</v>
      </c>
      <c r="W1271" s="627" t="s">
        <v>51</v>
      </c>
      <c r="X1271" s="627" t="s">
        <v>51</v>
      </c>
      <c r="Y1271" s="89"/>
    </row>
    <row r="1272" ht="22.5" customHeight="1">
      <c r="A1272" s="223"/>
      <c r="B1272" s="125"/>
      <c r="C1272" s="125"/>
      <c r="D1272" s="125"/>
      <c r="E1272" s="125"/>
      <c r="F1272" s="125"/>
      <c r="G1272" s="125"/>
      <c r="H1272" s="125"/>
      <c r="I1272" s="627" t="s">
        <v>51</v>
      </c>
      <c r="J1272" s="125" t="s">
        <v>51</v>
      </c>
      <c r="K1272" s="125" t="s">
        <v>51</v>
      </c>
      <c r="L1272" s="125" t="s">
        <v>51</v>
      </c>
      <c r="M1272" s="125" t="str">
        <f t="shared" si="1"/>
        <v/>
      </c>
      <c r="N1272" s="125" t="str">
        <f t="shared" si="2"/>
        <v/>
      </c>
      <c r="O1272" s="125"/>
      <c r="P1272" s="125"/>
      <c r="Q1272" s="125"/>
      <c r="R1272" s="125"/>
      <c r="S1272" s="628">
        <f t="shared" si="3"/>
        <v>0</v>
      </c>
      <c r="T1272" s="627" t="s">
        <v>51</v>
      </c>
      <c r="U1272" s="627" t="s">
        <v>51</v>
      </c>
      <c r="V1272" s="627" t="s">
        <v>51</v>
      </c>
      <c r="W1272" s="627" t="s">
        <v>51</v>
      </c>
      <c r="X1272" s="627" t="s">
        <v>51</v>
      </c>
      <c r="Y1272" s="89"/>
    </row>
    <row r="1273" ht="22.5" customHeight="1">
      <c r="A1273" s="223"/>
      <c r="B1273" s="125"/>
      <c r="C1273" s="125"/>
      <c r="D1273" s="125"/>
      <c r="E1273" s="125"/>
      <c r="F1273" s="125"/>
      <c r="G1273" s="125"/>
      <c r="H1273" s="125"/>
      <c r="I1273" s="627" t="s">
        <v>51</v>
      </c>
      <c r="J1273" s="125" t="s">
        <v>51</v>
      </c>
      <c r="K1273" s="125" t="s">
        <v>51</v>
      </c>
      <c r="L1273" s="125" t="s">
        <v>51</v>
      </c>
      <c r="M1273" s="125" t="str">
        <f t="shared" si="1"/>
        <v/>
      </c>
      <c r="N1273" s="125" t="str">
        <f t="shared" si="2"/>
        <v/>
      </c>
      <c r="O1273" s="125"/>
      <c r="P1273" s="125"/>
      <c r="Q1273" s="125"/>
      <c r="R1273" s="125"/>
      <c r="S1273" s="628">
        <f t="shared" si="3"/>
        <v>0</v>
      </c>
      <c r="T1273" s="627" t="s">
        <v>51</v>
      </c>
      <c r="U1273" s="627" t="s">
        <v>51</v>
      </c>
      <c r="V1273" s="627" t="s">
        <v>51</v>
      </c>
      <c r="W1273" s="627" t="s">
        <v>51</v>
      </c>
      <c r="X1273" s="627" t="s">
        <v>51</v>
      </c>
      <c r="Y1273" s="89"/>
    </row>
    <row r="1274" ht="22.5" customHeight="1">
      <c r="A1274" s="223"/>
      <c r="B1274" s="125"/>
      <c r="C1274" s="125"/>
      <c r="D1274" s="125"/>
      <c r="E1274" s="125"/>
      <c r="F1274" s="125"/>
      <c r="G1274" s="125"/>
      <c r="H1274" s="125"/>
      <c r="I1274" s="627" t="s">
        <v>51</v>
      </c>
      <c r="J1274" s="125" t="s">
        <v>51</v>
      </c>
      <c r="K1274" s="125" t="s">
        <v>51</v>
      </c>
      <c r="L1274" s="125" t="s">
        <v>51</v>
      </c>
      <c r="M1274" s="125" t="str">
        <f t="shared" si="1"/>
        <v/>
      </c>
      <c r="N1274" s="125" t="str">
        <f t="shared" si="2"/>
        <v/>
      </c>
      <c r="O1274" s="125"/>
      <c r="P1274" s="125"/>
      <c r="Q1274" s="125"/>
      <c r="R1274" s="125"/>
      <c r="S1274" s="628">
        <f t="shared" si="3"/>
        <v>0</v>
      </c>
      <c r="T1274" s="627" t="s">
        <v>51</v>
      </c>
      <c r="U1274" s="627" t="s">
        <v>51</v>
      </c>
      <c r="V1274" s="627" t="s">
        <v>51</v>
      </c>
      <c r="W1274" s="627" t="s">
        <v>51</v>
      </c>
      <c r="X1274" s="627" t="s">
        <v>51</v>
      </c>
      <c r="Y1274" s="89"/>
    </row>
    <row r="1275" ht="22.5" customHeight="1">
      <c r="A1275" s="223"/>
      <c r="B1275" s="125"/>
      <c r="C1275" s="125"/>
      <c r="D1275" s="125"/>
      <c r="E1275" s="125"/>
      <c r="F1275" s="125"/>
      <c r="G1275" s="125"/>
      <c r="H1275" s="125"/>
      <c r="I1275" s="627" t="s">
        <v>51</v>
      </c>
      <c r="J1275" s="125" t="s">
        <v>51</v>
      </c>
      <c r="K1275" s="125" t="s">
        <v>51</v>
      </c>
      <c r="L1275" s="125" t="s">
        <v>51</v>
      </c>
      <c r="M1275" s="125" t="str">
        <f t="shared" si="1"/>
        <v/>
      </c>
      <c r="N1275" s="125" t="str">
        <f t="shared" si="2"/>
        <v/>
      </c>
      <c r="O1275" s="125"/>
      <c r="P1275" s="125"/>
      <c r="Q1275" s="125"/>
      <c r="R1275" s="125"/>
      <c r="S1275" s="628">
        <f t="shared" si="3"/>
        <v>0</v>
      </c>
      <c r="T1275" s="627" t="s">
        <v>51</v>
      </c>
      <c r="U1275" s="627" t="s">
        <v>51</v>
      </c>
      <c r="V1275" s="627" t="s">
        <v>51</v>
      </c>
      <c r="W1275" s="627" t="s">
        <v>51</v>
      </c>
      <c r="X1275" s="627" t="s">
        <v>51</v>
      </c>
      <c r="Y1275" s="89"/>
    </row>
    <row r="1276" ht="22.5" customHeight="1">
      <c r="A1276" s="223"/>
      <c r="B1276" s="125"/>
      <c r="C1276" s="125"/>
      <c r="D1276" s="125"/>
      <c r="E1276" s="125"/>
      <c r="F1276" s="125"/>
      <c r="G1276" s="125"/>
      <c r="H1276" s="125"/>
      <c r="I1276" s="627" t="s">
        <v>51</v>
      </c>
      <c r="J1276" s="125" t="s">
        <v>51</v>
      </c>
      <c r="K1276" s="125" t="s">
        <v>51</v>
      </c>
      <c r="L1276" s="125" t="s">
        <v>51</v>
      </c>
      <c r="M1276" s="125" t="str">
        <f t="shared" si="1"/>
        <v/>
      </c>
      <c r="N1276" s="125" t="str">
        <f t="shared" si="2"/>
        <v/>
      </c>
      <c r="O1276" s="125"/>
      <c r="P1276" s="125"/>
      <c r="Q1276" s="125"/>
      <c r="R1276" s="125"/>
      <c r="S1276" s="628">
        <f t="shared" si="3"/>
        <v>0</v>
      </c>
      <c r="T1276" s="627" t="s">
        <v>51</v>
      </c>
      <c r="U1276" s="627" t="s">
        <v>51</v>
      </c>
      <c r="V1276" s="627" t="s">
        <v>51</v>
      </c>
      <c r="W1276" s="627" t="s">
        <v>51</v>
      </c>
      <c r="X1276" s="627" t="s">
        <v>51</v>
      </c>
      <c r="Y1276" s="89"/>
    </row>
    <row r="1277" ht="22.5" customHeight="1">
      <c r="A1277" s="223"/>
      <c r="B1277" s="125"/>
      <c r="C1277" s="125"/>
      <c r="D1277" s="125"/>
      <c r="E1277" s="125"/>
      <c r="F1277" s="125"/>
      <c r="G1277" s="125"/>
      <c r="H1277" s="125"/>
      <c r="I1277" s="627" t="s">
        <v>51</v>
      </c>
      <c r="J1277" s="125" t="s">
        <v>51</v>
      </c>
      <c r="K1277" s="125" t="s">
        <v>51</v>
      </c>
      <c r="L1277" s="125" t="s">
        <v>51</v>
      </c>
      <c r="M1277" s="125" t="str">
        <f t="shared" si="1"/>
        <v/>
      </c>
      <c r="N1277" s="125" t="str">
        <f t="shared" si="2"/>
        <v/>
      </c>
      <c r="O1277" s="125"/>
      <c r="P1277" s="125"/>
      <c r="Q1277" s="125"/>
      <c r="R1277" s="125"/>
      <c r="S1277" s="628">
        <f t="shared" si="3"/>
        <v>0</v>
      </c>
      <c r="T1277" s="627" t="s">
        <v>51</v>
      </c>
      <c r="U1277" s="627" t="s">
        <v>51</v>
      </c>
      <c r="V1277" s="627" t="s">
        <v>51</v>
      </c>
      <c r="W1277" s="627" t="s">
        <v>51</v>
      </c>
      <c r="X1277" s="627" t="s">
        <v>51</v>
      </c>
      <c r="Y1277" s="89"/>
    </row>
    <row r="1278" ht="22.5" customHeight="1">
      <c r="A1278" s="223"/>
      <c r="B1278" s="125"/>
      <c r="C1278" s="125"/>
      <c r="D1278" s="125"/>
      <c r="E1278" s="125"/>
      <c r="F1278" s="125"/>
      <c r="G1278" s="125"/>
      <c r="H1278" s="125"/>
      <c r="I1278" s="627" t="s">
        <v>51</v>
      </c>
      <c r="J1278" s="125" t="s">
        <v>51</v>
      </c>
      <c r="K1278" s="125" t="s">
        <v>51</v>
      </c>
      <c r="L1278" s="125" t="s">
        <v>51</v>
      </c>
      <c r="M1278" s="125" t="str">
        <f t="shared" si="1"/>
        <v/>
      </c>
      <c r="N1278" s="125" t="str">
        <f t="shared" si="2"/>
        <v/>
      </c>
      <c r="O1278" s="125"/>
      <c r="P1278" s="125"/>
      <c r="Q1278" s="125"/>
      <c r="R1278" s="125"/>
      <c r="S1278" s="628">
        <f t="shared" si="3"/>
        <v>0</v>
      </c>
      <c r="T1278" s="627" t="s">
        <v>51</v>
      </c>
      <c r="U1278" s="627" t="s">
        <v>51</v>
      </c>
      <c r="V1278" s="627" t="s">
        <v>51</v>
      </c>
      <c r="W1278" s="627" t="s">
        <v>51</v>
      </c>
      <c r="X1278" s="627" t="s">
        <v>51</v>
      </c>
      <c r="Y1278" s="89"/>
    </row>
    <row r="1279" ht="22.5" customHeight="1">
      <c r="A1279" s="223"/>
      <c r="B1279" s="125"/>
      <c r="C1279" s="125"/>
      <c r="D1279" s="125"/>
      <c r="E1279" s="125"/>
      <c r="F1279" s="125"/>
      <c r="G1279" s="125"/>
      <c r="H1279" s="125"/>
      <c r="I1279" s="627" t="s">
        <v>51</v>
      </c>
      <c r="J1279" s="125" t="s">
        <v>51</v>
      </c>
      <c r="K1279" s="125" t="s">
        <v>51</v>
      </c>
      <c r="L1279" s="125" t="s">
        <v>51</v>
      </c>
      <c r="M1279" s="125" t="str">
        <f t="shared" si="1"/>
        <v/>
      </c>
      <c r="N1279" s="125" t="str">
        <f t="shared" si="2"/>
        <v/>
      </c>
      <c r="O1279" s="125"/>
      <c r="P1279" s="125"/>
      <c r="Q1279" s="125"/>
      <c r="R1279" s="125"/>
      <c r="S1279" s="628">
        <f t="shared" si="3"/>
        <v>0</v>
      </c>
      <c r="T1279" s="627" t="s">
        <v>51</v>
      </c>
      <c r="U1279" s="627" t="s">
        <v>51</v>
      </c>
      <c r="V1279" s="627" t="s">
        <v>51</v>
      </c>
      <c r="W1279" s="627" t="s">
        <v>51</v>
      </c>
      <c r="X1279" s="627" t="s">
        <v>51</v>
      </c>
      <c r="Y1279" s="89"/>
    </row>
    <row r="1280" ht="22.5" customHeight="1">
      <c r="A1280" s="223"/>
      <c r="B1280" s="125"/>
      <c r="C1280" s="125"/>
      <c r="D1280" s="125"/>
      <c r="E1280" s="125"/>
      <c r="F1280" s="125"/>
      <c r="G1280" s="125"/>
      <c r="H1280" s="125"/>
      <c r="I1280" s="627" t="s">
        <v>51</v>
      </c>
      <c r="J1280" s="125" t="s">
        <v>51</v>
      </c>
      <c r="K1280" s="125" t="s">
        <v>51</v>
      </c>
      <c r="L1280" s="125" t="s">
        <v>51</v>
      </c>
      <c r="M1280" s="125" t="str">
        <f t="shared" si="1"/>
        <v/>
      </c>
      <c r="N1280" s="125" t="str">
        <f t="shared" si="2"/>
        <v/>
      </c>
      <c r="O1280" s="125"/>
      <c r="P1280" s="125"/>
      <c r="Q1280" s="125"/>
      <c r="R1280" s="125"/>
      <c r="S1280" s="628">
        <f t="shared" si="3"/>
        <v>0</v>
      </c>
      <c r="T1280" s="627" t="s">
        <v>51</v>
      </c>
      <c r="U1280" s="627" t="s">
        <v>51</v>
      </c>
      <c r="V1280" s="627" t="s">
        <v>51</v>
      </c>
      <c r="W1280" s="627" t="s">
        <v>51</v>
      </c>
      <c r="X1280" s="627" t="s">
        <v>51</v>
      </c>
      <c r="Y1280" s="89"/>
    </row>
    <row r="1281" ht="22.5" customHeight="1">
      <c r="A1281" s="223"/>
      <c r="B1281" s="125"/>
      <c r="C1281" s="125"/>
      <c r="D1281" s="125"/>
      <c r="E1281" s="125"/>
      <c r="F1281" s="125"/>
      <c r="G1281" s="125"/>
      <c r="H1281" s="125"/>
      <c r="I1281" s="627" t="s">
        <v>51</v>
      </c>
      <c r="J1281" s="125" t="s">
        <v>51</v>
      </c>
      <c r="K1281" s="125" t="s">
        <v>51</v>
      </c>
      <c r="L1281" s="125" t="s">
        <v>51</v>
      </c>
      <c r="M1281" s="125" t="str">
        <f t="shared" si="1"/>
        <v/>
      </c>
      <c r="N1281" s="125" t="str">
        <f t="shared" si="2"/>
        <v/>
      </c>
      <c r="O1281" s="125"/>
      <c r="P1281" s="125"/>
      <c r="Q1281" s="125"/>
      <c r="R1281" s="125"/>
      <c r="S1281" s="628">
        <f t="shared" si="3"/>
        <v>0</v>
      </c>
      <c r="T1281" s="627" t="s">
        <v>51</v>
      </c>
      <c r="U1281" s="627" t="s">
        <v>51</v>
      </c>
      <c r="V1281" s="627" t="s">
        <v>51</v>
      </c>
      <c r="W1281" s="627" t="s">
        <v>51</v>
      </c>
      <c r="X1281" s="627" t="s">
        <v>51</v>
      </c>
      <c r="Y1281" s="89"/>
    </row>
    <row r="1282" ht="22.5" customHeight="1">
      <c r="A1282" s="223"/>
      <c r="B1282" s="125"/>
      <c r="C1282" s="125"/>
      <c r="D1282" s="125"/>
      <c r="E1282" s="125"/>
      <c r="F1282" s="125"/>
      <c r="G1282" s="125"/>
      <c r="H1282" s="125"/>
      <c r="I1282" s="627" t="s">
        <v>51</v>
      </c>
      <c r="J1282" s="125" t="s">
        <v>51</v>
      </c>
      <c r="K1282" s="125" t="s">
        <v>51</v>
      </c>
      <c r="L1282" s="125" t="s">
        <v>51</v>
      </c>
      <c r="M1282" s="125" t="str">
        <f t="shared" si="1"/>
        <v/>
      </c>
      <c r="N1282" s="125" t="str">
        <f t="shared" si="2"/>
        <v/>
      </c>
      <c r="O1282" s="125"/>
      <c r="P1282" s="125"/>
      <c r="Q1282" s="125"/>
      <c r="R1282" s="125"/>
      <c r="S1282" s="628">
        <f t="shared" si="3"/>
        <v>0</v>
      </c>
      <c r="T1282" s="627" t="s">
        <v>51</v>
      </c>
      <c r="U1282" s="627" t="s">
        <v>51</v>
      </c>
      <c r="V1282" s="627" t="s">
        <v>51</v>
      </c>
      <c r="W1282" s="627" t="s">
        <v>51</v>
      </c>
      <c r="X1282" s="627" t="s">
        <v>51</v>
      </c>
      <c r="Y1282" s="89"/>
    </row>
    <row r="1283" ht="22.5" customHeight="1">
      <c r="A1283" s="223"/>
      <c r="B1283" s="125"/>
      <c r="C1283" s="125"/>
      <c r="D1283" s="125"/>
      <c r="E1283" s="125"/>
      <c r="F1283" s="125"/>
      <c r="G1283" s="125"/>
      <c r="H1283" s="125"/>
      <c r="I1283" s="627" t="s">
        <v>51</v>
      </c>
      <c r="J1283" s="125" t="s">
        <v>51</v>
      </c>
      <c r="K1283" s="125" t="s">
        <v>51</v>
      </c>
      <c r="L1283" s="125" t="s">
        <v>51</v>
      </c>
      <c r="M1283" s="125" t="str">
        <f t="shared" si="1"/>
        <v/>
      </c>
      <c r="N1283" s="125" t="str">
        <f t="shared" si="2"/>
        <v/>
      </c>
      <c r="O1283" s="125"/>
      <c r="P1283" s="125"/>
      <c r="Q1283" s="125"/>
      <c r="R1283" s="125"/>
      <c r="S1283" s="628">
        <f t="shared" si="3"/>
        <v>0</v>
      </c>
      <c r="T1283" s="627" t="s">
        <v>51</v>
      </c>
      <c r="U1283" s="627" t="s">
        <v>51</v>
      </c>
      <c r="V1283" s="627" t="s">
        <v>51</v>
      </c>
      <c r="W1283" s="627" t="s">
        <v>51</v>
      </c>
      <c r="X1283" s="627" t="s">
        <v>51</v>
      </c>
      <c r="Y1283" s="89"/>
    </row>
    <row r="1284" ht="22.5" customHeight="1">
      <c r="A1284" s="223"/>
      <c r="B1284" s="125"/>
      <c r="C1284" s="125"/>
      <c r="D1284" s="125"/>
      <c r="E1284" s="125"/>
      <c r="F1284" s="125"/>
      <c r="G1284" s="125"/>
      <c r="H1284" s="125"/>
      <c r="I1284" s="627" t="s">
        <v>51</v>
      </c>
      <c r="J1284" s="125" t="s">
        <v>51</v>
      </c>
      <c r="K1284" s="125" t="s">
        <v>51</v>
      </c>
      <c r="L1284" s="125" t="s">
        <v>51</v>
      </c>
      <c r="M1284" s="125" t="str">
        <f t="shared" si="1"/>
        <v/>
      </c>
      <c r="N1284" s="125" t="str">
        <f t="shared" si="2"/>
        <v/>
      </c>
      <c r="O1284" s="125"/>
      <c r="P1284" s="125"/>
      <c r="Q1284" s="125"/>
      <c r="R1284" s="125"/>
      <c r="S1284" s="628">
        <f t="shared" si="3"/>
        <v>0</v>
      </c>
      <c r="T1284" s="627" t="s">
        <v>51</v>
      </c>
      <c r="U1284" s="627" t="s">
        <v>51</v>
      </c>
      <c r="V1284" s="627" t="s">
        <v>51</v>
      </c>
      <c r="W1284" s="627" t="s">
        <v>51</v>
      </c>
      <c r="X1284" s="627" t="s">
        <v>51</v>
      </c>
      <c r="Y1284" s="89"/>
    </row>
    <row r="1285" ht="22.5" customHeight="1">
      <c r="A1285" s="223"/>
      <c r="B1285" s="125"/>
      <c r="C1285" s="125"/>
      <c r="D1285" s="125"/>
      <c r="E1285" s="125"/>
      <c r="F1285" s="125"/>
      <c r="G1285" s="125"/>
      <c r="H1285" s="125"/>
      <c r="I1285" s="627" t="s">
        <v>51</v>
      </c>
      <c r="J1285" s="125" t="s">
        <v>51</v>
      </c>
      <c r="K1285" s="125" t="s">
        <v>51</v>
      </c>
      <c r="L1285" s="125" t="s">
        <v>51</v>
      </c>
      <c r="M1285" s="125" t="str">
        <f t="shared" si="1"/>
        <v/>
      </c>
      <c r="N1285" s="125" t="str">
        <f t="shared" si="2"/>
        <v/>
      </c>
      <c r="O1285" s="125"/>
      <c r="P1285" s="125"/>
      <c r="Q1285" s="125"/>
      <c r="R1285" s="125"/>
      <c r="S1285" s="628">
        <f t="shared" si="3"/>
        <v>0</v>
      </c>
      <c r="T1285" s="627" t="s">
        <v>51</v>
      </c>
      <c r="U1285" s="627" t="s">
        <v>51</v>
      </c>
      <c r="V1285" s="627" t="s">
        <v>51</v>
      </c>
      <c r="W1285" s="627" t="s">
        <v>51</v>
      </c>
      <c r="X1285" s="627" t="s">
        <v>51</v>
      </c>
      <c r="Y1285" s="89"/>
    </row>
    <row r="1286" ht="22.5" customHeight="1">
      <c r="A1286" s="223"/>
      <c r="B1286" s="125"/>
      <c r="C1286" s="125"/>
      <c r="D1286" s="125"/>
      <c r="E1286" s="125"/>
      <c r="F1286" s="125"/>
      <c r="G1286" s="125"/>
      <c r="H1286" s="125"/>
      <c r="I1286" s="627" t="s">
        <v>51</v>
      </c>
      <c r="J1286" s="125" t="s">
        <v>51</v>
      </c>
      <c r="K1286" s="125" t="s">
        <v>51</v>
      </c>
      <c r="L1286" s="125" t="s">
        <v>51</v>
      </c>
      <c r="M1286" s="125" t="str">
        <f t="shared" si="1"/>
        <v/>
      </c>
      <c r="N1286" s="125" t="str">
        <f t="shared" si="2"/>
        <v/>
      </c>
      <c r="O1286" s="125"/>
      <c r="P1286" s="125"/>
      <c r="Q1286" s="125"/>
      <c r="R1286" s="125"/>
      <c r="S1286" s="628">
        <f t="shared" si="3"/>
        <v>0</v>
      </c>
      <c r="T1286" s="627" t="s">
        <v>51</v>
      </c>
      <c r="U1286" s="627" t="s">
        <v>51</v>
      </c>
      <c r="V1286" s="627" t="s">
        <v>51</v>
      </c>
      <c r="W1286" s="627" t="s">
        <v>51</v>
      </c>
      <c r="X1286" s="627" t="s">
        <v>51</v>
      </c>
      <c r="Y1286" s="89"/>
    </row>
    <row r="1287" ht="22.5" customHeight="1">
      <c r="A1287" s="223"/>
      <c r="B1287" s="125"/>
      <c r="C1287" s="125"/>
      <c r="D1287" s="125"/>
      <c r="E1287" s="125"/>
      <c r="F1287" s="125"/>
      <c r="G1287" s="125"/>
      <c r="H1287" s="125"/>
      <c r="I1287" s="627" t="s">
        <v>51</v>
      </c>
      <c r="J1287" s="125" t="s">
        <v>51</v>
      </c>
      <c r="K1287" s="125" t="s">
        <v>51</v>
      </c>
      <c r="L1287" s="125" t="s">
        <v>51</v>
      </c>
      <c r="M1287" s="125" t="str">
        <f t="shared" si="1"/>
        <v/>
      </c>
      <c r="N1287" s="125" t="str">
        <f t="shared" si="2"/>
        <v/>
      </c>
      <c r="O1287" s="125"/>
      <c r="P1287" s="125"/>
      <c r="Q1287" s="125"/>
      <c r="R1287" s="125"/>
      <c r="S1287" s="628">
        <f t="shared" si="3"/>
        <v>0</v>
      </c>
      <c r="T1287" s="627" t="s">
        <v>51</v>
      </c>
      <c r="U1287" s="627" t="s">
        <v>51</v>
      </c>
      <c r="V1287" s="627" t="s">
        <v>51</v>
      </c>
      <c r="W1287" s="627" t="s">
        <v>51</v>
      </c>
      <c r="X1287" s="627" t="s">
        <v>51</v>
      </c>
      <c r="Y1287" s="89"/>
    </row>
    <row r="1288" ht="22.5" customHeight="1">
      <c r="A1288" s="223"/>
      <c r="B1288" s="125"/>
      <c r="C1288" s="125"/>
      <c r="D1288" s="125"/>
      <c r="E1288" s="125"/>
      <c r="F1288" s="125"/>
      <c r="G1288" s="125"/>
      <c r="H1288" s="125"/>
      <c r="I1288" s="627" t="s">
        <v>51</v>
      </c>
      <c r="J1288" s="125" t="s">
        <v>51</v>
      </c>
      <c r="K1288" s="125" t="s">
        <v>51</v>
      </c>
      <c r="L1288" s="125" t="s">
        <v>51</v>
      </c>
      <c r="M1288" s="125" t="str">
        <f t="shared" si="1"/>
        <v/>
      </c>
      <c r="N1288" s="125" t="str">
        <f t="shared" si="2"/>
        <v/>
      </c>
      <c r="O1288" s="125"/>
      <c r="P1288" s="125"/>
      <c r="Q1288" s="125"/>
      <c r="R1288" s="125"/>
      <c r="S1288" s="628">
        <f t="shared" si="3"/>
        <v>0</v>
      </c>
      <c r="T1288" s="627" t="s">
        <v>51</v>
      </c>
      <c r="U1288" s="627" t="s">
        <v>51</v>
      </c>
      <c r="V1288" s="627" t="s">
        <v>51</v>
      </c>
      <c r="W1288" s="627" t="s">
        <v>51</v>
      </c>
      <c r="X1288" s="627" t="s">
        <v>51</v>
      </c>
      <c r="Y1288" s="89"/>
    </row>
    <row r="1289" ht="22.5" customHeight="1">
      <c r="A1289" s="223"/>
      <c r="B1289" s="125"/>
      <c r="C1289" s="125"/>
      <c r="D1289" s="125"/>
      <c r="E1289" s="125"/>
      <c r="F1289" s="125"/>
      <c r="G1289" s="125"/>
      <c r="H1289" s="125"/>
      <c r="I1289" s="627" t="s">
        <v>51</v>
      </c>
      <c r="J1289" s="125" t="s">
        <v>51</v>
      </c>
      <c r="K1289" s="125" t="s">
        <v>51</v>
      </c>
      <c r="L1289" s="125" t="s">
        <v>51</v>
      </c>
      <c r="M1289" s="125" t="str">
        <f t="shared" si="1"/>
        <v/>
      </c>
      <c r="N1289" s="125" t="str">
        <f t="shared" si="2"/>
        <v/>
      </c>
      <c r="O1289" s="125"/>
      <c r="P1289" s="125"/>
      <c r="Q1289" s="125"/>
      <c r="R1289" s="125"/>
      <c r="S1289" s="628">
        <f t="shared" si="3"/>
        <v>0</v>
      </c>
      <c r="T1289" s="627" t="s">
        <v>51</v>
      </c>
      <c r="U1289" s="627" t="s">
        <v>51</v>
      </c>
      <c r="V1289" s="627" t="s">
        <v>51</v>
      </c>
      <c r="W1289" s="627" t="s">
        <v>51</v>
      </c>
      <c r="X1289" s="627" t="s">
        <v>51</v>
      </c>
      <c r="Y1289" s="89"/>
    </row>
    <row r="1290" ht="22.5" customHeight="1">
      <c r="A1290" s="223"/>
      <c r="B1290" s="125"/>
      <c r="C1290" s="125"/>
      <c r="D1290" s="125"/>
      <c r="E1290" s="125"/>
      <c r="F1290" s="125"/>
      <c r="G1290" s="125"/>
      <c r="H1290" s="125"/>
      <c r="I1290" s="627" t="s">
        <v>51</v>
      </c>
      <c r="J1290" s="125" t="s">
        <v>51</v>
      </c>
      <c r="K1290" s="125" t="s">
        <v>51</v>
      </c>
      <c r="L1290" s="125" t="s">
        <v>51</v>
      </c>
      <c r="M1290" s="125" t="str">
        <f t="shared" si="1"/>
        <v/>
      </c>
      <c r="N1290" s="125" t="str">
        <f t="shared" si="2"/>
        <v/>
      </c>
      <c r="O1290" s="125"/>
      <c r="P1290" s="125"/>
      <c r="Q1290" s="125"/>
      <c r="R1290" s="125"/>
      <c r="S1290" s="628">
        <f t="shared" si="3"/>
        <v>0</v>
      </c>
      <c r="T1290" s="627" t="s">
        <v>51</v>
      </c>
      <c r="U1290" s="627" t="s">
        <v>51</v>
      </c>
      <c r="V1290" s="627" t="s">
        <v>51</v>
      </c>
      <c r="W1290" s="627" t="s">
        <v>51</v>
      </c>
      <c r="X1290" s="627" t="s">
        <v>51</v>
      </c>
      <c r="Y1290" s="89"/>
    </row>
    <row r="1291" ht="22.5" customHeight="1">
      <c r="A1291" s="223"/>
      <c r="B1291" s="125"/>
      <c r="C1291" s="125"/>
      <c r="D1291" s="125"/>
      <c r="E1291" s="125"/>
      <c r="F1291" s="125"/>
      <c r="G1291" s="125"/>
      <c r="H1291" s="125"/>
      <c r="I1291" s="627" t="s">
        <v>51</v>
      </c>
      <c r="J1291" s="125" t="s">
        <v>51</v>
      </c>
      <c r="K1291" s="125" t="s">
        <v>51</v>
      </c>
      <c r="L1291" s="125" t="s">
        <v>51</v>
      </c>
      <c r="M1291" s="125" t="str">
        <f t="shared" si="1"/>
        <v/>
      </c>
      <c r="N1291" s="125" t="str">
        <f t="shared" si="2"/>
        <v/>
      </c>
      <c r="O1291" s="125"/>
      <c r="P1291" s="125"/>
      <c r="Q1291" s="125"/>
      <c r="R1291" s="125"/>
      <c r="S1291" s="628">
        <f t="shared" si="3"/>
        <v>0</v>
      </c>
      <c r="T1291" s="627" t="s">
        <v>51</v>
      </c>
      <c r="U1291" s="627" t="s">
        <v>51</v>
      </c>
      <c r="V1291" s="627" t="s">
        <v>51</v>
      </c>
      <c r="W1291" s="627" t="s">
        <v>51</v>
      </c>
      <c r="X1291" s="627" t="s">
        <v>51</v>
      </c>
      <c r="Y1291" s="89"/>
    </row>
    <row r="1292" ht="22.5" customHeight="1">
      <c r="A1292" s="223"/>
      <c r="B1292" s="125"/>
      <c r="C1292" s="125"/>
      <c r="D1292" s="125"/>
      <c r="E1292" s="125"/>
      <c r="F1292" s="125"/>
      <c r="G1292" s="125"/>
      <c r="H1292" s="125"/>
      <c r="I1292" s="627" t="s">
        <v>51</v>
      </c>
      <c r="J1292" s="125" t="s">
        <v>51</v>
      </c>
      <c r="K1292" s="125" t="s">
        <v>51</v>
      </c>
      <c r="L1292" s="125" t="s">
        <v>51</v>
      </c>
      <c r="M1292" s="125" t="str">
        <f t="shared" si="1"/>
        <v/>
      </c>
      <c r="N1292" s="125" t="str">
        <f t="shared" si="2"/>
        <v/>
      </c>
      <c r="O1292" s="125"/>
      <c r="P1292" s="125"/>
      <c r="Q1292" s="125"/>
      <c r="R1292" s="125"/>
      <c r="S1292" s="628">
        <f t="shared" si="3"/>
        <v>0</v>
      </c>
      <c r="T1292" s="627" t="s">
        <v>51</v>
      </c>
      <c r="U1292" s="627" t="s">
        <v>51</v>
      </c>
      <c r="V1292" s="627" t="s">
        <v>51</v>
      </c>
      <c r="W1292" s="627" t="s">
        <v>51</v>
      </c>
      <c r="X1292" s="627" t="s">
        <v>51</v>
      </c>
      <c r="Y1292" s="89"/>
    </row>
    <row r="1293" ht="22.5" customHeight="1">
      <c r="A1293" s="223"/>
      <c r="B1293" s="125"/>
      <c r="C1293" s="125"/>
      <c r="D1293" s="125"/>
      <c r="E1293" s="125"/>
      <c r="F1293" s="125"/>
      <c r="G1293" s="125"/>
      <c r="H1293" s="125"/>
      <c r="I1293" s="627" t="s">
        <v>51</v>
      </c>
      <c r="J1293" s="125" t="s">
        <v>51</v>
      </c>
      <c r="K1293" s="125" t="s">
        <v>51</v>
      </c>
      <c r="L1293" s="125" t="s">
        <v>51</v>
      </c>
      <c r="M1293" s="125" t="str">
        <f t="shared" si="1"/>
        <v/>
      </c>
      <c r="N1293" s="125" t="str">
        <f t="shared" si="2"/>
        <v/>
      </c>
      <c r="O1293" s="125"/>
      <c r="P1293" s="125"/>
      <c r="Q1293" s="125"/>
      <c r="R1293" s="125"/>
      <c r="S1293" s="628">
        <f t="shared" si="3"/>
        <v>0</v>
      </c>
      <c r="T1293" s="627" t="s">
        <v>51</v>
      </c>
      <c r="U1293" s="627" t="s">
        <v>51</v>
      </c>
      <c r="V1293" s="627" t="s">
        <v>51</v>
      </c>
      <c r="W1293" s="627" t="s">
        <v>51</v>
      </c>
      <c r="X1293" s="627" t="s">
        <v>51</v>
      </c>
      <c r="Y1293" s="89"/>
    </row>
    <row r="1294" ht="22.5" customHeight="1">
      <c r="A1294" s="223"/>
      <c r="B1294" s="125"/>
      <c r="C1294" s="125"/>
      <c r="D1294" s="125"/>
      <c r="E1294" s="125"/>
      <c r="F1294" s="125"/>
      <c r="G1294" s="125"/>
      <c r="H1294" s="125"/>
      <c r="I1294" s="627" t="s">
        <v>51</v>
      </c>
      <c r="J1294" s="125" t="s">
        <v>51</v>
      </c>
      <c r="K1294" s="125" t="s">
        <v>51</v>
      </c>
      <c r="L1294" s="125" t="s">
        <v>51</v>
      </c>
      <c r="M1294" s="125" t="str">
        <f t="shared" si="1"/>
        <v/>
      </c>
      <c r="N1294" s="125" t="str">
        <f t="shared" si="2"/>
        <v/>
      </c>
      <c r="O1294" s="125"/>
      <c r="P1294" s="125"/>
      <c r="Q1294" s="125"/>
      <c r="R1294" s="125"/>
      <c r="S1294" s="628">
        <f t="shared" si="3"/>
        <v>0</v>
      </c>
      <c r="T1294" s="627" t="s">
        <v>51</v>
      </c>
      <c r="U1294" s="627" t="s">
        <v>51</v>
      </c>
      <c r="V1294" s="627" t="s">
        <v>51</v>
      </c>
      <c r="W1294" s="627" t="s">
        <v>51</v>
      </c>
      <c r="X1294" s="627" t="s">
        <v>51</v>
      </c>
      <c r="Y1294" s="89"/>
    </row>
    <row r="1295" ht="22.5" customHeight="1">
      <c r="A1295" s="223"/>
      <c r="B1295" s="125"/>
      <c r="C1295" s="125"/>
      <c r="D1295" s="125"/>
      <c r="E1295" s="125"/>
      <c r="F1295" s="125"/>
      <c r="G1295" s="125"/>
      <c r="H1295" s="125"/>
      <c r="I1295" s="627" t="s">
        <v>51</v>
      </c>
      <c r="J1295" s="125" t="s">
        <v>51</v>
      </c>
      <c r="K1295" s="125" t="s">
        <v>51</v>
      </c>
      <c r="L1295" s="125" t="s">
        <v>51</v>
      </c>
      <c r="M1295" s="125" t="str">
        <f t="shared" si="1"/>
        <v/>
      </c>
      <c r="N1295" s="125" t="str">
        <f t="shared" si="2"/>
        <v/>
      </c>
      <c r="O1295" s="125"/>
      <c r="P1295" s="125"/>
      <c r="Q1295" s="125"/>
      <c r="R1295" s="125"/>
      <c r="S1295" s="628">
        <f t="shared" si="3"/>
        <v>0</v>
      </c>
      <c r="T1295" s="627" t="s">
        <v>51</v>
      </c>
      <c r="U1295" s="627" t="s">
        <v>51</v>
      </c>
      <c r="V1295" s="627" t="s">
        <v>51</v>
      </c>
      <c r="W1295" s="627" t="s">
        <v>51</v>
      </c>
      <c r="X1295" s="627" t="s">
        <v>51</v>
      </c>
      <c r="Y1295" s="89"/>
    </row>
    <row r="1296" ht="22.5" customHeight="1">
      <c r="A1296" s="223"/>
      <c r="B1296" s="125"/>
      <c r="C1296" s="125"/>
      <c r="D1296" s="125"/>
      <c r="E1296" s="125"/>
      <c r="F1296" s="125"/>
      <c r="G1296" s="125"/>
      <c r="H1296" s="125"/>
      <c r="I1296" s="627" t="s">
        <v>51</v>
      </c>
      <c r="J1296" s="125" t="s">
        <v>51</v>
      </c>
      <c r="K1296" s="125" t="s">
        <v>51</v>
      </c>
      <c r="L1296" s="125" t="s">
        <v>51</v>
      </c>
      <c r="M1296" s="125" t="str">
        <f t="shared" si="1"/>
        <v/>
      </c>
      <c r="N1296" s="125" t="str">
        <f t="shared" si="2"/>
        <v/>
      </c>
      <c r="O1296" s="125"/>
      <c r="P1296" s="125"/>
      <c r="Q1296" s="125"/>
      <c r="R1296" s="125"/>
      <c r="S1296" s="628">
        <f t="shared" si="3"/>
        <v>0</v>
      </c>
      <c r="T1296" s="627" t="s">
        <v>51</v>
      </c>
      <c r="U1296" s="627" t="s">
        <v>51</v>
      </c>
      <c r="V1296" s="627" t="s">
        <v>51</v>
      </c>
      <c r="W1296" s="627" t="s">
        <v>51</v>
      </c>
      <c r="X1296" s="627" t="s">
        <v>51</v>
      </c>
      <c r="Y1296" s="89"/>
    </row>
    <row r="1297" ht="22.5" customHeight="1">
      <c r="A1297" s="223"/>
      <c r="B1297" s="125"/>
      <c r="C1297" s="125"/>
      <c r="D1297" s="125"/>
      <c r="E1297" s="125"/>
      <c r="F1297" s="125"/>
      <c r="G1297" s="125"/>
      <c r="H1297" s="125"/>
      <c r="I1297" s="627" t="s">
        <v>51</v>
      </c>
      <c r="J1297" s="125" t="s">
        <v>51</v>
      </c>
      <c r="K1297" s="125" t="s">
        <v>51</v>
      </c>
      <c r="L1297" s="125" t="s">
        <v>51</v>
      </c>
      <c r="M1297" s="125" t="str">
        <f t="shared" si="1"/>
        <v/>
      </c>
      <c r="N1297" s="125" t="str">
        <f t="shared" si="2"/>
        <v/>
      </c>
      <c r="O1297" s="125"/>
      <c r="P1297" s="125"/>
      <c r="Q1297" s="125"/>
      <c r="R1297" s="125"/>
      <c r="S1297" s="628">
        <f t="shared" si="3"/>
        <v>0</v>
      </c>
      <c r="T1297" s="627" t="s">
        <v>51</v>
      </c>
      <c r="U1297" s="627" t="s">
        <v>51</v>
      </c>
      <c r="V1297" s="627" t="s">
        <v>51</v>
      </c>
      <c r="W1297" s="627" t="s">
        <v>51</v>
      </c>
      <c r="X1297" s="627" t="s">
        <v>51</v>
      </c>
      <c r="Y1297" s="89"/>
    </row>
    <row r="1298" ht="22.5" customHeight="1">
      <c r="A1298" s="223"/>
      <c r="B1298" s="125"/>
      <c r="C1298" s="125"/>
      <c r="D1298" s="125"/>
      <c r="E1298" s="125"/>
      <c r="F1298" s="125"/>
      <c r="G1298" s="125"/>
      <c r="H1298" s="125"/>
      <c r="I1298" s="627" t="s">
        <v>51</v>
      </c>
      <c r="J1298" s="125" t="s">
        <v>51</v>
      </c>
      <c r="K1298" s="125" t="s">
        <v>51</v>
      </c>
      <c r="L1298" s="125" t="s">
        <v>51</v>
      </c>
      <c r="M1298" s="125" t="str">
        <f t="shared" si="1"/>
        <v/>
      </c>
      <c r="N1298" s="125" t="str">
        <f t="shared" si="2"/>
        <v/>
      </c>
      <c r="O1298" s="125"/>
      <c r="P1298" s="125"/>
      <c r="Q1298" s="125"/>
      <c r="R1298" s="125"/>
      <c r="S1298" s="628">
        <f t="shared" si="3"/>
        <v>0</v>
      </c>
      <c r="T1298" s="627" t="s">
        <v>51</v>
      </c>
      <c r="U1298" s="627" t="s">
        <v>51</v>
      </c>
      <c r="V1298" s="627" t="s">
        <v>51</v>
      </c>
      <c r="W1298" s="627" t="s">
        <v>51</v>
      </c>
      <c r="X1298" s="627" t="s">
        <v>51</v>
      </c>
      <c r="Y1298" s="89"/>
    </row>
    <row r="1299" ht="22.5" customHeight="1">
      <c r="A1299" s="223"/>
      <c r="B1299" s="125"/>
      <c r="C1299" s="125"/>
      <c r="D1299" s="125"/>
      <c r="E1299" s="125"/>
      <c r="F1299" s="125"/>
      <c r="G1299" s="125"/>
      <c r="H1299" s="125"/>
      <c r="I1299" s="627" t="s">
        <v>51</v>
      </c>
      <c r="J1299" s="125" t="s">
        <v>51</v>
      </c>
      <c r="K1299" s="125" t="s">
        <v>51</v>
      </c>
      <c r="L1299" s="125" t="s">
        <v>51</v>
      </c>
      <c r="M1299" s="125" t="str">
        <f t="shared" si="1"/>
        <v/>
      </c>
      <c r="N1299" s="125" t="str">
        <f t="shared" si="2"/>
        <v/>
      </c>
      <c r="O1299" s="125"/>
      <c r="P1299" s="125"/>
      <c r="Q1299" s="125"/>
      <c r="R1299" s="125"/>
      <c r="S1299" s="628">
        <f t="shared" si="3"/>
        <v>0</v>
      </c>
      <c r="T1299" s="627" t="s">
        <v>51</v>
      </c>
      <c r="U1299" s="627" t="s">
        <v>51</v>
      </c>
      <c r="V1299" s="627" t="s">
        <v>51</v>
      </c>
      <c r="W1299" s="627" t="s">
        <v>51</v>
      </c>
      <c r="X1299" s="627" t="s">
        <v>51</v>
      </c>
      <c r="Y1299" s="89"/>
    </row>
    <row r="1300" ht="22.5" customHeight="1">
      <c r="A1300" s="223"/>
      <c r="B1300" s="125"/>
      <c r="C1300" s="125"/>
      <c r="D1300" s="125"/>
      <c r="E1300" s="125"/>
      <c r="F1300" s="125"/>
      <c r="G1300" s="125"/>
      <c r="H1300" s="125"/>
      <c r="I1300" s="627" t="s">
        <v>51</v>
      </c>
      <c r="J1300" s="125" t="s">
        <v>51</v>
      </c>
      <c r="K1300" s="125" t="s">
        <v>51</v>
      </c>
      <c r="L1300" s="125" t="s">
        <v>51</v>
      </c>
      <c r="M1300" s="125" t="str">
        <f t="shared" si="1"/>
        <v/>
      </c>
      <c r="N1300" s="125" t="str">
        <f t="shared" si="2"/>
        <v/>
      </c>
      <c r="O1300" s="125"/>
      <c r="P1300" s="125"/>
      <c r="Q1300" s="125"/>
      <c r="R1300" s="125"/>
      <c r="S1300" s="628">
        <f t="shared" si="3"/>
        <v>0</v>
      </c>
      <c r="T1300" s="627" t="s">
        <v>51</v>
      </c>
      <c r="U1300" s="627" t="s">
        <v>51</v>
      </c>
      <c r="V1300" s="627" t="s">
        <v>51</v>
      </c>
      <c r="W1300" s="627" t="s">
        <v>51</v>
      </c>
      <c r="X1300" s="627" t="s">
        <v>51</v>
      </c>
      <c r="Y1300" s="89"/>
    </row>
    <row r="1301" ht="22.5" customHeight="1">
      <c r="A1301" s="223"/>
      <c r="B1301" s="125"/>
      <c r="C1301" s="125"/>
      <c r="D1301" s="125"/>
      <c r="E1301" s="125"/>
      <c r="F1301" s="125"/>
      <c r="G1301" s="125"/>
      <c r="H1301" s="125"/>
      <c r="I1301" s="627" t="s">
        <v>51</v>
      </c>
      <c r="J1301" s="125" t="s">
        <v>51</v>
      </c>
      <c r="K1301" s="125" t="s">
        <v>51</v>
      </c>
      <c r="L1301" s="125" t="s">
        <v>51</v>
      </c>
      <c r="M1301" s="125" t="str">
        <f t="shared" si="1"/>
        <v/>
      </c>
      <c r="N1301" s="125" t="str">
        <f t="shared" si="2"/>
        <v/>
      </c>
      <c r="O1301" s="125"/>
      <c r="P1301" s="125"/>
      <c r="Q1301" s="125"/>
      <c r="R1301" s="125"/>
      <c r="S1301" s="628">
        <f t="shared" si="3"/>
        <v>0</v>
      </c>
      <c r="T1301" s="627" t="s">
        <v>51</v>
      </c>
      <c r="U1301" s="627" t="s">
        <v>51</v>
      </c>
      <c r="V1301" s="627" t="s">
        <v>51</v>
      </c>
      <c r="W1301" s="627" t="s">
        <v>51</v>
      </c>
      <c r="X1301" s="627" t="s">
        <v>51</v>
      </c>
      <c r="Y1301" s="89"/>
    </row>
    <row r="1302" ht="22.5" customHeight="1">
      <c r="A1302" s="223"/>
      <c r="B1302" s="125"/>
      <c r="C1302" s="125"/>
      <c r="D1302" s="125"/>
      <c r="E1302" s="125"/>
      <c r="F1302" s="125"/>
      <c r="G1302" s="125"/>
      <c r="H1302" s="125"/>
      <c r="I1302" s="627" t="s">
        <v>51</v>
      </c>
      <c r="J1302" s="125" t="s">
        <v>51</v>
      </c>
      <c r="K1302" s="125" t="s">
        <v>51</v>
      </c>
      <c r="L1302" s="125" t="s">
        <v>51</v>
      </c>
      <c r="M1302" s="125" t="str">
        <f t="shared" si="1"/>
        <v/>
      </c>
      <c r="N1302" s="125" t="str">
        <f t="shared" si="2"/>
        <v/>
      </c>
      <c r="O1302" s="125"/>
      <c r="P1302" s="125"/>
      <c r="Q1302" s="125"/>
      <c r="R1302" s="125"/>
      <c r="S1302" s="628">
        <f t="shared" si="3"/>
        <v>0</v>
      </c>
      <c r="T1302" s="627" t="s">
        <v>51</v>
      </c>
      <c r="U1302" s="627" t="s">
        <v>51</v>
      </c>
      <c r="V1302" s="627" t="s">
        <v>51</v>
      </c>
      <c r="W1302" s="627" t="s">
        <v>51</v>
      </c>
      <c r="X1302" s="627" t="s">
        <v>51</v>
      </c>
      <c r="Y1302" s="89"/>
    </row>
    <row r="1303" ht="22.5" customHeight="1">
      <c r="A1303" s="223"/>
      <c r="B1303" s="125"/>
      <c r="C1303" s="125"/>
      <c r="D1303" s="125"/>
      <c r="E1303" s="125"/>
      <c r="F1303" s="125"/>
      <c r="G1303" s="125"/>
      <c r="H1303" s="125"/>
      <c r="I1303" s="627" t="s">
        <v>51</v>
      </c>
      <c r="J1303" s="125" t="s">
        <v>51</v>
      </c>
      <c r="K1303" s="125" t="s">
        <v>51</v>
      </c>
      <c r="L1303" s="125" t="s">
        <v>51</v>
      </c>
      <c r="M1303" s="125" t="str">
        <f t="shared" si="1"/>
        <v/>
      </c>
      <c r="N1303" s="125" t="str">
        <f t="shared" si="2"/>
        <v/>
      </c>
      <c r="O1303" s="125"/>
      <c r="P1303" s="125"/>
      <c r="Q1303" s="125"/>
      <c r="R1303" s="125"/>
      <c r="S1303" s="628">
        <f t="shared" si="3"/>
        <v>0</v>
      </c>
      <c r="T1303" s="627" t="s">
        <v>51</v>
      </c>
      <c r="U1303" s="627" t="s">
        <v>51</v>
      </c>
      <c r="V1303" s="627" t="s">
        <v>51</v>
      </c>
      <c r="W1303" s="627" t="s">
        <v>51</v>
      </c>
      <c r="X1303" s="627" t="s">
        <v>51</v>
      </c>
      <c r="Y1303" s="89"/>
    </row>
    <row r="1304" ht="22.5" customHeight="1">
      <c r="A1304" s="223"/>
      <c r="B1304" s="125"/>
      <c r="C1304" s="125"/>
      <c r="D1304" s="125"/>
      <c r="E1304" s="125"/>
      <c r="F1304" s="125"/>
      <c r="G1304" s="125"/>
      <c r="H1304" s="125"/>
      <c r="I1304" s="627" t="s">
        <v>51</v>
      </c>
      <c r="J1304" s="125" t="s">
        <v>51</v>
      </c>
      <c r="K1304" s="125" t="s">
        <v>51</v>
      </c>
      <c r="L1304" s="125" t="s">
        <v>51</v>
      </c>
      <c r="M1304" s="125" t="str">
        <f t="shared" si="1"/>
        <v/>
      </c>
      <c r="N1304" s="125" t="str">
        <f t="shared" si="2"/>
        <v/>
      </c>
      <c r="O1304" s="125"/>
      <c r="P1304" s="125"/>
      <c r="Q1304" s="125"/>
      <c r="R1304" s="125"/>
      <c r="S1304" s="628">
        <f t="shared" si="3"/>
        <v>0</v>
      </c>
      <c r="T1304" s="627" t="s">
        <v>51</v>
      </c>
      <c r="U1304" s="627" t="s">
        <v>51</v>
      </c>
      <c r="V1304" s="627" t="s">
        <v>51</v>
      </c>
      <c r="W1304" s="627" t="s">
        <v>51</v>
      </c>
      <c r="X1304" s="627" t="s">
        <v>51</v>
      </c>
      <c r="Y1304" s="89"/>
    </row>
    <row r="1305" ht="22.5" customHeight="1">
      <c r="A1305" s="223"/>
      <c r="B1305" s="125"/>
      <c r="C1305" s="125"/>
      <c r="D1305" s="125"/>
      <c r="E1305" s="125"/>
      <c r="F1305" s="125"/>
      <c r="G1305" s="125"/>
      <c r="H1305" s="125"/>
      <c r="I1305" s="627" t="s">
        <v>51</v>
      </c>
      <c r="J1305" s="125" t="s">
        <v>51</v>
      </c>
      <c r="K1305" s="125" t="s">
        <v>51</v>
      </c>
      <c r="L1305" s="125" t="s">
        <v>51</v>
      </c>
      <c r="M1305" s="125" t="str">
        <f t="shared" si="1"/>
        <v/>
      </c>
      <c r="N1305" s="125" t="str">
        <f t="shared" si="2"/>
        <v/>
      </c>
      <c r="O1305" s="125"/>
      <c r="P1305" s="125"/>
      <c r="Q1305" s="125"/>
      <c r="R1305" s="125"/>
      <c r="S1305" s="628">
        <f t="shared" si="3"/>
        <v>0</v>
      </c>
      <c r="T1305" s="627" t="s">
        <v>51</v>
      </c>
      <c r="U1305" s="627" t="s">
        <v>51</v>
      </c>
      <c r="V1305" s="627" t="s">
        <v>51</v>
      </c>
      <c r="W1305" s="627" t="s">
        <v>51</v>
      </c>
      <c r="X1305" s="627" t="s">
        <v>51</v>
      </c>
      <c r="Y1305" s="89"/>
    </row>
    <row r="1306" ht="22.5" customHeight="1">
      <c r="A1306" s="223"/>
      <c r="B1306" s="125"/>
      <c r="C1306" s="125"/>
      <c r="D1306" s="125"/>
      <c r="E1306" s="125"/>
      <c r="F1306" s="125"/>
      <c r="G1306" s="125"/>
      <c r="H1306" s="125"/>
      <c r="I1306" s="627" t="s">
        <v>51</v>
      </c>
      <c r="J1306" s="125" t="s">
        <v>51</v>
      </c>
      <c r="K1306" s="125" t="s">
        <v>51</v>
      </c>
      <c r="L1306" s="125" t="s">
        <v>51</v>
      </c>
      <c r="M1306" s="125" t="str">
        <f t="shared" si="1"/>
        <v/>
      </c>
      <c r="N1306" s="125" t="str">
        <f t="shared" si="2"/>
        <v/>
      </c>
      <c r="O1306" s="125"/>
      <c r="P1306" s="125"/>
      <c r="Q1306" s="125"/>
      <c r="R1306" s="125"/>
      <c r="S1306" s="628">
        <f t="shared" si="3"/>
        <v>0</v>
      </c>
      <c r="T1306" s="627" t="s">
        <v>51</v>
      </c>
      <c r="U1306" s="627" t="s">
        <v>51</v>
      </c>
      <c r="V1306" s="627" t="s">
        <v>51</v>
      </c>
      <c r="W1306" s="627" t="s">
        <v>51</v>
      </c>
      <c r="X1306" s="627" t="s">
        <v>51</v>
      </c>
      <c r="Y1306" s="89"/>
    </row>
    <row r="1307" ht="22.5" customHeight="1">
      <c r="A1307" s="223"/>
      <c r="B1307" s="125"/>
      <c r="C1307" s="125"/>
      <c r="D1307" s="125"/>
      <c r="E1307" s="125"/>
      <c r="F1307" s="125"/>
      <c r="G1307" s="125"/>
      <c r="H1307" s="125"/>
      <c r="I1307" s="627" t="s">
        <v>51</v>
      </c>
      <c r="J1307" s="125" t="s">
        <v>51</v>
      </c>
      <c r="K1307" s="125" t="s">
        <v>51</v>
      </c>
      <c r="L1307" s="125" t="s">
        <v>51</v>
      </c>
      <c r="M1307" s="125" t="str">
        <f t="shared" si="1"/>
        <v/>
      </c>
      <c r="N1307" s="125" t="str">
        <f t="shared" si="2"/>
        <v/>
      </c>
      <c r="O1307" s="125"/>
      <c r="P1307" s="125"/>
      <c r="Q1307" s="125"/>
      <c r="R1307" s="125"/>
      <c r="S1307" s="628">
        <f t="shared" si="3"/>
        <v>0</v>
      </c>
      <c r="T1307" s="627" t="s">
        <v>51</v>
      </c>
      <c r="U1307" s="627" t="s">
        <v>51</v>
      </c>
      <c r="V1307" s="627" t="s">
        <v>51</v>
      </c>
      <c r="W1307" s="627" t="s">
        <v>51</v>
      </c>
      <c r="X1307" s="627" t="s">
        <v>51</v>
      </c>
      <c r="Y1307" s="89"/>
    </row>
    <row r="1308" ht="22.5" customHeight="1">
      <c r="A1308" s="223"/>
      <c r="B1308" s="125"/>
      <c r="C1308" s="125"/>
      <c r="D1308" s="125"/>
      <c r="E1308" s="125"/>
      <c r="F1308" s="125"/>
      <c r="G1308" s="125"/>
      <c r="H1308" s="125"/>
      <c r="I1308" s="627" t="s">
        <v>51</v>
      </c>
      <c r="J1308" s="125" t="s">
        <v>51</v>
      </c>
      <c r="K1308" s="125" t="s">
        <v>51</v>
      </c>
      <c r="L1308" s="125" t="s">
        <v>51</v>
      </c>
      <c r="M1308" s="125" t="str">
        <f t="shared" si="1"/>
        <v/>
      </c>
      <c r="N1308" s="125" t="str">
        <f t="shared" si="2"/>
        <v/>
      </c>
      <c r="O1308" s="125"/>
      <c r="P1308" s="125"/>
      <c r="Q1308" s="125"/>
      <c r="R1308" s="125"/>
      <c r="S1308" s="628">
        <f t="shared" si="3"/>
        <v>0</v>
      </c>
      <c r="T1308" s="627" t="s">
        <v>51</v>
      </c>
      <c r="U1308" s="627" t="s">
        <v>51</v>
      </c>
      <c r="V1308" s="627" t="s">
        <v>51</v>
      </c>
      <c r="W1308" s="627" t="s">
        <v>51</v>
      </c>
      <c r="X1308" s="627" t="s">
        <v>51</v>
      </c>
      <c r="Y1308" s="89"/>
    </row>
    <row r="1309" ht="22.5" customHeight="1">
      <c r="A1309" s="223"/>
      <c r="B1309" s="125"/>
      <c r="C1309" s="125"/>
      <c r="D1309" s="125"/>
      <c r="E1309" s="125"/>
      <c r="F1309" s="125"/>
      <c r="G1309" s="125"/>
      <c r="H1309" s="125"/>
      <c r="I1309" s="627" t="s">
        <v>51</v>
      </c>
      <c r="J1309" s="125" t="s">
        <v>51</v>
      </c>
      <c r="K1309" s="125" t="s">
        <v>51</v>
      </c>
      <c r="L1309" s="125" t="s">
        <v>51</v>
      </c>
      <c r="M1309" s="125" t="str">
        <f t="shared" si="1"/>
        <v/>
      </c>
      <c r="N1309" s="125" t="str">
        <f t="shared" si="2"/>
        <v/>
      </c>
      <c r="O1309" s="125"/>
      <c r="P1309" s="125"/>
      <c r="Q1309" s="125"/>
      <c r="R1309" s="125"/>
      <c r="S1309" s="628">
        <f t="shared" si="3"/>
        <v>0</v>
      </c>
      <c r="T1309" s="627" t="s">
        <v>51</v>
      </c>
      <c r="U1309" s="627" t="s">
        <v>51</v>
      </c>
      <c r="V1309" s="627" t="s">
        <v>51</v>
      </c>
      <c r="W1309" s="627" t="s">
        <v>51</v>
      </c>
      <c r="X1309" s="627" t="s">
        <v>51</v>
      </c>
      <c r="Y1309" s="89"/>
    </row>
    <row r="1310" ht="22.5" customHeight="1">
      <c r="A1310" s="223"/>
      <c r="B1310" s="125"/>
      <c r="C1310" s="125"/>
      <c r="D1310" s="125"/>
      <c r="E1310" s="125"/>
      <c r="F1310" s="125"/>
      <c r="G1310" s="125"/>
      <c r="H1310" s="125"/>
      <c r="I1310" s="627" t="s">
        <v>51</v>
      </c>
      <c r="J1310" s="125" t="s">
        <v>51</v>
      </c>
      <c r="K1310" s="125" t="s">
        <v>51</v>
      </c>
      <c r="L1310" s="125" t="s">
        <v>51</v>
      </c>
      <c r="M1310" s="125" t="str">
        <f t="shared" si="1"/>
        <v/>
      </c>
      <c r="N1310" s="125" t="str">
        <f t="shared" si="2"/>
        <v/>
      </c>
      <c r="O1310" s="125"/>
      <c r="P1310" s="125"/>
      <c r="Q1310" s="125"/>
      <c r="R1310" s="125"/>
      <c r="S1310" s="628">
        <f t="shared" si="3"/>
        <v>0</v>
      </c>
      <c r="T1310" s="627" t="s">
        <v>51</v>
      </c>
      <c r="U1310" s="627" t="s">
        <v>51</v>
      </c>
      <c r="V1310" s="627" t="s">
        <v>51</v>
      </c>
      <c r="W1310" s="627" t="s">
        <v>51</v>
      </c>
      <c r="X1310" s="627" t="s">
        <v>51</v>
      </c>
      <c r="Y1310" s="89"/>
    </row>
    <row r="1311" ht="22.5" customHeight="1">
      <c r="A1311" s="223"/>
      <c r="B1311" s="125"/>
      <c r="C1311" s="125"/>
      <c r="D1311" s="125"/>
      <c r="E1311" s="125"/>
      <c r="F1311" s="125"/>
      <c r="G1311" s="125"/>
      <c r="H1311" s="125"/>
      <c r="I1311" s="627" t="s">
        <v>51</v>
      </c>
      <c r="J1311" s="125" t="s">
        <v>51</v>
      </c>
      <c r="K1311" s="125" t="s">
        <v>51</v>
      </c>
      <c r="L1311" s="125" t="s">
        <v>51</v>
      </c>
      <c r="M1311" s="125" t="str">
        <f t="shared" si="1"/>
        <v/>
      </c>
      <c r="N1311" s="125" t="str">
        <f t="shared" si="2"/>
        <v/>
      </c>
      <c r="O1311" s="125"/>
      <c r="P1311" s="125"/>
      <c r="Q1311" s="125"/>
      <c r="R1311" s="125"/>
      <c r="S1311" s="628">
        <f t="shared" si="3"/>
        <v>0</v>
      </c>
      <c r="T1311" s="627" t="s">
        <v>51</v>
      </c>
      <c r="U1311" s="627" t="s">
        <v>51</v>
      </c>
      <c r="V1311" s="627" t="s">
        <v>51</v>
      </c>
      <c r="W1311" s="627" t="s">
        <v>51</v>
      </c>
      <c r="X1311" s="627" t="s">
        <v>51</v>
      </c>
      <c r="Y1311" s="89"/>
    </row>
    <row r="1312" ht="22.5" customHeight="1">
      <c r="A1312" s="223"/>
      <c r="B1312" s="125"/>
      <c r="C1312" s="125"/>
      <c r="D1312" s="125"/>
      <c r="E1312" s="125"/>
      <c r="F1312" s="125"/>
      <c r="G1312" s="125"/>
      <c r="H1312" s="125"/>
      <c r="I1312" s="627" t="s">
        <v>51</v>
      </c>
      <c r="J1312" s="125" t="s">
        <v>51</v>
      </c>
      <c r="K1312" s="125" t="s">
        <v>51</v>
      </c>
      <c r="L1312" s="125" t="s">
        <v>51</v>
      </c>
      <c r="M1312" s="125" t="str">
        <f t="shared" si="1"/>
        <v/>
      </c>
      <c r="N1312" s="125" t="str">
        <f t="shared" si="2"/>
        <v/>
      </c>
      <c r="O1312" s="125"/>
      <c r="P1312" s="125"/>
      <c r="Q1312" s="125"/>
      <c r="R1312" s="125"/>
      <c r="S1312" s="628">
        <f t="shared" si="3"/>
        <v>0</v>
      </c>
      <c r="T1312" s="627" t="s">
        <v>51</v>
      </c>
      <c r="U1312" s="627" t="s">
        <v>51</v>
      </c>
      <c r="V1312" s="627" t="s">
        <v>51</v>
      </c>
      <c r="W1312" s="627" t="s">
        <v>51</v>
      </c>
      <c r="X1312" s="627" t="s">
        <v>51</v>
      </c>
      <c r="Y1312" s="89"/>
    </row>
    <row r="1313" ht="22.5" customHeight="1">
      <c r="A1313" s="223"/>
      <c r="B1313" s="125"/>
      <c r="C1313" s="125"/>
      <c r="D1313" s="125"/>
      <c r="E1313" s="125"/>
      <c r="F1313" s="125"/>
      <c r="G1313" s="125"/>
      <c r="H1313" s="125"/>
      <c r="I1313" s="627" t="s">
        <v>51</v>
      </c>
      <c r="J1313" s="125" t="s">
        <v>51</v>
      </c>
      <c r="K1313" s="125" t="s">
        <v>51</v>
      </c>
      <c r="L1313" s="125" t="s">
        <v>51</v>
      </c>
      <c r="M1313" s="125" t="str">
        <f t="shared" si="1"/>
        <v/>
      </c>
      <c r="N1313" s="125" t="str">
        <f t="shared" si="2"/>
        <v/>
      </c>
      <c r="O1313" s="125"/>
      <c r="P1313" s="125"/>
      <c r="Q1313" s="125"/>
      <c r="R1313" s="125"/>
      <c r="S1313" s="628">
        <f t="shared" si="3"/>
        <v>0</v>
      </c>
      <c r="T1313" s="627" t="s">
        <v>51</v>
      </c>
      <c r="U1313" s="627" t="s">
        <v>51</v>
      </c>
      <c r="V1313" s="627" t="s">
        <v>51</v>
      </c>
      <c r="W1313" s="627" t="s">
        <v>51</v>
      </c>
      <c r="X1313" s="627" t="s">
        <v>51</v>
      </c>
      <c r="Y1313" s="89"/>
    </row>
    <row r="1314" ht="22.5" customHeight="1">
      <c r="A1314" s="223"/>
      <c r="B1314" s="125"/>
      <c r="C1314" s="125"/>
      <c r="D1314" s="125"/>
      <c r="E1314" s="125"/>
      <c r="F1314" s="125"/>
      <c r="G1314" s="125"/>
      <c r="H1314" s="125"/>
      <c r="I1314" s="627" t="s">
        <v>51</v>
      </c>
      <c r="J1314" s="125" t="s">
        <v>51</v>
      </c>
      <c r="K1314" s="125" t="s">
        <v>51</v>
      </c>
      <c r="L1314" s="125" t="s">
        <v>51</v>
      </c>
      <c r="M1314" s="125" t="str">
        <f t="shared" si="1"/>
        <v/>
      </c>
      <c r="N1314" s="125" t="str">
        <f t="shared" si="2"/>
        <v/>
      </c>
      <c r="O1314" s="125"/>
      <c r="P1314" s="125"/>
      <c r="Q1314" s="125"/>
      <c r="R1314" s="125"/>
      <c r="S1314" s="628">
        <f t="shared" si="3"/>
        <v>0</v>
      </c>
      <c r="T1314" s="627" t="s">
        <v>51</v>
      </c>
      <c r="U1314" s="627" t="s">
        <v>51</v>
      </c>
      <c r="V1314" s="627" t="s">
        <v>51</v>
      </c>
      <c r="W1314" s="627" t="s">
        <v>51</v>
      </c>
      <c r="X1314" s="627" t="s">
        <v>51</v>
      </c>
      <c r="Y1314" s="89"/>
    </row>
    <row r="1315" ht="22.5" customHeight="1">
      <c r="A1315" s="223"/>
      <c r="B1315" s="125"/>
      <c r="C1315" s="125"/>
      <c r="D1315" s="125"/>
      <c r="E1315" s="125"/>
      <c r="F1315" s="125"/>
      <c r="G1315" s="125"/>
      <c r="H1315" s="125"/>
      <c r="I1315" s="627" t="s">
        <v>51</v>
      </c>
      <c r="J1315" s="125" t="s">
        <v>51</v>
      </c>
      <c r="K1315" s="125" t="s">
        <v>51</v>
      </c>
      <c r="L1315" s="125" t="s">
        <v>51</v>
      </c>
      <c r="M1315" s="125" t="str">
        <f t="shared" si="1"/>
        <v/>
      </c>
      <c r="N1315" s="125" t="str">
        <f t="shared" si="2"/>
        <v/>
      </c>
      <c r="O1315" s="125"/>
      <c r="P1315" s="125"/>
      <c r="Q1315" s="125"/>
      <c r="R1315" s="125"/>
      <c r="S1315" s="628">
        <f t="shared" si="3"/>
        <v>0</v>
      </c>
      <c r="T1315" s="627" t="s">
        <v>51</v>
      </c>
      <c r="U1315" s="627" t="s">
        <v>51</v>
      </c>
      <c r="V1315" s="627" t="s">
        <v>51</v>
      </c>
      <c r="W1315" s="627" t="s">
        <v>51</v>
      </c>
      <c r="X1315" s="627" t="s">
        <v>51</v>
      </c>
      <c r="Y1315" s="89"/>
    </row>
    <row r="1316" ht="22.5" customHeight="1">
      <c r="A1316" s="223"/>
      <c r="B1316" s="125"/>
      <c r="C1316" s="125"/>
      <c r="D1316" s="125"/>
      <c r="E1316" s="125"/>
      <c r="F1316" s="125"/>
      <c r="G1316" s="125"/>
      <c r="H1316" s="125"/>
      <c r="I1316" s="627" t="s">
        <v>51</v>
      </c>
      <c r="J1316" s="125" t="s">
        <v>51</v>
      </c>
      <c r="K1316" s="125" t="s">
        <v>51</v>
      </c>
      <c r="L1316" s="125" t="s">
        <v>51</v>
      </c>
      <c r="M1316" s="125" t="str">
        <f t="shared" si="1"/>
        <v/>
      </c>
      <c r="N1316" s="125" t="str">
        <f t="shared" si="2"/>
        <v/>
      </c>
      <c r="O1316" s="125"/>
      <c r="P1316" s="125"/>
      <c r="Q1316" s="125"/>
      <c r="R1316" s="125"/>
      <c r="S1316" s="628">
        <f t="shared" si="3"/>
        <v>0</v>
      </c>
      <c r="T1316" s="627" t="s">
        <v>51</v>
      </c>
      <c r="U1316" s="627" t="s">
        <v>51</v>
      </c>
      <c r="V1316" s="627" t="s">
        <v>51</v>
      </c>
      <c r="W1316" s="627" t="s">
        <v>51</v>
      </c>
      <c r="X1316" s="627" t="s">
        <v>51</v>
      </c>
      <c r="Y1316" s="89"/>
    </row>
    <row r="1317" ht="22.5" customHeight="1">
      <c r="A1317" s="223"/>
      <c r="B1317" s="125"/>
      <c r="C1317" s="125"/>
      <c r="D1317" s="125"/>
      <c r="E1317" s="125"/>
      <c r="F1317" s="125"/>
      <c r="G1317" s="125"/>
      <c r="H1317" s="125"/>
      <c r="I1317" s="627" t="s">
        <v>51</v>
      </c>
      <c r="J1317" s="125" t="s">
        <v>51</v>
      </c>
      <c r="K1317" s="125" t="s">
        <v>51</v>
      </c>
      <c r="L1317" s="125" t="s">
        <v>51</v>
      </c>
      <c r="M1317" s="125" t="str">
        <f t="shared" si="1"/>
        <v/>
      </c>
      <c r="N1317" s="125" t="str">
        <f t="shared" si="2"/>
        <v/>
      </c>
      <c r="O1317" s="125"/>
      <c r="P1317" s="125"/>
      <c r="Q1317" s="125"/>
      <c r="R1317" s="125"/>
      <c r="S1317" s="628">
        <f t="shared" si="3"/>
        <v>0</v>
      </c>
      <c r="T1317" s="627" t="s">
        <v>51</v>
      </c>
      <c r="U1317" s="627" t="s">
        <v>51</v>
      </c>
      <c r="V1317" s="627" t="s">
        <v>51</v>
      </c>
      <c r="W1317" s="627" t="s">
        <v>51</v>
      </c>
      <c r="X1317" s="627" t="s">
        <v>51</v>
      </c>
      <c r="Y1317" s="89"/>
    </row>
    <row r="1318" ht="22.5" customHeight="1">
      <c r="A1318" s="223"/>
      <c r="B1318" s="125"/>
      <c r="C1318" s="125"/>
      <c r="D1318" s="125"/>
      <c r="E1318" s="125"/>
      <c r="F1318" s="125"/>
      <c r="G1318" s="125"/>
      <c r="H1318" s="125"/>
      <c r="I1318" s="627" t="s">
        <v>51</v>
      </c>
      <c r="J1318" s="125" t="s">
        <v>51</v>
      </c>
      <c r="K1318" s="125" t="s">
        <v>51</v>
      </c>
      <c r="L1318" s="125" t="s">
        <v>51</v>
      </c>
      <c r="M1318" s="125" t="str">
        <f t="shared" si="1"/>
        <v/>
      </c>
      <c r="N1318" s="125" t="str">
        <f t="shared" si="2"/>
        <v/>
      </c>
      <c r="O1318" s="125"/>
      <c r="P1318" s="125"/>
      <c r="Q1318" s="125"/>
      <c r="R1318" s="125"/>
      <c r="S1318" s="628">
        <f t="shared" si="3"/>
        <v>0</v>
      </c>
      <c r="T1318" s="627" t="s">
        <v>51</v>
      </c>
      <c r="U1318" s="627" t="s">
        <v>51</v>
      </c>
      <c r="V1318" s="627" t="s">
        <v>51</v>
      </c>
      <c r="W1318" s="627" t="s">
        <v>51</v>
      </c>
      <c r="X1318" s="627" t="s">
        <v>51</v>
      </c>
      <c r="Y1318" s="89"/>
    </row>
    <row r="1319" ht="22.5" customHeight="1">
      <c r="A1319" s="223"/>
      <c r="B1319" s="125"/>
      <c r="C1319" s="125"/>
      <c r="D1319" s="125"/>
      <c r="E1319" s="125"/>
      <c r="F1319" s="125"/>
      <c r="G1319" s="125"/>
      <c r="H1319" s="125"/>
      <c r="I1319" s="627" t="s">
        <v>51</v>
      </c>
      <c r="J1319" s="125" t="s">
        <v>51</v>
      </c>
      <c r="K1319" s="125" t="s">
        <v>51</v>
      </c>
      <c r="L1319" s="125" t="s">
        <v>51</v>
      </c>
      <c r="M1319" s="125" t="str">
        <f t="shared" si="1"/>
        <v/>
      </c>
      <c r="N1319" s="125" t="str">
        <f t="shared" si="2"/>
        <v/>
      </c>
      <c r="O1319" s="125"/>
      <c r="P1319" s="125"/>
      <c r="Q1319" s="125"/>
      <c r="R1319" s="125"/>
      <c r="S1319" s="628">
        <f t="shared" si="3"/>
        <v>0</v>
      </c>
      <c r="T1319" s="627" t="s">
        <v>51</v>
      </c>
      <c r="U1319" s="627" t="s">
        <v>51</v>
      </c>
      <c r="V1319" s="627" t="s">
        <v>51</v>
      </c>
      <c r="W1319" s="627" t="s">
        <v>51</v>
      </c>
      <c r="X1319" s="627" t="s">
        <v>51</v>
      </c>
      <c r="Y1319" s="89"/>
    </row>
    <row r="1320" ht="22.5" customHeight="1">
      <c r="A1320" s="223"/>
      <c r="B1320" s="125"/>
      <c r="C1320" s="125"/>
      <c r="D1320" s="125"/>
      <c r="E1320" s="125"/>
      <c r="F1320" s="125"/>
      <c r="G1320" s="125"/>
      <c r="H1320" s="125"/>
      <c r="I1320" s="627" t="s">
        <v>51</v>
      </c>
      <c r="J1320" s="125" t="s">
        <v>51</v>
      </c>
      <c r="K1320" s="125" t="s">
        <v>51</v>
      </c>
      <c r="L1320" s="125" t="s">
        <v>51</v>
      </c>
      <c r="M1320" s="125" t="str">
        <f t="shared" si="1"/>
        <v/>
      </c>
      <c r="N1320" s="125" t="str">
        <f t="shared" si="2"/>
        <v/>
      </c>
      <c r="O1320" s="125"/>
      <c r="P1320" s="125"/>
      <c r="Q1320" s="125"/>
      <c r="R1320" s="125"/>
      <c r="S1320" s="628">
        <f t="shared" si="3"/>
        <v>0</v>
      </c>
      <c r="T1320" s="627" t="s">
        <v>51</v>
      </c>
      <c r="U1320" s="627" t="s">
        <v>51</v>
      </c>
      <c r="V1320" s="627" t="s">
        <v>51</v>
      </c>
      <c r="W1320" s="627" t="s">
        <v>51</v>
      </c>
      <c r="X1320" s="627" t="s">
        <v>51</v>
      </c>
      <c r="Y1320" s="89"/>
    </row>
    <row r="1321" ht="22.5" customHeight="1">
      <c r="A1321" s="223"/>
      <c r="B1321" s="125"/>
      <c r="C1321" s="125"/>
      <c r="D1321" s="125"/>
      <c r="E1321" s="125"/>
      <c r="F1321" s="125"/>
      <c r="G1321" s="125"/>
      <c r="H1321" s="125"/>
      <c r="I1321" s="627" t="s">
        <v>51</v>
      </c>
      <c r="J1321" s="125" t="s">
        <v>51</v>
      </c>
      <c r="K1321" s="125" t="s">
        <v>51</v>
      </c>
      <c r="L1321" s="125" t="s">
        <v>51</v>
      </c>
      <c r="M1321" s="125" t="str">
        <f t="shared" si="1"/>
        <v/>
      </c>
      <c r="N1321" s="125" t="str">
        <f t="shared" si="2"/>
        <v/>
      </c>
      <c r="O1321" s="125"/>
      <c r="P1321" s="125"/>
      <c r="Q1321" s="125"/>
      <c r="R1321" s="125"/>
      <c r="S1321" s="628">
        <f t="shared" si="3"/>
        <v>0</v>
      </c>
      <c r="T1321" s="627" t="s">
        <v>51</v>
      </c>
      <c r="U1321" s="627" t="s">
        <v>51</v>
      </c>
      <c r="V1321" s="627" t="s">
        <v>51</v>
      </c>
      <c r="W1321" s="627" t="s">
        <v>51</v>
      </c>
      <c r="X1321" s="627" t="s">
        <v>51</v>
      </c>
      <c r="Y1321" s="89"/>
    </row>
    <row r="1322" ht="22.5" customHeight="1">
      <c r="A1322" s="223"/>
      <c r="B1322" s="125"/>
      <c r="C1322" s="125"/>
      <c r="D1322" s="125"/>
      <c r="E1322" s="125"/>
      <c r="F1322" s="125"/>
      <c r="G1322" s="125"/>
      <c r="H1322" s="125"/>
      <c r="I1322" s="627" t="s">
        <v>51</v>
      </c>
      <c r="J1322" s="125" t="s">
        <v>51</v>
      </c>
      <c r="K1322" s="125" t="s">
        <v>51</v>
      </c>
      <c r="L1322" s="125" t="s">
        <v>51</v>
      </c>
      <c r="M1322" s="125" t="str">
        <f t="shared" si="1"/>
        <v/>
      </c>
      <c r="N1322" s="125" t="str">
        <f t="shared" si="2"/>
        <v/>
      </c>
      <c r="O1322" s="125"/>
      <c r="P1322" s="125"/>
      <c r="Q1322" s="125"/>
      <c r="R1322" s="125"/>
      <c r="S1322" s="628">
        <f t="shared" si="3"/>
        <v>0</v>
      </c>
      <c r="T1322" s="627" t="s">
        <v>51</v>
      </c>
      <c r="U1322" s="627" t="s">
        <v>51</v>
      </c>
      <c r="V1322" s="627" t="s">
        <v>51</v>
      </c>
      <c r="W1322" s="627" t="s">
        <v>51</v>
      </c>
      <c r="X1322" s="627" t="s">
        <v>51</v>
      </c>
      <c r="Y1322" s="89"/>
    </row>
    <row r="1323" ht="22.5" customHeight="1">
      <c r="A1323" s="223"/>
      <c r="B1323" s="125"/>
      <c r="C1323" s="125"/>
      <c r="D1323" s="125"/>
      <c r="E1323" s="125"/>
      <c r="F1323" s="125"/>
      <c r="G1323" s="125"/>
      <c r="H1323" s="125"/>
      <c r="I1323" s="627" t="s">
        <v>51</v>
      </c>
      <c r="J1323" s="125" t="s">
        <v>51</v>
      </c>
      <c r="K1323" s="125" t="s">
        <v>51</v>
      </c>
      <c r="L1323" s="125" t="s">
        <v>51</v>
      </c>
      <c r="M1323" s="125" t="str">
        <f t="shared" si="1"/>
        <v/>
      </c>
      <c r="N1323" s="125" t="str">
        <f t="shared" si="2"/>
        <v/>
      </c>
      <c r="O1323" s="125"/>
      <c r="P1323" s="125"/>
      <c r="Q1323" s="125"/>
      <c r="R1323" s="125"/>
      <c r="S1323" s="628">
        <f t="shared" si="3"/>
        <v>0</v>
      </c>
      <c r="T1323" s="627" t="s">
        <v>51</v>
      </c>
      <c r="U1323" s="627" t="s">
        <v>51</v>
      </c>
      <c r="V1323" s="627" t="s">
        <v>51</v>
      </c>
      <c r="W1323" s="627" t="s">
        <v>51</v>
      </c>
      <c r="X1323" s="627" t="s">
        <v>51</v>
      </c>
      <c r="Y1323" s="89"/>
    </row>
    <row r="1324" ht="22.5" customHeight="1">
      <c r="A1324" s="223"/>
      <c r="B1324" s="125"/>
      <c r="C1324" s="125"/>
      <c r="D1324" s="125"/>
      <c r="E1324" s="125"/>
      <c r="F1324" s="125"/>
      <c r="G1324" s="125"/>
      <c r="H1324" s="125"/>
      <c r="I1324" s="627" t="s">
        <v>51</v>
      </c>
      <c r="J1324" s="125" t="s">
        <v>51</v>
      </c>
      <c r="K1324" s="125" t="s">
        <v>51</v>
      </c>
      <c r="L1324" s="125" t="s">
        <v>51</v>
      </c>
      <c r="M1324" s="125" t="str">
        <f t="shared" si="1"/>
        <v/>
      </c>
      <c r="N1324" s="125" t="str">
        <f t="shared" si="2"/>
        <v/>
      </c>
      <c r="O1324" s="125"/>
      <c r="P1324" s="125"/>
      <c r="Q1324" s="125"/>
      <c r="R1324" s="125"/>
      <c r="S1324" s="628">
        <f t="shared" si="3"/>
        <v>0</v>
      </c>
      <c r="T1324" s="627" t="s">
        <v>51</v>
      </c>
      <c r="U1324" s="627" t="s">
        <v>51</v>
      </c>
      <c r="V1324" s="627" t="s">
        <v>51</v>
      </c>
      <c r="W1324" s="627" t="s">
        <v>51</v>
      </c>
      <c r="X1324" s="627" t="s">
        <v>51</v>
      </c>
      <c r="Y1324" s="89"/>
    </row>
    <row r="1325" ht="22.5" customHeight="1">
      <c r="A1325" s="223"/>
      <c r="B1325" s="125"/>
      <c r="C1325" s="125"/>
      <c r="D1325" s="125"/>
      <c r="E1325" s="125"/>
      <c r="F1325" s="125"/>
      <c r="G1325" s="125"/>
      <c r="H1325" s="125"/>
      <c r="I1325" s="627" t="s">
        <v>51</v>
      </c>
      <c r="J1325" s="125" t="s">
        <v>51</v>
      </c>
      <c r="K1325" s="125" t="s">
        <v>51</v>
      </c>
      <c r="L1325" s="125" t="s">
        <v>51</v>
      </c>
      <c r="M1325" s="125" t="str">
        <f t="shared" si="1"/>
        <v/>
      </c>
      <c r="N1325" s="125" t="str">
        <f t="shared" si="2"/>
        <v/>
      </c>
      <c r="O1325" s="125"/>
      <c r="P1325" s="125"/>
      <c r="Q1325" s="125"/>
      <c r="R1325" s="125"/>
      <c r="S1325" s="628">
        <f t="shared" si="3"/>
        <v>0</v>
      </c>
      <c r="T1325" s="627" t="s">
        <v>51</v>
      </c>
      <c r="U1325" s="627" t="s">
        <v>51</v>
      </c>
      <c r="V1325" s="627" t="s">
        <v>51</v>
      </c>
      <c r="W1325" s="627" t="s">
        <v>51</v>
      </c>
      <c r="X1325" s="627" t="s">
        <v>51</v>
      </c>
      <c r="Y1325" s="89"/>
    </row>
    <row r="1326" ht="22.5" customHeight="1">
      <c r="A1326" s="223"/>
      <c r="B1326" s="125"/>
      <c r="C1326" s="125"/>
      <c r="D1326" s="125"/>
      <c r="E1326" s="125"/>
      <c r="F1326" s="125"/>
      <c r="G1326" s="125"/>
      <c r="H1326" s="125"/>
      <c r="I1326" s="627" t="s">
        <v>51</v>
      </c>
      <c r="J1326" s="125" t="s">
        <v>51</v>
      </c>
      <c r="K1326" s="125" t="s">
        <v>51</v>
      </c>
      <c r="L1326" s="125" t="s">
        <v>51</v>
      </c>
      <c r="M1326" s="125" t="str">
        <f t="shared" si="1"/>
        <v/>
      </c>
      <c r="N1326" s="125" t="str">
        <f t="shared" si="2"/>
        <v/>
      </c>
      <c r="O1326" s="125"/>
      <c r="P1326" s="125"/>
      <c r="Q1326" s="125"/>
      <c r="R1326" s="125"/>
      <c r="S1326" s="628">
        <f t="shared" si="3"/>
        <v>0</v>
      </c>
      <c r="T1326" s="627" t="s">
        <v>51</v>
      </c>
      <c r="U1326" s="627" t="s">
        <v>51</v>
      </c>
      <c r="V1326" s="627" t="s">
        <v>51</v>
      </c>
      <c r="W1326" s="627" t="s">
        <v>51</v>
      </c>
      <c r="X1326" s="627" t="s">
        <v>51</v>
      </c>
      <c r="Y1326" s="89"/>
    </row>
    <row r="1327" ht="22.5" customHeight="1">
      <c r="A1327" s="223"/>
      <c r="B1327" s="125"/>
      <c r="C1327" s="125"/>
      <c r="D1327" s="125"/>
      <c r="E1327" s="125"/>
      <c r="F1327" s="125"/>
      <c r="G1327" s="125"/>
      <c r="H1327" s="125"/>
      <c r="I1327" s="627" t="s">
        <v>51</v>
      </c>
      <c r="J1327" s="125" t="s">
        <v>51</v>
      </c>
      <c r="K1327" s="125" t="s">
        <v>51</v>
      </c>
      <c r="L1327" s="125" t="s">
        <v>51</v>
      </c>
      <c r="M1327" s="125" t="str">
        <f t="shared" si="1"/>
        <v/>
      </c>
      <c r="N1327" s="125" t="str">
        <f t="shared" si="2"/>
        <v/>
      </c>
      <c r="O1327" s="125"/>
      <c r="P1327" s="125"/>
      <c r="Q1327" s="125"/>
      <c r="R1327" s="125"/>
      <c r="S1327" s="628">
        <f t="shared" si="3"/>
        <v>0</v>
      </c>
      <c r="T1327" s="627" t="s">
        <v>51</v>
      </c>
      <c r="U1327" s="627" t="s">
        <v>51</v>
      </c>
      <c r="V1327" s="627" t="s">
        <v>51</v>
      </c>
      <c r="W1327" s="627" t="s">
        <v>51</v>
      </c>
      <c r="X1327" s="627" t="s">
        <v>51</v>
      </c>
      <c r="Y1327" s="89"/>
    </row>
    <row r="1328" ht="22.5" customHeight="1">
      <c r="A1328" s="223"/>
      <c r="B1328" s="125"/>
      <c r="C1328" s="125"/>
      <c r="D1328" s="125"/>
      <c r="E1328" s="125"/>
      <c r="F1328" s="125"/>
      <c r="G1328" s="125"/>
      <c r="H1328" s="125"/>
      <c r="I1328" s="627" t="s">
        <v>51</v>
      </c>
      <c r="J1328" s="125" t="s">
        <v>51</v>
      </c>
      <c r="K1328" s="125" t="s">
        <v>51</v>
      </c>
      <c r="L1328" s="125" t="s">
        <v>51</v>
      </c>
      <c r="M1328" s="125" t="str">
        <f t="shared" si="1"/>
        <v/>
      </c>
      <c r="N1328" s="125" t="str">
        <f t="shared" si="2"/>
        <v/>
      </c>
      <c r="O1328" s="125"/>
      <c r="P1328" s="125"/>
      <c r="Q1328" s="125"/>
      <c r="R1328" s="125"/>
      <c r="S1328" s="628">
        <f t="shared" si="3"/>
        <v>0</v>
      </c>
      <c r="T1328" s="627" t="s">
        <v>51</v>
      </c>
      <c r="U1328" s="627" t="s">
        <v>51</v>
      </c>
      <c r="V1328" s="627" t="s">
        <v>51</v>
      </c>
      <c r="W1328" s="627" t="s">
        <v>51</v>
      </c>
      <c r="X1328" s="627" t="s">
        <v>51</v>
      </c>
      <c r="Y1328" s="89"/>
    </row>
    <row r="1329" ht="22.5" customHeight="1">
      <c r="A1329" s="223"/>
      <c r="B1329" s="125"/>
      <c r="C1329" s="125"/>
      <c r="D1329" s="125"/>
      <c r="E1329" s="125"/>
      <c r="F1329" s="125"/>
      <c r="G1329" s="125"/>
      <c r="H1329" s="125"/>
      <c r="I1329" s="627" t="s">
        <v>51</v>
      </c>
      <c r="J1329" s="125" t="s">
        <v>51</v>
      </c>
      <c r="K1329" s="125" t="s">
        <v>51</v>
      </c>
      <c r="L1329" s="125" t="s">
        <v>51</v>
      </c>
      <c r="M1329" s="125" t="str">
        <f t="shared" si="1"/>
        <v/>
      </c>
      <c r="N1329" s="125" t="str">
        <f t="shared" si="2"/>
        <v/>
      </c>
      <c r="O1329" s="125"/>
      <c r="P1329" s="125"/>
      <c r="Q1329" s="125"/>
      <c r="R1329" s="125"/>
      <c r="S1329" s="628">
        <f t="shared" si="3"/>
        <v>0</v>
      </c>
      <c r="T1329" s="627" t="s">
        <v>51</v>
      </c>
      <c r="U1329" s="627" t="s">
        <v>51</v>
      </c>
      <c r="V1329" s="627" t="s">
        <v>51</v>
      </c>
      <c r="W1329" s="627" t="s">
        <v>51</v>
      </c>
      <c r="X1329" s="627" t="s">
        <v>51</v>
      </c>
      <c r="Y1329" s="89"/>
    </row>
    <row r="1330" ht="22.5" customHeight="1">
      <c r="A1330" s="223"/>
      <c r="B1330" s="125"/>
      <c r="C1330" s="125"/>
      <c r="D1330" s="125"/>
      <c r="E1330" s="125"/>
      <c r="F1330" s="125"/>
      <c r="G1330" s="125"/>
      <c r="H1330" s="125"/>
      <c r="I1330" s="627" t="s">
        <v>51</v>
      </c>
      <c r="J1330" s="125" t="s">
        <v>51</v>
      </c>
      <c r="K1330" s="125" t="s">
        <v>51</v>
      </c>
      <c r="L1330" s="125" t="s">
        <v>51</v>
      </c>
      <c r="M1330" s="125" t="str">
        <f t="shared" si="1"/>
        <v/>
      </c>
      <c r="N1330" s="125" t="str">
        <f t="shared" si="2"/>
        <v/>
      </c>
      <c r="O1330" s="125"/>
      <c r="P1330" s="125"/>
      <c r="Q1330" s="125"/>
      <c r="R1330" s="125"/>
      <c r="S1330" s="628">
        <f t="shared" si="3"/>
        <v>0</v>
      </c>
      <c r="T1330" s="627" t="s">
        <v>51</v>
      </c>
      <c r="U1330" s="627" t="s">
        <v>51</v>
      </c>
      <c r="V1330" s="627" t="s">
        <v>51</v>
      </c>
      <c r="W1330" s="627" t="s">
        <v>51</v>
      </c>
      <c r="X1330" s="627" t="s">
        <v>51</v>
      </c>
      <c r="Y1330" s="89"/>
    </row>
    <row r="1331" ht="22.5" customHeight="1">
      <c r="A1331" s="223"/>
      <c r="B1331" s="125"/>
      <c r="C1331" s="125"/>
      <c r="D1331" s="125"/>
      <c r="E1331" s="125"/>
      <c r="F1331" s="125"/>
      <c r="G1331" s="125"/>
      <c r="H1331" s="125"/>
      <c r="I1331" s="627" t="s">
        <v>51</v>
      </c>
      <c r="J1331" s="125" t="s">
        <v>51</v>
      </c>
      <c r="K1331" s="125" t="s">
        <v>51</v>
      </c>
      <c r="L1331" s="125" t="s">
        <v>51</v>
      </c>
      <c r="M1331" s="125" t="str">
        <f t="shared" si="1"/>
        <v/>
      </c>
      <c r="N1331" s="125" t="str">
        <f t="shared" si="2"/>
        <v/>
      </c>
      <c r="O1331" s="125"/>
      <c r="P1331" s="125"/>
      <c r="Q1331" s="125"/>
      <c r="R1331" s="125"/>
      <c r="S1331" s="628">
        <f t="shared" si="3"/>
        <v>0</v>
      </c>
      <c r="T1331" s="627" t="s">
        <v>51</v>
      </c>
      <c r="U1331" s="627" t="s">
        <v>51</v>
      </c>
      <c r="V1331" s="627" t="s">
        <v>51</v>
      </c>
      <c r="W1331" s="627" t="s">
        <v>51</v>
      </c>
      <c r="X1331" s="627" t="s">
        <v>51</v>
      </c>
      <c r="Y1331" s="89"/>
    </row>
    <row r="1332" ht="22.5" customHeight="1">
      <c r="A1332" s="223"/>
      <c r="B1332" s="125"/>
      <c r="C1332" s="125"/>
      <c r="D1332" s="125"/>
      <c r="E1332" s="125"/>
      <c r="F1332" s="125"/>
      <c r="G1332" s="125"/>
      <c r="H1332" s="125"/>
      <c r="I1332" s="627" t="s">
        <v>51</v>
      </c>
      <c r="J1332" s="125" t="s">
        <v>51</v>
      </c>
      <c r="K1332" s="125" t="s">
        <v>51</v>
      </c>
      <c r="L1332" s="125" t="s">
        <v>51</v>
      </c>
      <c r="M1332" s="125" t="str">
        <f t="shared" si="1"/>
        <v/>
      </c>
      <c r="N1332" s="125" t="str">
        <f t="shared" si="2"/>
        <v/>
      </c>
      <c r="O1332" s="125"/>
      <c r="P1332" s="125"/>
      <c r="Q1332" s="125"/>
      <c r="R1332" s="125"/>
      <c r="S1332" s="628">
        <f t="shared" si="3"/>
        <v>0</v>
      </c>
      <c r="T1332" s="627" t="s">
        <v>51</v>
      </c>
      <c r="U1332" s="627" t="s">
        <v>51</v>
      </c>
      <c r="V1332" s="627" t="s">
        <v>51</v>
      </c>
      <c r="W1332" s="627" t="s">
        <v>51</v>
      </c>
      <c r="X1332" s="627" t="s">
        <v>51</v>
      </c>
      <c r="Y1332" s="89"/>
    </row>
    <row r="1333" ht="22.5" customHeight="1">
      <c r="A1333" s="223"/>
      <c r="B1333" s="125"/>
      <c r="C1333" s="125"/>
      <c r="D1333" s="125"/>
      <c r="E1333" s="125"/>
      <c r="F1333" s="125"/>
      <c r="G1333" s="125"/>
      <c r="H1333" s="125"/>
      <c r="I1333" s="627" t="s">
        <v>51</v>
      </c>
      <c r="J1333" s="125" t="s">
        <v>51</v>
      </c>
      <c r="K1333" s="125" t="s">
        <v>51</v>
      </c>
      <c r="L1333" s="125" t="s">
        <v>51</v>
      </c>
      <c r="M1333" s="125" t="str">
        <f t="shared" si="1"/>
        <v/>
      </c>
      <c r="N1333" s="125" t="str">
        <f t="shared" si="2"/>
        <v/>
      </c>
      <c r="O1333" s="125"/>
      <c r="P1333" s="125"/>
      <c r="Q1333" s="125"/>
      <c r="R1333" s="125"/>
      <c r="S1333" s="628">
        <f t="shared" si="3"/>
        <v>0</v>
      </c>
      <c r="T1333" s="627" t="s">
        <v>51</v>
      </c>
      <c r="U1333" s="627" t="s">
        <v>51</v>
      </c>
      <c r="V1333" s="627" t="s">
        <v>51</v>
      </c>
      <c r="W1333" s="627" t="s">
        <v>51</v>
      </c>
      <c r="X1333" s="627" t="s">
        <v>51</v>
      </c>
      <c r="Y1333" s="89"/>
    </row>
    <row r="1334" ht="22.5" customHeight="1">
      <c r="A1334" s="223"/>
      <c r="B1334" s="125"/>
      <c r="C1334" s="125"/>
      <c r="D1334" s="125"/>
      <c r="E1334" s="125"/>
      <c r="F1334" s="125"/>
      <c r="G1334" s="125"/>
      <c r="H1334" s="125"/>
      <c r="I1334" s="627" t="s">
        <v>51</v>
      </c>
      <c r="J1334" s="125" t="s">
        <v>51</v>
      </c>
      <c r="K1334" s="125" t="s">
        <v>51</v>
      </c>
      <c r="L1334" s="125" t="s">
        <v>51</v>
      </c>
      <c r="M1334" s="125" t="str">
        <f t="shared" si="1"/>
        <v/>
      </c>
      <c r="N1334" s="125" t="str">
        <f t="shared" si="2"/>
        <v/>
      </c>
      <c r="O1334" s="125"/>
      <c r="P1334" s="125"/>
      <c r="Q1334" s="125"/>
      <c r="R1334" s="125"/>
      <c r="S1334" s="628">
        <f t="shared" si="3"/>
        <v>0</v>
      </c>
      <c r="T1334" s="627" t="s">
        <v>51</v>
      </c>
      <c r="U1334" s="627" t="s">
        <v>51</v>
      </c>
      <c r="V1334" s="627" t="s">
        <v>51</v>
      </c>
      <c r="W1334" s="627" t="s">
        <v>51</v>
      </c>
      <c r="X1334" s="627" t="s">
        <v>51</v>
      </c>
      <c r="Y1334" s="89"/>
    </row>
    <row r="1335" ht="22.5" customHeight="1">
      <c r="A1335" s="223"/>
      <c r="B1335" s="125"/>
      <c r="C1335" s="125"/>
      <c r="D1335" s="125"/>
      <c r="E1335" s="125"/>
      <c r="F1335" s="125"/>
      <c r="G1335" s="125"/>
      <c r="H1335" s="125"/>
      <c r="I1335" s="627" t="s">
        <v>51</v>
      </c>
      <c r="J1335" s="125" t="s">
        <v>51</v>
      </c>
      <c r="K1335" s="125" t="s">
        <v>51</v>
      </c>
      <c r="L1335" s="125" t="s">
        <v>51</v>
      </c>
      <c r="M1335" s="125" t="str">
        <f t="shared" si="1"/>
        <v/>
      </c>
      <c r="N1335" s="125" t="str">
        <f t="shared" si="2"/>
        <v/>
      </c>
      <c r="O1335" s="125"/>
      <c r="P1335" s="125"/>
      <c r="Q1335" s="125"/>
      <c r="R1335" s="125"/>
      <c r="S1335" s="628">
        <f t="shared" si="3"/>
        <v>0</v>
      </c>
      <c r="T1335" s="627" t="s">
        <v>51</v>
      </c>
      <c r="U1335" s="627" t="s">
        <v>51</v>
      </c>
      <c r="V1335" s="627" t="s">
        <v>51</v>
      </c>
      <c r="W1335" s="627" t="s">
        <v>51</v>
      </c>
      <c r="X1335" s="627" t="s">
        <v>51</v>
      </c>
      <c r="Y1335" s="89"/>
    </row>
    <row r="1336" ht="22.5" customHeight="1">
      <c r="A1336" s="223"/>
      <c r="B1336" s="125"/>
      <c r="C1336" s="125"/>
      <c r="D1336" s="125"/>
      <c r="E1336" s="125"/>
      <c r="F1336" s="125"/>
      <c r="G1336" s="125"/>
      <c r="H1336" s="125"/>
      <c r="I1336" s="627" t="s">
        <v>51</v>
      </c>
      <c r="J1336" s="125" t="s">
        <v>51</v>
      </c>
      <c r="K1336" s="125" t="s">
        <v>51</v>
      </c>
      <c r="L1336" s="125" t="s">
        <v>51</v>
      </c>
      <c r="M1336" s="125" t="str">
        <f t="shared" si="1"/>
        <v/>
      </c>
      <c r="N1336" s="125" t="str">
        <f t="shared" si="2"/>
        <v/>
      </c>
      <c r="O1336" s="125"/>
      <c r="P1336" s="125"/>
      <c r="Q1336" s="125"/>
      <c r="R1336" s="125"/>
      <c r="S1336" s="628">
        <f t="shared" si="3"/>
        <v>0</v>
      </c>
      <c r="T1336" s="627" t="s">
        <v>51</v>
      </c>
      <c r="U1336" s="627" t="s">
        <v>51</v>
      </c>
      <c r="V1336" s="627" t="s">
        <v>51</v>
      </c>
      <c r="W1336" s="627" t="s">
        <v>51</v>
      </c>
      <c r="X1336" s="627" t="s">
        <v>51</v>
      </c>
      <c r="Y1336" s="89"/>
    </row>
    <row r="1337" ht="22.5" customHeight="1">
      <c r="A1337" s="223"/>
      <c r="B1337" s="125"/>
      <c r="C1337" s="125"/>
      <c r="D1337" s="125"/>
      <c r="E1337" s="125"/>
      <c r="F1337" s="125"/>
      <c r="G1337" s="125"/>
      <c r="H1337" s="125"/>
      <c r="I1337" s="627" t="s">
        <v>51</v>
      </c>
      <c r="J1337" s="125" t="s">
        <v>51</v>
      </c>
      <c r="K1337" s="125" t="s">
        <v>51</v>
      </c>
      <c r="L1337" s="125" t="s">
        <v>51</v>
      </c>
      <c r="M1337" s="125" t="str">
        <f t="shared" si="1"/>
        <v/>
      </c>
      <c r="N1337" s="125" t="str">
        <f t="shared" si="2"/>
        <v/>
      </c>
      <c r="O1337" s="125"/>
      <c r="P1337" s="125"/>
      <c r="Q1337" s="125"/>
      <c r="R1337" s="125"/>
      <c r="S1337" s="628">
        <f t="shared" si="3"/>
        <v>0</v>
      </c>
      <c r="T1337" s="627" t="s">
        <v>51</v>
      </c>
      <c r="U1337" s="627" t="s">
        <v>51</v>
      </c>
      <c r="V1337" s="627" t="s">
        <v>51</v>
      </c>
      <c r="W1337" s="627" t="s">
        <v>51</v>
      </c>
      <c r="X1337" s="627" t="s">
        <v>51</v>
      </c>
      <c r="Y1337" s="89"/>
    </row>
    <row r="1338" ht="22.5" customHeight="1">
      <c r="A1338" s="223"/>
      <c r="B1338" s="125"/>
      <c r="C1338" s="125"/>
      <c r="D1338" s="125"/>
      <c r="E1338" s="125"/>
      <c r="F1338" s="125"/>
      <c r="G1338" s="125"/>
      <c r="H1338" s="125"/>
      <c r="I1338" s="627" t="s">
        <v>51</v>
      </c>
      <c r="J1338" s="125" t="s">
        <v>51</v>
      </c>
      <c r="K1338" s="125" t="s">
        <v>51</v>
      </c>
      <c r="L1338" s="125" t="s">
        <v>51</v>
      </c>
      <c r="M1338" s="125" t="str">
        <f t="shared" si="1"/>
        <v/>
      </c>
      <c r="N1338" s="125" t="str">
        <f t="shared" si="2"/>
        <v/>
      </c>
      <c r="O1338" s="125"/>
      <c r="P1338" s="125"/>
      <c r="Q1338" s="125"/>
      <c r="R1338" s="125"/>
      <c r="S1338" s="628">
        <f t="shared" si="3"/>
        <v>0</v>
      </c>
      <c r="T1338" s="627" t="s">
        <v>51</v>
      </c>
      <c r="U1338" s="627" t="s">
        <v>51</v>
      </c>
      <c r="V1338" s="627" t="s">
        <v>51</v>
      </c>
      <c r="W1338" s="627" t="s">
        <v>51</v>
      </c>
      <c r="X1338" s="627" t="s">
        <v>51</v>
      </c>
      <c r="Y1338" s="89"/>
    </row>
    <row r="1339" ht="22.5" customHeight="1">
      <c r="A1339" s="223"/>
      <c r="B1339" s="125"/>
      <c r="C1339" s="125"/>
      <c r="D1339" s="125"/>
      <c r="E1339" s="125"/>
      <c r="F1339" s="125"/>
      <c r="G1339" s="125"/>
      <c r="H1339" s="125"/>
      <c r="I1339" s="627" t="s">
        <v>51</v>
      </c>
      <c r="J1339" s="125" t="s">
        <v>51</v>
      </c>
      <c r="K1339" s="125" t="s">
        <v>51</v>
      </c>
      <c r="L1339" s="125" t="s">
        <v>51</v>
      </c>
      <c r="M1339" s="125" t="str">
        <f t="shared" si="1"/>
        <v/>
      </c>
      <c r="N1339" s="125" t="str">
        <f t="shared" si="2"/>
        <v/>
      </c>
      <c r="O1339" s="125"/>
      <c r="P1339" s="125"/>
      <c r="Q1339" s="125"/>
      <c r="R1339" s="125"/>
      <c r="S1339" s="628">
        <f t="shared" si="3"/>
        <v>0</v>
      </c>
      <c r="T1339" s="627" t="s">
        <v>51</v>
      </c>
      <c r="U1339" s="627" t="s">
        <v>51</v>
      </c>
      <c r="V1339" s="627" t="s">
        <v>51</v>
      </c>
      <c r="W1339" s="627" t="s">
        <v>51</v>
      </c>
      <c r="X1339" s="627" t="s">
        <v>51</v>
      </c>
      <c r="Y1339" s="89"/>
    </row>
    <row r="1340" ht="22.5" customHeight="1">
      <c r="A1340" s="223"/>
      <c r="B1340" s="125"/>
      <c r="C1340" s="125"/>
      <c r="D1340" s="125"/>
      <c r="E1340" s="125"/>
      <c r="F1340" s="125"/>
      <c r="G1340" s="125"/>
      <c r="H1340" s="125"/>
      <c r="I1340" s="627" t="s">
        <v>51</v>
      </c>
      <c r="J1340" s="125" t="s">
        <v>51</v>
      </c>
      <c r="K1340" s="125" t="s">
        <v>51</v>
      </c>
      <c r="L1340" s="125" t="s">
        <v>51</v>
      </c>
      <c r="M1340" s="125" t="str">
        <f t="shared" si="1"/>
        <v/>
      </c>
      <c r="N1340" s="125" t="str">
        <f t="shared" si="2"/>
        <v/>
      </c>
      <c r="O1340" s="125"/>
      <c r="P1340" s="125"/>
      <c r="Q1340" s="125"/>
      <c r="R1340" s="125"/>
      <c r="S1340" s="628">
        <f t="shared" si="3"/>
        <v>0</v>
      </c>
      <c r="T1340" s="627" t="s">
        <v>51</v>
      </c>
      <c r="U1340" s="627" t="s">
        <v>51</v>
      </c>
      <c r="V1340" s="627" t="s">
        <v>51</v>
      </c>
      <c r="W1340" s="627" t="s">
        <v>51</v>
      </c>
      <c r="X1340" s="627" t="s">
        <v>51</v>
      </c>
      <c r="Y1340" s="89"/>
    </row>
    <row r="1341" ht="22.5" customHeight="1">
      <c r="A1341" s="223"/>
      <c r="B1341" s="125"/>
      <c r="C1341" s="125"/>
      <c r="D1341" s="125"/>
      <c r="E1341" s="125"/>
      <c r="F1341" s="125"/>
      <c r="G1341" s="125"/>
      <c r="H1341" s="125"/>
      <c r="I1341" s="627" t="s">
        <v>51</v>
      </c>
      <c r="J1341" s="125" t="s">
        <v>51</v>
      </c>
      <c r="K1341" s="125" t="s">
        <v>51</v>
      </c>
      <c r="L1341" s="125" t="s">
        <v>51</v>
      </c>
      <c r="M1341" s="125" t="str">
        <f t="shared" si="1"/>
        <v/>
      </c>
      <c r="N1341" s="125" t="str">
        <f t="shared" si="2"/>
        <v/>
      </c>
      <c r="O1341" s="125"/>
      <c r="P1341" s="125"/>
      <c r="Q1341" s="125"/>
      <c r="R1341" s="125"/>
      <c r="S1341" s="628">
        <f t="shared" si="3"/>
        <v>0</v>
      </c>
      <c r="T1341" s="627" t="s">
        <v>51</v>
      </c>
      <c r="U1341" s="627" t="s">
        <v>51</v>
      </c>
      <c r="V1341" s="627" t="s">
        <v>51</v>
      </c>
      <c r="W1341" s="627" t="s">
        <v>51</v>
      </c>
      <c r="X1341" s="627" t="s">
        <v>51</v>
      </c>
      <c r="Y1341" s="89"/>
    </row>
    <row r="1342" ht="22.5" customHeight="1">
      <c r="A1342" s="223"/>
      <c r="B1342" s="125"/>
      <c r="C1342" s="125"/>
      <c r="D1342" s="125"/>
      <c r="E1342" s="125"/>
      <c r="F1342" s="125"/>
      <c r="G1342" s="125"/>
      <c r="H1342" s="125"/>
      <c r="I1342" s="627" t="s">
        <v>51</v>
      </c>
      <c r="J1342" s="125" t="s">
        <v>51</v>
      </c>
      <c r="K1342" s="125" t="s">
        <v>51</v>
      </c>
      <c r="L1342" s="125" t="s">
        <v>51</v>
      </c>
      <c r="M1342" s="125" t="str">
        <f t="shared" si="1"/>
        <v/>
      </c>
      <c r="N1342" s="125" t="str">
        <f t="shared" si="2"/>
        <v/>
      </c>
      <c r="O1342" s="125"/>
      <c r="P1342" s="125"/>
      <c r="Q1342" s="125"/>
      <c r="R1342" s="125"/>
      <c r="S1342" s="628">
        <f t="shared" si="3"/>
        <v>0</v>
      </c>
      <c r="T1342" s="627" t="s">
        <v>51</v>
      </c>
      <c r="U1342" s="627" t="s">
        <v>51</v>
      </c>
      <c r="V1342" s="627" t="s">
        <v>51</v>
      </c>
      <c r="W1342" s="627" t="s">
        <v>51</v>
      </c>
      <c r="X1342" s="627" t="s">
        <v>51</v>
      </c>
      <c r="Y1342" s="89"/>
    </row>
    <row r="1343" ht="22.5" customHeight="1">
      <c r="A1343" s="223"/>
      <c r="B1343" s="125"/>
      <c r="C1343" s="125"/>
      <c r="D1343" s="125"/>
      <c r="E1343" s="125"/>
      <c r="F1343" s="125"/>
      <c r="G1343" s="125"/>
      <c r="H1343" s="125"/>
      <c r="I1343" s="627" t="s">
        <v>51</v>
      </c>
      <c r="J1343" s="125" t="s">
        <v>51</v>
      </c>
      <c r="K1343" s="125" t="s">
        <v>51</v>
      </c>
      <c r="L1343" s="125" t="s">
        <v>51</v>
      </c>
      <c r="M1343" s="125" t="str">
        <f t="shared" si="1"/>
        <v/>
      </c>
      <c r="N1343" s="125" t="str">
        <f t="shared" si="2"/>
        <v/>
      </c>
      <c r="O1343" s="125"/>
      <c r="P1343" s="125"/>
      <c r="Q1343" s="125"/>
      <c r="R1343" s="125"/>
      <c r="S1343" s="628">
        <f t="shared" si="3"/>
        <v>0</v>
      </c>
      <c r="T1343" s="627" t="s">
        <v>51</v>
      </c>
      <c r="U1343" s="627" t="s">
        <v>51</v>
      </c>
      <c r="V1343" s="627" t="s">
        <v>51</v>
      </c>
      <c r="W1343" s="627" t="s">
        <v>51</v>
      </c>
      <c r="X1343" s="627" t="s">
        <v>51</v>
      </c>
      <c r="Y1343" s="89"/>
    </row>
    <row r="1344" ht="22.5" customHeight="1">
      <c r="A1344" s="223"/>
      <c r="B1344" s="125"/>
      <c r="C1344" s="125"/>
      <c r="D1344" s="125"/>
      <c r="E1344" s="125"/>
      <c r="F1344" s="125"/>
      <c r="G1344" s="125"/>
      <c r="H1344" s="125"/>
      <c r="I1344" s="627" t="s">
        <v>51</v>
      </c>
      <c r="J1344" s="125" t="s">
        <v>51</v>
      </c>
      <c r="K1344" s="125" t="s">
        <v>51</v>
      </c>
      <c r="L1344" s="125" t="s">
        <v>51</v>
      </c>
      <c r="M1344" s="125" t="str">
        <f t="shared" si="1"/>
        <v/>
      </c>
      <c r="N1344" s="125" t="str">
        <f t="shared" si="2"/>
        <v/>
      </c>
      <c r="O1344" s="125"/>
      <c r="P1344" s="125"/>
      <c r="Q1344" s="125"/>
      <c r="R1344" s="125"/>
      <c r="S1344" s="628">
        <f t="shared" si="3"/>
        <v>0</v>
      </c>
      <c r="T1344" s="627" t="s">
        <v>51</v>
      </c>
      <c r="U1344" s="627" t="s">
        <v>51</v>
      </c>
      <c r="V1344" s="627" t="s">
        <v>51</v>
      </c>
      <c r="W1344" s="627" t="s">
        <v>51</v>
      </c>
      <c r="X1344" s="627" t="s">
        <v>51</v>
      </c>
      <c r="Y1344" s="89"/>
    </row>
    <row r="1345" ht="22.5" customHeight="1">
      <c r="A1345" s="223"/>
      <c r="B1345" s="125"/>
      <c r="C1345" s="125"/>
      <c r="D1345" s="125"/>
      <c r="E1345" s="125"/>
      <c r="F1345" s="125"/>
      <c r="G1345" s="125"/>
      <c r="H1345" s="125"/>
      <c r="I1345" s="627" t="s">
        <v>51</v>
      </c>
      <c r="J1345" s="125" t="s">
        <v>51</v>
      </c>
      <c r="K1345" s="125" t="s">
        <v>51</v>
      </c>
      <c r="L1345" s="125" t="s">
        <v>51</v>
      </c>
      <c r="M1345" s="125" t="str">
        <f t="shared" si="1"/>
        <v/>
      </c>
      <c r="N1345" s="125" t="str">
        <f t="shared" si="2"/>
        <v/>
      </c>
      <c r="O1345" s="125"/>
      <c r="P1345" s="125"/>
      <c r="Q1345" s="125"/>
      <c r="R1345" s="125"/>
      <c r="S1345" s="628">
        <f t="shared" si="3"/>
        <v>0</v>
      </c>
      <c r="T1345" s="627" t="s">
        <v>51</v>
      </c>
      <c r="U1345" s="627" t="s">
        <v>51</v>
      </c>
      <c r="V1345" s="627" t="s">
        <v>51</v>
      </c>
      <c r="W1345" s="627" t="s">
        <v>51</v>
      </c>
      <c r="X1345" s="627" t="s">
        <v>51</v>
      </c>
      <c r="Y1345" s="89"/>
    </row>
    <row r="1346" ht="22.5" customHeight="1">
      <c r="A1346" s="223"/>
      <c r="B1346" s="125"/>
      <c r="C1346" s="125"/>
      <c r="D1346" s="125"/>
      <c r="E1346" s="125"/>
      <c r="F1346" s="125"/>
      <c r="G1346" s="125"/>
      <c r="H1346" s="125"/>
      <c r="I1346" s="627" t="s">
        <v>51</v>
      </c>
      <c r="J1346" s="125" t="s">
        <v>51</v>
      </c>
      <c r="K1346" s="125" t="s">
        <v>51</v>
      </c>
      <c r="L1346" s="125" t="s">
        <v>51</v>
      </c>
      <c r="M1346" s="125" t="str">
        <f t="shared" si="1"/>
        <v/>
      </c>
      <c r="N1346" s="125" t="str">
        <f t="shared" si="2"/>
        <v/>
      </c>
      <c r="O1346" s="125"/>
      <c r="P1346" s="125"/>
      <c r="Q1346" s="125"/>
      <c r="R1346" s="125"/>
      <c r="S1346" s="628">
        <f t="shared" si="3"/>
        <v>0</v>
      </c>
      <c r="T1346" s="627" t="s">
        <v>51</v>
      </c>
      <c r="U1346" s="627" t="s">
        <v>51</v>
      </c>
      <c r="V1346" s="627" t="s">
        <v>51</v>
      </c>
      <c r="W1346" s="627" t="s">
        <v>51</v>
      </c>
      <c r="X1346" s="627" t="s">
        <v>51</v>
      </c>
      <c r="Y1346" s="89"/>
    </row>
    <row r="1347" ht="22.5" customHeight="1">
      <c r="A1347" s="223"/>
      <c r="B1347" s="125"/>
      <c r="C1347" s="125"/>
      <c r="D1347" s="125"/>
      <c r="E1347" s="125"/>
      <c r="F1347" s="125"/>
      <c r="G1347" s="125"/>
      <c r="H1347" s="125"/>
      <c r="I1347" s="627" t="s">
        <v>51</v>
      </c>
      <c r="J1347" s="125" t="s">
        <v>51</v>
      </c>
      <c r="K1347" s="125" t="s">
        <v>51</v>
      </c>
      <c r="L1347" s="125" t="s">
        <v>51</v>
      </c>
      <c r="M1347" s="125" t="str">
        <f t="shared" si="1"/>
        <v/>
      </c>
      <c r="N1347" s="125" t="str">
        <f t="shared" si="2"/>
        <v/>
      </c>
      <c r="O1347" s="125"/>
      <c r="P1347" s="125"/>
      <c r="Q1347" s="125"/>
      <c r="R1347" s="125"/>
      <c r="S1347" s="628">
        <f t="shared" si="3"/>
        <v>0</v>
      </c>
      <c r="T1347" s="627" t="s">
        <v>51</v>
      </c>
      <c r="U1347" s="627" t="s">
        <v>51</v>
      </c>
      <c r="V1347" s="627" t="s">
        <v>51</v>
      </c>
      <c r="W1347" s="627" t="s">
        <v>51</v>
      </c>
      <c r="X1347" s="627" t="s">
        <v>51</v>
      </c>
      <c r="Y1347" s="89"/>
    </row>
    <row r="1348" ht="22.5" customHeight="1">
      <c r="A1348" s="223"/>
      <c r="B1348" s="125"/>
      <c r="C1348" s="125"/>
      <c r="D1348" s="125"/>
      <c r="E1348" s="125"/>
      <c r="F1348" s="125"/>
      <c r="G1348" s="125"/>
      <c r="H1348" s="125"/>
      <c r="I1348" s="627" t="s">
        <v>51</v>
      </c>
      <c r="J1348" s="125" t="s">
        <v>51</v>
      </c>
      <c r="K1348" s="125" t="s">
        <v>51</v>
      </c>
      <c r="L1348" s="125" t="s">
        <v>51</v>
      </c>
      <c r="M1348" s="125" t="str">
        <f t="shared" si="1"/>
        <v/>
      </c>
      <c r="N1348" s="125" t="str">
        <f t="shared" si="2"/>
        <v/>
      </c>
      <c r="O1348" s="125"/>
      <c r="P1348" s="125"/>
      <c r="Q1348" s="125"/>
      <c r="R1348" s="125"/>
      <c r="S1348" s="628">
        <f t="shared" si="3"/>
        <v>0</v>
      </c>
      <c r="T1348" s="627" t="s">
        <v>51</v>
      </c>
      <c r="U1348" s="627" t="s">
        <v>51</v>
      </c>
      <c r="V1348" s="627" t="s">
        <v>51</v>
      </c>
      <c r="W1348" s="627" t="s">
        <v>51</v>
      </c>
      <c r="X1348" s="627" t="s">
        <v>51</v>
      </c>
      <c r="Y1348" s="89"/>
    </row>
    <row r="1349" ht="22.5" customHeight="1">
      <c r="A1349" s="223"/>
      <c r="B1349" s="125"/>
      <c r="C1349" s="125"/>
      <c r="D1349" s="125"/>
      <c r="E1349" s="125"/>
      <c r="F1349" s="125"/>
      <c r="G1349" s="125"/>
      <c r="H1349" s="125"/>
      <c r="I1349" s="627" t="s">
        <v>51</v>
      </c>
      <c r="J1349" s="125" t="s">
        <v>51</v>
      </c>
      <c r="K1349" s="125" t="s">
        <v>51</v>
      </c>
      <c r="L1349" s="125" t="s">
        <v>51</v>
      </c>
      <c r="M1349" s="125" t="str">
        <f t="shared" si="1"/>
        <v/>
      </c>
      <c r="N1349" s="125" t="str">
        <f t="shared" si="2"/>
        <v/>
      </c>
      <c r="O1349" s="125"/>
      <c r="P1349" s="125"/>
      <c r="Q1349" s="125"/>
      <c r="R1349" s="125"/>
      <c r="S1349" s="628">
        <f t="shared" si="3"/>
        <v>0</v>
      </c>
      <c r="T1349" s="627" t="s">
        <v>51</v>
      </c>
      <c r="U1349" s="627" t="s">
        <v>51</v>
      </c>
      <c r="V1349" s="627" t="s">
        <v>51</v>
      </c>
      <c r="W1349" s="627" t="s">
        <v>51</v>
      </c>
      <c r="X1349" s="627" t="s">
        <v>51</v>
      </c>
      <c r="Y1349" s="89"/>
    </row>
    <row r="1350" ht="22.5" customHeight="1">
      <c r="A1350" s="223"/>
      <c r="B1350" s="125"/>
      <c r="C1350" s="125"/>
      <c r="D1350" s="125"/>
      <c r="E1350" s="125"/>
      <c r="F1350" s="125"/>
      <c r="G1350" s="125"/>
      <c r="H1350" s="125"/>
      <c r="I1350" s="627" t="s">
        <v>51</v>
      </c>
      <c r="J1350" s="125" t="s">
        <v>51</v>
      </c>
      <c r="K1350" s="125" t="s">
        <v>51</v>
      </c>
      <c r="L1350" s="125" t="s">
        <v>51</v>
      </c>
      <c r="M1350" s="125" t="str">
        <f t="shared" si="1"/>
        <v/>
      </c>
      <c r="N1350" s="125" t="str">
        <f t="shared" si="2"/>
        <v/>
      </c>
      <c r="O1350" s="125"/>
      <c r="P1350" s="125"/>
      <c r="Q1350" s="125"/>
      <c r="R1350" s="125"/>
      <c r="S1350" s="628">
        <f t="shared" si="3"/>
        <v>0</v>
      </c>
      <c r="T1350" s="627" t="s">
        <v>51</v>
      </c>
      <c r="U1350" s="627" t="s">
        <v>51</v>
      </c>
      <c r="V1350" s="627" t="s">
        <v>51</v>
      </c>
      <c r="W1350" s="627" t="s">
        <v>51</v>
      </c>
      <c r="X1350" s="627" t="s">
        <v>51</v>
      </c>
      <c r="Y1350" s="89"/>
    </row>
    <row r="1351" ht="22.5" customHeight="1">
      <c r="A1351" s="223"/>
      <c r="B1351" s="125"/>
      <c r="C1351" s="125"/>
      <c r="D1351" s="125"/>
      <c r="E1351" s="125"/>
      <c r="F1351" s="125"/>
      <c r="G1351" s="125"/>
      <c r="H1351" s="125"/>
      <c r="I1351" s="627" t="s">
        <v>51</v>
      </c>
      <c r="J1351" s="125" t="s">
        <v>51</v>
      </c>
      <c r="K1351" s="125" t="s">
        <v>51</v>
      </c>
      <c r="L1351" s="125" t="s">
        <v>51</v>
      </c>
      <c r="M1351" s="125" t="str">
        <f t="shared" si="1"/>
        <v/>
      </c>
      <c r="N1351" s="125" t="str">
        <f t="shared" si="2"/>
        <v/>
      </c>
      <c r="O1351" s="125"/>
      <c r="P1351" s="125"/>
      <c r="Q1351" s="125"/>
      <c r="R1351" s="125"/>
      <c r="S1351" s="628">
        <f t="shared" si="3"/>
        <v>0</v>
      </c>
      <c r="T1351" s="627" t="s">
        <v>51</v>
      </c>
      <c r="U1351" s="627" t="s">
        <v>51</v>
      </c>
      <c r="V1351" s="627" t="s">
        <v>51</v>
      </c>
      <c r="W1351" s="627" t="s">
        <v>51</v>
      </c>
      <c r="X1351" s="627" t="s">
        <v>51</v>
      </c>
      <c r="Y1351" s="89"/>
    </row>
    <row r="1352" ht="22.5" customHeight="1">
      <c r="A1352" s="223"/>
      <c r="B1352" s="125"/>
      <c r="C1352" s="125"/>
      <c r="D1352" s="125"/>
      <c r="E1352" s="125"/>
      <c r="F1352" s="125"/>
      <c r="G1352" s="125"/>
      <c r="H1352" s="125"/>
      <c r="I1352" s="627" t="s">
        <v>51</v>
      </c>
      <c r="J1352" s="125" t="s">
        <v>51</v>
      </c>
      <c r="K1352" s="125" t="s">
        <v>51</v>
      </c>
      <c r="L1352" s="125" t="s">
        <v>51</v>
      </c>
      <c r="M1352" s="125" t="str">
        <f t="shared" si="1"/>
        <v/>
      </c>
      <c r="N1352" s="125" t="str">
        <f t="shared" si="2"/>
        <v/>
      </c>
      <c r="O1352" s="125"/>
      <c r="P1352" s="125"/>
      <c r="Q1352" s="125"/>
      <c r="R1352" s="125"/>
      <c r="S1352" s="628">
        <f t="shared" si="3"/>
        <v>0</v>
      </c>
      <c r="T1352" s="627" t="s">
        <v>51</v>
      </c>
      <c r="U1352" s="627" t="s">
        <v>51</v>
      </c>
      <c r="V1352" s="627" t="s">
        <v>51</v>
      </c>
      <c r="W1352" s="627" t="s">
        <v>51</v>
      </c>
      <c r="X1352" s="627" t="s">
        <v>51</v>
      </c>
      <c r="Y1352" s="89"/>
    </row>
    <row r="1353" ht="22.5" customHeight="1">
      <c r="A1353" s="223"/>
      <c r="B1353" s="125"/>
      <c r="C1353" s="125"/>
      <c r="D1353" s="125"/>
      <c r="E1353" s="125"/>
      <c r="F1353" s="125"/>
      <c r="G1353" s="125"/>
      <c r="H1353" s="125"/>
      <c r="I1353" s="627" t="s">
        <v>51</v>
      </c>
      <c r="J1353" s="125" t="s">
        <v>51</v>
      </c>
      <c r="K1353" s="125" t="s">
        <v>51</v>
      </c>
      <c r="L1353" s="125" t="s">
        <v>51</v>
      </c>
      <c r="M1353" s="125" t="str">
        <f t="shared" si="1"/>
        <v/>
      </c>
      <c r="N1353" s="125" t="str">
        <f t="shared" si="2"/>
        <v/>
      </c>
      <c r="O1353" s="125"/>
      <c r="P1353" s="125"/>
      <c r="Q1353" s="125"/>
      <c r="R1353" s="125"/>
      <c r="S1353" s="628">
        <f t="shared" si="3"/>
        <v>0</v>
      </c>
      <c r="T1353" s="627" t="s">
        <v>51</v>
      </c>
      <c r="U1353" s="627" t="s">
        <v>51</v>
      </c>
      <c r="V1353" s="627" t="s">
        <v>51</v>
      </c>
      <c r="W1353" s="627" t="s">
        <v>51</v>
      </c>
      <c r="X1353" s="627" t="s">
        <v>51</v>
      </c>
      <c r="Y1353" s="89"/>
    </row>
    <row r="1354" ht="22.5" customHeight="1">
      <c r="A1354" s="223"/>
      <c r="B1354" s="125"/>
      <c r="C1354" s="125"/>
      <c r="D1354" s="125"/>
      <c r="E1354" s="125"/>
      <c r="F1354" s="125"/>
      <c r="G1354" s="125"/>
      <c r="H1354" s="125"/>
      <c r="I1354" s="627" t="s">
        <v>51</v>
      </c>
      <c r="J1354" s="125" t="s">
        <v>51</v>
      </c>
      <c r="K1354" s="125" t="s">
        <v>51</v>
      </c>
      <c r="L1354" s="125" t="s">
        <v>51</v>
      </c>
      <c r="M1354" s="125" t="str">
        <f t="shared" si="1"/>
        <v/>
      </c>
      <c r="N1354" s="125" t="str">
        <f t="shared" si="2"/>
        <v/>
      </c>
      <c r="O1354" s="125"/>
      <c r="P1354" s="125"/>
      <c r="Q1354" s="125"/>
      <c r="R1354" s="125"/>
      <c r="S1354" s="628">
        <f t="shared" si="3"/>
        <v>0</v>
      </c>
      <c r="T1354" s="627" t="s">
        <v>51</v>
      </c>
      <c r="U1354" s="627" t="s">
        <v>51</v>
      </c>
      <c r="V1354" s="627" t="s">
        <v>51</v>
      </c>
      <c r="W1354" s="627" t="s">
        <v>51</v>
      </c>
      <c r="X1354" s="627" t="s">
        <v>51</v>
      </c>
      <c r="Y1354" s="89"/>
    </row>
    <row r="1355" ht="22.5" customHeight="1">
      <c r="A1355" s="223"/>
      <c r="B1355" s="125"/>
      <c r="C1355" s="125"/>
      <c r="D1355" s="125"/>
      <c r="E1355" s="125"/>
      <c r="F1355" s="125"/>
      <c r="G1355" s="125"/>
      <c r="H1355" s="125"/>
      <c r="I1355" s="627" t="s">
        <v>51</v>
      </c>
      <c r="J1355" s="125" t="s">
        <v>51</v>
      </c>
      <c r="K1355" s="125" t="s">
        <v>51</v>
      </c>
      <c r="L1355" s="125" t="s">
        <v>51</v>
      </c>
      <c r="M1355" s="125" t="str">
        <f t="shared" si="1"/>
        <v/>
      </c>
      <c r="N1355" s="125" t="str">
        <f t="shared" si="2"/>
        <v/>
      </c>
      <c r="O1355" s="125"/>
      <c r="P1355" s="125"/>
      <c r="Q1355" s="125"/>
      <c r="R1355" s="125"/>
      <c r="S1355" s="628">
        <f t="shared" si="3"/>
        <v>0</v>
      </c>
      <c r="T1355" s="627" t="s">
        <v>51</v>
      </c>
      <c r="U1355" s="627" t="s">
        <v>51</v>
      </c>
      <c r="V1355" s="627" t="s">
        <v>51</v>
      </c>
      <c r="W1355" s="627" t="s">
        <v>51</v>
      </c>
      <c r="X1355" s="627" t="s">
        <v>51</v>
      </c>
      <c r="Y1355" s="89"/>
    </row>
    <row r="1356" ht="22.5" customHeight="1">
      <c r="A1356" s="223"/>
      <c r="B1356" s="125"/>
      <c r="C1356" s="125"/>
      <c r="D1356" s="125"/>
      <c r="E1356" s="125"/>
      <c r="F1356" s="125"/>
      <c r="G1356" s="125"/>
      <c r="H1356" s="125"/>
      <c r="I1356" s="627" t="s">
        <v>51</v>
      </c>
      <c r="J1356" s="125" t="s">
        <v>51</v>
      </c>
      <c r="K1356" s="125" t="s">
        <v>51</v>
      </c>
      <c r="L1356" s="125" t="s">
        <v>51</v>
      </c>
      <c r="M1356" s="125" t="str">
        <f t="shared" si="1"/>
        <v/>
      </c>
      <c r="N1356" s="125" t="str">
        <f t="shared" si="2"/>
        <v/>
      </c>
      <c r="O1356" s="125"/>
      <c r="P1356" s="125"/>
      <c r="Q1356" s="125"/>
      <c r="R1356" s="125"/>
      <c r="S1356" s="628">
        <f t="shared" si="3"/>
        <v>0</v>
      </c>
      <c r="T1356" s="627" t="s">
        <v>51</v>
      </c>
      <c r="U1356" s="627" t="s">
        <v>51</v>
      </c>
      <c r="V1356" s="627" t="s">
        <v>51</v>
      </c>
      <c r="W1356" s="627" t="s">
        <v>51</v>
      </c>
      <c r="X1356" s="627" t="s">
        <v>51</v>
      </c>
      <c r="Y1356" s="89"/>
    </row>
    <row r="1357" ht="22.5" customHeight="1">
      <c r="A1357" s="223"/>
      <c r="B1357" s="125"/>
      <c r="C1357" s="125"/>
      <c r="D1357" s="125"/>
      <c r="E1357" s="125"/>
      <c r="F1357" s="125"/>
      <c r="G1357" s="125"/>
      <c r="H1357" s="125"/>
      <c r="I1357" s="627" t="s">
        <v>51</v>
      </c>
      <c r="J1357" s="125" t="s">
        <v>51</v>
      </c>
      <c r="K1357" s="125" t="s">
        <v>51</v>
      </c>
      <c r="L1357" s="125" t="s">
        <v>51</v>
      </c>
      <c r="M1357" s="125" t="str">
        <f t="shared" si="1"/>
        <v/>
      </c>
      <c r="N1357" s="125" t="str">
        <f t="shared" si="2"/>
        <v/>
      </c>
      <c r="O1357" s="125"/>
      <c r="P1357" s="125"/>
      <c r="Q1357" s="125"/>
      <c r="R1357" s="125"/>
      <c r="S1357" s="628">
        <f t="shared" si="3"/>
        <v>0</v>
      </c>
      <c r="T1357" s="627" t="s">
        <v>51</v>
      </c>
      <c r="U1357" s="627" t="s">
        <v>51</v>
      </c>
      <c r="V1357" s="627" t="s">
        <v>51</v>
      </c>
      <c r="W1357" s="627" t="s">
        <v>51</v>
      </c>
      <c r="X1357" s="627" t="s">
        <v>51</v>
      </c>
      <c r="Y1357" s="89"/>
    </row>
    <row r="1358" ht="22.5" customHeight="1">
      <c r="A1358" s="223"/>
      <c r="B1358" s="125"/>
      <c r="C1358" s="125"/>
      <c r="D1358" s="125"/>
      <c r="E1358" s="125"/>
      <c r="F1358" s="125"/>
      <c r="G1358" s="125"/>
      <c r="H1358" s="125"/>
      <c r="I1358" s="627" t="s">
        <v>51</v>
      </c>
      <c r="J1358" s="125" t="s">
        <v>51</v>
      </c>
      <c r="K1358" s="125" t="s">
        <v>51</v>
      </c>
      <c r="L1358" s="125" t="s">
        <v>51</v>
      </c>
      <c r="M1358" s="125" t="str">
        <f t="shared" si="1"/>
        <v/>
      </c>
      <c r="N1358" s="125" t="str">
        <f t="shared" si="2"/>
        <v/>
      </c>
      <c r="O1358" s="125"/>
      <c r="P1358" s="125"/>
      <c r="Q1358" s="125"/>
      <c r="R1358" s="125"/>
      <c r="S1358" s="628">
        <f t="shared" si="3"/>
        <v>0</v>
      </c>
      <c r="T1358" s="627" t="s">
        <v>51</v>
      </c>
      <c r="U1358" s="627" t="s">
        <v>51</v>
      </c>
      <c r="V1358" s="627" t="s">
        <v>51</v>
      </c>
      <c r="W1358" s="627" t="s">
        <v>51</v>
      </c>
      <c r="X1358" s="627" t="s">
        <v>51</v>
      </c>
      <c r="Y1358" s="89"/>
    </row>
    <row r="1359" ht="22.5" customHeight="1">
      <c r="A1359" s="223"/>
      <c r="B1359" s="125"/>
      <c r="C1359" s="125"/>
      <c r="D1359" s="125"/>
      <c r="E1359" s="125"/>
      <c r="F1359" s="125"/>
      <c r="G1359" s="125"/>
      <c r="H1359" s="125"/>
      <c r="I1359" s="627" t="s">
        <v>51</v>
      </c>
      <c r="J1359" s="125" t="s">
        <v>51</v>
      </c>
      <c r="K1359" s="125" t="s">
        <v>51</v>
      </c>
      <c r="L1359" s="125" t="s">
        <v>51</v>
      </c>
      <c r="M1359" s="125" t="str">
        <f t="shared" si="1"/>
        <v/>
      </c>
      <c r="N1359" s="125" t="str">
        <f t="shared" si="2"/>
        <v/>
      </c>
      <c r="O1359" s="125"/>
      <c r="P1359" s="125"/>
      <c r="Q1359" s="125"/>
      <c r="R1359" s="125"/>
      <c r="S1359" s="628">
        <f t="shared" si="3"/>
        <v>0</v>
      </c>
      <c r="T1359" s="627" t="s">
        <v>51</v>
      </c>
      <c r="U1359" s="627" t="s">
        <v>51</v>
      </c>
      <c r="V1359" s="627" t="s">
        <v>51</v>
      </c>
      <c r="W1359" s="627" t="s">
        <v>51</v>
      </c>
      <c r="X1359" s="627" t="s">
        <v>51</v>
      </c>
      <c r="Y1359" s="89"/>
    </row>
    <row r="1360" ht="22.5" customHeight="1">
      <c r="A1360" s="223"/>
      <c r="B1360" s="125"/>
      <c r="C1360" s="125"/>
      <c r="D1360" s="125"/>
      <c r="E1360" s="125"/>
      <c r="F1360" s="125"/>
      <c r="G1360" s="125"/>
      <c r="H1360" s="125"/>
      <c r="I1360" s="627" t="s">
        <v>51</v>
      </c>
      <c r="J1360" s="125" t="s">
        <v>51</v>
      </c>
      <c r="K1360" s="125" t="s">
        <v>51</v>
      </c>
      <c r="L1360" s="125" t="s">
        <v>51</v>
      </c>
      <c r="M1360" s="125" t="str">
        <f t="shared" si="1"/>
        <v/>
      </c>
      <c r="N1360" s="125" t="str">
        <f t="shared" si="2"/>
        <v/>
      </c>
      <c r="O1360" s="125"/>
      <c r="P1360" s="125"/>
      <c r="Q1360" s="125"/>
      <c r="R1360" s="125"/>
      <c r="S1360" s="628">
        <f t="shared" si="3"/>
        <v>0</v>
      </c>
      <c r="T1360" s="627" t="s">
        <v>51</v>
      </c>
      <c r="U1360" s="627" t="s">
        <v>51</v>
      </c>
      <c r="V1360" s="627" t="s">
        <v>51</v>
      </c>
      <c r="W1360" s="627" t="s">
        <v>51</v>
      </c>
      <c r="X1360" s="627" t="s">
        <v>51</v>
      </c>
      <c r="Y1360" s="89"/>
    </row>
    <row r="1361" ht="22.5" customHeight="1">
      <c r="A1361" s="223"/>
      <c r="B1361" s="125"/>
      <c r="C1361" s="125"/>
      <c r="D1361" s="125"/>
      <c r="E1361" s="125"/>
      <c r="F1361" s="125"/>
      <c r="G1361" s="125"/>
      <c r="H1361" s="125"/>
      <c r="I1361" s="627" t="s">
        <v>51</v>
      </c>
      <c r="J1361" s="125" t="s">
        <v>51</v>
      </c>
      <c r="K1361" s="125" t="s">
        <v>51</v>
      </c>
      <c r="L1361" s="125" t="s">
        <v>51</v>
      </c>
      <c r="M1361" s="125" t="str">
        <f t="shared" si="1"/>
        <v/>
      </c>
      <c r="N1361" s="125" t="str">
        <f t="shared" si="2"/>
        <v/>
      </c>
      <c r="O1361" s="125"/>
      <c r="P1361" s="125"/>
      <c r="Q1361" s="125"/>
      <c r="R1361" s="125"/>
      <c r="S1361" s="628">
        <f t="shared" si="3"/>
        <v>0</v>
      </c>
      <c r="T1361" s="627" t="s">
        <v>51</v>
      </c>
      <c r="U1361" s="627" t="s">
        <v>51</v>
      </c>
      <c r="V1361" s="627" t="s">
        <v>51</v>
      </c>
      <c r="W1361" s="627" t="s">
        <v>51</v>
      </c>
      <c r="X1361" s="627" t="s">
        <v>51</v>
      </c>
      <c r="Y1361" s="89"/>
    </row>
    <row r="1362" ht="22.5" customHeight="1">
      <c r="A1362" s="223"/>
      <c r="B1362" s="125"/>
      <c r="C1362" s="125"/>
      <c r="D1362" s="125"/>
      <c r="E1362" s="125"/>
      <c r="F1362" s="125"/>
      <c r="G1362" s="125"/>
      <c r="H1362" s="125"/>
      <c r="I1362" s="627" t="s">
        <v>51</v>
      </c>
      <c r="J1362" s="125" t="s">
        <v>51</v>
      </c>
      <c r="K1362" s="125" t="s">
        <v>51</v>
      </c>
      <c r="L1362" s="125" t="s">
        <v>51</v>
      </c>
      <c r="M1362" s="125" t="str">
        <f t="shared" si="1"/>
        <v/>
      </c>
      <c r="N1362" s="125" t="str">
        <f t="shared" si="2"/>
        <v/>
      </c>
      <c r="O1362" s="125"/>
      <c r="P1362" s="125"/>
      <c r="Q1362" s="125"/>
      <c r="R1362" s="125"/>
      <c r="S1362" s="628">
        <f t="shared" si="3"/>
        <v>0</v>
      </c>
      <c r="T1362" s="627" t="s">
        <v>51</v>
      </c>
      <c r="U1362" s="627" t="s">
        <v>51</v>
      </c>
      <c r="V1362" s="627" t="s">
        <v>51</v>
      </c>
      <c r="W1362" s="627" t="s">
        <v>51</v>
      </c>
      <c r="X1362" s="627" t="s">
        <v>51</v>
      </c>
      <c r="Y1362" s="89"/>
    </row>
    <row r="1363" ht="22.5" customHeight="1">
      <c r="A1363" s="223"/>
      <c r="B1363" s="125"/>
      <c r="C1363" s="125"/>
      <c r="D1363" s="125"/>
      <c r="E1363" s="125"/>
      <c r="F1363" s="125"/>
      <c r="G1363" s="125"/>
      <c r="H1363" s="125"/>
      <c r="I1363" s="627" t="s">
        <v>51</v>
      </c>
      <c r="J1363" s="125" t="s">
        <v>51</v>
      </c>
      <c r="K1363" s="125" t="s">
        <v>51</v>
      </c>
      <c r="L1363" s="125" t="s">
        <v>51</v>
      </c>
      <c r="M1363" s="125" t="str">
        <f t="shared" si="1"/>
        <v/>
      </c>
      <c r="N1363" s="125" t="str">
        <f t="shared" si="2"/>
        <v/>
      </c>
      <c r="O1363" s="125"/>
      <c r="P1363" s="125"/>
      <c r="Q1363" s="125"/>
      <c r="R1363" s="125"/>
      <c r="S1363" s="628">
        <f t="shared" si="3"/>
        <v>0</v>
      </c>
      <c r="T1363" s="627" t="s">
        <v>51</v>
      </c>
      <c r="U1363" s="627" t="s">
        <v>51</v>
      </c>
      <c r="V1363" s="627" t="s">
        <v>51</v>
      </c>
      <c r="W1363" s="627" t="s">
        <v>51</v>
      </c>
      <c r="X1363" s="627" t="s">
        <v>51</v>
      </c>
      <c r="Y1363" s="89"/>
    </row>
    <row r="1364" ht="22.5" customHeight="1">
      <c r="A1364" s="223"/>
      <c r="B1364" s="125"/>
      <c r="C1364" s="125"/>
      <c r="D1364" s="125"/>
      <c r="E1364" s="125"/>
      <c r="F1364" s="125"/>
      <c r="G1364" s="125"/>
      <c r="H1364" s="125"/>
      <c r="I1364" s="627" t="s">
        <v>51</v>
      </c>
      <c r="J1364" s="125" t="s">
        <v>51</v>
      </c>
      <c r="K1364" s="125" t="s">
        <v>51</v>
      </c>
      <c r="L1364" s="125" t="s">
        <v>51</v>
      </c>
      <c r="M1364" s="125" t="str">
        <f t="shared" si="1"/>
        <v/>
      </c>
      <c r="N1364" s="125" t="str">
        <f t="shared" si="2"/>
        <v/>
      </c>
      <c r="O1364" s="125"/>
      <c r="P1364" s="125"/>
      <c r="Q1364" s="125"/>
      <c r="R1364" s="125"/>
      <c r="S1364" s="628">
        <f t="shared" si="3"/>
        <v>0</v>
      </c>
      <c r="T1364" s="627" t="s">
        <v>51</v>
      </c>
      <c r="U1364" s="627" t="s">
        <v>51</v>
      </c>
      <c r="V1364" s="627" t="s">
        <v>51</v>
      </c>
      <c r="W1364" s="627" t="s">
        <v>51</v>
      </c>
      <c r="X1364" s="627" t="s">
        <v>51</v>
      </c>
      <c r="Y1364" s="89"/>
    </row>
    <row r="1365" ht="22.5" customHeight="1">
      <c r="A1365" s="223"/>
      <c r="B1365" s="125"/>
      <c r="C1365" s="125"/>
      <c r="D1365" s="125"/>
      <c r="E1365" s="125"/>
      <c r="F1365" s="125"/>
      <c r="G1365" s="125"/>
      <c r="H1365" s="125"/>
      <c r="I1365" s="627" t="s">
        <v>51</v>
      </c>
      <c r="J1365" s="125" t="s">
        <v>51</v>
      </c>
      <c r="K1365" s="125" t="s">
        <v>51</v>
      </c>
      <c r="L1365" s="125" t="s">
        <v>51</v>
      </c>
      <c r="M1365" s="125" t="str">
        <f t="shared" si="1"/>
        <v/>
      </c>
      <c r="N1365" s="125" t="str">
        <f t="shared" si="2"/>
        <v/>
      </c>
      <c r="O1365" s="125"/>
      <c r="P1365" s="125"/>
      <c r="Q1365" s="125"/>
      <c r="R1365" s="125"/>
      <c r="S1365" s="628">
        <f t="shared" si="3"/>
        <v>0</v>
      </c>
      <c r="T1365" s="627" t="s">
        <v>51</v>
      </c>
      <c r="U1365" s="627" t="s">
        <v>51</v>
      </c>
      <c r="V1365" s="627" t="s">
        <v>51</v>
      </c>
      <c r="W1365" s="627" t="s">
        <v>51</v>
      </c>
      <c r="X1365" s="627" t="s">
        <v>51</v>
      </c>
      <c r="Y1365" s="89"/>
    </row>
    <row r="1366" ht="22.5" customHeight="1">
      <c r="A1366" s="223"/>
      <c r="B1366" s="125"/>
      <c r="C1366" s="125"/>
      <c r="D1366" s="125"/>
      <c r="E1366" s="125"/>
      <c r="F1366" s="125"/>
      <c r="G1366" s="125"/>
      <c r="H1366" s="125"/>
      <c r="I1366" s="627" t="s">
        <v>51</v>
      </c>
      <c r="J1366" s="125" t="s">
        <v>51</v>
      </c>
      <c r="K1366" s="125" t="s">
        <v>51</v>
      </c>
      <c r="L1366" s="125" t="s">
        <v>51</v>
      </c>
      <c r="M1366" s="125" t="str">
        <f t="shared" si="1"/>
        <v/>
      </c>
      <c r="N1366" s="125" t="str">
        <f t="shared" si="2"/>
        <v/>
      </c>
      <c r="O1366" s="125"/>
      <c r="P1366" s="125"/>
      <c r="Q1366" s="125"/>
      <c r="R1366" s="125"/>
      <c r="S1366" s="628">
        <f t="shared" si="3"/>
        <v>0</v>
      </c>
      <c r="T1366" s="627" t="s">
        <v>51</v>
      </c>
      <c r="U1366" s="627" t="s">
        <v>51</v>
      </c>
      <c r="V1366" s="627" t="s">
        <v>51</v>
      </c>
      <c r="W1366" s="627" t="s">
        <v>51</v>
      </c>
      <c r="X1366" s="627" t="s">
        <v>51</v>
      </c>
      <c r="Y1366" s="89"/>
    </row>
    <row r="1367" ht="22.5" customHeight="1">
      <c r="A1367" s="223"/>
      <c r="B1367" s="125"/>
      <c r="C1367" s="125"/>
      <c r="D1367" s="125"/>
      <c r="E1367" s="125"/>
      <c r="F1367" s="125"/>
      <c r="G1367" s="125"/>
      <c r="H1367" s="125"/>
      <c r="I1367" s="627" t="s">
        <v>51</v>
      </c>
      <c r="J1367" s="125" t="s">
        <v>51</v>
      </c>
      <c r="K1367" s="125" t="s">
        <v>51</v>
      </c>
      <c r="L1367" s="125" t="s">
        <v>51</v>
      </c>
      <c r="M1367" s="125" t="str">
        <f t="shared" si="1"/>
        <v/>
      </c>
      <c r="N1367" s="125" t="str">
        <f t="shared" si="2"/>
        <v/>
      </c>
      <c r="O1367" s="125"/>
      <c r="P1367" s="125"/>
      <c r="Q1367" s="125"/>
      <c r="R1367" s="125"/>
      <c r="S1367" s="628">
        <f t="shared" si="3"/>
        <v>0</v>
      </c>
      <c r="T1367" s="627" t="s">
        <v>51</v>
      </c>
      <c r="U1367" s="627" t="s">
        <v>51</v>
      </c>
      <c r="V1367" s="627" t="s">
        <v>51</v>
      </c>
      <c r="W1367" s="627" t="s">
        <v>51</v>
      </c>
      <c r="X1367" s="627" t="s">
        <v>51</v>
      </c>
      <c r="Y1367" s="89"/>
    </row>
    <row r="1368" ht="22.5" customHeight="1">
      <c r="A1368" s="223"/>
      <c r="B1368" s="125"/>
      <c r="C1368" s="125"/>
      <c r="D1368" s="125"/>
      <c r="E1368" s="125"/>
      <c r="F1368" s="125"/>
      <c r="G1368" s="125"/>
      <c r="H1368" s="125"/>
      <c r="I1368" s="627" t="s">
        <v>51</v>
      </c>
      <c r="J1368" s="125" t="s">
        <v>51</v>
      </c>
      <c r="K1368" s="125" t="s">
        <v>51</v>
      </c>
      <c r="L1368" s="125" t="s">
        <v>51</v>
      </c>
      <c r="M1368" s="125" t="str">
        <f t="shared" si="1"/>
        <v/>
      </c>
      <c r="N1368" s="125" t="str">
        <f t="shared" si="2"/>
        <v/>
      </c>
      <c r="O1368" s="125"/>
      <c r="P1368" s="125"/>
      <c r="Q1368" s="125"/>
      <c r="R1368" s="125"/>
      <c r="S1368" s="628">
        <f t="shared" si="3"/>
        <v>0</v>
      </c>
      <c r="T1368" s="627" t="s">
        <v>51</v>
      </c>
      <c r="U1368" s="627" t="s">
        <v>51</v>
      </c>
      <c r="V1368" s="627" t="s">
        <v>51</v>
      </c>
      <c r="W1368" s="627" t="s">
        <v>51</v>
      </c>
      <c r="X1368" s="627" t="s">
        <v>51</v>
      </c>
      <c r="Y1368" s="89"/>
    </row>
    <row r="1369" ht="22.5" customHeight="1">
      <c r="A1369" s="223"/>
      <c r="B1369" s="125"/>
      <c r="C1369" s="125"/>
      <c r="D1369" s="125"/>
      <c r="E1369" s="125"/>
      <c r="F1369" s="125"/>
      <c r="G1369" s="125"/>
      <c r="H1369" s="125"/>
      <c r="I1369" s="627" t="s">
        <v>51</v>
      </c>
      <c r="J1369" s="125" t="s">
        <v>51</v>
      </c>
      <c r="K1369" s="125" t="s">
        <v>51</v>
      </c>
      <c r="L1369" s="125" t="s">
        <v>51</v>
      </c>
      <c r="M1369" s="125" t="str">
        <f t="shared" si="1"/>
        <v/>
      </c>
      <c r="N1369" s="125" t="str">
        <f t="shared" si="2"/>
        <v/>
      </c>
      <c r="O1369" s="125"/>
      <c r="P1369" s="125"/>
      <c r="Q1369" s="125"/>
      <c r="R1369" s="125"/>
      <c r="S1369" s="628">
        <f t="shared" si="3"/>
        <v>0</v>
      </c>
      <c r="T1369" s="627" t="s">
        <v>51</v>
      </c>
      <c r="U1369" s="627" t="s">
        <v>51</v>
      </c>
      <c r="V1369" s="627" t="s">
        <v>51</v>
      </c>
      <c r="W1369" s="627" t="s">
        <v>51</v>
      </c>
      <c r="X1369" s="627" t="s">
        <v>51</v>
      </c>
      <c r="Y1369" s="89"/>
    </row>
    <row r="1370" ht="22.5" customHeight="1">
      <c r="A1370" s="223"/>
      <c r="B1370" s="125"/>
      <c r="C1370" s="125"/>
      <c r="D1370" s="125"/>
      <c r="E1370" s="125"/>
      <c r="F1370" s="125"/>
      <c r="G1370" s="125"/>
      <c r="H1370" s="125"/>
      <c r="I1370" s="627" t="s">
        <v>51</v>
      </c>
      <c r="J1370" s="125" t="s">
        <v>51</v>
      </c>
      <c r="K1370" s="125" t="s">
        <v>51</v>
      </c>
      <c r="L1370" s="125" t="s">
        <v>51</v>
      </c>
      <c r="M1370" s="125" t="str">
        <f t="shared" si="1"/>
        <v/>
      </c>
      <c r="N1370" s="125" t="str">
        <f t="shared" si="2"/>
        <v/>
      </c>
      <c r="O1370" s="125"/>
      <c r="P1370" s="125"/>
      <c r="Q1370" s="125"/>
      <c r="R1370" s="125"/>
      <c r="S1370" s="628">
        <f t="shared" si="3"/>
        <v>0</v>
      </c>
      <c r="T1370" s="627" t="s">
        <v>51</v>
      </c>
      <c r="U1370" s="627" t="s">
        <v>51</v>
      </c>
      <c r="V1370" s="627" t="s">
        <v>51</v>
      </c>
      <c r="W1370" s="627" t="s">
        <v>51</v>
      </c>
      <c r="X1370" s="627" t="s">
        <v>51</v>
      </c>
      <c r="Y1370" s="89"/>
    </row>
    <row r="1371" ht="22.5" customHeight="1">
      <c r="A1371" s="223"/>
      <c r="B1371" s="125"/>
      <c r="C1371" s="125"/>
      <c r="D1371" s="125"/>
      <c r="E1371" s="125"/>
      <c r="F1371" s="125"/>
      <c r="G1371" s="125"/>
      <c r="H1371" s="125"/>
      <c r="I1371" s="627" t="s">
        <v>51</v>
      </c>
      <c r="J1371" s="125" t="s">
        <v>51</v>
      </c>
      <c r="K1371" s="125" t="s">
        <v>51</v>
      </c>
      <c r="L1371" s="125" t="s">
        <v>51</v>
      </c>
      <c r="M1371" s="125" t="str">
        <f t="shared" si="1"/>
        <v/>
      </c>
      <c r="N1371" s="125" t="str">
        <f t="shared" si="2"/>
        <v/>
      </c>
      <c r="O1371" s="125"/>
      <c r="P1371" s="125"/>
      <c r="Q1371" s="125"/>
      <c r="R1371" s="125"/>
      <c r="S1371" s="628">
        <f t="shared" si="3"/>
        <v>0</v>
      </c>
      <c r="T1371" s="627" t="s">
        <v>51</v>
      </c>
      <c r="U1371" s="627" t="s">
        <v>51</v>
      </c>
      <c r="V1371" s="627" t="s">
        <v>51</v>
      </c>
      <c r="W1371" s="627" t="s">
        <v>51</v>
      </c>
      <c r="X1371" s="627" t="s">
        <v>51</v>
      </c>
      <c r="Y1371" s="89"/>
    </row>
    <row r="1372" ht="22.5" customHeight="1">
      <c r="A1372" s="223"/>
      <c r="B1372" s="125"/>
      <c r="C1372" s="125"/>
      <c r="D1372" s="125"/>
      <c r="E1372" s="125"/>
      <c r="F1372" s="125"/>
      <c r="G1372" s="125"/>
      <c r="H1372" s="125"/>
      <c r="I1372" s="627" t="s">
        <v>51</v>
      </c>
      <c r="J1372" s="125" t="s">
        <v>51</v>
      </c>
      <c r="K1372" s="125" t="s">
        <v>51</v>
      </c>
      <c r="L1372" s="125" t="s">
        <v>51</v>
      </c>
      <c r="M1372" s="125" t="str">
        <f t="shared" si="1"/>
        <v/>
      </c>
      <c r="N1372" s="125" t="str">
        <f t="shared" si="2"/>
        <v/>
      </c>
      <c r="O1372" s="125"/>
      <c r="P1372" s="125"/>
      <c r="Q1372" s="125"/>
      <c r="R1372" s="125"/>
      <c r="S1372" s="628">
        <f t="shared" si="3"/>
        <v>0</v>
      </c>
      <c r="T1372" s="627" t="s">
        <v>51</v>
      </c>
      <c r="U1372" s="627" t="s">
        <v>51</v>
      </c>
      <c r="V1372" s="627" t="s">
        <v>51</v>
      </c>
      <c r="W1372" s="627" t="s">
        <v>51</v>
      </c>
      <c r="X1372" s="627" t="s">
        <v>51</v>
      </c>
      <c r="Y1372" s="89"/>
    </row>
    <row r="1373" ht="22.5" customHeight="1">
      <c r="A1373" s="223"/>
      <c r="B1373" s="125"/>
      <c r="C1373" s="125"/>
      <c r="D1373" s="125"/>
      <c r="E1373" s="125"/>
      <c r="F1373" s="125"/>
      <c r="G1373" s="125"/>
      <c r="H1373" s="125"/>
      <c r="I1373" s="627" t="s">
        <v>51</v>
      </c>
      <c r="J1373" s="125" t="s">
        <v>51</v>
      </c>
      <c r="K1373" s="125" t="s">
        <v>51</v>
      </c>
      <c r="L1373" s="125" t="s">
        <v>51</v>
      </c>
      <c r="M1373" s="125" t="str">
        <f t="shared" si="1"/>
        <v/>
      </c>
      <c r="N1373" s="125" t="str">
        <f t="shared" si="2"/>
        <v/>
      </c>
      <c r="O1373" s="125"/>
      <c r="P1373" s="125"/>
      <c r="Q1373" s="125"/>
      <c r="R1373" s="125"/>
      <c r="S1373" s="628">
        <f t="shared" si="3"/>
        <v>0</v>
      </c>
      <c r="T1373" s="627" t="s">
        <v>51</v>
      </c>
      <c r="U1373" s="627" t="s">
        <v>51</v>
      </c>
      <c r="V1373" s="627" t="s">
        <v>51</v>
      </c>
      <c r="W1373" s="627" t="s">
        <v>51</v>
      </c>
      <c r="X1373" s="627" t="s">
        <v>51</v>
      </c>
      <c r="Y1373" s="89"/>
    </row>
    <row r="1374" ht="22.5" customHeight="1">
      <c r="A1374" s="223"/>
      <c r="B1374" s="125"/>
      <c r="C1374" s="125"/>
      <c r="D1374" s="125"/>
      <c r="E1374" s="125"/>
      <c r="F1374" s="125"/>
      <c r="G1374" s="125"/>
      <c r="H1374" s="125"/>
      <c r="I1374" s="627" t="s">
        <v>51</v>
      </c>
      <c r="J1374" s="125" t="s">
        <v>51</v>
      </c>
      <c r="K1374" s="125" t="s">
        <v>51</v>
      </c>
      <c r="L1374" s="125" t="s">
        <v>51</v>
      </c>
      <c r="M1374" s="125" t="str">
        <f t="shared" si="1"/>
        <v/>
      </c>
      <c r="N1374" s="125" t="str">
        <f t="shared" si="2"/>
        <v/>
      </c>
      <c r="O1374" s="125"/>
      <c r="P1374" s="125"/>
      <c r="Q1374" s="125"/>
      <c r="R1374" s="125"/>
      <c r="S1374" s="628">
        <f t="shared" si="3"/>
        <v>0</v>
      </c>
      <c r="T1374" s="627" t="s">
        <v>51</v>
      </c>
      <c r="U1374" s="627" t="s">
        <v>51</v>
      </c>
      <c r="V1374" s="627" t="s">
        <v>51</v>
      </c>
      <c r="W1374" s="627" t="s">
        <v>51</v>
      </c>
      <c r="X1374" s="627" t="s">
        <v>51</v>
      </c>
      <c r="Y1374" s="89"/>
    </row>
    <row r="1375" ht="22.5" customHeight="1">
      <c r="A1375" s="223"/>
      <c r="B1375" s="125"/>
      <c r="C1375" s="125"/>
      <c r="D1375" s="125"/>
      <c r="E1375" s="125"/>
      <c r="F1375" s="125"/>
      <c r="G1375" s="125"/>
      <c r="H1375" s="125"/>
      <c r="I1375" s="627" t="s">
        <v>51</v>
      </c>
      <c r="J1375" s="125" t="s">
        <v>51</v>
      </c>
      <c r="K1375" s="125" t="s">
        <v>51</v>
      </c>
      <c r="L1375" s="125" t="s">
        <v>51</v>
      </c>
      <c r="M1375" s="125" t="str">
        <f t="shared" si="1"/>
        <v/>
      </c>
      <c r="N1375" s="125" t="str">
        <f t="shared" si="2"/>
        <v/>
      </c>
      <c r="O1375" s="125"/>
      <c r="P1375" s="125"/>
      <c r="Q1375" s="125"/>
      <c r="R1375" s="125"/>
      <c r="S1375" s="628">
        <f t="shared" si="3"/>
        <v>0</v>
      </c>
      <c r="T1375" s="627" t="s">
        <v>51</v>
      </c>
      <c r="U1375" s="627" t="s">
        <v>51</v>
      </c>
      <c r="V1375" s="627" t="s">
        <v>51</v>
      </c>
      <c r="W1375" s="627" t="s">
        <v>51</v>
      </c>
      <c r="X1375" s="627" t="s">
        <v>51</v>
      </c>
      <c r="Y1375" s="89"/>
    </row>
    <row r="1376" ht="22.5" customHeight="1">
      <c r="A1376" s="223"/>
      <c r="B1376" s="125"/>
      <c r="C1376" s="125"/>
      <c r="D1376" s="125"/>
      <c r="E1376" s="125"/>
      <c r="F1376" s="125"/>
      <c r="G1376" s="125"/>
      <c r="H1376" s="125"/>
      <c r="I1376" s="627" t="s">
        <v>51</v>
      </c>
      <c r="J1376" s="125" t="s">
        <v>51</v>
      </c>
      <c r="K1376" s="125" t="s">
        <v>51</v>
      </c>
      <c r="L1376" s="125" t="s">
        <v>51</v>
      </c>
      <c r="M1376" s="125" t="str">
        <f t="shared" si="1"/>
        <v/>
      </c>
      <c r="N1376" s="125" t="str">
        <f t="shared" si="2"/>
        <v/>
      </c>
      <c r="O1376" s="125"/>
      <c r="P1376" s="125"/>
      <c r="Q1376" s="125"/>
      <c r="R1376" s="125"/>
      <c r="S1376" s="628">
        <f t="shared" si="3"/>
        <v>0</v>
      </c>
      <c r="T1376" s="627" t="s">
        <v>51</v>
      </c>
      <c r="U1376" s="627" t="s">
        <v>51</v>
      </c>
      <c r="V1376" s="627" t="s">
        <v>51</v>
      </c>
      <c r="W1376" s="627" t="s">
        <v>51</v>
      </c>
      <c r="X1376" s="627" t="s">
        <v>51</v>
      </c>
      <c r="Y1376" s="89"/>
    </row>
    <row r="1377" ht="22.5" customHeight="1">
      <c r="A1377" s="223"/>
      <c r="B1377" s="125"/>
      <c r="C1377" s="125"/>
      <c r="D1377" s="125"/>
      <c r="E1377" s="125"/>
      <c r="F1377" s="125"/>
      <c r="G1377" s="125"/>
      <c r="H1377" s="125"/>
      <c r="I1377" s="627" t="s">
        <v>51</v>
      </c>
      <c r="J1377" s="125" t="s">
        <v>51</v>
      </c>
      <c r="K1377" s="125" t="s">
        <v>51</v>
      </c>
      <c r="L1377" s="125" t="s">
        <v>51</v>
      </c>
      <c r="M1377" s="125" t="str">
        <f t="shared" si="1"/>
        <v/>
      </c>
      <c r="N1377" s="125" t="str">
        <f t="shared" si="2"/>
        <v/>
      </c>
      <c r="O1377" s="125"/>
      <c r="P1377" s="125"/>
      <c r="Q1377" s="125"/>
      <c r="R1377" s="125"/>
      <c r="S1377" s="628">
        <f t="shared" si="3"/>
        <v>0</v>
      </c>
      <c r="T1377" s="627" t="s">
        <v>51</v>
      </c>
      <c r="U1377" s="627" t="s">
        <v>51</v>
      </c>
      <c r="V1377" s="627" t="s">
        <v>51</v>
      </c>
      <c r="W1377" s="627" t="s">
        <v>51</v>
      </c>
      <c r="X1377" s="627" t="s">
        <v>51</v>
      </c>
      <c r="Y1377" s="89"/>
    </row>
    <row r="1378" ht="22.5" customHeight="1">
      <c r="A1378" s="223"/>
      <c r="B1378" s="125"/>
      <c r="C1378" s="125"/>
      <c r="D1378" s="125"/>
      <c r="E1378" s="125"/>
      <c r="F1378" s="125"/>
      <c r="G1378" s="125"/>
      <c r="H1378" s="125"/>
      <c r="I1378" s="627" t="s">
        <v>51</v>
      </c>
      <c r="J1378" s="125" t="s">
        <v>51</v>
      </c>
      <c r="K1378" s="125" t="s">
        <v>51</v>
      </c>
      <c r="L1378" s="125" t="s">
        <v>51</v>
      </c>
      <c r="M1378" s="125" t="str">
        <f t="shared" si="1"/>
        <v/>
      </c>
      <c r="N1378" s="125" t="str">
        <f t="shared" si="2"/>
        <v/>
      </c>
      <c r="O1378" s="125"/>
      <c r="P1378" s="125"/>
      <c r="Q1378" s="125"/>
      <c r="R1378" s="125"/>
      <c r="S1378" s="628">
        <f t="shared" si="3"/>
        <v>0</v>
      </c>
      <c r="T1378" s="627" t="s">
        <v>51</v>
      </c>
      <c r="U1378" s="627" t="s">
        <v>51</v>
      </c>
      <c r="V1378" s="627" t="s">
        <v>51</v>
      </c>
      <c r="W1378" s="627" t="s">
        <v>51</v>
      </c>
      <c r="X1378" s="627" t="s">
        <v>51</v>
      </c>
      <c r="Y1378" s="89"/>
    </row>
    <row r="1379" ht="22.5" customHeight="1">
      <c r="A1379" s="223"/>
      <c r="B1379" s="125"/>
      <c r="C1379" s="125"/>
      <c r="D1379" s="125"/>
      <c r="E1379" s="125"/>
      <c r="F1379" s="125"/>
      <c r="G1379" s="125"/>
      <c r="H1379" s="125"/>
      <c r="I1379" s="627" t="s">
        <v>51</v>
      </c>
      <c r="J1379" s="125" t="s">
        <v>51</v>
      </c>
      <c r="K1379" s="125" t="s">
        <v>51</v>
      </c>
      <c r="L1379" s="125" t="s">
        <v>51</v>
      </c>
      <c r="M1379" s="125" t="str">
        <f t="shared" si="1"/>
        <v/>
      </c>
      <c r="N1379" s="125" t="str">
        <f t="shared" si="2"/>
        <v/>
      </c>
      <c r="O1379" s="125"/>
      <c r="P1379" s="125"/>
      <c r="Q1379" s="125"/>
      <c r="R1379" s="125"/>
      <c r="S1379" s="628">
        <f t="shared" si="3"/>
        <v>0</v>
      </c>
      <c r="T1379" s="627" t="s">
        <v>51</v>
      </c>
      <c r="U1379" s="627" t="s">
        <v>51</v>
      </c>
      <c r="V1379" s="627" t="s">
        <v>51</v>
      </c>
      <c r="W1379" s="627" t="s">
        <v>51</v>
      </c>
      <c r="X1379" s="627" t="s">
        <v>51</v>
      </c>
      <c r="Y1379" s="89"/>
    </row>
    <row r="1380" ht="22.5" customHeight="1">
      <c r="A1380" s="223"/>
      <c r="B1380" s="125"/>
      <c r="C1380" s="125"/>
      <c r="D1380" s="125"/>
      <c r="E1380" s="125"/>
      <c r="F1380" s="125"/>
      <c r="G1380" s="125"/>
      <c r="H1380" s="125"/>
      <c r="I1380" s="627" t="s">
        <v>51</v>
      </c>
      <c r="J1380" s="125" t="s">
        <v>51</v>
      </c>
      <c r="K1380" s="125" t="s">
        <v>51</v>
      </c>
      <c r="L1380" s="125" t="s">
        <v>51</v>
      </c>
      <c r="M1380" s="125" t="str">
        <f t="shared" si="1"/>
        <v/>
      </c>
      <c r="N1380" s="125" t="str">
        <f t="shared" si="2"/>
        <v/>
      </c>
      <c r="O1380" s="125"/>
      <c r="P1380" s="125"/>
      <c r="Q1380" s="125"/>
      <c r="R1380" s="125"/>
      <c r="S1380" s="628">
        <f t="shared" si="3"/>
        <v>0</v>
      </c>
      <c r="T1380" s="627" t="s">
        <v>51</v>
      </c>
      <c r="U1380" s="627" t="s">
        <v>51</v>
      </c>
      <c r="V1380" s="627" t="s">
        <v>51</v>
      </c>
      <c r="W1380" s="627" t="s">
        <v>51</v>
      </c>
      <c r="X1380" s="627" t="s">
        <v>51</v>
      </c>
      <c r="Y1380" s="89"/>
    </row>
    <row r="1381" ht="22.5" customHeight="1">
      <c r="A1381" s="223"/>
      <c r="B1381" s="125"/>
      <c r="C1381" s="125"/>
      <c r="D1381" s="125"/>
      <c r="E1381" s="125"/>
      <c r="F1381" s="125"/>
      <c r="G1381" s="125"/>
      <c r="H1381" s="125"/>
      <c r="I1381" s="627" t="s">
        <v>51</v>
      </c>
      <c r="J1381" s="125" t="s">
        <v>51</v>
      </c>
      <c r="K1381" s="125" t="s">
        <v>51</v>
      </c>
      <c r="L1381" s="125" t="s">
        <v>51</v>
      </c>
      <c r="M1381" s="125" t="str">
        <f t="shared" si="1"/>
        <v/>
      </c>
      <c r="N1381" s="125" t="str">
        <f t="shared" si="2"/>
        <v/>
      </c>
      <c r="O1381" s="125"/>
      <c r="P1381" s="125"/>
      <c r="Q1381" s="125"/>
      <c r="R1381" s="125"/>
      <c r="S1381" s="628">
        <f t="shared" si="3"/>
        <v>0</v>
      </c>
      <c r="T1381" s="627" t="s">
        <v>51</v>
      </c>
      <c r="U1381" s="627" t="s">
        <v>51</v>
      </c>
      <c r="V1381" s="627" t="s">
        <v>51</v>
      </c>
      <c r="W1381" s="627" t="s">
        <v>51</v>
      </c>
      <c r="X1381" s="627" t="s">
        <v>51</v>
      </c>
      <c r="Y1381" s="89"/>
    </row>
    <row r="1382" ht="22.5" customHeight="1">
      <c r="A1382" s="223"/>
      <c r="B1382" s="125"/>
      <c r="C1382" s="125"/>
      <c r="D1382" s="125"/>
      <c r="E1382" s="125"/>
      <c r="F1382" s="125"/>
      <c r="G1382" s="125"/>
      <c r="H1382" s="125"/>
      <c r="I1382" s="627" t="s">
        <v>51</v>
      </c>
      <c r="J1382" s="125" t="s">
        <v>51</v>
      </c>
      <c r="K1382" s="125" t="s">
        <v>51</v>
      </c>
      <c r="L1382" s="125" t="s">
        <v>51</v>
      </c>
      <c r="M1382" s="125" t="str">
        <f t="shared" si="1"/>
        <v/>
      </c>
      <c r="N1382" s="125" t="str">
        <f t="shared" si="2"/>
        <v/>
      </c>
      <c r="O1382" s="125"/>
      <c r="P1382" s="125"/>
      <c r="Q1382" s="125"/>
      <c r="R1382" s="125"/>
      <c r="S1382" s="628">
        <f t="shared" si="3"/>
        <v>0</v>
      </c>
      <c r="T1382" s="627" t="s">
        <v>51</v>
      </c>
      <c r="U1382" s="627" t="s">
        <v>51</v>
      </c>
      <c r="V1382" s="627" t="s">
        <v>51</v>
      </c>
      <c r="W1382" s="627" t="s">
        <v>51</v>
      </c>
      <c r="X1382" s="627" t="s">
        <v>51</v>
      </c>
      <c r="Y1382" s="89"/>
    </row>
    <row r="1383" ht="22.5" customHeight="1">
      <c r="A1383" s="223"/>
      <c r="B1383" s="125"/>
      <c r="C1383" s="125"/>
      <c r="D1383" s="125"/>
      <c r="E1383" s="125"/>
      <c r="F1383" s="125"/>
      <c r="G1383" s="125"/>
      <c r="H1383" s="125"/>
      <c r="I1383" s="627" t="s">
        <v>51</v>
      </c>
      <c r="J1383" s="125" t="s">
        <v>51</v>
      </c>
      <c r="K1383" s="125" t="s">
        <v>51</v>
      </c>
      <c r="L1383" s="125" t="s">
        <v>51</v>
      </c>
      <c r="M1383" s="125" t="str">
        <f t="shared" si="1"/>
        <v/>
      </c>
      <c r="N1383" s="125" t="str">
        <f t="shared" si="2"/>
        <v/>
      </c>
      <c r="O1383" s="125"/>
      <c r="P1383" s="125"/>
      <c r="Q1383" s="125"/>
      <c r="R1383" s="125"/>
      <c r="S1383" s="628">
        <f t="shared" si="3"/>
        <v>0</v>
      </c>
      <c r="T1383" s="627" t="s">
        <v>51</v>
      </c>
      <c r="U1383" s="627" t="s">
        <v>51</v>
      </c>
      <c r="V1383" s="627" t="s">
        <v>51</v>
      </c>
      <c r="W1383" s="627" t="s">
        <v>51</v>
      </c>
      <c r="X1383" s="627" t="s">
        <v>51</v>
      </c>
      <c r="Y1383" s="89"/>
    </row>
    <row r="1384" ht="22.5" customHeight="1">
      <c r="A1384" s="223"/>
      <c r="B1384" s="125"/>
      <c r="C1384" s="125"/>
      <c r="D1384" s="125"/>
      <c r="E1384" s="125"/>
      <c r="F1384" s="125"/>
      <c r="G1384" s="125"/>
      <c r="H1384" s="125"/>
      <c r="I1384" s="627" t="s">
        <v>51</v>
      </c>
      <c r="J1384" s="125" t="s">
        <v>51</v>
      </c>
      <c r="K1384" s="125" t="s">
        <v>51</v>
      </c>
      <c r="L1384" s="125" t="s">
        <v>51</v>
      </c>
      <c r="M1384" s="125" t="str">
        <f t="shared" si="1"/>
        <v/>
      </c>
      <c r="N1384" s="125" t="str">
        <f t="shared" si="2"/>
        <v/>
      </c>
      <c r="O1384" s="125"/>
      <c r="P1384" s="125"/>
      <c r="Q1384" s="125"/>
      <c r="R1384" s="125"/>
      <c r="S1384" s="628">
        <f t="shared" si="3"/>
        <v>0</v>
      </c>
      <c r="T1384" s="627" t="s">
        <v>51</v>
      </c>
      <c r="U1384" s="627" t="s">
        <v>51</v>
      </c>
      <c r="V1384" s="627" t="s">
        <v>51</v>
      </c>
      <c r="W1384" s="627" t="s">
        <v>51</v>
      </c>
      <c r="X1384" s="627" t="s">
        <v>51</v>
      </c>
      <c r="Y1384" s="89"/>
    </row>
    <row r="1385" ht="22.5" customHeight="1">
      <c r="A1385" s="223"/>
      <c r="B1385" s="125"/>
      <c r="C1385" s="125"/>
      <c r="D1385" s="125"/>
      <c r="E1385" s="125"/>
      <c r="F1385" s="125"/>
      <c r="G1385" s="125"/>
      <c r="H1385" s="125"/>
      <c r="I1385" s="627" t="s">
        <v>51</v>
      </c>
      <c r="J1385" s="125" t="s">
        <v>51</v>
      </c>
      <c r="K1385" s="125" t="s">
        <v>51</v>
      </c>
      <c r="L1385" s="125" t="s">
        <v>51</v>
      </c>
      <c r="M1385" s="125" t="str">
        <f t="shared" si="1"/>
        <v/>
      </c>
      <c r="N1385" s="125" t="str">
        <f t="shared" si="2"/>
        <v/>
      </c>
      <c r="O1385" s="125"/>
      <c r="P1385" s="125"/>
      <c r="Q1385" s="125"/>
      <c r="R1385" s="125"/>
      <c r="S1385" s="628">
        <f t="shared" si="3"/>
        <v>0</v>
      </c>
      <c r="T1385" s="627" t="s">
        <v>51</v>
      </c>
      <c r="U1385" s="627" t="s">
        <v>51</v>
      </c>
      <c r="V1385" s="627" t="s">
        <v>51</v>
      </c>
      <c r="W1385" s="627" t="s">
        <v>51</v>
      </c>
      <c r="X1385" s="627" t="s">
        <v>51</v>
      </c>
      <c r="Y1385" s="89"/>
    </row>
    <row r="1386" ht="22.5" customHeight="1">
      <c r="A1386" s="223"/>
      <c r="B1386" s="125"/>
      <c r="C1386" s="125"/>
      <c r="D1386" s="125"/>
      <c r="E1386" s="125"/>
      <c r="F1386" s="125"/>
      <c r="G1386" s="125"/>
      <c r="H1386" s="125"/>
      <c r="I1386" s="627" t="s">
        <v>51</v>
      </c>
      <c r="J1386" s="125" t="s">
        <v>51</v>
      </c>
      <c r="K1386" s="125" t="s">
        <v>51</v>
      </c>
      <c r="L1386" s="125" t="s">
        <v>51</v>
      </c>
      <c r="M1386" s="125" t="str">
        <f t="shared" si="1"/>
        <v/>
      </c>
      <c r="N1386" s="125" t="str">
        <f t="shared" si="2"/>
        <v/>
      </c>
      <c r="O1386" s="125"/>
      <c r="P1386" s="125"/>
      <c r="Q1386" s="125"/>
      <c r="R1386" s="125"/>
      <c r="S1386" s="628">
        <f t="shared" si="3"/>
        <v>0</v>
      </c>
      <c r="T1386" s="627" t="s">
        <v>51</v>
      </c>
      <c r="U1386" s="627" t="s">
        <v>51</v>
      </c>
      <c r="V1386" s="627" t="s">
        <v>51</v>
      </c>
      <c r="W1386" s="627" t="s">
        <v>51</v>
      </c>
      <c r="X1386" s="627" t="s">
        <v>51</v>
      </c>
      <c r="Y1386" s="89"/>
    </row>
    <row r="1387" ht="22.5" customHeight="1">
      <c r="A1387" s="223"/>
      <c r="B1387" s="125"/>
      <c r="C1387" s="125"/>
      <c r="D1387" s="125"/>
      <c r="E1387" s="125"/>
      <c r="F1387" s="125"/>
      <c r="G1387" s="125"/>
      <c r="H1387" s="125"/>
      <c r="I1387" s="627" t="s">
        <v>51</v>
      </c>
      <c r="J1387" s="125" t="s">
        <v>51</v>
      </c>
      <c r="K1387" s="125" t="s">
        <v>51</v>
      </c>
      <c r="L1387" s="125" t="s">
        <v>51</v>
      </c>
      <c r="M1387" s="125" t="str">
        <f t="shared" si="1"/>
        <v/>
      </c>
      <c r="N1387" s="125" t="str">
        <f t="shared" si="2"/>
        <v/>
      </c>
      <c r="O1387" s="125"/>
      <c r="P1387" s="125"/>
      <c r="Q1387" s="125"/>
      <c r="R1387" s="125"/>
      <c r="S1387" s="628">
        <f t="shared" si="3"/>
        <v>0</v>
      </c>
      <c r="T1387" s="627" t="s">
        <v>51</v>
      </c>
      <c r="U1387" s="627" t="s">
        <v>51</v>
      </c>
      <c r="V1387" s="627" t="s">
        <v>51</v>
      </c>
      <c r="W1387" s="627" t="s">
        <v>51</v>
      </c>
      <c r="X1387" s="627" t="s">
        <v>51</v>
      </c>
      <c r="Y1387" s="89"/>
    </row>
    <row r="1388" ht="22.5" customHeight="1">
      <c r="A1388" s="223"/>
      <c r="B1388" s="125"/>
      <c r="C1388" s="125"/>
      <c r="D1388" s="125"/>
      <c r="E1388" s="125"/>
      <c r="F1388" s="125"/>
      <c r="G1388" s="125"/>
      <c r="H1388" s="125"/>
      <c r="I1388" s="627" t="s">
        <v>51</v>
      </c>
      <c r="J1388" s="125" t="s">
        <v>51</v>
      </c>
      <c r="K1388" s="125" t="s">
        <v>51</v>
      </c>
      <c r="L1388" s="125" t="s">
        <v>51</v>
      </c>
      <c r="M1388" s="125" t="str">
        <f t="shared" si="1"/>
        <v/>
      </c>
      <c r="N1388" s="125" t="str">
        <f t="shared" si="2"/>
        <v/>
      </c>
      <c r="O1388" s="125"/>
      <c r="P1388" s="125"/>
      <c r="Q1388" s="125"/>
      <c r="R1388" s="125"/>
      <c r="S1388" s="628">
        <f t="shared" si="3"/>
        <v>0</v>
      </c>
      <c r="T1388" s="627" t="s">
        <v>51</v>
      </c>
      <c r="U1388" s="627" t="s">
        <v>51</v>
      </c>
      <c r="V1388" s="627" t="s">
        <v>51</v>
      </c>
      <c r="W1388" s="627" t="s">
        <v>51</v>
      </c>
      <c r="X1388" s="627" t="s">
        <v>51</v>
      </c>
      <c r="Y1388" s="89"/>
    </row>
    <row r="1389" ht="22.5" customHeight="1">
      <c r="A1389" s="223"/>
      <c r="B1389" s="125"/>
      <c r="C1389" s="125"/>
      <c r="D1389" s="125"/>
      <c r="E1389" s="125"/>
      <c r="F1389" s="125"/>
      <c r="G1389" s="125"/>
      <c r="H1389" s="125"/>
      <c r="I1389" s="627" t="s">
        <v>51</v>
      </c>
      <c r="J1389" s="125" t="s">
        <v>51</v>
      </c>
      <c r="K1389" s="125" t="s">
        <v>51</v>
      </c>
      <c r="L1389" s="125" t="s">
        <v>51</v>
      </c>
      <c r="M1389" s="125" t="str">
        <f t="shared" si="1"/>
        <v/>
      </c>
      <c r="N1389" s="125" t="str">
        <f t="shared" si="2"/>
        <v/>
      </c>
      <c r="O1389" s="125"/>
      <c r="P1389" s="125"/>
      <c r="Q1389" s="125"/>
      <c r="R1389" s="125"/>
      <c r="S1389" s="628">
        <f t="shared" si="3"/>
        <v>0</v>
      </c>
      <c r="T1389" s="627" t="s">
        <v>51</v>
      </c>
      <c r="U1389" s="627" t="s">
        <v>51</v>
      </c>
      <c r="V1389" s="627" t="s">
        <v>51</v>
      </c>
      <c r="W1389" s="627" t="s">
        <v>51</v>
      </c>
      <c r="X1389" s="627" t="s">
        <v>51</v>
      </c>
      <c r="Y1389" s="89"/>
    </row>
    <row r="1390" ht="22.5" customHeight="1">
      <c r="A1390" s="223"/>
      <c r="B1390" s="125"/>
      <c r="C1390" s="125"/>
      <c r="D1390" s="125"/>
      <c r="E1390" s="125"/>
      <c r="F1390" s="125"/>
      <c r="G1390" s="125"/>
      <c r="H1390" s="125"/>
      <c r="I1390" s="627" t="s">
        <v>51</v>
      </c>
      <c r="J1390" s="125" t="s">
        <v>51</v>
      </c>
      <c r="K1390" s="125" t="s">
        <v>51</v>
      </c>
      <c r="L1390" s="125" t="s">
        <v>51</v>
      </c>
      <c r="M1390" s="125" t="str">
        <f t="shared" si="1"/>
        <v/>
      </c>
      <c r="N1390" s="125" t="str">
        <f t="shared" si="2"/>
        <v/>
      </c>
      <c r="O1390" s="125"/>
      <c r="P1390" s="125"/>
      <c r="Q1390" s="125"/>
      <c r="R1390" s="125"/>
      <c r="S1390" s="628">
        <f t="shared" si="3"/>
        <v>0</v>
      </c>
      <c r="T1390" s="627" t="s">
        <v>51</v>
      </c>
      <c r="U1390" s="627" t="s">
        <v>51</v>
      </c>
      <c r="V1390" s="627" t="s">
        <v>51</v>
      </c>
      <c r="W1390" s="627" t="s">
        <v>51</v>
      </c>
      <c r="X1390" s="627" t="s">
        <v>51</v>
      </c>
      <c r="Y1390" s="89"/>
    </row>
    <row r="1391" ht="22.5" customHeight="1">
      <c r="A1391" s="223"/>
      <c r="B1391" s="125"/>
      <c r="C1391" s="125"/>
      <c r="D1391" s="125"/>
      <c r="E1391" s="125"/>
      <c r="F1391" s="125"/>
      <c r="G1391" s="125"/>
      <c r="H1391" s="125"/>
      <c r="I1391" s="627" t="s">
        <v>51</v>
      </c>
      <c r="J1391" s="125" t="s">
        <v>51</v>
      </c>
      <c r="K1391" s="125" t="s">
        <v>51</v>
      </c>
      <c r="L1391" s="125" t="s">
        <v>51</v>
      </c>
      <c r="M1391" s="125" t="str">
        <f t="shared" si="1"/>
        <v/>
      </c>
      <c r="N1391" s="125" t="str">
        <f t="shared" si="2"/>
        <v/>
      </c>
      <c r="O1391" s="125"/>
      <c r="P1391" s="125"/>
      <c r="Q1391" s="125"/>
      <c r="R1391" s="125"/>
      <c r="S1391" s="628">
        <f t="shared" si="3"/>
        <v>0</v>
      </c>
      <c r="T1391" s="627" t="s">
        <v>51</v>
      </c>
      <c r="U1391" s="627" t="s">
        <v>51</v>
      </c>
      <c r="V1391" s="627" t="s">
        <v>51</v>
      </c>
      <c r="W1391" s="627" t="s">
        <v>51</v>
      </c>
      <c r="X1391" s="627" t="s">
        <v>51</v>
      </c>
      <c r="Y1391" s="89"/>
    </row>
    <row r="1392" ht="22.5" customHeight="1">
      <c r="A1392" s="223"/>
      <c r="B1392" s="125"/>
      <c r="C1392" s="125"/>
      <c r="D1392" s="125"/>
      <c r="E1392" s="125"/>
      <c r="F1392" s="125"/>
      <c r="G1392" s="125"/>
      <c r="H1392" s="125"/>
      <c r="I1392" s="627" t="s">
        <v>51</v>
      </c>
      <c r="J1392" s="125" t="s">
        <v>51</v>
      </c>
      <c r="K1392" s="125" t="s">
        <v>51</v>
      </c>
      <c r="L1392" s="125" t="s">
        <v>51</v>
      </c>
      <c r="M1392" s="125" t="str">
        <f t="shared" si="1"/>
        <v/>
      </c>
      <c r="N1392" s="125" t="str">
        <f t="shared" si="2"/>
        <v/>
      </c>
      <c r="O1392" s="125"/>
      <c r="P1392" s="125"/>
      <c r="Q1392" s="125"/>
      <c r="R1392" s="125"/>
      <c r="S1392" s="628">
        <f t="shared" si="3"/>
        <v>0</v>
      </c>
      <c r="T1392" s="627" t="s">
        <v>51</v>
      </c>
      <c r="U1392" s="627" t="s">
        <v>51</v>
      </c>
      <c r="V1392" s="627" t="s">
        <v>51</v>
      </c>
      <c r="W1392" s="627" t="s">
        <v>51</v>
      </c>
      <c r="X1392" s="627" t="s">
        <v>51</v>
      </c>
      <c r="Y1392" s="89"/>
    </row>
    <row r="1393" ht="22.5" customHeight="1">
      <c r="A1393" s="223"/>
      <c r="B1393" s="125"/>
      <c r="C1393" s="125"/>
      <c r="D1393" s="125"/>
      <c r="E1393" s="125"/>
      <c r="F1393" s="125"/>
      <c r="G1393" s="125"/>
      <c r="H1393" s="125"/>
      <c r="I1393" s="627" t="s">
        <v>51</v>
      </c>
      <c r="J1393" s="125" t="s">
        <v>51</v>
      </c>
      <c r="K1393" s="125" t="s">
        <v>51</v>
      </c>
      <c r="L1393" s="125" t="s">
        <v>51</v>
      </c>
      <c r="M1393" s="125" t="str">
        <f t="shared" si="1"/>
        <v/>
      </c>
      <c r="N1393" s="125" t="str">
        <f t="shared" si="2"/>
        <v/>
      </c>
      <c r="O1393" s="125"/>
      <c r="P1393" s="125"/>
      <c r="Q1393" s="125"/>
      <c r="R1393" s="125"/>
      <c r="S1393" s="628">
        <f t="shared" si="3"/>
        <v>0</v>
      </c>
      <c r="T1393" s="627" t="s">
        <v>51</v>
      </c>
      <c r="U1393" s="627" t="s">
        <v>51</v>
      </c>
      <c r="V1393" s="627" t="s">
        <v>51</v>
      </c>
      <c r="W1393" s="627" t="s">
        <v>51</v>
      </c>
      <c r="X1393" s="627" t="s">
        <v>51</v>
      </c>
      <c r="Y1393" s="89"/>
    </row>
    <row r="1394" ht="22.5" customHeight="1">
      <c r="A1394" s="223"/>
      <c r="B1394" s="125"/>
      <c r="C1394" s="125"/>
      <c r="D1394" s="125"/>
      <c r="E1394" s="125"/>
      <c r="F1394" s="125"/>
      <c r="G1394" s="125"/>
      <c r="H1394" s="125"/>
      <c r="I1394" s="627" t="s">
        <v>51</v>
      </c>
      <c r="J1394" s="125" t="s">
        <v>51</v>
      </c>
      <c r="K1394" s="125" t="s">
        <v>51</v>
      </c>
      <c r="L1394" s="125" t="s">
        <v>51</v>
      </c>
      <c r="M1394" s="125" t="str">
        <f t="shared" si="1"/>
        <v/>
      </c>
      <c r="N1394" s="125" t="str">
        <f t="shared" si="2"/>
        <v/>
      </c>
      <c r="O1394" s="125"/>
      <c r="P1394" s="125"/>
      <c r="Q1394" s="125"/>
      <c r="R1394" s="125"/>
      <c r="S1394" s="628">
        <f t="shared" si="3"/>
        <v>0</v>
      </c>
      <c r="T1394" s="627" t="s">
        <v>51</v>
      </c>
      <c r="U1394" s="627" t="s">
        <v>51</v>
      </c>
      <c r="V1394" s="627" t="s">
        <v>51</v>
      </c>
      <c r="W1394" s="627" t="s">
        <v>51</v>
      </c>
      <c r="X1394" s="627" t="s">
        <v>51</v>
      </c>
      <c r="Y1394" s="89"/>
    </row>
    <row r="1395" ht="22.5" customHeight="1">
      <c r="A1395" s="223"/>
      <c r="B1395" s="125"/>
      <c r="C1395" s="125"/>
      <c r="D1395" s="125"/>
      <c r="E1395" s="125"/>
      <c r="F1395" s="125"/>
      <c r="G1395" s="125"/>
      <c r="H1395" s="125"/>
      <c r="I1395" s="627" t="s">
        <v>51</v>
      </c>
      <c r="J1395" s="125" t="s">
        <v>51</v>
      </c>
      <c r="K1395" s="125" t="s">
        <v>51</v>
      </c>
      <c r="L1395" s="125" t="s">
        <v>51</v>
      </c>
      <c r="M1395" s="125" t="str">
        <f t="shared" si="1"/>
        <v/>
      </c>
      <c r="N1395" s="125" t="str">
        <f t="shared" si="2"/>
        <v/>
      </c>
      <c r="O1395" s="125"/>
      <c r="P1395" s="125"/>
      <c r="Q1395" s="125"/>
      <c r="R1395" s="125"/>
      <c r="S1395" s="628">
        <f t="shared" si="3"/>
        <v>0</v>
      </c>
      <c r="T1395" s="627" t="s">
        <v>51</v>
      </c>
      <c r="U1395" s="627" t="s">
        <v>51</v>
      </c>
      <c r="V1395" s="627" t="s">
        <v>51</v>
      </c>
      <c r="W1395" s="627" t="s">
        <v>51</v>
      </c>
      <c r="X1395" s="627" t="s">
        <v>51</v>
      </c>
      <c r="Y1395" s="89"/>
    </row>
    <row r="1396" ht="22.5" customHeight="1">
      <c r="A1396" s="223"/>
      <c r="B1396" s="125"/>
      <c r="C1396" s="125"/>
      <c r="D1396" s="125"/>
      <c r="E1396" s="125"/>
      <c r="F1396" s="125"/>
      <c r="G1396" s="125"/>
      <c r="H1396" s="125"/>
      <c r="I1396" s="627" t="s">
        <v>51</v>
      </c>
      <c r="J1396" s="125" t="s">
        <v>51</v>
      </c>
      <c r="K1396" s="125" t="s">
        <v>51</v>
      </c>
      <c r="L1396" s="125" t="s">
        <v>51</v>
      </c>
      <c r="M1396" s="125" t="str">
        <f t="shared" si="1"/>
        <v/>
      </c>
      <c r="N1396" s="125" t="str">
        <f t="shared" si="2"/>
        <v/>
      </c>
      <c r="O1396" s="125"/>
      <c r="P1396" s="125"/>
      <c r="Q1396" s="125"/>
      <c r="R1396" s="125"/>
      <c r="S1396" s="628">
        <f t="shared" si="3"/>
        <v>0</v>
      </c>
      <c r="T1396" s="627" t="s">
        <v>51</v>
      </c>
      <c r="U1396" s="627" t="s">
        <v>51</v>
      </c>
      <c r="V1396" s="627" t="s">
        <v>51</v>
      </c>
      <c r="W1396" s="627" t="s">
        <v>51</v>
      </c>
      <c r="X1396" s="627" t="s">
        <v>51</v>
      </c>
      <c r="Y1396" s="89"/>
    </row>
    <row r="1397" ht="22.5" customHeight="1">
      <c r="A1397" s="223"/>
      <c r="B1397" s="125"/>
      <c r="C1397" s="125"/>
      <c r="D1397" s="125"/>
      <c r="E1397" s="125"/>
      <c r="F1397" s="125"/>
      <c r="G1397" s="125"/>
      <c r="H1397" s="125"/>
      <c r="I1397" s="627" t="s">
        <v>51</v>
      </c>
      <c r="J1397" s="125" t="s">
        <v>51</v>
      </c>
      <c r="K1397" s="125" t="s">
        <v>51</v>
      </c>
      <c r="L1397" s="125" t="s">
        <v>51</v>
      </c>
      <c r="M1397" s="125" t="str">
        <f t="shared" si="1"/>
        <v/>
      </c>
      <c r="N1397" s="125" t="str">
        <f t="shared" si="2"/>
        <v/>
      </c>
      <c r="O1397" s="125"/>
      <c r="P1397" s="125"/>
      <c r="Q1397" s="125"/>
      <c r="R1397" s="125"/>
      <c r="S1397" s="628">
        <f t="shared" si="3"/>
        <v>0</v>
      </c>
      <c r="T1397" s="627" t="s">
        <v>51</v>
      </c>
      <c r="U1397" s="627" t="s">
        <v>51</v>
      </c>
      <c r="V1397" s="627" t="s">
        <v>51</v>
      </c>
      <c r="W1397" s="627" t="s">
        <v>51</v>
      </c>
      <c r="X1397" s="627" t="s">
        <v>51</v>
      </c>
      <c r="Y1397" s="89"/>
    </row>
    <row r="1398" ht="22.5" customHeight="1">
      <c r="A1398" s="223"/>
      <c r="B1398" s="125"/>
      <c r="C1398" s="125"/>
      <c r="D1398" s="125"/>
      <c r="E1398" s="125"/>
      <c r="F1398" s="125"/>
      <c r="G1398" s="125"/>
      <c r="H1398" s="125"/>
      <c r="I1398" s="627" t="s">
        <v>51</v>
      </c>
      <c r="J1398" s="125" t="s">
        <v>51</v>
      </c>
      <c r="K1398" s="125" t="s">
        <v>51</v>
      </c>
      <c r="L1398" s="125" t="s">
        <v>51</v>
      </c>
      <c r="M1398" s="125" t="str">
        <f t="shared" si="1"/>
        <v/>
      </c>
      <c r="N1398" s="125" t="str">
        <f t="shared" si="2"/>
        <v/>
      </c>
      <c r="O1398" s="125"/>
      <c r="P1398" s="125"/>
      <c r="Q1398" s="125"/>
      <c r="R1398" s="125"/>
      <c r="S1398" s="628">
        <f t="shared" si="3"/>
        <v>0</v>
      </c>
      <c r="T1398" s="627" t="s">
        <v>51</v>
      </c>
      <c r="U1398" s="627" t="s">
        <v>51</v>
      </c>
      <c r="V1398" s="627" t="s">
        <v>51</v>
      </c>
      <c r="W1398" s="627" t="s">
        <v>51</v>
      </c>
      <c r="X1398" s="627" t="s">
        <v>51</v>
      </c>
      <c r="Y1398" s="89"/>
    </row>
    <row r="1399" ht="22.5" customHeight="1">
      <c r="A1399" s="223"/>
      <c r="B1399" s="125"/>
      <c r="C1399" s="125"/>
      <c r="D1399" s="125"/>
      <c r="E1399" s="125"/>
      <c r="F1399" s="125"/>
      <c r="G1399" s="125"/>
      <c r="H1399" s="125"/>
      <c r="I1399" s="627" t="s">
        <v>51</v>
      </c>
      <c r="J1399" s="125" t="s">
        <v>51</v>
      </c>
      <c r="K1399" s="125" t="s">
        <v>51</v>
      </c>
      <c r="L1399" s="125" t="s">
        <v>51</v>
      </c>
      <c r="M1399" s="125" t="str">
        <f t="shared" si="1"/>
        <v/>
      </c>
      <c r="N1399" s="125" t="str">
        <f t="shared" si="2"/>
        <v/>
      </c>
      <c r="O1399" s="125"/>
      <c r="P1399" s="125"/>
      <c r="Q1399" s="125"/>
      <c r="R1399" s="125"/>
      <c r="S1399" s="628">
        <f t="shared" si="3"/>
        <v>0</v>
      </c>
      <c r="T1399" s="627" t="s">
        <v>51</v>
      </c>
      <c r="U1399" s="627" t="s">
        <v>51</v>
      </c>
      <c r="V1399" s="627" t="s">
        <v>51</v>
      </c>
      <c r="W1399" s="627" t="s">
        <v>51</v>
      </c>
      <c r="X1399" s="627" t="s">
        <v>51</v>
      </c>
      <c r="Y1399" s="89"/>
    </row>
    <row r="1400" ht="22.5" customHeight="1">
      <c r="A1400" s="223"/>
      <c r="B1400" s="125"/>
      <c r="C1400" s="125"/>
      <c r="D1400" s="125"/>
      <c r="E1400" s="125"/>
      <c r="F1400" s="125"/>
      <c r="G1400" s="125"/>
      <c r="H1400" s="125"/>
      <c r="I1400" s="627" t="s">
        <v>51</v>
      </c>
      <c r="J1400" s="125" t="s">
        <v>51</v>
      </c>
      <c r="K1400" s="125" t="s">
        <v>51</v>
      </c>
      <c r="L1400" s="125" t="s">
        <v>51</v>
      </c>
      <c r="M1400" s="125" t="str">
        <f t="shared" si="1"/>
        <v/>
      </c>
      <c r="N1400" s="125" t="str">
        <f t="shared" si="2"/>
        <v/>
      </c>
      <c r="O1400" s="125"/>
      <c r="P1400" s="125"/>
      <c r="Q1400" s="125"/>
      <c r="R1400" s="125"/>
      <c r="S1400" s="628">
        <f t="shared" si="3"/>
        <v>0</v>
      </c>
      <c r="T1400" s="627" t="s">
        <v>51</v>
      </c>
      <c r="U1400" s="627" t="s">
        <v>51</v>
      </c>
      <c r="V1400" s="627" t="s">
        <v>51</v>
      </c>
      <c r="W1400" s="627" t="s">
        <v>51</v>
      </c>
      <c r="X1400" s="627" t="s">
        <v>51</v>
      </c>
      <c r="Y1400" s="89"/>
    </row>
    <row r="1401" ht="22.5" customHeight="1">
      <c r="A1401" s="223"/>
      <c r="B1401" s="125"/>
      <c r="C1401" s="125"/>
      <c r="D1401" s="125"/>
      <c r="E1401" s="125"/>
      <c r="F1401" s="125"/>
      <c r="G1401" s="125"/>
      <c r="H1401" s="125"/>
      <c r="I1401" s="627" t="s">
        <v>51</v>
      </c>
      <c r="J1401" s="125" t="s">
        <v>51</v>
      </c>
      <c r="K1401" s="125" t="s">
        <v>51</v>
      </c>
      <c r="L1401" s="125" t="s">
        <v>51</v>
      </c>
      <c r="M1401" s="125" t="str">
        <f t="shared" si="1"/>
        <v/>
      </c>
      <c r="N1401" s="125" t="str">
        <f t="shared" si="2"/>
        <v/>
      </c>
      <c r="O1401" s="125"/>
      <c r="P1401" s="125"/>
      <c r="Q1401" s="125"/>
      <c r="R1401" s="125"/>
      <c r="S1401" s="628">
        <f t="shared" si="3"/>
        <v>0</v>
      </c>
      <c r="T1401" s="627" t="s">
        <v>51</v>
      </c>
      <c r="U1401" s="627" t="s">
        <v>51</v>
      </c>
      <c r="V1401" s="627" t="s">
        <v>51</v>
      </c>
      <c r="W1401" s="627" t="s">
        <v>51</v>
      </c>
      <c r="X1401" s="627" t="s">
        <v>51</v>
      </c>
      <c r="Y1401" s="89"/>
    </row>
    <row r="1402" ht="22.5" customHeight="1">
      <c r="A1402" s="223"/>
      <c r="B1402" s="125"/>
      <c r="C1402" s="125"/>
      <c r="D1402" s="125"/>
      <c r="E1402" s="125"/>
      <c r="F1402" s="125"/>
      <c r="G1402" s="125"/>
      <c r="H1402" s="125"/>
      <c r="I1402" s="627" t="s">
        <v>51</v>
      </c>
      <c r="J1402" s="125" t="s">
        <v>51</v>
      </c>
      <c r="K1402" s="125" t="s">
        <v>51</v>
      </c>
      <c r="L1402" s="125" t="s">
        <v>51</v>
      </c>
      <c r="M1402" s="125" t="str">
        <f t="shared" si="1"/>
        <v/>
      </c>
      <c r="N1402" s="125" t="str">
        <f t="shared" si="2"/>
        <v/>
      </c>
      <c r="O1402" s="125"/>
      <c r="P1402" s="125"/>
      <c r="Q1402" s="125"/>
      <c r="R1402" s="125"/>
      <c r="S1402" s="628">
        <f t="shared" si="3"/>
        <v>0</v>
      </c>
      <c r="T1402" s="627" t="s">
        <v>51</v>
      </c>
      <c r="U1402" s="627" t="s">
        <v>51</v>
      </c>
      <c r="V1402" s="627" t="s">
        <v>51</v>
      </c>
      <c r="W1402" s="627" t="s">
        <v>51</v>
      </c>
      <c r="X1402" s="627" t="s">
        <v>51</v>
      </c>
      <c r="Y1402" s="89"/>
    </row>
    <row r="1403" ht="22.5" customHeight="1">
      <c r="A1403" s="223"/>
      <c r="B1403" s="125"/>
      <c r="C1403" s="125"/>
      <c r="D1403" s="125"/>
      <c r="E1403" s="125"/>
      <c r="F1403" s="125"/>
      <c r="G1403" s="125"/>
      <c r="H1403" s="125"/>
      <c r="I1403" s="627" t="s">
        <v>51</v>
      </c>
      <c r="J1403" s="125" t="s">
        <v>51</v>
      </c>
      <c r="K1403" s="125" t="s">
        <v>51</v>
      </c>
      <c r="L1403" s="125" t="s">
        <v>51</v>
      </c>
      <c r="M1403" s="125" t="str">
        <f t="shared" si="1"/>
        <v/>
      </c>
      <c r="N1403" s="125" t="str">
        <f t="shared" si="2"/>
        <v/>
      </c>
      <c r="O1403" s="125"/>
      <c r="P1403" s="125"/>
      <c r="Q1403" s="125"/>
      <c r="R1403" s="125"/>
      <c r="S1403" s="628">
        <f t="shared" si="3"/>
        <v>0</v>
      </c>
      <c r="T1403" s="627" t="s">
        <v>51</v>
      </c>
      <c r="U1403" s="627" t="s">
        <v>51</v>
      </c>
      <c r="V1403" s="627" t="s">
        <v>51</v>
      </c>
      <c r="W1403" s="627" t="s">
        <v>51</v>
      </c>
      <c r="X1403" s="627" t="s">
        <v>51</v>
      </c>
      <c r="Y1403" s="89"/>
    </row>
    <row r="1404" ht="22.5" customHeight="1">
      <c r="A1404" s="223"/>
      <c r="B1404" s="125"/>
      <c r="C1404" s="125"/>
      <c r="D1404" s="125"/>
      <c r="E1404" s="125"/>
      <c r="F1404" s="125"/>
      <c r="G1404" s="125"/>
      <c r="H1404" s="125"/>
      <c r="I1404" s="627" t="s">
        <v>51</v>
      </c>
      <c r="J1404" s="125" t="s">
        <v>51</v>
      </c>
      <c r="K1404" s="125" t="s">
        <v>51</v>
      </c>
      <c r="L1404" s="125" t="s">
        <v>51</v>
      </c>
      <c r="M1404" s="125" t="str">
        <f t="shared" si="1"/>
        <v/>
      </c>
      <c r="N1404" s="125" t="str">
        <f t="shared" si="2"/>
        <v/>
      </c>
      <c r="O1404" s="125"/>
      <c r="P1404" s="125"/>
      <c r="Q1404" s="125"/>
      <c r="R1404" s="125"/>
      <c r="S1404" s="628">
        <f t="shared" si="3"/>
        <v>0</v>
      </c>
      <c r="T1404" s="627" t="s">
        <v>51</v>
      </c>
      <c r="U1404" s="627" t="s">
        <v>51</v>
      </c>
      <c r="V1404" s="627" t="s">
        <v>51</v>
      </c>
      <c r="W1404" s="627" t="s">
        <v>51</v>
      </c>
      <c r="X1404" s="627" t="s">
        <v>51</v>
      </c>
      <c r="Y1404" s="89"/>
    </row>
    <row r="1405" ht="22.5" customHeight="1">
      <c r="A1405" s="223"/>
      <c r="B1405" s="125"/>
      <c r="C1405" s="125"/>
      <c r="D1405" s="125"/>
      <c r="E1405" s="125"/>
      <c r="F1405" s="125"/>
      <c r="G1405" s="125"/>
      <c r="H1405" s="125"/>
      <c r="I1405" s="627" t="s">
        <v>51</v>
      </c>
      <c r="J1405" s="125" t="s">
        <v>51</v>
      </c>
      <c r="K1405" s="125" t="s">
        <v>51</v>
      </c>
      <c r="L1405" s="125" t="s">
        <v>51</v>
      </c>
      <c r="M1405" s="125" t="str">
        <f t="shared" si="1"/>
        <v/>
      </c>
      <c r="N1405" s="125" t="str">
        <f t="shared" si="2"/>
        <v/>
      </c>
      <c r="O1405" s="125"/>
      <c r="P1405" s="125"/>
      <c r="Q1405" s="125"/>
      <c r="R1405" s="125"/>
      <c r="S1405" s="628">
        <f t="shared" si="3"/>
        <v>0</v>
      </c>
      <c r="T1405" s="627" t="s">
        <v>51</v>
      </c>
      <c r="U1405" s="627" t="s">
        <v>51</v>
      </c>
      <c r="V1405" s="627" t="s">
        <v>51</v>
      </c>
      <c r="W1405" s="627" t="s">
        <v>51</v>
      </c>
      <c r="X1405" s="627" t="s">
        <v>51</v>
      </c>
      <c r="Y1405" s="89"/>
    </row>
    <row r="1406" ht="22.5" customHeight="1">
      <c r="A1406" s="223"/>
      <c r="B1406" s="125"/>
      <c r="C1406" s="125"/>
      <c r="D1406" s="125"/>
      <c r="E1406" s="125"/>
      <c r="F1406" s="125"/>
      <c r="G1406" s="125"/>
      <c r="H1406" s="125"/>
      <c r="I1406" s="627" t="s">
        <v>51</v>
      </c>
      <c r="J1406" s="125" t="s">
        <v>51</v>
      </c>
      <c r="K1406" s="125" t="s">
        <v>51</v>
      </c>
      <c r="L1406" s="125" t="s">
        <v>51</v>
      </c>
      <c r="M1406" s="125" t="str">
        <f t="shared" si="1"/>
        <v/>
      </c>
      <c r="N1406" s="125" t="str">
        <f t="shared" si="2"/>
        <v/>
      </c>
      <c r="O1406" s="125"/>
      <c r="P1406" s="125"/>
      <c r="Q1406" s="125"/>
      <c r="R1406" s="125"/>
      <c r="S1406" s="628">
        <f t="shared" si="3"/>
        <v>0</v>
      </c>
      <c r="T1406" s="627" t="s">
        <v>51</v>
      </c>
      <c r="U1406" s="627" t="s">
        <v>51</v>
      </c>
      <c r="V1406" s="627" t="s">
        <v>51</v>
      </c>
      <c r="W1406" s="627" t="s">
        <v>51</v>
      </c>
      <c r="X1406" s="627" t="s">
        <v>51</v>
      </c>
      <c r="Y1406" s="89"/>
    </row>
    <row r="1407" ht="22.5" customHeight="1">
      <c r="A1407" s="223"/>
      <c r="B1407" s="125"/>
      <c r="C1407" s="125"/>
      <c r="D1407" s="125"/>
      <c r="E1407" s="125"/>
      <c r="F1407" s="125"/>
      <c r="G1407" s="125"/>
      <c r="H1407" s="125"/>
      <c r="I1407" s="627" t="s">
        <v>51</v>
      </c>
      <c r="J1407" s="125" t="s">
        <v>51</v>
      </c>
      <c r="K1407" s="125" t="s">
        <v>51</v>
      </c>
      <c r="L1407" s="125" t="s">
        <v>51</v>
      </c>
      <c r="M1407" s="125" t="str">
        <f t="shared" si="1"/>
        <v/>
      </c>
      <c r="N1407" s="125" t="str">
        <f t="shared" si="2"/>
        <v/>
      </c>
      <c r="O1407" s="125"/>
      <c r="P1407" s="125"/>
      <c r="Q1407" s="125"/>
      <c r="R1407" s="125"/>
      <c r="S1407" s="628">
        <f t="shared" si="3"/>
        <v>0</v>
      </c>
      <c r="T1407" s="627" t="s">
        <v>51</v>
      </c>
      <c r="U1407" s="627" t="s">
        <v>51</v>
      </c>
      <c r="V1407" s="627" t="s">
        <v>51</v>
      </c>
      <c r="W1407" s="627" t="s">
        <v>51</v>
      </c>
      <c r="X1407" s="627" t="s">
        <v>51</v>
      </c>
      <c r="Y1407" s="89"/>
    </row>
    <row r="1408" ht="22.5" customHeight="1">
      <c r="A1408" s="223"/>
      <c r="B1408" s="125"/>
      <c r="C1408" s="125"/>
      <c r="D1408" s="125"/>
      <c r="E1408" s="125"/>
      <c r="F1408" s="125"/>
      <c r="G1408" s="125"/>
      <c r="H1408" s="125"/>
      <c r="I1408" s="627" t="s">
        <v>51</v>
      </c>
      <c r="J1408" s="125" t="s">
        <v>51</v>
      </c>
      <c r="K1408" s="125" t="s">
        <v>51</v>
      </c>
      <c r="L1408" s="125" t="s">
        <v>51</v>
      </c>
      <c r="M1408" s="125" t="str">
        <f t="shared" si="1"/>
        <v/>
      </c>
      <c r="N1408" s="125" t="str">
        <f t="shared" si="2"/>
        <v/>
      </c>
      <c r="O1408" s="125"/>
      <c r="P1408" s="125"/>
      <c r="Q1408" s="125"/>
      <c r="R1408" s="125"/>
      <c r="S1408" s="628">
        <f t="shared" si="3"/>
        <v>0</v>
      </c>
      <c r="T1408" s="627" t="s">
        <v>51</v>
      </c>
      <c r="U1408" s="627" t="s">
        <v>51</v>
      </c>
      <c r="V1408" s="627" t="s">
        <v>51</v>
      </c>
      <c r="W1408" s="627" t="s">
        <v>51</v>
      </c>
      <c r="X1408" s="627" t="s">
        <v>51</v>
      </c>
      <c r="Y1408" s="89"/>
    </row>
    <row r="1409" ht="22.5" customHeight="1">
      <c r="A1409" s="223"/>
      <c r="B1409" s="125"/>
      <c r="C1409" s="125"/>
      <c r="D1409" s="125"/>
      <c r="E1409" s="125"/>
      <c r="F1409" s="125"/>
      <c r="G1409" s="125"/>
      <c r="H1409" s="125"/>
      <c r="I1409" s="627" t="s">
        <v>51</v>
      </c>
      <c r="J1409" s="125" t="s">
        <v>51</v>
      </c>
      <c r="K1409" s="125" t="s">
        <v>51</v>
      </c>
      <c r="L1409" s="125" t="s">
        <v>51</v>
      </c>
      <c r="M1409" s="125" t="str">
        <f t="shared" si="1"/>
        <v/>
      </c>
      <c r="N1409" s="125" t="str">
        <f t="shared" si="2"/>
        <v/>
      </c>
      <c r="O1409" s="125"/>
      <c r="P1409" s="125"/>
      <c r="Q1409" s="125"/>
      <c r="R1409" s="125"/>
      <c r="S1409" s="628">
        <f t="shared" si="3"/>
        <v>0</v>
      </c>
      <c r="T1409" s="627" t="s">
        <v>51</v>
      </c>
      <c r="U1409" s="627" t="s">
        <v>51</v>
      </c>
      <c r="V1409" s="627" t="s">
        <v>51</v>
      </c>
      <c r="W1409" s="627" t="s">
        <v>51</v>
      </c>
      <c r="X1409" s="627" t="s">
        <v>51</v>
      </c>
      <c r="Y1409" s="89"/>
    </row>
    <row r="1410" ht="22.5" customHeight="1">
      <c r="A1410" s="223"/>
      <c r="B1410" s="125"/>
      <c r="C1410" s="125"/>
      <c r="D1410" s="125"/>
      <c r="E1410" s="125"/>
      <c r="F1410" s="125"/>
      <c r="G1410" s="125"/>
      <c r="H1410" s="125"/>
      <c r="I1410" s="627" t="s">
        <v>51</v>
      </c>
      <c r="J1410" s="125" t="s">
        <v>51</v>
      </c>
      <c r="K1410" s="125" t="s">
        <v>51</v>
      </c>
      <c r="L1410" s="125" t="s">
        <v>51</v>
      </c>
      <c r="M1410" s="125" t="str">
        <f t="shared" si="1"/>
        <v/>
      </c>
      <c r="N1410" s="125" t="str">
        <f t="shared" si="2"/>
        <v/>
      </c>
      <c r="O1410" s="125"/>
      <c r="P1410" s="125"/>
      <c r="Q1410" s="125"/>
      <c r="R1410" s="125"/>
      <c r="S1410" s="628">
        <f t="shared" si="3"/>
        <v>0</v>
      </c>
      <c r="T1410" s="627" t="s">
        <v>51</v>
      </c>
      <c r="U1410" s="627" t="s">
        <v>51</v>
      </c>
      <c r="V1410" s="627" t="s">
        <v>51</v>
      </c>
      <c r="W1410" s="627" t="s">
        <v>51</v>
      </c>
      <c r="X1410" s="627" t="s">
        <v>51</v>
      </c>
      <c r="Y1410" s="89"/>
    </row>
    <row r="1411" ht="22.5" customHeight="1">
      <c r="A1411" s="223"/>
      <c r="B1411" s="125"/>
      <c r="C1411" s="125"/>
      <c r="D1411" s="125"/>
      <c r="E1411" s="125"/>
      <c r="F1411" s="125"/>
      <c r="G1411" s="125"/>
      <c r="H1411" s="125"/>
      <c r="I1411" s="627" t="s">
        <v>51</v>
      </c>
      <c r="J1411" s="125" t="s">
        <v>51</v>
      </c>
      <c r="K1411" s="125" t="s">
        <v>51</v>
      </c>
      <c r="L1411" s="125" t="s">
        <v>51</v>
      </c>
      <c r="M1411" s="125" t="str">
        <f t="shared" si="1"/>
        <v/>
      </c>
      <c r="N1411" s="125" t="str">
        <f t="shared" si="2"/>
        <v/>
      </c>
      <c r="O1411" s="125"/>
      <c r="P1411" s="125"/>
      <c r="Q1411" s="125"/>
      <c r="R1411" s="125"/>
      <c r="S1411" s="628">
        <f t="shared" si="3"/>
        <v>0</v>
      </c>
      <c r="T1411" s="627" t="s">
        <v>51</v>
      </c>
      <c r="U1411" s="627" t="s">
        <v>51</v>
      </c>
      <c r="V1411" s="627" t="s">
        <v>51</v>
      </c>
      <c r="W1411" s="627" t="s">
        <v>51</v>
      </c>
      <c r="X1411" s="627" t="s">
        <v>51</v>
      </c>
      <c r="Y1411" s="89"/>
    </row>
    <row r="1412" ht="22.5" customHeight="1">
      <c r="A1412" s="223"/>
      <c r="B1412" s="125"/>
      <c r="C1412" s="125"/>
      <c r="D1412" s="125"/>
      <c r="E1412" s="125"/>
      <c r="F1412" s="125"/>
      <c r="G1412" s="125"/>
      <c r="H1412" s="125"/>
      <c r="I1412" s="627" t="s">
        <v>51</v>
      </c>
      <c r="J1412" s="125" t="s">
        <v>51</v>
      </c>
      <c r="K1412" s="125" t="s">
        <v>51</v>
      </c>
      <c r="L1412" s="125" t="s">
        <v>51</v>
      </c>
      <c r="M1412" s="125" t="str">
        <f t="shared" si="1"/>
        <v/>
      </c>
      <c r="N1412" s="125" t="str">
        <f t="shared" si="2"/>
        <v/>
      </c>
      <c r="O1412" s="125"/>
      <c r="P1412" s="125"/>
      <c r="Q1412" s="125"/>
      <c r="R1412" s="125"/>
      <c r="S1412" s="628">
        <f t="shared" si="3"/>
        <v>0</v>
      </c>
      <c r="T1412" s="627" t="s">
        <v>51</v>
      </c>
      <c r="U1412" s="627" t="s">
        <v>51</v>
      </c>
      <c r="V1412" s="627" t="s">
        <v>51</v>
      </c>
      <c r="W1412" s="627" t="s">
        <v>51</v>
      </c>
      <c r="X1412" s="627" t="s">
        <v>51</v>
      </c>
      <c r="Y1412" s="89"/>
    </row>
    <row r="1413" ht="22.5" customHeight="1">
      <c r="A1413" s="223"/>
      <c r="B1413" s="125"/>
      <c r="C1413" s="125"/>
      <c r="D1413" s="125"/>
      <c r="E1413" s="125"/>
      <c r="F1413" s="125"/>
      <c r="G1413" s="125"/>
      <c r="H1413" s="125"/>
      <c r="I1413" s="627" t="s">
        <v>51</v>
      </c>
      <c r="J1413" s="125" t="s">
        <v>51</v>
      </c>
      <c r="K1413" s="125" t="s">
        <v>51</v>
      </c>
      <c r="L1413" s="125" t="s">
        <v>51</v>
      </c>
      <c r="M1413" s="125" t="str">
        <f t="shared" si="1"/>
        <v/>
      </c>
      <c r="N1413" s="125" t="str">
        <f t="shared" si="2"/>
        <v/>
      </c>
      <c r="O1413" s="125"/>
      <c r="P1413" s="125"/>
      <c r="Q1413" s="125"/>
      <c r="R1413" s="125"/>
      <c r="S1413" s="628">
        <f t="shared" si="3"/>
        <v>0</v>
      </c>
      <c r="T1413" s="627" t="s">
        <v>51</v>
      </c>
      <c r="U1413" s="627" t="s">
        <v>51</v>
      </c>
      <c r="V1413" s="627" t="s">
        <v>51</v>
      </c>
      <c r="W1413" s="627" t="s">
        <v>51</v>
      </c>
      <c r="X1413" s="627" t="s">
        <v>51</v>
      </c>
      <c r="Y1413" s="89"/>
    </row>
    <row r="1414" ht="22.5" customHeight="1">
      <c r="A1414" s="223"/>
      <c r="B1414" s="125"/>
      <c r="C1414" s="125"/>
      <c r="D1414" s="125"/>
      <c r="E1414" s="125"/>
      <c r="F1414" s="125"/>
      <c r="G1414" s="125"/>
      <c r="H1414" s="125"/>
      <c r="I1414" s="627" t="s">
        <v>51</v>
      </c>
      <c r="J1414" s="125" t="s">
        <v>51</v>
      </c>
      <c r="K1414" s="125" t="s">
        <v>51</v>
      </c>
      <c r="L1414" s="125" t="s">
        <v>51</v>
      </c>
      <c r="M1414" s="125" t="str">
        <f t="shared" si="1"/>
        <v/>
      </c>
      <c r="N1414" s="125" t="str">
        <f t="shared" si="2"/>
        <v/>
      </c>
      <c r="O1414" s="125"/>
      <c r="P1414" s="125"/>
      <c r="Q1414" s="125"/>
      <c r="R1414" s="125"/>
      <c r="S1414" s="628">
        <f t="shared" si="3"/>
        <v>0</v>
      </c>
      <c r="T1414" s="627" t="s">
        <v>51</v>
      </c>
      <c r="U1414" s="627" t="s">
        <v>51</v>
      </c>
      <c r="V1414" s="627" t="s">
        <v>51</v>
      </c>
      <c r="W1414" s="627" t="s">
        <v>51</v>
      </c>
      <c r="X1414" s="627" t="s">
        <v>51</v>
      </c>
      <c r="Y1414" s="89"/>
    </row>
    <row r="1415" ht="22.5" customHeight="1">
      <c r="A1415" s="223"/>
      <c r="B1415" s="125"/>
      <c r="C1415" s="125"/>
      <c r="D1415" s="125"/>
      <c r="E1415" s="125"/>
      <c r="F1415" s="125"/>
      <c r="G1415" s="125"/>
      <c r="H1415" s="125"/>
      <c r="I1415" s="627" t="s">
        <v>51</v>
      </c>
      <c r="J1415" s="125" t="s">
        <v>51</v>
      </c>
      <c r="K1415" s="125" t="s">
        <v>51</v>
      </c>
      <c r="L1415" s="125" t="s">
        <v>51</v>
      </c>
      <c r="M1415" s="125" t="str">
        <f t="shared" si="1"/>
        <v/>
      </c>
      <c r="N1415" s="125" t="str">
        <f t="shared" si="2"/>
        <v/>
      </c>
      <c r="O1415" s="125"/>
      <c r="P1415" s="125"/>
      <c r="Q1415" s="125"/>
      <c r="R1415" s="125"/>
      <c r="S1415" s="628">
        <f t="shared" si="3"/>
        <v>0</v>
      </c>
      <c r="T1415" s="627" t="s">
        <v>51</v>
      </c>
      <c r="U1415" s="627" t="s">
        <v>51</v>
      </c>
      <c r="V1415" s="627" t="s">
        <v>51</v>
      </c>
      <c r="W1415" s="627" t="s">
        <v>51</v>
      </c>
      <c r="X1415" s="627" t="s">
        <v>51</v>
      </c>
      <c r="Y1415" s="89"/>
    </row>
    <row r="1416" ht="22.5" customHeight="1">
      <c r="A1416" s="223"/>
      <c r="B1416" s="125"/>
      <c r="C1416" s="125"/>
      <c r="D1416" s="125"/>
      <c r="E1416" s="125"/>
      <c r="F1416" s="125"/>
      <c r="G1416" s="125"/>
      <c r="H1416" s="125"/>
      <c r="I1416" s="627" t="s">
        <v>51</v>
      </c>
      <c r="J1416" s="125" t="s">
        <v>51</v>
      </c>
      <c r="K1416" s="125" t="s">
        <v>51</v>
      </c>
      <c r="L1416" s="125" t="s">
        <v>51</v>
      </c>
      <c r="M1416" s="125" t="str">
        <f t="shared" si="1"/>
        <v/>
      </c>
      <c r="N1416" s="125" t="str">
        <f t="shared" si="2"/>
        <v/>
      </c>
      <c r="O1416" s="125"/>
      <c r="P1416" s="125"/>
      <c r="Q1416" s="125"/>
      <c r="R1416" s="125"/>
      <c r="S1416" s="628">
        <f t="shared" si="3"/>
        <v>0</v>
      </c>
      <c r="T1416" s="627" t="s">
        <v>51</v>
      </c>
      <c r="U1416" s="627" t="s">
        <v>51</v>
      </c>
      <c r="V1416" s="627" t="s">
        <v>51</v>
      </c>
      <c r="W1416" s="627" t="s">
        <v>51</v>
      </c>
      <c r="X1416" s="627" t="s">
        <v>51</v>
      </c>
      <c r="Y1416" s="89"/>
    </row>
    <row r="1417" ht="22.5" customHeight="1">
      <c r="A1417" s="223"/>
      <c r="B1417" s="125"/>
      <c r="C1417" s="125"/>
      <c r="D1417" s="125"/>
      <c r="E1417" s="125"/>
      <c r="F1417" s="125"/>
      <c r="G1417" s="125"/>
      <c r="H1417" s="125"/>
      <c r="I1417" s="627" t="s">
        <v>51</v>
      </c>
      <c r="J1417" s="125" t="s">
        <v>51</v>
      </c>
      <c r="K1417" s="125" t="s">
        <v>51</v>
      </c>
      <c r="L1417" s="125" t="s">
        <v>51</v>
      </c>
      <c r="M1417" s="125" t="str">
        <f t="shared" si="1"/>
        <v/>
      </c>
      <c r="N1417" s="125" t="str">
        <f t="shared" si="2"/>
        <v/>
      </c>
      <c r="O1417" s="125"/>
      <c r="P1417" s="125"/>
      <c r="Q1417" s="125"/>
      <c r="R1417" s="125"/>
      <c r="S1417" s="628">
        <f t="shared" si="3"/>
        <v>0</v>
      </c>
      <c r="T1417" s="627" t="s">
        <v>51</v>
      </c>
      <c r="U1417" s="627" t="s">
        <v>51</v>
      </c>
      <c r="V1417" s="627" t="s">
        <v>51</v>
      </c>
      <c r="W1417" s="627" t="s">
        <v>51</v>
      </c>
      <c r="X1417" s="627" t="s">
        <v>51</v>
      </c>
      <c r="Y1417" s="89"/>
    </row>
    <row r="1418" ht="22.5" customHeight="1">
      <c r="A1418" s="223"/>
      <c r="B1418" s="125"/>
      <c r="C1418" s="125"/>
      <c r="D1418" s="125"/>
      <c r="E1418" s="125"/>
      <c r="F1418" s="125"/>
      <c r="G1418" s="125"/>
      <c r="H1418" s="125"/>
      <c r="I1418" s="627" t="s">
        <v>51</v>
      </c>
      <c r="J1418" s="125" t="s">
        <v>51</v>
      </c>
      <c r="K1418" s="125" t="s">
        <v>51</v>
      </c>
      <c r="L1418" s="125" t="s">
        <v>51</v>
      </c>
      <c r="M1418" s="125" t="str">
        <f t="shared" si="1"/>
        <v/>
      </c>
      <c r="N1418" s="125" t="str">
        <f t="shared" si="2"/>
        <v/>
      </c>
      <c r="O1418" s="125"/>
      <c r="P1418" s="125"/>
      <c r="Q1418" s="125"/>
      <c r="R1418" s="125"/>
      <c r="S1418" s="628">
        <f t="shared" si="3"/>
        <v>0</v>
      </c>
      <c r="T1418" s="627" t="s">
        <v>51</v>
      </c>
      <c r="U1418" s="627" t="s">
        <v>51</v>
      </c>
      <c r="V1418" s="627" t="s">
        <v>51</v>
      </c>
      <c r="W1418" s="627" t="s">
        <v>51</v>
      </c>
      <c r="X1418" s="627" t="s">
        <v>51</v>
      </c>
      <c r="Y1418" s="89"/>
    </row>
    <row r="1419" ht="22.5" customHeight="1">
      <c r="A1419" s="223"/>
      <c r="B1419" s="125"/>
      <c r="C1419" s="125"/>
      <c r="D1419" s="125"/>
      <c r="E1419" s="125"/>
      <c r="F1419" s="125"/>
      <c r="G1419" s="125"/>
      <c r="H1419" s="125"/>
      <c r="I1419" s="627" t="s">
        <v>51</v>
      </c>
      <c r="J1419" s="125" t="s">
        <v>51</v>
      </c>
      <c r="K1419" s="125" t="s">
        <v>51</v>
      </c>
      <c r="L1419" s="125" t="s">
        <v>51</v>
      </c>
      <c r="M1419" s="125" t="str">
        <f t="shared" si="1"/>
        <v/>
      </c>
      <c r="N1419" s="125" t="str">
        <f t="shared" si="2"/>
        <v/>
      </c>
      <c r="O1419" s="125"/>
      <c r="P1419" s="125"/>
      <c r="Q1419" s="125"/>
      <c r="R1419" s="125"/>
      <c r="S1419" s="628">
        <f t="shared" si="3"/>
        <v>0</v>
      </c>
      <c r="T1419" s="627" t="s">
        <v>51</v>
      </c>
      <c r="U1419" s="627" t="s">
        <v>51</v>
      </c>
      <c r="V1419" s="627" t="s">
        <v>51</v>
      </c>
      <c r="W1419" s="627" t="s">
        <v>51</v>
      </c>
      <c r="X1419" s="627" t="s">
        <v>51</v>
      </c>
      <c r="Y1419" s="89"/>
    </row>
    <row r="1420" ht="22.5" customHeight="1">
      <c r="A1420" s="223"/>
      <c r="B1420" s="125"/>
      <c r="C1420" s="125"/>
      <c r="D1420" s="125"/>
      <c r="E1420" s="125"/>
      <c r="F1420" s="125"/>
      <c r="G1420" s="125"/>
      <c r="H1420" s="125"/>
      <c r="I1420" s="627" t="s">
        <v>51</v>
      </c>
      <c r="J1420" s="125" t="s">
        <v>51</v>
      </c>
      <c r="K1420" s="125" t="s">
        <v>51</v>
      </c>
      <c r="L1420" s="125" t="s">
        <v>51</v>
      </c>
      <c r="M1420" s="125" t="str">
        <f t="shared" si="1"/>
        <v/>
      </c>
      <c r="N1420" s="125" t="str">
        <f t="shared" si="2"/>
        <v/>
      </c>
      <c r="O1420" s="125"/>
      <c r="P1420" s="125"/>
      <c r="Q1420" s="125"/>
      <c r="R1420" s="125"/>
      <c r="S1420" s="628">
        <f t="shared" si="3"/>
        <v>0</v>
      </c>
      <c r="T1420" s="627" t="s">
        <v>51</v>
      </c>
      <c r="U1420" s="627" t="s">
        <v>51</v>
      </c>
      <c r="V1420" s="627" t="s">
        <v>51</v>
      </c>
      <c r="W1420" s="627" t="s">
        <v>51</v>
      </c>
      <c r="X1420" s="627" t="s">
        <v>51</v>
      </c>
      <c r="Y1420" s="89"/>
    </row>
    <row r="1421" ht="22.5" customHeight="1">
      <c r="A1421" s="223"/>
      <c r="B1421" s="125"/>
      <c r="C1421" s="125"/>
      <c r="D1421" s="125"/>
      <c r="E1421" s="125"/>
      <c r="F1421" s="125"/>
      <c r="G1421" s="125"/>
      <c r="H1421" s="125"/>
      <c r="I1421" s="627" t="s">
        <v>51</v>
      </c>
      <c r="J1421" s="125" t="s">
        <v>51</v>
      </c>
      <c r="K1421" s="125" t="s">
        <v>51</v>
      </c>
      <c r="L1421" s="125" t="s">
        <v>51</v>
      </c>
      <c r="M1421" s="125" t="str">
        <f t="shared" si="1"/>
        <v/>
      </c>
      <c r="N1421" s="125" t="str">
        <f t="shared" si="2"/>
        <v/>
      </c>
      <c r="O1421" s="125"/>
      <c r="P1421" s="125"/>
      <c r="Q1421" s="125"/>
      <c r="R1421" s="125"/>
      <c r="S1421" s="628">
        <f t="shared" si="3"/>
        <v>0</v>
      </c>
      <c r="T1421" s="627" t="s">
        <v>51</v>
      </c>
      <c r="U1421" s="627" t="s">
        <v>51</v>
      </c>
      <c r="V1421" s="627" t="s">
        <v>51</v>
      </c>
      <c r="W1421" s="627" t="s">
        <v>51</v>
      </c>
      <c r="X1421" s="627" t="s">
        <v>51</v>
      </c>
      <c r="Y1421" s="89"/>
    </row>
    <row r="1422" ht="22.5" customHeight="1">
      <c r="A1422" s="223"/>
      <c r="B1422" s="125"/>
      <c r="C1422" s="125"/>
      <c r="D1422" s="125"/>
      <c r="E1422" s="125"/>
      <c r="F1422" s="125"/>
      <c r="G1422" s="125"/>
      <c r="H1422" s="125"/>
      <c r="I1422" s="627" t="s">
        <v>51</v>
      </c>
      <c r="J1422" s="125" t="s">
        <v>51</v>
      </c>
      <c r="K1422" s="125" t="s">
        <v>51</v>
      </c>
      <c r="L1422" s="125" t="s">
        <v>51</v>
      </c>
      <c r="M1422" s="125" t="str">
        <f t="shared" si="1"/>
        <v/>
      </c>
      <c r="N1422" s="125" t="str">
        <f t="shared" si="2"/>
        <v/>
      </c>
      <c r="O1422" s="125"/>
      <c r="P1422" s="125"/>
      <c r="Q1422" s="125"/>
      <c r="R1422" s="125"/>
      <c r="S1422" s="628">
        <f t="shared" si="3"/>
        <v>0</v>
      </c>
      <c r="T1422" s="627" t="s">
        <v>51</v>
      </c>
      <c r="U1422" s="627" t="s">
        <v>51</v>
      </c>
      <c r="V1422" s="627" t="s">
        <v>51</v>
      </c>
      <c r="W1422" s="627" t="s">
        <v>51</v>
      </c>
      <c r="X1422" s="627" t="s">
        <v>51</v>
      </c>
      <c r="Y1422" s="89"/>
    </row>
    <row r="1423" ht="22.5" customHeight="1">
      <c r="A1423" s="223"/>
      <c r="B1423" s="125"/>
      <c r="C1423" s="125"/>
      <c r="D1423" s="125"/>
      <c r="E1423" s="125"/>
      <c r="F1423" s="125"/>
      <c r="G1423" s="125"/>
      <c r="H1423" s="125"/>
      <c r="I1423" s="627" t="s">
        <v>51</v>
      </c>
      <c r="J1423" s="125" t="s">
        <v>51</v>
      </c>
      <c r="K1423" s="125" t="s">
        <v>51</v>
      </c>
      <c r="L1423" s="125" t="s">
        <v>51</v>
      </c>
      <c r="M1423" s="125" t="str">
        <f t="shared" si="1"/>
        <v/>
      </c>
      <c r="N1423" s="125" t="str">
        <f t="shared" si="2"/>
        <v/>
      </c>
      <c r="O1423" s="125"/>
      <c r="P1423" s="125"/>
      <c r="Q1423" s="125"/>
      <c r="R1423" s="125"/>
      <c r="S1423" s="628">
        <f t="shared" si="3"/>
        <v>0</v>
      </c>
      <c r="T1423" s="627" t="s">
        <v>51</v>
      </c>
      <c r="U1423" s="627" t="s">
        <v>51</v>
      </c>
      <c r="V1423" s="627" t="s">
        <v>51</v>
      </c>
      <c r="W1423" s="627" t="s">
        <v>51</v>
      </c>
      <c r="X1423" s="627" t="s">
        <v>51</v>
      </c>
      <c r="Y1423" s="89"/>
    </row>
    <row r="1424" ht="22.5" customHeight="1">
      <c r="A1424" s="223"/>
      <c r="B1424" s="125"/>
      <c r="C1424" s="125"/>
      <c r="D1424" s="125"/>
      <c r="E1424" s="125"/>
      <c r="F1424" s="125"/>
      <c r="G1424" s="125"/>
      <c r="H1424" s="125"/>
      <c r="I1424" s="627" t="s">
        <v>51</v>
      </c>
      <c r="J1424" s="125" t="s">
        <v>51</v>
      </c>
      <c r="K1424" s="125" t="s">
        <v>51</v>
      </c>
      <c r="L1424" s="125" t="s">
        <v>51</v>
      </c>
      <c r="M1424" s="125" t="str">
        <f t="shared" si="1"/>
        <v/>
      </c>
      <c r="N1424" s="125" t="str">
        <f t="shared" si="2"/>
        <v/>
      </c>
      <c r="O1424" s="125"/>
      <c r="P1424" s="125"/>
      <c r="Q1424" s="125"/>
      <c r="R1424" s="125"/>
      <c r="S1424" s="628">
        <f t="shared" si="3"/>
        <v>0</v>
      </c>
      <c r="T1424" s="627" t="s">
        <v>51</v>
      </c>
      <c r="U1424" s="627" t="s">
        <v>51</v>
      </c>
      <c r="V1424" s="627" t="s">
        <v>51</v>
      </c>
      <c r="W1424" s="627" t="s">
        <v>51</v>
      </c>
      <c r="X1424" s="627" t="s">
        <v>51</v>
      </c>
      <c r="Y1424" s="89"/>
    </row>
    <row r="1425" ht="22.5" customHeight="1">
      <c r="A1425" s="223"/>
      <c r="B1425" s="125"/>
      <c r="C1425" s="125"/>
      <c r="D1425" s="125"/>
      <c r="E1425" s="125"/>
      <c r="F1425" s="125"/>
      <c r="G1425" s="125"/>
      <c r="H1425" s="125"/>
      <c r="I1425" s="627" t="s">
        <v>51</v>
      </c>
      <c r="J1425" s="125" t="s">
        <v>51</v>
      </c>
      <c r="K1425" s="125" t="s">
        <v>51</v>
      </c>
      <c r="L1425" s="125" t="s">
        <v>51</v>
      </c>
      <c r="M1425" s="125" t="str">
        <f t="shared" si="1"/>
        <v/>
      </c>
      <c r="N1425" s="125" t="str">
        <f t="shared" si="2"/>
        <v/>
      </c>
      <c r="O1425" s="125"/>
      <c r="P1425" s="125"/>
      <c r="Q1425" s="125"/>
      <c r="R1425" s="125"/>
      <c r="S1425" s="628">
        <f t="shared" si="3"/>
        <v>0</v>
      </c>
      <c r="T1425" s="627" t="s">
        <v>51</v>
      </c>
      <c r="U1425" s="627" t="s">
        <v>51</v>
      </c>
      <c r="V1425" s="627" t="s">
        <v>51</v>
      </c>
      <c r="W1425" s="627" t="s">
        <v>51</v>
      </c>
      <c r="X1425" s="627" t="s">
        <v>51</v>
      </c>
      <c r="Y1425" s="89"/>
    </row>
    <row r="1426" ht="22.5" customHeight="1">
      <c r="A1426" s="223"/>
      <c r="B1426" s="125"/>
      <c r="C1426" s="125"/>
      <c r="D1426" s="125"/>
      <c r="E1426" s="125"/>
      <c r="F1426" s="125"/>
      <c r="G1426" s="125"/>
      <c r="H1426" s="125"/>
      <c r="I1426" s="627" t="s">
        <v>51</v>
      </c>
      <c r="J1426" s="125" t="s">
        <v>51</v>
      </c>
      <c r="K1426" s="125" t="s">
        <v>51</v>
      </c>
      <c r="L1426" s="125" t="s">
        <v>51</v>
      </c>
      <c r="M1426" s="125" t="str">
        <f t="shared" si="1"/>
        <v/>
      </c>
      <c r="N1426" s="125" t="str">
        <f t="shared" si="2"/>
        <v/>
      </c>
      <c r="O1426" s="125"/>
      <c r="P1426" s="125"/>
      <c r="Q1426" s="125"/>
      <c r="R1426" s="125"/>
      <c r="S1426" s="628">
        <f t="shared" si="3"/>
        <v>0</v>
      </c>
      <c r="T1426" s="627" t="s">
        <v>51</v>
      </c>
      <c r="U1426" s="627" t="s">
        <v>51</v>
      </c>
      <c r="V1426" s="627" t="s">
        <v>51</v>
      </c>
      <c r="W1426" s="627" t="s">
        <v>51</v>
      </c>
      <c r="X1426" s="627" t="s">
        <v>51</v>
      </c>
      <c r="Y1426" s="89"/>
    </row>
    <row r="1427" ht="22.5" customHeight="1">
      <c r="A1427" s="223"/>
      <c r="B1427" s="125"/>
      <c r="C1427" s="125"/>
      <c r="D1427" s="125"/>
      <c r="E1427" s="125"/>
      <c r="F1427" s="125"/>
      <c r="G1427" s="125"/>
      <c r="H1427" s="125"/>
      <c r="I1427" s="627" t="s">
        <v>51</v>
      </c>
      <c r="J1427" s="125" t="s">
        <v>51</v>
      </c>
      <c r="K1427" s="125" t="s">
        <v>51</v>
      </c>
      <c r="L1427" s="125" t="s">
        <v>51</v>
      </c>
      <c r="M1427" s="125" t="str">
        <f t="shared" si="1"/>
        <v/>
      </c>
      <c r="N1427" s="125" t="str">
        <f t="shared" si="2"/>
        <v/>
      </c>
      <c r="O1427" s="125"/>
      <c r="P1427" s="125"/>
      <c r="Q1427" s="125"/>
      <c r="R1427" s="125"/>
      <c r="S1427" s="628">
        <f t="shared" si="3"/>
        <v>0</v>
      </c>
      <c r="T1427" s="627" t="s">
        <v>51</v>
      </c>
      <c r="U1427" s="627" t="s">
        <v>51</v>
      </c>
      <c r="V1427" s="627" t="s">
        <v>51</v>
      </c>
      <c r="W1427" s="627" t="s">
        <v>51</v>
      </c>
      <c r="X1427" s="627" t="s">
        <v>51</v>
      </c>
      <c r="Y1427" s="89"/>
    </row>
    <row r="1428" ht="22.5" customHeight="1">
      <c r="A1428" s="223"/>
      <c r="B1428" s="125"/>
      <c r="C1428" s="125"/>
      <c r="D1428" s="125"/>
      <c r="E1428" s="125"/>
      <c r="F1428" s="125"/>
      <c r="G1428" s="125"/>
      <c r="H1428" s="125"/>
      <c r="I1428" s="627" t="s">
        <v>51</v>
      </c>
      <c r="J1428" s="125" t="s">
        <v>51</v>
      </c>
      <c r="K1428" s="125" t="s">
        <v>51</v>
      </c>
      <c r="L1428" s="125" t="s">
        <v>51</v>
      </c>
      <c r="M1428" s="125" t="str">
        <f t="shared" si="1"/>
        <v/>
      </c>
      <c r="N1428" s="125" t="str">
        <f t="shared" si="2"/>
        <v/>
      </c>
      <c r="O1428" s="125"/>
      <c r="P1428" s="125"/>
      <c r="Q1428" s="125"/>
      <c r="R1428" s="125"/>
      <c r="S1428" s="628">
        <f t="shared" si="3"/>
        <v>0</v>
      </c>
      <c r="T1428" s="627" t="s">
        <v>51</v>
      </c>
      <c r="U1428" s="627" t="s">
        <v>51</v>
      </c>
      <c r="V1428" s="627" t="s">
        <v>51</v>
      </c>
      <c r="W1428" s="627" t="s">
        <v>51</v>
      </c>
      <c r="X1428" s="627" t="s">
        <v>51</v>
      </c>
      <c r="Y1428" s="89"/>
    </row>
    <row r="1429" ht="22.5" customHeight="1">
      <c r="A1429" s="223"/>
      <c r="B1429" s="125"/>
      <c r="C1429" s="125"/>
      <c r="D1429" s="125"/>
      <c r="E1429" s="125"/>
      <c r="F1429" s="125"/>
      <c r="G1429" s="125"/>
      <c r="H1429" s="125"/>
      <c r="I1429" s="627" t="s">
        <v>51</v>
      </c>
      <c r="J1429" s="125" t="s">
        <v>51</v>
      </c>
      <c r="K1429" s="125" t="s">
        <v>51</v>
      </c>
      <c r="L1429" s="125" t="s">
        <v>51</v>
      </c>
      <c r="M1429" s="125" t="str">
        <f t="shared" si="1"/>
        <v/>
      </c>
      <c r="N1429" s="125" t="str">
        <f t="shared" si="2"/>
        <v/>
      </c>
      <c r="O1429" s="125"/>
      <c r="P1429" s="125"/>
      <c r="Q1429" s="125"/>
      <c r="R1429" s="125"/>
      <c r="S1429" s="628">
        <f t="shared" si="3"/>
        <v>0</v>
      </c>
      <c r="T1429" s="627" t="s">
        <v>51</v>
      </c>
      <c r="U1429" s="627" t="s">
        <v>51</v>
      </c>
      <c r="V1429" s="627" t="s">
        <v>51</v>
      </c>
      <c r="W1429" s="627" t="s">
        <v>51</v>
      </c>
      <c r="X1429" s="627" t="s">
        <v>51</v>
      </c>
      <c r="Y1429" s="89"/>
    </row>
    <row r="1430" ht="22.5" customHeight="1">
      <c r="A1430" s="223"/>
      <c r="B1430" s="125"/>
      <c r="C1430" s="125"/>
      <c r="D1430" s="125"/>
      <c r="E1430" s="125"/>
      <c r="F1430" s="125"/>
      <c r="G1430" s="125"/>
      <c r="H1430" s="125"/>
      <c r="I1430" s="627" t="s">
        <v>51</v>
      </c>
      <c r="J1430" s="125" t="s">
        <v>51</v>
      </c>
      <c r="K1430" s="125" t="s">
        <v>51</v>
      </c>
      <c r="L1430" s="125" t="s">
        <v>51</v>
      </c>
      <c r="M1430" s="125" t="str">
        <f t="shared" si="1"/>
        <v/>
      </c>
      <c r="N1430" s="125" t="str">
        <f t="shared" si="2"/>
        <v/>
      </c>
      <c r="O1430" s="125"/>
      <c r="P1430" s="125"/>
      <c r="Q1430" s="125"/>
      <c r="R1430" s="125"/>
      <c r="S1430" s="628">
        <f t="shared" si="3"/>
        <v>0</v>
      </c>
      <c r="T1430" s="627" t="s">
        <v>51</v>
      </c>
      <c r="U1430" s="627" t="s">
        <v>51</v>
      </c>
      <c r="V1430" s="627" t="s">
        <v>51</v>
      </c>
      <c r="W1430" s="627" t="s">
        <v>51</v>
      </c>
      <c r="X1430" s="627" t="s">
        <v>51</v>
      </c>
      <c r="Y1430" s="89"/>
    </row>
    <row r="1431" ht="22.5" customHeight="1">
      <c r="A1431" s="223"/>
      <c r="B1431" s="125"/>
      <c r="C1431" s="125"/>
      <c r="D1431" s="125"/>
      <c r="E1431" s="125"/>
      <c r="F1431" s="125"/>
      <c r="G1431" s="125"/>
      <c r="H1431" s="125"/>
      <c r="I1431" s="627" t="s">
        <v>51</v>
      </c>
      <c r="J1431" s="125" t="s">
        <v>51</v>
      </c>
      <c r="K1431" s="125" t="s">
        <v>51</v>
      </c>
      <c r="L1431" s="125" t="s">
        <v>51</v>
      </c>
      <c r="M1431" s="125" t="str">
        <f t="shared" si="1"/>
        <v/>
      </c>
      <c r="N1431" s="125" t="str">
        <f t="shared" si="2"/>
        <v/>
      </c>
      <c r="O1431" s="125"/>
      <c r="P1431" s="125"/>
      <c r="Q1431" s="125"/>
      <c r="R1431" s="125"/>
      <c r="S1431" s="628">
        <f t="shared" si="3"/>
        <v>0</v>
      </c>
      <c r="T1431" s="627" t="s">
        <v>51</v>
      </c>
      <c r="U1431" s="627" t="s">
        <v>51</v>
      </c>
      <c r="V1431" s="627" t="s">
        <v>51</v>
      </c>
      <c r="W1431" s="627" t="s">
        <v>51</v>
      </c>
      <c r="X1431" s="627" t="s">
        <v>51</v>
      </c>
      <c r="Y1431" s="89"/>
    </row>
    <row r="1432" ht="22.5" customHeight="1">
      <c r="A1432" s="223"/>
      <c r="B1432" s="125"/>
      <c r="C1432" s="125"/>
      <c r="D1432" s="125"/>
      <c r="E1432" s="125"/>
      <c r="F1432" s="125"/>
      <c r="G1432" s="125"/>
      <c r="H1432" s="125"/>
      <c r="I1432" s="627" t="s">
        <v>51</v>
      </c>
      <c r="J1432" s="125" t="s">
        <v>51</v>
      </c>
      <c r="K1432" s="125" t="s">
        <v>51</v>
      </c>
      <c r="L1432" s="125" t="s">
        <v>51</v>
      </c>
      <c r="M1432" s="125" t="str">
        <f t="shared" si="1"/>
        <v/>
      </c>
      <c r="N1432" s="125" t="str">
        <f t="shared" si="2"/>
        <v/>
      </c>
      <c r="O1432" s="125"/>
      <c r="P1432" s="125"/>
      <c r="Q1432" s="125"/>
      <c r="R1432" s="125"/>
      <c r="S1432" s="628">
        <f t="shared" si="3"/>
        <v>0</v>
      </c>
      <c r="T1432" s="627" t="s">
        <v>51</v>
      </c>
      <c r="U1432" s="627" t="s">
        <v>51</v>
      </c>
      <c r="V1432" s="627" t="s">
        <v>51</v>
      </c>
      <c r="W1432" s="627" t="s">
        <v>51</v>
      </c>
      <c r="X1432" s="627" t="s">
        <v>51</v>
      </c>
      <c r="Y1432" s="89"/>
    </row>
    <row r="1433" ht="22.5" customHeight="1">
      <c r="A1433" s="223"/>
      <c r="B1433" s="125"/>
      <c r="C1433" s="125"/>
      <c r="D1433" s="125"/>
      <c r="E1433" s="125"/>
      <c r="F1433" s="125"/>
      <c r="G1433" s="125"/>
      <c r="H1433" s="125"/>
      <c r="I1433" s="627" t="s">
        <v>51</v>
      </c>
      <c r="J1433" s="125" t="s">
        <v>51</v>
      </c>
      <c r="K1433" s="125" t="s">
        <v>51</v>
      </c>
      <c r="L1433" s="125" t="s">
        <v>51</v>
      </c>
      <c r="M1433" s="125" t="str">
        <f t="shared" si="1"/>
        <v/>
      </c>
      <c r="N1433" s="125" t="str">
        <f t="shared" si="2"/>
        <v/>
      </c>
      <c r="O1433" s="125"/>
      <c r="P1433" s="125"/>
      <c r="Q1433" s="125"/>
      <c r="R1433" s="125"/>
      <c r="S1433" s="628">
        <f t="shared" si="3"/>
        <v>0</v>
      </c>
      <c r="T1433" s="627" t="s">
        <v>51</v>
      </c>
      <c r="U1433" s="627" t="s">
        <v>51</v>
      </c>
      <c r="V1433" s="627" t="s">
        <v>51</v>
      </c>
      <c r="W1433" s="627" t="s">
        <v>51</v>
      </c>
      <c r="X1433" s="627" t="s">
        <v>51</v>
      </c>
      <c r="Y1433" s="89"/>
    </row>
    <row r="1434" ht="22.5" customHeight="1">
      <c r="A1434" s="223"/>
      <c r="B1434" s="125"/>
      <c r="C1434" s="125"/>
      <c r="D1434" s="125"/>
      <c r="E1434" s="125"/>
      <c r="F1434" s="125"/>
      <c r="G1434" s="125"/>
      <c r="H1434" s="125"/>
      <c r="I1434" s="627" t="s">
        <v>51</v>
      </c>
      <c r="J1434" s="125" t="s">
        <v>51</v>
      </c>
      <c r="K1434" s="125" t="s">
        <v>51</v>
      </c>
      <c r="L1434" s="125" t="s">
        <v>51</v>
      </c>
      <c r="M1434" s="125" t="str">
        <f t="shared" si="1"/>
        <v/>
      </c>
      <c r="N1434" s="125" t="str">
        <f t="shared" si="2"/>
        <v/>
      </c>
      <c r="O1434" s="125"/>
      <c r="P1434" s="125"/>
      <c r="Q1434" s="125"/>
      <c r="R1434" s="125"/>
      <c r="S1434" s="628">
        <f t="shared" si="3"/>
        <v>0</v>
      </c>
      <c r="T1434" s="627" t="s">
        <v>51</v>
      </c>
      <c r="U1434" s="627" t="s">
        <v>51</v>
      </c>
      <c r="V1434" s="627" t="s">
        <v>51</v>
      </c>
      <c r="W1434" s="627" t="s">
        <v>51</v>
      </c>
      <c r="X1434" s="627" t="s">
        <v>51</v>
      </c>
      <c r="Y1434" s="89"/>
    </row>
    <row r="1435" ht="22.5" customHeight="1">
      <c r="A1435" s="223"/>
      <c r="B1435" s="125"/>
      <c r="C1435" s="125"/>
      <c r="D1435" s="125"/>
      <c r="E1435" s="125"/>
      <c r="F1435" s="125"/>
      <c r="G1435" s="125"/>
      <c r="H1435" s="125"/>
      <c r="I1435" s="627" t="s">
        <v>51</v>
      </c>
      <c r="J1435" s="125" t="s">
        <v>51</v>
      </c>
      <c r="K1435" s="125" t="s">
        <v>51</v>
      </c>
      <c r="L1435" s="125" t="s">
        <v>51</v>
      </c>
      <c r="M1435" s="125" t="str">
        <f t="shared" si="1"/>
        <v/>
      </c>
      <c r="N1435" s="125" t="str">
        <f t="shared" si="2"/>
        <v/>
      </c>
      <c r="O1435" s="125"/>
      <c r="P1435" s="125"/>
      <c r="Q1435" s="125"/>
      <c r="R1435" s="125"/>
      <c r="S1435" s="628">
        <f t="shared" si="3"/>
        <v>0</v>
      </c>
      <c r="T1435" s="627" t="s">
        <v>51</v>
      </c>
      <c r="U1435" s="627" t="s">
        <v>51</v>
      </c>
      <c r="V1435" s="627" t="s">
        <v>51</v>
      </c>
      <c r="W1435" s="627" t="s">
        <v>51</v>
      </c>
      <c r="X1435" s="627" t="s">
        <v>51</v>
      </c>
      <c r="Y1435" s="89"/>
    </row>
    <row r="1436" ht="22.5" customHeight="1">
      <c r="A1436" s="223"/>
      <c r="B1436" s="125"/>
      <c r="C1436" s="125"/>
      <c r="D1436" s="125"/>
      <c r="E1436" s="125"/>
      <c r="F1436" s="125"/>
      <c r="G1436" s="125"/>
      <c r="H1436" s="125"/>
      <c r="I1436" s="627" t="s">
        <v>51</v>
      </c>
      <c r="J1436" s="125" t="s">
        <v>51</v>
      </c>
      <c r="K1436" s="125" t="s">
        <v>51</v>
      </c>
      <c r="L1436" s="125" t="s">
        <v>51</v>
      </c>
      <c r="M1436" s="125" t="str">
        <f t="shared" si="1"/>
        <v/>
      </c>
      <c r="N1436" s="125" t="str">
        <f t="shared" si="2"/>
        <v/>
      </c>
      <c r="O1436" s="125"/>
      <c r="P1436" s="125"/>
      <c r="Q1436" s="125"/>
      <c r="R1436" s="125"/>
      <c r="S1436" s="628">
        <f t="shared" si="3"/>
        <v>0</v>
      </c>
      <c r="T1436" s="627" t="s">
        <v>51</v>
      </c>
      <c r="U1436" s="627" t="s">
        <v>51</v>
      </c>
      <c r="V1436" s="627" t="s">
        <v>51</v>
      </c>
      <c r="W1436" s="627" t="s">
        <v>51</v>
      </c>
      <c r="X1436" s="627" t="s">
        <v>51</v>
      </c>
      <c r="Y1436" s="89"/>
    </row>
    <row r="1437" ht="22.5" customHeight="1">
      <c r="A1437" s="223"/>
      <c r="B1437" s="125"/>
      <c r="C1437" s="125"/>
      <c r="D1437" s="125"/>
      <c r="E1437" s="125"/>
      <c r="F1437" s="125"/>
      <c r="G1437" s="125"/>
      <c r="H1437" s="125"/>
      <c r="I1437" s="627" t="s">
        <v>51</v>
      </c>
      <c r="J1437" s="125" t="s">
        <v>51</v>
      </c>
      <c r="K1437" s="125" t="s">
        <v>51</v>
      </c>
      <c r="L1437" s="125" t="s">
        <v>51</v>
      </c>
      <c r="M1437" s="125" t="str">
        <f t="shared" si="1"/>
        <v/>
      </c>
      <c r="N1437" s="125" t="str">
        <f t="shared" si="2"/>
        <v/>
      </c>
      <c r="O1437" s="125"/>
      <c r="P1437" s="125"/>
      <c r="Q1437" s="125"/>
      <c r="R1437" s="125"/>
      <c r="S1437" s="628">
        <f t="shared" si="3"/>
        <v>0</v>
      </c>
      <c r="T1437" s="627" t="s">
        <v>51</v>
      </c>
      <c r="U1437" s="627" t="s">
        <v>51</v>
      </c>
      <c r="V1437" s="627" t="s">
        <v>51</v>
      </c>
      <c r="W1437" s="627" t="s">
        <v>51</v>
      </c>
      <c r="X1437" s="627" t="s">
        <v>51</v>
      </c>
      <c r="Y1437" s="89"/>
    </row>
    <row r="1438" ht="22.5" customHeight="1">
      <c r="A1438" s="223"/>
      <c r="B1438" s="125"/>
      <c r="C1438" s="125"/>
      <c r="D1438" s="125"/>
      <c r="E1438" s="125"/>
      <c r="F1438" s="125"/>
      <c r="G1438" s="125"/>
      <c r="H1438" s="125"/>
      <c r="I1438" s="627" t="s">
        <v>51</v>
      </c>
      <c r="J1438" s="125" t="s">
        <v>51</v>
      </c>
      <c r="K1438" s="125" t="s">
        <v>51</v>
      </c>
      <c r="L1438" s="125" t="s">
        <v>51</v>
      </c>
      <c r="M1438" s="125" t="str">
        <f t="shared" si="1"/>
        <v/>
      </c>
      <c r="N1438" s="125" t="str">
        <f t="shared" si="2"/>
        <v/>
      </c>
      <c r="O1438" s="125"/>
      <c r="P1438" s="125"/>
      <c r="Q1438" s="125"/>
      <c r="R1438" s="125"/>
      <c r="S1438" s="628">
        <f t="shared" si="3"/>
        <v>0</v>
      </c>
      <c r="T1438" s="627" t="s">
        <v>51</v>
      </c>
      <c r="U1438" s="627" t="s">
        <v>51</v>
      </c>
      <c r="V1438" s="627" t="s">
        <v>51</v>
      </c>
      <c r="W1438" s="627" t="s">
        <v>51</v>
      </c>
      <c r="X1438" s="627" t="s">
        <v>51</v>
      </c>
      <c r="Y1438" s="89"/>
    </row>
    <row r="1439" ht="22.5" customHeight="1">
      <c r="A1439" s="223"/>
      <c r="B1439" s="125"/>
      <c r="C1439" s="125"/>
      <c r="D1439" s="125"/>
      <c r="E1439" s="125"/>
      <c r="F1439" s="125"/>
      <c r="G1439" s="125"/>
      <c r="H1439" s="125"/>
      <c r="I1439" s="627" t="s">
        <v>51</v>
      </c>
      <c r="J1439" s="125" t="s">
        <v>51</v>
      </c>
      <c r="K1439" s="125" t="s">
        <v>51</v>
      </c>
      <c r="L1439" s="125" t="s">
        <v>51</v>
      </c>
      <c r="M1439" s="125" t="str">
        <f t="shared" si="1"/>
        <v/>
      </c>
      <c r="N1439" s="125" t="str">
        <f t="shared" si="2"/>
        <v/>
      </c>
      <c r="O1439" s="125"/>
      <c r="P1439" s="125"/>
      <c r="Q1439" s="125"/>
      <c r="R1439" s="125"/>
      <c r="S1439" s="628">
        <f t="shared" si="3"/>
        <v>0</v>
      </c>
      <c r="T1439" s="627" t="s">
        <v>51</v>
      </c>
      <c r="U1439" s="627" t="s">
        <v>51</v>
      </c>
      <c r="V1439" s="627" t="s">
        <v>51</v>
      </c>
      <c r="W1439" s="627" t="s">
        <v>51</v>
      </c>
      <c r="X1439" s="627" t="s">
        <v>51</v>
      </c>
      <c r="Y1439" s="89"/>
    </row>
    <row r="1440" ht="22.5" customHeight="1">
      <c r="A1440" s="223"/>
      <c r="B1440" s="125"/>
      <c r="C1440" s="125"/>
      <c r="D1440" s="125"/>
      <c r="E1440" s="125"/>
      <c r="F1440" s="125"/>
      <c r="G1440" s="125"/>
      <c r="H1440" s="125"/>
      <c r="I1440" s="627" t="s">
        <v>51</v>
      </c>
      <c r="J1440" s="125" t="s">
        <v>51</v>
      </c>
      <c r="K1440" s="125" t="s">
        <v>51</v>
      </c>
      <c r="L1440" s="125" t="s">
        <v>51</v>
      </c>
      <c r="M1440" s="125" t="str">
        <f t="shared" si="1"/>
        <v/>
      </c>
      <c r="N1440" s="125" t="str">
        <f t="shared" si="2"/>
        <v/>
      </c>
      <c r="O1440" s="125"/>
      <c r="P1440" s="125"/>
      <c r="Q1440" s="125"/>
      <c r="R1440" s="125"/>
      <c r="S1440" s="628">
        <f t="shared" si="3"/>
        <v>0</v>
      </c>
      <c r="T1440" s="627" t="s">
        <v>51</v>
      </c>
      <c r="U1440" s="627" t="s">
        <v>51</v>
      </c>
      <c r="V1440" s="627" t="s">
        <v>51</v>
      </c>
      <c r="W1440" s="627" t="s">
        <v>51</v>
      </c>
      <c r="X1440" s="627" t="s">
        <v>51</v>
      </c>
      <c r="Y1440" s="89"/>
    </row>
    <row r="1441" ht="22.5" customHeight="1">
      <c r="A1441" s="223"/>
      <c r="B1441" s="125"/>
      <c r="C1441" s="125"/>
      <c r="D1441" s="125"/>
      <c r="E1441" s="125"/>
      <c r="F1441" s="125"/>
      <c r="G1441" s="125"/>
      <c r="H1441" s="125"/>
      <c r="I1441" s="627" t="s">
        <v>51</v>
      </c>
      <c r="J1441" s="125" t="s">
        <v>51</v>
      </c>
      <c r="K1441" s="125" t="s">
        <v>51</v>
      </c>
      <c r="L1441" s="125" t="s">
        <v>51</v>
      </c>
      <c r="M1441" s="125" t="str">
        <f t="shared" si="1"/>
        <v/>
      </c>
      <c r="N1441" s="125" t="str">
        <f t="shared" si="2"/>
        <v/>
      </c>
      <c r="O1441" s="125"/>
      <c r="P1441" s="125"/>
      <c r="Q1441" s="125"/>
      <c r="R1441" s="125"/>
      <c r="S1441" s="628">
        <f t="shared" si="3"/>
        <v>0</v>
      </c>
      <c r="T1441" s="627" t="s">
        <v>51</v>
      </c>
      <c r="U1441" s="627" t="s">
        <v>51</v>
      </c>
      <c r="V1441" s="627" t="s">
        <v>51</v>
      </c>
      <c r="W1441" s="627" t="s">
        <v>51</v>
      </c>
      <c r="X1441" s="627" t="s">
        <v>51</v>
      </c>
      <c r="Y1441" s="89"/>
    </row>
    <row r="1442" ht="22.5" customHeight="1">
      <c r="A1442" s="223"/>
      <c r="B1442" s="125"/>
      <c r="C1442" s="125"/>
      <c r="D1442" s="125"/>
      <c r="E1442" s="125"/>
      <c r="F1442" s="125"/>
      <c r="G1442" s="125"/>
      <c r="H1442" s="125"/>
      <c r="I1442" s="627" t="s">
        <v>51</v>
      </c>
      <c r="J1442" s="125" t="s">
        <v>51</v>
      </c>
      <c r="K1442" s="125" t="s">
        <v>51</v>
      </c>
      <c r="L1442" s="125" t="s">
        <v>51</v>
      </c>
      <c r="M1442" s="125" t="str">
        <f t="shared" si="1"/>
        <v/>
      </c>
      <c r="N1442" s="125" t="str">
        <f t="shared" si="2"/>
        <v/>
      </c>
      <c r="O1442" s="125"/>
      <c r="P1442" s="125"/>
      <c r="Q1442" s="125"/>
      <c r="R1442" s="125"/>
      <c r="S1442" s="628">
        <f t="shared" si="3"/>
        <v>0</v>
      </c>
      <c r="T1442" s="627" t="s">
        <v>51</v>
      </c>
      <c r="U1442" s="627" t="s">
        <v>51</v>
      </c>
      <c r="V1442" s="627" t="s">
        <v>51</v>
      </c>
      <c r="W1442" s="627" t="s">
        <v>51</v>
      </c>
      <c r="X1442" s="627" t="s">
        <v>51</v>
      </c>
      <c r="Y1442" s="89"/>
    </row>
    <row r="1443" ht="22.5" customHeight="1">
      <c r="A1443" s="223"/>
      <c r="B1443" s="125"/>
      <c r="C1443" s="125"/>
      <c r="D1443" s="125"/>
      <c r="E1443" s="125"/>
      <c r="F1443" s="125"/>
      <c r="G1443" s="125"/>
      <c r="H1443" s="125"/>
      <c r="I1443" s="627" t="s">
        <v>51</v>
      </c>
      <c r="J1443" s="125" t="s">
        <v>51</v>
      </c>
      <c r="K1443" s="125" t="s">
        <v>51</v>
      </c>
      <c r="L1443" s="125" t="s">
        <v>51</v>
      </c>
      <c r="M1443" s="125" t="str">
        <f t="shared" si="1"/>
        <v/>
      </c>
      <c r="N1443" s="125" t="str">
        <f t="shared" si="2"/>
        <v/>
      </c>
      <c r="O1443" s="125"/>
      <c r="P1443" s="125"/>
      <c r="Q1443" s="125"/>
      <c r="R1443" s="125"/>
      <c r="S1443" s="628">
        <f t="shared" si="3"/>
        <v>0</v>
      </c>
      <c r="T1443" s="627" t="s">
        <v>51</v>
      </c>
      <c r="U1443" s="627" t="s">
        <v>51</v>
      </c>
      <c r="V1443" s="627" t="s">
        <v>51</v>
      </c>
      <c r="W1443" s="627" t="s">
        <v>51</v>
      </c>
      <c r="X1443" s="627" t="s">
        <v>51</v>
      </c>
      <c r="Y1443" s="89"/>
    </row>
    <row r="1444" ht="22.5" customHeight="1">
      <c r="A1444" s="223"/>
      <c r="B1444" s="125"/>
      <c r="C1444" s="125"/>
      <c r="D1444" s="125"/>
      <c r="E1444" s="125"/>
      <c r="F1444" s="125"/>
      <c r="G1444" s="125"/>
      <c r="H1444" s="125"/>
      <c r="I1444" s="627" t="s">
        <v>51</v>
      </c>
      <c r="J1444" s="125" t="s">
        <v>51</v>
      </c>
      <c r="K1444" s="125" t="s">
        <v>51</v>
      </c>
      <c r="L1444" s="125" t="s">
        <v>51</v>
      </c>
      <c r="M1444" s="125" t="str">
        <f t="shared" si="1"/>
        <v/>
      </c>
      <c r="N1444" s="125" t="str">
        <f t="shared" si="2"/>
        <v/>
      </c>
      <c r="O1444" s="125"/>
      <c r="P1444" s="125"/>
      <c r="Q1444" s="125"/>
      <c r="R1444" s="125"/>
      <c r="S1444" s="628">
        <f t="shared" si="3"/>
        <v>0</v>
      </c>
      <c r="T1444" s="627" t="s">
        <v>51</v>
      </c>
      <c r="U1444" s="627" t="s">
        <v>51</v>
      </c>
      <c r="V1444" s="627" t="s">
        <v>51</v>
      </c>
      <c r="W1444" s="627" t="s">
        <v>51</v>
      </c>
      <c r="X1444" s="627" t="s">
        <v>51</v>
      </c>
      <c r="Y1444" s="89"/>
    </row>
    <row r="1445" ht="22.5" customHeight="1">
      <c r="A1445" s="223"/>
      <c r="B1445" s="125"/>
      <c r="C1445" s="125"/>
      <c r="D1445" s="125"/>
      <c r="E1445" s="125"/>
      <c r="F1445" s="125"/>
      <c r="G1445" s="125"/>
      <c r="H1445" s="125"/>
      <c r="I1445" s="627" t="s">
        <v>51</v>
      </c>
      <c r="J1445" s="125" t="s">
        <v>51</v>
      </c>
      <c r="K1445" s="125" t="s">
        <v>51</v>
      </c>
      <c r="L1445" s="125" t="s">
        <v>51</v>
      </c>
      <c r="M1445" s="125" t="str">
        <f t="shared" si="1"/>
        <v/>
      </c>
      <c r="N1445" s="125" t="str">
        <f t="shared" si="2"/>
        <v/>
      </c>
      <c r="O1445" s="125"/>
      <c r="P1445" s="125"/>
      <c r="Q1445" s="125"/>
      <c r="R1445" s="125"/>
      <c r="S1445" s="628">
        <f t="shared" si="3"/>
        <v>0</v>
      </c>
      <c r="T1445" s="627" t="s">
        <v>51</v>
      </c>
      <c r="U1445" s="627" t="s">
        <v>51</v>
      </c>
      <c r="V1445" s="627" t="s">
        <v>51</v>
      </c>
      <c r="W1445" s="627" t="s">
        <v>51</v>
      </c>
      <c r="X1445" s="627" t="s">
        <v>51</v>
      </c>
      <c r="Y1445" s="89"/>
    </row>
    <row r="1446" ht="22.5" customHeight="1">
      <c r="A1446" s="223"/>
      <c r="B1446" s="125"/>
      <c r="C1446" s="125"/>
      <c r="D1446" s="125"/>
      <c r="E1446" s="125"/>
      <c r="F1446" s="125"/>
      <c r="G1446" s="125"/>
      <c r="H1446" s="125"/>
      <c r="I1446" s="627" t="s">
        <v>51</v>
      </c>
      <c r="J1446" s="125" t="s">
        <v>51</v>
      </c>
      <c r="K1446" s="125" t="s">
        <v>51</v>
      </c>
      <c r="L1446" s="125" t="s">
        <v>51</v>
      </c>
      <c r="M1446" s="125" t="str">
        <f t="shared" si="1"/>
        <v/>
      </c>
      <c r="N1446" s="125" t="str">
        <f t="shared" si="2"/>
        <v/>
      </c>
      <c r="O1446" s="125"/>
      <c r="P1446" s="125"/>
      <c r="Q1446" s="125"/>
      <c r="R1446" s="125"/>
      <c r="S1446" s="628">
        <f t="shared" si="3"/>
        <v>0</v>
      </c>
      <c r="T1446" s="627" t="s">
        <v>51</v>
      </c>
      <c r="U1446" s="627" t="s">
        <v>51</v>
      </c>
      <c r="V1446" s="627" t="s">
        <v>51</v>
      </c>
      <c r="W1446" s="627" t="s">
        <v>51</v>
      </c>
      <c r="X1446" s="627" t="s">
        <v>51</v>
      </c>
      <c r="Y1446" s="89"/>
    </row>
    <row r="1447" ht="22.5" customHeight="1">
      <c r="A1447" s="223"/>
      <c r="B1447" s="125"/>
      <c r="C1447" s="125"/>
      <c r="D1447" s="125"/>
      <c r="E1447" s="125"/>
      <c r="F1447" s="125"/>
      <c r="G1447" s="125"/>
      <c r="H1447" s="125"/>
      <c r="I1447" s="627" t="s">
        <v>51</v>
      </c>
      <c r="J1447" s="125" t="s">
        <v>51</v>
      </c>
      <c r="K1447" s="125" t="s">
        <v>51</v>
      </c>
      <c r="L1447" s="125" t="s">
        <v>51</v>
      </c>
      <c r="M1447" s="125" t="str">
        <f t="shared" si="1"/>
        <v/>
      </c>
      <c r="N1447" s="125" t="str">
        <f t="shared" si="2"/>
        <v/>
      </c>
      <c r="O1447" s="125"/>
      <c r="P1447" s="125"/>
      <c r="Q1447" s="125"/>
      <c r="R1447" s="125"/>
      <c r="S1447" s="628">
        <f t="shared" si="3"/>
        <v>0</v>
      </c>
      <c r="T1447" s="627" t="s">
        <v>51</v>
      </c>
      <c r="U1447" s="627" t="s">
        <v>51</v>
      </c>
      <c r="V1447" s="627" t="s">
        <v>51</v>
      </c>
      <c r="W1447" s="627" t="s">
        <v>51</v>
      </c>
      <c r="X1447" s="627" t="s">
        <v>51</v>
      </c>
      <c r="Y1447" s="89"/>
    </row>
    <row r="1448" ht="22.5" customHeight="1">
      <c r="A1448" s="223"/>
      <c r="B1448" s="125"/>
      <c r="C1448" s="125"/>
      <c r="D1448" s="125"/>
      <c r="E1448" s="125"/>
      <c r="F1448" s="125"/>
      <c r="G1448" s="125"/>
      <c r="H1448" s="125"/>
      <c r="I1448" s="627" t="s">
        <v>51</v>
      </c>
      <c r="J1448" s="125" t="s">
        <v>51</v>
      </c>
      <c r="K1448" s="125" t="s">
        <v>51</v>
      </c>
      <c r="L1448" s="125" t="s">
        <v>51</v>
      </c>
      <c r="M1448" s="125" t="str">
        <f t="shared" si="1"/>
        <v/>
      </c>
      <c r="N1448" s="125" t="str">
        <f t="shared" si="2"/>
        <v/>
      </c>
      <c r="O1448" s="125"/>
      <c r="P1448" s="125"/>
      <c r="Q1448" s="125"/>
      <c r="R1448" s="125"/>
      <c r="S1448" s="628">
        <f t="shared" si="3"/>
        <v>0</v>
      </c>
      <c r="T1448" s="627" t="s">
        <v>51</v>
      </c>
      <c r="U1448" s="627" t="s">
        <v>51</v>
      </c>
      <c r="V1448" s="627" t="s">
        <v>51</v>
      </c>
      <c r="W1448" s="627" t="s">
        <v>51</v>
      </c>
      <c r="X1448" s="627" t="s">
        <v>51</v>
      </c>
      <c r="Y1448" s="89"/>
    </row>
    <row r="1449" ht="22.5" customHeight="1">
      <c r="A1449" s="223"/>
      <c r="B1449" s="125"/>
      <c r="C1449" s="125"/>
      <c r="D1449" s="125"/>
      <c r="E1449" s="125"/>
      <c r="F1449" s="125"/>
      <c r="G1449" s="125"/>
      <c r="H1449" s="125"/>
      <c r="I1449" s="627" t="s">
        <v>51</v>
      </c>
      <c r="J1449" s="125" t="s">
        <v>51</v>
      </c>
      <c r="K1449" s="125" t="s">
        <v>51</v>
      </c>
      <c r="L1449" s="125" t="s">
        <v>51</v>
      </c>
      <c r="M1449" s="125" t="str">
        <f t="shared" si="1"/>
        <v/>
      </c>
      <c r="N1449" s="125" t="str">
        <f t="shared" si="2"/>
        <v/>
      </c>
      <c r="O1449" s="125"/>
      <c r="P1449" s="125"/>
      <c r="Q1449" s="125"/>
      <c r="R1449" s="125"/>
      <c r="S1449" s="628">
        <f t="shared" si="3"/>
        <v>0</v>
      </c>
      <c r="T1449" s="627" t="s">
        <v>51</v>
      </c>
      <c r="U1449" s="627" t="s">
        <v>51</v>
      </c>
      <c r="V1449" s="627" t="s">
        <v>51</v>
      </c>
      <c r="W1449" s="627" t="s">
        <v>51</v>
      </c>
      <c r="X1449" s="627" t="s">
        <v>51</v>
      </c>
      <c r="Y1449" s="89"/>
    </row>
    <row r="1450" ht="22.5" customHeight="1">
      <c r="A1450" s="223"/>
      <c r="B1450" s="125"/>
      <c r="C1450" s="125"/>
      <c r="D1450" s="125"/>
      <c r="E1450" s="125"/>
      <c r="F1450" s="125"/>
      <c r="G1450" s="125"/>
      <c r="H1450" s="125"/>
      <c r="I1450" s="627" t="s">
        <v>51</v>
      </c>
      <c r="J1450" s="125" t="s">
        <v>51</v>
      </c>
      <c r="K1450" s="125" t="s">
        <v>51</v>
      </c>
      <c r="L1450" s="125" t="s">
        <v>51</v>
      </c>
      <c r="M1450" s="125" t="str">
        <f t="shared" si="1"/>
        <v/>
      </c>
      <c r="N1450" s="125" t="str">
        <f t="shared" si="2"/>
        <v/>
      </c>
      <c r="O1450" s="125"/>
      <c r="P1450" s="125"/>
      <c r="Q1450" s="125"/>
      <c r="R1450" s="125"/>
      <c r="S1450" s="628">
        <f t="shared" si="3"/>
        <v>0</v>
      </c>
      <c r="T1450" s="627" t="s">
        <v>51</v>
      </c>
      <c r="U1450" s="627" t="s">
        <v>51</v>
      </c>
      <c r="V1450" s="627" t="s">
        <v>51</v>
      </c>
      <c r="W1450" s="627" t="s">
        <v>51</v>
      </c>
      <c r="X1450" s="627" t="s">
        <v>51</v>
      </c>
      <c r="Y1450" s="89"/>
    </row>
    <row r="1451" ht="22.5" customHeight="1">
      <c r="A1451" s="223"/>
      <c r="B1451" s="125"/>
      <c r="C1451" s="125"/>
      <c r="D1451" s="125"/>
      <c r="E1451" s="125"/>
      <c r="F1451" s="125"/>
      <c r="G1451" s="125"/>
      <c r="H1451" s="125"/>
      <c r="I1451" s="627" t="s">
        <v>51</v>
      </c>
      <c r="J1451" s="125" t="s">
        <v>51</v>
      </c>
      <c r="K1451" s="125" t="s">
        <v>51</v>
      </c>
      <c r="L1451" s="125" t="s">
        <v>51</v>
      </c>
      <c r="M1451" s="125" t="str">
        <f t="shared" si="1"/>
        <v/>
      </c>
      <c r="N1451" s="125" t="str">
        <f t="shared" si="2"/>
        <v/>
      </c>
      <c r="O1451" s="125"/>
      <c r="P1451" s="125"/>
      <c r="Q1451" s="125"/>
      <c r="R1451" s="125"/>
      <c r="S1451" s="628">
        <f t="shared" si="3"/>
        <v>0</v>
      </c>
      <c r="T1451" s="627" t="s">
        <v>51</v>
      </c>
      <c r="U1451" s="627" t="s">
        <v>51</v>
      </c>
      <c r="V1451" s="627" t="s">
        <v>51</v>
      </c>
      <c r="W1451" s="627" t="s">
        <v>51</v>
      </c>
      <c r="X1451" s="627" t="s">
        <v>51</v>
      </c>
      <c r="Y1451" s="89"/>
    </row>
    <row r="1452" ht="22.5" customHeight="1">
      <c r="A1452" s="223"/>
      <c r="B1452" s="125"/>
      <c r="C1452" s="125"/>
      <c r="D1452" s="125"/>
      <c r="E1452" s="125"/>
      <c r="F1452" s="125"/>
      <c r="G1452" s="125"/>
      <c r="H1452" s="125"/>
      <c r="I1452" s="627" t="s">
        <v>51</v>
      </c>
      <c r="J1452" s="125" t="s">
        <v>51</v>
      </c>
      <c r="K1452" s="125" t="s">
        <v>51</v>
      </c>
      <c r="L1452" s="125" t="s">
        <v>51</v>
      </c>
      <c r="M1452" s="125" t="str">
        <f t="shared" si="1"/>
        <v/>
      </c>
      <c r="N1452" s="125" t="str">
        <f t="shared" si="2"/>
        <v/>
      </c>
      <c r="O1452" s="125"/>
      <c r="P1452" s="125"/>
      <c r="Q1452" s="125"/>
      <c r="R1452" s="125"/>
      <c r="S1452" s="628">
        <f t="shared" si="3"/>
        <v>0</v>
      </c>
      <c r="T1452" s="627" t="s">
        <v>51</v>
      </c>
      <c r="U1452" s="627" t="s">
        <v>51</v>
      </c>
      <c r="V1452" s="627" t="s">
        <v>51</v>
      </c>
      <c r="W1452" s="627" t="s">
        <v>51</v>
      </c>
      <c r="X1452" s="627" t="s">
        <v>51</v>
      </c>
      <c r="Y1452" s="89"/>
    </row>
    <row r="1453" ht="22.5" customHeight="1">
      <c r="A1453" s="223"/>
      <c r="B1453" s="125"/>
      <c r="C1453" s="125"/>
      <c r="D1453" s="125"/>
      <c r="E1453" s="125"/>
      <c r="F1453" s="125"/>
      <c r="G1453" s="125"/>
      <c r="H1453" s="125"/>
      <c r="I1453" s="627" t="s">
        <v>51</v>
      </c>
      <c r="J1453" s="125" t="s">
        <v>51</v>
      </c>
      <c r="K1453" s="125" t="s">
        <v>51</v>
      </c>
      <c r="L1453" s="125" t="s">
        <v>51</v>
      </c>
      <c r="M1453" s="125" t="str">
        <f t="shared" si="1"/>
        <v/>
      </c>
      <c r="N1453" s="125" t="str">
        <f t="shared" si="2"/>
        <v/>
      </c>
      <c r="O1453" s="125"/>
      <c r="P1453" s="125"/>
      <c r="Q1453" s="125"/>
      <c r="R1453" s="125"/>
      <c r="S1453" s="628">
        <f t="shared" si="3"/>
        <v>0</v>
      </c>
      <c r="T1453" s="627" t="s">
        <v>51</v>
      </c>
      <c r="U1453" s="627" t="s">
        <v>51</v>
      </c>
      <c r="V1453" s="627" t="s">
        <v>51</v>
      </c>
      <c r="W1453" s="627" t="s">
        <v>51</v>
      </c>
      <c r="X1453" s="627" t="s">
        <v>51</v>
      </c>
      <c r="Y1453" s="89"/>
    </row>
    <row r="1454" ht="22.5" customHeight="1">
      <c r="A1454" s="223"/>
      <c r="B1454" s="125"/>
      <c r="C1454" s="125"/>
      <c r="D1454" s="125"/>
      <c r="E1454" s="125"/>
      <c r="F1454" s="125"/>
      <c r="G1454" s="125"/>
      <c r="H1454" s="125"/>
      <c r="I1454" s="627" t="s">
        <v>51</v>
      </c>
      <c r="J1454" s="125" t="s">
        <v>51</v>
      </c>
      <c r="K1454" s="125" t="s">
        <v>51</v>
      </c>
      <c r="L1454" s="125" t="s">
        <v>51</v>
      </c>
      <c r="M1454" s="125" t="str">
        <f t="shared" si="1"/>
        <v/>
      </c>
      <c r="N1454" s="125" t="str">
        <f t="shared" si="2"/>
        <v/>
      </c>
      <c r="O1454" s="125"/>
      <c r="P1454" s="125"/>
      <c r="Q1454" s="125"/>
      <c r="R1454" s="125"/>
      <c r="S1454" s="628">
        <f t="shared" si="3"/>
        <v>0</v>
      </c>
      <c r="T1454" s="627" t="s">
        <v>51</v>
      </c>
      <c r="U1454" s="627" t="s">
        <v>51</v>
      </c>
      <c r="V1454" s="627" t="s">
        <v>51</v>
      </c>
      <c r="W1454" s="627" t="s">
        <v>51</v>
      </c>
      <c r="X1454" s="627" t="s">
        <v>51</v>
      </c>
      <c r="Y1454" s="89"/>
    </row>
    <row r="1455" ht="22.5" customHeight="1">
      <c r="A1455" s="223"/>
      <c r="B1455" s="125"/>
      <c r="C1455" s="125"/>
      <c r="D1455" s="125"/>
      <c r="E1455" s="125"/>
      <c r="F1455" s="125"/>
      <c r="G1455" s="125"/>
      <c r="H1455" s="125"/>
      <c r="I1455" s="627" t="s">
        <v>51</v>
      </c>
      <c r="J1455" s="125" t="s">
        <v>51</v>
      </c>
      <c r="K1455" s="125" t="s">
        <v>51</v>
      </c>
      <c r="L1455" s="125" t="s">
        <v>51</v>
      </c>
      <c r="M1455" s="125" t="str">
        <f t="shared" si="1"/>
        <v/>
      </c>
      <c r="N1455" s="125" t="str">
        <f t="shared" si="2"/>
        <v/>
      </c>
      <c r="O1455" s="125"/>
      <c r="P1455" s="125"/>
      <c r="Q1455" s="125"/>
      <c r="R1455" s="125"/>
      <c r="S1455" s="628">
        <f t="shared" si="3"/>
        <v>0</v>
      </c>
      <c r="T1455" s="627" t="s">
        <v>51</v>
      </c>
      <c r="U1455" s="627" t="s">
        <v>51</v>
      </c>
      <c r="V1455" s="627" t="s">
        <v>51</v>
      </c>
      <c r="W1455" s="627" t="s">
        <v>51</v>
      </c>
      <c r="X1455" s="627" t="s">
        <v>51</v>
      </c>
      <c r="Y1455" s="89"/>
    </row>
    <row r="1456" ht="22.5" customHeight="1">
      <c r="A1456" s="223"/>
      <c r="B1456" s="125"/>
      <c r="C1456" s="125"/>
      <c r="D1456" s="125"/>
      <c r="E1456" s="125"/>
      <c r="F1456" s="125"/>
      <c r="G1456" s="125"/>
      <c r="H1456" s="125"/>
      <c r="I1456" s="627" t="s">
        <v>51</v>
      </c>
      <c r="J1456" s="125" t="s">
        <v>51</v>
      </c>
      <c r="K1456" s="125" t="s">
        <v>51</v>
      </c>
      <c r="L1456" s="125" t="s">
        <v>51</v>
      </c>
      <c r="M1456" s="125" t="str">
        <f t="shared" si="1"/>
        <v/>
      </c>
      <c r="N1456" s="125" t="str">
        <f t="shared" si="2"/>
        <v/>
      </c>
      <c r="O1456" s="125"/>
      <c r="P1456" s="125"/>
      <c r="Q1456" s="125"/>
      <c r="R1456" s="125"/>
      <c r="S1456" s="628">
        <f t="shared" si="3"/>
        <v>0</v>
      </c>
      <c r="T1456" s="627" t="s">
        <v>51</v>
      </c>
      <c r="U1456" s="627" t="s">
        <v>51</v>
      </c>
      <c r="V1456" s="627" t="s">
        <v>51</v>
      </c>
      <c r="W1456" s="627" t="s">
        <v>51</v>
      </c>
      <c r="X1456" s="627" t="s">
        <v>51</v>
      </c>
      <c r="Y1456" s="89"/>
    </row>
    <row r="1457" ht="22.5" customHeight="1">
      <c r="A1457" s="223"/>
      <c r="B1457" s="125"/>
      <c r="C1457" s="125"/>
      <c r="D1457" s="125"/>
      <c r="E1457" s="125"/>
      <c r="F1457" s="125"/>
      <c r="G1457" s="125"/>
      <c r="H1457" s="125"/>
      <c r="I1457" s="627" t="s">
        <v>51</v>
      </c>
      <c r="J1457" s="125" t="s">
        <v>51</v>
      </c>
      <c r="K1457" s="125" t="s">
        <v>51</v>
      </c>
      <c r="L1457" s="125" t="s">
        <v>51</v>
      </c>
      <c r="M1457" s="125" t="str">
        <f t="shared" si="1"/>
        <v/>
      </c>
      <c r="N1457" s="125" t="str">
        <f t="shared" si="2"/>
        <v/>
      </c>
      <c r="O1457" s="125"/>
      <c r="P1457" s="125"/>
      <c r="Q1457" s="125"/>
      <c r="R1457" s="125"/>
      <c r="S1457" s="628">
        <f t="shared" si="3"/>
        <v>0</v>
      </c>
      <c r="T1457" s="627" t="s">
        <v>51</v>
      </c>
      <c r="U1457" s="627" t="s">
        <v>51</v>
      </c>
      <c r="V1457" s="627" t="s">
        <v>51</v>
      </c>
      <c r="W1457" s="627" t="s">
        <v>51</v>
      </c>
      <c r="X1457" s="627" t="s">
        <v>51</v>
      </c>
      <c r="Y1457" s="89"/>
    </row>
    <row r="1458" ht="22.5" customHeight="1">
      <c r="A1458" s="223"/>
      <c r="B1458" s="125"/>
      <c r="C1458" s="125"/>
      <c r="D1458" s="125"/>
      <c r="E1458" s="125"/>
      <c r="F1458" s="125"/>
      <c r="G1458" s="125"/>
      <c r="H1458" s="125"/>
      <c r="I1458" s="627" t="s">
        <v>51</v>
      </c>
      <c r="J1458" s="125" t="s">
        <v>51</v>
      </c>
      <c r="K1458" s="125" t="s">
        <v>51</v>
      </c>
      <c r="L1458" s="125" t="s">
        <v>51</v>
      </c>
      <c r="M1458" s="125" t="str">
        <f t="shared" si="1"/>
        <v/>
      </c>
      <c r="N1458" s="125" t="str">
        <f t="shared" si="2"/>
        <v/>
      </c>
      <c r="O1458" s="125"/>
      <c r="P1458" s="125"/>
      <c r="Q1458" s="125"/>
      <c r="R1458" s="125"/>
      <c r="S1458" s="628">
        <f t="shared" si="3"/>
        <v>0</v>
      </c>
      <c r="T1458" s="627" t="s">
        <v>51</v>
      </c>
      <c r="U1458" s="627" t="s">
        <v>51</v>
      </c>
      <c r="V1458" s="627" t="s">
        <v>51</v>
      </c>
      <c r="W1458" s="627" t="s">
        <v>51</v>
      </c>
      <c r="X1458" s="627" t="s">
        <v>51</v>
      </c>
      <c r="Y1458" s="89"/>
    </row>
    <row r="1459" ht="22.5" customHeight="1">
      <c r="A1459" s="223"/>
      <c r="B1459" s="125"/>
      <c r="C1459" s="125"/>
      <c r="D1459" s="125"/>
      <c r="E1459" s="125"/>
      <c r="F1459" s="125"/>
      <c r="G1459" s="125"/>
      <c r="H1459" s="125"/>
      <c r="I1459" s="627" t="s">
        <v>51</v>
      </c>
      <c r="J1459" s="125" t="s">
        <v>51</v>
      </c>
      <c r="K1459" s="125" t="s">
        <v>51</v>
      </c>
      <c r="L1459" s="125" t="s">
        <v>51</v>
      </c>
      <c r="M1459" s="125" t="str">
        <f t="shared" si="1"/>
        <v/>
      </c>
      <c r="N1459" s="125" t="str">
        <f t="shared" si="2"/>
        <v/>
      </c>
      <c r="O1459" s="125"/>
      <c r="P1459" s="125"/>
      <c r="Q1459" s="125"/>
      <c r="R1459" s="125"/>
      <c r="S1459" s="628">
        <f t="shared" si="3"/>
        <v>0</v>
      </c>
      <c r="T1459" s="627" t="s">
        <v>51</v>
      </c>
      <c r="U1459" s="627" t="s">
        <v>51</v>
      </c>
      <c r="V1459" s="627" t="s">
        <v>51</v>
      </c>
      <c r="W1459" s="627" t="s">
        <v>51</v>
      </c>
      <c r="X1459" s="627" t="s">
        <v>51</v>
      </c>
      <c r="Y1459" s="89"/>
    </row>
    <row r="1460" ht="22.5" customHeight="1">
      <c r="A1460" s="223"/>
      <c r="B1460" s="125"/>
      <c r="C1460" s="125"/>
      <c r="D1460" s="125"/>
      <c r="E1460" s="125"/>
      <c r="F1460" s="125"/>
      <c r="G1460" s="125"/>
      <c r="H1460" s="125"/>
      <c r="I1460" s="627" t="s">
        <v>51</v>
      </c>
      <c r="J1460" s="125" t="s">
        <v>51</v>
      </c>
      <c r="K1460" s="125" t="s">
        <v>51</v>
      </c>
      <c r="L1460" s="125" t="s">
        <v>51</v>
      </c>
      <c r="M1460" s="125" t="str">
        <f t="shared" si="1"/>
        <v/>
      </c>
      <c r="N1460" s="125" t="str">
        <f t="shared" si="2"/>
        <v/>
      </c>
      <c r="O1460" s="125"/>
      <c r="P1460" s="125"/>
      <c r="Q1460" s="125"/>
      <c r="R1460" s="125"/>
      <c r="S1460" s="628">
        <f t="shared" si="3"/>
        <v>0</v>
      </c>
      <c r="T1460" s="627" t="s">
        <v>51</v>
      </c>
      <c r="U1460" s="627" t="s">
        <v>51</v>
      </c>
      <c r="V1460" s="627" t="s">
        <v>51</v>
      </c>
      <c r="W1460" s="627" t="s">
        <v>51</v>
      </c>
      <c r="X1460" s="627" t="s">
        <v>51</v>
      </c>
      <c r="Y1460" s="89"/>
    </row>
    <row r="1461" ht="22.5" customHeight="1">
      <c r="A1461" s="223"/>
      <c r="B1461" s="125"/>
      <c r="C1461" s="125"/>
      <c r="D1461" s="125"/>
      <c r="E1461" s="125"/>
      <c r="F1461" s="125"/>
      <c r="G1461" s="125"/>
      <c r="H1461" s="125"/>
      <c r="I1461" s="627" t="s">
        <v>51</v>
      </c>
      <c r="J1461" s="125" t="s">
        <v>51</v>
      </c>
      <c r="K1461" s="125" t="s">
        <v>51</v>
      </c>
      <c r="L1461" s="125" t="s">
        <v>51</v>
      </c>
      <c r="M1461" s="125" t="str">
        <f t="shared" si="1"/>
        <v/>
      </c>
      <c r="N1461" s="125" t="str">
        <f t="shared" si="2"/>
        <v/>
      </c>
      <c r="O1461" s="125"/>
      <c r="P1461" s="125"/>
      <c r="Q1461" s="125"/>
      <c r="R1461" s="125"/>
      <c r="S1461" s="628">
        <f t="shared" si="3"/>
        <v>0</v>
      </c>
      <c r="T1461" s="627" t="s">
        <v>51</v>
      </c>
      <c r="U1461" s="627" t="s">
        <v>51</v>
      </c>
      <c r="V1461" s="627" t="s">
        <v>51</v>
      </c>
      <c r="W1461" s="627" t="s">
        <v>51</v>
      </c>
      <c r="X1461" s="627" t="s">
        <v>51</v>
      </c>
      <c r="Y1461" s="89"/>
    </row>
    <row r="1462" ht="22.5" customHeight="1">
      <c r="A1462" s="223"/>
      <c r="B1462" s="125"/>
      <c r="C1462" s="125"/>
      <c r="D1462" s="125"/>
      <c r="E1462" s="125"/>
      <c r="F1462" s="125"/>
      <c r="G1462" s="125"/>
      <c r="H1462" s="125"/>
      <c r="I1462" s="627" t="s">
        <v>51</v>
      </c>
      <c r="J1462" s="125" t="s">
        <v>51</v>
      </c>
      <c r="K1462" s="125" t="s">
        <v>51</v>
      </c>
      <c r="L1462" s="125" t="s">
        <v>51</v>
      </c>
      <c r="M1462" s="125" t="str">
        <f t="shared" si="1"/>
        <v/>
      </c>
      <c r="N1462" s="125" t="str">
        <f t="shared" si="2"/>
        <v/>
      </c>
      <c r="O1462" s="125"/>
      <c r="P1462" s="125"/>
      <c r="Q1462" s="125"/>
      <c r="R1462" s="125"/>
      <c r="S1462" s="628">
        <f t="shared" si="3"/>
        <v>0</v>
      </c>
      <c r="T1462" s="627" t="s">
        <v>51</v>
      </c>
      <c r="U1462" s="627" t="s">
        <v>51</v>
      </c>
      <c r="V1462" s="627" t="s">
        <v>51</v>
      </c>
      <c r="W1462" s="627" t="s">
        <v>51</v>
      </c>
      <c r="X1462" s="627" t="s">
        <v>51</v>
      </c>
      <c r="Y1462" s="89"/>
    </row>
    <row r="1463" ht="22.5" customHeight="1">
      <c r="A1463" s="223"/>
      <c r="B1463" s="125"/>
      <c r="C1463" s="125"/>
      <c r="D1463" s="125"/>
      <c r="E1463" s="125"/>
      <c r="F1463" s="125"/>
      <c r="G1463" s="125"/>
      <c r="H1463" s="125"/>
      <c r="I1463" s="627" t="s">
        <v>51</v>
      </c>
      <c r="J1463" s="125" t="s">
        <v>51</v>
      </c>
      <c r="K1463" s="125" t="s">
        <v>51</v>
      </c>
      <c r="L1463" s="125" t="s">
        <v>51</v>
      </c>
      <c r="M1463" s="125" t="str">
        <f t="shared" si="1"/>
        <v/>
      </c>
      <c r="N1463" s="125" t="str">
        <f t="shared" si="2"/>
        <v/>
      </c>
      <c r="O1463" s="125"/>
      <c r="P1463" s="125"/>
      <c r="Q1463" s="125"/>
      <c r="R1463" s="125"/>
      <c r="S1463" s="628">
        <f t="shared" si="3"/>
        <v>0</v>
      </c>
      <c r="T1463" s="627" t="s">
        <v>51</v>
      </c>
      <c r="U1463" s="627" t="s">
        <v>51</v>
      </c>
      <c r="V1463" s="627" t="s">
        <v>51</v>
      </c>
      <c r="W1463" s="627" t="s">
        <v>51</v>
      </c>
      <c r="X1463" s="627" t="s">
        <v>51</v>
      </c>
      <c r="Y1463" s="89"/>
    </row>
    <row r="1464" ht="22.5" customHeight="1">
      <c r="A1464" s="223"/>
      <c r="B1464" s="125"/>
      <c r="C1464" s="125"/>
      <c r="D1464" s="125"/>
      <c r="E1464" s="125"/>
      <c r="F1464" s="125"/>
      <c r="G1464" s="125"/>
      <c r="H1464" s="125"/>
      <c r="I1464" s="627" t="s">
        <v>51</v>
      </c>
      <c r="J1464" s="125" t="s">
        <v>51</v>
      </c>
      <c r="K1464" s="125" t="s">
        <v>51</v>
      </c>
      <c r="L1464" s="125" t="s">
        <v>51</v>
      </c>
      <c r="M1464" s="125" t="str">
        <f t="shared" si="1"/>
        <v/>
      </c>
      <c r="N1464" s="125" t="str">
        <f t="shared" si="2"/>
        <v/>
      </c>
      <c r="O1464" s="125"/>
      <c r="P1464" s="125"/>
      <c r="Q1464" s="125"/>
      <c r="R1464" s="125"/>
      <c r="S1464" s="628">
        <f t="shared" si="3"/>
        <v>0</v>
      </c>
      <c r="T1464" s="627" t="s">
        <v>51</v>
      </c>
      <c r="U1464" s="627" t="s">
        <v>51</v>
      </c>
      <c r="V1464" s="627" t="s">
        <v>51</v>
      </c>
      <c r="W1464" s="627" t="s">
        <v>51</v>
      </c>
      <c r="X1464" s="627" t="s">
        <v>51</v>
      </c>
      <c r="Y1464" s="89"/>
    </row>
    <row r="1465" ht="22.5" customHeight="1">
      <c r="A1465" s="223"/>
      <c r="B1465" s="125"/>
      <c r="C1465" s="125"/>
      <c r="D1465" s="125"/>
      <c r="E1465" s="125"/>
      <c r="F1465" s="125"/>
      <c r="G1465" s="125"/>
      <c r="H1465" s="125"/>
      <c r="I1465" s="627" t="s">
        <v>51</v>
      </c>
      <c r="J1465" s="125" t="s">
        <v>51</v>
      </c>
      <c r="K1465" s="125" t="s">
        <v>51</v>
      </c>
      <c r="L1465" s="125" t="s">
        <v>51</v>
      </c>
      <c r="M1465" s="125" t="str">
        <f t="shared" si="1"/>
        <v/>
      </c>
      <c r="N1465" s="125" t="str">
        <f t="shared" si="2"/>
        <v/>
      </c>
      <c r="O1465" s="125"/>
      <c r="P1465" s="125"/>
      <c r="Q1465" s="125"/>
      <c r="R1465" s="125"/>
      <c r="S1465" s="628">
        <f t="shared" si="3"/>
        <v>0</v>
      </c>
      <c r="T1465" s="627" t="s">
        <v>51</v>
      </c>
      <c r="U1465" s="627" t="s">
        <v>51</v>
      </c>
      <c r="V1465" s="627" t="s">
        <v>51</v>
      </c>
      <c r="W1465" s="627" t="s">
        <v>51</v>
      </c>
      <c r="X1465" s="627" t="s">
        <v>51</v>
      </c>
      <c r="Y1465" s="89"/>
    </row>
    <row r="1466" ht="22.5" customHeight="1">
      <c r="A1466" s="223"/>
      <c r="B1466" s="125"/>
      <c r="C1466" s="125"/>
      <c r="D1466" s="125"/>
      <c r="E1466" s="125"/>
      <c r="F1466" s="125"/>
      <c r="G1466" s="125"/>
      <c r="H1466" s="125"/>
      <c r="I1466" s="627" t="s">
        <v>51</v>
      </c>
      <c r="J1466" s="125" t="s">
        <v>51</v>
      </c>
      <c r="K1466" s="125" t="s">
        <v>51</v>
      </c>
      <c r="L1466" s="125" t="s">
        <v>51</v>
      </c>
      <c r="M1466" s="125" t="str">
        <f t="shared" si="1"/>
        <v/>
      </c>
      <c r="N1466" s="125" t="str">
        <f t="shared" si="2"/>
        <v/>
      </c>
      <c r="O1466" s="125"/>
      <c r="P1466" s="125"/>
      <c r="Q1466" s="125"/>
      <c r="R1466" s="125"/>
      <c r="S1466" s="628">
        <f t="shared" si="3"/>
        <v>0</v>
      </c>
      <c r="T1466" s="627" t="s">
        <v>51</v>
      </c>
      <c r="U1466" s="627" t="s">
        <v>51</v>
      </c>
      <c r="V1466" s="627" t="s">
        <v>51</v>
      </c>
      <c r="W1466" s="627" t="s">
        <v>51</v>
      </c>
      <c r="X1466" s="627" t="s">
        <v>51</v>
      </c>
      <c r="Y1466" s="89"/>
    </row>
    <row r="1467" ht="22.5" customHeight="1">
      <c r="A1467" s="223"/>
      <c r="B1467" s="125"/>
      <c r="C1467" s="125"/>
      <c r="D1467" s="125"/>
      <c r="E1467" s="125"/>
      <c r="F1467" s="125"/>
      <c r="G1467" s="125"/>
      <c r="H1467" s="125"/>
      <c r="I1467" s="627" t="s">
        <v>51</v>
      </c>
      <c r="J1467" s="125" t="s">
        <v>51</v>
      </c>
      <c r="K1467" s="125" t="s">
        <v>51</v>
      </c>
      <c r="L1467" s="125" t="s">
        <v>51</v>
      </c>
      <c r="M1467" s="125" t="str">
        <f t="shared" si="1"/>
        <v/>
      </c>
      <c r="N1467" s="125" t="str">
        <f t="shared" si="2"/>
        <v/>
      </c>
      <c r="O1467" s="125"/>
      <c r="P1467" s="125"/>
      <c r="Q1467" s="125"/>
      <c r="R1467" s="125"/>
      <c r="S1467" s="628">
        <f t="shared" si="3"/>
        <v>0</v>
      </c>
      <c r="T1467" s="627" t="s">
        <v>51</v>
      </c>
      <c r="U1467" s="627" t="s">
        <v>51</v>
      </c>
      <c r="V1467" s="627" t="s">
        <v>51</v>
      </c>
      <c r="W1467" s="627" t="s">
        <v>51</v>
      </c>
      <c r="X1467" s="627" t="s">
        <v>51</v>
      </c>
      <c r="Y1467" s="89"/>
    </row>
    <row r="1468" ht="22.5" customHeight="1">
      <c r="A1468" s="223"/>
      <c r="B1468" s="125"/>
      <c r="C1468" s="125"/>
      <c r="D1468" s="125"/>
      <c r="E1468" s="125"/>
      <c r="F1468" s="125"/>
      <c r="G1468" s="125"/>
      <c r="H1468" s="125"/>
      <c r="I1468" s="627" t="s">
        <v>51</v>
      </c>
      <c r="J1468" s="125" t="s">
        <v>51</v>
      </c>
      <c r="K1468" s="125" t="s">
        <v>51</v>
      </c>
      <c r="L1468" s="125" t="s">
        <v>51</v>
      </c>
      <c r="M1468" s="125" t="str">
        <f t="shared" si="1"/>
        <v/>
      </c>
      <c r="N1468" s="125" t="str">
        <f t="shared" si="2"/>
        <v/>
      </c>
      <c r="O1468" s="125"/>
      <c r="P1468" s="125"/>
      <c r="Q1468" s="125"/>
      <c r="R1468" s="125"/>
      <c r="S1468" s="628">
        <f t="shared" si="3"/>
        <v>0</v>
      </c>
      <c r="T1468" s="627" t="s">
        <v>51</v>
      </c>
      <c r="U1468" s="627" t="s">
        <v>51</v>
      </c>
      <c r="V1468" s="627" t="s">
        <v>51</v>
      </c>
      <c r="W1468" s="627" t="s">
        <v>51</v>
      </c>
      <c r="X1468" s="627" t="s">
        <v>51</v>
      </c>
      <c r="Y1468" s="89"/>
    </row>
    <row r="1469" ht="22.5" customHeight="1">
      <c r="A1469" s="223"/>
      <c r="B1469" s="125"/>
      <c r="C1469" s="125"/>
      <c r="D1469" s="125"/>
      <c r="E1469" s="125"/>
      <c r="F1469" s="125"/>
      <c r="G1469" s="125"/>
      <c r="H1469" s="125"/>
      <c r="I1469" s="627" t="s">
        <v>51</v>
      </c>
      <c r="J1469" s="125" t="s">
        <v>51</v>
      </c>
      <c r="K1469" s="125" t="s">
        <v>51</v>
      </c>
      <c r="L1469" s="125" t="s">
        <v>51</v>
      </c>
      <c r="M1469" s="125" t="str">
        <f t="shared" si="1"/>
        <v/>
      </c>
      <c r="N1469" s="125" t="str">
        <f t="shared" si="2"/>
        <v/>
      </c>
      <c r="O1469" s="125"/>
      <c r="P1469" s="125"/>
      <c r="Q1469" s="125"/>
      <c r="R1469" s="125"/>
      <c r="S1469" s="628">
        <f t="shared" si="3"/>
        <v>0</v>
      </c>
      <c r="T1469" s="627" t="s">
        <v>51</v>
      </c>
      <c r="U1469" s="627" t="s">
        <v>51</v>
      </c>
      <c r="V1469" s="627" t="s">
        <v>51</v>
      </c>
      <c r="W1469" s="627" t="s">
        <v>51</v>
      </c>
      <c r="X1469" s="627" t="s">
        <v>51</v>
      </c>
      <c r="Y1469" s="89"/>
    </row>
    <row r="1470" ht="22.5" customHeight="1">
      <c r="A1470" s="223"/>
      <c r="B1470" s="125"/>
      <c r="C1470" s="125"/>
      <c r="D1470" s="125"/>
      <c r="E1470" s="125"/>
      <c r="F1470" s="125"/>
      <c r="G1470" s="125"/>
      <c r="H1470" s="125"/>
      <c r="I1470" s="627" t="s">
        <v>51</v>
      </c>
      <c r="J1470" s="125" t="s">
        <v>51</v>
      </c>
      <c r="K1470" s="125" t="s">
        <v>51</v>
      </c>
      <c r="L1470" s="125" t="s">
        <v>51</v>
      </c>
      <c r="M1470" s="125" t="str">
        <f t="shared" si="1"/>
        <v/>
      </c>
      <c r="N1470" s="125" t="str">
        <f t="shared" si="2"/>
        <v/>
      </c>
      <c r="O1470" s="125"/>
      <c r="P1470" s="125"/>
      <c r="Q1470" s="125"/>
      <c r="R1470" s="125"/>
      <c r="S1470" s="628">
        <f t="shared" si="3"/>
        <v>0</v>
      </c>
      <c r="T1470" s="627" t="s">
        <v>51</v>
      </c>
      <c r="U1470" s="627" t="s">
        <v>51</v>
      </c>
      <c r="V1470" s="627" t="s">
        <v>51</v>
      </c>
      <c r="W1470" s="627" t="s">
        <v>51</v>
      </c>
      <c r="X1470" s="627" t="s">
        <v>51</v>
      </c>
      <c r="Y1470" s="89"/>
    </row>
    <row r="1471" ht="22.5" customHeight="1">
      <c r="A1471" s="223"/>
      <c r="B1471" s="125"/>
      <c r="C1471" s="125"/>
      <c r="D1471" s="125"/>
      <c r="E1471" s="125"/>
      <c r="F1471" s="125"/>
      <c r="G1471" s="125"/>
      <c r="H1471" s="125"/>
      <c r="I1471" s="627" t="s">
        <v>51</v>
      </c>
      <c r="J1471" s="125" t="s">
        <v>51</v>
      </c>
      <c r="K1471" s="125" t="s">
        <v>51</v>
      </c>
      <c r="L1471" s="125" t="s">
        <v>51</v>
      </c>
      <c r="M1471" s="125" t="str">
        <f t="shared" si="1"/>
        <v/>
      </c>
      <c r="N1471" s="125" t="str">
        <f t="shared" si="2"/>
        <v/>
      </c>
      <c r="O1471" s="125"/>
      <c r="P1471" s="125"/>
      <c r="Q1471" s="125"/>
      <c r="R1471" s="125"/>
      <c r="S1471" s="628">
        <f t="shared" si="3"/>
        <v>0</v>
      </c>
      <c r="T1471" s="627" t="s">
        <v>51</v>
      </c>
      <c r="U1471" s="627" t="s">
        <v>51</v>
      </c>
      <c r="V1471" s="627" t="s">
        <v>51</v>
      </c>
      <c r="W1471" s="627" t="s">
        <v>51</v>
      </c>
      <c r="X1471" s="627" t="s">
        <v>51</v>
      </c>
      <c r="Y1471" s="89"/>
    </row>
    <row r="1472" ht="22.5" customHeight="1">
      <c r="A1472" s="223"/>
      <c r="B1472" s="125"/>
      <c r="C1472" s="125"/>
      <c r="D1472" s="125"/>
      <c r="E1472" s="125"/>
      <c r="F1472" s="125"/>
      <c r="G1472" s="125"/>
      <c r="H1472" s="125"/>
      <c r="I1472" s="627" t="s">
        <v>51</v>
      </c>
      <c r="J1472" s="125" t="s">
        <v>51</v>
      </c>
      <c r="K1472" s="125" t="s">
        <v>51</v>
      </c>
      <c r="L1472" s="125" t="s">
        <v>51</v>
      </c>
      <c r="M1472" s="125" t="str">
        <f t="shared" si="1"/>
        <v/>
      </c>
      <c r="N1472" s="125" t="str">
        <f t="shared" si="2"/>
        <v/>
      </c>
      <c r="O1472" s="125"/>
      <c r="P1472" s="125"/>
      <c r="Q1472" s="125"/>
      <c r="R1472" s="125"/>
      <c r="S1472" s="628">
        <f t="shared" si="3"/>
        <v>0</v>
      </c>
      <c r="T1472" s="627" t="s">
        <v>51</v>
      </c>
      <c r="U1472" s="627" t="s">
        <v>51</v>
      </c>
      <c r="V1472" s="627" t="s">
        <v>51</v>
      </c>
      <c r="W1472" s="627" t="s">
        <v>51</v>
      </c>
      <c r="X1472" s="627" t="s">
        <v>51</v>
      </c>
      <c r="Y1472" s="89"/>
    </row>
    <row r="1473" ht="22.5" customHeight="1">
      <c r="A1473" s="223"/>
      <c r="B1473" s="125"/>
      <c r="C1473" s="125"/>
      <c r="D1473" s="125"/>
      <c r="E1473" s="125"/>
      <c r="F1473" s="125"/>
      <c r="G1473" s="125"/>
      <c r="H1473" s="125"/>
      <c r="I1473" s="627" t="s">
        <v>51</v>
      </c>
      <c r="J1473" s="125" t="s">
        <v>51</v>
      </c>
      <c r="K1473" s="125" t="s">
        <v>51</v>
      </c>
      <c r="L1473" s="125" t="s">
        <v>51</v>
      </c>
      <c r="M1473" s="125" t="str">
        <f t="shared" si="1"/>
        <v/>
      </c>
      <c r="N1473" s="125" t="str">
        <f t="shared" si="2"/>
        <v/>
      </c>
      <c r="O1473" s="125"/>
      <c r="P1473" s="125"/>
      <c r="Q1473" s="125"/>
      <c r="R1473" s="125"/>
      <c r="S1473" s="628">
        <f t="shared" si="3"/>
        <v>0</v>
      </c>
      <c r="T1473" s="627" t="s">
        <v>51</v>
      </c>
      <c r="U1473" s="627" t="s">
        <v>51</v>
      </c>
      <c r="V1473" s="627" t="s">
        <v>51</v>
      </c>
      <c r="W1473" s="627" t="s">
        <v>51</v>
      </c>
      <c r="X1473" s="627" t="s">
        <v>51</v>
      </c>
      <c r="Y1473" s="89"/>
    </row>
    <row r="1474" ht="22.5" customHeight="1">
      <c r="A1474" s="223"/>
      <c r="B1474" s="125"/>
      <c r="C1474" s="125"/>
      <c r="D1474" s="125"/>
      <c r="E1474" s="125"/>
      <c r="F1474" s="125"/>
      <c r="G1474" s="125"/>
      <c r="H1474" s="125"/>
      <c r="I1474" s="627" t="s">
        <v>51</v>
      </c>
      <c r="J1474" s="125" t="s">
        <v>51</v>
      </c>
      <c r="K1474" s="125" t="s">
        <v>51</v>
      </c>
      <c r="L1474" s="125" t="s">
        <v>51</v>
      </c>
      <c r="M1474" s="125" t="str">
        <f t="shared" si="1"/>
        <v/>
      </c>
      <c r="N1474" s="125" t="str">
        <f t="shared" si="2"/>
        <v/>
      </c>
      <c r="O1474" s="125"/>
      <c r="P1474" s="125"/>
      <c r="Q1474" s="125"/>
      <c r="R1474" s="125"/>
      <c r="S1474" s="628">
        <f t="shared" si="3"/>
        <v>0</v>
      </c>
      <c r="T1474" s="627" t="s">
        <v>51</v>
      </c>
      <c r="U1474" s="627" t="s">
        <v>51</v>
      </c>
      <c r="V1474" s="627" t="s">
        <v>51</v>
      </c>
      <c r="W1474" s="627" t="s">
        <v>51</v>
      </c>
      <c r="X1474" s="627" t="s">
        <v>51</v>
      </c>
      <c r="Y1474" s="89"/>
    </row>
    <row r="1475" ht="22.5" customHeight="1">
      <c r="A1475" s="223"/>
      <c r="B1475" s="125"/>
      <c r="C1475" s="125"/>
      <c r="D1475" s="125"/>
      <c r="E1475" s="125"/>
      <c r="F1475" s="125"/>
      <c r="G1475" s="125"/>
      <c r="H1475" s="125"/>
      <c r="I1475" s="627" t="s">
        <v>51</v>
      </c>
      <c r="J1475" s="125" t="s">
        <v>51</v>
      </c>
      <c r="K1475" s="125" t="s">
        <v>51</v>
      </c>
      <c r="L1475" s="125" t="s">
        <v>51</v>
      </c>
      <c r="M1475" s="125" t="str">
        <f t="shared" si="1"/>
        <v/>
      </c>
      <c r="N1475" s="125" t="str">
        <f t="shared" si="2"/>
        <v/>
      </c>
      <c r="O1475" s="125"/>
      <c r="P1475" s="125"/>
      <c r="Q1475" s="125"/>
      <c r="R1475" s="125"/>
      <c r="S1475" s="628">
        <f t="shared" si="3"/>
        <v>0</v>
      </c>
      <c r="T1475" s="627" t="s">
        <v>51</v>
      </c>
      <c r="U1475" s="627" t="s">
        <v>51</v>
      </c>
      <c r="V1475" s="627" t="s">
        <v>51</v>
      </c>
      <c r="W1475" s="627" t="s">
        <v>51</v>
      </c>
      <c r="X1475" s="627" t="s">
        <v>51</v>
      </c>
      <c r="Y1475" s="89"/>
    </row>
    <row r="1476" ht="22.5" customHeight="1">
      <c r="A1476" s="223"/>
      <c r="B1476" s="125"/>
      <c r="C1476" s="125"/>
      <c r="D1476" s="125"/>
      <c r="E1476" s="125"/>
      <c r="F1476" s="125"/>
      <c r="G1476" s="125"/>
      <c r="H1476" s="125"/>
      <c r="I1476" s="627" t="s">
        <v>51</v>
      </c>
      <c r="J1476" s="125" t="s">
        <v>51</v>
      </c>
      <c r="K1476" s="125" t="s">
        <v>51</v>
      </c>
      <c r="L1476" s="125" t="s">
        <v>51</v>
      </c>
      <c r="M1476" s="125" t="str">
        <f t="shared" si="1"/>
        <v/>
      </c>
      <c r="N1476" s="125" t="str">
        <f t="shared" si="2"/>
        <v/>
      </c>
      <c r="O1476" s="125"/>
      <c r="P1476" s="125"/>
      <c r="Q1476" s="125"/>
      <c r="R1476" s="125"/>
      <c r="S1476" s="628">
        <f t="shared" si="3"/>
        <v>0</v>
      </c>
      <c r="T1476" s="627" t="s">
        <v>51</v>
      </c>
      <c r="U1476" s="627" t="s">
        <v>51</v>
      </c>
      <c r="V1476" s="627" t="s">
        <v>51</v>
      </c>
      <c r="W1476" s="627" t="s">
        <v>51</v>
      </c>
      <c r="X1476" s="627" t="s">
        <v>51</v>
      </c>
      <c r="Y1476" s="89"/>
    </row>
    <row r="1477" ht="22.5" customHeight="1">
      <c r="A1477" s="223"/>
      <c r="B1477" s="125"/>
      <c r="C1477" s="125"/>
      <c r="D1477" s="125"/>
      <c r="E1477" s="125"/>
      <c r="F1477" s="125"/>
      <c r="G1477" s="125"/>
      <c r="H1477" s="125"/>
      <c r="I1477" s="627" t="s">
        <v>51</v>
      </c>
      <c r="J1477" s="125" t="s">
        <v>51</v>
      </c>
      <c r="K1477" s="125" t="s">
        <v>51</v>
      </c>
      <c r="L1477" s="125" t="s">
        <v>51</v>
      </c>
      <c r="M1477" s="125" t="str">
        <f t="shared" si="1"/>
        <v/>
      </c>
      <c r="N1477" s="125" t="str">
        <f t="shared" si="2"/>
        <v/>
      </c>
      <c r="O1477" s="125"/>
      <c r="P1477" s="125"/>
      <c r="Q1477" s="125"/>
      <c r="R1477" s="125"/>
      <c r="S1477" s="628">
        <f t="shared" si="3"/>
        <v>0</v>
      </c>
      <c r="T1477" s="627" t="s">
        <v>51</v>
      </c>
      <c r="U1477" s="627" t="s">
        <v>51</v>
      </c>
      <c r="V1477" s="627" t="s">
        <v>51</v>
      </c>
      <c r="W1477" s="627" t="s">
        <v>51</v>
      </c>
      <c r="X1477" s="627" t="s">
        <v>51</v>
      </c>
      <c r="Y1477" s="89"/>
    </row>
    <row r="1478" ht="22.5" customHeight="1">
      <c r="A1478" s="223"/>
      <c r="B1478" s="125"/>
      <c r="C1478" s="125"/>
      <c r="D1478" s="125"/>
      <c r="E1478" s="125"/>
      <c r="F1478" s="125"/>
      <c r="G1478" s="125"/>
      <c r="H1478" s="125"/>
      <c r="I1478" s="627" t="s">
        <v>51</v>
      </c>
      <c r="J1478" s="125" t="s">
        <v>51</v>
      </c>
      <c r="K1478" s="125" t="s">
        <v>51</v>
      </c>
      <c r="L1478" s="125" t="s">
        <v>51</v>
      </c>
      <c r="M1478" s="125" t="str">
        <f t="shared" si="1"/>
        <v/>
      </c>
      <c r="N1478" s="125" t="str">
        <f t="shared" si="2"/>
        <v/>
      </c>
      <c r="O1478" s="125"/>
      <c r="P1478" s="125"/>
      <c r="Q1478" s="125"/>
      <c r="R1478" s="125"/>
      <c r="S1478" s="628">
        <f t="shared" si="3"/>
        <v>0</v>
      </c>
      <c r="T1478" s="627" t="s">
        <v>51</v>
      </c>
      <c r="U1478" s="627" t="s">
        <v>51</v>
      </c>
      <c r="V1478" s="627" t="s">
        <v>51</v>
      </c>
      <c r="W1478" s="627" t="s">
        <v>51</v>
      </c>
      <c r="X1478" s="627" t="s">
        <v>51</v>
      </c>
      <c r="Y1478" s="89"/>
    </row>
    <row r="1479" ht="22.5" customHeight="1">
      <c r="A1479" s="223"/>
      <c r="B1479" s="125"/>
      <c r="C1479" s="125"/>
      <c r="D1479" s="125"/>
      <c r="E1479" s="125"/>
      <c r="F1479" s="125"/>
      <c r="G1479" s="125"/>
      <c r="H1479" s="125"/>
      <c r="I1479" s="627" t="s">
        <v>51</v>
      </c>
      <c r="J1479" s="125" t="s">
        <v>51</v>
      </c>
      <c r="K1479" s="125" t="s">
        <v>51</v>
      </c>
      <c r="L1479" s="125" t="s">
        <v>51</v>
      </c>
      <c r="M1479" s="125" t="str">
        <f t="shared" si="1"/>
        <v/>
      </c>
      <c r="N1479" s="125" t="str">
        <f t="shared" si="2"/>
        <v/>
      </c>
      <c r="O1479" s="125"/>
      <c r="P1479" s="125"/>
      <c r="Q1479" s="125"/>
      <c r="R1479" s="125"/>
      <c r="S1479" s="628">
        <f t="shared" si="3"/>
        <v>0</v>
      </c>
      <c r="T1479" s="627" t="s">
        <v>51</v>
      </c>
      <c r="U1479" s="627" t="s">
        <v>51</v>
      </c>
      <c r="V1479" s="627" t="s">
        <v>51</v>
      </c>
      <c r="W1479" s="627" t="s">
        <v>51</v>
      </c>
      <c r="X1479" s="627" t="s">
        <v>51</v>
      </c>
      <c r="Y1479" s="89"/>
    </row>
    <row r="1480" ht="22.5" customHeight="1">
      <c r="A1480" s="223"/>
      <c r="B1480" s="125"/>
      <c r="C1480" s="125"/>
      <c r="D1480" s="125"/>
      <c r="E1480" s="125"/>
      <c r="F1480" s="125"/>
      <c r="G1480" s="125"/>
      <c r="H1480" s="125"/>
      <c r="I1480" s="627" t="s">
        <v>51</v>
      </c>
      <c r="J1480" s="125" t="s">
        <v>51</v>
      </c>
      <c r="K1480" s="125" t="s">
        <v>51</v>
      </c>
      <c r="L1480" s="125" t="s">
        <v>51</v>
      </c>
      <c r="M1480" s="125" t="str">
        <f t="shared" si="1"/>
        <v/>
      </c>
      <c r="N1480" s="125" t="str">
        <f t="shared" si="2"/>
        <v/>
      </c>
      <c r="O1480" s="125"/>
      <c r="P1480" s="125"/>
      <c r="Q1480" s="125"/>
      <c r="R1480" s="125"/>
      <c r="S1480" s="628">
        <f t="shared" si="3"/>
        <v>0</v>
      </c>
      <c r="T1480" s="627" t="s">
        <v>51</v>
      </c>
      <c r="U1480" s="627" t="s">
        <v>51</v>
      </c>
      <c r="V1480" s="627" t="s">
        <v>51</v>
      </c>
      <c r="W1480" s="627" t="s">
        <v>51</v>
      </c>
      <c r="X1480" s="627" t="s">
        <v>51</v>
      </c>
      <c r="Y1480" s="89"/>
    </row>
    <row r="1481" ht="22.5" customHeight="1">
      <c r="A1481" s="223"/>
      <c r="B1481" s="125"/>
      <c r="C1481" s="125"/>
      <c r="D1481" s="125"/>
      <c r="E1481" s="125"/>
      <c r="F1481" s="125"/>
      <c r="G1481" s="125"/>
      <c r="H1481" s="125"/>
      <c r="I1481" s="627" t="s">
        <v>51</v>
      </c>
      <c r="J1481" s="125" t="s">
        <v>51</v>
      </c>
      <c r="K1481" s="125" t="s">
        <v>51</v>
      </c>
      <c r="L1481" s="125" t="s">
        <v>51</v>
      </c>
      <c r="M1481" s="125" t="str">
        <f t="shared" si="1"/>
        <v/>
      </c>
      <c r="N1481" s="125" t="str">
        <f t="shared" si="2"/>
        <v/>
      </c>
      <c r="O1481" s="125"/>
      <c r="P1481" s="125"/>
      <c r="Q1481" s="125"/>
      <c r="R1481" s="125"/>
      <c r="S1481" s="628">
        <f t="shared" si="3"/>
        <v>0</v>
      </c>
      <c r="T1481" s="627" t="s">
        <v>51</v>
      </c>
      <c r="U1481" s="627" t="s">
        <v>51</v>
      </c>
      <c r="V1481" s="627" t="s">
        <v>51</v>
      </c>
      <c r="W1481" s="627" t="s">
        <v>51</v>
      </c>
      <c r="X1481" s="627" t="s">
        <v>51</v>
      </c>
      <c r="Y1481" s="89"/>
    </row>
    <row r="1482" ht="22.5" customHeight="1">
      <c r="A1482" s="223"/>
      <c r="B1482" s="125"/>
      <c r="C1482" s="125"/>
      <c r="D1482" s="125"/>
      <c r="E1482" s="125"/>
      <c r="F1482" s="125"/>
      <c r="G1482" s="125"/>
      <c r="H1482" s="125"/>
      <c r="I1482" s="627" t="s">
        <v>51</v>
      </c>
      <c r="J1482" s="125" t="s">
        <v>51</v>
      </c>
      <c r="K1482" s="125" t="s">
        <v>51</v>
      </c>
      <c r="L1482" s="125" t="s">
        <v>51</v>
      </c>
      <c r="M1482" s="125" t="str">
        <f t="shared" si="1"/>
        <v/>
      </c>
      <c r="N1482" s="125" t="str">
        <f t="shared" si="2"/>
        <v/>
      </c>
      <c r="O1482" s="125"/>
      <c r="P1482" s="125"/>
      <c r="Q1482" s="125"/>
      <c r="R1482" s="125"/>
      <c r="S1482" s="628">
        <f t="shared" si="3"/>
        <v>0</v>
      </c>
      <c r="T1482" s="627" t="s">
        <v>51</v>
      </c>
      <c r="U1482" s="627" t="s">
        <v>51</v>
      </c>
      <c r="V1482" s="627" t="s">
        <v>51</v>
      </c>
      <c r="W1482" s="627" t="s">
        <v>51</v>
      </c>
      <c r="X1482" s="627" t="s">
        <v>51</v>
      </c>
      <c r="Y1482" s="89"/>
    </row>
    <row r="1483" ht="22.5" customHeight="1">
      <c r="A1483" s="223"/>
      <c r="B1483" s="125"/>
      <c r="C1483" s="125"/>
      <c r="D1483" s="125"/>
      <c r="E1483" s="125"/>
      <c r="F1483" s="125"/>
      <c r="G1483" s="125"/>
      <c r="H1483" s="125"/>
      <c r="I1483" s="627" t="s">
        <v>51</v>
      </c>
      <c r="J1483" s="125" t="s">
        <v>51</v>
      </c>
      <c r="K1483" s="125" t="s">
        <v>51</v>
      </c>
      <c r="L1483" s="125" t="s">
        <v>51</v>
      </c>
      <c r="M1483" s="125" t="str">
        <f t="shared" si="1"/>
        <v/>
      </c>
      <c r="N1483" s="125" t="str">
        <f t="shared" si="2"/>
        <v/>
      </c>
      <c r="O1483" s="125"/>
      <c r="P1483" s="125"/>
      <c r="Q1483" s="125"/>
      <c r="R1483" s="125"/>
      <c r="S1483" s="628">
        <f t="shared" si="3"/>
        <v>0</v>
      </c>
      <c r="T1483" s="627" t="s">
        <v>51</v>
      </c>
      <c r="U1483" s="627" t="s">
        <v>51</v>
      </c>
      <c r="V1483" s="627" t="s">
        <v>51</v>
      </c>
      <c r="W1483" s="627" t="s">
        <v>51</v>
      </c>
      <c r="X1483" s="627" t="s">
        <v>51</v>
      </c>
      <c r="Y1483" s="89"/>
    </row>
    <row r="1484" ht="22.5" customHeight="1">
      <c r="A1484" s="223"/>
      <c r="B1484" s="125"/>
      <c r="C1484" s="125"/>
      <c r="D1484" s="125"/>
      <c r="E1484" s="125"/>
      <c r="F1484" s="125"/>
      <c r="G1484" s="125"/>
      <c r="H1484" s="125"/>
      <c r="I1484" s="627" t="s">
        <v>51</v>
      </c>
      <c r="J1484" s="125" t="s">
        <v>51</v>
      </c>
      <c r="K1484" s="125" t="s">
        <v>51</v>
      </c>
      <c r="L1484" s="125" t="s">
        <v>51</v>
      </c>
      <c r="M1484" s="125" t="str">
        <f t="shared" si="1"/>
        <v/>
      </c>
      <c r="N1484" s="125" t="str">
        <f t="shared" si="2"/>
        <v/>
      </c>
      <c r="O1484" s="125"/>
      <c r="P1484" s="125"/>
      <c r="Q1484" s="125"/>
      <c r="R1484" s="125"/>
      <c r="S1484" s="628">
        <f t="shared" si="3"/>
        <v>0</v>
      </c>
      <c r="T1484" s="627" t="s">
        <v>51</v>
      </c>
      <c r="U1484" s="627" t="s">
        <v>51</v>
      </c>
      <c r="V1484" s="627" t="s">
        <v>51</v>
      </c>
      <c r="W1484" s="627" t="s">
        <v>51</v>
      </c>
      <c r="X1484" s="627" t="s">
        <v>51</v>
      </c>
      <c r="Y1484" s="89"/>
    </row>
    <row r="1485" ht="22.5" customHeight="1">
      <c r="A1485" s="223"/>
      <c r="B1485" s="125"/>
      <c r="C1485" s="125"/>
      <c r="D1485" s="125"/>
      <c r="E1485" s="125"/>
      <c r="F1485" s="125"/>
      <c r="G1485" s="125"/>
      <c r="H1485" s="125"/>
      <c r="I1485" s="627" t="s">
        <v>51</v>
      </c>
      <c r="J1485" s="125" t="s">
        <v>51</v>
      </c>
      <c r="K1485" s="125" t="s">
        <v>51</v>
      </c>
      <c r="L1485" s="125" t="s">
        <v>51</v>
      </c>
      <c r="M1485" s="125" t="str">
        <f t="shared" si="1"/>
        <v/>
      </c>
      <c r="N1485" s="125" t="str">
        <f t="shared" si="2"/>
        <v/>
      </c>
      <c r="O1485" s="125"/>
      <c r="P1485" s="125"/>
      <c r="Q1485" s="125"/>
      <c r="R1485" s="125"/>
      <c r="S1485" s="628">
        <f t="shared" si="3"/>
        <v>0</v>
      </c>
      <c r="T1485" s="627" t="s">
        <v>51</v>
      </c>
      <c r="U1485" s="627" t="s">
        <v>51</v>
      </c>
      <c r="V1485" s="627" t="s">
        <v>51</v>
      </c>
      <c r="W1485" s="627" t="s">
        <v>51</v>
      </c>
      <c r="X1485" s="627" t="s">
        <v>51</v>
      </c>
      <c r="Y1485" s="89"/>
    </row>
    <row r="1486" ht="22.5" customHeight="1">
      <c r="A1486" s="223"/>
      <c r="B1486" s="125"/>
      <c r="C1486" s="125"/>
      <c r="D1486" s="125"/>
      <c r="E1486" s="125"/>
      <c r="F1486" s="125"/>
      <c r="G1486" s="125"/>
      <c r="H1486" s="125"/>
      <c r="I1486" s="627" t="s">
        <v>51</v>
      </c>
      <c r="J1486" s="125" t="s">
        <v>51</v>
      </c>
      <c r="K1486" s="125" t="s">
        <v>51</v>
      </c>
      <c r="L1486" s="125" t="s">
        <v>51</v>
      </c>
      <c r="M1486" s="125" t="str">
        <f t="shared" si="1"/>
        <v/>
      </c>
      <c r="N1486" s="125" t="str">
        <f t="shared" si="2"/>
        <v/>
      </c>
      <c r="O1486" s="125"/>
      <c r="P1486" s="125"/>
      <c r="Q1486" s="125"/>
      <c r="R1486" s="125"/>
      <c r="S1486" s="628">
        <f t="shared" si="3"/>
        <v>0</v>
      </c>
      <c r="T1486" s="627" t="s">
        <v>51</v>
      </c>
      <c r="U1486" s="627" t="s">
        <v>51</v>
      </c>
      <c r="V1486" s="627" t="s">
        <v>51</v>
      </c>
      <c r="W1486" s="627" t="s">
        <v>51</v>
      </c>
      <c r="X1486" s="627" t="s">
        <v>51</v>
      </c>
      <c r="Y1486" s="89"/>
    </row>
    <row r="1487" ht="22.5" customHeight="1">
      <c r="A1487" s="223"/>
      <c r="B1487" s="125"/>
      <c r="C1487" s="125"/>
      <c r="D1487" s="125"/>
      <c r="E1487" s="125"/>
      <c r="F1487" s="125"/>
      <c r="G1487" s="125"/>
      <c r="H1487" s="125"/>
      <c r="I1487" s="627" t="s">
        <v>51</v>
      </c>
      <c r="J1487" s="125" t="s">
        <v>51</v>
      </c>
      <c r="K1487" s="125" t="s">
        <v>51</v>
      </c>
      <c r="L1487" s="125" t="s">
        <v>51</v>
      </c>
      <c r="M1487" s="125" t="str">
        <f t="shared" si="1"/>
        <v/>
      </c>
      <c r="N1487" s="125" t="str">
        <f t="shared" si="2"/>
        <v/>
      </c>
      <c r="O1487" s="125"/>
      <c r="P1487" s="125"/>
      <c r="Q1487" s="125"/>
      <c r="R1487" s="125"/>
      <c r="S1487" s="628">
        <f t="shared" si="3"/>
        <v>0</v>
      </c>
      <c r="T1487" s="627" t="s">
        <v>51</v>
      </c>
      <c r="U1487" s="627" t="s">
        <v>51</v>
      </c>
      <c r="V1487" s="627" t="s">
        <v>51</v>
      </c>
      <c r="W1487" s="627" t="s">
        <v>51</v>
      </c>
      <c r="X1487" s="627" t="s">
        <v>51</v>
      </c>
      <c r="Y1487" s="89"/>
    </row>
    <row r="1488" ht="22.5" customHeight="1">
      <c r="A1488" s="223"/>
      <c r="B1488" s="125"/>
      <c r="C1488" s="125"/>
      <c r="D1488" s="125"/>
      <c r="E1488" s="125"/>
      <c r="F1488" s="125"/>
      <c r="G1488" s="125"/>
      <c r="H1488" s="125"/>
      <c r="I1488" s="627" t="s">
        <v>51</v>
      </c>
      <c r="J1488" s="125" t="s">
        <v>51</v>
      </c>
      <c r="K1488" s="125" t="s">
        <v>51</v>
      </c>
      <c r="L1488" s="125" t="s">
        <v>51</v>
      </c>
      <c r="M1488" s="125" t="str">
        <f t="shared" si="1"/>
        <v/>
      </c>
      <c r="N1488" s="125" t="str">
        <f t="shared" si="2"/>
        <v/>
      </c>
      <c r="O1488" s="125"/>
      <c r="P1488" s="125"/>
      <c r="Q1488" s="125"/>
      <c r="R1488" s="125"/>
      <c r="S1488" s="628">
        <f t="shared" si="3"/>
        <v>0</v>
      </c>
      <c r="T1488" s="627" t="s">
        <v>51</v>
      </c>
      <c r="U1488" s="627" t="s">
        <v>51</v>
      </c>
      <c r="V1488" s="627" t="s">
        <v>51</v>
      </c>
      <c r="W1488" s="627" t="s">
        <v>51</v>
      </c>
      <c r="X1488" s="627" t="s">
        <v>51</v>
      </c>
      <c r="Y1488" s="89"/>
    </row>
    <row r="1489" ht="22.5" customHeight="1">
      <c r="A1489" s="223"/>
      <c r="B1489" s="125"/>
      <c r="C1489" s="125"/>
      <c r="D1489" s="125"/>
      <c r="E1489" s="125"/>
      <c r="F1489" s="125"/>
      <c r="G1489" s="125"/>
      <c r="H1489" s="125"/>
      <c r="I1489" s="627" t="s">
        <v>51</v>
      </c>
      <c r="J1489" s="125" t="s">
        <v>51</v>
      </c>
      <c r="K1489" s="125" t="s">
        <v>51</v>
      </c>
      <c r="L1489" s="125" t="s">
        <v>51</v>
      </c>
      <c r="M1489" s="125" t="str">
        <f t="shared" si="1"/>
        <v/>
      </c>
      <c r="N1489" s="125" t="str">
        <f t="shared" si="2"/>
        <v/>
      </c>
      <c r="O1489" s="125"/>
      <c r="P1489" s="125"/>
      <c r="Q1489" s="125"/>
      <c r="R1489" s="125"/>
      <c r="S1489" s="628">
        <f t="shared" si="3"/>
        <v>0</v>
      </c>
      <c r="T1489" s="627" t="s">
        <v>51</v>
      </c>
      <c r="U1489" s="627" t="s">
        <v>51</v>
      </c>
      <c r="V1489" s="627" t="s">
        <v>51</v>
      </c>
      <c r="W1489" s="627" t="s">
        <v>51</v>
      </c>
      <c r="X1489" s="627" t="s">
        <v>51</v>
      </c>
      <c r="Y1489" s="89"/>
    </row>
    <row r="1490" ht="22.5" customHeight="1">
      <c r="A1490" s="223"/>
      <c r="B1490" s="125"/>
      <c r="C1490" s="125"/>
      <c r="D1490" s="125"/>
      <c r="E1490" s="125"/>
      <c r="F1490" s="125"/>
      <c r="G1490" s="125"/>
      <c r="H1490" s="125"/>
      <c r="I1490" s="627" t="s">
        <v>51</v>
      </c>
      <c r="J1490" s="125" t="s">
        <v>51</v>
      </c>
      <c r="K1490" s="125" t="s">
        <v>51</v>
      </c>
      <c r="L1490" s="125" t="s">
        <v>51</v>
      </c>
      <c r="M1490" s="125" t="str">
        <f t="shared" si="1"/>
        <v/>
      </c>
      <c r="N1490" s="125" t="str">
        <f t="shared" si="2"/>
        <v/>
      </c>
      <c r="O1490" s="125"/>
      <c r="P1490" s="125"/>
      <c r="Q1490" s="125"/>
      <c r="R1490" s="125"/>
      <c r="S1490" s="628">
        <f t="shared" si="3"/>
        <v>0</v>
      </c>
      <c r="T1490" s="627" t="s">
        <v>51</v>
      </c>
      <c r="U1490" s="627" t="s">
        <v>51</v>
      </c>
      <c r="V1490" s="627" t="s">
        <v>51</v>
      </c>
      <c r="W1490" s="627" t="s">
        <v>51</v>
      </c>
      <c r="X1490" s="627" t="s">
        <v>51</v>
      </c>
      <c r="Y1490" s="89"/>
    </row>
    <row r="1491" ht="22.5" customHeight="1">
      <c r="A1491" s="223"/>
      <c r="B1491" s="125"/>
      <c r="C1491" s="125"/>
      <c r="D1491" s="125"/>
      <c r="E1491" s="125"/>
      <c r="F1491" s="125"/>
      <c r="G1491" s="125"/>
      <c r="H1491" s="125"/>
      <c r="I1491" s="627" t="s">
        <v>51</v>
      </c>
      <c r="J1491" s="125" t="s">
        <v>51</v>
      </c>
      <c r="K1491" s="125" t="s">
        <v>51</v>
      </c>
      <c r="L1491" s="125" t="s">
        <v>51</v>
      </c>
      <c r="M1491" s="125" t="str">
        <f t="shared" si="1"/>
        <v/>
      </c>
      <c r="N1491" s="125" t="str">
        <f t="shared" si="2"/>
        <v/>
      </c>
      <c r="O1491" s="125"/>
      <c r="P1491" s="125"/>
      <c r="Q1491" s="125"/>
      <c r="R1491" s="125"/>
      <c r="S1491" s="628">
        <f t="shared" si="3"/>
        <v>0</v>
      </c>
      <c r="T1491" s="627" t="s">
        <v>51</v>
      </c>
      <c r="U1491" s="627" t="s">
        <v>51</v>
      </c>
      <c r="V1491" s="627" t="s">
        <v>51</v>
      </c>
      <c r="W1491" s="627" t="s">
        <v>51</v>
      </c>
      <c r="X1491" s="627" t="s">
        <v>51</v>
      </c>
      <c r="Y1491" s="89"/>
    </row>
    <row r="1492" ht="22.5" customHeight="1">
      <c r="A1492" s="223"/>
      <c r="B1492" s="125"/>
      <c r="C1492" s="125"/>
      <c r="D1492" s="125"/>
      <c r="E1492" s="125"/>
      <c r="F1492" s="125"/>
      <c r="G1492" s="125"/>
      <c r="H1492" s="125"/>
      <c r="I1492" s="627" t="s">
        <v>51</v>
      </c>
      <c r="J1492" s="125" t="s">
        <v>51</v>
      </c>
      <c r="K1492" s="125" t="s">
        <v>51</v>
      </c>
      <c r="L1492" s="125" t="s">
        <v>51</v>
      </c>
      <c r="M1492" s="125" t="str">
        <f t="shared" si="1"/>
        <v/>
      </c>
      <c r="N1492" s="125" t="str">
        <f t="shared" si="2"/>
        <v/>
      </c>
      <c r="O1492" s="125"/>
      <c r="P1492" s="125"/>
      <c r="Q1492" s="125"/>
      <c r="R1492" s="125"/>
      <c r="S1492" s="628">
        <f t="shared" si="3"/>
        <v>0</v>
      </c>
      <c r="T1492" s="627" t="s">
        <v>51</v>
      </c>
      <c r="U1492" s="627" t="s">
        <v>51</v>
      </c>
      <c r="V1492" s="627" t="s">
        <v>51</v>
      </c>
      <c r="W1492" s="627" t="s">
        <v>51</v>
      </c>
      <c r="X1492" s="627" t="s">
        <v>51</v>
      </c>
      <c r="Y1492" s="89"/>
    </row>
    <row r="1493" ht="22.5" customHeight="1">
      <c r="A1493" s="223"/>
      <c r="B1493" s="125"/>
      <c r="C1493" s="125"/>
      <c r="D1493" s="125"/>
      <c r="E1493" s="125"/>
      <c r="F1493" s="125"/>
      <c r="G1493" s="125"/>
      <c r="H1493" s="125"/>
      <c r="I1493" s="627" t="s">
        <v>51</v>
      </c>
      <c r="J1493" s="125" t="s">
        <v>51</v>
      </c>
      <c r="K1493" s="125" t="s">
        <v>51</v>
      </c>
      <c r="L1493" s="125" t="s">
        <v>51</v>
      </c>
      <c r="M1493" s="125" t="str">
        <f t="shared" si="1"/>
        <v/>
      </c>
      <c r="N1493" s="125" t="str">
        <f t="shared" si="2"/>
        <v/>
      </c>
      <c r="O1493" s="125"/>
      <c r="P1493" s="125"/>
      <c r="Q1493" s="125"/>
      <c r="R1493" s="125"/>
      <c r="S1493" s="628">
        <f t="shared" si="3"/>
        <v>0</v>
      </c>
      <c r="T1493" s="627" t="s">
        <v>51</v>
      </c>
      <c r="U1493" s="627" t="s">
        <v>51</v>
      </c>
      <c r="V1493" s="627" t="s">
        <v>51</v>
      </c>
      <c r="W1493" s="627" t="s">
        <v>51</v>
      </c>
      <c r="X1493" s="627" t="s">
        <v>51</v>
      </c>
      <c r="Y1493" s="89"/>
    </row>
    <row r="1494" ht="22.5" customHeight="1">
      <c r="A1494" s="223"/>
      <c r="B1494" s="125"/>
      <c r="C1494" s="125"/>
      <c r="D1494" s="125"/>
      <c r="E1494" s="125"/>
      <c r="F1494" s="125"/>
      <c r="G1494" s="125"/>
      <c r="H1494" s="125"/>
      <c r="I1494" s="627" t="s">
        <v>51</v>
      </c>
      <c r="J1494" s="125" t="s">
        <v>51</v>
      </c>
      <c r="K1494" s="125" t="s">
        <v>51</v>
      </c>
      <c r="L1494" s="125" t="s">
        <v>51</v>
      </c>
      <c r="M1494" s="125" t="str">
        <f t="shared" si="1"/>
        <v/>
      </c>
      <c r="N1494" s="125" t="str">
        <f t="shared" si="2"/>
        <v/>
      </c>
      <c r="O1494" s="125"/>
      <c r="P1494" s="125"/>
      <c r="Q1494" s="125"/>
      <c r="R1494" s="125"/>
      <c r="S1494" s="628">
        <f t="shared" si="3"/>
        <v>0</v>
      </c>
      <c r="T1494" s="627" t="s">
        <v>51</v>
      </c>
      <c r="U1494" s="627" t="s">
        <v>51</v>
      </c>
      <c r="V1494" s="627" t="s">
        <v>51</v>
      </c>
      <c r="W1494" s="627" t="s">
        <v>51</v>
      </c>
      <c r="X1494" s="627" t="s">
        <v>51</v>
      </c>
      <c r="Y1494" s="89"/>
    </row>
    <row r="1495" ht="22.5" customHeight="1">
      <c r="A1495" s="223"/>
      <c r="B1495" s="125"/>
      <c r="C1495" s="125"/>
      <c r="D1495" s="125"/>
      <c r="E1495" s="125"/>
      <c r="F1495" s="125"/>
      <c r="G1495" s="125"/>
      <c r="H1495" s="125"/>
      <c r="I1495" s="627" t="s">
        <v>51</v>
      </c>
      <c r="J1495" s="125" t="s">
        <v>51</v>
      </c>
      <c r="K1495" s="125" t="s">
        <v>51</v>
      </c>
      <c r="L1495" s="125" t="s">
        <v>51</v>
      </c>
      <c r="M1495" s="125" t="str">
        <f t="shared" si="1"/>
        <v/>
      </c>
      <c r="N1495" s="125" t="str">
        <f t="shared" si="2"/>
        <v/>
      </c>
      <c r="O1495" s="125"/>
      <c r="P1495" s="125"/>
      <c r="Q1495" s="125"/>
      <c r="R1495" s="125"/>
      <c r="S1495" s="628">
        <f t="shared" si="3"/>
        <v>0</v>
      </c>
      <c r="T1495" s="627" t="s">
        <v>51</v>
      </c>
      <c r="U1495" s="627" t="s">
        <v>51</v>
      </c>
      <c r="V1495" s="627" t="s">
        <v>51</v>
      </c>
      <c r="W1495" s="627" t="s">
        <v>51</v>
      </c>
      <c r="X1495" s="627" t="s">
        <v>51</v>
      </c>
      <c r="Y1495" s="89"/>
    </row>
    <row r="1496" ht="22.5" customHeight="1">
      <c r="A1496" s="223"/>
      <c r="B1496" s="125"/>
      <c r="C1496" s="125"/>
      <c r="D1496" s="125"/>
      <c r="E1496" s="125"/>
      <c r="F1496" s="125"/>
      <c r="G1496" s="125"/>
      <c r="H1496" s="125"/>
      <c r="I1496" s="627" t="s">
        <v>51</v>
      </c>
      <c r="J1496" s="125" t="s">
        <v>51</v>
      </c>
      <c r="K1496" s="125" t="s">
        <v>51</v>
      </c>
      <c r="L1496" s="125" t="s">
        <v>51</v>
      </c>
      <c r="M1496" s="125" t="str">
        <f t="shared" si="1"/>
        <v/>
      </c>
      <c r="N1496" s="125" t="str">
        <f t="shared" si="2"/>
        <v/>
      </c>
      <c r="O1496" s="125"/>
      <c r="P1496" s="125"/>
      <c r="Q1496" s="125"/>
      <c r="R1496" s="125"/>
      <c r="S1496" s="628">
        <f t="shared" si="3"/>
        <v>0</v>
      </c>
      <c r="T1496" s="627" t="s">
        <v>51</v>
      </c>
      <c r="U1496" s="627" t="s">
        <v>51</v>
      </c>
      <c r="V1496" s="627" t="s">
        <v>51</v>
      </c>
      <c r="W1496" s="627" t="s">
        <v>51</v>
      </c>
      <c r="X1496" s="627" t="s">
        <v>51</v>
      </c>
      <c r="Y1496" s="89"/>
    </row>
    <row r="1497" ht="22.5" customHeight="1">
      <c r="A1497" s="223"/>
      <c r="B1497" s="125"/>
      <c r="C1497" s="125"/>
      <c r="D1497" s="125"/>
      <c r="E1497" s="125"/>
      <c r="F1497" s="125"/>
      <c r="G1497" s="125"/>
      <c r="H1497" s="125"/>
      <c r="I1497" s="627" t="s">
        <v>51</v>
      </c>
      <c r="J1497" s="125" t="s">
        <v>51</v>
      </c>
      <c r="K1497" s="125" t="s">
        <v>51</v>
      </c>
      <c r="L1497" s="125" t="s">
        <v>51</v>
      </c>
      <c r="M1497" s="125" t="str">
        <f t="shared" si="1"/>
        <v/>
      </c>
      <c r="N1497" s="125" t="str">
        <f t="shared" si="2"/>
        <v/>
      </c>
      <c r="O1497" s="125"/>
      <c r="P1497" s="125"/>
      <c r="Q1497" s="125"/>
      <c r="R1497" s="125"/>
      <c r="S1497" s="628">
        <f t="shared" si="3"/>
        <v>0</v>
      </c>
      <c r="T1497" s="627" t="s">
        <v>51</v>
      </c>
      <c r="U1497" s="627" t="s">
        <v>51</v>
      </c>
      <c r="V1497" s="627" t="s">
        <v>51</v>
      </c>
      <c r="W1497" s="627" t="s">
        <v>51</v>
      </c>
      <c r="X1497" s="627" t="s">
        <v>51</v>
      </c>
      <c r="Y1497" s="89"/>
    </row>
    <row r="1498" ht="22.5" customHeight="1">
      <c r="A1498" s="223"/>
      <c r="B1498" s="125"/>
      <c r="C1498" s="125"/>
      <c r="D1498" s="125"/>
      <c r="E1498" s="125"/>
      <c r="F1498" s="125"/>
      <c r="G1498" s="125"/>
      <c r="H1498" s="125"/>
      <c r="I1498" s="627" t="s">
        <v>51</v>
      </c>
      <c r="J1498" s="125" t="s">
        <v>51</v>
      </c>
      <c r="K1498" s="125" t="s">
        <v>51</v>
      </c>
      <c r="L1498" s="125" t="s">
        <v>51</v>
      </c>
      <c r="M1498" s="125" t="str">
        <f t="shared" si="1"/>
        <v/>
      </c>
      <c r="N1498" s="125" t="str">
        <f t="shared" si="2"/>
        <v/>
      </c>
      <c r="O1498" s="125"/>
      <c r="P1498" s="125"/>
      <c r="Q1498" s="125"/>
      <c r="R1498" s="125"/>
      <c r="S1498" s="628">
        <f t="shared" si="3"/>
        <v>0</v>
      </c>
      <c r="T1498" s="627" t="s">
        <v>51</v>
      </c>
      <c r="U1498" s="627" t="s">
        <v>51</v>
      </c>
      <c r="V1498" s="627" t="s">
        <v>51</v>
      </c>
      <c r="W1498" s="627" t="s">
        <v>51</v>
      </c>
      <c r="X1498" s="627" t="s">
        <v>51</v>
      </c>
      <c r="Y1498" s="89"/>
    </row>
    <row r="1499" ht="22.5" customHeight="1">
      <c r="A1499" s="223"/>
      <c r="B1499" s="125"/>
      <c r="C1499" s="125"/>
      <c r="D1499" s="125"/>
      <c r="E1499" s="125"/>
      <c r="F1499" s="125"/>
      <c r="G1499" s="125"/>
      <c r="H1499" s="125"/>
      <c r="I1499" s="627" t="s">
        <v>51</v>
      </c>
      <c r="J1499" s="125" t="s">
        <v>51</v>
      </c>
      <c r="K1499" s="125" t="s">
        <v>51</v>
      </c>
      <c r="L1499" s="125" t="s">
        <v>51</v>
      </c>
      <c r="M1499" s="125" t="str">
        <f t="shared" si="1"/>
        <v/>
      </c>
      <c r="N1499" s="125" t="str">
        <f t="shared" si="2"/>
        <v/>
      </c>
      <c r="O1499" s="125"/>
      <c r="P1499" s="125"/>
      <c r="Q1499" s="125"/>
      <c r="R1499" s="125"/>
      <c r="S1499" s="628">
        <f t="shared" si="3"/>
        <v>0</v>
      </c>
      <c r="T1499" s="627" t="s">
        <v>51</v>
      </c>
      <c r="U1499" s="627" t="s">
        <v>51</v>
      </c>
      <c r="V1499" s="627" t="s">
        <v>51</v>
      </c>
      <c r="W1499" s="627" t="s">
        <v>51</v>
      </c>
      <c r="X1499" s="627" t="s">
        <v>51</v>
      </c>
      <c r="Y1499" s="89"/>
    </row>
    <row r="1500" ht="22.5" customHeight="1">
      <c r="A1500" s="223"/>
      <c r="B1500" s="125"/>
      <c r="C1500" s="125"/>
      <c r="D1500" s="125"/>
      <c r="E1500" s="125"/>
      <c r="F1500" s="125"/>
      <c r="G1500" s="125"/>
      <c r="H1500" s="125"/>
      <c r="I1500" s="627" t="s">
        <v>51</v>
      </c>
      <c r="J1500" s="125" t="s">
        <v>51</v>
      </c>
      <c r="K1500" s="125" t="s">
        <v>51</v>
      </c>
      <c r="L1500" s="125" t="s">
        <v>51</v>
      </c>
      <c r="M1500" s="125" t="str">
        <f t="shared" si="1"/>
        <v/>
      </c>
      <c r="N1500" s="125" t="str">
        <f t="shared" si="2"/>
        <v/>
      </c>
      <c r="O1500" s="125"/>
      <c r="P1500" s="125"/>
      <c r="Q1500" s="125"/>
      <c r="R1500" s="125"/>
      <c r="S1500" s="628">
        <f t="shared" si="3"/>
        <v>0</v>
      </c>
      <c r="T1500" s="627" t="s">
        <v>51</v>
      </c>
      <c r="U1500" s="627" t="s">
        <v>51</v>
      </c>
      <c r="V1500" s="627" t="s">
        <v>51</v>
      </c>
      <c r="W1500" s="627" t="s">
        <v>51</v>
      </c>
      <c r="X1500" s="627" t="s">
        <v>51</v>
      </c>
      <c r="Y1500" s="89"/>
    </row>
    <row r="1501" ht="22.5" customHeight="1">
      <c r="A1501" s="223"/>
      <c r="B1501" s="125"/>
      <c r="C1501" s="125"/>
      <c r="D1501" s="125"/>
      <c r="E1501" s="125"/>
      <c r="F1501" s="125"/>
      <c r="G1501" s="125"/>
      <c r="H1501" s="125"/>
      <c r="I1501" s="627" t="s">
        <v>51</v>
      </c>
      <c r="J1501" s="125" t="s">
        <v>51</v>
      </c>
      <c r="K1501" s="125" t="s">
        <v>51</v>
      </c>
      <c r="L1501" s="125" t="s">
        <v>51</v>
      </c>
      <c r="M1501" s="125" t="str">
        <f t="shared" si="1"/>
        <v/>
      </c>
      <c r="N1501" s="125" t="str">
        <f t="shared" si="2"/>
        <v/>
      </c>
      <c r="O1501" s="125"/>
      <c r="P1501" s="125"/>
      <c r="Q1501" s="125"/>
      <c r="R1501" s="125"/>
      <c r="S1501" s="628">
        <f t="shared" si="3"/>
        <v>0</v>
      </c>
      <c r="T1501" s="627" t="s">
        <v>51</v>
      </c>
      <c r="U1501" s="627" t="s">
        <v>51</v>
      </c>
      <c r="V1501" s="627" t="s">
        <v>51</v>
      </c>
      <c r="W1501" s="627" t="s">
        <v>51</v>
      </c>
      <c r="X1501" s="627" t="s">
        <v>51</v>
      </c>
      <c r="Y1501" s="89"/>
    </row>
    <row r="1502" ht="22.5" customHeight="1">
      <c r="A1502" s="223"/>
      <c r="B1502" s="125"/>
      <c r="C1502" s="125"/>
      <c r="D1502" s="125"/>
      <c r="E1502" s="125"/>
      <c r="F1502" s="125"/>
      <c r="G1502" s="125"/>
      <c r="H1502" s="125"/>
      <c r="I1502" s="627" t="s">
        <v>51</v>
      </c>
      <c r="J1502" s="125" t="s">
        <v>51</v>
      </c>
      <c r="K1502" s="125" t="s">
        <v>51</v>
      </c>
      <c r="L1502" s="125" t="s">
        <v>51</v>
      </c>
      <c r="M1502" s="125" t="str">
        <f t="shared" si="1"/>
        <v/>
      </c>
      <c r="N1502" s="125" t="str">
        <f t="shared" si="2"/>
        <v/>
      </c>
      <c r="O1502" s="125"/>
      <c r="P1502" s="125"/>
      <c r="Q1502" s="125"/>
      <c r="R1502" s="125"/>
      <c r="S1502" s="628">
        <f t="shared" si="3"/>
        <v>0</v>
      </c>
      <c r="T1502" s="627" t="s">
        <v>51</v>
      </c>
      <c r="U1502" s="627" t="s">
        <v>51</v>
      </c>
      <c r="V1502" s="627" t="s">
        <v>51</v>
      </c>
      <c r="W1502" s="627" t="s">
        <v>51</v>
      </c>
      <c r="X1502" s="627" t="s">
        <v>51</v>
      </c>
      <c r="Y1502" s="89"/>
    </row>
    <row r="1503" ht="22.5" customHeight="1">
      <c r="A1503" s="223"/>
      <c r="B1503" s="125"/>
      <c r="C1503" s="125"/>
      <c r="D1503" s="125"/>
      <c r="E1503" s="125"/>
      <c r="F1503" s="125"/>
      <c r="G1503" s="125"/>
      <c r="H1503" s="125"/>
      <c r="I1503" s="627" t="s">
        <v>51</v>
      </c>
      <c r="J1503" s="125" t="s">
        <v>51</v>
      </c>
      <c r="K1503" s="125" t="s">
        <v>51</v>
      </c>
      <c r="L1503" s="125" t="s">
        <v>51</v>
      </c>
      <c r="M1503" s="125" t="str">
        <f t="shared" si="1"/>
        <v/>
      </c>
      <c r="N1503" s="125" t="str">
        <f t="shared" si="2"/>
        <v/>
      </c>
      <c r="O1503" s="125"/>
      <c r="P1503" s="125"/>
      <c r="Q1503" s="125"/>
      <c r="R1503" s="125"/>
      <c r="S1503" s="628">
        <f t="shared" si="3"/>
        <v>0</v>
      </c>
      <c r="T1503" s="627" t="s">
        <v>51</v>
      </c>
      <c r="U1503" s="627" t="s">
        <v>51</v>
      </c>
      <c r="V1503" s="627" t="s">
        <v>51</v>
      </c>
      <c r="W1503" s="627" t="s">
        <v>51</v>
      </c>
      <c r="X1503" s="627" t="s">
        <v>51</v>
      </c>
      <c r="Y1503" s="89"/>
    </row>
    <row r="1504" ht="22.5" customHeight="1">
      <c r="A1504" s="223"/>
      <c r="B1504" s="125"/>
      <c r="C1504" s="125"/>
      <c r="D1504" s="125"/>
      <c r="E1504" s="125"/>
      <c r="F1504" s="125"/>
      <c r="G1504" s="125"/>
      <c r="H1504" s="125"/>
      <c r="I1504" s="627" t="s">
        <v>51</v>
      </c>
      <c r="J1504" s="125" t="s">
        <v>51</v>
      </c>
      <c r="K1504" s="125" t="s">
        <v>51</v>
      </c>
      <c r="L1504" s="125" t="s">
        <v>51</v>
      </c>
      <c r="M1504" s="125" t="str">
        <f t="shared" si="1"/>
        <v/>
      </c>
      <c r="N1504" s="125" t="str">
        <f t="shared" si="2"/>
        <v/>
      </c>
      <c r="O1504" s="125"/>
      <c r="P1504" s="125"/>
      <c r="Q1504" s="125"/>
      <c r="R1504" s="125"/>
      <c r="S1504" s="628">
        <f t="shared" si="3"/>
        <v>0</v>
      </c>
      <c r="T1504" s="627" t="s">
        <v>51</v>
      </c>
      <c r="U1504" s="627" t="s">
        <v>51</v>
      </c>
      <c r="V1504" s="627" t="s">
        <v>51</v>
      </c>
      <c r="W1504" s="627" t="s">
        <v>51</v>
      </c>
      <c r="X1504" s="627" t="s">
        <v>51</v>
      </c>
      <c r="Y1504" s="89"/>
    </row>
    <row r="1505" ht="22.5" customHeight="1">
      <c r="A1505" s="223"/>
      <c r="B1505" s="125"/>
      <c r="C1505" s="125"/>
      <c r="D1505" s="125"/>
      <c r="E1505" s="125"/>
      <c r="F1505" s="125"/>
      <c r="G1505" s="125"/>
      <c r="H1505" s="125"/>
      <c r="I1505" s="627" t="s">
        <v>51</v>
      </c>
      <c r="J1505" s="125" t="s">
        <v>51</v>
      </c>
      <c r="K1505" s="125" t="s">
        <v>51</v>
      </c>
      <c r="L1505" s="125" t="s">
        <v>51</v>
      </c>
      <c r="M1505" s="125" t="str">
        <f t="shared" si="1"/>
        <v/>
      </c>
      <c r="N1505" s="125" t="str">
        <f t="shared" si="2"/>
        <v/>
      </c>
      <c r="O1505" s="125"/>
      <c r="P1505" s="125"/>
      <c r="Q1505" s="125"/>
      <c r="R1505" s="125"/>
      <c r="S1505" s="628">
        <f t="shared" si="3"/>
        <v>0</v>
      </c>
      <c r="T1505" s="627" t="s">
        <v>51</v>
      </c>
      <c r="U1505" s="627" t="s">
        <v>51</v>
      </c>
      <c r="V1505" s="627" t="s">
        <v>51</v>
      </c>
      <c r="W1505" s="627" t="s">
        <v>51</v>
      </c>
      <c r="X1505" s="627" t="s">
        <v>51</v>
      </c>
      <c r="Y1505" s="89"/>
    </row>
    <row r="1506" ht="22.5" customHeight="1">
      <c r="A1506" s="223"/>
      <c r="B1506" s="125"/>
      <c r="C1506" s="125"/>
      <c r="D1506" s="125"/>
      <c r="E1506" s="125"/>
      <c r="F1506" s="125"/>
      <c r="G1506" s="125"/>
      <c r="H1506" s="125"/>
      <c r="I1506" s="627" t="s">
        <v>51</v>
      </c>
      <c r="J1506" s="125" t="s">
        <v>51</v>
      </c>
      <c r="K1506" s="125" t="s">
        <v>51</v>
      </c>
      <c r="L1506" s="125" t="s">
        <v>51</v>
      </c>
      <c r="M1506" s="125" t="str">
        <f t="shared" si="1"/>
        <v/>
      </c>
      <c r="N1506" s="125" t="str">
        <f t="shared" si="2"/>
        <v/>
      </c>
      <c r="O1506" s="125"/>
      <c r="P1506" s="125"/>
      <c r="Q1506" s="125"/>
      <c r="R1506" s="125"/>
      <c r="S1506" s="628">
        <f t="shared" si="3"/>
        <v>0</v>
      </c>
      <c r="T1506" s="627" t="s">
        <v>51</v>
      </c>
      <c r="U1506" s="627" t="s">
        <v>51</v>
      </c>
      <c r="V1506" s="627" t="s">
        <v>51</v>
      </c>
      <c r="W1506" s="627" t="s">
        <v>51</v>
      </c>
      <c r="X1506" s="627" t="s">
        <v>51</v>
      </c>
      <c r="Y1506" s="89"/>
    </row>
    <row r="1507" ht="22.5" customHeight="1">
      <c r="A1507" s="223"/>
      <c r="B1507" s="125"/>
      <c r="C1507" s="125"/>
      <c r="D1507" s="125"/>
      <c r="E1507" s="125"/>
      <c r="F1507" s="125"/>
      <c r="G1507" s="125"/>
      <c r="H1507" s="125"/>
      <c r="I1507" s="627" t="s">
        <v>51</v>
      </c>
      <c r="J1507" s="125" t="s">
        <v>51</v>
      </c>
      <c r="K1507" s="125" t="s">
        <v>51</v>
      </c>
      <c r="L1507" s="125" t="s">
        <v>51</v>
      </c>
      <c r="M1507" s="125" t="str">
        <f t="shared" si="1"/>
        <v/>
      </c>
      <c r="N1507" s="125" t="str">
        <f t="shared" si="2"/>
        <v/>
      </c>
      <c r="O1507" s="125"/>
      <c r="P1507" s="125"/>
      <c r="Q1507" s="125"/>
      <c r="R1507" s="125"/>
      <c r="S1507" s="628">
        <f t="shared" si="3"/>
        <v>0</v>
      </c>
      <c r="T1507" s="627" t="s">
        <v>51</v>
      </c>
      <c r="U1507" s="627" t="s">
        <v>51</v>
      </c>
      <c r="V1507" s="627" t="s">
        <v>51</v>
      </c>
      <c r="W1507" s="627" t="s">
        <v>51</v>
      </c>
      <c r="X1507" s="627" t="s">
        <v>51</v>
      </c>
      <c r="Y1507" s="89"/>
    </row>
    <row r="1508" ht="22.5" customHeight="1">
      <c r="A1508" s="223"/>
      <c r="B1508" s="125"/>
      <c r="C1508" s="125"/>
      <c r="D1508" s="125"/>
      <c r="E1508" s="125"/>
      <c r="F1508" s="125"/>
      <c r="G1508" s="125"/>
      <c r="H1508" s="125"/>
      <c r="I1508" s="627" t="s">
        <v>51</v>
      </c>
      <c r="J1508" s="125" t="s">
        <v>51</v>
      </c>
      <c r="K1508" s="125" t="s">
        <v>51</v>
      </c>
      <c r="L1508" s="125" t="s">
        <v>51</v>
      </c>
      <c r="M1508" s="125" t="str">
        <f t="shared" si="1"/>
        <v/>
      </c>
      <c r="N1508" s="125" t="str">
        <f t="shared" si="2"/>
        <v/>
      </c>
      <c r="O1508" s="125"/>
      <c r="P1508" s="125"/>
      <c r="Q1508" s="125"/>
      <c r="R1508" s="125"/>
      <c r="S1508" s="628">
        <f t="shared" si="3"/>
        <v>0</v>
      </c>
      <c r="T1508" s="627" t="s">
        <v>51</v>
      </c>
      <c r="U1508" s="627" t="s">
        <v>51</v>
      </c>
      <c r="V1508" s="627" t="s">
        <v>51</v>
      </c>
      <c r="W1508" s="627" t="s">
        <v>51</v>
      </c>
      <c r="X1508" s="627" t="s">
        <v>51</v>
      </c>
      <c r="Y1508" s="89"/>
    </row>
    <row r="1509" ht="22.5" customHeight="1">
      <c r="A1509" s="223"/>
      <c r="B1509" s="125"/>
      <c r="C1509" s="125"/>
      <c r="D1509" s="125"/>
      <c r="E1509" s="125"/>
      <c r="F1509" s="125"/>
      <c r="G1509" s="125"/>
      <c r="H1509" s="125"/>
      <c r="I1509" s="627" t="s">
        <v>51</v>
      </c>
      <c r="J1509" s="125" t="s">
        <v>51</v>
      </c>
      <c r="K1509" s="125" t="s">
        <v>51</v>
      </c>
      <c r="L1509" s="125" t="s">
        <v>51</v>
      </c>
      <c r="M1509" s="125" t="str">
        <f t="shared" si="1"/>
        <v/>
      </c>
      <c r="N1509" s="125" t="str">
        <f t="shared" si="2"/>
        <v/>
      </c>
      <c r="O1509" s="125"/>
      <c r="P1509" s="125"/>
      <c r="Q1509" s="125"/>
      <c r="R1509" s="125"/>
      <c r="S1509" s="628">
        <f t="shared" si="3"/>
        <v>0</v>
      </c>
      <c r="T1509" s="627" t="s">
        <v>51</v>
      </c>
      <c r="U1509" s="627" t="s">
        <v>51</v>
      </c>
      <c r="V1509" s="627" t="s">
        <v>51</v>
      </c>
      <c r="W1509" s="627" t="s">
        <v>51</v>
      </c>
      <c r="X1509" s="627" t="s">
        <v>51</v>
      </c>
      <c r="Y1509" s="89"/>
    </row>
    <row r="1510" ht="22.5" customHeight="1">
      <c r="A1510" s="223"/>
      <c r="B1510" s="125"/>
      <c r="C1510" s="125"/>
      <c r="D1510" s="125"/>
      <c r="E1510" s="125"/>
      <c r="F1510" s="125"/>
      <c r="G1510" s="125"/>
      <c r="H1510" s="125"/>
      <c r="I1510" s="627" t="s">
        <v>51</v>
      </c>
      <c r="J1510" s="125" t="s">
        <v>51</v>
      </c>
      <c r="K1510" s="125" t="s">
        <v>51</v>
      </c>
      <c r="L1510" s="125" t="s">
        <v>51</v>
      </c>
      <c r="M1510" s="125" t="str">
        <f t="shared" si="1"/>
        <v/>
      </c>
      <c r="N1510" s="125" t="str">
        <f t="shared" si="2"/>
        <v/>
      </c>
      <c r="O1510" s="125"/>
      <c r="P1510" s="125"/>
      <c r="Q1510" s="125"/>
      <c r="R1510" s="125"/>
      <c r="S1510" s="628">
        <f t="shared" si="3"/>
        <v>0</v>
      </c>
      <c r="T1510" s="627" t="s">
        <v>51</v>
      </c>
      <c r="U1510" s="627" t="s">
        <v>51</v>
      </c>
      <c r="V1510" s="627" t="s">
        <v>51</v>
      </c>
      <c r="W1510" s="627" t="s">
        <v>51</v>
      </c>
      <c r="X1510" s="627" t="s">
        <v>51</v>
      </c>
      <c r="Y1510" s="89"/>
    </row>
    <row r="1511" ht="22.5" customHeight="1">
      <c r="A1511" s="223"/>
      <c r="B1511" s="125"/>
      <c r="C1511" s="125"/>
      <c r="D1511" s="125"/>
      <c r="E1511" s="125"/>
      <c r="F1511" s="125"/>
      <c r="G1511" s="125"/>
      <c r="H1511" s="125"/>
      <c r="I1511" s="627" t="s">
        <v>51</v>
      </c>
      <c r="J1511" s="125" t="s">
        <v>51</v>
      </c>
      <c r="K1511" s="125" t="s">
        <v>51</v>
      </c>
      <c r="L1511" s="125" t="s">
        <v>51</v>
      </c>
      <c r="M1511" s="125" t="str">
        <f t="shared" si="1"/>
        <v/>
      </c>
      <c r="N1511" s="125" t="str">
        <f t="shared" si="2"/>
        <v/>
      </c>
      <c r="O1511" s="125"/>
      <c r="P1511" s="125"/>
      <c r="Q1511" s="125"/>
      <c r="R1511" s="125"/>
      <c r="S1511" s="628">
        <f t="shared" si="3"/>
        <v>0</v>
      </c>
      <c r="T1511" s="627" t="s">
        <v>51</v>
      </c>
      <c r="U1511" s="627" t="s">
        <v>51</v>
      </c>
      <c r="V1511" s="627" t="s">
        <v>51</v>
      </c>
      <c r="W1511" s="627" t="s">
        <v>51</v>
      </c>
      <c r="X1511" s="627" t="s">
        <v>51</v>
      </c>
      <c r="Y1511" s="89"/>
    </row>
    <row r="1512" ht="22.5" customHeight="1">
      <c r="A1512" s="223"/>
      <c r="B1512" s="125"/>
      <c r="C1512" s="125"/>
      <c r="D1512" s="125"/>
      <c r="E1512" s="125"/>
      <c r="F1512" s="125"/>
      <c r="G1512" s="125"/>
      <c r="H1512" s="125"/>
      <c r="I1512" s="627" t="s">
        <v>51</v>
      </c>
      <c r="J1512" s="125" t="s">
        <v>51</v>
      </c>
      <c r="K1512" s="125" t="s">
        <v>51</v>
      </c>
      <c r="L1512" s="125" t="s">
        <v>51</v>
      </c>
      <c r="M1512" s="125" t="str">
        <f t="shared" si="1"/>
        <v/>
      </c>
      <c r="N1512" s="125" t="str">
        <f t="shared" si="2"/>
        <v/>
      </c>
      <c r="O1512" s="125"/>
      <c r="P1512" s="125"/>
      <c r="Q1512" s="125"/>
      <c r="R1512" s="125"/>
      <c r="S1512" s="628">
        <f t="shared" si="3"/>
        <v>0</v>
      </c>
      <c r="T1512" s="627" t="s">
        <v>51</v>
      </c>
      <c r="U1512" s="627" t="s">
        <v>51</v>
      </c>
      <c r="V1512" s="627" t="s">
        <v>51</v>
      </c>
      <c r="W1512" s="627" t="s">
        <v>51</v>
      </c>
      <c r="X1512" s="627" t="s">
        <v>51</v>
      </c>
      <c r="Y1512" s="89"/>
    </row>
    <row r="1513" ht="22.5" customHeight="1">
      <c r="A1513" s="223"/>
      <c r="B1513" s="125"/>
      <c r="C1513" s="125"/>
      <c r="D1513" s="125"/>
      <c r="E1513" s="125"/>
      <c r="F1513" s="125"/>
      <c r="G1513" s="125"/>
      <c r="H1513" s="125"/>
      <c r="I1513" s="627" t="s">
        <v>51</v>
      </c>
      <c r="J1513" s="125" t="s">
        <v>51</v>
      </c>
      <c r="K1513" s="125" t="s">
        <v>51</v>
      </c>
      <c r="L1513" s="125" t="s">
        <v>51</v>
      </c>
      <c r="M1513" s="125" t="str">
        <f t="shared" si="1"/>
        <v/>
      </c>
      <c r="N1513" s="125" t="str">
        <f t="shared" si="2"/>
        <v/>
      </c>
      <c r="O1513" s="125"/>
      <c r="P1513" s="125"/>
      <c r="Q1513" s="125"/>
      <c r="R1513" s="125"/>
      <c r="S1513" s="628">
        <f t="shared" si="3"/>
        <v>0</v>
      </c>
      <c r="T1513" s="627" t="s">
        <v>51</v>
      </c>
      <c r="U1513" s="627" t="s">
        <v>51</v>
      </c>
      <c r="V1513" s="627" t="s">
        <v>51</v>
      </c>
      <c r="W1513" s="627" t="s">
        <v>51</v>
      </c>
      <c r="X1513" s="627" t="s">
        <v>51</v>
      </c>
      <c r="Y1513" s="89"/>
    </row>
    <row r="1514" ht="22.5" customHeight="1">
      <c r="A1514" s="223"/>
      <c r="B1514" s="125"/>
      <c r="C1514" s="125"/>
      <c r="D1514" s="125"/>
      <c r="E1514" s="125"/>
      <c r="F1514" s="125"/>
      <c r="G1514" s="125"/>
      <c r="H1514" s="125"/>
      <c r="I1514" s="627" t="s">
        <v>51</v>
      </c>
      <c r="J1514" s="125" t="s">
        <v>51</v>
      </c>
      <c r="K1514" s="125" t="s">
        <v>51</v>
      </c>
      <c r="L1514" s="125" t="s">
        <v>51</v>
      </c>
      <c r="M1514" s="125" t="str">
        <f t="shared" si="1"/>
        <v/>
      </c>
      <c r="N1514" s="125" t="str">
        <f t="shared" si="2"/>
        <v/>
      </c>
      <c r="O1514" s="125"/>
      <c r="P1514" s="125"/>
      <c r="Q1514" s="125"/>
      <c r="R1514" s="125"/>
      <c r="S1514" s="628">
        <f t="shared" si="3"/>
        <v>0</v>
      </c>
      <c r="T1514" s="627" t="s">
        <v>51</v>
      </c>
      <c r="U1514" s="627" t="s">
        <v>51</v>
      </c>
      <c r="V1514" s="627" t="s">
        <v>51</v>
      </c>
      <c r="W1514" s="627" t="s">
        <v>51</v>
      </c>
      <c r="X1514" s="627" t="s">
        <v>51</v>
      </c>
      <c r="Y1514" s="89"/>
    </row>
    <row r="1515" ht="22.5" customHeight="1">
      <c r="A1515" s="223"/>
      <c r="B1515" s="125"/>
      <c r="C1515" s="125"/>
      <c r="D1515" s="125"/>
      <c r="E1515" s="125"/>
      <c r="F1515" s="125"/>
      <c r="G1515" s="125"/>
      <c r="H1515" s="125"/>
      <c r="I1515" s="627" t="s">
        <v>51</v>
      </c>
      <c r="J1515" s="125" t="s">
        <v>51</v>
      </c>
      <c r="K1515" s="125" t="s">
        <v>51</v>
      </c>
      <c r="L1515" s="125" t="s">
        <v>51</v>
      </c>
      <c r="M1515" s="125" t="str">
        <f t="shared" si="1"/>
        <v/>
      </c>
      <c r="N1515" s="125" t="str">
        <f t="shared" si="2"/>
        <v/>
      </c>
      <c r="O1515" s="125"/>
      <c r="P1515" s="125"/>
      <c r="Q1515" s="125"/>
      <c r="R1515" s="125"/>
      <c r="S1515" s="628">
        <f t="shared" si="3"/>
        <v>0</v>
      </c>
      <c r="T1515" s="627" t="s">
        <v>51</v>
      </c>
      <c r="U1515" s="627" t="s">
        <v>51</v>
      </c>
      <c r="V1515" s="627" t="s">
        <v>51</v>
      </c>
      <c r="W1515" s="627" t="s">
        <v>51</v>
      </c>
      <c r="X1515" s="627" t="s">
        <v>51</v>
      </c>
      <c r="Y1515" s="89"/>
    </row>
    <row r="1516" ht="22.5" customHeight="1">
      <c r="A1516" s="223"/>
      <c r="B1516" s="125"/>
      <c r="C1516" s="125"/>
      <c r="D1516" s="125"/>
      <c r="E1516" s="125"/>
      <c r="F1516" s="125"/>
      <c r="G1516" s="125"/>
      <c r="H1516" s="125"/>
      <c r="I1516" s="627" t="s">
        <v>51</v>
      </c>
      <c r="J1516" s="125" t="s">
        <v>51</v>
      </c>
      <c r="K1516" s="125" t="s">
        <v>51</v>
      </c>
      <c r="L1516" s="125" t="s">
        <v>51</v>
      </c>
      <c r="M1516" s="125" t="str">
        <f t="shared" si="1"/>
        <v/>
      </c>
      <c r="N1516" s="125" t="str">
        <f t="shared" si="2"/>
        <v/>
      </c>
      <c r="O1516" s="125"/>
      <c r="P1516" s="125"/>
      <c r="Q1516" s="125"/>
      <c r="R1516" s="125"/>
      <c r="S1516" s="628">
        <f t="shared" si="3"/>
        <v>0</v>
      </c>
      <c r="T1516" s="627" t="s">
        <v>51</v>
      </c>
      <c r="U1516" s="627" t="s">
        <v>51</v>
      </c>
      <c r="V1516" s="627" t="s">
        <v>51</v>
      </c>
      <c r="W1516" s="627" t="s">
        <v>51</v>
      </c>
      <c r="X1516" s="627" t="s">
        <v>51</v>
      </c>
      <c r="Y1516" s="89"/>
    </row>
    <row r="1517" ht="22.5" customHeight="1">
      <c r="A1517" s="223"/>
      <c r="B1517" s="125"/>
      <c r="C1517" s="125"/>
      <c r="D1517" s="125"/>
      <c r="E1517" s="125"/>
      <c r="F1517" s="125"/>
      <c r="G1517" s="125"/>
      <c r="H1517" s="125"/>
      <c r="I1517" s="627" t="s">
        <v>51</v>
      </c>
      <c r="J1517" s="125" t="s">
        <v>51</v>
      </c>
      <c r="K1517" s="125" t="s">
        <v>51</v>
      </c>
      <c r="L1517" s="125" t="s">
        <v>51</v>
      </c>
      <c r="M1517" s="125" t="str">
        <f t="shared" si="1"/>
        <v/>
      </c>
      <c r="N1517" s="125" t="str">
        <f t="shared" si="2"/>
        <v/>
      </c>
      <c r="O1517" s="125"/>
      <c r="P1517" s="125"/>
      <c r="Q1517" s="125"/>
      <c r="R1517" s="125"/>
      <c r="S1517" s="628">
        <f t="shared" si="3"/>
        <v>0</v>
      </c>
      <c r="T1517" s="627" t="s">
        <v>51</v>
      </c>
      <c r="U1517" s="627" t="s">
        <v>51</v>
      </c>
      <c r="V1517" s="627" t="s">
        <v>51</v>
      </c>
      <c r="W1517" s="627" t="s">
        <v>51</v>
      </c>
      <c r="X1517" s="627" t="s">
        <v>51</v>
      </c>
      <c r="Y1517" s="89"/>
    </row>
    <row r="1518" ht="22.5" customHeight="1">
      <c r="A1518" s="223"/>
      <c r="B1518" s="125"/>
      <c r="C1518" s="125"/>
      <c r="D1518" s="125"/>
      <c r="E1518" s="125"/>
      <c r="F1518" s="125"/>
      <c r="G1518" s="125"/>
      <c r="H1518" s="125"/>
      <c r="I1518" s="627" t="s">
        <v>51</v>
      </c>
      <c r="J1518" s="125" t="s">
        <v>51</v>
      </c>
      <c r="K1518" s="125" t="s">
        <v>51</v>
      </c>
      <c r="L1518" s="125" t="s">
        <v>51</v>
      </c>
      <c r="M1518" s="125" t="str">
        <f t="shared" si="1"/>
        <v/>
      </c>
      <c r="N1518" s="125" t="str">
        <f t="shared" si="2"/>
        <v/>
      </c>
      <c r="O1518" s="125"/>
      <c r="P1518" s="125"/>
      <c r="Q1518" s="125"/>
      <c r="R1518" s="125"/>
      <c r="S1518" s="628">
        <f t="shared" si="3"/>
        <v>0</v>
      </c>
      <c r="T1518" s="627" t="s">
        <v>51</v>
      </c>
      <c r="U1518" s="627" t="s">
        <v>51</v>
      </c>
      <c r="V1518" s="627" t="s">
        <v>51</v>
      </c>
      <c r="W1518" s="627" t="s">
        <v>51</v>
      </c>
      <c r="X1518" s="627" t="s">
        <v>51</v>
      </c>
      <c r="Y1518" s="89"/>
    </row>
    <row r="1519" ht="22.5" customHeight="1">
      <c r="A1519" s="223"/>
      <c r="B1519" s="125"/>
      <c r="C1519" s="125"/>
      <c r="D1519" s="125"/>
      <c r="E1519" s="125"/>
      <c r="F1519" s="125"/>
      <c r="G1519" s="125"/>
      <c r="H1519" s="125"/>
      <c r="I1519" s="627" t="s">
        <v>51</v>
      </c>
      <c r="J1519" s="125" t="s">
        <v>51</v>
      </c>
      <c r="K1519" s="125" t="s">
        <v>51</v>
      </c>
      <c r="L1519" s="125" t="s">
        <v>51</v>
      </c>
      <c r="M1519" s="125" t="str">
        <f t="shared" si="1"/>
        <v/>
      </c>
      <c r="N1519" s="125" t="str">
        <f t="shared" si="2"/>
        <v/>
      </c>
      <c r="O1519" s="125"/>
      <c r="P1519" s="125"/>
      <c r="Q1519" s="125"/>
      <c r="R1519" s="125"/>
      <c r="S1519" s="628">
        <f t="shared" si="3"/>
        <v>0</v>
      </c>
      <c r="T1519" s="627" t="s">
        <v>51</v>
      </c>
      <c r="U1519" s="627" t="s">
        <v>51</v>
      </c>
      <c r="V1519" s="627" t="s">
        <v>51</v>
      </c>
      <c r="W1519" s="627" t="s">
        <v>51</v>
      </c>
      <c r="X1519" s="627" t="s">
        <v>51</v>
      </c>
      <c r="Y1519" s="89"/>
    </row>
    <row r="1520" ht="22.5" customHeight="1">
      <c r="A1520" s="223"/>
      <c r="B1520" s="125"/>
      <c r="C1520" s="125"/>
      <c r="D1520" s="125"/>
      <c r="E1520" s="125"/>
      <c r="F1520" s="125"/>
      <c r="G1520" s="125"/>
      <c r="H1520" s="125"/>
      <c r="I1520" s="627" t="s">
        <v>51</v>
      </c>
      <c r="J1520" s="125" t="s">
        <v>51</v>
      </c>
      <c r="K1520" s="125" t="s">
        <v>51</v>
      </c>
      <c r="L1520" s="125" t="s">
        <v>51</v>
      </c>
      <c r="M1520" s="125" t="str">
        <f t="shared" si="1"/>
        <v/>
      </c>
      <c r="N1520" s="125" t="str">
        <f t="shared" si="2"/>
        <v/>
      </c>
      <c r="O1520" s="125"/>
      <c r="P1520" s="125"/>
      <c r="Q1520" s="125"/>
      <c r="R1520" s="125"/>
      <c r="S1520" s="628">
        <f t="shared" si="3"/>
        <v>0</v>
      </c>
      <c r="T1520" s="627" t="s">
        <v>51</v>
      </c>
      <c r="U1520" s="627" t="s">
        <v>51</v>
      </c>
      <c r="V1520" s="627" t="s">
        <v>51</v>
      </c>
      <c r="W1520" s="627" t="s">
        <v>51</v>
      </c>
      <c r="X1520" s="627" t="s">
        <v>51</v>
      </c>
      <c r="Y1520" s="89"/>
    </row>
    <row r="1521" ht="22.5" customHeight="1">
      <c r="A1521" s="223"/>
      <c r="B1521" s="125"/>
      <c r="C1521" s="125"/>
      <c r="D1521" s="125"/>
      <c r="E1521" s="125"/>
      <c r="F1521" s="125"/>
      <c r="G1521" s="125"/>
      <c r="H1521" s="125"/>
      <c r="I1521" s="627" t="s">
        <v>51</v>
      </c>
      <c r="J1521" s="125" t="s">
        <v>51</v>
      </c>
      <c r="K1521" s="125" t="s">
        <v>51</v>
      </c>
      <c r="L1521" s="125" t="s">
        <v>51</v>
      </c>
      <c r="M1521" s="125" t="str">
        <f t="shared" si="1"/>
        <v/>
      </c>
      <c r="N1521" s="125" t="str">
        <f t="shared" si="2"/>
        <v/>
      </c>
      <c r="O1521" s="125"/>
      <c r="P1521" s="125"/>
      <c r="Q1521" s="125"/>
      <c r="R1521" s="125"/>
      <c r="S1521" s="628">
        <f t="shared" si="3"/>
        <v>0</v>
      </c>
      <c r="T1521" s="627" t="s">
        <v>51</v>
      </c>
      <c r="U1521" s="627" t="s">
        <v>51</v>
      </c>
      <c r="V1521" s="627" t="s">
        <v>51</v>
      </c>
      <c r="W1521" s="627" t="s">
        <v>51</v>
      </c>
      <c r="X1521" s="627" t="s">
        <v>51</v>
      </c>
      <c r="Y1521" s="89"/>
    </row>
    <row r="1522" ht="22.5" customHeight="1">
      <c r="A1522" s="223"/>
      <c r="B1522" s="125"/>
      <c r="C1522" s="125"/>
      <c r="D1522" s="125"/>
      <c r="E1522" s="125"/>
      <c r="F1522" s="125"/>
      <c r="G1522" s="125"/>
      <c r="H1522" s="125"/>
      <c r="I1522" s="627" t="s">
        <v>51</v>
      </c>
      <c r="J1522" s="125" t="s">
        <v>51</v>
      </c>
      <c r="K1522" s="125" t="s">
        <v>51</v>
      </c>
      <c r="L1522" s="125" t="s">
        <v>51</v>
      </c>
      <c r="M1522" s="125" t="str">
        <f t="shared" si="1"/>
        <v/>
      </c>
      <c r="N1522" s="125" t="str">
        <f t="shared" si="2"/>
        <v/>
      </c>
      <c r="O1522" s="125"/>
      <c r="P1522" s="125"/>
      <c r="Q1522" s="125"/>
      <c r="R1522" s="125"/>
      <c r="S1522" s="628">
        <f t="shared" si="3"/>
        <v>0</v>
      </c>
      <c r="T1522" s="627" t="s">
        <v>51</v>
      </c>
      <c r="U1522" s="627" t="s">
        <v>51</v>
      </c>
      <c r="V1522" s="627" t="s">
        <v>51</v>
      </c>
      <c r="W1522" s="627" t="s">
        <v>51</v>
      </c>
      <c r="X1522" s="627" t="s">
        <v>51</v>
      </c>
      <c r="Y1522" s="89"/>
    </row>
    <row r="1523" ht="22.5" customHeight="1">
      <c r="A1523" s="223"/>
      <c r="B1523" s="125"/>
      <c r="C1523" s="125"/>
      <c r="D1523" s="125"/>
      <c r="E1523" s="125"/>
      <c r="F1523" s="125"/>
      <c r="G1523" s="125"/>
      <c r="H1523" s="125"/>
      <c r="I1523" s="627" t="s">
        <v>51</v>
      </c>
      <c r="J1523" s="125" t="s">
        <v>51</v>
      </c>
      <c r="K1523" s="125" t="s">
        <v>51</v>
      </c>
      <c r="L1523" s="125" t="s">
        <v>51</v>
      </c>
      <c r="M1523" s="125" t="str">
        <f t="shared" si="1"/>
        <v/>
      </c>
      <c r="N1523" s="125" t="str">
        <f t="shared" si="2"/>
        <v/>
      </c>
      <c r="O1523" s="125"/>
      <c r="P1523" s="125"/>
      <c r="Q1523" s="125"/>
      <c r="R1523" s="125"/>
      <c r="S1523" s="628">
        <f t="shared" si="3"/>
        <v>0</v>
      </c>
      <c r="T1523" s="627" t="s">
        <v>51</v>
      </c>
      <c r="U1523" s="627" t="s">
        <v>51</v>
      </c>
      <c r="V1523" s="627" t="s">
        <v>51</v>
      </c>
      <c r="W1523" s="627" t="s">
        <v>51</v>
      </c>
      <c r="X1523" s="627" t="s">
        <v>51</v>
      </c>
      <c r="Y1523" s="89"/>
    </row>
    <row r="1524" ht="22.5" customHeight="1">
      <c r="A1524" s="223"/>
      <c r="B1524" s="125"/>
      <c r="C1524" s="125"/>
      <c r="D1524" s="125"/>
      <c r="E1524" s="125"/>
      <c r="F1524" s="125"/>
      <c r="G1524" s="125"/>
      <c r="H1524" s="125"/>
      <c r="I1524" s="627" t="s">
        <v>51</v>
      </c>
      <c r="J1524" s="125" t="s">
        <v>51</v>
      </c>
      <c r="K1524" s="125" t="s">
        <v>51</v>
      </c>
      <c r="L1524" s="125" t="s">
        <v>51</v>
      </c>
      <c r="M1524" s="125" t="str">
        <f t="shared" si="1"/>
        <v/>
      </c>
      <c r="N1524" s="125" t="str">
        <f t="shared" si="2"/>
        <v/>
      </c>
      <c r="O1524" s="125"/>
      <c r="P1524" s="125"/>
      <c r="Q1524" s="125"/>
      <c r="R1524" s="125"/>
      <c r="S1524" s="628">
        <f t="shared" si="3"/>
        <v>0</v>
      </c>
      <c r="T1524" s="627" t="s">
        <v>51</v>
      </c>
      <c r="U1524" s="627" t="s">
        <v>51</v>
      </c>
      <c r="V1524" s="627" t="s">
        <v>51</v>
      </c>
      <c r="W1524" s="627" t="s">
        <v>51</v>
      </c>
      <c r="X1524" s="627" t="s">
        <v>51</v>
      </c>
      <c r="Y1524" s="89"/>
    </row>
    <row r="1525" ht="22.5" customHeight="1">
      <c r="A1525" s="223"/>
      <c r="B1525" s="125"/>
      <c r="C1525" s="125"/>
      <c r="D1525" s="125"/>
      <c r="E1525" s="125"/>
      <c r="F1525" s="125"/>
      <c r="G1525" s="125"/>
      <c r="H1525" s="125"/>
      <c r="I1525" s="627" t="s">
        <v>51</v>
      </c>
      <c r="J1525" s="125" t="s">
        <v>51</v>
      </c>
      <c r="K1525" s="125" t="s">
        <v>51</v>
      </c>
      <c r="L1525" s="125" t="s">
        <v>51</v>
      </c>
      <c r="M1525" s="125" t="str">
        <f t="shared" si="1"/>
        <v/>
      </c>
      <c r="N1525" s="125" t="str">
        <f t="shared" si="2"/>
        <v/>
      </c>
      <c r="O1525" s="125"/>
      <c r="P1525" s="125"/>
      <c r="Q1525" s="125"/>
      <c r="R1525" s="125"/>
      <c r="S1525" s="628">
        <f t="shared" si="3"/>
        <v>0</v>
      </c>
      <c r="T1525" s="627" t="s">
        <v>51</v>
      </c>
      <c r="U1525" s="627" t="s">
        <v>51</v>
      </c>
      <c r="V1525" s="627" t="s">
        <v>51</v>
      </c>
      <c r="W1525" s="627" t="s">
        <v>51</v>
      </c>
      <c r="X1525" s="627" t="s">
        <v>51</v>
      </c>
      <c r="Y1525" s="89"/>
    </row>
    <row r="1526" ht="22.5" customHeight="1">
      <c r="A1526" s="223"/>
      <c r="B1526" s="125"/>
      <c r="C1526" s="125"/>
      <c r="D1526" s="125"/>
      <c r="E1526" s="125"/>
      <c r="F1526" s="125"/>
      <c r="G1526" s="125"/>
      <c r="H1526" s="125"/>
      <c r="I1526" s="627" t="s">
        <v>51</v>
      </c>
      <c r="J1526" s="125" t="s">
        <v>51</v>
      </c>
      <c r="K1526" s="125" t="s">
        <v>51</v>
      </c>
      <c r="L1526" s="125" t="s">
        <v>51</v>
      </c>
      <c r="M1526" s="125" t="str">
        <f t="shared" si="1"/>
        <v/>
      </c>
      <c r="N1526" s="125" t="str">
        <f t="shared" si="2"/>
        <v/>
      </c>
      <c r="O1526" s="125"/>
      <c r="P1526" s="125"/>
      <c r="Q1526" s="125"/>
      <c r="R1526" s="125"/>
      <c r="S1526" s="628">
        <f t="shared" si="3"/>
        <v>0</v>
      </c>
      <c r="T1526" s="627" t="s">
        <v>51</v>
      </c>
      <c r="U1526" s="627" t="s">
        <v>51</v>
      </c>
      <c r="V1526" s="627" t="s">
        <v>51</v>
      </c>
      <c r="W1526" s="627" t="s">
        <v>51</v>
      </c>
      <c r="X1526" s="627" t="s">
        <v>51</v>
      </c>
      <c r="Y1526" s="89"/>
    </row>
    <row r="1527" ht="22.5" customHeight="1">
      <c r="A1527" s="223"/>
      <c r="B1527" s="125"/>
      <c r="C1527" s="125"/>
      <c r="D1527" s="125"/>
      <c r="E1527" s="125"/>
      <c r="F1527" s="125"/>
      <c r="G1527" s="125"/>
      <c r="H1527" s="125"/>
      <c r="I1527" s="627" t="s">
        <v>51</v>
      </c>
      <c r="J1527" s="125" t="s">
        <v>51</v>
      </c>
      <c r="K1527" s="125" t="s">
        <v>51</v>
      </c>
      <c r="L1527" s="125" t="s">
        <v>51</v>
      </c>
      <c r="M1527" s="125" t="str">
        <f t="shared" si="1"/>
        <v/>
      </c>
      <c r="N1527" s="125" t="str">
        <f t="shared" si="2"/>
        <v/>
      </c>
      <c r="O1527" s="125"/>
      <c r="P1527" s="125"/>
      <c r="Q1527" s="125"/>
      <c r="R1527" s="125"/>
      <c r="S1527" s="628">
        <f t="shared" si="3"/>
        <v>0</v>
      </c>
      <c r="T1527" s="627" t="s">
        <v>51</v>
      </c>
      <c r="U1527" s="627" t="s">
        <v>51</v>
      </c>
      <c r="V1527" s="627" t="s">
        <v>51</v>
      </c>
      <c r="W1527" s="627" t="s">
        <v>51</v>
      </c>
      <c r="X1527" s="627" t="s">
        <v>51</v>
      </c>
      <c r="Y1527" s="89"/>
    </row>
    <row r="1528" ht="22.5" customHeight="1">
      <c r="A1528" s="223"/>
      <c r="B1528" s="125"/>
      <c r="C1528" s="125"/>
      <c r="D1528" s="125"/>
      <c r="E1528" s="125"/>
      <c r="F1528" s="125"/>
      <c r="G1528" s="125"/>
      <c r="H1528" s="125"/>
      <c r="I1528" s="627" t="s">
        <v>51</v>
      </c>
      <c r="J1528" s="125" t="s">
        <v>51</v>
      </c>
      <c r="K1528" s="125" t="s">
        <v>51</v>
      </c>
      <c r="L1528" s="125" t="s">
        <v>51</v>
      </c>
      <c r="M1528" s="125" t="str">
        <f t="shared" si="1"/>
        <v/>
      </c>
      <c r="N1528" s="125" t="str">
        <f t="shared" si="2"/>
        <v/>
      </c>
      <c r="O1528" s="125"/>
      <c r="P1528" s="125"/>
      <c r="Q1528" s="125"/>
      <c r="R1528" s="125"/>
      <c r="S1528" s="628">
        <f t="shared" si="3"/>
        <v>0</v>
      </c>
      <c r="T1528" s="627" t="s">
        <v>51</v>
      </c>
      <c r="U1528" s="627" t="s">
        <v>51</v>
      </c>
      <c r="V1528" s="627" t="s">
        <v>51</v>
      </c>
      <c r="W1528" s="627" t="s">
        <v>51</v>
      </c>
      <c r="X1528" s="627" t="s">
        <v>51</v>
      </c>
      <c r="Y1528" s="89"/>
    </row>
    <row r="1529" ht="22.5" customHeight="1">
      <c r="A1529" s="223"/>
      <c r="B1529" s="125"/>
      <c r="C1529" s="125"/>
      <c r="D1529" s="125"/>
      <c r="E1529" s="125"/>
      <c r="F1529" s="125"/>
      <c r="G1529" s="125"/>
      <c r="H1529" s="125"/>
      <c r="I1529" s="627" t="s">
        <v>51</v>
      </c>
      <c r="J1529" s="125" t="s">
        <v>51</v>
      </c>
      <c r="K1529" s="125" t="s">
        <v>51</v>
      </c>
      <c r="L1529" s="125" t="s">
        <v>51</v>
      </c>
      <c r="M1529" s="125" t="str">
        <f t="shared" si="1"/>
        <v/>
      </c>
      <c r="N1529" s="125" t="str">
        <f t="shared" si="2"/>
        <v/>
      </c>
      <c r="O1529" s="125"/>
      <c r="P1529" s="125"/>
      <c r="Q1529" s="125"/>
      <c r="R1529" s="125"/>
      <c r="S1529" s="628">
        <f t="shared" si="3"/>
        <v>0</v>
      </c>
      <c r="T1529" s="627" t="s">
        <v>51</v>
      </c>
      <c r="U1529" s="627" t="s">
        <v>51</v>
      </c>
      <c r="V1529" s="627" t="s">
        <v>51</v>
      </c>
      <c r="W1529" s="627" t="s">
        <v>51</v>
      </c>
      <c r="X1529" s="627" t="s">
        <v>51</v>
      </c>
      <c r="Y1529" s="89"/>
    </row>
    <row r="1530" ht="22.5" customHeight="1">
      <c r="A1530" s="223"/>
      <c r="B1530" s="125"/>
      <c r="C1530" s="125"/>
      <c r="D1530" s="125"/>
      <c r="E1530" s="125"/>
      <c r="F1530" s="125"/>
      <c r="G1530" s="125"/>
      <c r="H1530" s="125"/>
      <c r="I1530" s="627" t="s">
        <v>51</v>
      </c>
      <c r="J1530" s="125" t="s">
        <v>51</v>
      </c>
      <c r="K1530" s="125" t="s">
        <v>51</v>
      </c>
      <c r="L1530" s="125" t="s">
        <v>51</v>
      </c>
      <c r="M1530" s="125" t="str">
        <f t="shared" si="1"/>
        <v/>
      </c>
      <c r="N1530" s="125" t="str">
        <f t="shared" si="2"/>
        <v/>
      </c>
      <c r="O1530" s="125"/>
      <c r="P1530" s="125"/>
      <c r="Q1530" s="125"/>
      <c r="R1530" s="125"/>
      <c r="S1530" s="628">
        <f t="shared" si="3"/>
        <v>0</v>
      </c>
      <c r="T1530" s="627" t="s">
        <v>51</v>
      </c>
      <c r="U1530" s="627" t="s">
        <v>51</v>
      </c>
      <c r="V1530" s="627" t="s">
        <v>51</v>
      </c>
      <c r="W1530" s="627" t="s">
        <v>51</v>
      </c>
      <c r="X1530" s="627" t="s">
        <v>51</v>
      </c>
      <c r="Y1530" s="89"/>
    </row>
    <row r="1531" ht="22.5" customHeight="1">
      <c r="A1531" s="223"/>
      <c r="B1531" s="125"/>
      <c r="C1531" s="125"/>
      <c r="D1531" s="125"/>
      <c r="E1531" s="125"/>
      <c r="F1531" s="125"/>
      <c r="G1531" s="125"/>
      <c r="H1531" s="125"/>
      <c r="I1531" s="627" t="s">
        <v>51</v>
      </c>
      <c r="J1531" s="125" t="s">
        <v>51</v>
      </c>
      <c r="K1531" s="125" t="s">
        <v>51</v>
      </c>
      <c r="L1531" s="125" t="s">
        <v>51</v>
      </c>
      <c r="M1531" s="125" t="str">
        <f t="shared" si="1"/>
        <v/>
      </c>
      <c r="N1531" s="125" t="str">
        <f t="shared" si="2"/>
        <v/>
      </c>
      <c r="O1531" s="125"/>
      <c r="P1531" s="125"/>
      <c r="Q1531" s="125"/>
      <c r="R1531" s="125"/>
      <c r="S1531" s="628">
        <f t="shared" si="3"/>
        <v>0</v>
      </c>
      <c r="T1531" s="627" t="s">
        <v>51</v>
      </c>
      <c r="U1531" s="627" t="s">
        <v>51</v>
      </c>
      <c r="V1531" s="627" t="s">
        <v>51</v>
      </c>
      <c r="W1531" s="627" t="s">
        <v>51</v>
      </c>
      <c r="X1531" s="627" t="s">
        <v>51</v>
      </c>
      <c r="Y1531" s="89"/>
    </row>
    <row r="1532" ht="22.5" customHeight="1">
      <c r="A1532" s="223"/>
      <c r="B1532" s="125"/>
      <c r="C1532" s="125"/>
      <c r="D1532" s="125"/>
      <c r="E1532" s="125"/>
      <c r="F1532" s="125"/>
      <c r="G1532" s="125"/>
      <c r="H1532" s="125"/>
      <c r="I1532" s="627" t="s">
        <v>51</v>
      </c>
      <c r="J1532" s="125" t="s">
        <v>51</v>
      </c>
      <c r="K1532" s="125" t="s">
        <v>51</v>
      </c>
      <c r="L1532" s="125" t="s">
        <v>51</v>
      </c>
      <c r="M1532" s="125" t="str">
        <f t="shared" si="1"/>
        <v/>
      </c>
      <c r="N1532" s="125" t="str">
        <f t="shared" si="2"/>
        <v/>
      </c>
      <c r="O1532" s="125"/>
      <c r="P1532" s="125"/>
      <c r="Q1532" s="125"/>
      <c r="R1532" s="125"/>
      <c r="S1532" s="628">
        <f t="shared" si="3"/>
        <v>0</v>
      </c>
      <c r="T1532" s="627" t="s">
        <v>51</v>
      </c>
      <c r="U1532" s="627" t="s">
        <v>51</v>
      </c>
      <c r="V1532" s="627" t="s">
        <v>51</v>
      </c>
      <c r="W1532" s="627" t="s">
        <v>51</v>
      </c>
      <c r="X1532" s="627" t="s">
        <v>51</v>
      </c>
      <c r="Y1532" s="89"/>
    </row>
    <row r="1533" ht="22.5" customHeight="1">
      <c r="A1533" s="223"/>
      <c r="B1533" s="125"/>
      <c r="C1533" s="125"/>
      <c r="D1533" s="125"/>
      <c r="E1533" s="125"/>
      <c r="F1533" s="125"/>
      <c r="G1533" s="125"/>
      <c r="H1533" s="125"/>
      <c r="I1533" s="627" t="s">
        <v>51</v>
      </c>
      <c r="J1533" s="125" t="s">
        <v>51</v>
      </c>
      <c r="K1533" s="125" t="s">
        <v>51</v>
      </c>
      <c r="L1533" s="125" t="s">
        <v>51</v>
      </c>
      <c r="M1533" s="125" t="str">
        <f t="shared" si="1"/>
        <v/>
      </c>
      <c r="N1533" s="125" t="str">
        <f t="shared" si="2"/>
        <v/>
      </c>
      <c r="O1533" s="125"/>
      <c r="P1533" s="125"/>
      <c r="Q1533" s="125"/>
      <c r="R1533" s="125"/>
      <c r="S1533" s="628">
        <f t="shared" si="3"/>
        <v>0</v>
      </c>
      <c r="T1533" s="627" t="s">
        <v>51</v>
      </c>
      <c r="U1533" s="627" t="s">
        <v>51</v>
      </c>
      <c r="V1533" s="627" t="s">
        <v>51</v>
      </c>
      <c r="W1533" s="627" t="s">
        <v>51</v>
      </c>
      <c r="X1533" s="627" t="s">
        <v>51</v>
      </c>
      <c r="Y1533" s="89"/>
    </row>
    <row r="1534" ht="22.5" customHeight="1">
      <c r="A1534" s="223"/>
      <c r="B1534" s="125"/>
      <c r="C1534" s="125"/>
      <c r="D1534" s="125"/>
      <c r="E1534" s="125"/>
      <c r="F1534" s="125"/>
      <c r="G1534" s="125"/>
      <c r="H1534" s="125"/>
      <c r="I1534" s="627" t="s">
        <v>51</v>
      </c>
      <c r="J1534" s="125" t="s">
        <v>51</v>
      </c>
      <c r="K1534" s="125" t="s">
        <v>51</v>
      </c>
      <c r="L1534" s="125" t="s">
        <v>51</v>
      </c>
      <c r="M1534" s="125" t="str">
        <f t="shared" si="1"/>
        <v/>
      </c>
      <c r="N1534" s="125" t="str">
        <f t="shared" si="2"/>
        <v/>
      </c>
      <c r="O1534" s="125"/>
      <c r="P1534" s="125"/>
      <c r="Q1534" s="125"/>
      <c r="R1534" s="125"/>
      <c r="S1534" s="628">
        <f t="shared" si="3"/>
        <v>0</v>
      </c>
      <c r="T1534" s="627" t="s">
        <v>51</v>
      </c>
      <c r="U1534" s="627" t="s">
        <v>51</v>
      </c>
      <c r="V1534" s="627" t="s">
        <v>51</v>
      </c>
      <c r="W1534" s="627" t="s">
        <v>51</v>
      </c>
      <c r="X1534" s="627" t="s">
        <v>51</v>
      </c>
      <c r="Y1534" s="89"/>
    </row>
    <row r="1535" ht="22.5" customHeight="1">
      <c r="A1535" s="223"/>
      <c r="B1535" s="125"/>
      <c r="C1535" s="125"/>
      <c r="D1535" s="125"/>
      <c r="E1535" s="125"/>
      <c r="F1535" s="125"/>
      <c r="G1535" s="125"/>
      <c r="H1535" s="125"/>
      <c r="I1535" s="627" t="s">
        <v>51</v>
      </c>
      <c r="J1535" s="125" t="s">
        <v>51</v>
      </c>
      <c r="K1535" s="125" t="s">
        <v>51</v>
      </c>
      <c r="L1535" s="125" t="s">
        <v>51</v>
      </c>
      <c r="M1535" s="125" t="str">
        <f t="shared" si="1"/>
        <v/>
      </c>
      <c r="N1535" s="125" t="str">
        <f t="shared" si="2"/>
        <v/>
      </c>
      <c r="O1535" s="125"/>
      <c r="P1535" s="125"/>
      <c r="Q1535" s="125"/>
      <c r="R1535" s="125"/>
      <c r="S1535" s="628">
        <f t="shared" si="3"/>
        <v>0</v>
      </c>
      <c r="T1535" s="627" t="s">
        <v>51</v>
      </c>
      <c r="U1535" s="627" t="s">
        <v>51</v>
      </c>
      <c r="V1535" s="627" t="s">
        <v>51</v>
      </c>
      <c r="W1535" s="627" t="s">
        <v>51</v>
      </c>
      <c r="X1535" s="627" t="s">
        <v>51</v>
      </c>
      <c r="Y1535" s="89"/>
    </row>
    <row r="1536" ht="22.5" customHeight="1">
      <c r="A1536" s="223"/>
      <c r="B1536" s="125"/>
      <c r="C1536" s="125"/>
      <c r="D1536" s="125"/>
      <c r="E1536" s="125"/>
      <c r="F1536" s="125"/>
      <c r="G1536" s="125"/>
      <c r="H1536" s="125"/>
      <c r="I1536" s="627" t="s">
        <v>51</v>
      </c>
      <c r="J1536" s="125" t="s">
        <v>51</v>
      </c>
      <c r="K1536" s="125" t="s">
        <v>51</v>
      </c>
      <c r="L1536" s="125" t="s">
        <v>51</v>
      </c>
      <c r="M1536" s="125" t="str">
        <f t="shared" si="1"/>
        <v/>
      </c>
      <c r="N1536" s="125" t="str">
        <f t="shared" si="2"/>
        <v/>
      </c>
      <c r="O1536" s="125"/>
      <c r="P1536" s="125"/>
      <c r="Q1536" s="125"/>
      <c r="R1536" s="125"/>
      <c r="S1536" s="628">
        <f t="shared" si="3"/>
        <v>0</v>
      </c>
      <c r="T1536" s="627" t="s">
        <v>51</v>
      </c>
      <c r="U1536" s="627" t="s">
        <v>51</v>
      </c>
      <c r="V1536" s="627" t="s">
        <v>51</v>
      </c>
      <c r="W1536" s="627" t="s">
        <v>51</v>
      </c>
      <c r="X1536" s="627" t="s">
        <v>51</v>
      </c>
      <c r="Y1536" s="89"/>
    </row>
    <row r="1537" ht="22.5" customHeight="1">
      <c r="A1537" s="223"/>
      <c r="B1537" s="125"/>
      <c r="C1537" s="125"/>
      <c r="D1537" s="125"/>
      <c r="E1537" s="125"/>
      <c r="F1537" s="125"/>
      <c r="G1537" s="125"/>
      <c r="H1537" s="125"/>
      <c r="I1537" s="627" t="s">
        <v>51</v>
      </c>
      <c r="J1537" s="125" t="s">
        <v>51</v>
      </c>
      <c r="K1537" s="125" t="s">
        <v>51</v>
      </c>
      <c r="L1537" s="125" t="s">
        <v>51</v>
      </c>
      <c r="M1537" s="125" t="str">
        <f t="shared" si="1"/>
        <v/>
      </c>
      <c r="N1537" s="125" t="str">
        <f t="shared" si="2"/>
        <v/>
      </c>
      <c r="O1537" s="125"/>
      <c r="P1537" s="125"/>
      <c r="Q1537" s="125"/>
      <c r="R1537" s="125"/>
      <c r="S1537" s="628">
        <f t="shared" si="3"/>
        <v>0</v>
      </c>
      <c r="T1537" s="627" t="s">
        <v>51</v>
      </c>
      <c r="U1537" s="627" t="s">
        <v>51</v>
      </c>
      <c r="V1537" s="627" t="s">
        <v>51</v>
      </c>
      <c r="W1537" s="627" t="s">
        <v>51</v>
      </c>
      <c r="X1537" s="627" t="s">
        <v>51</v>
      </c>
      <c r="Y1537" s="89"/>
    </row>
    <row r="1538" ht="22.5" customHeight="1">
      <c r="A1538" s="223"/>
      <c r="B1538" s="125"/>
      <c r="C1538" s="125"/>
      <c r="D1538" s="125"/>
      <c r="E1538" s="125"/>
      <c r="F1538" s="125"/>
      <c r="G1538" s="125"/>
      <c r="H1538" s="125"/>
      <c r="I1538" s="627" t="s">
        <v>51</v>
      </c>
      <c r="J1538" s="125" t="s">
        <v>51</v>
      </c>
      <c r="K1538" s="125" t="s">
        <v>51</v>
      </c>
      <c r="L1538" s="125" t="s">
        <v>51</v>
      </c>
      <c r="M1538" s="125" t="str">
        <f t="shared" si="1"/>
        <v/>
      </c>
      <c r="N1538" s="125" t="str">
        <f t="shared" si="2"/>
        <v/>
      </c>
      <c r="O1538" s="125"/>
      <c r="P1538" s="125"/>
      <c r="Q1538" s="125"/>
      <c r="R1538" s="125"/>
      <c r="S1538" s="628">
        <f t="shared" si="3"/>
        <v>0</v>
      </c>
      <c r="T1538" s="627" t="s">
        <v>51</v>
      </c>
      <c r="U1538" s="627" t="s">
        <v>51</v>
      </c>
      <c r="V1538" s="627" t="s">
        <v>51</v>
      </c>
      <c r="W1538" s="627" t="s">
        <v>51</v>
      </c>
      <c r="X1538" s="627" t="s">
        <v>51</v>
      </c>
      <c r="Y1538" s="89"/>
    </row>
    <row r="1539" ht="22.5" customHeight="1">
      <c r="A1539" s="223"/>
      <c r="B1539" s="125"/>
      <c r="C1539" s="125"/>
      <c r="D1539" s="125"/>
      <c r="E1539" s="125"/>
      <c r="F1539" s="125"/>
      <c r="G1539" s="125"/>
      <c r="H1539" s="125"/>
      <c r="I1539" s="627" t="s">
        <v>51</v>
      </c>
      <c r="J1539" s="125" t="s">
        <v>51</v>
      </c>
      <c r="K1539" s="125" t="s">
        <v>51</v>
      </c>
      <c r="L1539" s="125" t="s">
        <v>51</v>
      </c>
      <c r="M1539" s="125" t="str">
        <f t="shared" si="1"/>
        <v/>
      </c>
      <c r="N1539" s="125" t="str">
        <f t="shared" si="2"/>
        <v/>
      </c>
      <c r="O1539" s="125"/>
      <c r="P1539" s="125"/>
      <c r="Q1539" s="125"/>
      <c r="R1539" s="125"/>
      <c r="S1539" s="628">
        <f t="shared" si="3"/>
        <v>0</v>
      </c>
      <c r="T1539" s="627" t="s">
        <v>51</v>
      </c>
      <c r="U1539" s="627" t="s">
        <v>51</v>
      </c>
      <c r="V1539" s="627" t="s">
        <v>51</v>
      </c>
      <c r="W1539" s="627" t="s">
        <v>51</v>
      </c>
      <c r="X1539" s="627" t="s">
        <v>51</v>
      </c>
      <c r="Y1539" s="89"/>
    </row>
    <row r="1540" ht="22.5" customHeight="1">
      <c r="A1540" s="223"/>
      <c r="B1540" s="125"/>
      <c r="C1540" s="125"/>
      <c r="D1540" s="125"/>
      <c r="E1540" s="125"/>
      <c r="F1540" s="125"/>
      <c r="G1540" s="125"/>
      <c r="H1540" s="125"/>
      <c r="I1540" s="627" t="s">
        <v>51</v>
      </c>
      <c r="J1540" s="125" t="s">
        <v>51</v>
      </c>
      <c r="K1540" s="125" t="s">
        <v>51</v>
      </c>
      <c r="L1540" s="125" t="s">
        <v>51</v>
      </c>
      <c r="M1540" s="125" t="str">
        <f t="shared" si="1"/>
        <v/>
      </c>
      <c r="N1540" s="125" t="str">
        <f t="shared" si="2"/>
        <v/>
      </c>
      <c r="O1540" s="125"/>
      <c r="P1540" s="125"/>
      <c r="Q1540" s="125"/>
      <c r="R1540" s="125"/>
      <c r="S1540" s="628">
        <f t="shared" si="3"/>
        <v>0</v>
      </c>
      <c r="T1540" s="627" t="s">
        <v>51</v>
      </c>
      <c r="U1540" s="627" t="s">
        <v>51</v>
      </c>
      <c r="V1540" s="627" t="s">
        <v>51</v>
      </c>
      <c r="W1540" s="627" t="s">
        <v>51</v>
      </c>
      <c r="X1540" s="627" t="s">
        <v>51</v>
      </c>
      <c r="Y1540" s="89"/>
    </row>
    <row r="1541" ht="22.5" customHeight="1">
      <c r="A1541" s="223"/>
      <c r="B1541" s="125"/>
      <c r="C1541" s="125"/>
      <c r="D1541" s="125"/>
      <c r="E1541" s="125"/>
      <c r="F1541" s="125"/>
      <c r="G1541" s="125"/>
      <c r="H1541" s="125"/>
      <c r="I1541" s="627" t="s">
        <v>51</v>
      </c>
      <c r="J1541" s="125" t="s">
        <v>51</v>
      </c>
      <c r="K1541" s="125" t="s">
        <v>51</v>
      </c>
      <c r="L1541" s="125" t="s">
        <v>51</v>
      </c>
      <c r="M1541" s="125" t="str">
        <f t="shared" si="1"/>
        <v/>
      </c>
      <c r="N1541" s="125" t="str">
        <f t="shared" si="2"/>
        <v/>
      </c>
      <c r="O1541" s="125"/>
      <c r="P1541" s="125"/>
      <c r="Q1541" s="125"/>
      <c r="R1541" s="125"/>
      <c r="S1541" s="628">
        <f t="shared" si="3"/>
        <v>0</v>
      </c>
      <c r="T1541" s="627" t="s">
        <v>51</v>
      </c>
      <c r="U1541" s="627" t="s">
        <v>51</v>
      </c>
      <c r="V1541" s="627" t="s">
        <v>51</v>
      </c>
      <c r="W1541" s="627" t="s">
        <v>51</v>
      </c>
      <c r="X1541" s="627" t="s">
        <v>51</v>
      </c>
      <c r="Y1541" s="89"/>
    </row>
    <row r="1542" ht="22.5" customHeight="1">
      <c r="A1542" s="223"/>
      <c r="B1542" s="125"/>
      <c r="C1542" s="125"/>
      <c r="D1542" s="125"/>
      <c r="E1542" s="125"/>
      <c r="F1542" s="125"/>
      <c r="G1542" s="125"/>
      <c r="H1542" s="125"/>
      <c r="I1542" s="627" t="s">
        <v>51</v>
      </c>
      <c r="J1542" s="125" t="s">
        <v>51</v>
      </c>
      <c r="K1542" s="125" t="s">
        <v>51</v>
      </c>
      <c r="L1542" s="125" t="s">
        <v>51</v>
      </c>
      <c r="M1542" s="125" t="str">
        <f t="shared" si="1"/>
        <v/>
      </c>
      <c r="N1542" s="125" t="str">
        <f t="shared" si="2"/>
        <v/>
      </c>
      <c r="O1542" s="125"/>
      <c r="P1542" s="125"/>
      <c r="Q1542" s="125"/>
      <c r="R1542" s="125"/>
      <c r="S1542" s="628">
        <f t="shared" si="3"/>
        <v>0</v>
      </c>
      <c r="T1542" s="627" t="s">
        <v>51</v>
      </c>
      <c r="U1542" s="627" t="s">
        <v>51</v>
      </c>
      <c r="V1542" s="627" t="s">
        <v>51</v>
      </c>
      <c r="W1542" s="627" t="s">
        <v>51</v>
      </c>
      <c r="X1542" s="627" t="s">
        <v>51</v>
      </c>
      <c r="Y1542" s="89"/>
    </row>
    <row r="1543" ht="22.5" customHeight="1">
      <c r="A1543" s="223"/>
      <c r="B1543" s="125"/>
      <c r="C1543" s="125"/>
      <c r="D1543" s="125"/>
      <c r="E1543" s="125"/>
      <c r="F1543" s="125"/>
      <c r="G1543" s="125"/>
      <c r="H1543" s="125"/>
      <c r="I1543" s="627" t="s">
        <v>51</v>
      </c>
      <c r="J1543" s="125" t="s">
        <v>51</v>
      </c>
      <c r="K1543" s="125" t="s">
        <v>51</v>
      </c>
      <c r="L1543" s="125" t="s">
        <v>51</v>
      </c>
      <c r="M1543" s="125" t="str">
        <f t="shared" si="1"/>
        <v/>
      </c>
      <c r="N1543" s="125" t="str">
        <f t="shared" si="2"/>
        <v/>
      </c>
      <c r="O1543" s="125"/>
      <c r="P1543" s="125"/>
      <c r="Q1543" s="125"/>
      <c r="R1543" s="125"/>
      <c r="S1543" s="628">
        <f t="shared" si="3"/>
        <v>0</v>
      </c>
      <c r="T1543" s="627" t="s">
        <v>51</v>
      </c>
      <c r="U1543" s="627" t="s">
        <v>51</v>
      </c>
      <c r="V1543" s="627" t="s">
        <v>51</v>
      </c>
      <c r="W1543" s="627" t="s">
        <v>51</v>
      </c>
      <c r="X1543" s="627" t="s">
        <v>51</v>
      </c>
      <c r="Y1543" s="89"/>
    </row>
    <row r="1544" ht="22.5" customHeight="1">
      <c r="A1544" s="223"/>
      <c r="B1544" s="125"/>
      <c r="C1544" s="125"/>
      <c r="D1544" s="125"/>
      <c r="E1544" s="125"/>
      <c r="F1544" s="125"/>
      <c r="G1544" s="125"/>
      <c r="H1544" s="125"/>
      <c r="I1544" s="627" t="s">
        <v>51</v>
      </c>
      <c r="J1544" s="125" t="s">
        <v>51</v>
      </c>
      <c r="K1544" s="125" t="s">
        <v>51</v>
      </c>
      <c r="L1544" s="125" t="s">
        <v>51</v>
      </c>
      <c r="M1544" s="125" t="str">
        <f t="shared" si="1"/>
        <v/>
      </c>
      <c r="N1544" s="125" t="str">
        <f t="shared" si="2"/>
        <v/>
      </c>
      <c r="O1544" s="125"/>
      <c r="P1544" s="125"/>
      <c r="Q1544" s="125"/>
      <c r="R1544" s="125"/>
      <c r="S1544" s="628">
        <f t="shared" si="3"/>
        <v>0</v>
      </c>
      <c r="T1544" s="627" t="s">
        <v>51</v>
      </c>
      <c r="U1544" s="627" t="s">
        <v>51</v>
      </c>
      <c r="V1544" s="627" t="s">
        <v>51</v>
      </c>
      <c r="W1544" s="627" t="s">
        <v>51</v>
      </c>
      <c r="X1544" s="627" t="s">
        <v>51</v>
      </c>
      <c r="Y1544" s="89"/>
    </row>
    <row r="1545" ht="22.5" customHeight="1">
      <c r="A1545" s="223"/>
      <c r="B1545" s="125"/>
      <c r="C1545" s="125"/>
      <c r="D1545" s="125"/>
      <c r="E1545" s="125"/>
      <c r="F1545" s="125"/>
      <c r="G1545" s="125"/>
      <c r="H1545" s="125"/>
      <c r="I1545" s="627" t="s">
        <v>51</v>
      </c>
      <c r="J1545" s="125" t="s">
        <v>51</v>
      </c>
      <c r="K1545" s="125" t="s">
        <v>51</v>
      </c>
      <c r="L1545" s="125" t="s">
        <v>51</v>
      </c>
      <c r="M1545" s="125" t="str">
        <f t="shared" si="1"/>
        <v/>
      </c>
      <c r="N1545" s="125" t="str">
        <f t="shared" si="2"/>
        <v/>
      </c>
      <c r="O1545" s="125"/>
      <c r="P1545" s="125"/>
      <c r="Q1545" s="125"/>
      <c r="R1545" s="125"/>
      <c r="S1545" s="628">
        <f t="shared" si="3"/>
        <v>0</v>
      </c>
      <c r="T1545" s="627" t="s">
        <v>51</v>
      </c>
      <c r="U1545" s="627" t="s">
        <v>51</v>
      </c>
      <c r="V1545" s="627" t="s">
        <v>51</v>
      </c>
      <c r="W1545" s="627" t="s">
        <v>51</v>
      </c>
      <c r="X1545" s="627" t="s">
        <v>51</v>
      </c>
      <c r="Y1545" s="89"/>
    </row>
    <row r="1546" ht="22.5" customHeight="1">
      <c r="A1546" s="223"/>
      <c r="B1546" s="125"/>
      <c r="C1546" s="125"/>
      <c r="D1546" s="125"/>
      <c r="E1546" s="125"/>
      <c r="F1546" s="125"/>
      <c r="G1546" s="125"/>
      <c r="H1546" s="125"/>
      <c r="I1546" s="627" t="s">
        <v>51</v>
      </c>
      <c r="J1546" s="125" t="s">
        <v>51</v>
      </c>
      <c r="K1546" s="125" t="s">
        <v>51</v>
      </c>
      <c r="L1546" s="125" t="s">
        <v>51</v>
      </c>
      <c r="M1546" s="125" t="str">
        <f t="shared" si="1"/>
        <v/>
      </c>
      <c r="N1546" s="125" t="str">
        <f t="shared" si="2"/>
        <v/>
      </c>
      <c r="O1546" s="125"/>
      <c r="P1546" s="125"/>
      <c r="Q1546" s="125"/>
      <c r="R1546" s="125"/>
      <c r="S1546" s="628">
        <f t="shared" si="3"/>
        <v>0</v>
      </c>
      <c r="T1546" s="627" t="s">
        <v>51</v>
      </c>
      <c r="U1546" s="627" t="s">
        <v>51</v>
      </c>
      <c r="V1546" s="627" t="s">
        <v>51</v>
      </c>
      <c r="W1546" s="627" t="s">
        <v>51</v>
      </c>
      <c r="X1546" s="627" t="s">
        <v>51</v>
      </c>
      <c r="Y1546" s="89"/>
    </row>
    <row r="1547" ht="22.5" customHeight="1">
      <c r="A1547" s="223"/>
      <c r="B1547" s="125"/>
      <c r="C1547" s="125"/>
      <c r="D1547" s="125"/>
      <c r="E1547" s="125"/>
      <c r="F1547" s="125"/>
      <c r="G1547" s="125"/>
      <c r="H1547" s="125"/>
      <c r="I1547" s="627" t="s">
        <v>51</v>
      </c>
      <c r="J1547" s="125" t="s">
        <v>51</v>
      </c>
      <c r="K1547" s="125" t="s">
        <v>51</v>
      </c>
      <c r="L1547" s="125" t="s">
        <v>51</v>
      </c>
      <c r="M1547" s="125" t="str">
        <f t="shared" si="1"/>
        <v/>
      </c>
      <c r="N1547" s="125" t="str">
        <f t="shared" si="2"/>
        <v/>
      </c>
      <c r="O1547" s="125"/>
      <c r="P1547" s="125"/>
      <c r="Q1547" s="125"/>
      <c r="R1547" s="125"/>
      <c r="S1547" s="628">
        <f t="shared" si="3"/>
        <v>0</v>
      </c>
      <c r="T1547" s="627" t="s">
        <v>51</v>
      </c>
      <c r="U1547" s="627" t="s">
        <v>51</v>
      </c>
      <c r="V1547" s="627" t="s">
        <v>51</v>
      </c>
      <c r="W1547" s="627" t="s">
        <v>51</v>
      </c>
      <c r="X1547" s="627" t="s">
        <v>51</v>
      </c>
      <c r="Y1547" s="89"/>
    </row>
    <row r="1548" ht="22.5" customHeight="1">
      <c r="A1548" s="223"/>
      <c r="B1548" s="125"/>
      <c r="C1548" s="125"/>
      <c r="D1548" s="125"/>
      <c r="E1548" s="125"/>
      <c r="F1548" s="125"/>
      <c r="G1548" s="125"/>
      <c r="H1548" s="125"/>
      <c r="I1548" s="627" t="s">
        <v>51</v>
      </c>
      <c r="J1548" s="125" t="s">
        <v>51</v>
      </c>
      <c r="K1548" s="125" t="s">
        <v>51</v>
      </c>
      <c r="L1548" s="125" t="s">
        <v>51</v>
      </c>
      <c r="M1548" s="125" t="str">
        <f t="shared" si="1"/>
        <v/>
      </c>
      <c r="N1548" s="125" t="str">
        <f t="shared" si="2"/>
        <v/>
      </c>
      <c r="O1548" s="125"/>
      <c r="P1548" s="125"/>
      <c r="Q1548" s="125"/>
      <c r="R1548" s="125"/>
      <c r="S1548" s="628">
        <f t="shared" si="3"/>
        <v>0</v>
      </c>
      <c r="T1548" s="627" t="s">
        <v>51</v>
      </c>
      <c r="U1548" s="627" t="s">
        <v>51</v>
      </c>
      <c r="V1548" s="627" t="s">
        <v>51</v>
      </c>
      <c r="W1548" s="627" t="s">
        <v>51</v>
      </c>
      <c r="X1548" s="627" t="s">
        <v>51</v>
      </c>
      <c r="Y1548" s="89"/>
    </row>
    <row r="1549" ht="22.5" customHeight="1">
      <c r="A1549" s="223"/>
      <c r="B1549" s="125"/>
      <c r="C1549" s="125"/>
      <c r="D1549" s="125"/>
      <c r="E1549" s="125"/>
      <c r="F1549" s="125"/>
      <c r="G1549" s="125"/>
      <c r="H1549" s="125"/>
      <c r="I1549" s="627" t="s">
        <v>51</v>
      </c>
      <c r="J1549" s="125" t="s">
        <v>51</v>
      </c>
      <c r="K1549" s="125" t="s">
        <v>51</v>
      </c>
      <c r="L1549" s="125" t="s">
        <v>51</v>
      </c>
      <c r="M1549" s="125" t="str">
        <f t="shared" si="1"/>
        <v/>
      </c>
      <c r="N1549" s="125" t="str">
        <f t="shared" si="2"/>
        <v/>
      </c>
      <c r="O1549" s="125"/>
      <c r="P1549" s="125"/>
      <c r="Q1549" s="125"/>
      <c r="R1549" s="125"/>
      <c r="S1549" s="628">
        <f t="shared" si="3"/>
        <v>0</v>
      </c>
      <c r="T1549" s="627" t="s">
        <v>51</v>
      </c>
      <c r="U1549" s="627" t="s">
        <v>51</v>
      </c>
      <c r="V1549" s="627" t="s">
        <v>51</v>
      </c>
      <c r="W1549" s="627" t="s">
        <v>51</v>
      </c>
      <c r="X1549" s="627" t="s">
        <v>51</v>
      </c>
      <c r="Y1549" s="89"/>
    </row>
    <row r="1550" ht="22.5" customHeight="1">
      <c r="A1550" s="223"/>
      <c r="B1550" s="125"/>
      <c r="C1550" s="125"/>
      <c r="D1550" s="125"/>
      <c r="E1550" s="125"/>
      <c r="F1550" s="125"/>
      <c r="G1550" s="125"/>
      <c r="H1550" s="125"/>
      <c r="I1550" s="627" t="s">
        <v>51</v>
      </c>
      <c r="J1550" s="125" t="s">
        <v>51</v>
      </c>
      <c r="K1550" s="125" t="s">
        <v>51</v>
      </c>
      <c r="L1550" s="125" t="s">
        <v>51</v>
      </c>
      <c r="M1550" s="125" t="str">
        <f t="shared" si="1"/>
        <v/>
      </c>
      <c r="N1550" s="125" t="str">
        <f t="shared" si="2"/>
        <v/>
      </c>
      <c r="O1550" s="125"/>
      <c r="P1550" s="125"/>
      <c r="Q1550" s="125"/>
      <c r="R1550" s="125"/>
      <c r="S1550" s="628">
        <f t="shared" si="3"/>
        <v>0</v>
      </c>
      <c r="T1550" s="627" t="s">
        <v>51</v>
      </c>
      <c r="U1550" s="627" t="s">
        <v>51</v>
      </c>
      <c r="V1550" s="627" t="s">
        <v>51</v>
      </c>
      <c r="W1550" s="627" t="s">
        <v>51</v>
      </c>
      <c r="X1550" s="627" t="s">
        <v>51</v>
      </c>
      <c r="Y1550" s="89"/>
    </row>
    <row r="1551" ht="22.5" customHeight="1">
      <c r="A1551" s="223"/>
      <c r="B1551" s="125"/>
      <c r="C1551" s="125"/>
      <c r="D1551" s="125"/>
      <c r="E1551" s="125"/>
      <c r="F1551" s="125"/>
      <c r="G1551" s="125"/>
      <c r="H1551" s="125"/>
      <c r="I1551" s="627" t="s">
        <v>51</v>
      </c>
      <c r="J1551" s="125" t="s">
        <v>51</v>
      </c>
      <c r="K1551" s="125" t="s">
        <v>51</v>
      </c>
      <c r="L1551" s="125" t="s">
        <v>51</v>
      </c>
      <c r="M1551" s="125" t="str">
        <f t="shared" si="1"/>
        <v/>
      </c>
      <c r="N1551" s="125" t="str">
        <f t="shared" si="2"/>
        <v/>
      </c>
      <c r="O1551" s="125"/>
      <c r="P1551" s="125"/>
      <c r="Q1551" s="125"/>
      <c r="R1551" s="125"/>
      <c r="S1551" s="628">
        <f t="shared" si="3"/>
        <v>0</v>
      </c>
      <c r="T1551" s="627" t="s">
        <v>51</v>
      </c>
      <c r="U1551" s="627" t="s">
        <v>51</v>
      </c>
      <c r="V1551" s="627" t="s">
        <v>51</v>
      </c>
      <c r="W1551" s="627" t="s">
        <v>51</v>
      </c>
      <c r="X1551" s="627" t="s">
        <v>51</v>
      </c>
      <c r="Y1551" s="89"/>
    </row>
    <row r="1552" ht="22.5" customHeight="1">
      <c r="A1552" s="223"/>
      <c r="B1552" s="125"/>
      <c r="C1552" s="125"/>
      <c r="D1552" s="125"/>
      <c r="E1552" s="125"/>
      <c r="F1552" s="125"/>
      <c r="G1552" s="125"/>
      <c r="H1552" s="125"/>
      <c r="I1552" s="627" t="s">
        <v>51</v>
      </c>
      <c r="J1552" s="125" t="s">
        <v>51</v>
      </c>
      <c r="K1552" s="125" t="s">
        <v>51</v>
      </c>
      <c r="L1552" s="125" t="s">
        <v>51</v>
      </c>
      <c r="M1552" s="125" t="str">
        <f t="shared" si="1"/>
        <v/>
      </c>
      <c r="N1552" s="125" t="str">
        <f t="shared" si="2"/>
        <v/>
      </c>
      <c r="O1552" s="125"/>
      <c r="P1552" s="125"/>
      <c r="Q1552" s="125"/>
      <c r="R1552" s="125"/>
      <c r="S1552" s="628">
        <f t="shared" si="3"/>
        <v>0</v>
      </c>
      <c r="T1552" s="627" t="s">
        <v>51</v>
      </c>
      <c r="U1552" s="627" t="s">
        <v>51</v>
      </c>
      <c r="V1552" s="627" t="s">
        <v>51</v>
      </c>
      <c r="W1552" s="627" t="s">
        <v>51</v>
      </c>
      <c r="X1552" s="627" t="s">
        <v>51</v>
      </c>
      <c r="Y1552" s="89"/>
    </row>
    <row r="1553" ht="22.5" customHeight="1">
      <c r="A1553" s="223"/>
      <c r="B1553" s="125"/>
      <c r="C1553" s="125"/>
      <c r="D1553" s="125"/>
      <c r="E1553" s="125"/>
      <c r="F1553" s="125"/>
      <c r="G1553" s="125"/>
      <c r="H1553" s="125"/>
      <c r="I1553" s="627" t="s">
        <v>51</v>
      </c>
      <c r="J1553" s="125" t="s">
        <v>51</v>
      </c>
      <c r="K1553" s="125" t="s">
        <v>51</v>
      </c>
      <c r="L1553" s="125" t="s">
        <v>51</v>
      </c>
      <c r="M1553" s="125" t="str">
        <f t="shared" si="1"/>
        <v/>
      </c>
      <c r="N1553" s="125" t="str">
        <f t="shared" si="2"/>
        <v/>
      </c>
      <c r="O1553" s="125"/>
      <c r="P1553" s="125"/>
      <c r="Q1553" s="125"/>
      <c r="R1553" s="125"/>
      <c r="S1553" s="628">
        <f t="shared" si="3"/>
        <v>0</v>
      </c>
      <c r="T1553" s="627" t="s">
        <v>51</v>
      </c>
      <c r="U1553" s="627" t="s">
        <v>51</v>
      </c>
      <c r="V1553" s="627" t="s">
        <v>51</v>
      </c>
      <c r="W1553" s="627" t="s">
        <v>51</v>
      </c>
      <c r="X1553" s="627" t="s">
        <v>51</v>
      </c>
      <c r="Y1553" s="89"/>
    </row>
    <row r="1554" ht="22.5" customHeight="1">
      <c r="A1554" s="223"/>
      <c r="B1554" s="125"/>
      <c r="C1554" s="125"/>
      <c r="D1554" s="125"/>
      <c r="E1554" s="125"/>
      <c r="F1554" s="125"/>
      <c r="G1554" s="125"/>
      <c r="H1554" s="125"/>
      <c r="I1554" s="627" t="s">
        <v>51</v>
      </c>
      <c r="J1554" s="125" t="s">
        <v>51</v>
      </c>
      <c r="K1554" s="125" t="s">
        <v>51</v>
      </c>
      <c r="L1554" s="125" t="s">
        <v>51</v>
      </c>
      <c r="M1554" s="125" t="str">
        <f t="shared" si="1"/>
        <v/>
      </c>
      <c r="N1554" s="125" t="str">
        <f t="shared" si="2"/>
        <v/>
      </c>
      <c r="O1554" s="125"/>
      <c r="P1554" s="125"/>
      <c r="Q1554" s="125"/>
      <c r="R1554" s="125"/>
      <c r="S1554" s="628">
        <f t="shared" si="3"/>
        <v>0</v>
      </c>
      <c r="T1554" s="627" t="s">
        <v>51</v>
      </c>
      <c r="U1554" s="627" t="s">
        <v>51</v>
      </c>
      <c r="V1554" s="627" t="s">
        <v>51</v>
      </c>
      <c r="W1554" s="627" t="s">
        <v>51</v>
      </c>
      <c r="X1554" s="627" t="s">
        <v>51</v>
      </c>
      <c r="Y1554" s="89"/>
    </row>
    <row r="1555" ht="22.5" customHeight="1">
      <c r="A1555" s="223"/>
      <c r="B1555" s="125"/>
      <c r="C1555" s="125"/>
      <c r="D1555" s="125"/>
      <c r="E1555" s="125"/>
      <c r="F1555" s="125"/>
      <c r="G1555" s="125"/>
      <c r="H1555" s="125"/>
      <c r="I1555" s="627" t="s">
        <v>51</v>
      </c>
      <c r="J1555" s="125" t="s">
        <v>51</v>
      </c>
      <c r="K1555" s="125" t="s">
        <v>51</v>
      </c>
      <c r="L1555" s="125" t="s">
        <v>51</v>
      </c>
      <c r="M1555" s="125" t="str">
        <f t="shared" si="1"/>
        <v/>
      </c>
      <c r="N1555" s="125" t="str">
        <f t="shared" si="2"/>
        <v/>
      </c>
      <c r="O1555" s="125"/>
      <c r="P1555" s="125"/>
      <c r="Q1555" s="125"/>
      <c r="R1555" s="125"/>
      <c r="S1555" s="628">
        <f t="shared" si="3"/>
        <v>0</v>
      </c>
      <c r="T1555" s="627" t="s">
        <v>51</v>
      </c>
      <c r="U1555" s="627" t="s">
        <v>51</v>
      </c>
      <c r="V1555" s="627" t="s">
        <v>51</v>
      </c>
      <c r="W1555" s="627" t="s">
        <v>51</v>
      </c>
      <c r="X1555" s="627" t="s">
        <v>51</v>
      </c>
      <c r="Y1555" s="89"/>
    </row>
    <row r="1556" ht="22.5" customHeight="1">
      <c r="A1556" s="223"/>
      <c r="B1556" s="125"/>
      <c r="C1556" s="125"/>
      <c r="D1556" s="125"/>
      <c r="E1556" s="125"/>
      <c r="F1556" s="125"/>
      <c r="G1556" s="125"/>
      <c r="H1556" s="125"/>
      <c r="I1556" s="627" t="s">
        <v>51</v>
      </c>
      <c r="J1556" s="125" t="s">
        <v>51</v>
      </c>
      <c r="K1556" s="125" t="s">
        <v>51</v>
      </c>
      <c r="L1556" s="125" t="s">
        <v>51</v>
      </c>
      <c r="M1556" s="125" t="str">
        <f t="shared" si="1"/>
        <v/>
      </c>
      <c r="N1556" s="125" t="str">
        <f t="shared" si="2"/>
        <v/>
      </c>
      <c r="O1556" s="125"/>
      <c r="P1556" s="125"/>
      <c r="Q1556" s="125"/>
      <c r="R1556" s="125"/>
      <c r="S1556" s="628">
        <f t="shared" si="3"/>
        <v>0</v>
      </c>
      <c r="T1556" s="627" t="s">
        <v>51</v>
      </c>
      <c r="U1556" s="627" t="s">
        <v>51</v>
      </c>
      <c r="V1556" s="627" t="s">
        <v>51</v>
      </c>
      <c r="W1556" s="627" t="s">
        <v>51</v>
      </c>
      <c r="X1556" s="627" t="s">
        <v>51</v>
      </c>
      <c r="Y1556" s="89"/>
    </row>
    <row r="1557" ht="22.5" customHeight="1">
      <c r="A1557" s="223"/>
      <c r="B1557" s="125"/>
      <c r="C1557" s="125"/>
      <c r="D1557" s="125"/>
      <c r="E1557" s="125"/>
      <c r="F1557" s="125"/>
      <c r="G1557" s="125"/>
      <c r="H1557" s="125"/>
      <c r="I1557" s="627" t="s">
        <v>51</v>
      </c>
      <c r="J1557" s="125" t="s">
        <v>51</v>
      </c>
      <c r="K1557" s="125" t="s">
        <v>51</v>
      </c>
      <c r="L1557" s="125" t="s">
        <v>51</v>
      </c>
      <c r="M1557" s="125" t="str">
        <f t="shared" si="1"/>
        <v/>
      </c>
      <c r="N1557" s="125" t="str">
        <f t="shared" si="2"/>
        <v/>
      </c>
      <c r="O1557" s="125"/>
      <c r="P1557" s="125"/>
      <c r="Q1557" s="125"/>
      <c r="R1557" s="125"/>
      <c r="S1557" s="628">
        <f t="shared" si="3"/>
        <v>0</v>
      </c>
      <c r="T1557" s="627" t="s">
        <v>51</v>
      </c>
      <c r="U1557" s="627" t="s">
        <v>51</v>
      </c>
      <c r="V1557" s="627" t="s">
        <v>51</v>
      </c>
      <c r="W1557" s="627" t="s">
        <v>51</v>
      </c>
      <c r="X1557" s="627" t="s">
        <v>51</v>
      </c>
      <c r="Y1557" s="89"/>
    </row>
    <row r="1558" ht="22.5" customHeight="1">
      <c r="A1558" s="223"/>
      <c r="B1558" s="125"/>
      <c r="C1558" s="125"/>
      <c r="D1558" s="125"/>
      <c r="E1558" s="125"/>
      <c r="F1558" s="125"/>
      <c r="G1558" s="125"/>
      <c r="H1558" s="125"/>
      <c r="I1558" s="627" t="s">
        <v>51</v>
      </c>
      <c r="J1558" s="125" t="s">
        <v>51</v>
      </c>
      <c r="K1558" s="125" t="s">
        <v>51</v>
      </c>
      <c r="L1558" s="125" t="s">
        <v>51</v>
      </c>
      <c r="M1558" s="125" t="str">
        <f t="shared" si="1"/>
        <v/>
      </c>
      <c r="N1558" s="125" t="str">
        <f t="shared" si="2"/>
        <v/>
      </c>
      <c r="O1558" s="125"/>
      <c r="P1558" s="125"/>
      <c r="Q1558" s="125"/>
      <c r="R1558" s="125"/>
      <c r="S1558" s="628">
        <f t="shared" si="3"/>
        <v>0</v>
      </c>
      <c r="T1558" s="627" t="s">
        <v>51</v>
      </c>
      <c r="U1558" s="627" t="s">
        <v>51</v>
      </c>
      <c r="V1558" s="627" t="s">
        <v>51</v>
      </c>
      <c r="W1558" s="627" t="s">
        <v>51</v>
      </c>
      <c r="X1558" s="627" t="s">
        <v>51</v>
      </c>
      <c r="Y1558" s="89"/>
    </row>
    <row r="1559" ht="22.5" customHeight="1">
      <c r="A1559" s="223"/>
      <c r="B1559" s="125"/>
      <c r="C1559" s="125"/>
      <c r="D1559" s="125"/>
      <c r="E1559" s="125"/>
      <c r="F1559" s="125"/>
      <c r="G1559" s="125"/>
      <c r="H1559" s="125"/>
      <c r="I1559" s="627" t="s">
        <v>51</v>
      </c>
      <c r="J1559" s="125" t="s">
        <v>51</v>
      </c>
      <c r="K1559" s="125" t="s">
        <v>51</v>
      </c>
      <c r="L1559" s="125" t="s">
        <v>51</v>
      </c>
      <c r="M1559" s="125" t="str">
        <f t="shared" si="1"/>
        <v/>
      </c>
      <c r="N1559" s="125" t="str">
        <f t="shared" si="2"/>
        <v/>
      </c>
      <c r="O1559" s="125"/>
      <c r="P1559" s="125"/>
      <c r="Q1559" s="125"/>
      <c r="R1559" s="125"/>
      <c r="S1559" s="628">
        <f t="shared" si="3"/>
        <v>0</v>
      </c>
      <c r="T1559" s="627" t="s">
        <v>51</v>
      </c>
      <c r="U1559" s="627" t="s">
        <v>51</v>
      </c>
      <c r="V1559" s="627" t="s">
        <v>51</v>
      </c>
      <c r="W1559" s="627" t="s">
        <v>51</v>
      </c>
      <c r="X1559" s="627" t="s">
        <v>51</v>
      </c>
      <c r="Y1559" s="89"/>
    </row>
    <row r="1560" ht="22.5" customHeight="1">
      <c r="A1560" s="223"/>
      <c r="B1560" s="125"/>
      <c r="C1560" s="125"/>
      <c r="D1560" s="125"/>
      <c r="E1560" s="125"/>
      <c r="F1560" s="125"/>
      <c r="G1560" s="125"/>
      <c r="H1560" s="125"/>
      <c r="I1560" s="627" t="s">
        <v>51</v>
      </c>
      <c r="J1560" s="125" t="s">
        <v>51</v>
      </c>
      <c r="K1560" s="125" t="s">
        <v>51</v>
      </c>
      <c r="L1560" s="125" t="s">
        <v>51</v>
      </c>
      <c r="M1560" s="125" t="str">
        <f t="shared" si="1"/>
        <v/>
      </c>
      <c r="N1560" s="125" t="str">
        <f t="shared" si="2"/>
        <v/>
      </c>
      <c r="O1560" s="125"/>
      <c r="P1560" s="125"/>
      <c r="Q1560" s="125"/>
      <c r="R1560" s="125"/>
      <c r="S1560" s="628">
        <f t="shared" si="3"/>
        <v>0</v>
      </c>
      <c r="T1560" s="627" t="s">
        <v>51</v>
      </c>
      <c r="U1560" s="627" t="s">
        <v>51</v>
      </c>
      <c r="V1560" s="627" t="s">
        <v>51</v>
      </c>
      <c r="W1560" s="627" t="s">
        <v>51</v>
      </c>
      <c r="X1560" s="627" t="s">
        <v>51</v>
      </c>
      <c r="Y1560" s="89"/>
    </row>
    <row r="1561" ht="22.5" customHeight="1">
      <c r="A1561" s="223"/>
      <c r="B1561" s="125"/>
      <c r="C1561" s="125"/>
      <c r="D1561" s="125"/>
      <c r="E1561" s="125"/>
      <c r="F1561" s="125"/>
      <c r="G1561" s="125"/>
      <c r="H1561" s="125"/>
      <c r="I1561" s="627" t="s">
        <v>51</v>
      </c>
      <c r="J1561" s="125" t="s">
        <v>51</v>
      </c>
      <c r="K1561" s="125" t="s">
        <v>51</v>
      </c>
      <c r="L1561" s="125" t="s">
        <v>51</v>
      </c>
      <c r="M1561" s="125" t="str">
        <f t="shared" si="1"/>
        <v/>
      </c>
      <c r="N1561" s="125" t="str">
        <f t="shared" si="2"/>
        <v/>
      </c>
      <c r="O1561" s="125"/>
      <c r="P1561" s="125"/>
      <c r="Q1561" s="125"/>
      <c r="R1561" s="125"/>
      <c r="S1561" s="628">
        <f t="shared" si="3"/>
        <v>0</v>
      </c>
      <c r="T1561" s="627" t="s">
        <v>51</v>
      </c>
      <c r="U1561" s="627" t="s">
        <v>51</v>
      </c>
      <c r="V1561" s="627" t="s">
        <v>51</v>
      </c>
      <c r="W1561" s="627" t="s">
        <v>51</v>
      </c>
      <c r="X1561" s="627" t="s">
        <v>51</v>
      </c>
      <c r="Y1561" s="89"/>
    </row>
    <row r="1562" ht="22.5" customHeight="1">
      <c r="A1562" s="223"/>
      <c r="B1562" s="125"/>
      <c r="C1562" s="125"/>
      <c r="D1562" s="125"/>
      <c r="E1562" s="125"/>
      <c r="F1562" s="125"/>
      <c r="G1562" s="125"/>
      <c r="H1562" s="125"/>
      <c r="I1562" s="627" t="s">
        <v>51</v>
      </c>
      <c r="J1562" s="125" t="s">
        <v>51</v>
      </c>
      <c r="K1562" s="125" t="s">
        <v>51</v>
      </c>
      <c r="L1562" s="125" t="s">
        <v>51</v>
      </c>
      <c r="M1562" s="125" t="str">
        <f t="shared" si="1"/>
        <v/>
      </c>
      <c r="N1562" s="125" t="str">
        <f t="shared" si="2"/>
        <v/>
      </c>
      <c r="O1562" s="125"/>
      <c r="P1562" s="125"/>
      <c r="Q1562" s="125"/>
      <c r="R1562" s="125"/>
      <c r="S1562" s="628">
        <f t="shared" si="3"/>
        <v>0</v>
      </c>
      <c r="T1562" s="627" t="s">
        <v>51</v>
      </c>
      <c r="U1562" s="627" t="s">
        <v>51</v>
      </c>
      <c r="V1562" s="627" t="s">
        <v>51</v>
      </c>
      <c r="W1562" s="627" t="s">
        <v>51</v>
      </c>
      <c r="X1562" s="627" t="s">
        <v>51</v>
      </c>
      <c r="Y1562" s="89"/>
    </row>
    <row r="1563" ht="22.5" customHeight="1">
      <c r="A1563" s="223"/>
      <c r="B1563" s="125"/>
      <c r="C1563" s="125"/>
      <c r="D1563" s="125"/>
      <c r="E1563" s="125"/>
      <c r="F1563" s="125"/>
      <c r="G1563" s="125"/>
      <c r="H1563" s="125"/>
      <c r="I1563" s="627" t="s">
        <v>51</v>
      </c>
      <c r="J1563" s="125" t="s">
        <v>51</v>
      </c>
      <c r="K1563" s="125" t="s">
        <v>51</v>
      </c>
      <c r="L1563" s="125" t="s">
        <v>51</v>
      </c>
      <c r="M1563" s="125" t="str">
        <f t="shared" si="1"/>
        <v/>
      </c>
      <c r="N1563" s="125" t="str">
        <f t="shared" si="2"/>
        <v/>
      </c>
      <c r="O1563" s="125"/>
      <c r="P1563" s="125"/>
      <c r="Q1563" s="125"/>
      <c r="R1563" s="125"/>
      <c r="S1563" s="628">
        <f t="shared" si="3"/>
        <v>0</v>
      </c>
      <c r="T1563" s="627" t="s">
        <v>51</v>
      </c>
      <c r="U1563" s="627" t="s">
        <v>51</v>
      </c>
      <c r="V1563" s="627" t="s">
        <v>51</v>
      </c>
      <c r="W1563" s="627" t="s">
        <v>51</v>
      </c>
      <c r="X1563" s="627" t="s">
        <v>51</v>
      </c>
      <c r="Y1563" s="89"/>
    </row>
    <row r="1564" ht="22.5" customHeight="1">
      <c r="A1564" s="223"/>
      <c r="B1564" s="125"/>
      <c r="C1564" s="125"/>
      <c r="D1564" s="125"/>
      <c r="E1564" s="125"/>
      <c r="F1564" s="125"/>
      <c r="G1564" s="125"/>
      <c r="H1564" s="125"/>
      <c r="I1564" s="627" t="s">
        <v>51</v>
      </c>
      <c r="J1564" s="125" t="s">
        <v>51</v>
      </c>
      <c r="K1564" s="125" t="s">
        <v>51</v>
      </c>
      <c r="L1564" s="125" t="s">
        <v>51</v>
      </c>
      <c r="M1564" s="125" t="str">
        <f t="shared" si="1"/>
        <v/>
      </c>
      <c r="N1564" s="125" t="str">
        <f t="shared" si="2"/>
        <v/>
      </c>
      <c r="O1564" s="125"/>
      <c r="P1564" s="125"/>
      <c r="Q1564" s="125"/>
      <c r="R1564" s="125"/>
      <c r="S1564" s="628">
        <f t="shared" si="3"/>
        <v>0</v>
      </c>
      <c r="T1564" s="627" t="s">
        <v>51</v>
      </c>
      <c r="U1564" s="627" t="s">
        <v>51</v>
      </c>
      <c r="V1564" s="627" t="s">
        <v>51</v>
      </c>
      <c r="W1564" s="627" t="s">
        <v>51</v>
      </c>
      <c r="X1564" s="627" t="s">
        <v>51</v>
      </c>
      <c r="Y1564" s="89"/>
    </row>
    <row r="1565" ht="22.5" customHeight="1">
      <c r="A1565" s="223"/>
      <c r="B1565" s="125"/>
      <c r="C1565" s="125"/>
      <c r="D1565" s="125"/>
      <c r="E1565" s="125"/>
      <c r="F1565" s="125"/>
      <c r="G1565" s="125"/>
      <c r="H1565" s="125"/>
      <c r="I1565" s="627" t="s">
        <v>51</v>
      </c>
      <c r="J1565" s="125" t="s">
        <v>51</v>
      </c>
      <c r="K1565" s="125" t="s">
        <v>51</v>
      </c>
      <c r="L1565" s="125" t="s">
        <v>51</v>
      </c>
      <c r="M1565" s="125" t="str">
        <f t="shared" si="1"/>
        <v/>
      </c>
      <c r="N1565" s="125" t="str">
        <f t="shared" si="2"/>
        <v/>
      </c>
      <c r="O1565" s="125"/>
      <c r="P1565" s="125"/>
      <c r="Q1565" s="125"/>
      <c r="R1565" s="125"/>
      <c r="S1565" s="628">
        <f t="shared" si="3"/>
        <v>0</v>
      </c>
      <c r="T1565" s="627" t="s">
        <v>51</v>
      </c>
      <c r="U1565" s="627" t="s">
        <v>51</v>
      </c>
      <c r="V1565" s="627" t="s">
        <v>51</v>
      </c>
      <c r="W1565" s="627" t="s">
        <v>51</v>
      </c>
      <c r="X1565" s="627" t="s">
        <v>51</v>
      </c>
      <c r="Y1565" s="89"/>
    </row>
    <row r="1566" ht="22.5" customHeight="1">
      <c r="A1566" s="223"/>
      <c r="B1566" s="125"/>
      <c r="C1566" s="125"/>
      <c r="D1566" s="125"/>
      <c r="E1566" s="125"/>
      <c r="F1566" s="125"/>
      <c r="G1566" s="125"/>
      <c r="H1566" s="125"/>
      <c r="I1566" s="627" t="s">
        <v>51</v>
      </c>
      <c r="J1566" s="125" t="s">
        <v>51</v>
      </c>
      <c r="K1566" s="125" t="s">
        <v>51</v>
      </c>
      <c r="L1566" s="125" t="s">
        <v>51</v>
      </c>
      <c r="M1566" s="125" t="str">
        <f t="shared" si="1"/>
        <v/>
      </c>
      <c r="N1566" s="125" t="str">
        <f t="shared" si="2"/>
        <v/>
      </c>
      <c r="O1566" s="125"/>
      <c r="P1566" s="125"/>
      <c r="Q1566" s="125"/>
      <c r="R1566" s="125"/>
      <c r="S1566" s="628">
        <f t="shared" si="3"/>
        <v>0</v>
      </c>
      <c r="T1566" s="627" t="s">
        <v>51</v>
      </c>
      <c r="U1566" s="627" t="s">
        <v>51</v>
      </c>
      <c r="V1566" s="627" t="s">
        <v>51</v>
      </c>
      <c r="W1566" s="627" t="s">
        <v>51</v>
      </c>
      <c r="X1566" s="627" t="s">
        <v>51</v>
      </c>
      <c r="Y1566" s="89"/>
    </row>
    <row r="1567" ht="22.5" customHeight="1">
      <c r="A1567" s="223"/>
      <c r="B1567" s="125"/>
      <c r="C1567" s="125"/>
      <c r="D1567" s="125"/>
      <c r="E1567" s="125"/>
      <c r="F1567" s="125"/>
      <c r="G1567" s="125"/>
      <c r="H1567" s="125"/>
      <c r="I1567" s="627" t="s">
        <v>51</v>
      </c>
      <c r="J1567" s="125" t="s">
        <v>51</v>
      </c>
      <c r="K1567" s="125" t="s">
        <v>51</v>
      </c>
      <c r="L1567" s="125" t="s">
        <v>51</v>
      </c>
      <c r="M1567" s="125" t="str">
        <f t="shared" si="1"/>
        <v/>
      </c>
      <c r="N1567" s="125" t="str">
        <f t="shared" si="2"/>
        <v/>
      </c>
      <c r="O1567" s="125"/>
      <c r="P1567" s="125"/>
      <c r="Q1567" s="125"/>
      <c r="R1567" s="125"/>
      <c r="S1567" s="628">
        <f t="shared" si="3"/>
        <v>0</v>
      </c>
      <c r="T1567" s="627" t="s">
        <v>51</v>
      </c>
      <c r="U1567" s="627" t="s">
        <v>51</v>
      </c>
      <c r="V1567" s="627" t="s">
        <v>51</v>
      </c>
      <c r="W1567" s="627" t="s">
        <v>51</v>
      </c>
      <c r="X1567" s="627" t="s">
        <v>51</v>
      </c>
      <c r="Y1567" s="89"/>
    </row>
    <row r="1568" ht="22.5" customHeight="1">
      <c r="A1568" s="223"/>
      <c r="B1568" s="125"/>
      <c r="C1568" s="125"/>
      <c r="D1568" s="125"/>
      <c r="E1568" s="125"/>
      <c r="F1568" s="125"/>
      <c r="G1568" s="125"/>
      <c r="H1568" s="125"/>
      <c r="I1568" s="627" t="s">
        <v>51</v>
      </c>
      <c r="J1568" s="125" t="s">
        <v>51</v>
      </c>
      <c r="K1568" s="125" t="s">
        <v>51</v>
      </c>
      <c r="L1568" s="125" t="s">
        <v>51</v>
      </c>
      <c r="M1568" s="125" t="str">
        <f t="shared" si="1"/>
        <v/>
      </c>
      <c r="N1568" s="125" t="str">
        <f t="shared" si="2"/>
        <v/>
      </c>
      <c r="O1568" s="125"/>
      <c r="P1568" s="125"/>
      <c r="Q1568" s="125"/>
      <c r="R1568" s="125"/>
      <c r="S1568" s="628">
        <f t="shared" si="3"/>
        <v>0</v>
      </c>
      <c r="T1568" s="627" t="s">
        <v>51</v>
      </c>
      <c r="U1568" s="627" t="s">
        <v>51</v>
      </c>
      <c r="V1568" s="627" t="s">
        <v>51</v>
      </c>
      <c r="W1568" s="627" t="s">
        <v>51</v>
      </c>
      <c r="X1568" s="627" t="s">
        <v>51</v>
      </c>
      <c r="Y1568" s="89"/>
    </row>
    <row r="1569" ht="22.5" customHeight="1">
      <c r="A1569" s="223"/>
      <c r="B1569" s="125"/>
      <c r="C1569" s="125"/>
      <c r="D1569" s="125"/>
      <c r="E1569" s="125"/>
      <c r="F1569" s="125"/>
      <c r="G1569" s="125"/>
      <c r="H1569" s="125"/>
      <c r="I1569" s="627" t="s">
        <v>51</v>
      </c>
      <c r="J1569" s="125" t="s">
        <v>51</v>
      </c>
      <c r="K1569" s="125" t="s">
        <v>51</v>
      </c>
      <c r="L1569" s="125" t="s">
        <v>51</v>
      </c>
      <c r="M1569" s="125" t="str">
        <f t="shared" si="1"/>
        <v/>
      </c>
      <c r="N1569" s="125" t="str">
        <f t="shared" si="2"/>
        <v/>
      </c>
      <c r="O1569" s="125"/>
      <c r="P1569" s="125"/>
      <c r="Q1569" s="125"/>
      <c r="R1569" s="125"/>
      <c r="S1569" s="628">
        <f t="shared" si="3"/>
        <v>0</v>
      </c>
      <c r="T1569" s="627" t="s">
        <v>51</v>
      </c>
      <c r="U1569" s="627" t="s">
        <v>51</v>
      </c>
      <c r="V1569" s="627" t="s">
        <v>51</v>
      </c>
      <c r="W1569" s="627" t="s">
        <v>51</v>
      </c>
      <c r="X1569" s="627" t="s">
        <v>51</v>
      </c>
      <c r="Y1569" s="89"/>
    </row>
    <row r="1570" ht="22.5" customHeight="1">
      <c r="A1570" s="223"/>
      <c r="B1570" s="125"/>
      <c r="C1570" s="125"/>
      <c r="D1570" s="125"/>
      <c r="E1570" s="125"/>
      <c r="F1570" s="125"/>
      <c r="G1570" s="125"/>
      <c r="H1570" s="125"/>
      <c r="I1570" s="627" t="s">
        <v>51</v>
      </c>
      <c r="J1570" s="125" t="s">
        <v>51</v>
      </c>
      <c r="K1570" s="125" t="s">
        <v>51</v>
      </c>
      <c r="L1570" s="125" t="s">
        <v>51</v>
      </c>
      <c r="M1570" s="125" t="str">
        <f t="shared" si="1"/>
        <v/>
      </c>
      <c r="N1570" s="125" t="str">
        <f t="shared" si="2"/>
        <v/>
      </c>
      <c r="O1570" s="125"/>
      <c r="P1570" s="125"/>
      <c r="Q1570" s="125"/>
      <c r="R1570" s="125"/>
      <c r="S1570" s="628">
        <f t="shared" si="3"/>
        <v>0</v>
      </c>
      <c r="T1570" s="627" t="s">
        <v>51</v>
      </c>
      <c r="U1570" s="627" t="s">
        <v>51</v>
      </c>
      <c r="V1570" s="627" t="s">
        <v>51</v>
      </c>
      <c r="W1570" s="627" t="s">
        <v>51</v>
      </c>
      <c r="X1570" s="627" t="s">
        <v>51</v>
      </c>
      <c r="Y1570" s="89"/>
    </row>
    <row r="1571" ht="22.5" customHeight="1">
      <c r="A1571" s="223"/>
      <c r="B1571" s="125"/>
      <c r="C1571" s="125"/>
      <c r="D1571" s="125"/>
      <c r="E1571" s="125"/>
      <c r="F1571" s="125"/>
      <c r="G1571" s="125"/>
      <c r="H1571" s="125"/>
      <c r="I1571" s="627" t="s">
        <v>51</v>
      </c>
      <c r="J1571" s="125" t="s">
        <v>51</v>
      </c>
      <c r="K1571" s="125" t="s">
        <v>51</v>
      </c>
      <c r="L1571" s="125" t="s">
        <v>51</v>
      </c>
      <c r="M1571" s="125" t="str">
        <f t="shared" si="1"/>
        <v/>
      </c>
      <c r="N1571" s="125" t="str">
        <f t="shared" si="2"/>
        <v/>
      </c>
      <c r="O1571" s="125"/>
      <c r="P1571" s="125"/>
      <c r="Q1571" s="125"/>
      <c r="R1571" s="125"/>
      <c r="S1571" s="628">
        <f t="shared" si="3"/>
        <v>0</v>
      </c>
      <c r="T1571" s="627" t="s">
        <v>51</v>
      </c>
      <c r="U1571" s="627" t="s">
        <v>51</v>
      </c>
      <c r="V1571" s="627" t="s">
        <v>51</v>
      </c>
      <c r="W1571" s="627" t="s">
        <v>51</v>
      </c>
      <c r="X1571" s="627" t="s">
        <v>51</v>
      </c>
      <c r="Y1571" s="89"/>
    </row>
    <row r="1572" ht="22.5" customHeight="1">
      <c r="A1572" s="223"/>
      <c r="B1572" s="125"/>
      <c r="C1572" s="125"/>
      <c r="D1572" s="125"/>
      <c r="E1572" s="125"/>
      <c r="F1572" s="125"/>
      <c r="G1572" s="125"/>
      <c r="H1572" s="125"/>
      <c r="I1572" s="627" t="s">
        <v>51</v>
      </c>
      <c r="J1572" s="125" t="s">
        <v>51</v>
      </c>
      <c r="K1572" s="125" t="s">
        <v>51</v>
      </c>
      <c r="L1572" s="125" t="s">
        <v>51</v>
      </c>
      <c r="M1572" s="125" t="str">
        <f t="shared" si="1"/>
        <v/>
      </c>
      <c r="N1572" s="125" t="str">
        <f t="shared" si="2"/>
        <v/>
      </c>
      <c r="O1572" s="125"/>
      <c r="P1572" s="125"/>
      <c r="Q1572" s="125"/>
      <c r="R1572" s="125"/>
      <c r="S1572" s="628">
        <f t="shared" si="3"/>
        <v>0</v>
      </c>
      <c r="T1572" s="627" t="s">
        <v>51</v>
      </c>
      <c r="U1572" s="627" t="s">
        <v>51</v>
      </c>
      <c r="V1572" s="627" t="s">
        <v>51</v>
      </c>
      <c r="W1572" s="627" t="s">
        <v>51</v>
      </c>
      <c r="X1572" s="627" t="s">
        <v>51</v>
      </c>
      <c r="Y1572" s="89"/>
    </row>
    <row r="1573" ht="22.5" customHeight="1">
      <c r="A1573" s="223"/>
      <c r="B1573" s="125"/>
      <c r="C1573" s="125"/>
      <c r="D1573" s="125"/>
      <c r="E1573" s="125"/>
      <c r="F1573" s="125"/>
      <c r="G1573" s="125"/>
      <c r="H1573" s="125"/>
      <c r="I1573" s="627" t="s">
        <v>51</v>
      </c>
      <c r="J1573" s="125" t="s">
        <v>51</v>
      </c>
      <c r="K1573" s="125" t="s">
        <v>51</v>
      </c>
      <c r="L1573" s="125" t="s">
        <v>51</v>
      </c>
      <c r="M1573" s="125" t="str">
        <f t="shared" si="1"/>
        <v/>
      </c>
      <c r="N1573" s="125" t="str">
        <f t="shared" si="2"/>
        <v/>
      </c>
      <c r="O1573" s="125"/>
      <c r="P1573" s="125"/>
      <c r="Q1573" s="125"/>
      <c r="R1573" s="125"/>
      <c r="S1573" s="628">
        <f t="shared" si="3"/>
        <v>0</v>
      </c>
      <c r="T1573" s="627" t="s">
        <v>51</v>
      </c>
      <c r="U1573" s="627" t="s">
        <v>51</v>
      </c>
      <c r="V1573" s="627" t="s">
        <v>51</v>
      </c>
      <c r="W1573" s="627" t="s">
        <v>51</v>
      </c>
      <c r="X1573" s="627" t="s">
        <v>51</v>
      </c>
      <c r="Y1573" s="89"/>
    </row>
    <row r="1574" ht="22.5" customHeight="1">
      <c r="A1574" s="223"/>
      <c r="B1574" s="125"/>
      <c r="C1574" s="125"/>
      <c r="D1574" s="125"/>
      <c r="E1574" s="125"/>
      <c r="F1574" s="125"/>
      <c r="G1574" s="125"/>
      <c r="H1574" s="125"/>
      <c r="I1574" s="627" t="s">
        <v>51</v>
      </c>
      <c r="J1574" s="125" t="s">
        <v>51</v>
      </c>
      <c r="K1574" s="125" t="s">
        <v>51</v>
      </c>
      <c r="L1574" s="125" t="s">
        <v>51</v>
      </c>
      <c r="M1574" s="125" t="str">
        <f t="shared" si="1"/>
        <v/>
      </c>
      <c r="N1574" s="125" t="str">
        <f t="shared" si="2"/>
        <v/>
      </c>
      <c r="O1574" s="125"/>
      <c r="P1574" s="125"/>
      <c r="Q1574" s="125"/>
      <c r="R1574" s="125"/>
      <c r="S1574" s="628">
        <f t="shared" si="3"/>
        <v>0</v>
      </c>
      <c r="T1574" s="627" t="s">
        <v>51</v>
      </c>
      <c r="U1574" s="627" t="s">
        <v>51</v>
      </c>
      <c r="V1574" s="627" t="s">
        <v>51</v>
      </c>
      <c r="W1574" s="627" t="s">
        <v>51</v>
      </c>
      <c r="X1574" s="627" t="s">
        <v>51</v>
      </c>
      <c r="Y1574" s="89"/>
    </row>
    <row r="1575" ht="22.5" customHeight="1">
      <c r="A1575" s="223"/>
      <c r="B1575" s="125"/>
      <c r="C1575" s="125"/>
      <c r="D1575" s="125"/>
      <c r="E1575" s="125"/>
      <c r="F1575" s="125"/>
      <c r="G1575" s="125"/>
      <c r="H1575" s="125"/>
      <c r="I1575" s="627" t="s">
        <v>51</v>
      </c>
      <c r="J1575" s="125" t="s">
        <v>51</v>
      </c>
      <c r="K1575" s="125" t="s">
        <v>51</v>
      </c>
      <c r="L1575" s="125" t="s">
        <v>51</v>
      </c>
      <c r="M1575" s="125" t="str">
        <f t="shared" si="1"/>
        <v/>
      </c>
      <c r="N1575" s="125" t="str">
        <f t="shared" si="2"/>
        <v/>
      </c>
      <c r="O1575" s="125"/>
      <c r="P1575" s="125"/>
      <c r="Q1575" s="125"/>
      <c r="R1575" s="125"/>
      <c r="S1575" s="628">
        <f t="shared" si="3"/>
        <v>0</v>
      </c>
      <c r="T1575" s="627" t="s">
        <v>51</v>
      </c>
      <c r="U1575" s="627" t="s">
        <v>51</v>
      </c>
      <c r="V1575" s="627" t="s">
        <v>51</v>
      </c>
      <c r="W1575" s="627" t="s">
        <v>51</v>
      </c>
      <c r="X1575" s="627" t="s">
        <v>51</v>
      </c>
      <c r="Y1575" s="89"/>
    </row>
    <row r="1576" ht="22.5" customHeight="1">
      <c r="A1576" s="223"/>
      <c r="B1576" s="125"/>
      <c r="C1576" s="125"/>
      <c r="D1576" s="125"/>
      <c r="E1576" s="125"/>
      <c r="F1576" s="125"/>
      <c r="G1576" s="125"/>
      <c r="H1576" s="125"/>
      <c r="I1576" s="627" t="s">
        <v>51</v>
      </c>
      <c r="J1576" s="125" t="s">
        <v>51</v>
      </c>
      <c r="K1576" s="125" t="s">
        <v>51</v>
      </c>
      <c r="L1576" s="125" t="s">
        <v>51</v>
      </c>
      <c r="M1576" s="125" t="str">
        <f t="shared" si="1"/>
        <v/>
      </c>
      <c r="N1576" s="125" t="str">
        <f t="shared" si="2"/>
        <v/>
      </c>
      <c r="O1576" s="125"/>
      <c r="P1576" s="125"/>
      <c r="Q1576" s="125"/>
      <c r="R1576" s="125"/>
      <c r="S1576" s="628">
        <f t="shared" si="3"/>
        <v>0</v>
      </c>
      <c r="T1576" s="627" t="s">
        <v>51</v>
      </c>
      <c r="U1576" s="627" t="s">
        <v>51</v>
      </c>
      <c r="V1576" s="627" t="s">
        <v>51</v>
      </c>
      <c r="W1576" s="627" t="s">
        <v>51</v>
      </c>
      <c r="X1576" s="627" t="s">
        <v>51</v>
      </c>
      <c r="Y1576" s="89"/>
    </row>
    <row r="1577" ht="22.5" customHeight="1">
      <c r="A1577" s="223"/>
      <c r="B1577" s="125"/>
      <c r="C1577" s="125"/>
      <c r="D1577" s="125"/>
      <c r="E1577" s="125"/>
      <c r="F1577" s="125"/>
      <c r="G1577" s="125"/>
      <c r="H1577" s="125"/>
      <c r="I1577" s="627" t="s">
        <v>51</v>
      </c>
      <c r="J1577" s="125" t="s">
        <v>51</v>
      </c>
      <c r="K1577" s="125" t="s">
        <v>51</v>
      </c>
      <c r="L1577" s="125" t="s">
        <v>51</v>
      </c>
      <c r="M1577" s="125" t="str">
        <f t="shared" si="1"/>
        <v/>
      </c>
      <c r="N1577" s="125" t="str">
        <f t="shared" si="2"/>
        <v/>
      </c>
      <c r="O1577" s="125"/>
      <c r="P1577" s="125"/>
      <c r="Q1577" s="125"/>
      <c r="R1577" s="125"/>
      <c r="S1577" s="628">
        <f t="shared" si="3"/>
        <v>0</v>
      </c>
      <c r="T1577" s="627" t="s">
        <v>51</v>
      </c>
      <c r="U1577" s="627" t="s">
        <v>51</v>
      </c>
      <c r="V1577" s="627" t="s">
        <v>51</v>
      </c>
      <c r="W1577" s="627" t="s">
        <v>51</v>
      </c>
      <c r="X1577" s="627" t="s">
        <v>51</v>
      </c>
      <c r="Y1577" s="89"/>
    </row>
    <row r="1578" ht="22.5" customHeight="1">
      <c r="A1578" s="223"/>
      <c r="B1578" s="125"/>
      <c r="C1578" s="125"/>
      <c r="D1578" s="125"/>
      <c r="E1578" s="125"/>
      <c r="F1578" s="125"/>
      <c r="G1578" s="125"/>
      <c r="H1578" s="125"/>
      <c r="I1578" s="627" t="s">
        <v>51</v>
      </c>
      <c r="J1578" s="125" t="s">
        <v>51</v>
      </c>
      <c r="K1578" s="125" t="s">
        <v>51</v>
      </c>
      <c r="L1578" s="125" t="s">
        <v>51</v>
      </c>
      <c r="M1578" s="125" t="str">
        <f t="shared" si="1"/>
        <v/>
      </c>
      <c r="N1578" s="125" t="str">
        <f t="shared" si="2"/>
        <v/>
      </c>
      <c r="O1578" s="125"/>
      <c r="P1578" s="125"/>
      <c r="Q1578" s="125"/>
      <c r="R1578" s="125"/>
      <c r="S1578" s="628">
        <f t="shared" si="3"/>
        <v>0</v>
      </c>
      <c r="T1578" s="627" t="s">
        <v>51</v>
      </c>
      <c r="U1578" s="627" t="s">
        <v>51</v>
      </c>
      <c r="V1578" s="627" t="s">
        <v>51</v>
      </c>
      <c r="W1578" s="627" t="s">
        <v>51</v>
      </c>
      <c r="X1578" s="627" t="s">
        <v>51</v>
      </c>
      <c r="Y1578" s="89"/>
    </row>
    <row r="1579" ht="22.5" customHeight="1">
      <c r="A1579" s="223"/>
      <c r="B1579" s="125"/>
      <c r="C1579" s="125"/>
      <c r="D1579" s="125"/>
      <c r="E1579" s="125"/>
      <c r="F1579" s="125"/>
      <c r="G1579" s="125"/>
      <c r="H1579" s="125"/>
      <c r="I1579" s="627" t="s">
        <v>51</v>
      </c>
      <c r="J1579" s="125" t="s">
        <v>51</v>
      </c>
      <c r="K1579" s="125" t="s">
        <v>51</v>
      </c>
      <c r="L1579" s="125" t="s">
        <v>51</v>
      </c>
      <c r="M1579" s="125" t="str">
        <f t="shared" si="1"/>
        <v/>
      </c>
      <c r="N1579" s="125" t="str">
        <f t="shared" si="2"/>
        <v/>
      </c>
      <c r="O1579" s="125"/>
      <c r="P1579" s="125"/>
      <c r="Q1579" s="125"/>
      <c r="R1579" s="125"/>
      <c r="S1579" s="628">
        <f t="shared" si="3"/>
        <v>0</v>
      </c>
      <c r="T1579" s="627" t="s">
        <v>51</v>
      </c>
      <c r="U1579" s="627" t="s">
        <v>51</v>
      </c>
      <c r="V1579" s="627" t="s">
        <v>51</v>
      </c>
      <c r="W1579" s="627" t="s">
        <v>51</v>
      </c>
      <c r="X1579" s="627" t="s">
        <v>51</v>
      </c>
      <c r="Y1579" s="89"/>
    </row>
    <row r="1580" ht="22.5" customHeight="1">
      <c r="A1580" s="223"/>
      <c r="B1580" s="125"/>
      <c r="C1580" s="125"/>
      <c r="D1580" s="125"/>
      <c r="E1580" s="125"/>
      <c r="F1580" s="125"/>
      <c r="G1580" s="125"/>
      <c r="H1580" s="125"/>
      <c r="I1580" s="627" t="s">
        <v>51</v>
      </c>
      <c r="J1580" s="125" t="s">
        <v>51</v>
      </c>
      <c r="K1580" s="125" t="s">
        <v>51</v>
      </c>
      <c r="L1580" s="125" t="s">
        <v>51</v>
      </c>
      <c r="M1580" s="125" t="str">
        <f t="shared" si="1"/>
        <v/>
      </c>
      <c r="N1580" s="125" t="str">
        <f t="shared" si="2"/>
        <v/>
      </c>
      <c r="O1580" s="125"/>
      <c r="P1580" s="125"/>
      <c r="Q1580" s="125"/>
      <c r="R1580" s="125"/>
      <c r="S1580" s="628">
        <f t="shared" si="3"/>
        <v>0</v>
      </c>
      <c r="T1580" s="627" t="s">
        <v>51</v>
      </c>
      <c r="U1580" s="627" t="s">
        <v>51</v>
      </c>
      <c r="V1580" s="627" t="s">
        <v>51</v>
      </c>
      <c r="W1580" s="627" t="s">
        <v>51</v>
      </c>
      <c r="X1580" s="627" t="s">
        <v>51</v>
      </c>
      <c r="Y1580" s="89"/>
    </row>
    <row r="1581" ht="22.5" customHeight="1">
      <c r="A1581" s="223"/>
      <c r="B1581" s="125"/>
      <c r="C1581" s="125"/>
      <c r="D1581" s="125"/>
      <c r="E1581" s="125"/>
      <c r="F1581" s="125"/>
      <c r="G1581" s="125"/>
      <c r="H1581" s="125"/>
      <c r="I1581" s="627" t="s">
        <v>51</v>
      </c>
      <c r="J1581" s="125" t="s">
        <v>51</v>
      </c>
      <c r="K1581" s="125" t="s">
        <v>51</v>
      </c>
      <c r="L1581" s="125" t="s">
        <v>51</v>
      </c>
      <c r="M1581" s="125" t="str">
        <f t="shared" si="1"/>
        <v/>
      </c>
      <c r="N1581" s="125" t="str">
        <f t="shared" si="2"/>
        <v/>
      </c>
      <c r="O1581" s="125"/>
      <c r="P1581" s="125"/>
      <c r="Q1581" s="125"/>
      <c r="R1581" s="125"/>
      <c r="S1581" s="628">
        <f t="shared" si="3"/>
        <v>0</v>
      </c>
      <c r="T1581" s="627" t="s">
        <v>51</v>
      </c>
      <c r="U1581" s="627" t="s">
        <v>51</v>
      </c>
      <c r="V1581" s="627" t="s">
        <v>51</v>
      </c>
      <c r="W1581" s="627" t="s">
        <v>51</v>
      </c>
      <c r="X1581" s="627" t="s">
        <v>51</v>
      </c>
      <c r="Y1581" s="89"/>
    </row>
    <row r="1582" ht="22.5" customHeight="1">
      <c r="A1582" s="223"/>
      <c r="B1582" s="125"/>
      <c r="C1582" s="125"/>
      <c r="D1582" s="125"/>
      <c r="E1582" s="125"/>
      <c r="F1582" s="125"/>
      <c r="G1582" s="125"/>
      <c r="H1582" s="125"/>
      <c r="I1582" s="627" t="s">
        <v>51</v>
      </c>
      <c r="J1582" s="125" t="s">
        <v>51</v>
      </c>
      <c r="K1582" s="125" t="s">
        <v>51</v>
      </c>
      <c r="L1582" s="125" t="s">
        <v>51</v>
      </c>
      <c r="M1582" s="125" t="str">
        <f t="shared" si="1"/>
        <v/>
      </c>
      <c r="N1582" s="125" t="str">
        <f t="shared" si="2"/>
        <v/>
      </c>
      <c r="O1582" s="125"/>
      <c r="P1582" s="125"/>
      <c r="Q1582" s="125"/>
      <c r="R1582" s="125"/>
      <c r="S1582" s="628">
        <f t="shared" si="3"/>
        <v>0</v>
      </c>
      <c r="T1582" s="627" t="s">
        <v>51</v>
      </c>
      <c r="U1582" s="627" t="s">
        <v>51</v>
      </c>
      <c r="V1582" s="627" t="s">
        <v>51</v>
      </c>
      <c r="W1582" s="627" t="s">
        <v>51</v>
      </c>
      <c r="X1582" s="627" t="s">
        <v>51</v>
      </c>
      <c r="Y1582" s="89"/>
    </row>
    <row r="1583" ht="22.5" customHeight="1">
      <c r="A1583" s="223"/>
      <c r="B1583" s="125"/>
      <c r="C1583" s="125"/>
      <c r="D1583" s="125"/>
      <c r="E1583" s="125"/>
      <c r="F1583" s="125"/>
      <c r="G1583" s="125"/>
      <c r="H1583" s="125"/>
      <c r="I1583" s="627" t="s">
        <v>51</v>
      </c>
      <c r="J1583" s="125" t="s">
        <v>51</v>
      </c>
      <c r="K1583" s="125" t="s">
        <v>51</v>
      </c>
      <c r="L1583" s="125" t="s">
        <v>51</v>
      </c>
      <c r="M1583" s="125" t="str">
        <f t="shared" si="1"/>
        <v/>
      </c>
      <c r="N1583" s="125" t="str">
        <f t="shared" si="2"/>
        <v/>
      </c>
      <c r="O1583" s="125"/>
      <c r="P1583" s="125"/>
      <c r="Q1583" s="125"/>
      <c r="R1583" s="125"/>
      <c r="S1583" s="628">
        <f t="shared" si="3"/>
        <v>0</v>
      </c>
      <c r="T1583" s="627" t="s">
        <v>51</v>
      </c>
      <c r="U1583" s="627" t="s">
        <v>51</v>
      </c>
      <c r="V1583" s="627" t="s">
        <v>51</v>
      </c>
      <c r="W1583" s="627" t="s">
        <v>51</v>
      </c>
      <c r="X1583" s="627" t="s">
        <v>51</v>
      </c>
      <c r="Y1583" s="89"/>
    </row>
    <row r="1584" ht="22.5" customHeight="1">
      <c r="A1584" s="223"/>
      <c r="B1584" s="125"/>
      <c r="C1584" s="125"/>
      <c r="D1584" s="125"/>
      <c r="E1584" s="125"/>
      <c r="F1584" s="125"/>
      <c r="G1584" s="125"/>
      <c r="H1584" s="125"/>
      <c r="I1584" s="627" t="s">
        <v>51</v>
      </c>
      <c r="J1584" s="125" t="s">
        <v>51</v>
      </c>
      <c r="K1584" s="125" t="s">
        <v>51</v>
      </c>
      <c r="L1584" s="125" t="s">
        <v>51</v>
      </c>
      <c r="M1584" s="125" t="str">
        <f t="shared" si="1"/>
        <v/>
      </c>
      <c r="N1584" s="125" t="str">
        <f t="shared" si="2"/>
        <v/>
      </c>
      <c r="O1584" s="125"/>
      <c r="P1584" s="125"/>
      <c r="Q1584" s="125"/>
      <c r="R1584" s="125"/>
      <c r="S1584" s="628">
        <f t="shared" si="3"/>
        <v>0</v>
      </c>
      <c r="T1584" s="627" t="s">
        <v>51</v>
      </c>
      <c r="U1584" s="627" t="s">
        <v>51</v>
      </c>
      <c r="V1584" s="627" t="s">
        <v>51</v>
      </c>
      <c r="W1584" s="627" t="s">
        <v>51</v>
      </c>
      <c r="X1584" s="627" t="s">
        <v>51</v>
      </c>
      <c r="Y1584" s="89"/>
    </row>
    <row r="1585" ht="22.5" customHeight="1">
      <c r="A1585" s="223"/>
      <c r="B1585" s="125"/>
      <c r="C1585" s="125"/>
      <c r="D1585" s="125"/>
      <c r="E1585" s="125"/>
      <c r="F1585" s="125"/>
      <c r="G1585" s="125"/>
      <c r="H1585" s="125"/>
      <c r="I1585" s="627" t="s">
        <v>51</v>
      </c>
      <c r="J1585" s="125" t="s">
        <v>51</v>
      </c>
      <c r="K1585" s="125" t="s">
        <v>51</v>
      </c>
      <c r="L1585" s="125" t="s">
        <v>51</v>
      </c>
      <c r="M1585" s="125" t="str">
        <f t="shared" si="1"/>
        <v/>
      </c>
      <c r="N1585" s="125" t="str">
        <f t="shared" si="2"/>
        <v/>
      </c>
      <c r="O1585" s="125"/>
      <c r="P1585" s="125"/>
      <c r="Q1585" s="125"/>
      <c r="R1585" s="125"/>
      <c r="S1585" s="628">
        <f t="shared" si="3"/>
        <v>0</v>
      </c>
      <c r="T1585" s="627" t="s">
        <v>51</v>
      </c>
      <c r="U1585" s="627" t="s">
        <v>51</v>
      </c>
      <c r="V1585" s="627" t="s">
        <v>51</v>
      </c>
      <c r="W1585" s="627" t="s">
        <v>51</v>
      </c>
      <c r="X1585" s="627" t="s">
        <v>51</v>
      </c>
      <c r="Y1585" s="89"/>
    </row>
    <row r="1586" ht="22.5" customHeight="1">
      <c r="A1586" s="223"/>
      <c r="B1586" s="125"/>
      <c r="C1586" s="125"/>
      <c r="D1586" s="125"/>
      <c r="E1586" s="125"/>
      <c r="F1586" s="125"/>
      <c r="G1586" s="125"/>
      <c r="H1586" s="125"/>
      <c r="I1586" s="627" t="s">
        <v>51</v>
      </c>
      <c r="J1586" s="125" t="s">
        <v>51</v>
      </c>
      <c r="K1586" s="125" t="s">
        <v>51</v>
      </c>
      <c r="L1586" s="125" t="s">
        <v>51</v>
      </c>
      <c r="M1586" s="125" t="str">
        <f t="shared" si="1"/>
        <v/>
      </c>
      <c r="N1586" s="125" t="str">
        <f t="shared" si="2"/>
        <v/>
      </c>
      <c r="O1586" s="125"/>
      <c r="P1586" s="125"/>
      <c r="Q1586" s="125"/>
      <c r="R1586" s="125"/>
      <c r="S1586" s="628">
        <f t="shared" si="3"/>
        <v>0</v>
      </c>
      <c r="T1586" s="627" t="s">
        <v>51</v>
      </c>
      <c r="U1586" s="627" t="s">
        <v>51</v>
      </c>
      <c r="V1586" s="627" t="s">
        <v>51</v>
      </c>
      <c r="W1586" s="627" t="s">
        <v>51</v>
      </c>
      <c r="X1586" s="627" t="s">
        <v>51</v>
      </c>
      <c r="Y1586" s="89"/>
    </row>
    <row r="1587" ht="22.5" customHeight="1">
      <c r="A1587" s="223"/>
      <c r="B1587" s="125"/>
      <c r="C1587" s="125"/>
      <c r="D1587" s="125"/>
      <c r="E1587" s="125"/>
      <c r="F1587" s="125"/>
      <c r="G1587" s="125"/>
      <c r="H1587" s="125"/>
      <c r="I1587" s="627" t="s">
        <v>51</v>
      </c>
      <c r="J1587" s="125" t="s">
        <v>51</v>
      </c>
      <c r="K1587" s="125" t="s">
        <v>51</v>
      </c>
      <c r="L1587" s="125" t="s">
        <v>51</v>
      </c>
      <c r="M1587" s="125" t="str">
        <f t="shared" si="1"/>
        <v/>
      </c>
      <c r="N1587" s="125" t="str">
        <f t="shared" si="2"/>
        <v/>
      </c>
      <c r="O1587" s="125"/>
      <c r="P1587" s="125"/>
      <c r="Q1587" s="125"/>
      <c r="R1587" s="125"/>
      <c r="S1587" s="628">
        <f t="shared" si="3"/>
        <v>0</v>
      </c>
      <c r="T1587" s="627" t="s">
        <v>51</v>
      </c>
      <c r="U1587" s="627" t="s">
        <v>51</v>
      </c>
      <c r="V1587" s="627" t="s">
        <v>51</v>
      </c>
      <c r="W1587" s="627" t="s">
        <v>51</v>
      </c>
      <c r="X1587" s="627" t="s">
        <v>51</v>
      </c>
      <c r="Y1587" s="89"/>
    </row>
    <row r="1588" ht="22.5" customHeight="1">
      <c r="A1588" s="223"/>
      <c r="B1588" s="125"/>
      <c r="C1588" s="125"/>
      <c r="D1588" s="125"/>
      <c r="E1588" s="125"/>
      <c r="F1588" s="125"/>
      <c r="G1588" s="125"/>
      <c r="H1588" s="125"/>
      <c r="I1588" s="627" t="s">
        <v>51</v>
      </c>
      <c r="J1588" s="125" t="s">
        <v>51</v>
      </c>
      <c r="K1588" s="125" t="s">
        <v>51</v>
      </c>
      <c r="L1588" s="125" t="s">
        <v>51</v>
      </c>
      <c r="M1588" s="125" t="str">
        <f t="shared" si="1"/>
        <v/>
      </c>
      <c r="N1588" s="125" t="str">
        <f t="shared" si="2"/>
        <v/>
      </c>
      <c r="O1588" s="125"/>
      <c r="P1588" s="125"/>
      <c r="Q1588" s="125"/>
      <c r="R1588" s="125"/>
      <c r="S1588" s="628">
        <f t="shared" si="3"/>
        <v>0</v>
      </c>
      <c r="T1588" s="627" t="s">
        <v>51</v>
      </c>
      <c r="U1588" s="627" t="s">
        <v>51</v>
      </c>
      <c r="V1588" s="627" t="s">
        <v>51</v>
      </c>
      <c r="W1588" s="627" t="s">
        <v>51</v>
      </c>
      <c r="X1588" s="627" t="s">
        <v>51</v>
      </c>
      <c r="Y1588" s="89"/>
    </row>
    <row r="1589" ht="22.5" customHeight="1">
      <c r="A1589" s="223"/>
      <c r="B1589" s="125"/>
      <c r="C1589" s="125"/>
      <c r="D1589" s="125"/>
      <c r="E1589" s="125"/>
      <c r="F1589" s="125"/>
      <c r="G1589" s="125"/>
      <c r="H1589" s="125"/>
      <c r="I1589" s="627" t="s">
        <v>51</v>
      </c>
      <c r="J1589" s="125" t="s">
        <v>51</v>
      </c>
      <c r="K1589" s="125" t="s">
        <v>51</v>
      </c>
      <c r="L1589" s="125" t="s">
        <v>51</v>
      </c>
      <c r="M1589" s="125" t="str">
        <f t="shared" si="1"/>
        <v/>
      </c>
      <c r="N1589" s="125" t="str">
        <f t="shared" si="2"/>
        <v/>
      </c>
      <c r="O1589" s="125"/>
      <c r="P1589" s="125"/>
      <c r="Q1589" s="125"/>
      <c r="R1589" s="125"/>
      <c r="S1589" s="628">
        <f t="shared" si="3"/>
        <v>0</v>
      </c>
      <c r="T1589" s="627" t="s">
        <v>51</v>
      </c>
      <c r="U1589" s="627" t="s">
        <v>51</v>
      </c>
      <c r="V1589" s="627" t="s">
        <v>51</v>
      </c>
      <c r="W1589" s="627" t="s">
        <v>51</v>
      </c>
      <c r="X1589" s="627" t="s">
        <v>51</v>
      </c>
      <c r="Y1589" s="89"/>
    </row>
    <row r="1590" ht="22.5" customHeight="1">
      <c r="A1590" s="223"/>
      <c r="B1590" s="125"/>
      <c r="C1590" s="125"/>
      <c r="D1590" s="125"/>
      <c r="E1590" s="125"/>
      <c r="F1590" s="125"/>
      <c r="G1590" s="125"/>
      <c r="H1590" s="125"/>
      <c r="I1590" s="627" t="s">
        <v>51</v>
      </c>
      <c r="J1590" s="125" t="s">
        <v>51</v>
      </c>
      <c r="K1590" s="125" t="s">
        <v>51</v>
      </c>
      <c r="L1590" s="125" t="s">
        <v>51</v>
      </c>
      <c r="M1590" s="125" t="str">
        <f t="shared" si="1"/>
        <v/>
      </c>
      <c r="N1590" s="125" t="str">
        <f t="shared" si="2"/>
        <v/>
      </c>
      <c r="O1590" s="125"/>
      <c r="P1590" s="125"/>
      <c r="Q1590" s="125"/>
      <c r="R1590" s="125"/>
      <c r="S1590" s="628">
        <f t="shared" si="3"/>
        <v>0</v>
      </c>
      <c r="T1590" s="627" t="s">
        <v>51</v>
      </c>
      <c r="U1590" s="627" t="s">
        <v>51</v>
      </c>
      <c r="V1590" s="627" t="s">
        <v>51</v>
      </c>
      <c r="W1590" s="627" t="s">
        <v>51</v>
      </c>
      <c r="X1590" s="627" t="s">
        <v>51</v>
      </c>
      <c r="Y1590" s="89"/>
    </row>
    <row r="1591" ht="22.5" customHeight="1">
      <c r="A1591" s="223"/>
      <c r="B1591" s="125"/>
      <c r="C1591" s="125"/>
      <c r="D1591" s="125"/>
      <c r="E1591" s="125"/>
      <c r="F1591" s="125"/>
      <c r="G1591" s="125"/>
      <c r="H1591" s="125"/>
      <c r="I1591" s="627" t="s">
        <v>51</v>
      </c>
      <c r="J1591" s="125" t="s">
        <v>51</v>
      </c>
      <c r="K1591" s="125" t="s">
        <v>51</v>
      </c>
      <c r="L1591" s="125" t="s">
        <v>51</v>
      </c>
      <c r="M1591" s="125" t="str">
        <f t="shared" si="1"/>
        <v/>
      </c>
      <c r="N1591" s="125" t="str">
        <f t="shared" si="2"/>
        <v/>
      </c>
      <c r="O1591" s="125"/>
      <c r="P1591" s="125"/>
      <c r="Q1591" s="125"/>
      <c r="R1591" s="125"/>
      <c r="S1591" s="628">
        <f t="shared" si="3"/>
        <v>0</v>
      </c>
      <c r="T1591" s="627" t="s">
        <v>51</v>
      </c>
      <c r="U1591" s="627" t="s">
        <v>51</v>
      </c>
      <c r="V1591" s="627" t="s">
        <v>51</v>
      </c>
      <c r="W1591" s="627" t="s">
        <v>51</v>
      </c>
      <c r="X1591" s="627" t="s">
        <v>51</v>
      </c>
      <c r="Y1591" s="89"/>
    </row>
    <row r="1592" ht="22.5" customHeight="1">
      <c r="A1592" s="223"/>
      <c r="B1592" s="125"/>
      <c r="C1592" s="125"/>
      <c r="D1592" s="125"/>
      <c r="E1592" s="125"/>
      <c r="F1592" s="125"/>
      <c r="G1592" s="125"/>
      <c r="H1592" s="125"/>
      <c r="I1592" s="627" t="s">
        <v>51</v>
      </c>
      <c r="J1592" s="125" t="s">
        <v>51</v>
      </c>
      <c r="K1592" s="125" t="s">
        <v>51</v>
      </c>
      <c r="L1592" s="125" t="s">
        <v>51</v>
      </c>
      <c r="M1592" s="125" t="str">
        <f t="shared" si="1"/>
        <v/>
      </c>
      <c r="N1592" s="125" t="str">
        <f t="shared" si="2"/>
        <v/>
      </c>
      <c r="O1592" s="125"/>
      <c r="P1592" s="125"/>
      <c r="Q1592" s="125"/>
      <c r="R1592" s="125"/>
      <c r="S1592" s="628">
        <f t="shared" si="3"/>
        <v>0</v>
      </c>
      <c r="T1592" s="627" t="s">
        <v>51</v>
      </c>
      <c r="U1592" s="627" t="s">
        <v>51</v>
      </c>
      <c r="V1592" s="627" t="s">
        <v>51</v>
      </c>
      <c r="W1592" s="627" t="s">
        <v>51</v>
      </c>
      <c r="X1592" s="627" t="s">
        <v>51</v>
      </c>
      <c r="Y1592" s="89"/>
    </row>
    <row r="1593" ht="22.5" customHeight="1">
      <c r="A1593" s="223"/>
      <c r="B1593" s="125"/>
      <c r="C1593" s="125"/>
      <c r="D1593" s="125"/>
      <c r="E1593" s="125"/>
      <c r="F1593" s="125"/>
      <c r="G1593" s="125"/>
      <c r="H1593" s="125"/>
      <c r="I1593" s="627" t="s">
        <v>51</v>
      </c>
      <c r="J1593" s="125" t="s">
        <v>51</v>
      </c>
      <c r="K1593" s="125" t="s">
        <v>51</v>
      </c>
      <c r="L1593" s="125" t="s">
        <v>51</v>
      </c>
      <c r="M1593" s="125" t="str">
        <f t="shared" si="1"/>
        <v/>
      </c>
      <c r="N1593" s="125" t="str">
        <f t="shared" si="2"/>
        <v/>
      </c>
      <c r="O1593" s="125"/>
      <c r="P1593" s="125"/>
      <c r="Q1593" s="125"/>
      <c r="R1593" s="125"/>
      <c r="S1593" s="628">
        <f t="shared" si="3"/>
        <v>0</v>
      </c>
      <c r="T1593" s="627" t="s">
        <v>51</v>
      </c>
      <c r="U1593" s="627" t="s">
        <v>51</v>
      </c>
      <c r="V1593" s="627" t="s">
        <v>51</v>
      </c>
      <c r="W1593" s="627" t="s">
        <v>51</v>
      </c>
      <c r="X1593" s="627" t="s">
        <v>51</v>
      </c>
      <c r="Y1593" s="89"/>
    </row>
    <row r="1594" ht="22.5" customHeight="1">
      <c r="A1594" s="223"/>
      <c r="B1594" s="125"/>
      <c r="C1594" s="125"/>
      <c r="D1594" s="125"/>
      <c r="E1594" s="125"/>
      <c r="F1594" s="125"/>
      <c r="G1594" s="125"/>
      <c r="H1594" s="125"/>
      <c r="I1594" s="627" t="s">
        <v>51</v>
      </c>
      <c r="J1594" s="125" t="s">
        <v>51</v>
      </c>
      <c r="K1594" s="125" t="s">
        <v>51</v>
      </c>
      <c r="L1594" s="125" t="s">
        <v>51</v>
      </c>
      <c r="M1594" s="125" t="str">
        <f t="shared" si="1"/>
        <v/>
      </c>
      <c r="N1594" s="125" t="str">
        <f t="shared" si="2"/>
        <v/>
      </c>
      <c r="O1594" s="125"/>
      <c r="P1594" s="125"/>
      <c r="Q1594" s="125"/>
      <c r="R1594" s="125"/>
      <c r="S1594" s="628">
        <f t="shared" si="3"/>
        <v>0</v>
      </c>
      <c r="T1594" s="627" t="s">
        <v>51</v>
      </c>
      <c r="U1594" s="627" t="s">
        <v>51</v>
      </c>
      <c r="V1594" s="627" t="s">
        <v>51</v>
      </c>
      <c r="W1594" s="627" t="s">
        <v>51</v>
      </c>
      <c r="X1594" s="627" t="s">
        <v>51</v>
      </c>
      <c r="Y1594" s="89"/>
    </row>
    <row r="1595" ht="22.5" customHeight="1">
      <c r="A1595" s="223"/>
      <c r="B1595" s="125"/>
      <c r="C1595" s="125"/>
      <c r="D1595" s="125"/>
      <c r="E1595" s="125"/>
      <c r="F1595" s="125"/>
      <c r="G1595" s="125"/>
      <c r="H1595" s="125"/>
      <c r="I1595" s="627" t="s">
        <v>51</v>
      </c>
      <c r="J1595" s="125" t="s">
        <v>51</v>
      </c>
      <c r="K1595" s="125" t="s">
        <v>51</v>
      </c>
      <c r="L1595" s="125" t="s">
        <v>51</v>
      </c>
      <c r="M1595" s="125" t="str">
        <f t="shared" si="1"/>
        <v/>
      </c>
      <c r="N1595" s="125" t="str">
        <f t="shared" si="2"/>
        <v/>
      </c>
      <c r="O1595" s="125"/>
      <c r="P1595" s="125"/>
      <c r="Q1595" s="125"/>
      <c r="R1595" s="125"/>
      <c r="S1595" s="628">
        <f t="shared" si="3"/>
        <v>0</v>
      </c>
      <c r="T1595" s="627" t="s">
        <v>51</v>
      </c>
      <c r="U1595" s="627" t="s">
        <v>51</v>
      </c>
      <c r="V1595" s="627" t="s">
        <v>51</v>
      </c>
      <c r="W1595" s="627" t="s">
        <v>51</v>
      </c>
      <c r="X1595" s="627" t="s">
        <v>51</v>
      </c>
      <c r="Y1595" s="89"/>
    </row>
    <row r="1596" ht="22.5" customHeight="1">
      <c r="A1596" s="223"/>
      <c r="B1596" s="125"/>
      <c r="C1596" s="125"/>
      <c r="D1596" s="125"/>
      <c r="E1596" s="125"/>
      <c r="F1596" s="125"/>
      <c r="G1596" s="125"/>
      <c r="H1596" s="125"/>
      <c r="I1596" s="627" t="s">
        <v>51</v>
      </c>
      <c r="J1596" s="125" t="s">
        <v>51</v>
      </c>
      <c r="K1596" s="125" t="s">
        <v>51</v>
      </c>
      <c r="L1596" s="125" t="s">
        <v>51</v>
      </c>
      <c r="M1596" s="125" t="str">
        <f t="shared" si="1"/>
        <v/>
      </c>
      <c r="N1596" s="125" t="str">
        <f t="shared" si="2"/>
        <v/>
      </c>
      <c r="O1596" s="125"/>
      <c r="P1596" s="125"/>
      <c r="Q1596" s="125"/>
      <c r="R1596" s="125"/>
      <c r="S1596" s="628">
        <f t="shared" si="3"/>
        <v>0</v>
      </c>
      <c r="T1596" s="627" t="s">
        <v>51</v>
      </c>
      <c r="U1596" s="627" t="s">
        <v>51</v>
      </c>
      <c r="V1596" s="627" t="s">
        <v>51</v>
      </c>
      <c r="W1596" s="627" t="s">
        <v>51</v>
      </c>
      <c r="X1596" s="627" t="s">
        <v>51</v>
      </c>
      <c r="Y1596" s="89"/>
    </row>
    <row r="1597" ht="22.5" customHeight="1">
      <c r="A1597" s="223"/>
      <c r="B1597" s="125"/>
      <c r="C1597" s="125"/>
      <c r="D1597" s="125"/>
      <c r="E1597" s="125"/>
      <c r="F1597" s="125"/>
      <c r="G1597" s="125"/>
      <c r="H1597" s="125"/>
      <c r="I1597" s="627" t="s">
        <v>51</v>
      </c>
      <c r="J1597" s="125" t="s">
        <v>51</v>
      </c>
      <c r="K1597" s="125" t="s">
        <v>51</v>
      </c>
      <c r="L1597" s="125" t="s">
        <v>51</v>
      </c>
      <c r="M1597" s="125" t="str">
        <f t="shared" si="1"/>
        <v/>
      </c>
      <c r="N1597" s="125" t="str">
        <f t="shared" si="2"/>
        <v/>
      </c>
      <c r="O1597" s="125"/>
      <c r="P1597" s="125"/>
      <c r="Q1597" s="125"/>
      <c r="R1597" s="125"/>
      <c r="S1597" s="628">
        <f t="shared" si="3"/>
        <v>0</v>
      </c>
      <c r="T1597" s="627" t="s">
        <v>51</v>
      </c>
      <c r="U1597" s="627" t="s">
        <v>51</v>
      </c>
      <c r="V1597" s="627" t="s">
        <v>51</v>
      </c>
      <c r="W1597" s="627" t="s">
        <v>51</v>
      </c>
      <c r="X1597" s="627" t="s">
        <v>51</v>
      </c>
      <c r="Y1597" s="89"/>
    </row>
    <row r="1598" ht="22.5" customHeight="1">
      <c r="A1598" s="223"/>
      <c r="B1598" s="125"/>
      <c r="C1598" s="125"/>
      <c r="D1598" s="125"/>
      <c r="E1598" s="125"/>
      <c r="F1598" s="125"/>
      <c r="G1598" s="125"/>
      <c r="H1598" s="125"/>
      <c r="I1598" s="627" t="s">
        <v>51</v>
      </c>
      <c r="J1598" s="125" t="s">
        <v>51</v>
      </c>
      <c r="K1598" s="125" t="s">
        <v>51</v>
      </c>
      <c r="L1598" s="125" t="s">
        <v>51</v>
      </c>
      <c r="M1598" s="125" t="str">
        <f t="shared" si="1"/>
        <v/>
      </c>
      <c r="N1598" s="125" t="str">
        <f t="shared" si="2"/>
        <v/>
      </c>
      <c r="O1598" s="125"/>
      <c r="P1598" s="125"/>
      <c r="Q1598" s="125"/>
      <c r="R1598" s="125"/>
      <c r="S1598" s="628">
        <f t="shared" si="3"/>
        <v>0</v>
      </c>
      <c r="T1598" s="627" t="s">
        <v>51</v>
      </c>
      <c r="U1598" s="627" t="s">
        <v>51</v>
      </c>
      <c r="V1598" s="627" t="s">
        <v>51</v>
      </c>
      <c r="W1598" s="627" t="s">
        <v>51</v>
      </c>
      <c r="X1598" s="627" t="s">
        <v>51</v>
      </c>
      <c r="Y1598" s="89"/>
    </row>
    <row r="1599" ht="22.5" customHeight="1">
      <c r="A1599" s="223"/>
      <c r="B1599" s="125"/>
      <c r="C1599" s="125"/>
      <c r="D1599" s="125"/>
      <c r="E1599" s="125"/>
      <c r="F1599" s="125"/>
      <c r="G1599" s="125"/>
      <c r="H1599" s="125"/>
      <c r="I1599" s="627" t="s">
        <v>51</v>
      </c>
      <c r="J1599" s="125" t="s">
        <v>51</v>
      </c>
      <c r="K1599" s="125" t="s">
        <v>51</v>
      </c>
      <c r="L1599" s="125" t="s">
        <v>51</v>
      </c>
      <c r="M1599" s="125" t="str">
        <f t="shared" si="1"/>
        <v/>
      </c>
      <c r="N1599" s="125" t="str">
        <f t="shared" si="2"/>
        <v/>
      </c>
      <c r="O1599" s="125"/>
      <c r="P1599" s="125"/>
      <c r="Q1599" s="125"/>
      <c r="R1599" s="125"/>
      <c r="S1599" s="628">
        <f t="shared" si="3"/>
        <v>0</v>
      </c>
      <c r="T1599" s="627" t="s">
        <v>51</v>
      </c>
      <c r="U1599" s="627" t="s">
        <v>51</v>
      </c>
      <c r="V1599" s="627" t="s">
        <v>51</v>
      </c>
      <c r="W1599" s="627" t="s">
        <v>51</v>
      </c>
      <c r="X1599" s="627" t="s">
        <v>51</v>
      </c>
      <c r="Y1599" s="89"/>
    </row>
    <row r="1600" ht="22.5" customHeight="1">
      <c r="A1600" s="223"/>
      <c r="B1600" s="125"/>
      <c r="C1600" s="125"/>
      <c r="D1600" s="125"/>
      <c r="E1600" s="125"/>
      <c r="F1600" s="125"/>
      <c r="G1600" s="125"/>
      <c r="H1600" s="125"/>
      <c r="I1600" s="627" t="s">
        <v>51</v>
      </c>
      <c r="J1600" s="125" t="s">
        <v>51</v>
      </c>
      <c r="K1600" s="125" t="s">
        <v>51</v>
      </c>
      <c r="L1600" s="125" t="s">
        <v>51</v>
      </c>
      <c r="M1600" s="125" t="str">
        <f t="shared" si="1"/>
        <v/>
      </c>
      <c r="N1600" s="125" t="str">
        <f t="shared" si="2"/>
        <v/>
      </c>
      <c r="O1600" s="125"/>
      <c r="P1600" s="125"/>
      <c r="Q1600" s="125"/>
      <c r="R1600" s="125"/>
      <c r="S1600" s="628">
        <f t="shared" si="3"/>
        <v>0</v>
      </c>
      <c r="T1600" s="627" t="s">
        <v>51</v>
      </c>
      <c r="U1600" s="627" t="s">
        <v>51</v>
      </c>
      <c r="V1600" s="627" t="s">
        <v>51</v>
      </c>
      <c r="W1600" s="627" t="s">
        <v>51</v>
      </c>
      <c r="X1600" s="627" t="s">
        <v>51</v>
      </c>
      <c r="Y1600" s="89"/>
    </row>
    <row r="1601" ht="22.5" customHeight="1">
      <c r="A1601" s="223"/>
      <c r="B1601" s="125"/>
      <c r="C1601" s="125"/>
      <c r="D1601" s="125"/>
      <c r="E1601" s="125"/>
      <c r="F1601" s="125"/>
      <c r="G1601" s="125"/>
      <c r="H1601" s="125"/>
      <c r="I1601" s="627" t="s">
        <v>51</v>
      </c>
      <c r="J1601" s="125" t="s">
        <v>51</v>
      </c>
      <c r="K1601" s="125" t="s">
        <v>51</v>
      </c>
      <c r="L1601" s="125" t="s">
        <v>51</v>
      </c>
      <c r="M1601" s="125" t="str">
        <f t="shared" si="1"/>
        <v/>
      </c>
      <c r="N1601" s="125" t="str">
        <f t="shared" si="2"/>
        <v/>
      </c>
      <c r="O1601" s="125"/>
      <c r="P1601" s="125"/>
      <c r="Q1601" s="125"/>
      <c r="R1601" s="125"/>
      <c r="S1601" s="628">
        <f t="shared" si="3"/>
        <v>0</v>
      </c>
      <c r="T1601" s="627" t="s">
        <v>51</v>
      </c>
      <c r="U1601" s="627" t="s">
        <v>51</v>
      </c>
      <c r="V1601" s="627" t="s">
        <v>51</v>
      </c>
      <c r="W1601" s="627" t="s">
        <v>51</v>
      </c>
      <c r="X1601" s="627" t="s">
        <v>51</v>
      </c>
      <c r="Y1601" s="89"/>
    </row>
    <row r="1602" ht="22.5" customHeight="1">
      <c r="A1602" s="223"/>
      <c r="B1602" s="125"/>
      <c r="C1602" s="125"/>
      <c r="D1602" s="125"/>
      <c r="E1602" s="125"/>
      <c r="F1602" s="125"/>
      <c r="G1602" s="125"/>
      <c r="H1602" s="125"/>
      <c r="I1602" s="627" t="s">
        <v>51</v>
      </c>
      <c r="J1602" s="125" t="s">
        <v>51</v>
      </c>
      <c r="K1602" s="125" t="s">
        <v>51</v>
      </c>
      <c r="L1602" s="125" t="s">
        <v>51</v>
      </c>
      <c r="M1602" s="125" t="str">
        <f t="shared" si="1"/>
        <v/>
      </c>
      <c r="N1602" s="125" t="str">
        <f t="shared" si="2"/>
        <v/>
      </c>
      <c r="O1602" s="125"/>
      <c r="P1602" s="125"/>
      <c r="Q1602" s="125"/>
      <c r="R1602" s="125"/>
      <c r="S1602" s="628">
        <f t="shared" si="3"/>
        <v>0</v>
      </c>
      <c r="T1602" s="627" t="s">
        <v>51</v>
      </c>
      <c r="U1602" s="627" t="s">
        <v>51</v>
      </c>
      <c r="V1602" s="627" t="s">
        <v>51</v>
      </c>
      <c r="W1602" s="627" t="s">
        <v>51</v>
      </c>
      <c r="X1602" s="627" t="s">
        <v>51</v>
      </c>
      <c r="Y1602" s="89"/>
    </row>
    <row r="1603" ht="22.5" customHeight="1">
      <c r="A1603" s="223"/>
      <c r="B1603" s="125"/>
      <c r="C1603" s="125"/>
      <c r="D1603" s="125"/>
      <c r="E1603" s="125"/>
      <c r="F1603" s="125"/>
      <c r="G1603" s="125"/>
      <c r="H1603" s="125"/>
      <c r="I1603" s="627" t="s">
        <v>51</v>
      </c>
      <c r="J1603" s="125" t="s">
        <v>51</v>
      </c>
      <c r="K1603" s="125" t="s">
        <v>51</v>
      </c>
      <c r="L1603" s="125" t="s">
        <v>51</v>
      </c>
      <c r="M1603" s="125" t="str">
        <f t="shared" si="1"/>
        <v/>
      </c>
      <c r="N1603" s="125" t="str">
        <f t="shared" si="2"/>
        <v/>
      </c>
      <c r="O1603" s="125"/>
      <c r="P1603" s="125"/>
      <c r="Q1603" s="125"/>
      <c r="R1603" s="125"/>
      <c r="S1603" s="628">
        <f t="shared" si="3"/>
        <v>0</v>
      </c>
      <c r="T1603" s="627" t="s">
        <v>51</v>
      </c>
      <c r="U1603" s="627" t="s">
        <v>51</v>
      </c>
      <c r="V1603" s="627" t="s">
        <v>51</v>
      </c>
      <c r="W1603" s="627" t="s">
        <v>51</v>
      </c>
      <c r="X1603" s="627" t="s">
        <v>51</v>
      </c>
      <c r="Y1603" s="89"/>
    </row>
    <row r="1604" ht="22.5" customHeight="1">
      <c r="A1604" s="223"/>
      <c r="B1604" s="125"/>
      <c r="C1604" s="125"/>
      <c r="D1604" s="125"/>
      <c r="E1604" s="125"/>
      <c r="F1604" s="125"/>
      <c r="G1604" s="125"/>
      <c r="H1604" s="125"/>
      <c r="I1604" s="627" t="s">
        <v>51</v>
      </c>
      <c r="J1604" s="125" t="s">
        <v>51</v>
      </c>
      <c r="K1604" s="125" t="s">
        <v>51</v>
      </c>
      <c r="L1604" s="125" t="s">
        <v>51</v>
      </c>
      <c r="M1604" s="125" t="str">
        <f t="shared" si="1"/>
        <v/>
      </c>
      <c r="N1604" s="125" t="str">
        <f t="shared" si="2"/>
        <v/>
      </c>
      <c r="O1604" s="125"/>
      <c r="P1604" s="125"/>
      <c r="Q1604" s="125"/>
      <c r="R1604" s="125"/>
      <c r="S1604" s="628">
        <f t="shared" si="3"/>
        <v>0</v>
      </c>
      <c r="T1604" s="627" t="s">
        <v>51</v>
      </c>
      <c r="U1604" s="627" t="s">
        <v>51</v>
      </c>
      <c r="V1604" s="627" t="s">
        <v>51</v>
      </c>
      <c r="W1604" s="627" t="s">
        <v>51</v>
      </c>
      <c r="X1604" s="627" t="s">
        <v>51</v>
      </c>
      <c r="Y1604" s="89"/>
    </row>
    <row r="1605" ht="22.5" customHeight="1">
      <c r="A1605" s="223"/>
      <c r="B1605" s="125"/>
      <c r="C1605" s="125"/>
      <c r="D1605" s="125"/>
      <c r="E1605" s="125"/>
      <c r="F1605" s="125"/>
      <c r="G1605" s="125"/>
      <c r="H1605" s="125"/>
      <c r="I1605" s="627" t="s">
        <v>51</v>
      </c>
      <c r="J1605" s="125" t="s">
        <v>51</v>
      </c>
      <c r="K1605" s="125" t="s">
        <v>51</v>
      </c>
      <c r="L1605" s="125" t="s">
        <v>51</v>
      </c>
      <c r="M1605" s="125" t="str">
        <f t="shared" si="1"/>
        <v/>
      </c>
      <c r="N1605" s="125" t="str">
        <f t="shared" si="2"/>
        <v/>
      </c>
      <c r="O1605" s="125"/>
      <c r="P1605" s="125"/>
      <c r="Q1605" s="125"/>
      <c r="R1605" s="125"/>
      <c r="S1605" s="628">
        <f t="shared" si="3"/>
        <v>0</v>
      </c>
      <c r="T1605" s="627" t="s">
        <v>51</v>
      </c>
      <c r="U1605" s="627" t="s">
        <v>51</v>
      </c>
      <c r="V1605" s="627" t="s">
        <v>51</v>
      </c>
      <c r="W1605" s="627" t="s">
        <v>51</v>
      </c>
      <c r="X1605" s="627" t="s">
        <v>51</v>
      </c>
      <c r="Y1605" s="89"/>
    </row>
    <row r="1606" ht="22.5" customHeight="1">
      <c r="A1606" s="223"/>
      <c r="B1606" s="125"/>
      <c r="C1606" s="125"/>
      <c r="D1606" s="125"/>
      <c r="E1606" s="125"/>
      <c r="F1606" s="125"/>
      <c r="G1606" s="125"/>
      <c r="H1606" s="125"/>
      <c r="I1606" s="627" t="s">
        <v>51</v>
      </c>
      <c r="J1606" s="125" t="s">
        <v>51</v>
      </c>
      <c r="K1606" s="125" t="s">
        <v>51</v>
      </c>
      <c r="L1606" s="125" t="s">
        <v>51</v>
      </c>
      <c r="M1606" s="125" t="str">
        <f t="shared" si="1"/>
        <v/>
      </c>
      <c r="N1606" s="125" t="str">
        <f t="shared" si="2"/>
        <v/>
      </c>
      <c r="O1606" s="125"/>
      <c r="P1606" s="125"/>
      <c r="Q1606" s="125"/>
      <c r="R1606" s="125"/>
      <c r="S1606" s="628">
        <f t="shared" si="3"/>
        <v>0</v>
      </c>
      <c r="T1606" s="627" t="s">
        <v>51</v>
      </c>
      <c r="U1606" s="627" t="s">
        <v>51</v>
      </c>
      <c r="V1606" s="627" t="s">
        <v>51</v>
      </c>
      <c r="W1606" s="627" t="s">
        <v>51</v>
      </c>
      <c r="X1606" s="627" t="s">
        <v>51</v>
      </c>
      <c r="Y1606" s="89"/>
    </row>
    <row r="1607" ht="22.5" customHeight="1">
      <c r="A1607" s="223"/>
      <c r="B1607" s="125"/>
      <c r="C1607" s="125"/>
      <c r="D1607" s="125"/>
      <c r="E1607" s="125"/>
      <c r="F1607" s="125"/>
      <c r="G1607" s="125"/>
      <c r="H1607" s="125"/>
      <c r="I1607" s="627" t="s">
        <v>51</v>
      </c>
      <c r="J1607" s="125" t="s">
        <v>51</v>
      </c>
      <c r="K1607" s="125" t="s">
        <v>51</v>
      </c>
      <c r="L1607" s="125" t="s">
        <v>51</v>
      </c>
      <c r="M1607" s="125" t="str">
        <f t="shared" si="1"/>
        <v/>
      </c>
      <c r="N1607" s="125" t="str">
        <f t="shared" si="2"/>
        <v/>
      </c>
      <c r="O1607" s="125"/>
      <c r="P1607" s="125"/>
      <c r="Q1607" s="125"/>
      <c r="R1607" s="125"/>
      <c r="S1607" s="628">
        <f t="shared" si="3"/>
        <v>0</v>
      </c>
      <c r="T1607" s="627" t="s">
        <v>51</v>
      </c>
      <c r="U1607" s="627" t="s">
        <v>51</v>
      </c>
      <c r="V1607" s="627" t="s">
        <v>51</v>
      </c>
      <c r="W1607" s="627" t="s">
        <v>51</v>
      </c>
      <c r="X1607" s="627" t="s">
        <v>51</v>
      </c>
      <c r="Y1607" s="89"/>
    </row>
    <row r="1608" ht="22.5" customHeight="1">
      <c r="A1608" s="223"/>
      <c r="B1608" s="125"/>
      <c r="C1608" s="125"/>
      <c r="D1608" s="125"/>
      <c r="E1608" s="125"/>
      <c r="F1608" s="125"/>
      <c r="G1608" s="125"/>
      <c r="H1608" s="125"/>
      <c r="I1608" s="627" t="s">
        <v>51</v>
      </c>
      <c r="J1608" s="125" t="s">
        <v>51</v>
      </c>
      <c r="K1608" s="125" t="s">
        <v>51</v>
      </c>
      <c r="L1608" s="125" t="s">
        <v>51</v>
      </c>
      <c r="M1608" s="125" t="str">
        <f t="shared" si="1"/>
        <v/>
      </c>
      <c r="N1608" s="125" t="str">
        <f t="shared" si="2"/>
        <v/>
      </c>
      <c r="O1608" s="125"/>
      <c r="P1608" s="125"/>
      <c r="Q1608" s="125"/>
      <c r="R1608" s="125"/>
      <c r="S1608" s="628">
        <f t="shared" si="3"/>
        <v>0</v>
      </c>
      <c r="T1608" s="627" t="s">
        <v>51</v>
      </c>
      <c r="U1608" s="627" t="s">
        <v>51</v>
      </c>
      <c r="V1608" s="627" t="s">
        <v>51</v>
      </c>
      <c r="W1608" s="627" t="s">
        <v>51</v>
      </c>
      <c r="X1608" s="627" t="s">
        <v>51</v>
      </c>
      <c r="Y1608" s="89"/>
    </row>
    <row r="1609" ht="22.5" customHeight="1">
      <c r="A1609" s="223"/>
      <c r="B1609" s="125"/>
      <c r="C1609" s="125"/>
      <c r="D1609" s="125"/>
      <c r="E1609" s="125"/>
      <c r="F1609" s="125"/>
      <c r="G1609" s="125"/>
      <c r="H1609" s="125"/>
      <c r="I1609" s="627" t="s">
        <v>51</v>
      </c>
      <c r="J1609" s="125" t="s">
        <v>51</v>
      </c>
      <c r="K1609" s="125" t="s">
        <v>51</v>
      </c>
      <c r="L1609" s="125" t="s">
        <v>51</v>
      </c>
      <c r="M1609" s="125" t="str">
        <f t="shared" si="1"/>
        <v/>
      </c>
      <c r="N1609" s="125" t="str">
        <f t="shared" si="2"/>
        <v/>
      </c>
      <c r="O1609" s="125"/>
      <c r="P1609" s="125"/>
      <c r="Q1609" s="125"/>
      <c r="R1609" s="125"/>
      <c r="S1609" s="628">
        <f t="shared" si="3"/>
        <v>0</v>
      </c>
      <c r="T1609" s="627" t="s">
        <v>51</v>
      </c>
      <c r="U1609" s="627" t="s">
        <v>51</v>
      </c>
      <c r="V1609" s="627" t="s">
        <v>51</v>
      </c>
      <c r="W1609" s="627" t="s">
        <v>51</v>
      </c>
      <c r="X1609" s="627" t="s">
        <v>51</v>
      </c>
      <c r="Y1609" s="89"/>
    </row>
    <row r="1610" ht="22.5" customHeight="1">
      <c r="A1610" s="223"/>
      <c r="B1610" s="125"/>
      <c r="C1610" s="125"/>
      <c r="D1610" s="125"/>
      <c r="E1610" s="125"/>
      <c r="F1610" s="125"/>
      <c r="G1610" s="125"/>
      <c r="H1610" s="125"/>
      <c r="I1610" s="627" t="s">
        <v>51</v>
      </c>
      <c r="J1610" s="125" t="s">
        <v>51</v>
      </c>
      <c r="K1610" s="125" t="s">
        <v>51</v>
      </c>
      <c r="L1610" s="125" t="s">
        <v>51</v>
      </c>
      <c r="M1610" s="125" t="str">
        <f t="shared" si="1"/>
        <v/>
      </c>
      <c r="N1610" s="125" t="str">
        <f t="shared" si="2"/>
        <v/>
      </c>
      <c r="O1610" s="125"/>
      <c r="P1610" s="125"/>
      <c r="Q1610" s="125"/>
      <c r="R1610" s="125"/>
      <c r="S1610" s="628">
        <f t="shared" si="3"/>
        <v>0</v>
      </c>
      <c r="T1610" s="627" t="s">
        <v>51</v>
      </c>
      <c r="U1610" s="627" t="s">
        <v>51</v>
      </c>
      <c r="V1610" s="627" t="s">
        <v>51</v>
      </c>
      <c r="W1610" s="627" t="s">
        <v>51</v>
      </c>
      <c r="X1610" s="627" t="s">
        <v>51</v>
      </c>
      <c r="Y1610" s="89"/>
    </row>
    <row r="1611" ht="22.5" customHeight="1">
      <c r="A1611" s="223"/>
      <c r="B1611" s="125"/>
      <c r="C1611" s="125"/>
      <c r="D1611" s="125"/>
      <c r="E1611" s="125"/>
      <c r="F1611" s="125"/>
      <c r="G1611" s="125"/>
      <c r="H1611" s="125"/>
      <c r="I1611" s="627" t="s">
        <v>51</v>
      </c>
      <c r="J1611" s="125" t="s">
        <v>51</v>
      </c>
      <c r="K1611" s="125" t="s">
        <v>51</v>
      </c>
      <c r="L1611" s="125" t="s">
        <v>51</v>
      </c>
      <c r="M1611" s="125" t="str">
        <f t="shared" si="1"/>
        <v/>
      </c>
      <c r="N1611" s="125" t="str">
        <f t="shared" si="2"/>
        <v/>
      </c>
      <c r="O1611" s="125"/>
      <c r="P1611" s="125"/>
      <c r="Q1611" s="125"/>
      <c r="R1611" s="125"/>
      <c r="S1611" s="628">
        <f t="shared" si="3"/>
        <v>0</v>
      </c>
      <c r="T1611" s="627" t="s">
        <v>51</v>
      </c>
      <c r="U1611" s="627" t="s">
        <v>51</v>
      </c>
      <c r="V1611" s="627" t="s">
        <v>51</v>
      </c>
      <c r="W1611" s="627" t="s">
        <v>51</v>
      </c>
      <c r="X1611" s="627" t="s">
        <v>51</v>
      </c>
      <c r="Y1611" s="89"/>
    </row>
    <row r="1612" ht="22.5" customHeight="1">
      <c r="A1612" s="223"/>
      <c r="B1612" s="125"/>
      <c r="C1612" s="125"/>
      <c r="D1612" s="125"/>
      <c r="E1612" s="125"/>
      <c r="F1612" s="125"/>
      <c r="G1612" s="125"/>
      <c r="H1612" s="125"/>
      <c r="I1612" s="627" t="s">
        <v>51</v>
      </c>
      <c r="J1612" s="125" t="s">
        <v>51</v>
      </c>
      <c r="K1612" s="125" t="s">
        <v>51</v>
      </c>
      <c r="L1612" s="125" t="s">
        <v>51</v>
      </c>
      <c r="M1612" s="125" t="str">
        <f t="shared" si="1"/>
        <v/>
      </c>
      <c r="N1612" s="125" t="str">
        <f t="shared" si="2"/>
        <v/>
      </c>
      <c r="O1612" s="125"/>
      <c r="P1612" s="125"/>
      <c r="Q1612" s="125"/>
      <c r="R1612" s="125"/>
      <c r="S1612" s="628">
        <f t="shared" si="3"/>
        <v>0</v>
      </c>
      <c r="T1612" s="627" t="s">
        <v>51</v>
      </c>
      <c r="U1612" s="627" t="s">
        <v>51</v>
      </c>
      <c r="V1612" s="627" t="s">
        <v>51</v>
      </c>
      <c r="W1612" s="627" t="s">
        <v>51</v>
      </c>
      <c r="X1612" s="627" t="s">
        <v>51</v>
      </c>
      <c r="Y1612" s="89"/>
    </row>
    <row r="1613" ht="22.5" customHeight="1">
      <c r="A1613" s="223"/>
      <c r="B1613" s="125"/>
      <c r="C1613" s="125"/>
      <c r="D1613" s="125"/>
      <c r="E1613" s="125"/>
      <c r="F1613" s="125"/>
      <c r="G1613" s="125"/>
      <c r="H1613" s="125"/>
      <c r="I1613" s="627" t="s">
        <v>51</v>
      </c>
      <c r="J1613" s="125" t="s">
        <v>51</v>
      </c>
      <c r="K1613" s="125" t="s">
        <v>51</v>
      </c>
      <c r="L1613" s="125" t="s">
        <v>51</v>
      </c>
      <c r="M1613" s="125" t="str">
        <f t="shared" si="1"/>
        <v/>
      </c>
      <c r="N1613" s="125" t="str">
        <f t="shared" si="2"/>
        <v/>
      </c>
      <c r="O1613" s="125"/>
      <c r="P1613" s="125"/>
      <c r="Q1613" s="125"/>
      <c r="R1613" s="125"/>
      <c r="S1613" s="628">
        <f t="shared" si="3"/>
        <v>0</v>
      </c>
      <c r="T1613" s="627" t="s">
        <v>51</v>
      </c>
      <c r="U1613" s="627" t="s">
        <v>51</v>
      </c>
      <c r="V1613" s="627" t="s">
        <v>51</v>
      </c>
      <c r="W1613" s="627" t="s">
        <v>51</v>
      </c>
      <c r="X1613" s="627" t="s">
        <v>51</v>
      </c>
      <c r="Y1613" s="89"/>
    </row>
    <row r="1614" ht="22.5" customHeight="1">
      <c r="A1614" s="223"/>
      <c r="B1614" s="125"/>
      <c r="C1614" s="125"/>
      <c r="D1614" s="125"/>
      <c r="E1614" s="125"/>
      <c r="F1614" s="125"/>
      <c r="G1614" s="125"/>
      <c r="H1614" s="125"/>
      <c r="I1614" s="627" t="s">
        <v>51</v>
      </c>
      <c r="J1614" s="125" t="s">
        <v>51</v>
      </c>
      <c r="K1614" s="125" t="s">
        <v>51</v>
      </c>
      <c r="L1614" s="125" t="s">
        <v>51</v>
      </c>
      <c r="M1614" s="125" t="str">
        <f t="shared" si="1"/>
        <v/>
      </c>
      <c r="N1614" s="125" t="str">
        <f t="shared" si="2"/>
        <v/>
      </c>
      <c r="O1614" s="125"/>
      <c r="P1614" s="125"/>
      <c r="Q1614" s="125"/>
      <c r="R1614" s="125"/>
      <c r="S1614" s="628">
        <f t="shared" si="3"/>
        <v>0</v>
      </c>
      <c r="T1614" s="627" t="s">
        <v>51</v>
      </c>
      <c r="U1614" s="627" t="s">
        <v>51</v>
      </c>
      <c r="V1614" s="627" t="s">
        <v>51</v>
      </c>
      <c r="W1614" s="627" t="s">
        <v>51</v>
      </c>
      <c r="X1614" s="627" t="s">
        <v>51</v>
      </c>
      <c r="Y1614" s="89"/>
    </row>
    <row r="1615" ht="22.5" customHeight="1">
      <c r="A1615" s="223"/>
      <c r="B1615" s="125"/>
      <c r="C1615" s="125"/>
      <c r="D1615" s="125"/>
      <c r="E1615" s="125"/>
      <c r="F1615" s="125"/>
      <c r="G1615" s="125"/>
      <c r="H1615" s="125"/>
      <c r="I1615" s="627" t="s">
        <v>51</v>
      </c>
      <c r="J1615" s="125" t="s">
        <v>51</v>
      </c>
      <c r="K1615" s="125" t="s">
        <v>51</v>
      </c>
      <c r="L1615" s="125" t="s">
        <v>51</v>
      </c>
      <c r="M1615" s="125" t="str">
        <f t="shared" si="1"/>
        <v/>
      </c>
      <c r="N1615" s="125" t="str">
        <f t="shared" si="2"/>
        <v/>
      </c>
      <c r="O1615" s="125"/>
      <c r="P1615" s="125"/>
      <c r="Q1615" s="125"/>
      <c r="R1615" s="125"/>
      <c r="S1615" s="628">
        <f t="shared" si="3"/>
        <v>0</v>
      </c>
      <c r="T1615" s="627" t="s">
        <v>51</v>
      </c>
      <c r="U1615" s="627" t="s">
        <v>51</v>
      </c>
      <c r="V1615" s="627" t="s">
        <v>51</v>
      </c>
      <c r="W1615" s="627" t="s">
        <v>51</v>
      </c>
      <c r="X1615" s="627" t="s">
        <v>51</v>
      </c>
      <c r="Y1615" s="89"/>
    </row>
    <row r="1616" ht="22.5" customHeight="1">
      <c r="A1616" s="223"/>
      <c r="B1616" s="125"/>
      <c r="C1616" s="125"/>
      <c r="D1616" s="125"/>
      <c r="E1616" s="125"/>
      <c r="F1616" s="125"/>
      <c r="G1616" s="125"/>
      <c r="H1616" s="125"/>
      <c r="I1616" s="627" t="s">
        <v>51</v>
      </c>
      <c r="J1616" s="125" t="s">
        <v>51</v>
      </c>
      <c r="K1616" s="125" t="s">
        <v>51</v>
      </c>
      <c r="L1616" s="125" t="s">
        <v>51</v>
      </c>
      <c r="M1616" s="125" t="str">
        <f t="shared" si="1"/>
        <v/>
      </c>
      <c r="N1616" s="125" t="str">
        <f t="shared" si="2"/>
        <v/>
      </c>
      <c r="O1616" s="125"/>
      <c r="P1616" s="125"/>
      <c r="Q1616" s="125"/>
      <c r="R1616" s="125"/>
      <c r="S1616" s="628">
        <f t="shared" si="3"/>
        <v>0</v>
      </c>
      <c r="T1616" s="627" t="s">
        <v>51</v>
      </c>
      <c r="U1616" s="627" t="s">
        <v>51</v>
      </c>
      <c r="V1616" s="627" t="s">
        <v>51</v>
      </c>
      <c r="W1616" s="627" t="s">
        <v>51</v>
      </c>
      <c r="X1616" s="627" t="s">
        <v>51</v>
      </c>
      <c r="Y1616" s="89"/>
    </row>
    <row r="1617" ht="22.5" customHeight="1">
      <c r="A1617" s="223"/>
      <c r="B1617" s="125"/>
      <c r="C1617" s="125"/>
      <c r="D1617" s="125"/>
      <c r="E1617" s="125"/>
      <c r="F1617" s="125"/>
      <c r="G1617" s="125"/>
      <c r="H1617" s="125"/>
      <c r="I1617" s="627" t="s">
        <v>51</v>
      </c>
      <c r="J1617" s="125" t="s">
        <v>51</v>
      </c>
      <c r="K1617" s="125" t="s">
        <v>51</v>
      </c>
      <c r="L1617" s="125" t="s">
        <v>51</v>
      </c>
      <c r="M1617" s="125" t="str">
        <f t="shared" si="1"/>
        <v/>
      </c>
      <c r="N1617" s="125" t="str">
        <f t="shared" si="2"/>
        <v/>
      </c>
      <c r="O1617" s="125"/>
      <c r="P1617" s="125"/>
      <c r="Q1617" s="125"/>
      <c r="R1617" s="125"/>
      <c r="S1617" s="628">
        <f t="shared" si="3"/>
        <v>0</v>
      </c>
      <c r="T1617" s="627" t="s">
        <v>51</v>
      </c>
      <c r="U1617" s="627" t="s">
        <v>51</v>
      </c>
      <c r="V1617" s="627" t="s">
        <v>51</v>
      </c>
      <c r="W1617" s="627" t="s">
        <v>51</v>
      </c>
      <c r="X1617" s="627" t="s">
        <v>51</v>
      </c>
      <c r="Y1617" s="89"/>
    </row>
    <row r="1618" ht="22.5" customHeight="1">
      <c r="A1618" s="223"/>
      <c r="B1618" s="125"/>
      <c r="C1618" s="125"/>
      <c r="D1618" s="125"/>
      <c r="E1618" s="125"/>
      <c r="F1618" s="125"/>
      <c r="G1618" s="125"/>
      <c r="H1618" s="125"/>
      <c r="I1618" s="627" t="s">
        <v>51</v>
      </c>
      <c r="J1618" s="125" t="s">
        <v>51</v>
      </c>
      <c r="K1618" s="125" t="s">
        <v>51</v>
      </c>
      <c r="L1618" s="125" t="s">
        <v>51</v>
      </c>
      <c r="M1618" s="125" t="str">
        <f t="shared" si="1"/>
        <v/>
      </c>
      <c r="N1618" s="125" t="str">
        <f t="shared" si="2"/>
        <v/>
      </c>
      <c r="O1618" s="125"/>
      <c r="P1618" s="125"/>
      <c r="Q1618" s="125"/>
      <c r="R1618" s="125"/>
      <c r="S1618" s="628">
        <f t="shared" si="3"/>
        <v>0</v>
      </c>
      <c r="T1618" s="627" t="s">
        <v>51</v>
      </c>
      <c r="U1618" s="627" t="s">
        <v>51</v>
      </c>
      <c r="V1618" s="627" t="s">
        <v>51</v>
      </c>
      <c r="W1618" s="627" t="s">
        <v>51</v>
      </c>
      <c r="X1618" s="627" t="s">
        <v>51</v>
      </c>
      <c r="Y1618" s="89"/>
    </row>
    <row r="1619" ht="22.5" customHeight="1">
      <c r="A1619" s="223"/>
      <c r="B1619" s="125"/>
      <c r="C1619" s="125"/>
      <c r="D1619" s="125"/>
      <c r="E1619" s="125"/>
      <c r="F1619" s="125"/>
      <c r="G1619" s="125"/>
      <c r="H1619" s="125"/>
      <c r="I1619" s="627" t="s">
        <v>51</v>
      </c>
      <c r="J1619" s="125" t="s">
        <v>51</v>
      </c>
      <c r="K1619" s="125" t="s">
        <v>51</v>
      </c>
      <c r="L1619" s="125" t="s">
        <v>51</v>
      </c>
      <c r="M1619" s="125" t="str">
        <f t="shared" si="1"/>
        <v/>
      </c>
      <c r="N1619" s="125" t="str">
        <f t="shared" si="2"/>
        <v/>
      </c>
      <c r="O1619" s="125"/>
      <c r="P1619" s="125"/>
      <c r="Q1619" s="125"/>
      <c r="R1619" s="125"/>
      <c r="S1619" s="628">
        <f t="shared" si="3"/>
        <v>0</v>
      </c>
      <c r="T1619" s="627" t="s">
        <v>51</v>
      </c>
      <c r="U1619" s="627" t="s">
        <v>51</v>
      </c>
      <c r="V1619" s="627" t="s">
        <v>51</v>
      </c>
      <c r="W1619" s="627" t="s">
        <v>51</v>
      </c>
      <c r="X1619" s="627" t="s">
        <v>51</v>
      </c>
      <c r="Y1619" s="89"/>
    </row>
    <row r="1620" ht="22.5" customHeight="1">
      <c r="A1620" s="223"/>
      <c r="B1620" s="125"/>
      <c r="C1620" s="125"/>
      <c r="D1620" s="125"/>
      <c r="E1620" s="125"/>
      <c r="F1620" s="125"/>
      <c r="G1620" s="125"/>
      <c r="H1620" s="125"/>
      <c r="I1620" s="627" t="s">
        <v>51</v>
      </c>
      <c r="J1620" s="125" t="s">
        <v>51</v>
      </c>
      <c r="K1620" s="125" t="s">
        <v>51</v>
      </c>
      <c r="L1620" s="125" t="s">
        <v>51</v>
      </c>
      <c r="M1620" s="125" t="str">
        <f t="shared" si="1"/>
        <v/>
      </c>
      <c r="N1620" s="125" t="str">
        <f t="shared" si="2"/>
        <v/>
      </c>
      <c r="O1620" s="125"/>
      <c r="P1620" s="125"/>
      <c r="Q1620" s="125"/>
      <c r="R1620" s="125"/>
      <c r="S1620" s="628">
        <f t="shared" si="3"/>
        <v>0</v>
      </c>
      <c r="T1620" s="627" t="s">
        <v>51</v>
      </c>
      <c r="U1620" s="627" t="s">
        <v>51</v>
      </c>
      <c r="V1620" s="627" t="s">
        <v>51</v>
      </c>
      <c r="W1620" s="627" t="s">
        <v>51</v>
      </c>
      <c r="X1620" s="627" t="s">
        <v>51</v>
      </c>
      <c r="Y1620" s="89"/>
    </row>
    <row r="1621" ht="22.5" customHeight="1">
      <c r="A1621" s="223"/>
      <c r="B1621" s="125"/>
      <c r="C1621" s="125"/>
      <c r="D1621" s="125"/>
      <c r="E1621" s="125"/>
      <c r="F1621" s="125"/>
      <c r="G1621" s="125"/>
      <c r="H1621" s="125"/>
      <c r="I1621" s="627" t="s">
        <v>51</v>
      </c>
      <c r="J1621" s="125" t="s">
        <v>51</v>
      </c>
      <c r="K1621" s="125" t="s">
        <v>51</v>
      </c>
      <c r="L1621" s="125" t="s">
        <v>51</v>
      </c>
      <c r="M1621" s="125" t="str">
        <f t="shared" si="1"/>
        <v/>
      </c>
      <c r="N1621" s="125" t="str">
        <f t="shared" si="2"/>
        <v/>
      </c>
      <c r="O1621" s="125"/>
      <c r="P1621" s="125"/>
      <c r="Q1621" s="125"/>
      <c r="R1621" s="125"/>
      <c r="S1621" s="628">
        <f t="shared" si="3"/>
        <v>0</v>
      </c>
      <c r="T1621" s="627" t="s">
        <v>51</v>
      </c>
      <c r="U1621" s="627" t="s">
        <v>51</v>
      </c>
      <c r="V1621" s="627" t="s">
        <v>51</v>
      </c>
      <c r="W1621" s="627" t="s">
        <v>51</v>
      </c>
      <c r="X1621" s="627" t="s">
        <v>51</v>
      </c>
      <c r="Y1621" s="89"/>
    </row>
    <row r="1622" ht="22.5" customHeight="1">
      <c r="A1622" s="223"/>
      <c r="B1622" s="125"/>
      <c r="C1622" s="125"/>
      <c r="D1622" s="125"/>
      <c r="E1622" s="125"/>
      <c r="F1622" s="125"/>
      <c r="G1622" s="125"/>
      <c r="H1622" s="125"/>
      <c r="I1622" s="627" t="s">
        <v>51</v>
      </c>
      <c r="J1622" s="125" t="s">
        <v>51</v>
      </c>
      <c r="K1622" s="125" t="s">
        <v>51</v>
      </c>
      <c r="L1622" s="125" t="s">
        <v>51</v>
      </c>
      <c r="M1622" s="125" t="str">
        <f t="shared" si="1"/>
        <v/>
      </c>
      <c r="N1622" s="125" t="str">
        <f t="shared" si="2"/>
        <v/>
      </c>
      <c r="O1622" s="125"/>
      <c r="P1622" s="125"/>
      <c r="Q1622" s="125"/>
      <c r="R1622" s="125"/>
      <c r="S1622" s="628">
        <f t="shared" si="3"/>
        <v>0</v>
      </c>
      <c r="T1622" s="627" t="s">
        <v>51</v>
      </c>
      <c r="U1622" s="627" t="s">
        <v>51</v>
      </c>
      <c r="V1622" s="627" t="s">
        <v>51</v>
      </c>
      <c r="W1622" s="627" t="s">
        <v>51</v>
      </c>
      <c r="X1622" s="627" t="s">
        <v>51</v>
      </c>
      <c r="Y1622" s="89"/>
    </row>
    <row r="1623" ht="22.5" customHeight="1">
      <c r="A1623" s="223"/>
      <c r="B1623" s="125"/>
      <c r="C1623" s="125"/>
      <c r="D1623" s="125"/>
      <c r="E1623" s="125"/>
      <c r="F1623" s="125"/>
      <c r="G1623" s="125"/>
      <c r="H1623" s="125"/>
      <c r="I1623" s="627" t="s">
        <v>51</v>
      </c>
      <c r="J1623" s="125" t="s">
        <v>51</v>
      </c>
      <c r="K1623" s="125" t="s">
        <v>51</v>
      </c>
      <c r="L1623" s="125" t="s">
        <v>51</v>
      </c>
      <c r="M1623" s="125" t="str">
        <f t="shared" si="1"/>
        <v/>
      </c>
      <c r="N1623" s="125" t="str">
        <f t="shared" si="2"/>
        <v/>
      </c>
      <c r="O1623" s="125"/>
      <c r="P1623" s="125"/>
      <c r="Q1623" s="125"/>
      <c r="R1623" s="125"/>
      <c r="S1623" s="628">
        <f t="shared" si="3"/>
        <v>0</v>
      </c>
      <c r="T1623" s="627" t="s">
        <v>51</v>
      </c>
      <c r="U1623" s="627" t="s">
        <v>51</v>
      </c>
      <c r="V1623" s="627" t="s">
        <v>51</v>
      </c>
      <c r="W1623" s="627" t="s">
        <v>51</v>
      </c>
      <c r="X1623" s="627" t="s">
        <v>51</v>
      </c>
      <c r="Y1623" s="89"/>
    </row>
    <row r="1624" ht="22.5" customHeight="1">
      <c r="A1624" s="223"/>
      <c r="B1624" s="125"/>
      <c r="C1624" s="125"/>
      <c r="D1624" s="125"/>
      <c r="E1624" s="125"/>
      <c r="F1624" s="125"/>
      <c r="G1624" s="125"/>
      <c r="H1624" s="125"/>
      <c r="I1624" s="627" t="s">
        <v>51</v>
      </c>
      <c r="J1624" s="125" t="s">
        <v>51</v>
      </c>
      <c r="K1624" s="125" t="s">
        <v>51</v>
      </c>
      <c r="L1624" s="125" t="s">
        <v>51</v>
      </c>
      <c r="M1624" s="125" t="str">
        <f t="shared" si="1"/>
        <v/>
      </c>
      <c r="N1624" s="125" t="str">
        <f t="shared" si="2"/>
        <v/>
      </c>
      <c r="O1624" s="125"/>
      <c r="P1624" s="125"/>
      <c r="Q1624" s="125"/>
      <c r="R1624" s="125"/>
      <c r="S1624" s="628">
        <f t="shared" si="3"/>
        <v>0</v>
      </c>
      <c r="T1624" s="627" t="s">
        <v>51</v>
      </c>
      <c r="U1624" s="627" t="s">
        <v>51</v>
      </c>
      <c r="V1624" s="627" t="s">
        <v>51</v>
      </c>
      <c r="W1624" s="627" t="s">
        <v>51</v>
      </c>
      <c r="X1624" s="627" t="s">
        <v>51</v>
      </c>
      <c r="Y1624" s="89"/>
    </row>
    <row r="1625" ht="22.5" customHeight="1">
      <c r="A1625" s="223"/>
      <c r="B1625" s="125"/>
      <c r="C1625" s="125"/>
      <c r="D1625" s="125"/>
      <c r="E1625" s="125"/>
      <c r="F1625" s="125"/>
      <c r="G1625" s="125"/>
      <c r="H1625" s="125"/>
      <c r="I1625" s="627" t="s">
        <v>51</v>
      </c>
      <c r="J1625" s="125" t="s">
        <v>51</v>
      </c>
      <c r="K1625" s="125" t="s">
        <v>51</v>
      </c>
      <c r="L1625" s="125" t="s">
        <v>51</v>
      </c>
      <c r="M1625" s="125" t="str">
        <f t="shared" si="1"/>
        <v/>
      </c>
      <c r="N1625" s="125" t="str">
        <f t="shared" si="2"/>
        <v/>
      </c>
      <c r="O1625" s="125"/>
      <c r="P1625" s="125"/>
      <c r="Q1625" s="125"/>
      <c r="R1625" s="125"/>
      <c r="S1625" s="628">
        <f t="shared" si="3"/>
        <v>0</v>
      </c>
      <c r="T1625" s="627" t="s">
        <v>51</v>
      </c>
      <c r="U1625" s="627" t="s">
        <v>51</v>
      </c>
      <c r="V1625" s="627" t="s">
        <v>51</v>
      </c>
      <c r="W1625" s="627" t="s">
        <v>51</v>
      </c>
      <c r="X1625" s="627" t="s">
        <v>51</v>
      </c>
      <c r="Y1625" s="89"/>
    </row>
    <row r="1626" ht="22.5" customHeight="1">
      <c r="A1626" s="223"/>
      <c r="B1626" s="125"/>
      <c r="C1626" s="125"/>
      <c r="D1626" s="125"/>
      <c r="E1626" s="125"/>
      <c r="F1626" s="125"/>
      <c r="G1626" s="125"/>
      <c r="H1626" s="125"/>
      <c r="I1626" s="627" t="s">
        <v>51</v>
      </c>
      <c r="J1626" s="125" t="s">
        <v>51</v>
      </c>
      <c r="K1626" s="125" t="s">
        <v>51</v>
      </c>
      <c r="L1626" s="125" t="s">
        <v>51</v>
      </c>
      <c r="M1626" s="125" t="str">
        <f t="shared" si="1"/>
        <v/>
      </c>
      <c r="N1626" s="125" t="str">
        <f t="shared" si="2"/>
        <v/>
      </c>
      <c r="O1626" s="125"/>
      <c r="P1626" s="125"/>
      <c r="Q1626" s="125"/>
      <c r="R1626" s="125"/>
      <c r="S1626" s="628">
        <f t="shared" si="3"/>
        <v>0</v>
      </c>
      <c r="T1626" s="627" t="s">
        <v>51</v>
      </c>
      <c r="U1626" s="627" t="s">
        <v>51</v>
      </c>
      <c r="V1626" s="627" t="s">
        <v>51</v>
      </c>
      <c r="W1626" s="627" t="s">
        <v>51</v>
      </c>
      <c r="X1626" s="627" t="s">
        <v>51</v>
      </c>
      <c r="Y1626" s="89"/>
    </row>
    <row r="1627" ht="22.5" customHeight="1">
      <c r="A1627" s="223"/>
      <c r="B1627" s="125"/>
      <c r="C1627" s="125"/>
      <c r="D1627" s="125"/>
      <c r="E1627" s="125"/>
      <c r="F1627" s="125"/>
      <c r="G1627" s="125"/>
      <c r="H1627" s="125"/>
      <c r="I1627" s="627" t="s">
        <v>51</v>
      </c>
      <c r="J1627" s="125" t="s">
        <v>51</v>
      </c>
      <c r="K1627" s="125" t="s">
        <v>51</v>
      </c>
      <c r="L1627" s="125" t="s">
        <v>51</v>
      </c>
      <c r="M1627" s="125" t="str">
        <f t="shared" si="1"/>
        <v/>
      </c>
      <c r="N1627" s="125" t="str">
        <f t="shared" si="2"/>
        <v/>
      </c>
      <c r="O1627" s="125"/>
      <c r="P1627" s="125"/>
      <c r="Q1627" s="125"/>
      <c r="R1627" s="125"/>
      <c r="S1627" s="628">
        <f t="shared" si="3"/>
        <v>0</v>
      </c>
      <c r="T1627" s="627" t="s">
        <v>51</v>
      </c>
      <c r="U1627" s="627" t="s">
        <v>51</v>
      </c>
      <c r="V1627" s="627" t="s">
        <v>51</v>
      </c>
      <c r="W1627" s="627" t="s">
        <v>51</v>
      </c>
      <c r="X1627" s="627" t="s">
        <v>51</v>
      </c>
      <c r="Y1627" s="89"/>
    </row>
    <row r="1628" ht="22.5" customHeight="1">
      <c r="A1628" s="223"/>
      <c r="B1628" s="125"/>
      <c r="C1628" s="125"/>
      <c r="D1628" s="125"/>
      <c r="E1628" s="125"/>
      <c r="F1628" s="125"/>
      <c r="G1628" s="125"/>
      <c r="H1628" s="125"/>
      <c r="I1628" s="627" t="s">
        <v>51</v>
      </c>
      <c r="J1628" s="125" t="s">
        <v>51</v>
      </c>
      <c r="K1628" s="125" t="s">
        <v>51</v>
      </c>
      <c r="L1628" s="125" t="s">
        <v>51</v>
      </c>
      <c r="M1628" s="125" t="str">
        <f t="shared" si="1"/>
        <v/>
      </c>
      <c r="N1628" s="125" t="str">
        <f t="shared" si="2"/>
        <v/>
      </c>
      <c r="O1628" s="125"/>
      <c r="P1628" s="125"/>
      <c r="Q1628" s="125"/>
      <c r="R1628" s="125"/>
      <c r="S1628" s="628">
        <f t="shared" si="3"/>
        <v>0</v>
      </c>
      <c r="T1628" s="627" t="s">
        <v>51</v>
      </c>
      <c r="U1628" s="627" t="s">
        <v>51</v>
      </c>
      <c r="V1628" s="627" t="s">
        <v>51</v>
      </c>
      <c r="W1628" s="627" t="s">
        <v>51</v>
      </c>
      <c r="X1628" s="627" t="s">
        <v>51</v>
      </c>
      <c r="Y1628" s="89"/>
    </row>
    <row r="1629" ht="22.5" customHeight="1">
      <c r="A1629" s="223"/>
      <c r="B1629" s="125"/>
      <c r="C1629" s="125"/>
      <c r="D1629" s="125"/>
      <c r="E1629" s="125"/>
      <c r="F1629" s="125"/>
      <c r="G1629" s="125"/>
      <c r="H1629" s="125"/>
      <c r="I1629" s="627" t="s">
        <v>51</v>
      </c>
      <c r="J1629" s="125" t="s">
        <v>51</v>
      </c>
      <c r="K1629" s="125" t="s">
        <v>51</v>
      </c>
      <c r="L1629" s="125" t="s">
        <v>51</v>
      </c>
      <c r="M1629" s="125" t="str">
        <f t="shared" si="1"/>
        <v/>
      </c>
      <c r="N1629" s="125" t="str">
        <f t="shared" si="2"/>
        <v/>
      </c>
      <c r="O1629" s="125"/>
      <c r="P1629" s="125"/>
      <c r="Q1629" s="125"/>
      <c r="R1629" s="125"/>
      <c r="S1629" s="628">
        <f t="shared" si="3"/>
        <v>0</v>
      </c>
      <c r="T1629" s="627" t="s">
        <v>51</v>
      </c>
      <c r="U1629" s="627" t="s">
        <v>51</v>
      </c>
      <c r="V1629" s="627" t="s">
        <v>51</v>
      </c>
      <c r="W1629" s="627" t="s">
        <v>51</v>
      </c>
      <c r="X1629" s="627" t="s">
        <v>51</v>
      </c>
      <c r="Y1629" s="89"/>
    </row>
    <row r="1630" ht="22.5" customHeight="1">
      <c r="A1630" s="223"/>
      <c r="B1630" s="125"/>
      <c r="C1630" s="125"/>
      <c r="D1630" s="125"/>
      <c r="E1630" s="125"/>
      <c r="F1630" s="125"/>
      <c r="G1630" s="125"/>
      <c r="H1630" s="125"/>
      <c r="I1630" s="627" t="s">
        <v>51</v>
      </c>
      <c r="J1630" s="125" t="s">
        <v>51</v>
      </c>
      <c r="K1630" s="125" t="s">
        <v>51</v>
      </c>
      <c r="L1630" s="125" t="s">
        <v>51</v>
      </c>
      <c r="M1630" s="125" t="str">
        <f t="shared" si="1"/>
        <v/>
      </c>
      <c r="N1630" s="125" t="str">
        <f t="shared" si="2"/>
        <v/>
      </c>
      <c r="O1630" s="125"/>
      <c r="P1630" s="125"/>
      <c r="Q1630" s="125"/>
      <c r="R1630" s="125"/>
      <c r="S1630" s="628">
        <f t="shared" si="3"/>
        <v>0</v>
      </c>
      <c r="T1630" s="627" t="s">
        <v>51</v>
      </c>
      <c r="U1630" s="627" t="s">
        <v>51</v>
      </c>
      <c r="V1630" s="627" t="s">
        <v>51</v>
      </c>
      <c r="W1630" s="627" t="s">
        <v>51</v>
      </c>
      <c r="X1630" s="627" t="s">
        <v>51</v>
      </c>
      <c r="Y1630" s="89"/>
    </row>
    <row r="1631" ht="22.5" customHeight="1">
      <c r="A1631" s="223"/>
      <c r="B1631" s="125"/>
      <c r="C1631" s="125"/>
      <c r="D1631" s="125"/>
      <c r="E1631" s="125"/>
      <c r="F1631" s="125"/>
      <c r="G1631" s="125"/>
      <c r="H1631" s="125"/>
      <c r="I1631" s="627" t="s">
        <v>51</v>
      </c>
      <c r="J1631" s="125" t="s">
        <v>51</v>
      </c>
      <c r="K1631" s="125" t="s">
        <v>51</v>
      </c>
      <c r="L1631" s="125" t="s">
        <v>51</v>
      </c>
      <c r="M1631" s="125" t="str">
        <f t="shared" si="1"/>
        <v/>
      </c>
      <c r="N1631" s="125" t="str">
        <f t="shared" si="2"/>
        <v/>
      </c>
      <c r="O1631" s="125"/>
      <c r="P1631" s="125"/>
      <c r="Q1631" s="125"/>
      <c r="R1631" s="125"/>
      <c r="S1631" s="628">
        <f t="shared" si="3"/>
        <v>0</v>
      </c>
      <c r="T1631" s="627" t="s">
        <v>51</v>
      </c>
      <c r="U1631" s="627" t="s">
        <v>51</v>
      </c>
      <c r="V1631" s="627" t="s">
        <v>51</v>
      </c>
      <c r="W1631" s="627" t="s">
        <v>51</v>
      </c>
      <c r="X1631" s="627" t="s">
        <v>51</v>
      </c>
      <c r="Y1631" s="89"/>
    </row>
    <row r="1632" ht="22.5" customHeight="1">
      <c r="A1632" s="223"/>
      <c r="B1632" s="125"/>
      <c r="C1632" s="125"/>
      <c r="D1632" s="125"/>
      <c r="E1632" s="125"/>
      <c r="F1632" s="125"/>
      <c r="G1632" s="125"/>
      <c r="H1632" s="125"/>
      <c r="I1632" s="627" t="s">
        <v>51</v>
      </c>
      <c r="J1632" s="125" t="s">
        <v>51</v>
      </c>
      <c r="K1632" s="125" t="s">
        <v>51</v>
      </c>
      <c r="L1632" s="125" t="s">
        <v>51</v>
      </c>
      <c r="M1632" s="125" t="str">
        <f t="shared" si="1"/>
        <v/>
      </c>
      <c r="N1632" s="125" t="str">
        <f t="shared" si="2"/>
        <v/>
      </c>
      <c r="O1632" s="125"/>
      <c r="P1632" s="125"/>
      <c r="Q1632" s="125"/>
      <c r="R1632" s="125"/>
      <c r="S1632" s="628">
        <f t="shared" si="3"/>
        <v>0</v>
      </c>
      <c r="T1632" s="627" t="s">
        <v>51</v>
      </c>
      <c r="U1632" s="627" t="s">
        <v>51</v>
      </c>
      <c r="V1632" s="627" t="s">
        <v>51</v>
      </c>
      <c r="W1632" s="627" t="s">
        <v>51</v>
      </c>
      <c r="X1632" s="627" t="s">
        <v>51</v>
      </c>
      <c r="Y1632" s="89"/>
    </row>
    <row r="1633" ht="22.5" customHeight="1">
      <c r="A1633" s="223"/>
      <c r="B1633" s="125"/>
      <c r="C1633" s="125"/>
      <c r="D1633" s="125"/>
      <c r="E1633" s="125"/>
      <c r="F1633" s="125"/>
      <c r="G1633" s="125"/>
      <c r="H1633" s="125"/>
      <c r="I1633" s="627" t="s">
        <v>51</v>
      </c>
      <c r="J1633" s="125" t="s">
        <v>51</v>
      </c>
      <c r="K1633" s="125" t="s">
        <v>51</v>
      </c>
      <c r="L1633" s="125" t="s">
        <v>51</v>
      </c>
      <c r="M1633" s="125" t="str">
        <f t="shared" si="1"/>
        <v/>
      </c>
      <c r="N1633" s="125" t="str">
        <f t="shared" si="2"/>
        <v/>
      </c>
      <c r="O1633" s="125"/>
      <c r="P1633" s="125"/>
      <c r="Q1633" s="125"/>
      <c r="R1633" s="125"/>
      <c r="S1633" s="628">
        <f t="shared" si="3"/>
        <v>0</v>
      </c>
      <c r="T1633" s="627" t="s">
        <v>51</v>
      </c>
      <c r="U1633" s="627" t="s">
        <v>51</v>
      </c>
      <c r="V1633" s="627" t="s">
        <v>51</v>
      </c>
      <c r="W1633" s="627" t="s">
        <v>51</v>
      </c>
      <c r="X1633" s="627" t="s">
        <v>51</v>
      </c>
      <c r="Y1633" s="89"/>
    </row>
    <row r="1634" ht="22.5" customHeight="1">
      <c r="A1634" s="223"/>
      <c r="B1634" s="125"/>
      <c r="C1634" s="125"/>
      <c r="D1634" s="125"/>
      <c r="E1634" s="125"/>
      <c r="F1634" s="125"/>
      <c r="G1634" s="125"/>
      <c r="H1634" s="125"/>
      <c r="I1634" s="627" t="s">
        <v>51</v>
      </c>
      <c r="J1634" s="125" t="s">
        <v>51</v>
      </c>
      <c r="K1634" s="125" t="s">
        <v>51</v>
      </c>
      <c r="L1634" s="125" t="s">
        <v>51</v>
      </c>
      <c r="M1634" s="125" t="str">
        <f t="shared" si="1"/>
        <v/>
      </c>
      <c r="N1634" s="125" t="str">
        <f t="shared" si="2"/>
        <v/>
      </c>
      <c r="O1634" s="125"/>
      <c r="P1634" s="125"/>
      <c r="Q1634" s="125"/>
      <c r="R1634" s="125"/>
      <c r="S1634" s="628">
        <f t="shared" si="3"/>
        <v>0</v>
      </c>
      <c r="T1634" s="627" t="s">
        <v>51</v>
      </c>
      <c r="U1634" s="627" t="s">
        <v>51</v>
      </c>
      <c r="V1634" s="627" t="s">
        <v>51</v>
      </c>
      <c r="W1634" s="627" t="s">
        <v>51</v>
      </c>
      <c r="X1634" s="627" t="s">
        <v>51</v>
      </c>
      <c r="Y1634" s="89"/>
    </row>
    <row r="1635" ht="22.5" customHeight="1">
      <c r="A1635" s="223"/>
      <c r="B1635" s="125"/>
      <c r="C1635" s="125"/>
      <c r="D1635" s="125"/>
      <c r="E1635" s="125"/>
      <c r="F1635" s="125"/>
      <c r="G1635" s="125"/>
      <c r="H1635" s="125"/>
      <c r="I1635" s="627" t="s">
        <v>51</v>
      </c>
      <c r="J1635" s="125" t="s">
        <v>51</v>
      </c>
      <c r="K1635" s="125" t="s">
        <v>51</v>
      </c>
      <c r="L1635" s="125" t="s">
        <v>51</v>
      </c>
      <c r="M1635" s="125" t="str">
        <f t="shared" si="1"/>
        <v/>
      </c>
      <c r="N1635" s="125" t="str">
        <f t="shared" si="2"/>
        <v/>
      </c>
      <c r="O1635" s="125"/>
      <c r="P1635" s="125"/>
      <c r="Q1635" s="125"/>
      <c r="R1635" s="125"/>
      <c r="S1635" s="628">
        <f t="shared" si="3"/>
        <v>0</v>
      </c>
      <c r="T1635" s="627" t="s">
        <v>51</v>
      </c>
      <c r="U1635" s="627" t="s">
        <v>51</v>
      </c>
      <c r="V1635" s="627" t="s">
        <v>51</v>
      </c>
      <c r="W1635" s="627" t="s">
        <v>51</v>
      </c>
      <c r="X1635" s="627" t="s">
        <v>51</v>
      </c>
      <c r="Y1635" s="89"/>
    </row>
    <row r="1636" ht="22.5" customHeight="1">
      <c r="A1636" s="223"/>
      <c r="B1636" s="125"/>
      <c r="C1636" s="125"/>
      <c r="D1636" s="125"/>
      <c r="E1636" s="125"/>
      <c r="F1636" s="125"/>
      <c r="G1636" s="125"/>
      <c r="H1636" s="125"/>
      <c r="I1636" s="627" t="s">
        <v>51</v>
      </c>
      <c r="J1636" s="125" t="s">
        <v>51</v>
      </c>
      <c r="K1636" s="125" t="s">
        <v>51</v>
      </c>
      <c r="L1636" s="125" t="s">
        <v>51</v>
      </c>
      <c r="M1636" s="125" t="str">
        <f t="shared" si="1"/>
        <v/>
      </c>
      <c r="N1636" s="125" t="str">
        <f t="shared" si="2"/>
        <v/>
      </c>
      <c r="O1636" s="125"/>
      <c r="P1636" s="125"/>
      <c r="Q1636" s="125"/>
      <c r="R1636" s="125"/>
      <c r="S1636" s="628">
        <f t="shared" si="3"/>
        <v>0</v>
      </c>
      <c r="T1636" s="627" t="s">
        <v>51</v>
      </c>
      <c r="U1636" s="627" t="s">
        <v>51</v>
      </c>
      <c r="V1636" s="627" t="s">
        <v>51</v>
      </c>
      <c r="W1636" s="627" t="s">
        <v>51</v>
      </c>
      <c r="X1636" s="627" t="s">
        <v>51</v>
      </c>
      <c r="Y1636" s="89"/>
    </row>
    <row r="1637" ht="22.5" customHeight="1">
      <c r="A1637" s="223"/>
      <c r="B1637" s="125"/>
      <c r="C1637" s="125"/>
      <c r="D1637" s="125"/>
      <c r="E1637" s="125"/>
      <c r="F1637" s="125"/>
      <c r="G1637" s="125"/>
      <c r="H1637" s="125"/>
      <c r="I1637" s="627" t="s">
        <v>51</v>
      </c>
      <c r="J1637" s="125" t="s">
        <v>51</v>
      </c>
      <c r="K1637" s="125" t="s">
        <v>51</v>
      </c>
      <c r="L1637" s="125" t="s">
        <v>51</v>
      </c>
      <c r="M1637" s="125" t="str">
        <f t="shared" si="1"/>
        <v/>
      </c>
      <c r="N1637" s="125" t="str">
        <f t="shared" si="2"/>
        <v/>
      </c>
      <c r="O1637" s="125"/>
      <c r="P1637" s="125"/>
      <c r="Q1637" s="125"/>
      <c r="R1637" s="125"/>
      <c r="S1637" s="628">
        <f t="shared" si="3"/>
        <v>0</v>
      </c>
      <c r="T1637" s="627" t="s">
        <v>51</v>
      </c>
      <c r="U1637" s="627" t="s">
        <v>51</v>
      </c>
      <c r="V1637" s="627" t="s">
        <v>51</v>
      </c>
      <c r="W1637" s="627" t="s">
        <v>51</v>
      </c>
      <c r="X1637" s="627" t="s">
        <v>51</v>
      </c>
      <c r="Y1637" s="89"/>
    </row>
    <row r="1638" ht="22.5" customHeight="1">
      <c r="A1638" s="223"/>
      <c r="B1638" s="125"/>
      <c r="C1638" s="125"/>
      <c r="D1638" s="125"/>
      <c r="E1638" s="125"/>
      <c r="F1638" s="125"/>
      <c r="G1638" s="125"/>
      <c r="H1638" s="125"/>
      <c r="I1638" s="627" t="s">
        <v>51</v>
      </c>
      <c r="J1638" s="125" t="s">
        <v>51</v>
      </c>
      <c r="K1638" s="125" t="s">
        <v>51</v>
      </c>
      <c r="L1638" s="125" t="s">
        <v>51</v>
      </c>
      <c r="M1638" s="125" t="str">
        <f t="shared" si="1"/>
        <v/>
      </c>
      <c r="N1638" s="125" t="str">
        <f t="shared" si="2"/>
        <v/>
      </c>
      <c r="O1638" s="125"/>
      <c r="P1638" s="125"/>
      <c r="Q1638" s="125"/>
      <c r="R1638" s="125"/>
      <c r="S1638" s="628">
        <f t="shared" si="3"/>
        <v>0</v>
      </c>
      <c r="T1638" s="627" t="s">
        <v>51</v>
      </c>
      <c r="U1638" s="627" t="s">
        <v>51</v>
      </c>
      <c r="V1638" s="627" t="s">
        <v>51</v>
      </c>
      <c r="W1638" s="627" t="s">
        <v>51</v>
      </c>
      <c r="X1638" s="627" t="s">
        <v>51</v>
      </c>
      <c r="Y1638" s="89"/>
    </row>
    <row r="1639" ht="22.5" customHeight="1">
      <c r="A1639" s="223"/>
      <c r="B1639" s="125"/>
      <c r="C1639" s="125"/>
      <c r="D1639" s="125"/>
      <c r="E1639" s="125"/>
      <c r="F1639" s="125"/>
      <c r="G1639" s="125"/>
      <c r="H1639" s="125"/>
      <c r="I1639" s="627" t="s">
        <v>51</v>
      </c>
      <c r="J1639" s="125" t="s">
        <v>51</v>
      </c>
      <c r="K1639" s="125" t="s">
        <v>51</v>
      </c>
      <c r="L1639" s="125" t="s">
        <v>51</v>
      </c>
      <c r="M1639" s="125" t="str">
        <f t="shared" si="1"/>
        <v/>
      </c>
      <c r="N1639" s="125" t="str">
        <f t="shared" si="2"/>
        <v/>
      </c>
      <c r="O1639" s="125"/>
      <c r="P1639" s="125"/>
      <c r="Q1639" s="125"/>
      <c r="R1639" s="125"/>
      <c r="S1639" s="628">
        <f t="shared" si="3"/>
        <v>0</v>
      </c>
      <c r="T1639" s="627" t="s">
        <v>51</v>
      </c>
      <c r="U1639" s="627" t="s">
        <v>51</v>
      </c>
      <c r="V1639" s="627" t="s">
        <v>51</v>
      </c>
      <c r="W1639" s="627" t="s">
        <v>51</v>
      </c>
      <c r="X1639" s="627" t="s">
        <v>51</v>
      </c>
      <c r="Y1639" s="89"/>
    </row>
    <row r="1640" ht="22.5" customHeight="1">
      <c r="A1640" s="223"/>
      <c r="B1640" s="125"/>
      <c r="C1640" s="125"/>
      <c r="D1640" s="125"/>
      <c r="E1640" s="125"/>
      <c r="F1640" s="125"/>
      <c r="G1640" s="125"/>
      <c r="H1640" s="125"/>
      <c r="I1640" s="627" t="s">
        <v>51</v>
      </c>
      <c r="J1640" s="125" t="s">
        <v>51</v>
      </c>
      <c r="K1640" s="125" t="s">
        <v>51</v>
      </c>
      <c r="L1640" s="125" t="s">
        <v>51</v>
      </c>
      <c r="M1640" s="125" t="str">
        <f t="shared" si="1"/>
        <v/>
      </c>
      <c r="N1640" s="125" t="str">
        <f t="shared" si="2"/>
        <v/>
      </c>
      <c r="O1640" s="125"/>
      <c r="P1640" s="125"/>
      <c r="Q1640" s="125"/>
      <c r="R1640" s="125"/>
      <c r="S1640" s="628">
        <f t="shared" si="3"/>
        <v>0</v>
      </c>
      <c r="T1640" s="627" t="s">
        <v>51</v>
      </c>
      <c r="U1640" s="627" t="s">
        <v>51</v>
      </c>
      <c r="V1640" s="627" t="s">
        <v>51</v>
      </c>
      <c r="W1640" s="627" t="s">
        <v>51</v>
      </c>
      <c r="X1640" s="627" t="s">
        <v>51</v>
      </c>
      <c r="Y1640" s="89"/>
    </row>
    <row r="1641" ht="22.5" customHeight="1">
      <c r="A1641" s="223"/>
      <c r="B1641" s="125"/>
      <c r="C1641" s="125"/>
      <c r="D1641" s="125"/>
      <c r="E1641" s="125"/>
      <c r="F1641" s="125"/>
      <c r="G1641" s="125"/>
      <c r="H1641" s="125"/>
      <c r="I1641" s="627" t="s">
        <v>51</v>
      </c>
      <c r="J1641" s="125" t="s">
        <v>51</v>
      </c>
      <c r="K1641" s="125" t="s">
        <v>51</v>
      </c>
      <c r="L1641" s="125" t="s">
        <v>51</v>
      </c>
      <c r="M1641" s="125" t="str">
        <f t="shared" si="1"/>
        <v/>
      </c>
      <c r="N1641" s="125" t="str">
        <f t="shared" si="2"/>
        <v/>
      </c>
      <c r="O1641" s="125"/>
      <c r="P1641" s="125"/>
      <c r="Q1641" s="125"/>
      <c r="R1641" s="125"/>
      <c r="S1641" s="628">
        <f t="shared" si="3"/>
        <v>0</v>
      </c>
      <c r="T1641" s="627" t="s">
        <v>51</v>
      </c>
      <c r="U1641" s="627" t="s">
        <v>51</v>
      </c>
      <c r="V1641" s="627" t="s">
        <v>51</v>
      </c>
      <c r="W1641" s="627" t="s">
        <v>51</v>
      </c>
      <c r="X1641" s="627" t="s">
        <v>51</v>
      </c>
      <c r="Y1641" s="89"/>
    </row>
    <row r="1642" ht="22.5" customHeight="1">
      <c r="A1642" s="223"/>
      <c r="B1642" s="125"/>
      <c r="C1642" s="125"/>
      <c r="D1642" s="125"/>
      <c r="E1642" s="125"/>
      <c r="F1642" s="125"/>
      <c r="G1642" s="125"/>
      <c r="H1642" s="125"/>
      <c r="I1642" s="627" t="s">
        <v>51</v>
      </c>
      <c r="J1642" s="125" t="s">
        <v>51</v>
      </c>
      <c r="K1642" s="125" t="s">
        <v>51</v>
      </c>
      <c r="L1642" s="125" t="s">
        <v>51</v>
      </c>
      <c r="M1642" s="125" t="str">
        <f t="shared" si="1"/>
        <v/>
      </c>
      <c r="N1642" s="125" t="str">
        <f t="shared" si="2"/>
        <v/>
      </c>
      <c r="O1642" s="125"/>
      <c r="P1642" s="125"/>
      <c r="Q1642" s="125"/>
      <c r="R1642" s="125"/>
      <c r="S1642" s="628">
        <f t="shared" si="3"/>
        <v>0</v>
      </c>
      <c r="T1642" s="627" t="s">
        <v>51</v>
      </c>
      <c r="U1642" s="627" t="s">
        <v>51</v>
      </c>
      <c r="V1642" s="627" t="s">
        <v>51</v>
      </c>
      <c r="W1642" s="627" t="s">
        <v>51</v>
      </c>
      <c r="X1642" s="627" t="s">
        <v>51</v>
      </c>
      <c r="Y1642" s="89"/>
    </row>
    <row r="1643" ht="22.5" customHeight="1">
      <c r="A1643" s="223"/>
      <c r="B1643" s="125"/>
      <c r="C1643" s="125"/>
      <c r="D1643" s="125"/>
      <c r="E1643" s="125"/>
      <c r="F1643" s="125"/>
      <c r="G1643" s="125"/>
      <c r="H1643" s="125"/>
      <c r="I1643" s="627" t="s">
        <v>51</v>
      </c>
      <c r="J1643" s="125" t="s">
        <v>51</v>
      </c>
      <c r="K1643" s="125" t="s">
        <v>51</v>
      </c>
      <c r="L1643" s="125" t="s">
        <v>51</v>
      </c>
      <c r="M1643" s="125" t="str">
        <f t="shared" si="1"/>
        <v/>
      </c>
      <c r="N1643" s="125" t="str">
        <f t="shared" si="2"/>
        <v/>
      </c>
      <c r="O1643" s="125"/>
      <c r="P1643" s="125"/>
      <c r="Q1643" s="125"/>
      <c r="R1643" s="125"/>
      <c r="S1643" s="628">
        <f t="shared" si="3"/>
        <v>0</v>
      </c>
      <c r="T1643" s="627" t="s">
        <v>51</v>
      </c>
      <c r="U1643" s="627" t="s">
        <v>51</v>
      </c>
      <c r="V1643" s="627" t="s">
        <v>51</v>
      </c>
      <c r="W1643" s="627" t="s">
        <v>51</v>
      </c>
      <c r="X1643" s="627" t="s">
        <v>51</v>
      </c>
      <c r="Y1643" s="89"/>
    </row>
    <row r="1644" ht="22.5" customHeight="1">
      <c r="A1644" s="223"/>
      <c r="B1644" s="125"/>
      <c r="C1644" s="125"/>
      <c r="D1644" s="125"/>
      <c r="E1644" s="125"/>
      <c r="F1644" s="125"/>
      <c r="G1644" s="125"/>
      <c r="H1644" s="125"/>
      <c r="I1644" s="627" t="s">
        <v>51</v>
      </c>
      <c r="J1644" s="125" t="s">
        <v>51</v>
      </c>
      <c r="K1644" s="125" t="s">
        <v>51</v>
      </c>
      <c r="L1644" s="125" t="s">
        <v>51</v>
      </c>
      <c r="M1644" s="125" t="str">
        <f t="shared" si="1"/>
        <v/>
      </c>
      <c r="N1644" s="125" t="str">
        <f t="shared" si="2"/>
        <v/>
      </c>
      <c r="O1644" s="125"/>
      <c r="P1644" s="125"/>
      <c r="Q1644" s="125"/>
      <c r="R1644" s="125"/>
      <c r="S1644" s="628">
        <f t="shared" si="3"/>
        <v>0</v>
      </c>
      <c r="T1644" s="627" t="s">
        <v>51</v>
      </c>
      <c r="U1644" s="627" t="s">
        <v>51</v>
      </c>
      <c r="V1644" s="627" t="s">
        <v>51</v>
      </c>
      <c r="W1644" s="627" t="s">
        <v>51</v>
      </c>
      <c r="X1644" s="627" t="s">
        <v>51</v>
      </c>
      <c r="Y1644" s="89"/>
    </row>
    <row r="1645" ht="22.5" customHeight="1">
      <c r="A1645" s="223"/>
      <c r="B1645" s="125"/>
      <c r="C1645" s="125"/>
      <c r="D1645" s="125"/>
      <c r="E1645" s="125"/>
      <c r="F1645" s="125"/>
      <c r="G1645" s="125"/>
      <c r="H1645" s="125"/>
      <c r="I1645" s="627" t="s">
        <v>51</v>
      </c>
      <c r="J1645" s="125" t="s">
        <v>51</v>
      </c>
      <c r="K1645" s="125" t="s">
        <v>51</v>
      </c>
      <c r="L1645" s="125" t="s">
        <v>51</v>
      </c>
      <c r="M1645" s="125" t="str">
        <f t="shared" si="1"/>
        <v/>
      </c>
      <c r="N1645" s="125" t="str">
        <f t="shared" si="2"/>
        <v/>
      </c>
      <c r="O1645" s="125"/>
      <c r="P1645" s="125"/>
      <c r="Q1645" s="125"/>
      <c r="R1645" s="125"/>
      <c r="S1645" s="628">
        <f t="shared" si="3"/>
        <v>0</v>
      </c>
      <c r="T1645" s="627" t="s">
        <v>51</v>
      </c>
      <c r="U1645" s="627" t="s">
        <v>51</v>
      </c>
      <c r="V1645" s="627" t="s">
        <v>51</v>
      </c>
      <c r="W1645" s="627" t="s">
        <v>51</v>
      </c>
      <c r="X1645" s="627" t="s">
        <v>51</v>
      </c>
      <c r="Y1645" s="89"/>
    </row>
    <row r="1646" ht="22.5" customHeight="1">
      <c r="A1646" s="223"/>
      <c r="B1646" s="125"/>
      <c r="C1646" s="125"/>
      <c r="D1646" s="125"/>
      <c r="E1646" s="125"/>
      <c r="F1646" s="125"/>
      <c r="G1646" s="125"/>
      <c r="H1646" s="125"/>
      <c r="I1646" s="627" t="s">
        <v>51</v>
      </c>
      <c r="J1646" s="125" t="s">
        <v>51</v>
      </c>
      <c r="K1646" s="125" t="s">
        <v>51</v>
      </c>
      <c r="L1646" s="125" t="s">
        <v>51</v>
      </c>
      <c r="M1646" s="125" t="str">
        <f t="shared" si="1"/>
        <v/>
      </c>
      <c r="N1646" s="125" t="str">
        <f t="shared" si="2"/>
        <v/>
      </c>
      <c r="O1646" s="125"/>
      <c r="P1646" s="125"/>
      <c r="Q1646" s="125"/>
      <c r="R1646" s="125"/>
      <c r="S1646" s="628">
        <f t="shared" si="3"/>
        <v>0</v>
      </c>
      <c r="T1646" s="627" t="s">
        <v>51</v>
      </c>
      <c r="U1646" s="627" t="s">
        <v>51</v>
      </c>
      <c r="V1646" s="627" t="s">
        <v>51</v>
      </c>
      <c r="W1646" s="627" t="s">
        <v>51</v>
      </c>
      <c r="X1646" s="627" t="s">
        <v>51</v>
      </c>
      <c r="Y1646" s="89"/>
    </row>
    <row r="1647" ht="22.5" customHeight="1">
      <c r="A1647" s="223"/>
      <c r="B1647" s="125"/>
      <c r="C1647" s="125"/>
      <c r="D1647" s="125"/>
      <c r="E1647" s="125"/>
      <c r="F1647" s="125"/>
      <c r="G1647" s="125"/>
      <c r="H1647" s="125"/>
      <c r="I1647" s="627" t="s">
        <v>51</v>
      </c>
      <c r="J1647" s="125" t="s">
        <v>51</v>
      </c>
      <c r="K1647" s="125" t="s">
        <v>51</v>
      </c>
      <c r="L1647" s="125" t="s">
        <v>51</v>
      </c>
      <c r="M1647" s="125" t="str">
        <f t="shared" si="1"/>
        <v/>
      </c>
      <c r="N1647" s="125" t="str">
        <f t="shared" si="2"/>
        <v/>
      </c>
      <c r="O1647" s="125"/>
      <c r="P1647" s="125"/>
      <c r="Q1647" s="125"/>
      <c r="R1647" s="125"/>
      <c r="S1647" s="628">
        <f t="shared" si="3"/>
        <v>0</v>
      </c>
      <c r="T1647" s="627" t="s">
        <v>51</v>
      </c>
      <c r="U1647" s="627" t="s">
        <v>51</v>
      </c>
      <c r="V1647" s="627" t="s">
        <v>51</v>
      </c>
      <c r="W1647" s="627" t="s">
        <v>51</v>
      </c>
      <c r="X1647" s="627" t="s">
        <v>51</v>
      </c>
      <c r="Y1647" s="89"/>
    </row>
    <row r="1648" ht="22.5" customHeight="1">
      <c r="A1648" s="223"/>
      <c r="B1648" s="125"/>
      <c r="C1648" s="125"/>
      <c r="D1648" s="125"/>
      <c r="E1648" s="125"/>
      <c r="F1648" s="125"/>
      <c r="G1648" s="125"/>
      <c r="H1648" s="125"/>
      <c r="I1648" s="627" t="s">
        <v>51</v>
      </c>
      <c r="J1648" s="125" t="s">
        <v>51</v>
      </c>
      <c r="K1648" s="125" t="s">
        <v>51</v>
      </c>
      <c r="L1648" s="125" t="s">
        <v>51</v>
      </c>
      <c r="M1648" s="125" t="str">
        <f t="shared" si="1"/>
        <v/>
      </c>
      <c r="N1648" s="125" t="str">
        <f t="shared" si="2"/>
        <v/>
      </c>
      <c r="O1648" s="125"/>
      <c r="P1648" s="125"/>
      <c r="Q1648" s="125"/>
      <c r="R1648" s="125"/>
      <c r="S1648" s="628">
        <f t="shared" si="3"/>
        <v>0</v>
      </c>
      <c r="T1648" s="627" t="s">
        <v>51</v>
      </c>
      <c r="U1648" s="627" t="s">
        <v>51</v>
      </c>
      <c r="V1648" s="627" t="s">
        <v>51</v>
      </c>
      <c r="W1648" s="627" t="s">
        <v>51</v>
      </c>
      <c r="X1648" s="627" t="s">
        <v>51</v>
      </c>
      <c r="Y1648" s="89"/>
    </row>
    <row r="1649" ht="22.5" customHeight="1">
      <c r="A1649" s="223"/>
      <c r="B1649" s="125"/>
      <c r="C1649" s="125"/>
      <c r="D1649" s="125"/>
      <c r="E1649" s="125"/>
      <c r="F1649" s="125"/>
      <c r="G1649" s="125"/>
      <c r="H1649" s="125"/>
      <c r="I1649" s="627" t="s">
        <v>51</v>
      </c>
      <c r="J1649" s="125" t="s">
        <v>51</v>
      </c>
      <c r="K1649" s="125" t="s">
        <v>51</v>
      </c>
      <c r="L1649" s="125" t="s">
        <v>51</v>
      </c>
      <c r="M1649" s="125" t="str">
        <f t="shared" si="1"/>
        <v/>
      </c>
      <c r="N1649" s="125" t="str">
        <f t="shared" si="2"/>
        <v/>
      </c>
      <c r="O1649" s="125"/>
      <c r="P1649" s="125"/>
      <c r="Q1649" s="125"/>
      <c r="R1649" s="125"/>
      <c r="S1649" s="628">
        <f t="shared" si="3"/>
        <v>0</v>
      </c>
      <c r="T1649" s="627" t="s">
        <v>51</v>
      </c>
      <c r="U1649" s="627" t="s">
        <v>51</v>
      </c>
      <c r="V1649" s="627" t="s">
        <v>51</v>
      </c>
      <c r="W1649" s="627" t="s">
        <v>51</v>
      </c>
      <c r="X1649" s="627" t="s">
        <v>51</v>
      </c>
      <c r="Y1649" s="89"/>
    </row>
    <row r="1650" ht="22.5" customHeight="1">
      <c r="A1650" s="223"/>
      <c r="B1650" s="125"/>
      <c r="C1650" s="125"/>
      <c r="D1650" s="125"/>
      <c r="E1650" s="125"/>
      <c r="F1650" s="125"/>
      <c r="G1650" s="125"/>
      <c r="H1650" s="125"/>
      <c r="I1650" s="627" t="s">
        <v>51</v>
      </c>
      <c r="J1650" s="125" t="s">
        <v>51</v>
      </c>
      <c r="K1650" s="125" t="s">
        <v>51</v>
      </c>
      <c r="L1650" s="125" t="s">
        <v>51</v>
      </c>
      <c r="M1650" s="125" t="str">
        <f t="shared" si="1"/>
        <v/>
      </c>
      <c r="N1650" s="125" t="str">
        <f t="shared" si="2"/>
        <v/>
      </c>
      <c r="O1650" s="125"/>
      <c r="P1650" s="125"/>
      <c r="Q1650" s="125"/>
      <c r="R1650" s="125"/>
      <c r="S1650" s="628">
        <f t="shared" si="3"/>
        <v>0</v>
      </c>
      <c r="T1650" s="627" t="s">
        <v>51</v>
      </c>
      <c r="U1650" s="627" t="s">
        <v>51</v>
      </c>
      <c r="V1650" s="627" t="s">
        <v>51</v>
      </c>
      <c r="W1650" s="627" t="s">
        <v>51</v>
      </c>
      <c r="X1650" s="627" t="s">
        <v>51</v>
      </c>
      <c r="Y1650" s="89"/>
    </row>
    <row r="1651" ht="22.5" customHeight="1">
      <c r="A1651" s="223"/>
      <c r="B1651" s="125"/>
      <c r="C1651" s="125"/>
      <c r="D1651" s="125"/>
      <c r="E1651" s="125"/>
      <c r="F1651" s="125"/>
      <c r="G1651" s="125"/>
      <c r="H1651" s="125"/>
      <c r="I1651" s="627" t="s">
        <v>51</v>
      </c>
      <c r="J1651" s="125" t="s">
        <v>51</v>
      </c>
      <c r="K1651" s="125" t="s">
        <v>51</v>
      </c>
      <c r="L1651" s="125" t="s">
        <v>51</v>
      </c>
      <c r="M1651" s="125" t="str">
        <f t="shared" si="1"/>
        <v/>
      </c>
      <c r="N1651" s="125" t="str">
        <f t="shared" si="2"/>
        <v/>
      </c>
      <c r="O1651" s="125"/>
      <c r="P1651" s="125"/>
      <c r="Q1651" s="125"/>
      <c r="R1651" s="125"/>
      <c r="S1651" s="628">
        <f t="shared" si="3"/>
        <v>0</v>
      </c>
      <c r="T1651" s="627" t="s">
        <v>51</v>
      </c>
      <c r="U1651" s="627" t="s">
        <v>51</v>
      </c>
      <c r="V1651" s="627" t="s">
        <v>51</v>
      </c>
      <c r="W1651" s="627" t="s">
        <v>51</v>
      </c>
      <c r="X1651" s="627" t="s">
        <v>51</v>
      </c>
      <c r="Y1651" s="89"/>
    </row>
    <row r="1652" ht="22.5" customHeight="1">
      <c r="A1652" s="223"/>
      <c r="B1652" s="125"/>
      <c r="C1652" s="125"/>
      <c r="D1652" s="125"/>
      <c r="E1652" s="125"/>
      <c r="F1652" s="125"/>
      <c r="G1652" s="125"/>
      <c r="H1652" s="125"/>
      <c r="I1652" s="627" t="s">
        <v>51</v>
      </c>
      <c r="J1652" s="125" t="s">
        <v>51</v>
      </c>
      <c r="K1652" s="125" t="s">
        <v>51</v>
      </c>
      <c r="L1652" s="125" t="s">
        <v>51</v>
      </c>
      <c r="M1652" s="125" t="str">
        <f t="shared" si="1"/>
        <v/>
      </c>
      <c r="N1652" s="125" t="str">
        <f t="shared" si="2"/>
        <v/>
      </c>
      <c r="O1652" s="125"/>
      <c r="P1652" s="125"/>
      <c r="Q1652" s="125"/>
      <c r="R1652" s="125"/>
      <c r="S1652" s="628">
        <f t="shared" si="3"/>
        <v>0</v>
      </c>
      <c r="T1652" s="627" t="s">
        <v>51</v>
      </c>
      <c r="U1652" s="627" t="s">
        <v>51</v>
      </c>
      <c r="V1652" s="627" t="s">
        <v>51</v>
      </c>
      <c r="W1652" s="627" t="s">
        <v>51</v>
      </c>
      <c r="X1652" s="627" t="s">
        <v>51</v>
      </c>
      <c r="Y1652" s="89"/>
    </row>
    <row r="1653" ht="22.5" customHeight="1">
      <c r="A1653" s="223"/>
      <c r="B1653" s="125"/>
      <c r="C1653" s="125"/>
      <c r="D1653" s="125"/>
      <c r="E1653" s="125"/>
      <c r="F1653" s="125"/>
      <c r="G1653" s="125"/>
      <c r="H1653" s="125"/>
      <c r="I1653" s="627" t="s">
        <v>51</v>
      </c>
      <c r="J1653" s="125" t="s">
        <v>51</v>
      </c>
      <c r="K1653" s="125" t="s">
        <v>51</v>
      </c>
      <c r="L1653" s="125" t="s">
        <v>51</v>
      </c>
      <c r="M1653" s="125" t="str">
        <f t="shared" si="1"/>
        <v/>
      </c>
      <c r="N1653" s="125" t="str">
        <f t="shared" si="2"/>
        <v/>
      </c>
      <c r="O1653" s="125"/>
      <c r="P1653" s="125"/>
      <c r="Q1653" s="125"/>
      <c r="R1653" s="125"/>
      <c r="S1653" s="628">
        <f t="shared" si="3"/>
        <v>0</v>
      </c>
      <c r="T1653" s="627" t="s">
        <v>51</v>
      </c>
      <c r="U1653" s="627" t="s">
        <v>51</v>
      </c>
      <c r="V1653" s="627" t="s">
        <v>51</v>
      </c>
      <c r="W1653" s="627" t="s">
        <v>51</v>
      </c>
      <c r="X1653" s="627" t="s">
        <v>51</v>
      </c>
      <c r="Y1653" s="89"/>
    </row>
    <row r="1654" ht="22.5" customHeight="1">
      <c r="A1654" s="223"/>
      <c r="B1654" s="125"/>
      <c r="C1654" s="125"/>
      <c r="D1654" s="125"/>
      <c r="E1654" s="125"/>
      <c r="F1654" s="125"/>
      <c r="G1654" s="125"/>
      <c r="H1654" s="125"/>
      <c r="I1654" s="627" t="s">
        <v>51</v>
      </c>
      <c r="J1654" s="125" t="s">
        <v>51</v>
      </c>
      <c r="K1654" s="125" t="s">
        <v>51</v>
      </c>
      <c r="L1654" s="125" t="s">
        <v>51</v>
      </c>
      <c r="M1654" s="125" t="str">
        <f t="shared" si="1"/>
        <v/>
      </c>
      <c r="N1654" s="125" t="str">
        <f t="shared" si="2"/>
        <v/>
      </c>
      <c r="O1654" s="125"/>
      <c r="P1654" s="125"/>
      <c r="Q1654" s="125"/>
      <c r="R1654" s="125"/>
      <c r="S1654" s="628">
        <f t="shared" si="3"/>
        <v>0</v>
      </c>
      <c r="T1654" s="627" t="s">
        <v>51</v>
      </c>
      <c r="U1654" s="627" t="s">
        <v>51</v>
      </c>
      <c r="V1654" s="627" t="s">
        <v>51</v>
      </c>
      <c r="W1654" s="627" t="s">
        <v>51</v>
      </c>
      <c r="X1654" s="627" t="s">
        <v>51</v>
      </c>
      <c r="Y1654" s="89"/>
    </row>
    <row r="1655" ht="22.5" customHeight="1">
      <c r="A1655" s="223"/>
      <c r="B1655" s="125"/>
      <c r="C1655" s="125"/>
      <c r="D1655" s="125"/>
      <c r="E1655" s="125"/>
      <c r="F1655" s="125"/>
      <c r="G1655" s="125"/>
      <c r="H1655" s="125"/>
      <c r="I1655" s="627" t="s">
        <v>51</v>
      </c>
      <c r="J1655" s="125" t="s">
        <v>51</v>
      </c>
      <c r="K1655" s="125" t="s">
        <v>51</v>
      </c>
      <c r="L1655" s="125" t="s">
        <v>51</v>
      </c>
      <c r="M1655" s="125" t="str">
        <f t="shared" si="1"/>
        <v/>
      </c>
      <c r="N1655" s="125" t="str">
        <f t="shared" si="2"/>
        <v/>
      </c>
      <c r="O1655" s="125"/>
      <c r="P1655" s="125"/>
      <c r="Q1655" s="125"/>
      <c r="R1655" s="125"/>
      <c r="S1655" s="628">
        <f t="shared" si="3"/>
        <v>0</v>
      </c>
      <c r="T1655" s="627" t="s">
        <v>51</v>
      </c>
      <c r="U1655" s="627" t="s">
        <v>51</v>
      </c>
      <c r="V1655" s="627" t="s">
        <v>51</v>
      </c>
      <c r="W1655" s="627" t="s">
        <v>51</v>
      </c>
      <c r="X1655" s="627" t="s">
        <v>51</v>
      </c>
      <c r="Y1655" s="89"/>
    </row>
    <row r="1656" ht="22.5" customHeight="1">
      <c r="A1656" s="223"/>
      <c r="B1656" s="125"/>
      <c r="C1656" s="125"/>
      <c r="D1656" s="125"/>
      <c r="E1656" s="125"/>
      <c r="F1656" s="125"/>
      <c r="G1656" s="125"/>
      <c r="H1656" s="125"/>
      <c r="I1656" s="627" t="s">
        <v>51</v>
      </c>
      <c r="J1656" s="125" t="s">
        <v>51</v>
      </c>
      <c r="K1656" s="125" t="s">
        <v>51</v>
      </c>
      <c r="L1656" s="125" t="s">
        <v>51</v>
      </c>
      <c r="M1656" s="125" t="str">
        <f t="shared" si="1"/>
        <v/>
      </c>
      <c r="N1656" s="125" t="str">
        <f t="shared" si="2"/>
        <v/>
      </c>
      <c r="O1656" s="125"/>
      <c r="P1656" s="125"/>
      <c r="Q1656" s="125"/>
      <c r="R1656" s="125"/>
      <c r="S1656" s="628">
        <f t="shared" si="3"/>
        <v>0</v>
      </c>
      <c r="T1656" s="627" t="s">
        <v>51</v>
      </c>
      <c r="U1656" s="627" t="s">
        <v>51</v>
      </c>
      <c r="V1656" s="627" t="s">
        <v>51</v>
      </c>
      <c r="W1656" s="627" t="s">
        <v>51</v>
      </c>
      <c r="X1656" s="627" t="s">
        <v>51</v>
      </c>
      <c r="Y1656" s="89"/>
    </row>
    <row r="1657" ht="22.5" customHeight="1">
      <c r="A1657" s="223"/>
      <c r="B1657" s="125"/>
      <c r="C1657" s="125"/>
      <c r="D1657" s="125"/>
      <c r="E1657" s="125"/>
      <c r="F1657" s="125"/>
      <c r="G1657" s="125"/>
      <c r="H1657" s="125"/>
      <c r="I1657" s="627" t="s">
        <v>51</v>
      </c>
      <c r="J1657" s="125" t="s">
        <v>51</v>
      </c>
      <c r="K1657" s="125" t="s">
        <v>51</v>
      </c>
      <c r="L1657" s="125" t="s">
        <v>51</v>
      </c>
      <c r="M1657" s="125" t="str">
        <f t="shared" si="1"/>
        <v/>
      </c>
      <c r="N1657" s="125" t="str">
        <f t="shared" si="2"/>
        <v/>
      </c>
      <c r="O1657" s="125"/>
      <c r="P1657" s="125"/>
      <c r="Q1657" s="125"/>
      <c r="R1657" s="125"/>
      <c r="S1657" s="628">
        <f t="shared" si="3"/>
        <v>0</v>
      </c>
      <c r="T1657" s="627" t="s">
        <v>51</v>
      </c>
      <c r="U1657" s="627" t="s">
        <v>51</v>
      </c>
      <c r="V1657" s="627" t="s">
        <v>51</v>
      </c>
      <c r="W1657" s="627" t="s">
        <v>51</v>
      </c>
      <c r="X1657" s="627" t="s">
        <v>51</v>
      </c>
      <c r="Y1657" s="89"/>
    </row>
    <row r="1658" ht="22.5" customHeight="1">
      <c r="A1658" s="223"/>
      <c r="B1658" s="125"/>
      <c r="C1658" s="125"/>
      <c r="D1658" s="125"/>
      <c r="E1658" s="125"/>
      <c r="F1658" s="125"/>
      <c r="G1658" s="125"/>
      <c r="H1658" s="125"/>
      <c r="I1658" s="627" t="s">
        <v>51</v>
      </c>
      <c r="J1658" s="125" t="s">
        <v>51</v>
      </c>
      <c r="K1658" s="125" t="s">
        <v>51</v>
      </c>
      <c r="L1658" s="125" t="s">
        <v>51</v>
      </c>
      <c r="M1658" s="125" t="str">
        <f t="shared" si="1"/>
        <v/>
      </c>
      <c r="N1658" s="125" t="str">
        <f t="shared" si="2"/>
        <v/>
      </c>
      <c r="O1658" s="125"/>
      <c r="P1658" s="125"/>
      <c r="Q1658" s="125"/>
      <c r="R1658" s="125"/>
      <c r="S1658" s="628">
        <f t="shared" si="3"/>
        <v>0</v>
      </c>
      <c r="T1658" s="627" t="s">
        <v>51</v>
      </c>
      <c r="U1658" s="627" t="s">
        <v>51</v>
      </c>
      <c r="V1658" s="627" t="s">
        <v>51</v>
      </c>
      <c r="W1658" s="627" t="s">
        <v>51</v>
      </c>
      <c r="X1658" s="627" t="s">
        <v>51</v>
      </c>
      <c r="Y1658" s="89"/>
    </row>
    <row r="1659" ht="22.5" customHeight="1">
      <c r="A1659" s="223"/>
      <c r="B1659" s="125"/>
      <c r="C1659" s="125"/>
      <c r="D1659" s="125"/>
      <c r="E1659" s="125"/>
      <c r="F1659" s="125"/>
      <c r="G1659" s="125"/>
      <c r="H1659" s="125"/>
      <c r="I1659" s="627" t="s">
        <v>51</v>
      </c>
      <c r="J1659" s="125" t="s">
        <v>51</v>
      </c>
      <c r="K1659" s="125" t="s">
        <v>51</v>
      </c>
      <c r="L1659" s="125" t="s">
        <v>51</v>
      </c>
      <c r="M1659" s="125" t="str">
        <f t="shared" si="1"/>
        <v/>
      </c>
      <c r="N1659" s="125" t="str">
        <f t="shared" si="2"/>
        <v/>
      </c>
      <c r="O1659" s="125"/>
      <c r="P1659" s="125"/>
      <c r="Q1659" s="125"/>
      <c r="R1659" s="125"/>
      <c r="S1659" s="628">
        <f t="shared" si="3"/>
        <v>0</v>
      </c>
      <c r="T1659" s="627" t="s">
        <v>51</v>
      </c>
      <c r="U1659" s="627" t="s">
        <v>51</v>
      </c>
      <c r="V1659" s="627" t="s">
        <v>51</v>
      </c>
      <c r="W1659" s="627" t="s">
        <v>51</v>
      </c>
      <c r="X1659" s="627" t="s">
        <v>51</v>
      </c>
      <c r="Y1659" s="89"/>
    </row>
    <row r="1660" ht="22.5" customHeight="1">
      <c r="A1660" s="223"/>
      <c r="B1660" s="125"/>
      <c r="C1660" s="125"/>
      <c r="D1660" s="125"/>
      <c r="E1660" s="125"/>
      <c r="F1660" s="125"/>
      <c r="G1660" s="125"/>
      <c r="H1660" s="125"/>
      <c r="I1660" s="627" t="s">
        <v>51</v>
      </c>
      <c r="J1660" s="125" t="s">
        <v>51</v>
      </c>
      <c r="K1660" s="125" t="s">
        <v>51</v>
      </c>
      <c r="L1660" s="125" t="s">
        <v>51</v>
      </c>
      <c r="M1660" s="125" t="str">
        <f t="shared" si="1"/>
        <v/>
      </c>
      <c r="N1660" s="125" t="str">
        <f t="shared" si="2"/>
        <v/>
      </c>
      <c r="O1660" s="125"/>
      <c r="P1660" s="125"/>
      <c r="Q1660" s="125"/>
      <c r="R1660" s="125"/>
      <c r="S1660" s="628">
        <f t="shared" si="3"/>
        <v>0</v>
      </c>
      <c r="T1660" s="627" t="s">
        <v>51</v>
      </c>
      <c r="U1660" s="627" t="s">
        <v>51</v>
      </c>
      <c r="V1660" s="627" t="s">
        <v>51</v>
      </c>
      <c r="W1660" s="627" t="s">
        <v>51</v>
      </c>
      <c r="X1660" s="627" t="s">
        <v>51</v>
      </c>
      <c r="Y1660" s="89"/>
    </row>
    <row r="1661" ht="22.5" customHeight="1">
      <c r="A1661" s="223"/>
      <c r="B1661" s="125"/>
      <c r="C1661" s="125"/>
      <c r="D1661" s="125"/>
      <c r="E1661" s="125"/>
      <c r="F1661" s="125"/>
      <c r="G1661" s="125"/>
      <c r="H1661" s="125"/>
      <c r="I1661" s="627" t="s">
        <v>51</v>
      </c>
      <c r="J1661" s="125" t="s">
        <v>51</v>
      </c>
      <c r="K1661" s="125" t="s">
        <v>51</v>
      </c>
      <c r="L1661" s="125" t="s">
        <v>51</v>
      </c>
      <c r="M1661" s="125" t="str">
        <f t="shared" si="1"/>
        <v/>
      </c>
      <c r="N1661" s="125" t="str">
        <f t="shared" si="2"/>
        <v/>
      </c>
      <c r="O1661" s="125"/>
      <c r="P1661" s="125"/>
      <c r="Q1661" s="125"/>
      <c r="R1661" s="125"/>
      <c r="S1661" s="628">
        <f t="shared" si="3"/>
        <v>0</v>
      </c>
      <c r="T1661" s="627" t="s">
        <v>51</v>
      </c>
      <c r="U1661" s="627" t="s">
        <v>51</v>
      </c>
      <c r="V1661" s="627" t="s">
        <v>51</v>
      </c>
      <c r="W1661" s="627" t="s">
        <v>51</v>
      </c>
      <c r="X1661" s="627" t="s">
        <v>51</v>
      </c>
      <c r="Y1661" s="89"/>
    </row>
    <row r="1662" ht="22.5" customHeight="1">
      <c r="A1662" s="223"/>
      <c r="B1662" s="125"/>
      <c r="C1662" s="125"/>
      <c r="D1662" s="125"/>
      <c r="E1662" s="125"/>
      <c r="F1662" s="125"/>
      <c r="G1662" s="125"/>
      <c r="H1662" s="125"/>
      <c r="I1662" s="627" t="s">
        <v>51</v>
      </c>
      <c r="J1662" s="125" t="s">
        <v>51</v>
      </c>
      <c r="K1662" s="125" t="s">
        <v>51</v>
      </c>
      <c r="L1662" s="125" t="s">
        <v>51</v>
      </c>
      <c r="M1662" s="125" t="str">
        <f t="shared" si="1"/>
        <v/>
      </c>
      <c r="N1662" s="125" t="str">
        <f t="shared" si="2"/>
        <v/>
      </c>
      <c r="O1662" s="125"/>
      <c r="P1662" s="125"/>
      <c r="Q1662" s="125"/>
      <c r="R1662" s="125"/>
      <c r="S1662" s="628">
        <f t="shared" si="3"/>
        <v>0</v>
      </c>
      <c r="T1662" s="627" t="s">
        <v>51</v>
      </c>
      <c r="U1662" s="627" t="s">
        <v>51</v>
      </c>
      <c r="V1662" s="627" t="s">
        <v>51</v>
      </c>
      <c r="W1662" s="627" t="s">
        <v>51</v>
      </c>
      <c r="X1662" s="627" t="s">
        <v>51</v>
      </c>
      <c r="Y1662" s="89"/>
    </row>
    <row r="1663" ht="22.5" customHeight="1">
      <c r="A1663" s="223"/>
      <c r="B1663" s="125"/>
      <c r="C1663" s="125"/>
      <c r="D1663" s="125"/>
      <c r="E1663" s="125"/>
      <c r="F1663" s="125"/>
      <c r="G1663" s="125"/>
      <c r="H1663" s="125"/>
      <c r="I1663" s="627" t="s">
        <v>51</v>
      </c>
      <c r="J1663" s="125" t="s">
        <v>51</v>
      </c>
      <c r="K1663" s="125" t="s">
        <v>51</v>
      </c>
      <c r="L1663" s="125" t="s">
        <v>51</v>
      </c>
      <c r="M1663" s="125" t="str">
        <f t="shared" si="1"/>
        <v/>
      </c>
      <c r="N1663" s="125" t="str">
        <f t="shared" si="2"/>
        <v/>
      </c>
      <c r="O1663" s="125"/>
      <c r="P1663" s="125"/>
      <c r="Q1663" s="125"/>
      <c r="R1663" s="125"/>
      <c r="S1663" s="628">
        <f t="shared" si="3"/>
        <v>0</v>
      </c>
      <c r="T1663" s="627" t="s">
        <v>51</v>
      </c>
      <c r="U1663" s="627" t="s">
        <v>51</v>
      </c>
      <c r="V1663" s="627" t="s">
        <v>51</v>
      </c>
      <c r="W1663" s="627" t="s">
        <v>51</v>
      </c>
      <c r="X1663" s="627" t="s">
        <v>51</v>
      </c>
      <c r="Y1663" s="89"/>
    </row>
    <row r="1664" ht="22.5" customHeight="1">
      <c r="A1664" s="223"/>
      <c r="B1664" s="125"/>
      <c r="C1664" s="125"/>
      <c r="D1664" s="125"/>
      <c r="E1664" s="125"/>
      <c r="F1664" s="125"/>
      <c r="G1664" s="125"/>
      <c r="H1664" s="125"/>
      <c r="I1664" s="627" t="s">
        <v>51</v>
      </c>
      <c r="J1664" s="125" t="s">
        <v>51</v>
      </c>
      <c r="K1664" s="125" t="s">
        <v>51</v>
      </c>
      <c r="L1664" s="125" t="s">
        <v>51</v>
      </c>
      <c r="M1664" s="125" t="str">
        <f t="shared" si="1"/>
        <v/>
      </c>
      <c r="N1664" s="125" t="str">
        <f t="shared" si="2"/>
        <v/>
      </c>
      <c r="O1664" s="125"/>
      <c r="P1664" s="125"/>
      <c r="Q1664" s="125"/>
      <c r="R1664" s="125"/>
      <c r="S1664" s="628">
        <f t="shared" si="3"/>
        <v>0</v>
      </c>
      <c r="T1664" s="627" t="s">
        <v>51</v>
      </c>
      <c r="U1664" s="627" t="s">
        <v>51</v>
      </c>
      <c r="V1664" s="627" t="s">
        <v>51</v>
      </c>
      <c r="W1664" s="627" t="s">
        <v>51</v>
      </c>
      <c r="X1664" s="627" t="s">
        <v>51</v>
      </c>
      <c r="Y1664" s="89"/>
    </row>
    <row r="1665" ht="22.5" customHeight="1">
      <c r="A1665" s="223"/>
      <c r="B1665" s="125"/>
      <c r="C1665" s="125"/>
      <c r="D1665" s="125"/>
      <c r="E1665" s="125"/>
      <c r="F1665" s="125"/>
      <c r="G1665" s="125"/>
      <c r="H1665" s="125"/>
      <c r="I1665" s="627" t="s">
        <v>51</v>
      </c>
      <c r="J1665" s="125" t="s">
        <v>51</v>
      </c>
      <c r="K1665" s="125" t="s">
        <v>51</v>
      </c>
      <c r="L1665" s="125" t="s">
        <v>51</v>
      </c>
      <c r="M1665" s="125" t="str">
        <f t="shared" si="1"/>
        <v/>
      </c>
      <c r="N1665" s="125" t="str">
        <f t="shared" si="2"/>
        <v/>
      </c>
      <c r="O1665" s="125"/>
      <c r="P1665" s="125"/>
      <c r="Q1665" s="125"/>
      <c r="R1665" s="125"/>
      <c r="S1665" s="628">
        <f t="shared" si="3"/>
        <v>0</v>
      </c>
      <c r="T1665" s="627" t="s">
        <v>51</v>
      </c>
      <c r="U1665" s="627" t="s">
        <v>51</v>
      </c>
      <c r="V1665" s="627" t="s">
        <v>51</v>
      </c>
      <c r="W1665" s="627" t="s">
        <v>51</v>
      </c>
      <c r="X1665" s="627" t="s">
        <v>51</v>
      </c>
      <c r="Y1665" s="89"/>
    </row>
    <row r="1666" ht="22.5" customHeight="1">
      <c r="A1666" s="223"/>
      <c r="B1666" s="125"/>
      <c r="C1666" s="125"/>
      <c r="D1666" s="125"/>
      <c r="E1666" s="125"/>
      <c r="F1666" s="125"/>
      <c r="G1666" s="125"/>
      <c r="H1666" s="125"/>
      <c r="I1666" s="627" t="s">
        <v>51</v>
      </c>
      <c r="J1666" s="125" t="s">
        <v>51</v>
      </c>
      <c r="K1666" s="125" t="s">
        <v>51</v>
      </c>
      <c r="L1666" s="125" t="s">
        <v>51</v>
      </c>
      <c r="M1666" s="125" t="str">
        <f t="shared" si="1"/>
        <v/>
      </c>
      <c r="N1666" s="125" t="str">
        <f t="shared" si="2"/>
        <v/>
      </c>
      <c r="O1666" s="125"/>
      <c r="P1666" s="125"/>
      <c r="Q1666" s="125"/>
      <c r="R1666" s="125"/>
      <c r="S1666" s="628">
        <f t="shared" si="3"/>
        <v>0</v>
      </c>
      <c r="T1666" s="627" t="s">
        <v>51</v>
      </c>
      <c r="U1666" s="627" t="s">
        <v>51</v>
      </c>
      <c r="V1666" s="627" t="s">
        <v>51</v>
      </c>
      <c r="W1666" s="627" t="s">
        <v>51</v>
      </c>
      <c r="X1666" s="627" t="s">
        <v>51</v>
      </c>
      <c r="Y1666" s="89"/>
    </row>
    <row r="1667" ht="22.5" customHeight="1">
      <c r="A1667" s="223"/>
      <c r="B1667" s="125"/>
      <c r="C1667" s="125"/>
      <c r="D1667" s="125"/>
      <c r="E1667" s="125"/>
      <c r="F1667" s="125"/>
      <c r="G1667" s="125"/>
      <c r="H1667" s="125"/>
      <c r="I1667" s="627" t="s">
        <v>51</v>
      </c>
      <c r="J1667" s="125" t="s">
        <v>51</v>
      </c>
      <c r="K1667" s="125" t="s">
        <v>51</v>
      </c>
      <c r="L1667" s="125" t="s">
        <v>51</v>
      </c>
      <c r="M1667" s="125" t="str">
        <f t="shared" si="1"/>
        <v/>
      </c>
      <c r="N1667" s="125" t="str">
        <f t="shared" si="2"/>
        <v/>
      </c>
      <c r="O1667" s="125"/>
      <c r="P1667" s="125"/>
      <c r="Q1667" s="125"/>
      <c r="R1667" s="125"/>
      <c r="S1667" s="628">
        <f t="shared" si="3"/>
        <v>0</v>
      </c>
      <c r="T1667" s="627" t="s">
        <v>51</v>
      </c>
      <c r="U1667" s="627" t="s">
        <v>51</v>
      </c>
      <c r="V1667" s="627" t="s">
        <v>51</v>
      </c>
      <c r="W1667" s="627" t="s">
        <v>51</v>
      </c>
      <c r="X1667" s="627" t="s">
        <v>51</v>
      </c>
      <c r="Y1667" s="89"/>
    </row>
    <row r="1668" ht="22.5" customHeight="1">
      <c r="A1668" s="223"/>
      <c r="B1668" s="125"/>
      <c r="C1668" s="125"/>
      <c r="D1668" s="125"/>
      <c r="E1668" s="125"/>
      <c r="F1668" s="125"/>
      <c r="G1668" s="125"/>
      <c r="H1668" s="125"/>
      <c r="I1668" s="627" t="s">
        <v>51</v>
      </c>
      <c r="J1668" s="125" t="s">
        <v>51</v>
      </c>
      <c r="K1668" s="125" t="s">
        <v>51</v>
      </c>
      <c r="L1668" s="125" t="s">
        <v>51</v>
      </c>
      <c r="M1668" s="125" t="str">
        <f t="shared" si="1"/>
        <v/>
      </c>
      <c r="N1668" s="125" t="str">
        <f t="shared" si="2"/>
        <v/>
      </c>
      <c r="O1668" s="125"/>
      <c r="P1668" s="125"/>
      <c r="Q1668" s="125"/>
      <c r="R1668" s="125"/>
      <c r="S1668" s="628">
        <f t="shared" si="3"/>
        <v>0</v>
      </c>
      <c r="T1668" s="627" t="s">
        <v>51</v>
      </c>
      <c r="U1668" s="627" t="s">
        <v>51</v>
      </c>
      <c r="V1668" s="627" t="s">
        <v>51</v>
      </c>
      <c r="W1668" s="627" t="s">
        <v>51</v>
      </c>
      <c r="X1668" s="627" t="s">
        <v>51</v>
      </c>
      <c r="Y1668" s="89"/>
    </row>
    <row r="1669" ht="22.5" customHeight="1">
      <c r="A1669" s="223"/>
      <c r="B1669" s="125"/>
      <c r="C1669" s="125"/>
      <c r="D1669" s="125"/>
      <c r="E1669" s="125"/>
      <c r="F1669" s="125"/>
      <c r="G1669" s="125"/>
      <c r="H1669" s="125"/>
      <c r="I1669" s="627" t="s">
        <v>51</v>
      </c>
      <c r="J1669" s="125" t="s">
        <v>51</v>
      </c>
      <c r="K1669" s="125" t="s">
        <v>51</v>
      </c>
      <c r="L1669" s="125" t="s">
        <v>51</v>
      </c>
      <c r="M1669" s="125" t="str">
        <f t="shared" si="1"/>
        <v/>
      </c>
      <c r="N1669" s="125" t="str">
        <f t="shared" si="2"/>
        <v/>
      </c>
      <c r="O1669" s="125"/>
      <c r="P1669" s="125"/>
      <c r="Q1669" s="125"/>
      <c r="R1669" s="125"/>
      <c r="S1669" s="628">
        <f t="shared" si="3"/>
        <v>0</v>
      </c>
      <c r="T1669" s="627" t="s">
        <v>51</v>
      </c>
      <c r="U1669" s="627" t="s">
        <v>51</v>
      </c>
      <c r="V1669" s="627" t="s">
        <v>51</v>
      </c>
      <c r="W1669" s="627" t="s">
        <v>51</v>
      </c>
      <c r="X1669" s="627" t="s">
        <v>51</v>
      </c>
      <c r="Y1669" s="89"/>
    </row>
    <row r="1670" ht="22.5" customHeight="1">
      <c r="A1670" s="223"/>
      <c r="B1670" s="125"/>
      <c r="C1670" s="125"/>
      <c r="D1670" s="125"/>
      <c r="E1670" s="125"/>
      <c r="F1670" s="125"/>
      <c r="G1670" s="125"/>
      <c r="H1670" s="125"/>
      <c r="I1670" s="627" t="s">
        <v>51</v>
      </c>
      <c r="J1670" s="125" t="s">
        <v>51</v>
      </c>
      <c r="K1670" s="125" t="s">
        <v>51</v>
      </c>
      <c r="L1670" s="125" t="s">
        <v>51</v>
      </c>
      <c r="M1670" s="125" t="str">
        <f t="shared" si="1"/>
        <v/>
      </c>
      <c r="N1670" s="125" t="str">
        <f t="shared" si="2"/>
        <v/>
      </c>
      <c r="O1670" s="125"/>
      <c r="P1670" s="125"/>
      <c r="Q1670" s="125"/>
      <c r="R1670" s="125"/>
      <c r="S1670" s="628">
        <f t="shared" si="3"/>
        <v>0</v>
      </c>
      <c r="T1670" s="627" t="s">
        <v>51</v>
      </c>
      <c r="U1670" s="627" t="s">
        <v>51</v>
      </c>
      <c r="V1670" s="627" t="s">
        <v>51</v>
      </c>
      <c r="W1670" s="627" t="s">
        <v>51</v>
      </c>
      <c r="X1670" s="627" t="s">
        <v>51</v>
      </c>
      <c r="Y1670" s="89"/>
    </row>
    <row r="1671" ht="22.5" customHeight="1">
      <c r="A1671" s="223"/>
      <c r="B1671" s="125"/>
      <c r="C1671" s="125"/>
      <c r="D1671" s="125"/>
      <c r="E1671" s="125"/>
      <c r="F1671" s="125"/>
      <c r="G1671" s="125"/>
      <c r="H1671" s="125"/>
      <c r="I1671" s="627" t="s">
        <v>51</v>
      </c>
      <c r="J1671" s="125" t="s">
        <v>51</v>
      </c>
      <c r="K1671" s="125" t="s">
        <v>51</v>
      </c>
      <c r="L1671" s="125" t="s">
        <v>51</v>
      </c>
      <c r="M1671" s="125" t="str">
        <f t="shared" si="1"/>
        <v/>
      </c>
      <c r="N1671" s="125" t="str">
        <f t="shared" si="2"/>
        <v/>
      </c>
      <c r="O1671" s="125"/>
      <c r="P1671" s="125"/>
      <c r="Q1671" s="125"/>
      <c r="R1671" s="125"/>
      <c r="S1671" s="628">
        <f t="shared" si="3"/>
        <v>0</v>
      </c>
      <c r="T1671" s="627" t="s">
        <v>51</v>
      </c>
      <c r="U1671" s="627" t="s">
        <v>51</v>
      </c>
      <c r="V1671" s="627" t="s">
        <v>51</v>
      </c>
      <c r="W1671" s="627" t="s">
        <v>51</v>
      </c>
      <c r="X1671" s="627" t="s">
        <v>51</v>
      </c>
      <c r="Y1671" s="89"/>
    </row>
    <row r="1672" ht="22.5" customHeight="1">
      <c r="A1672" s="223"/>
      <c r="B1672" s="125"/>
      <c r="C1672" s="125"/>
      <c r="D1672" s="125"/>
      <c r="E1672" s="125"/>
      <c r="F1672" s="125"/>
      <c r="G1672" s="125"/>
      <c r="H1672" s="125"/>
      <c r="I1672" s="627" t="s">
        <v>51</v>
      </c>
      <c r="J1672" s="125" t="s">
        <v>51</v>
      </c>
      <c r="K1672" s="125" t="s">
        <v>51</v>
      </c>
      <c r="L1672" s="125" t="s">
        <v>51</v>
      </c>
      <c r="M1672" s="125" t="str">
        <f t="shared" si="1"/>
        <v/>
      </c>
      <c r="N1672" s="125" t="str">
        <f t="shared" si="2"/>
        <v/>
      </c>
      <c r="O1672" s="125"/>
      <c r="P1672" s="125"/>
      <c r="Q1672" s="125"/>
      <c r="R1672" s="125"/>
      <c r="S1672" s="628">
        <f t="shared" si="3"/>
        <v>0</v>
      </c>
      <c r="T1672" s="627" t="s">
        <v>51</v>
      </c>
      <c r="U1672" s="627" t="s">
        <v>51</v>
      </c>
      <c r="V1672" s="627" t="s">
        <v>51</v>
      </c>
      <c r="W1672" s="627" t="s">
        <v>51</v>
      </c>
      <c r="X1672" s="627" t="s">
        <v>51</v>
      </c>
      <c r="Y1672" s="89"/>
    </row>
    <row r="1673" ht="22.5" customHeight="1">
      <c r="A1673" s="223"/>
      <c r="B1673" s="125"/>
      <c r="C1673" s="125"/>
      <c r="D1673" s="125"/>
      <c r="E1673" s="125"/>
      <c r="F1673" s="125"/>
      <c r="G1673" s="125"/>
      <c r="H1673" s="125"/>
      <c r="I1673" s="627" t="s">
        <v>51</v>
      </c>
      <c r="J1673" s="125" t="s">
        <v>51</v>
      </c>
      <c r="K1673" s="125" t="s">
        <v>51</v>
      </c>
      <c r="L1673" s="125" t="s">
        <v>51</v>
      </c>
      <c r="M1673" s="125" t="str">
        <f t="shared" si="1"/>
        <v/>
      </c>
      <c r="N1673" s="125" t="str">
        <f t="shared" si="2"/>
        <v/>
      </c>
      <c r="O1673" s="125"/>
      <c r="P1673" s="125"/>
      <c r="Q1673" s="125"/>
      <c r="R1673" s="125"/>
      <c r="S1673" s="628">
        <f t="shared" si="3"/>
        <v>0</v>
      </c>
      <c r="T1673" s="627" t="s">
        <v>51</v>
      </c>
      <c r="U1673" s="627" t="s">
        <v>51</v>
      </c>
      <c r="V1673" s="627" t="s">
        <v>51</v>
      </c>
      <c r="W1673" s="627" t="s">
        <v>51</v>
      </c>
      <c r="X1673" s="627" t="s">
        <v>51</v>
      </c>
      <c r="Y1673" s="89"/>
    </row>
    <row r="1674" ht="22.5" customHeight="1">
      <c r="A1674" s="223"/>
      <c r="B1674" s="125"/>
      <c r="C1674" s="125"/>
      <c r="D1674" s="125"/>
      <c r="E1674" s="125"/>
      <c r="F1674" s="125"/>
      <c r="G1674" s="125"/>
      <c r="H1674" s="125"/>
      <c r="I1674" s="627" t="s">
        <v>51</v>
      </c>
      <c r="J1674" s="125" t="s">
        <v>51</v>
      </c>
      <c r="K1674" s="125" t="s">
        <v>51</v>
      </c>
      <c r="L1674" s="125" t="s">
        <v>51</v>
      </c>
      <c r="M1674" s="125" t="str">
        <f t="shared" si="1"/>
        <v/>
      </c>
      <c r="N1674" s="125" t="str">
        <f t="shared" si="2"/>
        <v/>
      </c>
      <c r="O1674" s="125"/>
      <c r="P1674" s="125"/>
      <c r="Q1674" s="125"/>
      <c r="R1674" s="125"/>
      <c r="S1674" s="628">
        <f t="shared" si="3"/>
        <v>0</v>
      </c>
      <c r="T1674" s="627" t="s">
        <v>51</v>
      </c>
      <c r="U1674" s="627" t="s">
        <v>51</v>
      </c>
      <c r="V1674" s="627" t="s">
        <v>51</v>
      </c>
      <c r="W1674" s="627" t="s">
        <v>51</v>
      </c>
      <c r="X1674" s="627" t="s">
        <v>51</v>
      </c>
      <c r="Y1674" s="89"/>
    </row>
    <row r="1675" ht="22.5" customHeight="1">
      <c r="A1675" s="223"/>
      <c r="B1675" s="125"/>
      <c r="C1675" s="125"/>
      <c r="D1675" s="125"/>
      <c r="E1675" s="125"/>
      <c r="F1675" s="125"/>
      <c r="G1675" s="125"/>
      <c r="H1675" s="125"/>
      <c r="I1675" s="627" t="s">
        <v>51</v>
      </c>
      <c r="J1675" s="125" t="s">
        <v>51</v>
      </c>
      <c r="K1675" s="125" t="s">
        <v>51</v>
      </c>
      <c r="L1675" s="125" t="s">
        <v>51</v>
      </c>
      <c r="M1675" s="125" t="str">
        <f t="shared" si="1"/>
        <v/>
      </c>
      <c r="N1675" s="125" t="str">
        <f t="shared" si="2"/>
        <v/>
      </c>
      <c r="O1675" s="125"/>
      <c r="P1675" s="125"/>
      <c r="Q1675" s="125"/>
      <c r="R1675" s="125"/>
      <c r="S1675" s="628">
        <f t="shared" si="3"/>
        <v>0</v>
      </c>
      <c r="T1675" s="627" t="s">
        <v>51</v>
      </c>
      <c r="U1675" s="627" t="s">
        <v>51</v>
      </c>
      <c r="V1675" s="627" t="s">
        <v>51</v>
      </c>
      <c r="W1675" s="627" t="s">
        <v>51</v>
      </c>
      <c r="X1675" s="627" t="s">
        <v>51</v>
      </c>
      <c r="Y1675" s="89"/>
    </row>
    <row r="1676" ht="22.5" customHeight="1">
      <c r="A1676" s="223"/>
      <c r="B1676" s="125"/>
      <c r="C1676" s="125"/>
      <c r="D1676" s="125"/>
      <c r="E1676" s="125"/>
      <c r="F1676" s="125"/>
      <c r="G1676" s="125"/>
      <c r="H1676" s="125"/>
      <c r="I1676" s="627" t="s">
        <v>51</v>
      </c>
      <c r="J1676" s="125" t="s">
        <v>51</v>
      </c>
      <c r="K1676" s="125" t="s">
        <v>51</v>
      </c>
      <c r="L1676" s="125" t="s">
        <v>51</v>
      </c>
      <c r="M1676" s="125" t="str">
        <f t="shared" si="1"/>
        <v/>
      </c>
      <c r="N1676" s="125" t="str">
        <f t="shared" si="2"/>
        <v/>
      </c>
      <c r="O1676" s="125"/>
      <c r="P1676" s="125"/>
      <c r="Q1676" s="125"/>
      <c r="R1676" s="125"/>
      <c r="S1676" s="628">
        <f t="shared" si="3"/>
        <v>0</v>
      </c>
      <c r="T1676" s="627" t="s">
        <v>51</v>
      </c>
      <c r="U1676" s="627" t="s">
        <v>51</v>
      </c>
      <c r="V1676" s="627" t="s">
        <v>51</v>
      </c>
      <c r="W1676" s="627" t="s">
        <v>51</v>
      </c>
      <c r="X1676" s="627" t="s">
        <v>51</v>
      </c>
      <c r="Y1676" s="89"/>
    </row>
    <row r="1677" ht="22.5" customHeight="1">
      <c r="A1677" s="223"/>
      <c r="B1677" s="125"/>
      <c r="C1677" s="125"/>
      <c r="D1677" s="125"/>
      <c r="E1677" s="125"/>
      <c r="F1677" s="125"/>
      <c r="G1677" s="125"/>
      <c r="H1677" s="125"/>
      <c r="I1677" s="627" t="s">
        <v>51</v>
      </c>
      <c r="J1677" s="125" t="s">
        <v>51</v>
      </c>
      <c r="K1677" s="125" t="s">
        <v>51</v>
      </c>
      <c r="L1677" s="125" t="s">
        <v>51</v>
      </c>
      <c r="M1677" s="125" t="str">
        <f t="shared" si="1"/>
        <v/>
      </c>
      <c r="N1677" s="125" t="str">
        <f t="shared" si="2"/>
        <v/>
      </c>
      <c r="O1677" s="125"/>
      <c r="P1677" s="125"/>
      <c r="Q1677" s="125"/>
      <c r="R1677" s="125"/>
      <c r="S1677" s="628">
        <f t="shared" si="3"/>
        <v>0</v>
      </c>
      <c r="T1677" s="627" t="s">
        <v>51</v>
      </c>
      <c r="U1677" s="627" t="s">
        <v>51</v>
      </c>
      <c r="V1677" s="627" t="s">
        <v>51</v>
      </c>
      <c r="W1677" s="627" t="s">
        <v>51</v>
      </c>
      <c r="X1677" s="627" t="s">
        <v>51</v>
      </c>
      <c r="Y1677" s="89"/>
    </row>
    <row r="1678" ht="22.5" customHeight="1">
      <c r="A1678" s="223"/>
      <c r="B1678" s="125"/>
      <c r="C1678" s="125"/>
      <c r="D1678" s="125"/>
      <c r="E1678" s="125"/>
      <c r="F1678" s="125"/>
      <c r="G1678" s="125"/>
      <c r="H1678" s="125"/>
      <c r="I1678" s="627" t="s">
        <v>51</v>
      </c>
      <c r="J1678" s="125" t="s">
        <v>51</v>
      </c>
      <c r="K1678" s="125" t="s">
        <v>51</v>
      </c>
      <c r="L1678" s="125" t="s">
        <v>51</v>
      </c>
      <c r="M1678" s="125" t="str">
        <f t="shared" si="1"/>
        <v/>
      </c>
      <c r="N1678" s="125" t="str">
        <f t="shared" si="2"/>
        <v/>
      </c>
      <c r="O1678" s="125"/>
      <c r="P1678" s="125"/>
      <c r="Q1678" s="125"/>
      <c r="R1678" s="125"/>
      <c r="S1678" s="628">
        <f t="shared" si="3"/>
        <v>0</v>
      </c>
      <c r="T1678" s="627" t="s">
        <v>51</v>
      </c>
      <c r="U1678" s="627" t="s">
        <v>51</v>
      </c>
      <c r="V1678" s="627" t="s">
        <v>51</v>
      </c>
      <c r="W1678" s="627" t="s">
        <v>51</v>
      </c>
      <c r="X1678" s="627" t="s">
        <v>51</v>
      </c>
      <c r="Y1678" s="89"/>
    </row>
    <row r="1679" ht="22.5" customHeight="1">
      <c r="A1679" s="223"/>
      <c r="B1679" s="125"/>
      <c r="C1679" s="125"/>
      <c r="D1679" s="125"/>
      <c r="E1679" s="125"/>
      <c r="F1679" s="125"/>
      <c r="G1679" s="125"/>
      <c r="H1679" s="125"/>
      <c r="I1679" s="627" t="s">
        <v>51</v>
      </c>
      <c r="J1679" s="125" t="s">
        <v>51</v>
      </c>
      <c r="K1679" s="125" t="s">
        <v>51</v>
      </c>
      <c r="L1679" s="125" t="s">
        <v>51</v>
      </c>
      <c r="M1679" s="125" t="str">
        <f t="shared" si="1"/>
        <v/>
      </c>
      <c r="N1679" s="125" t="str">
        <f t="shared" si="2"/>
        <v/>
      </c>
      <c r="O1679" s="125"/>
      <c r="P1679" s="125"/>
      <c r="Q1679" s="125"/>
      <c r="R1679" s="125"/>
      <c r="S1679" s="628">
        <f t="shared" si="3"/>
        <v>0</v>
      </c>
      <c r="T1679" s="627" t="s">
        <v>51</v>
      </c>
      <c r="U1679" s="627" t="s">
        <v>51</v>
      </c>
      <c r="V1679" s="627" t="s">
        <v>51</v>
      </c>
      <c r="W1679" s="627" t="s">
        <v>51</v>
      </c>
      <c r="X1679" s="627" t="s">
        <v>51</v>
      </c>
      <c r="Y1679" s="89"/>
    </row>
    <row r="1680" ht="22.5" customHeight="1">
      <c r="A1680" s="223"/>
      <c r="B1680" s="125"/>
      <c r="C1680" s="125"/>
      <c r="D1680" s="125"/>
      <c r="E1680" s="125"/>
      <c r="F1680" s="125"/>
      <c r="G1680" s="125"/>
      <c r="H1680" s="125"/>
      <c r="I1680" s="627" t="s">
        <v>51</v>
      </c>
      <c r="J1680" s="125" t="s">
        <v>51</v>
      </c>
      <c r="K1680" s="125" t="s">
        <v>51</v>
      </c>
      <c r="L1680" s="125" t="s">
        <v>51</v>
      </c>
      <c r="M1680" s="125" t="str">
        <f t="shared" si="1"/>
        <v/>
      </c>
      <c r="N1680" s="125" t="str">
        <f t="shared" si="2"/>
        <v/>
      </c>
      <c r="O1680" s="125"/>
      <c r="P1680" s="125"/>
      <c r="Q1680" s="125"/>
      <c r="R1680" s="125"/>
      <c r="S1680" s="628">
        <f t="shared" si="3"/>
        <v>0</v>
      </c>
      <c r="T1680" s="627" t="s">
        <v>51</v>
      </c>
      <c r="U1680" s="627" t="s">
        <v>51</v>
      </c>
      <c r="V1680" s="627" t="s">
        <v>51</v>
      </c>
      <c r="W1680" s="627" t="s">
        <v>51</v>
      </c>
      <c r="X1680" s="627" t="s">
        <v>51</v>
      </c>
      <c r="Y1680" s="89"/>
    </row>
    <row r="1681" ht="22.5" customHeight="1">
      <c r="A1681" s="223"/>
      <c r="B1681" s="125"/>
      <c r="C1681" s="125"/>
      <c r="D1681" s="125"/>
      <c r="E1681" s="125"/>
      <c r="F1681" s="125"/>
      <c r="G1681" s="125"/>
      <c r="H1681" s="125"/>
      <c r="I1681" s="627" t="s">
        <v>51</v>
      </c>
      <c r="J1681" s="125" t="s">
        <v>51</v>
      </c>
      <c r="K1681" s="125" t="s">
        <v>51</v>
      </c>
      <c r="L1681" s="125" t="s">
        <v>51</v>
      </c>
      <c r="M1681" s="125" t="str">
        <f t="shared" si="1"/>
        <v/>
      </c>
      <c r="N1681" s="125" t="str">
        <f t="shared" si="2"/>
        <v/>
      </c>
      <c r="O1681" s="125"/>
      <c r="P1681" s="125"/>
      <c r="Q1681" s="125"/>
      <c r="R1681" s="125"/>
      <c r="S1681" s="628">
        <f t="shared" si="3"/>
        <v>0</v>
      </c>
      <c r="T1681" s="627" t="s">
        <v>51</v>
      </c>
      <c r="U1681" s="627" t="s">
        <v>51</v>
      </c>
      <c r="V1681" s="627" t="s">
        <v>51</v>
      </c>
      <c r="W1681" s="627" t="s">
        <v>51</v>
      </c>
      <c r="X1681" s="627" t="s">
        <v>51</v>
      </c>
      <c r="Y1681" s="89"/>
    </row>
    <row r="1682" ht="22.5" customHeight="1">
      <c r="A1682" s="223"/>
      <c r="B1682" s="125"/>
      <c r="C1682" s="125"/>
      <c r="D1682" s="125"/>
      <c r="E1682" s="125"/>
      <c r="F1682" s="125"/>
      <c r="G1682" s="125"/>
      <c r="H1682" s="125"/>
      <c r="I1682" s="627" t="s">
        <v>51</v>
      </c>
      <c r="J1682" s="125" t="s">
        <v>51</v>
      </c>
      <c r="K1682" s="125" t="s">
        <v>51</v>
      </c>
      <c r="L1682" s="125" t="s">
        <v>51</v>
      </c>
      <c r="M1682" s="125" t="str">
        <f t="shared" si="1"/>
        <v/>
      </c>
      <c r="N1682" s="125" t="str">
        <f t="shared" si="2"/>
        <v/>
      </c>
      <c r="O1682" s="125"/>
      <c r="P1682" s="125"/>
      <c r="Q1682" s="125"/>
      <c r="R1682" s="125"/>
      <c r="S1682" s="628">
        <f t="shared" si="3"/>
        <v>0</v>
      </c>
      <c r="T1682" s="627" t="s">
        <v>51</v>
      </c>
      <c r="U1682" s="627" t="s">
        <v>51</v>
      </c>
      <c r="V1682" s="627" t="s">
        <v>51</v>
      </c>
      <c r="W1682" s="627" t="s">
        <v>51</v>
      </c>
      <c r="X1682" s="627" t="s">
        <v>51</v>
      </c>
      <c r="Y1682" s="89"/>
    </row>
    <row r="1683" ht="22.5" customHeight="1">
      <c r="A1683" s="223"/>
      <c r="B1683" s="125"/>
      <c r="C1683" s="125"/>
      <c r="D1683" s="125"/>
      <c r="E1683" s="125"/>
      <c r="F1683" s="125"/>
      <c r="G1683" s="125"/>
      <c r="H1683" s="125"/>
      <c r="I1683" s="627" t="s">
        <v>51</v>
      </c>
      <c r="J1683" s="125" t="s">
        <v>51</v>
      </c>
      <c r="K1683" s="125" t="s">
        <v>51</v>
      </c>
      <c r="L1683" s="125" t="s">
        <v>51</v>
      </c>
      <c r="M1683" s="125" t="str">
        <f t="shared" si="1"/>
        <v/>
      </c>
      <c r="N1683" s="125" t="str">
        <f t="shared" si="2"/>
        <v/>
      </c>
      <c r="O1683" s="125"/>
      <c r="P1683" s="125"/>
      <c r="Q1683" s="125"/>
      <c r="R1683" s="125"/>
      <c r="S1683" s="628">
        <f t="shared" si="3"/>
        <v>0</v>
      </c>
      <c r="T1683" s="627" t="s">
        <v>51</v>
      </c>
      <c r="U1683" s="627" t="s">
        <v>51</v>
      </c>
      <c r="V1683" s="627" t="s">
        <v>51</v>
      </c>
      <c r="W1683" s="627" t="s">
        <v>51</v>
      </c>
      <c r="X1683" s="627" t="s">
        <v>51</v>
      </c>
      <c r="Y1683" s="89"/>
    </row>
    <row r="1684" ht="22.5" customHeight="1">
      <c r="A1684" s="223"/>
      <c r="B1684" s="125"/>
      <c r="C1684" s="125"/>
      <c r="D1684" s="125"/>
      <c r="E1684" s="125"/>
      <c r="F1684" s="125"/>
      <c r="G1684" s="125"/>
      <c r="H1684" s="125"/>
      <c r="I1684" s="627" t="s">
        <v>51</v>
      </c>
      <c r="J1684" s="125" t="s">
        <v>51</v>
      </c>
      <c r="K1684" s="125" t="s">
        <v>51</v>
      </c>
      <c r="L1684" s="125" t="s">
        <v>51</v>
      </c>
      <c r="M1684" s="125" t="str">
        <f t="shared" si="1"/>
        <v/>
      </c>
      <c r="N1684" s="125" t="str">
        <f t="shared" si="2"/>
        <v/>
      </c>
      <c r="O1684" s="125"/>
      <c r="P1684" s="125"/>
      <c r="Q1684" s="125"/>
      <c r="R1684" s="125"/>
      <c r="S1684" s="628">
        <f t="shared" si="3"/>
        <v>0</v>
      </c>
      <c r="T1684" s="627" t="s">
        <v>51</v>
      </c>
      <c r="U1684" s="627" t="s">
        <v>51</v>
      </c>
      <c r="V1684" s="627" t="s">
        <v>51</v>
      </c>
      <c r="W1684" s="627" t="s">
        <v>51</v>
      </c>
      <c r="X1684" s="627" t="s">
        <v>51</v>
      </c>
      <c r="Y1684" s="89"/>
    </row>
    <row r="1685" ht="22.5" customHeight="1">
      <c r="A1685" s="223"/>
      <c r="B1685" s="125"/>
      <c r="C1685" s="125"/>
      <c r="D1685" s="125"/>
      <c r="E1685" s="125"/>
      <c r="F1685" s="125"/>
      <c r="G1685" s="125"/>
      <c r="H1685" s="125"/>
      <c r="I1685" s="627" t="s">
        <v>51</v>
      </c>
      <c r="J1685" s="125" t="s">
        <v>51</v>
      </c>
      <c r="K1685" s="125" t="s">
        <v>51</v>
      </c>
      <c r="L1685" s="125" t="s">
        <v>51</v>
      </c>
      <c r="M1685" s="125" t="str">
        <f t="shared" si="1"/>
        <v/>
      </c>
      <c r="N1685" s="125" t="str">
        <f t="shared" si="2"/>
        <v/>
      </c>
      <c r="O1685" s="125"/>
      <c r="P1685" s="125"/>
      <c r="Q1685" s="125"/>
      <c r="R1685" s="125"/>
      <c r="S1685" s="628">
        <f t="shared" si="3"/>
        <v>0</v>
      </c>
      <c r="T1685" s="627" t="s">
        <v>51</v>
      </c>
      <c r="U1685" s="627" t="s">
        <v>51</v>
      </c>
      <c r="V1685" s="627" t="s">
        <v>51</v>
      </c>
      <c r="W1685" s="627" t="s">
        <v>51</v>
      </c>
      <c r="X1685" s="627" t="s">
        <v>51</v>
      </c>
      <c r="Y1685" s="89"/>
    </row>
    <row r="1686" ht="22.5" customHeight="1">
      <c r="A1686" s="223"/>
      <c r="B1686" s="125"/>
      <c r="C1686" s="125"/>
      <c r="D1686" s="125"/>
      <c r="E1686" s="125"/>
      <c r="F1686" s="125"/>
      <c r="G1686" s="125"/>
      <c r="H1686" s="125"/>
      <c r="I1686" s="627" t="s">
        <v>51</v>
      </c>
      <c r="J1686" s="125" t="s">
        <v>51</v>
      </c>
      <c r="K1686" s="125" t="s">
        <v>51</v>
      </c>
      <c r="L1686" s="125" t="s">
        <v>51</v>
      </c>
      <c r="M1686" s="125" t="str">
        <f t="shared" si="1"/>
        <v/>
      </c>
      <c r="N1686" s="125" t="str">
        <f t="shared" si="2"/>
        <v/>
      </c>
      <c r="O1686" s="125"/>
      <c r="P1686" s="125"/>
      <c r="Q1686" s="125"/>
      <c r="R1686" s="125"/>
      <c r="S1686" s="628">
        <f t="shared" si="3"/>
        <v>0</v>
      </c>
      <c r="T1686" s="627" t="s">
        <v>51</v>
      </c>
      <c r="U1686" s="627" t="s">
        <v>51</v>
      </c>
      <c r="V1686" s="627" t="s">
        <v>51</v>
      </c>
      <c r="W1686" s="627" t="s">
        <v>51</v>
      </c>
      <c r="X1686" s="627" t="s">
        <v>51</v>
      </c>
      <c r="Y1686" s="89"/>
    </row>
    <row r="1687" ht="22.5" customHeight="1">
      <c r="A1687" s="223"/>
      <c r="B1687" s="125"/>
      <c r="C1687" s="125"/>
      <c r="D1687" s="125"/>
      <c r="E1687" s="125"/>
      <c r="F1687" s="125"/>
      <c r="G1687" s="125"/>
      <c r="H1687" s="125"/>
      <c r="I1687" s="627" t="s">
        <v>51</v>
      </c>
      <c r="J1687" s="125" t="s">
        <v>51</v>
      </c>
      <c r="K1687" s="125" t="s">
        <v>51</v>
      </c>
      <c r="L1687" s="125" t="s">
        <v>51</v>
      </c>
      <c r="M1687" s="125" t="str">
        <f t="shared" si="1"/>
        <v/>
      </c>
      <c r="N1687" s="125" t="str">
        <f t="shared" si="2"/>
        <v/>
      </c>
      <c r="O1687" s="125"/>
      <c r="P1687" s="125"/>
      <c r="Q1687" s="125"/>
      <c r="R1687" s="125"/>
      <c r="S1687" s="628">
        <f t="shared" si="3"/>
        <v>0</v>
      </c>
      <c r="T1687" s="627" t="s">
        <v>51</v>
      </c>
      <c r="U1687" s="627" t="s">
        <v>51</v>
      </c>
      <c r="V1687" s="627" t="s">
        <v>51</v>
      </c>
      <c r="W1687" s="627" t="s">
        <v>51</v>
      </c>
      <c r="X1687" s="627" t="s">
        <v>51</v>
      </c>
      <c r="Y1687" s="89"/>
    </row>
    <row r="1688" ht="22.5" customHeight="1">
      <c r="A1688" s="223"/>
      <c r="B1688" s="125"/>
      <c r="C1688" s="125"/>
      <c r="D1688" s="125"/>
      <c r="E1688" s="125"/>
      <c r="F1688" s="125"/>
      <c r="G1688" s="125"/>
      <c r="H1688" s="125"/>
      <c r="I1688" s="627" t="s">
        <v>51</v>
      </c>
      <c r="J1688" s="125" t="s">
        <v>51</v>
      </c>
      <c r="K1688" s="125" t="s">
        <v>51</v>
      </c>
      <c r="L1688" s="125" t="s">
        <v>51</v>
      </c>
      <c r="M1688" s="125" t="str">
        <f t="shared" si="1"/>
        <v/>
      </c>
      <c r="N1688" s="125" t="str">
        <f t="shared" si="2"/>
        <v/>
      </c>
      <c r="O1688" s="125"/>
      <c r="P1688" s="125"/>
      <c r="Q1688" s="125"/>
      <c r="R1688" s="125"/>
      <c r="S1688" s="628">
        <f t="shared" si="3"/>
        <v>0</v>
      </c>
      <c r="T1688" s="627" t="s">
        <v>51</v>
      </c>
      <c r="U1688" s="627" t="s">
        <v>51</v>
      </c>
      <c r="V1688" s="627" t="s">
        <v>51</v>
      </c>
      <c r="W1688" s="627" t="s">
        <v>51</v>
      </c>
      <c r="X1688" s="627" t="s">
        <v>51</v>
      </c>
      <c r="Y1688" s="89"/>
    </row>
    <row r="1689" ht="22.5" customHeight="1">
      <c r="A1689" s="223"/>
      <c r="B1689" s="125"/>
      <c r="C1689" s="125"/>
      <c r="D1689" s="125"/>
      <c r="E1689" s="125"/>
      <c r="F1689" s="125"/>
      <c r="G1689" s="125"/>
      <c r="H1689" s="125"/>
      <c r="I1689" s="627" t="s">
        <v>51</v>
      </c>
      <c r="J1689" s="125" t="s">
        <v>51</v>
      </c>
      <c r="K1689" s="125" t="s">
        <v>51</v>
      </c>
      <c r="L1689" s="125" t="s">
        <v>51</v>
      </c>
      <c r="M1689" s="125" t="str">
        <f t="shared" si="1"/>
        <v/>
      </c>
      <c r="N1689" s="125" t="str">
        <f t="shared" si="2"/>
        <v/>
      </c>
      <c r="O1689" s="125"/>
      <c r="P1689" s="125"/>
      <c r="Q1689" s="125"/>
      <c r="R1689" s="125"/>
      <c r="S1689" s="628">
        <f t="shared" si="3"/>
        <v>0</v>
      </c>
      <c r="T1689" s="627" t="s">
        <v>51</v>
      </c>
      <c r="U1689" s="627" t="s">
        <v>51</v>
      </c>
      <c r="V1689" s="627" t="s">
        <v>51</v>
      </c>
      <c r="W1689" s="627" t="s">
        <v>51</v>
      </c>
      <c r="X1689" s="627" t="s">
        <v>51</v>
      </c>
      <c r="Y1689" s="89"/>
    </row>
    <row r="1690" ht="22.5" customHeight="1">
      <c r="A1690" s="223"/>
      <c r="B1690" s="125"/>
      <c r="C1690" s="125"/>
      <c r="D1690" s="125"/>
      <c r="E1690" s="125"/>
      <c r="F1690" s="125"/>
      <c r="G1690" s="125"/>
      <c r="H1690" s="125"/>
      <c r="I1690" s="627" t="s">
        <v>51</v>
      </c>
      <c r="J1690" s="125" t="s">
        <v>51</v>
      </c>
      <c r="K1690" s="125" t="s">
        <v>51</v>
      </c>
      <c r="L1690" s="125" t="s">
        <v>51</v>
      </c>
      <c r="M1690" s="125" t="str">
        <f t="shared" si="1"/>
        <v/>
      </c>
      <c r="N1690" s="125" t="str">
        <f t="shared" si="2"/>
        <v/>
      </c>
      <c r="O1690" s="125"/>
      <c r="P1690" s="125"/>
      <c r="Q1690" s="125"/>
      <c r="R1690" s="125"/>
      <c r="S1690" s="628">
        <f t="shared" si="3"/>
        <v>0</v>
      </c>
      <c r="T1690" s="627" t="s">
        <v>51</v>
      </c>
      <c r="U1690" s="627" t="s">
        <v>51</v>
      </c>
      <c r="V1690" s="627" t="s">
        <v>51</v>
      </c>
      <c r="W1690" s="627" t="s">
        <v>51</v>
      </c>
      <c r="X1690" s="627" t="s">
        <v>51</v>
      </c>
      <c r="Y1690" s="89"/>
    </row>
    <row r="1691" ht="22.5" customHeight="1">
      <c r="A1691" s="223"/>
      <c r="B1691" s="125"/>
      <c r="C1691" s="125"/>
      <c r="D1691" s="125"/>
      <c r="E1691" s="125"/>
      <c r="F1691" s="125"/>
      <c r="G1691" s="125"/>
      <c r="H1691" s="125"/>
      <c r="I1691" s="627" t="s">
        <v>51</v>
      </c>
      <c r="J1691" s="125" t="s">
        <v>51</v>
      </c>
      <c r="K1691" s="125" t="s">
        <v>51</v>
      </c>
      <c r="L1691" s="125" t="s">
        <v>51</v>
      </c>
      <c r="M1691" s="125" t="str">
        <f t="shared" si="1"/>
        <v/>
      </c>
      <c r="N1691" s="125" t="str">
        <f t="shared" si="2"/>
        <v/>
      </c>
      <c r="O1691" s="125"/>
      <c r="P1691" s="125"/>
      <c r="Q1691" s="125"/>
      <c r="R1691" s="125"/>
      <c r="S1691" s="628">
        <f t="shared" si="3"/>
        <v>0</v>
      </c>
      <c r="T1691" s="627" t="s">
        <v>51</v>
      </c>
      <c r="U1691" s="627" t="s">
        <v>51</v>
      </c>
      <c r="V1691" s="627" t="s">
        <v>51</v>
      </c>
      <c r="W1691" s="627" t="s">
        <v>51</v>
      </c>
      <c r="X1691" s="627" t="s">
        <v>51</v>
      </c>
      <c r="Y1691" s="89"/>
    </row>
    <row r="1692" ht="22.5" customHeight="1">
      <c r="A1692" s="223"/>
      <c r="B1692" s="125"/>
      <c r="C1692" s="125"/>
      <c r="D1692" s="125"/>
      <c r="E1692" s="125"/>
      <c r="F1692" s="125"/>
      <c r="G1692" s="125"/>
      <c r="H1692" s="125"/>
      <c r="I1692" s="627" t="s">
        <v>51</v>
      </c>
      <c r="J1692" s="125" t="s">
        <v>51</v>
      </c>
      <c r="K1692" s="125" t="s">
        <v>51</v>
      </c>
      <c r="L1692" s="125" t="s">
        <v>51</v>
      </c>
      <c r="M1692" s="125" t="str">
        <f t="shared" si="1"/>
        <v/>
      </c>
      <c r="N1692" s="125" t="str">
        <f t="shared" si="2"/>
        <v/>
      </c>
      <c r="O1692" s="125"/>
      <c r="P1692" s="125"/>
      <c r="Q1692" s="125"/>
      <c r="R1692" s="125"/>
      <c r="S1692" s="628">
        <f t="shared" si="3"/>
        <v>0</v>
      </c>
      <c r="T1692" s="627" t="s">
        <v>51</v>
      </c>
      <c r="U1692" s="627" t="s">
        <v>51</v>
      </c>
      <c r="V1692" s="627" t="s">
        <v>51</v>
      </c>
      <c r="W1692" s="627" t="s">
        <v>51</v>
      </c>
      <c r="X1692" s="627" t="s">
        <v>51</v>
      </c>
      <c r="Y1692" s="89"/>
    </row>
    <row r="1693" ht="22.5" customHeight="1">
      <c r="A1693" s="223"/>
      <c r="B1693" s="125"/>
      <c r="C1693" s="125"/>
      <c r="D1693" s="125"/>
      <c r="E1693" s="125"/>
      <c r="F1693" s="125"/>
      <c r="G1693" s="125"/>
      <c r="H1693" s="125"/>
      <c r="I1693" s="627" t="s">
        <v>51</v>
      </c>
      <c r="J1693" s="125" t="s">
        <v>51</v>
      </c>
      <c r="K1693" s="125" t="s">
        <v>51</v>
      </c>
      <c r="L1693" s="125" t="s">
        <v>51</v>
      </c>
      <c r="M1693" s="125" t="str">
        <f t="shared" si="1"/>
        <v/>
      </c>
      <c r="N1693" s="125" t="str">
        <f t="shared" si="2"/>
        <v/>
      </c>
      <c r="O1693" s="125"/>
      <c r="P1693" s="125"/>
      <c r="Q1693" s="125"/>
      <c r="R1693" s="125"/>
      <c r="S1693" s="628">
        <f t="shared" si="3"/>
        <v>0</v>
      </c>
      <c r="T1693" s="627" t="s">
        <v>51</v>
      </c>
      <c r="U1693" s="627" t="s">
        <v>51</v>
      </c>
      <c r="V1693" s="627" t="s">
        <v>51</v>
      </c>
      <c r="W1693" s="627" t="s">
        <v>51</v>
      </c>
      <c r="X1693" s="627" t="s">
        <v>51</v>
      </c>
      <c r="Y1693" s="89"/>
    </row>
    <row r="1694" ht="22.5" customHeight="1">
      <c r="A1694" s="223"/>
      <c r="B1694" s="125"/>
      <c r="C1694" s="125"/>
      <c r="D1694" s="125"/>
      <c r="E1694" s="125"/>
      <c r="F1694" s="125"/>
      <c r="G1694" s="125"/>
      <c r="H1694" s="125"/>
      <c r="I1694" s="627" t="s">
        <v>51</v>
      </c>
      <c r="J1694" s="125" t="s">
        <v>51</v>
      </c>
      <c r="K1694" s="125" t="s">
        <v>51</v>
      </c>
      <c r="L1694" s="125" t="s">
        <v>51</v>
      </c>
      <c r="M1694" s="125" t="str">
        <f t="shared" si="1"/>
        <v/>
      </c>
      <c r="N1694" s="125" t="str">
        <f t="shared" si="2"/>
        <v/>
      </c>
      <c r="O1694" s="125"/>
      <c r="P1694" s="125"/>
      <c r="Q1694" s="125"/>
      <c r="R1694" s="125"/>
      <c r="S1694" s="628">
        <f t="shared" si="3"/>
        <v>0</v>
      </c>
      <c r="T1694" s="627" t="s">
        <v>51</v>
      </c>
      <c r="U1694" s="627" t="s">
        <v>51</v>
      </c>
      <c r="V1694" s="627" t="s">
        <v>51</v>
      </c>
      <c r="W1694" s="627" t="s">
        <v>51</v>
      </c>
      <c r="X1694" s="627" t="s">
        <v>51</v>
      </c>
      <c r="Y1694" s="89"/>
    </row>
    <row r="1695" ht="22.5" customHeight="1">
      <c r="A1695" s="223"/>
      <c r="B1695" s="125"/>
      <c r="C1695" s="125"/>
      <c r="D1695" s="125"/>
      <c r="E1695" s="125"/>
      <c r="F1695" s="125"/>
      <c r="G1695" s="125"/>
      <c r="H1695" s="125"/>
      <c r="I1695" s="627" t="s">
        <v>51</v>
      </c>
      <c r="J1695" s="125" t="s">
        <v>51</v>
      </c>
      <c r="K1695" s="125" t="s">
        <v>51</v>
      </c>
      <c r="L1695" s="125" t="s">
        <v>51</v>
      </c>
      <c r="M1695" s="125" t="str">
        <f t="shared" si="1"/>
        <v/>
      </c>
      <c r="N1695" s="125" t="str">
        <f t="shared" si="2"/>
        <v/>
      </c>
      <c r="O1695" s="125"/>
      <c r="P1695" s="125"/>
      <c r="Q1695" s="125"/>
      <c r="R1695" s="125"/>
      <c r="S1695" s="628">
        <f t="shared" si="3"/>
        <v>0</v>
      </c>
      <c r="T1695" s="627" t="s">
        <v>51</v>
      </c>
      <c r="U1695" s="627" t="s">
        <v>51</v>
      </c>
      <c r="V1695" s="627" t="s">
        <v>51</v>
      </c>
      <c r="W1695" s="627" t="s">
        <v>51</v>
      </c>
      <c r="X1695" s="627" t="s">
        <v>51</v>
      </c>
      <c r="Y1695" s="89"/>
    </row>
    <row r="1696" ht="22.5" customHeight="1">
      <c r="A1696" s="223"/>
      <c r="B1696" s="125"/>
      <c r="C1696" s="125"/>
      <c r="D1696" s="125"/>
      <c r="E1696" s="125"/>
      <c r="F1696" s="125"/>
      <c r="G1696" s="125"/>
      <c r="H1696" s="125"/>
      <c r="I1696" s="627" t="s">
        <v>51</v>
      </c>
      <c r="J1696" s="125" t="s">
        <v>51</v>
      </c>
      <c r="K1696" s="125" t="s">
        <v>51</v>
      </c>
      <c r="L1696" s="125" t="s">
        <v>51</v>
      </c>
      <c r="M1696" s="125" t="str">
        <f t="shared" si="1"/>
        <v/>
      </c>
      <c r="N1696" s="125" t="str">
        <f t="shared" si="2"/>
        <v/>
      </c>
      <c r="O1696" s="125"/>
      <c r="P1696" s="125"/>
      <c r="Q1696" s="125"/>
      <c r="R1696" s="125"/>
      <c r="S1696" s="628">
        <f t="shared" si="3"/>
        <v>0</v>
      </c>
      <c r="T1696" s="627" t="s">
        <v>51</v>
      </c>
      <c r="U1696" s="627" t="s">
        <v>51</v>
      </c>
      <c r="V1696" s="627" t="s">
        <v>51</v>
      </c>
      <c r="W1696" s="627" t="s">
        <v>51</v>
      </c>
      <c r="X1696" s="627" t="s">
        <v>51</v>
      </c>
      <c r="Y1696" s="89"/>
    </row>
    <row r="1697" ht="22.5" customHeight="1">
      <c r="A1697" s="223"/>
      <c r="B1697" s="125"/>
      <c r="C1697" s="125"/>
      <c r="D1697" s="125"/>
      <c r="E1697" s="125"/>
      <c r="F1697" s="125"/>
      <c r="G1697" s="125"/>
      <c r="H1697" s="125"/>
      <c r="I1697" s="627" t="s">
        <v>51</v>
      </c>
      <c r="J1697" s="125" t="s">
        <v>51</v>
      </c>
      <c r="K1697" s="125" t="s">
        <v>51</v>
      </c>
      <c r="L1697" s="125" t="s">
        <v>51</v>
      </c>
      <c r="M1697" s="125" t="str">
        <f t="shared" si="1"/>
        <v/>
      </c>
      <c r="N1697" s="125" t="str">
        <f t="shared" si="2"/>
        <v/>
      </c>
      <c r="O1697" s="125"/>
      <c r="P1697" s="125"/>
      <c r="Q1697" s="125"/>
      <c r="R1697" s="125"/>
      <c r="S1697" s="628">
        <f t="shared" si="3"/>
        <v>0</v>
      </c>
      <c r="T1697" s="627" t="s">
        <v>51</v>
      </c>
      <c r="U1697" s="627" t="s">
        <v>51</v>
      </c>
      <c r="V1697" s="627" t="s">
        <v>51</v>
      </c>
      <c r="W1697" s="627" t="s">
        <v>51</v>
      </c>
      <c r="X1697" s="627" t="s">
        <v>51</v>
      </c>
      <c r="Y1697" s="89"/>
    </row>
    <row r="1698" ht="22.5" customHeight="1">
      <c r="A1698" s="223"/>
      <c r="B1698" s="125"/>
      <c r="C1698" s="125"/>
      <c r="D1698" s="125"/>
      <c r="E1698" s="125"/>
      <c r="F1698" s="125"/>
      <c r="G1698" s="125"/>
      <c r="H1698" s="125"/>
      <c r="I1698" s="627" t="s">
        <v>51</v>
      </c>
      <c r="J1698" s="125" t="s">
        <v>51</v>
      </c>
      <c r="K1698" s="125" t="s">
        <v>51</v>
      </c>
      <c r="L1698" s="125" t="s">
        <v>51</v>
      </c>
      <c r="M1698" s="125" t="str">
        <f t="shared" si="1"/>
        <v/>
      </c>
      <c r="N1698" s="125" t="str">
        <f t="shared" si="2"/>
        <v/>
      </c>
      <c r="O1698" s="125"/>
      <c r="P1698" s="125"/>
      <c r="Q1698" s="125"/>
      <c r="R1698" s="125"/>
      <c r="S1698" s="628">
        <f t="shared" si="3"/>
        <v>0</v>
      </c>
      <c r="T1698" s="627" t="s">
        <v>51</v>
      </c>
      <c r="U1698" s="627" t="s">
        <v>51</v>
      </c>
      <c r="V1698" s="627" t="s">
        <v>51</v>
      </c>
      <c r="W1698" s="627" t="s">
        <v>51</v>
      </c>
      <c r="X1698" s="627" t="s">
        <v>51</v>
      </c>
      <c r="Y1698" s="89"/>
    </row>
    <row r="1699" ht="22.5" customHeight="1">
      <c r="A1699" s="223"/>
      <c r="B1699" s="125"/>
      <c r="C1699" s="125"/>
      <c r="D1699" s="125"/>
      <c r="E1699" s="125"/>
      <c r="F1699" s="125"/>
      <c r="G1699" s="125"/>
      <c r="H1699" s="125"/>
      <c r="I1699" s="627" t="s">
        <v>51</v>
      </c>
      <c r="J1699" s="125" t="s">
        <v>51</v>
      </c>
      <c r="K1699" s="125" t="s">
        <v>51</v>
      </c>
      <c r="L1699" s="125" t="s">
        <v>51</v>
      </c>
      <c r="M1699" s="125" t="str">
        <f t="shared" si="1"/>
        <v/>
      </c>
      <c r="N1699" s="125" t="str">
        <f t="shared" si="2"/>
        <v/>
      </c>
      <c r="O1699" s="125"/>
      <c r="P1699" s="125"/>
      <c r="Q1699" s="125"/>
      <c r="R1699" s="125"/>
      <c r="S1699" s="628">
        <f t="shared" si="3"/>
        <v>0</v>
      </c>
      <c r="T1699" s="627" t="s">
        <v>51</v>
      </c>
      <c r="U1699" s="627" t="s">
        <v>51</v>
      </c>
      <c r="V1699" s="627" t="s">
        <v>51</v>
      </c>
      <c r="W1699" s="627" t="s">
        <v>51</v>
      </c>
      <c r="X1699" s="627" t="s">
        <v>51</v>
      </c>
      <c r="Y1699" s="89"/>
    </row>
    <row r="1700" ht="22.5" customHeight="1">
      <c r="A1700" s="223"/>
      <c r="B1700" s="125"/>
      <c r="C1700" s="125"/>
      <c r="D1700" s="125"/>
      <c r="E1700" s="125"/>
      <c r="F1700" s="125"/>
      <c r="G1700" s="125"/>
      <c r="H1700" s="125"/>
      <c r="I1700" s="627" t="s">
        <v>51</v>
      </c>
      <c r="J1700" s="125" t="s">
        <v>51</v>
      </c>
      <c r="K1700" s="125" t="s">
        <v>51</v>
      </c>
      <c r="L1700" s="125" t="s">
        <v>51</v>
      </c>
      <c r="M1700" s="125" t="str">
        <f t="shared" si="1"/>
        <v/>
      </c>
      <c r="N1700" s="125" t="str">
        <f t="shared" si="2"/>
        <v/>
      </c>
      <c r="O1700" s="125"/>
      <c r="P1700" s="125"/>
      <c r="Q1700" s="125"/>
      <c r="R1700" s="125"/>
      <c r="S1700" s="628">
        <f t="shared" si="3"/>
        <v>0</v>
      </c>
      <c r="T1700" s="627" t="s">
        <v>51</v>
      </c>
      <c r="U1700" s="627" t="s">
        <v>51</v>
      </c>
      <c r="V1700" s="627" t="s">
        <v>51</v>
      </c>
      <c r="W1700" s="627" t="s">
        <v>51</v>
      </c>
      <c r="X1700" s="627" t="s">
        <v>51</v>
      </c>
      <c r="Y1700" s="89"/>
    </row>
    <row r="1701" ht="22.5" customHeight="1">
      <c r="A1701" s="223"/>
      <c r="B1701" s="125"/>
      <c r="C1701" s="125"/>
      <c r="D1701" s="125"/>
      <c r="E1701" s="125"/>
      <c r="F1701" s="125"/>
      <c r="G1701" s="125"/>
      <c r="H1701" s="125"/>
      <c r="I1701" s="627" t="s">
        <v>51</v>
      </c>
      <c r="J1701" s="125" t="s">
        <v>51</v>
      </c>
      <c r="K1701" s="125" t="s">
        <v>51</v>
      </c>
      <c r="L1701" s="125" t="s">
        <v>51</v>
      </c>
      <c r="M1701" s="125" t="str">
        <f t="shared" si="1"/>
        <v/>
      </c>
      <c r="N1701" s="125" t="str">
        <f t="shared" si="2"/>
        <v/>
      </c>
      <c r="O1701" s="125"/>
      <c r="P1701" s="125"/>
      <c r="Q1701" s="125"/>
      <c r="R1701" s="125"/>
      <c r="S1701" s="628">
        <f t="shared" si="3"/>
        <v>0</v>
      </c>
      <c r="T1701" s="627" t="s">
        <v>51</v>
      </c>
      <c r="U1701" s="627" t="s">
        <v>51</v>
      </c>
      <c r="V1701" s="627" t="s">
        <v>51</v>
      </c>
      <c r="W1701" s="627" t="s">
        <v>51</v>
      </c>
      <c r="X1701" s="627" t="s">
        <v>51</v>
      </c>
      <c r="Y1701" s="89"/>
    </row>
    <row r="1702" ht="22.5" customHeight="1">
      <c r="A1702" s="223"/>
      <c r="B1702" s="125"/>
      <c r="C1702" s="125"/>
      <c r="D1702" s="125"/>
      <c r="E1702" s="125"/>
      <c r="F1702" s="125"/>
      <c r="G1702" s="125"/>
      <c r="H1702" s="125"/>
      <c r="I1702" s="627" t="s">
        <v>51</v>
      </c>
      <c r="J1702" s="125" t="s">
        <v>51</v>
      </c>
      <c r="K1702" s="125" t="s">
        <v>51</v>
      </c>
      <c r="L1702" s="125" t="s">
        <v>51</v>
      </c>
      <c r="M1702" s="125" t="str">
        <f t="shared" si="1"/>
        <v/>
      </c>
      <c r="N1702" s="125" t="str">
        <f t="shared" si="2"/>
        <v/>
      </c>
      <c r="O1702" s="125"/>
      <c r="P1702" s="125"/>
      <c r="Q1702" s="125"/>
      <c r="R1702" s="125"/>
      <c r="S1702" s="628">
        <f t="shared" si="3"/>
        <v>0</v>
      </c>
      <c r="T1702" s="627" t="s">
        <v>51</v>
      </c>
      <c r="U1702" s="627" t="s">
        <v>51</v>
      </c>
      <c r="V1702" s="627" t="s">
        <v>51</v>
      </c>
      <c r="W1702" s="627" t="s">
        <v>51</v>
      </c>
      <c r="X1702" s="627" t="s">
        <v>51</v>
      </c>
      <c r="Y1702" s="89"/>
    </row>
    <row r="1703" ht="22.5" customHeight="1">
      <c r="A1703" s="223"/>
      <c r="B1703" s="125"/>
      <c r="C1703" s="125"/>
      <c r="D1703" s="125"/>
      <c r="E1703" s="125"/>
      <c r="F1703" s="125"/>
      <c r="G1703" s="125"/>
      <c r="H1703" s="125"/>
      <c r="I1703" s="627" t="s">
        <v>51</v>
      </c>
      <c r="J1703" s="125" t="s">
        <v>51</v>
      </c>
      <c r="K1703" s="125" t="s">
        <v>51</v>
      </c>
      <c r="L1703" s="125" t="s">
        <v>51</v>
      </c>
      <c r="M1703" s="125" t="str">
        <f t="shared" si="1"/>
        <v/>
      </c>
      <c r="N1703" s="125" t="str">
        <f t="shared" si="2"/>
        <v/>
      </c>
      <c r="O1703" s="125"/>
      <c r="P1703" s="125"/>
      <c r="Q1703" s="125"/>
      <c r="R1703" s="125"/>
      <c r="S1703" s="628">
        <f t="shared" si="3"/>
        <v>0</v>
      </c>
      <c r="T1703" s="627" t="s">
        <v>51</v>
      </c>
      <c r="U1703" s="627" t="s">
        <v>51</v>
      </c>
      <c r="V1703" s="627" t="s">
        <v>51</v>
      </c>
      <c r="W1703" s="627" t="s">
        <v>51</v>
      </c>
      <c r="X1703" s="627" t="s">
        <v>51</v>
      </c>
      <c r="Y1703" s="89"/>
    </row>
    <row r="1704" ht="22.5" customHeight="1">
      <c r="A1704" s="223"/>
      <c r="B1704" s="125"/>
      <c r="C1704" s="125"/>
      <c r="D1704" s="125"/>
      <c r="E1704" s="125"/>
      <c r="F1704" s="125"/>
      <c r="G1704" s="125"/>
      <c r="H1704" s="125"/>
      <c r="I1704" s="627" t="s">
        <v>51</v>
      </c>
      <c r="J1704" s="125" t="s">
        <v>51</v>
      </c>
      <c r="K1704" s="125" t="s">
        <v>51</v>
      </c>
      <c r="L1704" s="125" t="s">
        <v>51</v>
      </c>
      <c r="M1704" s="125" t="str">
        <f t="shared" si="1"/>
        <v/>
      </c>
      <c r="N1704" s="125" t="str">
        <f t="shared" si="2"/>
        <v/>
      </c>
      <c r="O1704" s="125"/>
      <c r="P1704" s="125"/>
      <c r="Q1704" s="125"/>
      <c r="R1704" s="125"/>
      <c r="S1704" s="628">
        <f t="shared" si="3"/>
        <v>0</v>
      </c>
      <c r="T1704" s="627" t="s">
        <v>51</v>
      </c>
      <c r="U1704" s="627" t="s">
        <v>51</v>
      </c>
      <c r="V1704" s="627" t="s">
        <v>51</v>
      </c>
      <c r="W1704" s="627" t="s">
        <v>51</v>
      </c>
      <c r="X1704" s="627" t="s">
        <v>51</v>
      </c>
      <c r="Y1704" s="89"/>
    </row>
    <row r="1705" ht="22.5" customHeight="1">
      <c r="A1705" s="223"/>
      <c r="B1705" s="125"/>
      <c r="C1705" s="125"/>
      <c r="D1705" s="125"/>
      <c r="E1705" s="125"/>
      <c r="F1705" s="125"/>
      <c r="G1705" s="125"/>
      <c r="H1705" s="125"/>
      <c r="I1705" s="627" t="s">
        <v>51</v>
      </c>
      <c r="J1705" s="125" t="s">
        <v>51</v>
      </c>
      <c r="K1705" s="125" t="s">
        <v>51</v>
      </c>
      <c r="L1705" s="125" t="s">
        <v>51</v>
      </c>
      <c r="M1705" s="125" t="str">
        <f t="shared" si="1"/>
        <v/>
      </c>
      <c r="N1705" s="125" t="str">
        <f t="shared" si="2"/>
        <v/>
      </c>
      <c r="O1705" s="125"/>
      <c r="P1705" s="125"/>
      <c r="Q1705" s="125"/>
      <c r="R1705" s="125"/>
      <c r="S1705" s="628">
        <f t="shared" si="3"/>
        <v>0</v>
      </c>
      <c r="T1705" s="627" t="s">
        <v>51</v>
      </c>
      <c r="U1705" s="627" t="s">
        <v>51</v>
      </c>
      <c r="V1705" s="627" t="s">
        <v>51</v>
      </c>
      <c r="W1705" s="627" t="s">
        <v>51</v>
      </c>
      <c r="X1705" s="627" t="s">
        <v>51</v>
      </c>
      <c r="Y1705" s="89"/>
    </row>
    <row r="1706" ht="22.5" customHeight="1">
      <c r="A1706" s="223"/>
      <c r="B1706" s="125"/>
      <c r="C1706" s="125"/>
      <c r="D1706" s="125"/>
      <c r="E1706" s="125"/>
      <c r="F1706" s="125"/>
      <c r="G1706" s="125"/>
      <c r="H1706" s="125"/>
      <c r="I1706" s="627" t="s">
        <v>51</v>
      </c>
      <c r="J1706" s="125" t="s">
        <v>51</v>
      </c>
      <c r="K1706" s="125" t="s">
        <v>51</v>
      </c>
      <c r="L1706" s="125" t="s">
        <v>51</v>
      </c>
      <c r="M1706" s="125" t="str">
        <f t="shared" si="1"/>
        <v/>
      </c>
      <c r="N1706" s="125" t="str">
        <f t="shared" si="2"/>
        <v/>
      </c>
      <c r="O1706" s="125"/>
      <c r="P1706" s="125"/>
      <c r="Q1706" s="125"/>
      <c r="R1706" s="125"/>
      <c r="S1706" s="628">
        <f t="shared" si="3"/>
        <v>0</v>
      </c>
      <c r="T1706" s="627" t="s">
        <v>51</v>
      </c>
      <c r="U1706" s="627" t="s">
        <v>51</v>
      </c>
      <c r="V1706" s="627" t="s">
        <v>51</v>
      </c>
      <c r="W1706" s="627" t="s">
        <v>51</v>
      </c>
      <c r="X1706" s="627" t="s">
        <v>51</v>
      </c>
      <c r="Y1706" s="89"/>
    </row>
    <row r="1707" ht="22.5" customHeight="1">
      <c r="A1707" s="223"/>
      <c r="B1707" s="125"/>
      <c r="C1707" s="125"/>
      <c r="D1707" s="125"/>
      <c r="E1707" s="125"/>
      <c r="F1707" s="125"/>
      <c r="G1707" s="125"/>
      <c r="H1707" s="125"/>
      <c r="I1707" s="627" t="s">
        <v>51</v>
      </c>
      <c r="J1707" s="125" t="s">
        <v>51</v>
      </c>
      <c r="K1707" s="125" t="s">
        <v>51</v>
      </c>
      <c r="L1707" s="125" t="s">
        <v>51</v>
      </c>
      <c r="M1707" s="125" t="str">
        <f t="shared" si="1"/>
        <v/>
      </c>
      <c r="N1707" s="125" t="str">
        <f t="shared" si="2"/>
        <v/>
      </c>
      <c r="O1707" s="125"/>
      <c r="P1707" s="125"/>
      <c r="Q1707" s="125"/>
      <c r="R1707" s="125"/>
      <c r="S1707" s="628">
        <f t="shared" si="3"/>
        <v>0</v>
      </c>
      <c r="T1707" s="627" t="s">
        <v>51</v>
      </c>
      <c r="U1707" s="627" t="s">
        <v>51</v>
      </c>
      <c r="V1707" s="627" t="s">
        <v>51</v>
      </c>
      <c r="W1707" s="627" t="s">
        <v>51</v>
      </c>
      <c r="X1707" s="627" t="s">
        <v>51</v>
      </c>
      <c r="Y1707" s="89"/>
    </row>
    <row r="1708" ht="22.5" customHeight="1">
      <c r="A1708" s="223"/>
      <c r="B1708" s="125"/>
      <c r="C1708" s="125"/>
      <c r="D1708" s="125"/>
      <c r="E1708" s="125"/>
      <c r="F1708" s="125"/>
      <c r="G1708" s="125"/>
      <c r="H1708" s="125"/>
      <c r="I1708" s="627" t="s">
        <v>51</v>
      </c>
      <c r="J1708" s="125" t="s">
        <v>51</v>
      </c>
      <c r="K1708" s="125" t="s">
        <v>51</v>
      </c>
      <c r="L1708" s="125" t="s">
        <v>51</v>
      </c>
      <c r="M1708" s="125" t="str">
        <f t="shared" si="1"/>
        <v/>
      </c>
      <c r="N1708" s="125" t="str">
        <f t="shared" si="2"/>
        <v/>
      </c>
      <c r="O1708" s="125"/>
      <c r="P1708" s="125"/>
      <c r="Q1708" s="125"/>
      <c r="R1708" s="125"/>
      <c r="S1708" s="628">
        <f t="shared" si="3"/>
        <v>0</v>
      </c>
      <c r="T1708" s="627" t="s">
        <v>51</v>
      </c>
      <c r="U1708" s="627" t="s">
        <v>51</v>
      </c>
      <c r="V1708" s="627" t="s">
        <v>51</v>
      </c>
      <c r="W1708" s="627" t="s">
        <v>51</v>
      </c>
      <c r="X1708" s="627" t="s">
        <v>51</v>
      </c>
      <c r="Y1708" s="89"/>
    </row>
    <row r="1709" ht="22.5" customHeight="1">
      <c r="A1709" s="223"/>
      <c r="B1709" s="125"/>
      <c r="C1709" s="125"/>
      <c r="D1709" s="125"/>
      <c r="E1709" s="125"/>
      <c r="F1709" s="125"/>
      <c r="G1709" s="125"/>
      <c r="H1709" s="125"/>
      <c r="I1709" s="627" t="s">
        <v>51</v>
      </c>
      <c r="J1709" s="125" t="s">
        <v>51</v>
      </c>
      <c r="K1709" s="125" t="s">
        <v>51</v>
      </c>
      <c r="L1709" s="125" t="s">
        <v>51</v>
      </c>
      <c r="M1709" s="125" t="str">
        <f t="shared" si="1"/>
        <v/>
      </c>
      <c r="N1709" s="125" t="str">
        <f t="shared" si="2"/>
        <v/>
      </c>
      <c r="O1709" s="125"/>
      <c r="P1709" s="125"/>
      <c r="Q1709" s="125"/>
      <c r="R1709" s="125"/>
      <c r="S1709" s="628">
        <f t="shared" si="3"/>
        <v>0</v>
      </c>
      <c r="T1709" s="627" t="s">
        <v>51</v>
      </c>
      <c r="U1709" s="627" t="s">
        <v>51</v>
      </c>
      <c r="V1709" s="627" t="s">
        <v>51</v>
      </c>
      <c r="W1709" s="627" t="s">
        <v>51</v>
      </c>
      <c r="X1709" s="627" t="s">
        <v>51</v>
      </c>
      <c r="Y1709" s="89"/>
    </row>
    <row r="1710" ht="22.5" customHeight="1">
      <c r="A1710" s="223"/>
      <c r="B1710" s="125"/>
      <c r="C1710" s="125"/>
      <c r="D1710" s="125"/>
      <c r="E1710" s="125"/>
      <c r="F1710" s="125"/>
      <c r="G1710" s="125"/>
      <c r="H1710" s="125"/>
      <c r="I1710" s="627" t="s">
        <v>51</v>
      </c>
      <c r="J1710" s="125" t="s">
        <v>51</v>
      </c>
      <c r="K1710" s="125" t="s">
        <v>51</v>
      </c>
      <c r="L1710" s="125" t="s">
        <v>51</v>
      </c>
      <c r="M1710" s="125" t="str">
        <f t="shared" si="1"/>
        <v/>
      </c>
      <c r="N1710" s="125" t="str">
        <f t="shared" si="2"/>
        <v/>
      </c>
      <c r="O1710" s="125"/>
      <c r="P1710" s="125"/>
      <c r="Q1710" s="125"/>
      <c r="R1710" s="125"/>
      <c r="S1710" s="628">
        <f t="shared" si="3"/>
        <v>0</v>
      </c>
      <c r="T1710" s="627" t="s">
        <v>51</v>
      </c>
      <c r="U1710" s="627" t="s">
        <v>51</v>
      </c>
      <c r="V1710" s="627" t="s">
        <v>51</v>
      </c>
      <c r="W1710" s="627" t="s">
        <v>51</v>
      </c>
      <c r="X1710" s="627" t="s">
        <v>51</v>
      </c>
      <c r="Y1710" s="89"/>
    </row>
    <row r="1711" ht="22.5" customHeight="1">
      <c r="A1711" s="223"/>
      <c r="B1711" s="125"/>
      <c r="C1711" s="125"/>
      <c r="D1711" s="125"/>
      <c r="E1711" s="125"/>
      <c r="F1711" s="125"/>
      <c r="G1711" s="125"/>
      <c r="H1711" s="125"/>
      <c r="I1711" s="627" t="s">
        <v>51</v>
      </c>
      <c r="J1711" s="125" t="s">
        <v>51</v>
      </c>
      <c r="K1711" s="125" t="s">
        <v>51</v>
      </c>
      <c r="L1711" s="125" t="s">
        <v>51</v>
      </c>
      <c r="M1711" s="125" t="str">
        <f t="shared" si="1"/>
        <v/>
      </c>
      <c r="N1711" s="125" t="str">
        <f t="shared" si="2"/>
        <v/>
      </c>
      <c r="O1711" s="125"/>
      <c r="P1711" s="125"/>
      <c r="Q1711" s="125"/>
      <c r="R1711" s="125"/>
      <c r="S1711" s="628">
        <f t="shared" si="3"/>
        <v>0</v>
      </c>
      <c r="T1711" s="627" t="s">
        <v>51</v>
      </c>
      <c r="U1711" s="627" t="s">
        <v>51</v>
      </c>
      <c r="V1711" s="627" t="s">
        <v>51</v>
      </c>
      <c r="W1711" s="627" t="s">
        <v>51</v>
      </c>
      <c r="X1711" s="627" t="s">
        <v>51</v>
      </c>
      <c r="Y1711" s="89"/>
    </row>
    <row r="1712" ht="22.5" customHeight="1">
      <c r="A1712" s="223"/>
      <c r="B1712" s="125"/>
      <c r="C1712" s="125"/>
      <c r="D1712" s="125"/>
      <c r="E1712" s="125"/>
      <c r="F1712" s="125"/>
      <c r="G1712" s="125"/>
      <c r="H1712" s="125"/>
      <c r="I1712" s="627" t="s">
        <v>51</v>
      </c>
      <c r="J1712" s="125" t="s">
        <v>51</v>
      </c>
      <c r="K1712" s="125" t="s">
        <v>51</v>
      </c>
      <c r="L1712" s="125" t="s">
        <v>51</v>
      </c>
      <c r="M1712" s="125" t="str">
        <f t="shared" si="1"/>
        <v/>
      </c>
      <c r="N1712" s="125" t="str">
        <f t="shared" si="2"/>
        <v/>
      </c>
      <c r="O1712" s="125"/>
      <c r="P1712" s="125"/>
      <c r="Q1712" s="125"/>
      <c r="R1712" s="125"/>
      <c r="S1712" s="628">
        <f t="shared" si="3"/>
        <v>0</v>
      </c>
      <c r="T1712" s="627" t="s">
        <v>51</v>
      </c>
      <c r="U1712" s="627" t="s">
        <v>51</v>
      </c>
      <c r="V1712" s="627" t="s">
        <v>51</v>
      </c>
      <c r="W1712" s="627" t="s">
        <v>51</v>
      </c>
      <c r="X1712" s="627" t="s">
        <v>51</v>
      </c>
      <c r="Y1712" s="89"/>
    </row>
    <row r="1713" ht="22.5" customHeight="1">
      <c r="A1713" s="223"/>
      <c r="B1713" s="125"/>
      <c r="C1713" s="125"/>
      <c r="D1713" s="125"/>
      <c r="E1713" s="125"/>
      <c r="F1713" s="125"/>
      <c r="G1713" s="125"/>
      <c r="H1713" s="125"/>
      <c r="I1713" s="627" t="s">
        <v>51</v>
      </c>
      <c r="J1713" s="125" t="s">
        <v>51</v>
      </c>
      <c r="K1713" s="125" t="s">
        <v>51</v>
      </c>
      <c r="L1713" s="125" t="s">
        <v>51</v>
      </c>
      <c r="M1713" s="125" t="str">
        <f t="shared" si="1"/>
        <v/>
      </c>
      <c r="N1713" s="125" t="str">
        <f t="shared" si="2"/>
        <v/>
      </c>
      <c r="O1713" s="125"/>
      <c r="P1713" s="125"/>
      <c r="Q1713" s="125"/>
      <c r="R1713" s="125"/>
      <c r="S1713" s="628">
        <f t="shared" si="3"/>
        <v>0</v>
      </c>
      <c r="T1713" s="627" t="s">
        <v>51</v>
      </c>
      <c r="U1713" s="627" t="s">
        <v>51</v>
      </c>
      <c r="V1713" s="627" t="s">
        <v>51</v>
      </c>
      <c r="W1713" s="627" t="s">
        <v>51</v>
      </c>
      <c r="X1713" s="627" t="s">
        <v>51</v>
      </c>
      <c r="Y1713" s="89"/>
    </row>
    <row r="1714" ht="22.5" customHeight="1">
      <c r="A1714" s="223"/>
      <c r="B1714" s="125"/>
      <c r="C1714" s="125"/>
      <c r="D1714" s="125"/>
      <c r="E1714" s="125"/>
      <c r="F1714" s="125"/>
      <c r="G1714" s="125"/>
      <c r="H1714" s="125"/>
      <c r="I1714" s="627" t="s">
        <v>51</v>
      </c>
      <c r="J1714" s="125" t="s">
        <v>51</v>
      </c>
      <c r="K1714" s="125" t="s">
        <v>51</v>
      </c>
      <c r="L1714" s="125" t="s">
        <v>51</v>
      </c>
      <c r="M1714" s="125" t="str">
        <f t="shared" si="1"/>
        <v/>
      </c>
      <c r="N1714" s="125" t="str">
        <f t="shared" si="2"/>
        <v/>
      </c>
      <c r="O1714" s="125"/>
      <c r="P1714" s="125"/>
      <c r="Q1714" s="125"/>
      <c r="R1714" s="125"/>
      <c r="S1714" s="628">
        <f t="shared" si="3"/>
        <v>0</v>
      </c>
      <c r="T1714" s="627" t="s">
        <v>51</v>
      </c>
      <c r="U1714" s="627" t="s">
        <v>51</v>
      </c>
      <c r="V1714" s="627" t="s">
        <v>51</v>
      </c>
      <c r="W1714" s="627" t="s">
        <v>51</v>
      </c>
      <c r="X1714" s="627" t="s">
        <v>51</v>
      </c>
      <c r="Y1714" s="89"/>
    </row>
    <row r="1715" ht="22.5" customHeight="1">
      <c r="A1715" s="223"/>
      <c r="B1715" s="125"/>
      <c r="C1715" s="125"/>
      <c r="D1715" s="125"/>
      <c r="E1715" s="125"/>
      <c r="F1715" s="125"/>
      <c r="G1715" s="125"/>
      <c r="H1715" s="125"/>
      <c r="I1715" s="627" t="s">
        <v>51</v>
      </c>
      <c r="J1715" s="125" t="s">
        <v>51</v>
      </c>
      <c r="K1715" s="125" t="s">
        <v>51</v>
      </c>
      <c r="L1715" s="125" t="s">
        <v>51</v>
      </c>
      <c r="M1715" s="125" t="str">
        <f t="shared" si="1"/>
        <v/>
      </c>
      <c r="N1715" s="125" t="str">
        <f t="shared" si="2"/>
        <v/>
      </c>
      <c r="O1715" s="125"/>
      <c r="P1715" s="125"/>
      <c r="Q1715" s="125"/>
      <c r="R1715" s="125"/>
      <c r="S1715" s="628">
        <f t="shared" si="3"/>
        <v>0</v>
      </c>
      <c r="T1715" s="627" t="s">
        <v>51</v>
      </c>
      <c r="U1715" s="627" t="s">
        <v>51</v>
      </c>
      <c r="V1715" s="627" t="s">
        <v>51</v>
      </c>
      <c r="W1715" s="627" t="s">
        <v>51</v>
      </c>
      <c r="X1715" s="627" t="s">
        <v>51</v>
      </c>
      <c r="Y1715" s="89"/>
    </row>
    <row r="1716" ht="22.5" customHeight="1">
      <c r="A1716" s="223"/>
      <c r="B1716" s="125"/>
      <c r="C1716" s="125"/>
      <c r="D1716" s="125"/>
      <c r="E1716" s="125"/>
      <c r="F1716" s="125"/>
      <c r="G1716" s="125"/>
      <c r="H1716" s="125"/>
      <c r="I1716" s="627" t="s">
        <v>51</v>
      </c>
      <c r="J1716" s="125" t="s">
        <v>51</v>
      </c>
      <c r="K1716" s="125" t="s">
        <v>51</v>
      </c>
      <c r="L1716" s="125" t="s">
        <v>51</v>
      </c>
      <c r="M1716" s="125" t="str">
        <f t="shared" si="1"/>
        <v/>
      </c>
      <c r="N1716" s="125" t="str">
        <f t="shared" si="2"/>
        <v/>
      </c>
      <c r="O1716" s="125"/>
      <c r="P1716" s="125"/>
      <c r="Q1716" s="125"/>
      <c r="R1716" s="125"/>
      <c r="S1716" s="628">
        <f t="shared" si="3"/>
        <v>0</v>
      </c>
      <c r="T1716" s="627" t="s">
        <v>51</v>
      </c>
      <c r="U1716" s="627" t="s">
        <v>51</v>
      </c>
      <c r="V1716" s="627" t="s">
        <v>51</v>
      </c>
      <c r="W1716" s="627" t="s">
        <v>51</v>
      </c>
      <c r="X1716" s="627" t="s">
        <v>51</v>
      </c>
      <c r="Y1716" s="89"/>
    </row>
    <row r="1717" ht="22.5" customHeight="1">
      <c r="A1717" s="223"/>
      <c r="B1717" s="125"/>
      <c r="C1717" s="125"/>
      <c r="D1717" s="125"/>
      <c r="E1717" s="125"/>
      <c r="F1717" s="125"/>
      <c r="G1717" s="125"/>
      <c r="H1717" s="125"/>
      <c r="I1717" s="627" t="s">
        <v>51</v>
      </c>
      <c r="J1717" s="125" t="s">
        <v>51</v>
      </c>
      <c r="K1717" s="125" t="s">
        <v>51</v>
      </c>
      <c r="L1717" s="125" t="s">
        <v>51</v>
      </c>
      <c r="M1717" s="125" t="str">
        <f t="shared" si="1"/>
        <v/>
      </c>
      <c r="N1717" s="125" t="str">
        <f t="shared" si="2"/>
        <v/>
      </c>
      <c r="O1717" s="125"/>
      <c r="P1717" s="125"/>
      <c r="Q1717" s="125"/>
      <c r="R1717" s="125"/>
      <c r="S1717" s="628">
        <f t="shared" si="3"/>
        <v>0</v>
      </c>
      <c r="T1717" s="627" t="s">
        <v>51</v>
      </c>
      <c r="U1717" s="627" t="s">
        <v>51</v>
      </c>
      <c r="V1717" s="627" t="s">
        <v>51</v>
      </c>
      <c r="W1717" s="627" t="s">
        <v>51</v>
      </c>
      <c r="X1717" s="627" t="s">
        <v>51</v>
      </c>
      <c r="Y1717" s="89"/>
    </row>
    <row r="1718" ht="22.5" customHeight="1">
      <c r="A1718" s="223"/>
      <c r="B1718" s="125"/>
      <c r="C1718" s="125"/>
      <c r="D1718" s="125"/>
      <c r="E1718" s="125"/>
      <c r="F1718" s="125"/>
      <c r="G1718" s="125"/>
      <c r="H1718" s="125"/>
      <c r="I1718" s="627" t="s">
        <v>51</v>
      </c>
      <c r="J1718" s="125" t="s">
        <v>51</v>
      </c>
      <c r="K1718" s="125" t="s">
        <v>51</v>
      </c>
      <c r="L1718" s="125" t="s">
        <v>51</v>
      </c>
      <c r="M1718" s="125" t="str">
        <f t="shared" si="1"/>
        <v/>
      </c>
      <c r="N1718" s="125" t="str">
        <f t="shared" si="2"/>
        <v/>
      </c>
      <c r="O1718" s="125"/>
      <c r="P1718" s="125"/>
      <c r="Q1718" s="125"/>
      <c r="R1718" s="125"/>
      <c r="S1718" s="628">
        <f t="shared" si="3"/>
        <v>0</v>
      </c>
      <c r="T1718" s="627" t="s">
        <v>51</v>
      </c>
      <c r="U1718" s="627" t="s">
        <v>51</v>
      </c>
      <c r="V1718" s="627" t="s">
        <v>51</v>
      </c>
      <c r="W1718" s="627" t="s">
        <v>51</v>
      </c>
      <c r="X1718" s="627" t="s">
        <v>51</v>
      </c>
      <c r="Y1718" s="89"/>
    </row>
    <row r="1719" ht="22.5" customHeight="1">
      <c r="A1719" s="223"/>
      <c r="B1719" s="125"/>
      <c r="C1719" s="125"/>
      <c r="D1719" s="125"/>
      <c r="E1719" s="125"/>
      <c r="F1719" s="125"/>
      <c r="G1719" s="125"/>
      <c r="H1719" s="125"/>
      <c r="I1719" s="627" t="s">
        <v>51</v>
      </c>
      <c r="J1719" s="125" t="s">
        <v>51</v>
      </c>
      <c r="K1719" s="125" t="s">
        <v>51</v>
      </c>
      <c r="L1719" s="125" t="s">
        <v>51</v>
      </c>
      <c r="M1719" s="125" t="str">
        <f t="shared" si="1"/>
        <v/>
      </c>
      <c r="N1719" s="125" t="str">
        <f t="shared" si="2"/>
        <v/>
      </c>
      <c r="O1719" s="125"/>
      <c r="P1719" s="125"/>
      <c r="Q1719" s="125"/>
      <c r="R1719" s="125"/>
      <c r="S1719" s="628">
        <f t="shared" si="3"/>
        <v>0</v>
      </c>
      <c r="T1719" s="627" t="s">
        <v>51</v>
      </c>
      <c r="U1719" s="627" t="s">
        <v>51</v>
      </c>
      <c r="V1719" s="627" t="s">
        <v>51</v>
      </c>
      <c r="W1719" s="627" t="s">
        <v>51</v>
      </c>
      <c r="X1719" s="627" t="s">
        <v>51</v>
      </c>
      <c r="Y1719" s="89"/>
    </row>
    <row r="1720" ht="22.5" customHeight="1">
      <c r="A1720" s="223"/>
      <c r="B1720" s="125"/>
      <c r="C1720" s="125"/>
      <c r="D1720" s="125"/>
      <c r="E1720" s="125"/>
      <c r="F1720" s="125"/>
      <c r="G1720" s="125"/>
      <c r="H1720" s="125"/>
      <c r="I1720" s="627" t="s">
        <v>51</v>
      </c>
      <c r="J1720" s="125" t="s">
        <v>51</v>
      </c>
      <c r="K1720" s="125" t="s">
        <v>51</v>
      </c>
      <c r="L1720" s="125" t="s">
        <v>51</v>
      </c>
      <c r="M1720" s="125" t="str">
        <f t="shared" si="1"/>
        <v/>
      </c>
      <c r="N1720" s="125" t="str">
        <f t="shared" si="2"/>
        <v/>
      </c>
      <c r="O1720" s="125"/>
      <c r="P1720" s="125"/>
      <c r="Q1720" s="125"/>
      <c r="R1720" s="125"/>
      <c r="S1720" s="628">
        <f t="shared" si="3"/>
        <v>0</v>
      </c>
      <c r="T1720" s="627" t="s">
        <v>51</v>
      </c>
      <c r="U1720" s="627" t="s">
        <v>51</v>
      </c>
      <c r="V1720" s="627" t="s">
        <v>51</v>
      </c>
      <c r="W1720" s="627" t="s">
        <v>51</v>
      </c>
      <c r="X1720" s="627" t="s">
        <v>51</v>
      </c>
      <c r="Y1720" s="89"/>
    </row>
    <row r="1721" ht="22.5" customHeight="1">
      <c r="A1721" s="223"/>
      <c r="B1721" s="125"/>
      <c r="C1721" s="125"/>
      <c r="D1721" s="125"/>
      <c r="E1721" s="125"/>
      <c r="F1721" s="125"/>
      <c r="G1721" s="125"/>
      <c r="H1721" s="125"/>
      <c r="I1721" s="627" t="s">
        <v>51</v>
      </c>
      <c r="J1721" s="125" t="s">
        <v>51</v>
      </c>
      <c r="K1721" s="125" t="s">
        <v>51</v>
      </c>
      <c r="L1721" s="125" t="s">
        <v>51</v>
      </c>
      <c r="M1721" s="125" t="str">
        <f t="shared" si="1"/>
        <v/>
      </c>
      <c r="N1721" s="125" t="str">
        <f t="shared" si="2"/>
        <v/>
      </c>
      <c r="O1721" s="125"/>
      <c r="P1721" s="125"/>
      <c r="Q1721" s="125"/>
      <c r="R1721" s="125"/>
      <c r="S1721" s="628">
        <f t="shared" si="3"/>
        <v>0</v>
      </c>
      <c r="T1721" s="627" t="s">
        <v>51</v>
      </c>
      <c r="U1721" s="627" t="s">
        <v>51</v>
      </c>
      <c r="V1721" s="627" t="s">
        <v>51</v>
      </c>
      <c r="W1721" s="627" t="s">
        <v>51</v>
      </c>
      <c r="X1721" s="627" t="s">
        <v>51</v>
      </c>
      <c r="Y1721" s="89"/>
    </row>
    <row r="1722" ht="22.5" customHeight="1">
      <c r="A1722" s="223"/>
      <c r="B1722" s="125"/>
      <c r="C1722" s="125"/>
      <c r="D1722" s="125"/>
      <c r="E1722" s="125"/>
      <c r="F1722" s="125"/>
      <c r="G1722" s="125"/>
      <c r="H1722" s="125"/>
      <c r="I1722" s="627" t="s">
        <v>51</v>
      </c>
      <c r="J1722" s="125" t="s">
        <v>51</v>
      </c>
      <c r="K1722" s="125" t="s">
        <v>51</v>
      </c>
      <c r="L1722" s="125" t="s">
        <v>51</v>
      </c>
      <c r="M1722" s="125" t="str">
        <f t="shared" si="1"/>
        <v/>
      </c>
      <c r="N1722" s="125" t="str">
        <f t="shared" si="2"/>
        <v/>
      </c>
      <c r="O1722" s="125"/>
      <c r="P1722" s="125"/>
      <c r="Q1722" s="125"/>
      <c r="R1722" s="125"/>
      <c r="S1722" s="628">
        <f t="shared" si="3"/>
        <v>0</v>
      </c>
      <c r="T1722" s="627" t="s">
        <v>51</v>
      </c>
      <c r="U1722" s="627" t="s">
        <v>51</v>
      </c>
      <c r="V1722" s="627" t="s">
        <v>51</v>
      </c>
      <c r="W1722" s="627" t="s">
        <v>51</v>
      </c>
      <c r="X1722" s="627" t="s">
        <v>51</v>
      </c>
      <c r="Y1722" s="89"/>
    </row>
    <row r="1723" ht="22.5" customHeight="1">
      <c r="A1723" s="223"/>
      <c r="B1723" s="125"/>
      <c r="C1723" s="125"/>
      <c r="D1723" s="125"/>
      <c r="E1723" s="125"/>
      <c r="F1723" s="125"/>
      <c r="G1723" s="125"/>
      <c r="H1723" s="125"/>
      <c r="I1723" s="627" t="s">
        <v>51</v>
      </c>
      <c r="J1723" s="125" t="s">
        <v>51</v>
      </c>
      <c r="K1723" s="125" t="s">
        <v>51</v>
      </c>
      <c r="L1723" s="125" t="s">
        <v>51</v>
      </c>
      <c r="M1723" s="125" t="str">
        <f t="shared" si="1"/>
        <v/>
      </c>
      <c r="N1723" s="125" t="str">
        <f t="shared" si="2"/>
        <v/>
      </c>
      <c r="O1723" s="125"/>
      <c r="P1723" s="125"/>
      <c r="Q1723" s="125"/>
      <c r="R1723" s="125"/>
      <c r="S1723" s="628">
        <f t="shared" si="3"/>
        <v>0</v>
      </c>
      <c r="T1723" s="627" t="s">
        <v>51</v>
      </c>
      <c r="U1723" s="627" t="s">
        <v>51</v>
      </c>
      <c r="V1723" s="627" t="s">
        <v>51</v>
      </c>
      <c r="W1723" s="627" t="s">
        <v>51</v>
      </c>
      <c r="X1723" s="627" t="s">
        <v>51</v>
      </c>
      <c r="Y1723" s="89"/>
    </row>
    <row r="1724" ht="22.5" customHeight="1">
      <c r="A1724" s="223"/>
      <c r="B1724" s="125"/>
      <c r="C1724" s="125"/>
      <c r="D1724" s="125"/>
      <c r="E1724" s="125"/>
      <c r="F1724" s="125"/>
      <c r="G1724" s="125"/>
      <c r="H1724" s="125"/>
      <c r="I1724" s="627" t="s">
        <v>51</v>
      </c>
      <c r="J1724" s="125" t="s">
        <v>51</v>
      </c>
      <c r="K1724" s="125" t="s">
        <v>51</v>
      </c>
      <c r="L1724" s="125" t="s">
        <v>51</v>
      </c>
      <c r="M1724" s="125" t="str">
        <f t="shared" si="1"/>
        <v/>
      </c>
      <c r="N1724" s="125" t="str">
        <f t="shared" si="2"/>
        <v/>
      </c>
      <c r="O1724" s="125"/>
      <c r="P1724" s="125"/>
      <c r="Q1724" s="125"/>
      <c r="R1724" s="125"/>
      <c r="S1724" s="628">
        <f t="shared" si="3"/>
        <v>0</v>
      </c>
      <c r="T1724" s="627" t="s">
        <v>51</v>
      </c>
      <c r="U1724" s="627" t="s">
        <v>51</v>
      </c>
      <c r="V1724" s="627" t="s">
        <v>51</v>
      </c>
      <c r="W1724" s="627" t="s">
        <v>51</v>
      </c>
      <c r="X1724" s="627" t="s">
        <v>51</v>
      </c>
      <c r="Y1724" s="89"/>
    </row>
    <row r="1725" ht="22.5" customHeight="1">
      <c r="A1725" s="223"/>
      <c r="B1725" s="125"/>
      <c r="C1725" s="125"/>
      <c r="D1725" s="125"/>
      <c r="E1725" s="125"/>
      <c r="F1725" s="125"/>
      <c r="G1725" s="125"/>
      <c r="H1725" s="125"/>
      <c r="I1725" s="627" t="s">
        <v>51</v>
      </c>
      <c r="J1725" s="125" t="s">
        <v>51</v>
      </c>
      <c r="K1725" s="125" t="s">
        <v>51</v>
      </c>
      <c r="L1725" s="125" t="s">
        <v>51</v>
      </c>
      <c r="M1725" s="125" t="str">
        <f t="shared" si="1"/>
        <v/>
      </c>
      <c r="N1725" s="125" t="str">
        <f t="shared" si="2"/>
        <v/>
      </c>
      <c r="O1725" s="125"/>
      <c r="P1725" s="125"/>
      <c r="Q1725" s="125"/>
      <c r="R1725" s="125"/>
      <c r="S1725" s="628">
        <f t="shared" si="3"/>
        <v>0</v>
      </c>
      <c r="T1725" s="627" t="s">
        <v>51</v>
      </c>
      <c r="U1725" s="627" t="s">
        <v>51</v>
      </c>
      <c r="V1725" s="627" t="s">
        <v>51</v>
      </c>
      <c r="W1725" s="627" t="s">
        <v>51</v>
      </c>
      <c r="X1725" s="627" t="s">
        <v>51</v>
      </c>
      <c r="Y1725" s="89"/>
    </row>
    <row r="1726" ht="22.5" customHeight="1">
      <c r="A1726" s="223"/>
      <c r="B1726" s="125"/>
      <c r="C1726" s="125"/>
      <c r="D1726" s="125"/>
      <c r="E1726" s="125"/>
      <c r="F1726" s="125"/>
      <c r="G1726" s="125"/>
      <c r="H1726" s="125"/>
      <c r="I1726" s="627" t="s">
        <v>51</v>
      </c>
      <c r="J1726" s="125" t="s">
        <v>51</v>
      </c>
      <c r="K1726" s="125" t="s">
        <v>51</v>
      </c>
      <c r="L1726" s="125" t="s">
        <v>51</v>
      </c>
      <c r="M1726" s="125" t="str">
        <f t="shared" si="1"/>
        <v/>
      </c>
      <c r="N1726" s="125" t="str">
        <f t="shared" si="2"/>
        <v/>
      </c>
      <c r="O1726" s="125"/>
      <c r="P1726" s="125"/>
      <c r="Q1726" s="125"/>
      <c r="R1726" s="125"/>
      <c r="S1726" s="628">
        <f t="shared" si="3"/>
        <v>0</v>
      </c>
      <c r="T1726" s="627" t="s">
        <v>51</v>
      </c>
      <c r="U1726" s="627" t="s">
        <v>51</v>
      </c>
      <c r="V1726" s="627" t="s">
        <v>51</v>
      </c>
      <c r="W1726" s="627" t="s">
        <v>51</v>
      </c>
      <c r="X1726" s="627" t="s">
        <v>51</v>
      </c>
      <c r="Y1726" s="89"/>
    </row>
    <row r="1727" ht="22.5" customHeight="1">
      <c r="A1727" s="223"/>
      <c r="B1727" s="125"/>
      <c r="C1727" s="125"/>
      <c r="D1727" s="125"/>
      <c r="E1727" s="125"/>
      <c r="F1727" s="125"/>
      <c r="G1727" s="125"/>
      <c r="H1727" s="125"/>
      <c r="I1727" s="627" t="s">
        <v>51</v>
      </c>
      <c r="J1727" s="125" t="s">
        <v>51</v>
      </c>
      <c r="K1727" s="125" t="s">
        <v>51</v>
      </c>
      <c r="L1727" s="125" t="s">
        <v>51</v>
      </c>
      <c r="M1727" s="125" t="str">
        <f t="shared" si="1"/>
        <v/>
      </c>
      <c r="N1727" s="125" t="str">
        <f t="shared" si="2"/>
        <v/>
      </c>
      <c r="O1727" s="125"/>
      <c r="P1727" s="125"/>
      <c r="Q1727" s="125"/>
      <c r="R1727" s="125"/>
      <c r="S1727" s="628">
        <f t="shared" si="3"/>
        <v>0</v>
      </c>
      <c r="T1727" s="627" t="s">
        <v>51</v>
      </c>
      <c r="U1727" s="627" t="s">
        <v>51</v>
      </c>
      <c r="V1727" s="627" t="s">
        <v>51</v>
      </c>
      <c r="W1727" s="627" t="s">
        <v>51</v>
      </c>
      <c r="X1727" s="627" t="s">
        <v>51</v>
      </c>
      <c r="Y1727" s="89"/>
    </row>
    <row r="1728" ht="22.5" customHeight="1">
      <c r="A1728" s="223"/>
      <c r="B1728" s="125"/>
      <c r="C1728" s="125"/>
      <c r="D1728" s="125"/>
      <c r="E1728" s="125"/>
      <c r="F1728" s="125"/>
      <c r="G1728" s="125"/>
      <c r="H1728" s="125"/>
      <c r="I1728" s="627" t="s">
        <v>51</v>
      </c>
      <c r="J1728" s="125" t="s">
        <v>51</v>
      </c>
      <c r="K1728" s="125" t="s">
        <v>51</v>
      </c>
      <c r="L1728" s="125" t="s">
        <v>51</v>
      </c>
      <c r="M1728" s="125" t="str">
        <f t="shared" si="1"/>
        <v/>
      </c>
      <c r="N1728" s="125" t="str">
        <f t="shared" si="2"/>
        <v/>
      </c>
      <c r="O1728" s="125"/>
      <c r="P1728" s="125"/>
      <c r="Q1728" s="125"/>
      <c r="R1728" s="125"/>
      <c r="S1728" s="628">
        <f t="shared" si="3"/>
        <v>0</v>
      </c>
      <c r="T1728" s="627" t="s">
        <v>51</v>
      </c>
      <c r="U1728" s="627" t="s">
        <v>51</v>
      </c>
      <c r="V1728" s="627" t="s">
        <v>51</v>
      </c>
      <c r="W1728" s="627" t="s">
        <v>51</v>
      </c>
      <c r="X1728" s="627" t="s">
        <v>51</v>
      </c>
      <c r="Y1728" s="89"/>
    </row>
    <row r="1729" ht="22.5" customHeight="1">
      <c r="A1729" s="223"/>
      <c r="B1729" s="125"/>
      <c r="C1729" s="125"/>
      <c r="D1729" s="125"/>
      <c r="E1729" s="125"/>
      <c r="F1729" s="125"/>
      <c r="G1729" s="125"/>
      <c r="H1729" s="125"/>
      <c r="I1729" s="627" t="s">
        <v>51</v>
      </c>
      <c r="J1729" s="125" t="s">
        <v>51</v>
      </c>
      <c r="K1729" s="125" t="s">
        <v>51</v>
      </c>
      <c r="L1729" s="125" t="s">
        <v>51</v>
      </c>
      <c r="M1729" s="125" t="str">
        <f t="shared" si="1"/>
        <v/>
      </c>
      <c r="N1729" s="125" t="str">
        <f t="shared" si="2"/>
        <v/>
      </c>
      <c r="O1729" s="125"/>
      <c r="P1729" s="125"/>
      <c r="Q1729" s="125"/>
      <c r="R1729" s="125"/>
      <c r="S1729" s="628">
        <f t="shared" si="3"/>
        <v>0</v>
      </c>
      <c r="T1729" s="627" t="s">
        <v>51</v>
      </c>
      <c r="U1729" s="627" t="s">
        <v>51</v>
      </c>
      <c r="V1729" s="627" t="s">
        <v>51</v>
      </c>
      <c r="W1729" s="627" t="s">
        <v>51</v>
      </c>
      <c r="X1729" s="627" t="s">
        <v>51</v>
      </c>
      <c r="Y1729" s="89"/>
    </row>
    <row r="1730" ht="22.5" customHeight="1">
      <c r="A1730" s="223"/>
      <c r="B1730" s="125"/>
      <c r="C1730" s="125"/>
      <c r="D1730" s="125"/>
      <c r="E1730" s="125"/>
      <c r="F1730" s="125"/>
      <c r="G1730" s="125"/>
      <c r="H1730" s="125"/>
      <c r="I1730" s="627" t="s">
        <v>51</v>
      </c>
      <c r="J1730" s="125" t="s">
        <v>51</v>
      </c>
      <c r="K1730" s="125" t="s">
        <v>51</v>
      </c>
      <c r="L1730" s="125" t="s">
        <v>51</v>
      </c>
      <c r="M1730" s="125" t="str">
        <f t="shared" si="1"/>
        <v/>
      </c>
      <c r="N1730" s="125" t="str">
        <f t="shared" si="2"/>
        <v/>
      </c>
      <c r="O1730" s="125"/>
      <c r="P1730" s="125"/>
      <c r="Q1730" s="125"/>
      <c r="R1730" s="125"/>
      <c r="S1730" s="628">
        <f t="shared" si="3"/>
        <v>0</v>
      </c>
      <c r="T1730" s="627" t="s">
        <v>51</v>
      </c>
      <c r="U1730" s="627" t="s">
        <v>51</v>
      </c>
      <c r="V1730" s="627" t="s">
        <v>51</v>
      </c>
      <c r="W1730" s="627" t="s">
        <v>51</v>
      </c>
      <c r="X1730" s="627" t="s">
        <v>51</v>
      </c>
      <c r="Y1730" s="89"/>
    </row>
    <row r="1731" ht="22.5" customHeight="1">
      <c r="A1731" s="223"/>
      <c r="B1731" s="125"/>
      <c r="C1731" s="125"/>
      <c r="D1731" s="125"/>
      <c r="E1731" s="125"/>
      <c r="F1731" s="125"/>
      <c r="G1731" s="125"/>
      <c r="H1731" s="125"/>
      <c r="I1731" s="627" t="s">
        <v>51</v>
      </c>
      <c r="J1731" s="125" t="s">
        <v>51</v>
      </c>
      <c r="K1731" s="125" t="s">
        <v>51</v>
      </c>
      <c r="L1731" s="125" t="s">
        <v>51</v>
      </c>
      <c r="M1731" s="125" t="str">
        <f t="shared" si="1"/>
        <v/>
      </c>
      <c r="N1731" s="125" t="str">
        <f t="shared" si="2"/>
        <v/>
      </c>
      <c r="O1731" s="125"/>
      <c r="P1731" s="125"/>
      <c r="Q1731" s="125"/>
      <c r="R1731" s="125"/>
      <c r="S1731" s="628">
        <f t="shared" si="3"/>
        <v>0</v>
      </c>
      <c r="T1731" s="627" t="s">
        <v>51</v>
      </c>
      <c r="U1731" s="627" t="s">
        <v>51</v>
      </c>
      <c r="V1731" s="627" t="s">
        <v>51</v>
      </c>
      <c r="W1731" s="627" t="s">
        <v>51</v>
      </c>
      <c r="X1731" s="627" t="s">
        <v>51</v>
      </c>
      <c r="Y1731" s="89"/>
    </row>
    <row r="1732" ht="22.5" customHeight="1">
      <c r="A1732" s="223"/>
      <c r="B1732" s="125"/>
      <c r="C1732" s="125"/>
      <c r="D1732" s="125"/>
      <c r="E1732" s="125"/>
      <c r="F1732" s="125"/>
      <c r="G1732" s="125"/>
      <c r="H1732" s="125"/>
      <c r="I1732" s="627" t="s">
        <v>51</v>
      </c>
      <c r="J1732" s="125" t="s">
        <v>51</v>
      </c>
      <c r="K1732" s="125" t="s">
        <v>51</v>
      </c>
      <c r="L1732" s="125" t="s">
        <v>51</v>
      </c>
      <c r="M1732" s="125" t="str">
        <f t="shared" si="1"/>
        <v/>
      </c>
      <c r="N1732" s="125" t="str">
        <f t="shared" si="2"/>
        <v/>
      </c>
      <c r="O1732" s="125"/>
      <c r="P1732" s="125"/>
      <c r="Q1732" s="125"/>
      <c r="R1732" s="125"/>
      <c r="S1732" s="628">
        <f t="shared" si="3"/>
        <v>0</v>
      </c>
      <c r="T1732" s="627" t="s">
        <v>51</v>
      </c>
      <c r="U1732" s="627" t="s">
        <v>51</v>
      </c>
      <c r="V1732" s="627" t="s">
        <v>51</v>
      </c>
      <c r="W1732" s="627" t="s">
        <v>51</v>
      </c>
      <c r="X1732" s="627" t="s">
        <v>51</v>
      </c>
      <c r="Y1732" s="89"/>
    </row>
    <row r="1733" ht="22.5" customHeight="1">
      <c r="A1733" s="223"/>
      <c r="B1733" s="125"/>
      <c r="C1733" s="125"/>
      <c r="D1733" s="125"/>
      <c r="E1733" s="125"/>
      <c r="F1733" s="125"/>
      <c r="G1733" s="125"/>
      <c r="H1733" s="125"/>
      <c r="I1733" s="627" t="s">
        <v>51</v>
      </c>
      <c r="J1733" s="125" t="s">
        <v>51</v>
      </c>
      <c r="K1733" s="125" t="s">
        <v>51</v>
      </c>
      <c r="L1733" s="125" t="s">
        <v>51</v>
      </c>
      <c r="M1733" s="125" t="str">
        <f t="shared" si="1"/>
        <v/>
      </c>
      <c r="N1733" s="125" t="str">
        <f t="shared" si="2"/>
        <v/>
      </c>
      <c r="O1733" s="125"/>
      <c r="P1733" s="125"/>
      <c r="Q1733" s="125"/>
      <c r="R1733" s="125"/>
      <c r="S1733" s="628">
        <f t="shared" si="3"/>
        <v>0</v>
      </c>
      <c r="T1733" s="627" t="s">
        <v>51</v>
      </c>
      <c r="U1733" s="627" t="s">
        <v>51</v>
      </c>
      <c r="V1733" s="627" t="s">
        <v>51</v>
      </c>
      <c r="W1733" s="627" t="s">
        <v>51</v>
      </c>
      <c r="X1733" s="627" t="s">
        <v>51</v>
      </c>
      <c r="Y1733" s="89"/>
    </row>
    <row r="1734" ht="22.5" customHeight="1">
      <c r="A1734" s="223"/>
      <c r="B1734" s="125"/>
      <c r="C1734" s="125"/>
      <c r="D1734" s="125"/>
      <c r="E1734" s="125"/>
      <c r="F1734" s="125"/>
      <c r="G1734" s="125"/>
      <c r="H1734" s="125"/>
      <c r="I1734" s="627" t="s">
        <v>51</v>
      </c>
      <c r="J1734" s="125" t="s">
        <v>51</v>
      </c>
      <c r="K1734" s="125" t="s">
        <v>51</v>
      </c>
      <c r="L1734" s="125" t="s">
        <v>51</v>
      </c>
      <c r="M1734" s="125" t="str">
        <f t="shared" si="1"/>
        <v/>
      </c>
      <c r="N1734" s="125" t="str">
        <f t="shared" si="2"/>
        <v/>
      </c>
      <c r="O1734" s="125"/>
      <c r="P1734" s="125"/>
      <c r="Q1734" s="125"/>
      <c r="R1734" s="125"/>
      <c r="S1734" s="628">
        <f t="shared" si="3"/>
        <v>0</v>
      </c>
      <c r="T1734" s="627" t="s">
        <v>51</v>
      </c>
      <c r="U1734" s="627" t="s">
        <v>51</v>
      </c>
      <c r="V1734" s="627" t="s">
        <v>51</v>
      </c>
      <c r="W1734" s="627" t="s">
        <v>51</v>
      </c>
      <c r="X1734" s="627" t="s">
        <v>51</v>
      </c>
      <c r="Y1734" s="89"/>
    </row>
    <row r="1735" ht="22.5" customHeight="1">
      <c r="A1735" s="223"/>
      <c r="B1735" s="125"/>
      <c r="C1735" s="125"/>
      <c r="D1735" s="125"/>
      <c r="E1735" s="125"/>
      <c r="F1735" s="125"/>
      <c r="G1735" s="125"/>
      <c r="H1735" s="125"/>
      <c r="I1735" s="627" t="s">
        <v>51</v>
      </c>
      <c r="J1735" s="125" t="s">
        <v>51</v>
      </c>
      <c r="K1735" s="125" t="s">
        <v>51</v>
      </c>
      <c r="L1735" s="125" t="s">
        <v>51</v>
      </c>
      <c r="M1735" s="125" t="str">
        <f t="shared" si="1"/>
        <v/>
      </c>
      <c r="N1735" s="125" t="str">
        <f t="shared" si="2"/>
        <v/>
      </c>
      <c r="O1735" s="125"/>
      <c r="P1735" s="125"/>
      <c r="Q1735" s="125"/>
      <c r="R1735" s="125"/>
      <c r="S1735" s="628">
        <f t="shared" si="3"/>
        <v>0</v>
      </c>
      <c r="T1735" s="627" t="s">
        <v>51</v>
      </c>
      <c r="U1735" s="627" t="s">
        <v>51</v>
      </c>
      <c r="V1735" s="627" t="s">
        <v>51</v>
      </c>
      <c r="W1735" s="627" t="s">
        <v>51</v>
      </c>
      <c r="X1735" s="627" t="s">
        <v>51</v>
      </c>
      <c r="Y1735" s="89"/>
    </row>
    <row r="1736" ht="22.5" customHeight="1">
      <c r="A1736" s="223"/>
      <c r="B1736" s="125"/>
      <c r="C1736" s="125"/>
      <c r="D1736" s="125"/>
      <c r="E1736" s="125"/>
      <c r="F1736" s="125"/>
      <c r="G1736" s="125"/>
      <c r="H1736" s="125"/>
      <c r="I1736" s="627" t="s">
        <v>51</v>
      </c>
      <c r="J1736" s="125" t="s">
        <v>51</v>
      </c>
      <c r="K1736" s="125" t="s">
        <v>51</v>
      </c>
      <c r="L1736" s="125" t="s">
        <v>51</v>
      </c>
      <c r="M1736" s="125" t="str">
        <f t="shared" si="1"/>
        <v/>
      </c>
      <c r="N1736" s="125" t="str">
        <f t="shared" si="2"/>
        <v/>
      </c>
      <c r="O1736" s="125"/>
      <c r="P1736" s="125"/>
      <c r="Q1736" s="125"/>
      <c r="R1736" s="125"/>
      <c r="S1736" s="628">
        <f t="shared" si="3"/>
        <v>0</v>
      </c>
      <c r="T1736" s="627" t="s">
        <v>51</v>
      </c>
      <c r="U1736" s="627" t="s">
        <v>51</v>
      </c>
      <c r="V1736" s="627" t="s">
        <v>51</v>
      </c>
      <c r="W1736" s="627" t="s">
        <v>51</v>
      </c>
      <c r="X1736" s="627" t="s">
        <v>51</v>
      </c>
      <c r="Y1736" s="89"/>
    </row>
    <row r="1737" ht="22.5" customHeight="1">
      <c r="A1737" s="223"/>
      <c r="B1737" s="125"/>
      <c r="C1737" s="125"/>
      <c r="D1737" s="125"/>
      <c r="E1737" s="125"/>
      <c r="F1737" s="125"/>
      <c r="G1737" s="125"/>
      <c r="H1737" s="125"/>
      <c r="I1737" s="627" t="s">
        <v>51</v>
      </c>
      <c r="J1737" s="125" t="s">
        <v>51</v>
      </c>
      <c r="K1737" s="125" t="s">
        <v>51</v>
      </c>
      <c r="L1737" s="125" t="s">
        <v>51</v>
      </c>
      <c r="M1737" s="125" t="str">
        <f t="shared" si="1"/>
        <v/>
      </c>
      <c r="N1737" s="125" t="str">
        <f t="shared" si="2"/>
        <v/>
      </c>
      <c r="O1737" s="125"/>
      <c r="P1737" s="125"/>
      <c r="Q1737" s="125"/>
      <c r="R1737" s="125"/>
      <c r="S1737" s="628">
        <f t="shared" si="3"/>
        <v>0</v>
      </c>
      <c r="T1737" s="627" t="s">
        <v>51</v>
      </c>
      <c r="U1737" s="627" t="s">
        <v>51</v>
      </c>
      <c r="V1737" s="627" t="s">
        <v>51</v>
      </c>
      <c r="W1737" s="627" t="s">
        <v>51</v>
      </c>
      <c r="X1737" s="627" t="s">
        <v>51</v>
      </c>
      <c r="Y1737" s="89"/>
    </row>
    <row r="1738" ht="22.5" customHeight="1">
      <c r="A1738" s="223"/>
      <c r="B1738" s="125"/>
      <c r="C1738" s="125"/>
      <c r="D1738" s="125"/>
      <c r="E1738" s="125"/>
      <c r="F1738" s="125"/>
      <c r="G1738" s="125"/>
      <c r="H1738" s="125"/>
      <c r="I1738" s="627" t="s">
        <v>51</v>
      </c>
      <c r="J1738" s="125" t="s">
        <v>51</v>
      </c>
      <c r="K1738" s="125" t="s">
        <v>51</v>
      </c>
      <c r="L1738" s="125" t="s">
        <v>51</v>
      </c>
      <c r="M1738" s="125" t="str">
        <f t="shared" si="1"/>
        <v/>
      </c>
      <c r="N1738" s="125" t="str">
        <f t="shared" si="2"/>
        <v/>
      </c>
      <c r="O1738" s="125"/>
      <c r="P1738" s="125"/>
      <c r="Q1738" s="125"/>
      <c r="R1738" s="125"/>
      <c r="S1738" s="628">
        <f t="shared" si="3"/>
        <v>0</v>
      </c>
      <c r="T1738" s="627" t="s">
        <v>51</v>
      </c>
      <c r="U1738" s="627" t="s">
        <v>51</v>
      </c>
      <c r="V1738" s="627" t="s">
        <v>51</v>
      </c>
      <c r="W1738" s="627" t="s">
        <v>51</v>
      </c>
      <c r="X1738" s="627" t="s">
        <v>51</v>
      </c>
      <c r="Y1738" s="89"/>
    </row>
    <row r="1739" ht="22.5" customHeight="1">
      <c r="A1739" s="223"/>
      <c r="B1739" s="125"/>
      <c r="C1739" s="125"/>
      <c r="D1739" s="125"/>
      <c r="E1739" s="125"/>
      <c r="F1739" s="125"/>
      <c r="G1739" s="125"/>
      <c r="H1739" s="125"/>
      <c r="I1739" s="627" t="s">
        <v>51</v>
      </c>
      <c r="J1739" s="125" t="s">
        <v>51</v>
      </c>
      <c r="K1739" s="125" t="s">
        <v>51</v>
      </c>
      <c r="L1739" s="125" t="s">
        <v>51</v>
      </c>
      <c r="M1739" s="125" t="str">
        <f t="shared" si="1"/>
        <v/>
      </c>
      <c r="N1739" s="125" t="str">
        <f t="shared" si="2"/>
        <v/>
      </c>
      <c r="O1739" s="125"/>
      <c r="P1739" s="125"/>
      <c r="Q1739" s="125"/>
      <c r="R1739" s="125"/>
      <c r="S1739" s="628">
        <f t="shared" si="3"/>
        <v>0</v>
      </c>
      <c r="T1739" s="627" t="s">
        <v>51</v>
      </c>
      <c r="U1739" s="627" t="s">
        <v>51</v>
      </c>
      <c r="V1739" s="627" t="s">
        <v>51</v>
      </c>
      <c r="W1739" s="627" t="s">
        <v>51</v>
      </c>
      <c r="X1739" s="627" t="s">
        <v>51</v>
      </c>
      <c r="Y1739" s="89"/>
    </row>
    <row r="1740" ht="22.5" customHeight="1">
      <c r="A1740" s="223"/>
      <c r="B1740" s="125"/>
      <c r="C1740" s="125"/>
      <c r="D1740" s="125"/>
      <c r="E1740" s="125"/>
      <c r="F1740" s="125"/>
      <c r="G1740" s="125"/>
      <c r="H1740" s="125"/>
      <c r="I1740" s="627" t="s">
        <v>51</v>
      </c>
      <c r="J1740" s="125" t="s">
        <v>51</v>
      </c>
      <c r="K1740" s="125" t="s">
        <v>51</v>
      </c>
      <c r="L1740" s="125" t="s">
        <v>51</v>
      </c>
      <c r="M1740" s="125" t="str">
        <f t="shared" si="1"/>
        <v/>
      </c>
      <c r="N1740" s="125" t="str">
        <f t="shared" si="2"/>
        <v/>
      </c>
      <c r="O1740" s="125"/>
      <c r="P1740" s="125"/>
      <c r="Q1740" s="125"/>
      <c r="R1740" s="125"/>
      <c r="S1740" s="628">
        <f t="shared" si="3"/>
        <v>0</v>
      </c>
      <c r="T1740" s="627" t="s">
        <v>51</v>
      </c>
      <c r="U1740" s="627" t="s">
        <v>51</v>
      </c>
      <c r="V1740" s="627" t="s">
        <v>51</v>
      </c>
      <c r="W1740" s="627" t="s">
        <v>51</v>
      </c>
      <c r="X1740" s="627" t="s">
        <v>51</v>
      </c>
      <c r="Y1740" s="89"/>
    </row>
    <row r="1741" ht="22.5" customHeight="1">
      <c r="A1741" s="223"/>
      <c r="B1741" s="125"/>
      <c r="C1741" s="125"/>
      <c r="D1741" s="125"/>
      <c r="E1741" s="125"/>
      <c r="F1741" s="125"/>
      <c r="G1741" s="125"/>
      <c r="H1741" s="125"/>
      <c r="I1741" s="627" t="s">
        <v>51</v>
      </c>
      <c r="J1741" s="125" t="s">
        <v>51</v>
      </c>
      <c r="K1741" s="125" t="s">
        <v>51</v>
      </c>
      <c r="L1741" s="125" t="s">
        <v>51</v>
      </c>
      <c r="M1741" s="125" t="str">
        <f t="shared" si="1"/>
        <v/>
      </c>
      <c r="N1741" s="125" t="str">
        <f t="shared" si="2"/>
        <v/>
      </c>
      <c r="O1741" s="125"/>
      <c r="P1741" s="125"/>
      <c r="Q1741" s="125"/>
      <c r="R1741" s="125"/>
      <c r="S1741" s="628">
        <f t="shared" si="3"/>
        <v>0</v>
      </c>
      <c r="T1741" s="627" t="s">
        <v>51</v>
      </c>
      <c r="U1741" s="627" t="s">
        <v>51</v>
      </c>
      <c r="V1741" s="627" t="s">
        <v>51</v>
      </c>
      <c r="W1741" s="627" t="s">
        <v>51</v>
      </c>
      <c r="X1741" s="627" t="s">
        <v>51</v>
      </c>
      <c r="Y1741" s="89"/>
    </row>
    <row r="1742" ht="22.5" customHeight="1">
      <c r="A1742" s="223"/>
      <c r="B1742" s="125"/>
      <c r="C1742" s="125"/>
      <c r="D1742" s="125"/>
      <c r="E1742" s="125"/>
      <c r="F1742" s="125"/>
      <c r="G1742" s="125"/>
      <c r="H1742" s="125"/>
      <c r="I1742" s="627" t="s">
        <v>51</v>
      </c>
      <c r="J1742" s="125" t="s">
        <v>51</v>
      </c>
      <c r="K1742" s="125" t="s">
        <v>51</v>
      </c>
      <c r="L1742" s="125" t="s">
        <v>51</v>
      </c>
      <c r="M1742" s="125" t="str">
        <f t="shared" si="1"/>
        <v/>
      </c>
      <c r="N1742" s="125" t="str">
        <f t="shared" si="2"/>
        <v/>
      </c>
      <c r="O1742" s="125"/>
      <c r="P1742" s="125"/>
      <c r="Q1742" s="125"/>
      <c r="R1742" s="125"/>
      <c r="S1742" s="628">
        <f t="shared" si="3"/>
        <v>0</v>
      </c>
      <c r="T1742" s="627" t="s">
        <v>51</v>
      </c>
      <c r="U1742" s="627" t="s">
        <v>51</v>
      </c>
      <c r="V1742" s="627" t="s">
        <v>51</v>
      </c>
      <c r="W1742" s="627" t="s">
        <v>51</v>
      </c>
      <c r="X1742" s="627" t="s">
        <v>51</v>
      </c>
      <c r="Y1742" s="89"/>
    </row>
    <row r="1743" ht="22.5" customHeight="1">
      <c r="A1743" s="223"/>
      <c r="B1743" s="125"/>
      <c r="C1743" s="125"/>
      <c r="D1743" s="125"/>
      <c r="E1743" s="125"/>
      <c r="F1743" s="125"/>
      <c r="G1743" s="125"/>
      <c r="H1743" s="125"/>
      <c r="I1743" s="627" t="s">
        <v>51</v>
      </c>
      <c r="J1743" s="125" t="s">
        <v>51</v>
      </c>
      <c r="K1743" s="125" t="s">
        <v>51</v>
      </c>
      <c r="L1743" s="125" t="s">
        <v>51</v>
      </c>
      <c r="M1743" s="125" t="str">
        <f t="shared" si="1"/>
        <v/>
      </c>
      <c r="N1743" s="125" t="str">
        <f t="shared" si="2"/>
        <v/>
      </c>
      <c r="O1743" s="125"/>
      <c r="P1743" s="125"/>
      <c r="Q1743" s="125"/>
      <c r="R1743" s="125"/>
      <c r="S1743" s="628">
        <f t="shared" si="3"/>
        <v>0</v>
      </c>
      <c r="T1743" s="627" t="s">
        <v>51</v>
      </c>
      <c r="U1743" s="627" t="s">
        <v>51</v>
      </c>
      <c r="V1743" s="627" t="s">
        <v>51</v>
      </c>
      <c r="W1743" s="627" t="s">
        <v>51</v>
      </c>
      <c r="X1743" s="627" t="s">
        <v>51</v>
      </c>
      <c r="Y1743" s="89"/>
    </row>
    <row r="1744" ht="22.5" customHeight="1">
      <c r="A1744" s="223"/>
      <c r="B1744" s="125"/>
      <c r="C1744" s="125"/>
      <c r="D1744" s="125"/>
      <c r="E1744" s="125"/>
      <c r="F1744" s="125"/>
      <c r="G1744" s="125"/>
      <c r="H1744" s="125"/>
      <c r="I1744" s="627" t="s">
        <v>51</v>
      </c>
      <c r="J1744" s="125" t="s">
        <v>51</v>
      </c>
      <c r="K1744" s="125" t="s">
        <v>51</v>
      </c>
      <c r="L1744" s="125" t="s">
        <v>51</v>
      </c>
      <c r="M1744" s="125" t="str">
        <f t="shared" si="1"/>
        <v/>
      </c>
      <c r="N1744" s="125" t="str">
        <f t="shared" si="2"/>
        <v/>
      </c>
      <c r="O1744" s="125"/>
      <c r="P1744" s="125"/>
      <c r="Q1744" s="125"/>
      <c r="R1744" s="125"/>
      <c r="S1744" s="628">
        <f t="shared" si="3"/>
        <v>0</v>
      </c>
      <c r="T1744" s="627" t="s">
        <v>51</v>
      </c>
      <c r="U1744" s="627" t="s">
        <v>51</v>
      </c>
      <c r="V1744" s="627" t="s">
        <v>51</v>
      </c>
      <c r="W1744" s="627" t="s">
        <v>51</v>
      </c>
      <c r="X1744" s="627" t="s">
        <v>51</v>
      </c>
      <c r="Y1744" s="89"/>
    </row>
    <row r="1745" ht="22.5" customHeight="1">
      <c r="A1745" s="223"/>
      <c r="B1745" s="125"/>
      <c r="C1745" s="125"/>
      <c r="D1745" s="125"/>
      <c r="E1745" s="125"/>
      <c r="F1745" s="125"/>
      <c r="G1745" s="125"/>
      <c r="H1745" s="125"/>
      <c r="I1745" s="627" t="s">
        <v>51</v>
      </c>
      <c r="J1745" s="125" t="s">
        <v>51</v>
      </c>
      <c r="K1745" s="125" t="s">
        <v>51</v>
      </c>
      <c r="L1745" s="125" t="s">
        <v>51</v>
      </c>
      <c r="M1745" s="125" t="str">
        <f t="shared" si="1"/>
        <v/>
      </c>
      <c r="N1745" s="125" t="str">
        <f t="shared" si="2"/>
        <v/>
      </c>
      <c r="O1745" s="125"/>
      <c r="P1745" s="125"/>
      <c r="Q1745" s="125"/>
      <c r="R1745" s="125"/>
      <c r="S1745" s="628">
        <f t="shared" si="3"/>
        <v>0</v>
      </c>
      <c r="T1745" s="627" t="s">
        <v>51</v>
      </c>
      <c r="U1745" s="627" t="s">
        <v>51</v>
      </c>
      <c r="V1745" s="627" t="s">
        <v>51</v>
      </c>
      <c r="W1745" s="627" t="s">
        <v>51</v>
      </c>
      <c r="X1745" s="627" t="s">
        <v>51</v>
      </c>
      <c r="Y1745" s="89"/>
    </row>
    <row r="1746" ht="22.5" customHeight="1">
      <c r="A1746" s="223"/>
      <c r="B1746" s="125"/>
      <c r="C1746" s="125"/>
      <c r="D1746" s="125"/>
      <c r="E1746" s="125"/>
      <c r="F1746" s="125"/>
      <c r="G1746" s="125"/>
      <c r="H1746" s="125"/>
      <c r="I1746" s="627" t="s">
        <v>51</v>
      </c>
      <c r="J1746" s="125" t="s">
        <v>51</v>
      </c>
      <c r="K1746" s="125" t="s">
        <v>51</v>
      </c>
      <c r="L1746" s="125" t="s">
        <v>51</v>
      </c>
      <c r="M1746" s="125" t="str">
        <f t="shared" si="1"/>
        <v/>
      </c>
      <c r="N1746" s="125" t="str">
        <f t="shared" si="2"/>
        <v/>
      </c>
      <c r="O1746" s="125"/>
      <c r="P1746" s="125"/>
      <c r="Q1746" s="125"/>
      <c r="R1746" s="125"/>
      <c r="S1746" s="628">
        <f t="shared" si="3"/>
        <v>0</v>
      </c>
      <c r="T1746" s="627" t="s">
        <v>51</v>
      </c>
      <c r="U1746" s="627" t="s">
        <v>51</v>
      </c>
      <c r="V1746" s="627" t="s">
        <v>51</v>
      </c>
      <c r="W1746" s="627" t="s">
        <v>51</v>
      </c>
      <c r="X1746" s="627" t="s">
        <v>51</v>
      </c>
      <c r="Y1746" s="89"/>
    </row>
    <row r="1747" ht="22.5" customHeight="1">
      <c r="A1747" s="223"/>
      <c r="B1747" s="125"/>
      <c r="C1747" s="125"/>
      <c r="D1747" s="125"/>
      <c r="E1747" s="125"/>
      <c r="F1747" s="125"/>
      <c r="G1747" s="125"/>
      <c r="H1747" s="125"/>
      <c r="I1747" s="627" t="s">
        <v>51</v>
      </c>
      <c r="J1747" s="125" t="s">
        <v>51</v>
      </c>
      <c r="K1747" s="125" t="s">
        <v>51</v>
      </c>
      <c r="L1747" s="125" t="s">
        <v>51</v>
      </c>
      <c r="M1747" s="125" t="str">
        <f t="shared" si="1"/>
        <v/>
      </c>
      <c r="N1747" s="125" t="str">
        <f t="shared" si="2"/>
        <v/>
      </c>
      <c r="O1747" s="125"/>
      <c r="P1747" s="125"/>
      <c r="Q1747" s="125"/>
      <c r="R1747" s="125"/>
      <c r="S1747" s="628">
        <f t="shared" si="3"/>
        <v>0</v>
      </c>
      <c r="T1747" s="627" t="s">
        <v>51</v>
      </c>
      <c r="U1747" s="627" t="s">
        <v>51</v>
      </c>
      <c r="V1747" s="627" t="s">
        <v>51</v>
      </c>
      <c r="W1747" s="627" t="s">
        <v>51</v>
      </c>
      <c r="X1747" s="627" t="s">
        <v>51</v>
      </c>
      <c r="Y1747" s="89"/>
    </row>
    <row r="1748" ht="22.5" customHeight="1">
      <c r="A1748" s="223"/>
      <c r="B1748" s="125"/>
      <c r="C1748" s="125"/>
      <c r="D1748" s="125"/>
      <c r="E1748" s="125"/>
      <c r="F1748" s="125"/>
      <c r="G1748" s="125"/>
      <c r="H1748" s="125"/>
      <c r="I1748" s="627" t="s">
        <v>51</v>
      </c>
      <c r="J1748" s="125" t="s">
        <v>51</v>
      </c>
      <c r="K1748" s="125" t="s">
        <v>51</v>
      </c>
      <c r="L1748" s="125" t="s">
        <v>51</v>
      </c>
      <c r="M1748" s="125" t="str">
        <f t="shared" si="1"/>
        <v/>
      </c>
      <c r="N1748" s="125" t="str">
        <f t="shared" si="2"/>
        <v/>
      </c>
      <c r="O1748" s="125"/>
      <c r="P1748" s="125"/>
      <c r="Q1748" s="125"/>
      <c r="R1748" s="125"/>
      <c r="S1748" s="628">
        <f t="shared" si="3"/>
        <v>0</v>
      </c>
      <c r="T1748" s="627" t="s">
        <v>51</v>
      </c>
      <c r="U1748" s="627" t="s">
        <v>51</v>
      </c>
      <c r="V1748" s="627" t="s">
        <v>51</v>
      </c>
      <c r="W1748" s="627" t="s">
        <v>51</v>
      </c>
      <c r="X1748" s="627" t="s">
        <v>51</v>
      </c>
      <c r="Y1748" s="89"/>
    </row>
    <row r="1749" ht="22.5" customHeight="1">
      <c r="A1749" s="223"/>
      <c r="B1749" s="125"/>
      <c r="C1749" s="125"/>
      <c r="D1749" s="125"/>
      <c r="E1749" s="125"/>
      <c r="F1749" s="125"/>
      <c r="G1749" s="125"/>
      <c r="H1749" s="125"/>
      <c r="I1749" s="627" t="s">
        <v>51</v>
      </c>
      <c r="J1749" s="125" t="s">
        <v>51</v>
      </c>
      <c r="K1749" s="125" t="s">
        <v>51</v>
      </c>
      <c r="L1749" s="125" t="s">
        <v>51</v>
      </c>
      <c r="M1749" s="125" t="str">
        <f t="shared" si="1"/>
        <v/>
      </c>
      <c r="N1749" s="125" t="str">
        <f t="shared" si="2"/>
        <v/>
      </c>
      <c r="O1749" s="125"/>
      <c r="P1749" s="125"/>
      <c r="Q1749" s="125"/>
      <c r="R1749" s="125"/>
      <c r="S1749" s="628">
        <f t="shared" si="3"/>
        <v>0</v>
      </c>
      <c r="T1749" s="627" t="s">
        <v>51</v>
      </c>
      <c r="U1749" s="627" t="s">
        <v>51</v>
      </c>
      <c r="V1749" s="627" t="s">
        <v>51</v>
      </c>
      <c r="W1749" s="627" t="s">
        <v>51</v>
      </c>
      <c r="X1749" s="627" t="s">
        <v>51</v>
      </c>
      <c r="Y1749" s="89"/>
    </row>
    <row r="1750" ht="22.5" customHeight="1">
      <c r="A1750" s="223"/>
      <c r="B1750" s="125"/>
      <c r="C1750" s="125"/>
      <c r="D1750" s="125"/>
      <c r="E1750" s="125"/>
      <c r="F1750" s="125"/>
      <c r="G1750" s="125"/>
      <c r="H1750" s="125"/>
      <c r="I1750" s="627" t="s">
        <v>51</v>
      </c>
      <c r="J1750" s="125" t="s">
        <v>51</v>
      </c>
      <c r="K1750" s="125" t="s">
        <v>51</v>
      </c>
      <c r="L1750" s="125" t="s">
        <v>51</v>
      </c>
      <c r="M1750" s="125" t="str">
        <f t="shared" si="1"/>
        <v/>
      </c>
      <c r="N1750" s="125" t="str">
        <f t="shared" si="2"/>
        <v/>
      </c>
      <c r="O1750" s="125"/>
      <c r="P1750" s="125"/>
      <c r="Q1750" s="125"/>
      <c r="R1750" s="125"/>
      <c r="S1750" s="628">
        <f t="shared" si="3"/>
        <v>0</v>
      </c>
      <c r="T1750" s="627" t="s">
        <v>51</v>
      </c>
      <c r="U1750" s="627" t="s">
        <v>51</v>
      </c>
      <c r="V1750" s="627" t="s">
        <v>51</v>
      </c>
      <c r="W1750" s="627" t="s">
        <v>51</v>
      </c>
      <c r="X1750" s="627" t="s">
        <v>51</v>
      </c>
      <c r="Y1750" s="89"/>
    </row>
    <row r="1751" ht="22.5" customHeight="1">
      <c r="A1751" s="223"/>
      <c r="B1751" s="125"/>
      <c r="C1751" s="125"/>
      <c r="D1751" s="125"/>
      <c r="E1751" s="125"/>
      <c r="F1751" s="125"/>
      <c r="G1751" s="125"/>
      <c r="H1751" s="125"/>
      <c r="I1751" s="627" t="s">
        <v>51</v>
      </c>
      <c r="J1751" s="125" t="s">
        <v>51</v>
      </c>
      <c r="K1751" s="125" t="s">
        <v>51</v>
      </c>
      <c r="L1751" s="125" t="s">
        <v>51</v>
      </c>
      <c r="M1751" s="125" t="str">
        <f t="shared" si="1"/>
        <v/>
      </c>
      <c r="N1751" s="125" t="str">
        <f t="shared" si="2"/>
        <v/>
      </c>
      <c r="O1751" s="125"/>
      <c r="P1751" s="125"/>
      <c r="Q1751" s="125"/>
      <c r="R1751" s="125"/>
      <c r="S1751" s="628">
        <f t="shared" si="3"/>
        <v>0</v>
      </c>
      <c r="T1751" s="627" t="s">
        <v>51</v>
      </c>
      <c r="U1751" s="627" t="s">
        <v>51</v>
      </c>
      <c r="V1751" s="627" t="s">
        <v>51</v>
      </c>
      <c r="W1751" s="627" t="s">
        <v>51</v>
      </c>
      <c r="X1751" s="627" t="s">
        <v>51</v>
      </c>
      <c r="Y1751" s="89"/>
    </row>
    <row r="1752" ht="22.5" customHeight="1">
      <c r="A1752" s="223"/>
      <c r="B1752" s="125"/>
      <c r="C1752" s="125"/>
      <c r="D1752" s="125"/>
      <c r="E1752" s="125"/>
      <c r="F1752" s="125"/>
      <c r="G1752" s="125"/>
      <c r="H1752" s="125"/>
      <c r="I1752" s="627" t="s">
        <v>51</v>
      </c>
      <c r="J1752" s="125" t="s">
        <v>51</v>
      </c>
      <c r="K1752" s="125" t="s">
        <v>51</v>
      </c>
      <c r="L1752" s="125" t="s">
        <v>51</v>
      </c>
      <c r="M1752" s="125" t="str">
        <f t="shared" si="1"/>
        <v/>
      </c>
      <c r="N1752" s="125" t="str">
        <f t="shared" si="2"/>
        <v/>
      </c>
      <c r="O1752" s="125"/>
      <c r="P1752" s="125"/>
      <c r="Q1752" s="125"/>
      <c r="R1752" s="125"/>
      <c r="S1752" s="628">
        <f t="shared" si="3"/>
        <v>0</v>
      </c>
      <c r="T1752" s="627" t="s">
        <v>51</v>
      </c>
      <c r="U1752" s="627" t="s">
        <v>51</v>
      </c>
      <c r="V1752" s="627" t="s">
        <v>51</v>
      </c>
      <c r="W1752" s="627" t="s">
        <v>51</v>
      </c>
      <c r="X1752" s="627" t="s">
        <v>51</v>
      </c>
      <c r="Y1752" s="89"/>
    </row>
    <row r="1753" ht="22.5" customHeight="1">
      <c r="A1753" s="223"/>
      <c r="B1753" s="125"/>
      <c r="C1753" s="125"/>
      <c r="D1753" s="125"/>
      <c r="E1753" s="125"/>
      <c r="F1753" s="125"/>
      <c r="G1753" s="125"/>
      <c r="H1753" s="125"/>
      <c r="I1753" s="627" t="s">
        <v>51</v>
      </c>
      <c r="J1753" s="125" t="s">
        <v>51</v>
      </c>
      <c r="K1753" s="125" t="s">
        <v>51</v>
      </c>
      <c r="L1753" s="125" t="s">
        <v>51</v>
      </c>
      <c r="M1753" s="125" t="str">
        <f t="shared" si="1"/>
        <v/>
      </c>
      <c r="N1753" s="125" t="str">
        <f t="shared" si="2"/>
        <v/>
      </c>
      <c r="O1753" s="125"/>
      <c r="P1753" s="125"/>
      <c r="Q1753" s="125"/>
      <c r="R1753" s="125"/>
      <c r="S1753" s="628">
        <f t="shared" si="3"/>
        <v>0</v>
      </c>
      <c r="T1753" s="627" t="s">
        <v>51</v>
      </c>
      <c r="U1753" s="627" t="s">
        <v>51</v>
      </c>
      <c r="V1753" s="627" t="s">
        <v>51</v>
      </c>
      <c r="W1753" s="627" t="s">
        <v>51</v>
      </c>
      <c r="X1753" s="627" t="s">
        <v>51</v>
      </c>
      <c r="Y1753" s="89"/>
    </row>
    <row r="1754" ht="22.5" customHeight="1">
      <c r="A1754" s="223"/>
      <c r="B1754" s="125"/>
      <c r="C1754" s="125"/>
      <c r="D1754" s="125"/>
      <c r="E1754" s="125"/>
      <c r="F1754" s="125"/>
      <c r="G1754" s="125"/>
      <c r="H1754" s="125"/>
      <c r="I1754" s="627" t="s">
        <v>51</v>
      </c>
      <c r="J1754" s="125" t="s">
        <v>51</v>
      </c>
      <c r="K1754" s="125" t="s">
        <v>51</v>
      </c>
      <c r="L1754" s="125" t="s">
        <v>51</v>
      </c>
      <c r="M1754" s="125" t="str">
        <f t="shared" si="1"/>
        <v/>
      </c>
      <c r="N1754" s="125" t="str">
        <f t="shared" si="2"/>
        <v/>
      </c>
      <c r="O1754" s="125"/>
      <c r="P1754" s="125"/>
      <c r="Q1754" s="125"/>
      <c r="R1754" s="125"/>
      <c r="S1754" s="628">
        <f t="shared" si="3"/>
        <v>0</v>
      </c>
      <c r="T1754" s="627" t="s">
        <v>51</v>
      </c>
      <c r="U1754" s="627" t="s">
        <v>51</v>
      </c>
      <c r="V1754" s="627" t="s">
        <v>51</v>
      </c>
      <c r="W1754" s="627" t="s">
        <v>51</v>
      </c>
      <c r="X1754" s="627" t="s">
        <v>51</v>
      </c>
      <c r="Y1754" s="89"/>
    </row>
    <row r="1755" ht="22.5" customHeight="1">
      <c r="A1755" s="223"/>
      <c r="B1755" s="125"/>
      <c r="C1755" s="125"/>
      <c r="D1755" s="125"/>
      <c r="E1755" s="125"/>
      <c r="F1755" s="125"/>
      <c r="G1755" s="125"/>
      <c r="H1755" s="125"/>
      <c r="I1755" s="627" t="s">
        <v>51</v>
      </c>
      <c r="J1755" s="125" t="s">
        <v>51</v>
      </c>
      <c r="K1755" s="125" t="s">
        <v>51</v>
      </c>
      <c r="L1755" s="125" t="s">
        <v>51</v>
      </c>
      <c r="M1755" s="125" t="str">
        <f t="shared" si="1"/>
        <v/>
      </c>
      <c r="N1755" s="125" t="str">
        <f t="shared" si="2"/>
        <v/>
      </c>
      <c r="O1755" s="125"/>
      <c r="P1755" s="125"/>
      <c r="Q1755" s="125"/>
      <c r="R1755" s="125"/>
      <c r="S1755" s="628">
        <f t="shared" si="3"/>
        <v>0</v>
      </c>
      <c r="T1755" s="627" t="s">
        <v>51</v>
      </c>
      <c r="U1755" s="627" t="s">
        <v>51</v>
      </c>
      <c r="V1755" s="627" t="s">
        <v>51</v>
      </c>
      <c r="W1755" s="627" t="s">
        <v>51</v>
      </c>
      <c r="X1755" s="627" t="s">
        <v>51</v>
      </c>
      <c r="Y1755" s="89"/>
    </row>
    <row r="1756" ht="22.5" customHeight="1">
      <c r="A1756" s="223"/>
      <c r="B1756" s="125"/>
      <c r="C1756" s="125"/>
      <c r="D1756" s="125"/>
      <c r="E1756" s="125"/>
      <c r="F1756" s="125"/>
      <c r="G1756" s="125"/>
      <c r="H1756" s="125"/>
      <c r="I1756" s="627" t="s">
        <v>51</v>
      </c>
      <c r="J1756" s="125" t="s">
        <v>51</v>
      </c>
      <c r="K1756" s="125" t="s">
        <v>51</v>
      </c>
      <c r="L1756" s="125" t="s">
        <v>51</v>
      </c>
      <c r="M1756" s="125" t="str">
        <f t="shared" si="1"/>
        <v/>
      </c>
      <c r="N1756" s="125" t="str">
        <f t="shared" si="2"/>
        <v/>
      </c>
      <c r="O1756" s="125"/>
      <c r="P1756" s="125"/>
      <c r="Q1756" s="125"/>
      <c r="R1756" s="125"/>
      <c r="S1756" s="628">
        <f t="shared" si="3"/>
        <v>0</v>
      </c>
      <c r="T1756" s="627" t="s">
        <v>51</v>
      </c>
      <c r="U1756" s="627" t="s">
        <v>51</v>
      </c>
      <c r="V1756" s="627" t="s">
        <v>51</v>
      </c>
      <c r="W1756" s="627" t="s">
        <v>51</v>
      </c>
      <c r="X1756" s="627" t="s">
        <v>51</v>
      </c>
      <c r="Y1756" s="89"/>
    </row>
    <row r="1757" ht="22.5" customHeight="1">
      <c r="A1757" s="223"/>
      <c r="B1757" s="125"/>
      <c r="C1757" s="125"/>
      <c r="D1757" s="125"/>
      <c r="E1757" s="125"/>
      <c r="F1757" s="125"/>
      <c r="G1757" s="125"/>
      <c r="H1757" s="125"/>
      <c r="I1757" s="627" t="s">
        <v>51</v>
      </c>
      <c r="J1757" s="125" t="s">
        <v>51</v>
      </c>
      <c r="K1757" s="125" t="s">
        <v>51</v>
      </c>
      <c r="L1757" s="125" t="s">
        <v>51</v>
      </c>
      <c r="M1757" s="125" t="str">
        <f t="shared" si="1"/>
        <v/>
      </c>
      <c r="N1757" s="125" t="str">
        <f t="shared" si="2"/>
        <v/>
      </c>
      <c r="O1757" s="125"/>
      <c r="P1757" s="125"/>
      <c r="Q1757" s="125"/>
      <c r="R1757" s="125"/>
      <c r="S1757" s="628">
        <f t="shared" si="3"/>
        <v>0</v>
      </c>
      <c r="T1757" s="627" t="s">
        <v>51</v>
      </c>
      <c r="U1757" s="627" t="s">
        <v>51</v>
      </c>
      <c r="V1757" s="627" t="s">
        <v>51</v>
      </c>
      <c r="W1757" s="627" t="s">
        <v>51</v>
      </c>
      <c r="X1757" s="627" t="s">
        <v>51</v>
      </c>
      <c r="Y1757" s="89"/>
    </row>
    <row r="1758" ht="22.5" customHeight="1">
      <c r="A1758" s="223"/>
      <c r="B1758" s="125"/>
      <c r="C1758" s="125"/>
      <c r="D1758" s="125"/>
      <c r="E1758" s="125"/>
      <c r="F1758" s="125"/>
      <c r="G1758" s="125"/>
      <c r="H1758" s="125"/>
      <c r="I1758" s="627" t="s">
        <v>51</v>
      </c>
      <c r="J1758" s="125" t="s">
        <v>51</v>
      </c>
      <c r="K1758" s="125" t="s">
        <v>51</v>
      </c>
      <c r="L1758" s="125" t="s">
        <v>51</v>
      </c>
      <c r="M1758" s="125" t="str">
        <f t="shared" si="1"/>
        <v/>
      </c>
      <c r="N1758" s="125" t="str">
        <f t="shared" si="2"/>
        <v/>
      </c>
      <c r="O1758" s="125"/>
      <c r="P1758" s="125"/>
      <c r="Q1758" s="125"/>
      <c r="R1758" s="125"/>
      <c r="S1758" s="628">
        <f t="shared" si="3"/>
        <v>0</v>
      </c>
      <c r="T1758" s="627" t="s">
        <v>51</v>
      </c>
      <c r="U1758" s="627" t="s">
        <v>51</v>
      </c>
      <c r="V1758" s="627" t="s">
        <v>51</v>
      </c>
      <c r="W1758" s="627" t="s">
        <v>51</v>
      </c>
      <c r="X1758" s="627" t="s">
        <v>51</v>
      </c>
      <c r="Y1758" s="89"/>
    </row>
    <row r="1759" ht="22.5" customHeight="1">
      <c r="A1759" s="223"/>
      <c r="B1759" s="125"/>
      <c r="C1759" s="125"/>
      <c r="D1759" s="125"/>
      <c r="E1759" s="125"/>
      <c r="F1759" s="125"/>
      <c r="G1759" s="125"/>
      <c r="H1759" s="125"/>
      <c r="I1759" s="627" t="s">
        <v>51</v>
      </c>
      <c r="J1759" s="125" t="s">
        <v>51</v>
      </c>
      <c r="K1759" s="125" t="s">
        <v>51</v>
      </c>
      <c r="L1759" s="125" t="s">
        <v>51</v>
      </c>
      <c r="M1759" s="125" t="str">
        <f t="shared" si="1"/>
        <v/>
      </c>
      <c r="N1759" s="125" t="str">
        <f t="shared" si="2"/>
        <v/>
      </c>
      <c r="O1759" s="125"/>
      <c r="P1759" s="125"/>
      <c r="Q1759" s="125"/>
      <c r="R1759" s="125"/>
      <c r="S1759" s="628">
        <f t="shared" si="3"/>
        <v>0</v>
      </c>
      <c r="T1759" s="627" t="s">
        <v>51</v>
      </c>
      <c r="U1759" s="627" t="s">
        <v>51</v>
      </c>
      <c r="V1759" s="627" t="s">
        <v>51</v>
      </c>
      <c r="W1759" s="627" t="s">
        <v>51</v>
      </c>
      <c r="X1759" s="627" t="s">
        <v>51</v>
      </c>
      <c r="Y1759" s="89"/>
    </row>
    <row r="1760" ht="22.5" customHeight="1">
      <c r="A1760" s="223"/>
      <c r="B1760" s="125"/>
      <c r="C1760" s="125"/>
      <c r="D1760" s="125"/>
      <c r="E1760" s="125"/>
      <c r="F1760" s="125"/>
      <c r="G1760" s="125"/>
      <c r="H1760" s="125"/>
      <c r="I1760" s="627" t="s">
        <v>51</v>
      </c>
      <c r="J1760" s="125" t="s">
        <v>51</v>
      </c>
      <c r="K1760" s="125" t="s">
        <v>51</v>
      </c>
      <c r="L1760" s="125" t="s">
        <v>51</v>
      </c>
      <c r="M1760" s="125" t="str">
        <f t="shared" si="1"/>
        <v/>
      </c>
      <c r="N1760" s="125" t="str">
        <f t="shared" si="2"/>
        <v/>
      </c>
      <c r="O1760" s="125"/>
      <c r="P1760" s="125"/>
      <c r="Q1760" s="125"/>
      <c r="R1760" s="125"/>
      <c r="S1760" s="628">
        <f t="shared" si="3"/>
        <v>0</v>
      </c>
      <c r="T1760" s="627" t="s">
        <v>51</v>
      </c>
      <c r="U1760" s="627" t="s">
        <v>51</v>
      </c>
      <c r="V1760" s="627" t="s">
        <v>51</v>
      </c>
      <c r="W1760" s="627" t="s">
        <v>51</v>
      </c>
      <c r="X1760" s="627" t="s">
        <v>51</v>
      </c>
      <c r="Y1760" s="89"/>
    </row>
    <row r="1761" ht="22.5" customHeight="1">
      <c r="A1761" s="223"/>
      <c r="B1761" s="125"/>
      <c r="C1761" s="125"/>
      <c r="D1761" s="125"/>
      <c r="E1761" s="125"/>
      <c r="F1761" s="125"/>
      <c r="G1761" s="125"/>
      <c r="H1761" s="125"/>
      <c r="I1761" s="627" t="s">
        <v>51</v>
      </c>
      <c r="J1761" s="125" t="s">
        <v>51</v>
      </c>
      <c r="K1761" s="125" t="s">
        <v>51</v>
      </c>
      <c r="L1761" s="125" t="s">
        <v>51</v>
      </c>
      <c r="M1761" s="125" t="str">
        <f t="shared" si="1"/>
        <v/>
      </c>
      <c r="N1761" s="125" t="str">
        <f t="shared" si="2"/>
        <v/>
      </c>
      <c r="O1761" s="125"/>
      <c r="P1761" s="125"/>
      <c r="Q1761" s="125"/>
      <c r="R1761" s="125"/>
      <c r="S1761" s="628">
        <f t="shared" si="3"/>
        <v>0</v>
      </c>
      <c r="T1761" s="627" t="s">
        <v>51</v>
      </c>
      <c r="U1761" s="627" t="s">
        <v>51</v>
      </c>
      <c r="V1761" s="627" t="s">
        <v>51</v>
      </c>
      <c r="W1761" s="627" t="s">
        <v>51</v>
      </c>
      <c r="X1761" s="627" t="s">
        <v>51</v>
      </c>
      <c r="Y1761" s="89"/>
    </row>
    <row r="1762" ht="22.5" customHeight="1">
      <c r="A1762" s="223"/>
      <c r="B1762" s="125"/>
      <c r="C1762" s="125"/>
      <c r="D1762" s="125"/>
      <c r="E1762" s="125"/>
      <c r="F1762" s="125"/>
      <c r="G1762" s="125"/>
      <c r="H1762" s="125"/>
      <c r="I1762" s="627" t="s">
        <v>51</v>
      </c>
      <c r="J1762" s="125" t="s">
        <v>51</v>
      </c>
      <c r="K1762" s="125" t="s">
        <v>51</v>
      </c>
      <c r="L1762" s="125" t="s">
        <v>51</v>
      </c>
      <c r="M1762" s="125" t="str">
        <f t="shared" si="1"/>
        <v/>
      </c>
      <c r="N1762" s="125" t="str">
        <f t="shared" si="2"/>
        <v/>
      </c>
      <c r="O1762" s="125"/>
      <c r="P1762" s="125"/>
      <c r="Q1762" s="125"/>
      <c r="R1762" s="125"/>
      <c r="S1762" s="628">
        <f t="shared" si="3"/>
        <v>0</v>
      </c>
      <c r="T1762" s="627" t="s">
        <v>51</v>
      </c>
      <c r="U1762" s="627" t="s">
        <v>51</v>
      </c>
      <c r="V1762" s="627" t="s">
        <v>51</v>
      </c>
      <c r="W1762" s="627" t="s">
        <v>51</v>
      </c>
      <c r="X1762" s="627" t="s">
        <v>51</v>
      </c>
      <c r="Y1762" s="89"/>
    </row>
    <row r="1763" ht="22.5" customHeight="1">
      <c r="A1763" s="223"/>
      <c r="B1763" s="125"/>
      <c r="C1763" s="125"/>
      <c r="D1763" s="125"/>
      <c r="E1763" s="125"/>
      <c r="F1763" s="125"/>
      <c r="G1763" s="125"/>
      <c r="H1763" s="125"/>
      <c r="I1763" s="627" t="s">
        <v>51</v>
      </c>
      <c r="J1763" s="125" t="s">
        <v>51</v>
      </c>
      <c r="K1763" s="125" t="s">
        <v>51</v>
      </c>
      <c r="L1763" s="125" t="s">
        <v>51</v>
      </c>
      <c r="M1763" s="125" t="str">
        <f t="shared" si="1"/>
        <v/>
      </c>
      <c r="N1763" s="125" t="str">
        <f t="shared" si="2"/>
        <v/>
      </c>
      <c r="O1763" s="125"/>
      <c r="P1763" s="125"/>
      <c r="Q1763" s="125"/>
      <c r="R1763" s="125"/>
      <c r="S1763" s="628">
        <f t="shared" si="3"/>
        <v>0</v>
      </c>
      <c r="T1763" s="627" t="s">
        <v>51</v>
      </c>
      <c r="U1763" s="627" t="s">
        <v>51</v>
      </c>
      <c r="V1763" s="627" t="s">
        <v>51</v>
      </c>
      <c r="W1763" s="627" t="s">
        <v>51</v>
      </c>
      <c r="X1763" s="627" t="s">
        <v>51</v>
      </c>
      <c r="Y1763" s="89"/>
    </row>
    <row r="1764" ht="22.5" customHeight="1">
      <c r="A1764" s="223"/>
      <c r="B1764" s="125"/>
      <c r="C1764" s="125"/>
      <c r="D1764" s="125"/>
      <c r="E1764" s="125"/>
      <c r="F1764" s="125"/>
      <c r="G1764" s="125"/>
      <c r="H1764" s="125"/>
      <c r="I1764" s="627" t="s">
        <v>51</v>
      </c>
      <c r="J1764" s="125" t="s">
        <v>51</v>
      </c>
      <c r="K1764" s="125" t="s">
        <v>51</v>
      </c>
      <c r="L1764" s="125" t="s">
        <v>51</v>
      </c>
      <c r="M1764" s="125" t="str">
        <f t="shared" si="1"/>
        <v/>
      </c>
      <c r="N1764" s="125" t="str">
        <f t="shared" si="2"/>
        <v/>
      </c>
      <c r="O1764" s="125"/>
      <c r="P1764" s="125"/>
      <c r="Q1764" s="125"/>
      <c r="R1764" s="125"/>
      <c r="S1764" s="628">
        <f t="shared" si="3"/>
        <v>0</v>
      </c>
      <c r="T1764" s="627" t="s">
        <v>51</v>
      </c>
      <c r="U1764" s="627" t="s">
        <v>51</v>
      </c>
      <c r="V1764" s="627" t="s">
        <v>51</v>
      </c>
      <c r="W1764" s="627" t="s">
        <v>51</v>
      </c>
      <c r="X1764" s="627" t="s">
        <v>51</v>
      </c>
      <c r="Y1764" s="89"/>
    </row>
    <row r="1765" ht="22.5" customHeight="1">
      <c r="A1765" s="223"/>
      <c r="B1765" s="125"/>
      <c r="C1765" s="125"/>
      <c r="D1765" s="125"/>
      <c r="E1765" s="125"/>
      <c r="F1765" s="125"/>
      <c r="G1765" s="125"/>
      <c r="H1765" s="125"/>
      <c r="I1765" s="627" t="s">
        <v>51</v>
      </c>
      <c r="J1765" s="125" t="s">
        <v>51</v>
      </c>
      <c r="K1765" s="125" t="s">
        <v>51</v>
      </c>
      <c r="L1765" s="125" t="s">
        <v>51</v>
      </c>
      <c r="M1765" s="125" t="str">
        <f t="shared" si="1"/>
        <v/>
      </c>
      <c r="N1765" s="125" t="str">
        <f t="shared" si="2"/>
        <v/>
      </c>
      <c r="O1765" s="125"/>
      <c r="P1765" s="125"/>
      <c r="Q1765" s="125"/>
      <c r="R1765" s="125"/>
      <c r="S1765" s="628">
        <f t="shared" si="3"/>
        <v>0</v>
      </c>
      <c r="T1765" s="627" t="s">
        <v>51</v>
      </c>
      <c r="U1765" s="627" t="s">
        <v>51</v>
      </c>
      <c r="V1765" s="627" t="s">
        <v>51</v>
      </c>
      <c r="W1765" s="627" t="s">
        <v>51</v>
      </c>
      <c r="X1765" s="627" t="s">
        <v>51</v>
      </c>
      <c r="Y1765" s="89"/>
    </row>
    <row r="1766" ht="22.5" customHeight="1">
      <c r="A1766" s="223"/>
      <c r="B1766" s="125"/>
      <c r="C1766" s="125"/>
      <c r="D1766" s="125"/>
      <c r="E1766" s="125"/>
      <c r="F1766" s="125"/>
      <c r="G1766" s="125"/>
      <c r="H1766" s="125"/>
      <c r="I1766" s="627" t="s">
        <v>51</v>
      </c>
      <c r="J1766" s="125" t="s">
        <v>51</v>
      </c>
      <c r="K1766" s="125" t="s">
        <v>51</v>
      </c>
      <c r="L1766" s="125" t="s">
        <v>51</v>
      </c>
      <c r="M1766" s="125" t="str">
        <f t="shared" si="1"/>
        <v/>
      </c>
      <c r="N1766" s="125" t="str">
        <f t="shared" si="2"/>
        <v/>
      </c>
      <c r="O1766" s="125"/>
      <c r="P1766" s="125"/>
      <c r="Q1766" s="125"/>
      <c r="R1766" s="125"/>
      <c r="S1766" s="628">
        <f t="shared" si="3"/>
        <v>0</v>
      </c>
      <c r="T1766" s="627" t="s">
        <v>51</v>
      </c>
      <c r="U1766" s="627" t="s">
        <v>51</v>
      </c>
      <c r="V1766" s="627" t="s">
        <v>51</v>
      </c>
      <c r="W1766" s="627" t="s">
        <v>51</v>
      </c>
      <c r="X1766" s="627" t="s">
        <v>51</v>
      </c>
      <c r="Y1766" s="89"/>
    </row>
    <row r="1767" ht="22.5" customHeight="1">
      <c r="A1767" s="223"/>
      <c r="B1767" s="125"/>
      <c r="C1767" s="125"/>
      <c r="D1767" s="125"/>
      <c r="E1767" s="125"/>
      <c r="F1767" s="125"/>
      <c r="G1767" s="125"/>
      <c r="H1767" s="125"/>
      <c r="I1767" s="627" t="s">
        <v>51</v>
      </c>
      <c r="J1767" s="125" t="s">
        <v>51</v>
      </c>
      <c r="K1767" s="125" t="s">
        <v>51</v>
      </c>
      <c r="L1767" s="125" t="s">
        <v>51</v>
      </c>
      <c r="M1767" s="125" t="str">
        <f t="shared" si="1"/>
        <v/>
      </c>
      <c r="N1767" s="125" t="str">
        <f t="shared" si="2"/>
        <v/>
      </c>
      <c r="O1767" s="125"/>
      <c r="P1767" s="125"/>
      <c r="Q1767" s="125"/>
      <c r="R1767" s="125"/>
      <c r="S1767" s="628">
        <f t="shared" si="3"/>
        <v>0</v>
      </c>
      <c r="T1767" s="627" t="s">
        <v>51</v>
      </c>
      <c r="U1767" s="627" t="s">
        <v>51</v>
      </c>
      <c r="V1767" s="627" t="s">
        <v>51</v>
      </c>
      <c r="W1767" s="627" t="s">
        <v>51</v>
      </c>
      <c r="X1767" s="627" t="s">
        <v>51</v>
      </c>
      <c r="Y1767" s="89"/>
    </row>
    <row r="1768" ht="22.5" customHeight="1">
      <c r="A1768" s="223"/>
      <c r="B1768" s="125"/>
      <c r="C1768" s="125"/>
      <c r="D1768" s="125"/>
      <c r="E1768" s="125"/>
      <c r="F1768" s="125"/>
      <c r="G1768" s="125"/>
      <c r="H1768" s="125"/>
      <c r="I1768" s="627" t="s">
        <v>51</v>
      </c>
      <c r="J1768" s="125" t="s">
        <v>51</v>
      </c>
      <c r="K1768" s="125" t="s">
        <v>51</v>
      </c>
      <c r="L1768" s="125" t="s">
        <v>51</v>
      </c>
      <c r="M1768" s="125" t="str">
        <f t="shared" si="1"/>
        <v/>
      </c>
      <c r="N1768" s="125" t="str">
        <f t="shared" si="2"/>
        <v/>
      </c>
      <c r="O1768" s="125"/>
      <c r="P1768" s="125"/>
      <c r="Q1768" s="125"/>
      <c r="R1768" s="125"/>
      <c r="S1768" s="628">
        <f t="shared" si="3"/>
        <v>0</v>
      </c>
      <c r="T1768" s="627" t="s">
        <v>51</v>
      </c>
      <c r="U1768" s="627" t="s">
        <v>51</v>
      </c>
      <c r="V1768" s="627" t="s">
        <v>51</v>
      </c>
      <c r="W1768" s="627" t="s">
        <v>51</v>
      </c>
      <c r="X1768" s="627" t="s">
        <v>51</v>
      </c>
      <c r="Y1768" s="89"/>
    </row>
    <row r="1769" ht="22.5" customHeight="1">
      <c r="A1769" s="223"/>
      <c r="B1769" s="125"/>
      <c r="C1769" s="125"/>
      <c r="D1769" s="125"/>
      <c r="E1769" s="125"/>
      <c r="F1769" s="125"/>
      <c r="G1769" s="125"/>
      <c r="H1769" s="125"/>
      <c r="I1769" s="627" t="s">
        <v>51</v>
      </c>
      <c r="J1769" s="125" t="s">
        <v>51</v>
      </c>
      <c r="K1769" s="125" t="s">
        <v>51</v>
      </c>
      <c r="L1769" s="125" t="s">
        <v>51</v>
      </c>
      <c r="M1769" s="125" t="str">
        <f t="shared" si="1"/>
        <v/>
      </c>
      <c r="N1769" s="125" t="str">
        <f t="shared" si="2"/>
        <v/>
      </c>
      <c r="O1769" s="125"/>
      <c r="P1769" s="125"/>
      <c r="Q1769" s="125"/>
      <c r="R1769" s="125"/>
      <c r="S1769" s="628">
        <f t="shared" si="3"/>
        <v>0</v>
      </c>
      <c r="T1769" s="627" t="s">
        <v>51</v>
      </c>
      <c r="U1769" s="627" t="s">
        <v>51</v>
      </c>
      <c r="V1769" s="627" t="s">
        <v>51</v>
      </c>
      <c r="W1769" s="627" t="s">
        <v>51</v>
      </c>
      <c r="X1769" s="627" t="s">
        <v>51</v>
      </c>
      <c r="Y1769" s="89"/>
    </row>
    <row r="1770" ht="22.5" customHeight="1">
      <c r="A1770" s="223"/>
      <c r="B1770" s="125"/>
      <c r="C1770" s="125"/>
      <c r="D1770" s="125"/>
      <c r="E1770" s="125"/>
      <c r="F1770" s="125"/>
      <c r="G1770" s="125"/>
      <c r="H1770" s="125"/>
      <c r="I1770" s="627" t="s">
        <v>51</v>
      </c>
      <c r="J1770" s="125" t="s">
        <v>51</v>
      </c>
      <c r="K1770" s="125" t="s">
        <v>51</v>
      </c>
      <c r="L1770" s="125" t="s">
        <v>51</v>
      </c>
      <c r="M1770" s="125" t="str">
        <f t="shared" si="1"/>
        <v/>
      </c>
      <c r="N1770" s="125" t="str">
        <f t="shared" si="2"/>
        <v/>
      </c>
      <c r="O1770" s="125"/>
      <c r="P1770" s="125"/>
      <c r="Q1770" s="125"/>
      <c r="R1770" s="125"/>
      <c r="S1770" s="628">
        <f t="shared" si="3"/>
        <v>0</v>
      </c>
      <c r="T1770" s="627" t="s">
        <v>51</v>
      </c>
      <c r="U1770" s="627" t="s">
        <v>51</v>
      </c>
      <c r="V1770" s="627" t="s">
        <v>51</v>
      </c>
      <c r="W1770" s="627" t="s">
        <v>51</v>
      </c>
      <c r="X1770" s="627" t="s">
        <v>51</v>
      </c>
      <c r="Y1770" s="89"/>
    </row>
    <row r="1771" ht="22.5" customHeight="1">
      <c r="A1771" s="223"/>
      <c r="B1771" s="125"/>
      <c r="C1771" s="125"/>
      <c r="D1771" s="125"/>
      <c r="E1771" s="125"/>
      <c r="F1771" s="125"/>
      <c r="G1771" s="125"/>
      <c r="H1771" s="125"/>
      <c r="I1771" s="627" t="s">
        <v>51</v>
      </c>
      <c r="J1771" s="125" t="s">
        <v>51</v>
      </c>
      <c r="K1771" s="125" t="s">
        <v>51</v>
      </c>
      <c r="L1771" s="125" t="s">
        <v>51</v>
      </c>
      <c r="M1771" s="125" t="str">
        <f t="shared" si="1"/>
        <v/>
      </c>
      <c r="N1771" s="125" t="str">
        <f t="shared" si="2"/>
        <v/>
      </c>
      <c r="O1771" s="125"/>
      <c r="P1771" s="125"/>
      <c r="Q1771" s="125"/>
      <c r="R1771" s="125"/>
      <c r="S1771" s="628">
        <f t="shared" si="3"/>
        <v>0</v>
      </c>
      <c r="T1771" s="627" t="s">
        <v>51</v>
      </c>
      <c r="U1771" s="627" t="s">
        <v>51</v>
      </c>
      <c r="V1771" s="627" t="s">
        <v>51</v>
      </c>
      <c r="W1771" s="627" t="s">
        <v>51</v>
      </c>
      <c r="X1771" s="627" t="s">
        <v>51</v>
      </c>
      <c r="Y1771" s="89"/>
    </row>
    <row r="1772" ht="22.5" customHeight="1">
      <c r="A1772" s="223"/>
      <c r="B1772" s="125"/>
      <c r="C1772" s="125"/>
      <c r="D1772" s="125"/>
      <c r="E1772" s="125"/>
      <c r="F1772" s="125"/>
      <c r="G1772" s="125"/>
      <c r="H1772" s="125"/>
      <c r="I1772" s="627" t="s">
        <v>51</v>
      </c>
      <c r="J1772" s="125" t="s">
        <v>51</v>
      </c>
      <c r="K1772" s="125" t="s">
        <v>51</v>
      </c>
      <c r="L1772" s="125" t="s">
        <v>51</v>
      </c>
      <c r="M1772" s="125" t="str">
        <f t="shared" si="1"/>
        <v/>
      </c>
      <c r="N1772" s="125" t="str">
        <f t="shared" si="2"/>
        <v/>
      </c>
      <c r="O1772" s="125"/>
      <c r="P1772" s="125"/>
      <c r="Q1772" s="125"/>
      <c r="R1772" s="125"/>
      <c r="S1772" s="628">
        <f t="shared" si="3"/>
        <v>0</v>
      </c>
      <c r="T1772" s="627" t="s">
        <v>51</v>
      </c>
      <c r="U1772" s="627" t="s">
        <v>51</v>
      </c>
      <c r="V1772" s="627" t="s">
        <v>51</v>
      </c>
      <c r="W1772" s="627" t="s">
        <v>51</v>
      </c>
      <c r="X1772" s="627" t="s">
        <v>51</v>
      </c>
      <c r="Y1772" s="89"/>
    </row>
    <row r="1773" ht="22.5" customHeight="1">
      <c r="A1773" s="223"/>
      <c r="B1773" s="125"/>
      <c r="C1773" s="125"/>
      <c r="D1773" s="125"/>
      <c r="E1773" s="125"/>
      <c r="F1773" s="125"/>
      <c r="G1773" s="125"/>
      <c r="H1773" s="125"/>
      <c r="I1773" s="627" t="s">
        <v>51</v>
      </c>
      <c r="J1773" s="125" t="s">
        <v>51</v>
      </c>
      <c r="K1773" s="125" t="s">
        <v>51</v>
      </c>
      <c r="L1773" s="125" t="s">
        <v>51</v>
      </c>
      <c r="M1773" s="125" t="str">
        <f t="shared" si="1"/>
        <v/>
      </c>
      <c r="N1773" s="125" t="str">
        <f t="shared" si="2"/>
        <v/>
      </c>
      <c r="O1773" s="125"/>
      <c r="P1773" s="125"/>
      <c r="Q1773" s="125"/>
      <c r="R1773" s="125"/>
      <c r="S1773" s="628">
        <f t="shared" si="3"/>
        <v>0</v>
      </c>
      <c r="T1773" s="627" t="s">
        <v>51</v>
      </c>
      <c r="U1773" s="627" t="s">
        <v>51</v>
      </c>
      <c r="V1773" s="627" t="s">
        <v>51</v>
      </c>
      <c r="W1773" s="627" t="s">
        <v>51</v>
      </c>
      <c r="X1773" s="627" t="s">
        <v>51</v>
      </c>
      <c r="Y1773" s="89"/>
    </row>
    <row r="1774" ht="22.5" customHeight="1">
      <c r="A1774" s="223"/>
      <c r="B1774" s="125"/>
      <c r="C1774" s="125"/>
      <c r="D1774" s="125"/>
      <c r="E1774" s="125"/>
      <c r="F1774" s="125"/>
      <c r="G1774" s="125"/>
      <c r="H1774" s="125"/>
      <c r="I1774" s="627" t="s">
        <v>51</v>
      </c>
      <c r="J1774" s="125" t="s">
        <v>51</v>
      </c>
      <c r="K1774" s="125" t="s">
        <v>51</v>
      </c>
      <c r="L1774" s="125" t="s">
        <v>51</v>
      </c>
      <c r="M1774" s="125" t="str">
        <f t="shared" si="1"/>
        <v/>
      </c>
      <c r="N1774" s="125" t="str">
        <f t="shared" si="2"/>
        <v/>
      </c>
      <c r="O1774" s="125"/>
      <c r="P1774" s="125"/>
      <c r="Q1774" s="125"/>
      <c r="R1774" s="125"/>
      <c r="S1774" s="628">
        <f t="shared" si="3"/>
        <v>0</v>
      </c>
      <c r="T1774" s="627" t="s">
        <v>51</v>
      </c>
      <c r="U1774" s="627" t="s">
        <v>51</v>
      </c>
      <c r="V1774" s="627" t="s">
        <v>51</v>
      </c>
      <c r="W1774" s="627" t="s">
        <v>51</v>
      </c>
      <c r="X1774" s="627" t="s">
        <v>51</v>
      </c>
      <c r="Y1774" s="89"/>
    </row>
    <row r="1775" ht="22.5" customHeight="1">
      <c r="A1775" s="223"/>
      <c r="B1775" s="125"/>
      <c r="C1775" s="125"/>
      <c r="D1775" s="125"/>
      <c r="E1775" s="125"/>
      <c r="F1775" s="125"/>
      <c r="G1775" s="125"/>
      <c r="H1775" s="125"/>
      <c r="I1775" s="627" t="s">
        <v>51</v>
      </c>
      <c r="J1775" s="125" t="s">
        <v>51</v>
      </c>
      <c r="K1775" s="125" t="s">
        <v>51</v>
      </c>
      <c r="L1775" s="125" t="s">
        <v>51</v>
      </c>
      <c r="M1775" s="125" t="str">
        <f t="shared" si="1"/>
        <v/>
      </c>
      <c r="N1775" s="125" t="str">
        <f t="shared" si="2"/>
        <v/>
      </c>
      <c r="O1775" s="125"/>
      <c r="P1775" s="125"/>
      <c r="Q1775" s="125"/>
      <c r="R1775" s="125"/>
      <c r="S1775" s="628">
        <f t="shared" si="3"/>
        <v>0</v>
      </c>
      <c r="T1775" s="627" t="s">
        <v>51</v>
      </c>
      <c r="U1775" s="627" t="s">
        <v>51</v>
      </c>
      <c r="V1775" s="627" t="s">
        <v>51</v>
      </c>
      <c r="W1775" s="627" t="s">
        <v>51</v>
      </c>
      <c r="X1775" s="627" t="s">
        <v>51</v>
      </c>
      <c r="Y1775" s="89"/>
    </row>
    <row r="1776" ht="22.5" customHeight="1">
      <c r="A1776" s="223"/>
      <c r="B1776" s="125"/>
      <c r="C1776" s="125"/>
      <c r="D1776" s="125"/>
      <c r="E1776" s="125"/>
      <c r="F1776" s="125"/>
      <c r="G1776" s="125"/>
      <c r="H1776" s="125"/>
      <c r="I1776" s="627" t="s">
        <v>51</v>
      </c>
      <c r="J1776" s="125" t="s">
        <v>51</v>
      </c>
      <c r="K1776" s="125" t="s">
        <v>51</v>
      </c>
      <c r="L1776" s="125" t="s">
        <v>51</v>
      </c>
      <c r="M1776" s="125" t="str">
        <f t="shared" si="1"/>
        <v/>
      </c>
      <c r="N1776" s="125" t="str">
        <f t="shared" si="2"/>
        <v/>
      </c>
      <c r="O1776" s="125"/>
      <c r="P1776" s="125"/>
      <c r="Q1776" s="125"/>
      <c r="R1776" s="125"/>
      <c r="S1776" s="628">
        <f t="shared" si="3"/>
        <v>0</v>
      </c>
      <c r="T1776" s="627" t="s">
        <v>51</v>
      </c>
      <c r="U1776" s="627" t="s">
        <v>51</v>
      </c>
      <c r="V1776" s="627" t="s">
        <v>51</v>
      </c>
      <c r="W1776" s="627" t="s">
        <v>51</v>
      </c>
      <c r="X1776" s="627" t="s">
        <v>51</v>
      </c>
      <c r="Y1776" s="89"/>
    </row>
    <row r="1777" ht="22.5" customHeight="1">
      <c r="A1777" s="223"/>
      <c r="B1777" s="125"/>
      <c r="C1777" s="125"/>
      <c r="D1777" s="125"/>
      <c r="E1777" s="125"/>
      <c r="F1777" s="125"/>
      <c r="G1777" s="125"/>
      <c r="H1777" s="125"/>
      <c r="I1777" s="627" t="s">
        <v>51</v>
      </c>
      <c r="J1777" s="125" t="s">
        <v>51</v>
      </c>
      <c r="K1777" s="125" t="s">
        <v>51</v>
      </c>
      <c r="L1777" s="125" t="s">
        <v>51</v>
      </c>
      <c r="M1777" s="125" t="str">
        <f t="shared" si="1"/>
        <v/>
      </c>
      <c r="N1777" s="125" t="str">
        <f t="shared" si="2"/>
        <v/>
      </c>
      <c r="O1777" s="125"/>
      <c r="P1777" s="125"/>
      <c r="Q1777" s="125"/>
      <c r="R1777" s="125"/>
      <c r="S1777" s="628">
        <f t="shared" si="3"/>
        <v>0</v>
      </c>
      <c r="T1777" s="627" t="s">
        <v>51</v>
      </c>
      <c r="U1777" s="627" t="s">
        <v>51</v>
      </c>
      <c r="V1777" s="627" t="s">
        <v>51</v>
      </c>
      <c r="W1777" s="627" t="s">
        <v>51</v>
      </c>
      <c r="X1777" s="627" t="s">
        <v>51</v>
      </c>
      <c r="Y1777" s="89"/>
    </row>
    <row r="1778" ht="22.5" customHeight="1">
      <c r="A1778" s="223"/>
      <c r="B1778" s="125"/>
      <c r="C1778" s="125"/>
      <c r="D1778" s="125"/>
      <c r="E1778" s="125"/>
      <c r="F1778" s="125"/>
      <c r="G1778" s="125"/>
      <c r="H1778" s="125"/>
      <c r="I1778" s="627" t="s">
        <v>51</v>
      </c>
      <c r="J1778" s="125" t="s">
        <v>51</v>
      </c>
      <c r="K1778" s="125" t="s">
        <v>51</v>
      </c>
      <c r="L1778" s="125" t="s">
        <v>51</v>
      </c>
      <c r="M1778" s="125" t="str">
        <f t="shared" si="1"/>
        <v/>
      </c>
      <c r="N1778" s="125" t="str">
        <f t="shared" si="2"/>
        <v/>
      </c>
      <c r="O1778" s="125"/>
      <c r="P1778" s="125"/>
      <c r="Q1778" s="125"/>
      <c r="R1778" s="125"/>
      <c r="S1778" s="628">
        <f t="shared" si="3"/>
        <v>0</v>
      </c>
      <c r="T1778" s="627" t="s">
        <v>51</v>
      </c>
      <c r="U1778" s="627" t="s">
        <v>51</v>
      </c>
      <c r="V1778" s="627" t="s">
        <v>51</v>
      </c>
      <c r="W1778" s="627" t="s">
        <v>51</v>
      </c>
      <c r="X1778" s="627" t="s">
        <v>51</v>
      </c>
      <c r="Y1778" s="89"/>
    </row>
    <row r="1779" ht="22.5" customHeight="1">
      <c r="A1779" s="223"/>
      <c r="B1779" s="125"/>
      <c r="C1779" s="125"/>
      <c r="D1779" s="125"/>
      <c r="E1779" s="125"/>
      <c r="F1779" s="125"/>
      <c r="G1779" s="125"/>
      <c r="H1779" s="125"/>
      <c r="I1779" s="627" t="s">
        <v>51</v>
      </c>
      <c r="J1779" s="125" t="s">
        <v>51</v>
      </c>
      <c r="K1779" s="125" t="s">
        <v>51</v>
      </c>
      <c r="L1779" s="125" t="s">
        <v>51</v>
      </c>
      <c r="M1779" s="125" t="str">
        <f t="shared" si="1"/>
        <v/>
      </c>
      <c r="N1779" s="125" t="str">
        <f t="shared" si="2"/>
        <v/>
      </c>
      <c r="O1779" s="125"/>
      <c r="P1779" s="125"/>
      <c r="Q1779" s="125"/>
      <c r="R1779" s="125"/>
      <c r="S1779" s="628">
        <f t="shared" si="3"/>
        <v>0</v>
      </c>
      <c r="T1779" s="627" t="s">
        <v>51</v>
      </c>
      <c r="U1779" s="627" t="s">
        <v>51</v>
      </c>
      <c r="V1779" s="627" t="s">
        <v>51</v>
      </c>
      <c r="W1779" s="627" t="s">
        <v>51</v>
      </c>
      <c r="X1779" s="627" t="s">
        <v>51</v>
      </c>
      <c r="Y1779" s="89"/>
    </row>
    <row r="1780" ht="22.5" customHeight="1">
      <c r="A1780" s="223"/>
      <c r="B1780" s="125"/>
      <c r="C1780" s="125"/>
      <c r="D1780" s="125"/>
      <c r="E1780" s="125"/>
      <c r="F1780" s="125"/>
      <c r="G1780" s="125"/>
      <c r="H1780" s="125"/>
      <c r="I1780" s="627" t="s">
        <v>51</v>
      </c>
      <c r="J1780" s="125" t="s">
        <v>51</v>
      </c>
      <c r="K1780" s="125" t="s">
        <v>51</v>
      </c>
      <c r="L1780" s="125" t="s">
        <v>51</v>
      </c>
      <c r="M1780" s="125" t="str">
        <f t="shared" si="1"/>
        <v/>
      </c>
      <c r="N1780" s="125" t="str">
        <f t="shared" si="2"/>
        <v/>
      </c>
      <c r="O1780" s="125"/>
      <c r="P1780" s="125"/>
      <c r="Q1780" s="125"/>
      <c r="R1780" s="125"/>
      <c r="S1780" s="628">
        <f t="shared" si="3"/>
        <v>0</v>
      </c>
      <c r="T1780" s="627" t="s">
        <v>51</v>
      </c>
      <c r="U1780" s="627" t="s">
        <v>51</v>
      </c>
      <c r="V1780" s="627" t="s">
        <v>51</v>
      </c>
      <c r="W1780" s="627" t="s">
        <v>51</v>
      </c>
      <c r="X1780" s="627" t="s">
        <v>51</v>
      </c>
      <c r="Y1780" s="89"/>
    </row>
    <row r="1781" ht="22.5" customHeight="1">
      <c r="A1781" s="223"/>
      <c r="B1781" s="125"/>
      <c r="C1781" s="125"/>
      <c r="D1781" s="125"/>
      <c r="E1781" s="125"/>
      <c r="F1781" s="125"/>
      <c r="G1781" s="125"/>
      <c r="H1781" s="125"/>
      <c r="I1781" s="627" t="s">
        <v>51</v>
      </c>
      <c r="J1781" s="125" t="s">
        <v>51</v>
      </c>
      <c r="K1781" s="125" t="s">
        <v>51</v>
      </c>
      <c r="L1781" s="125" t="s">
        <v>51</v>
      </c>
      <c r="M1781" s="125" t="str">
        <f t="shared" si="1"/>
        <v/>
      </c>
      <c r="N1781" s="125" t="str">
        <f t="shared" si="2"/>
        <v/>
      </c>
      <c r="O1781" s="125"/>
      <c r="P1781" s="125"/>
      <c r="Q1781" s="125"/>
      <c r="R1781" s="125"/>
      <c r="S1781" s="628">
        <f t="shared" si="3"/>
        <v>0</v>
      </c>
      <c r="T1781" s="627" t="s">
        <v>51</v>
      </c>
      <c r="U1781" s="627" t="s">
        <v>51</v>
      </c>
      <c r="V1781" s="627" t="s">
        <v>51</v>
      </c>
      <c r="W1781" s="627" t="s">
        <v>51</v>
      </c>
      <c r="X1781" s="627" t="s">
        <v>51</v>
      </c>
      <c r="Y1781" s="89"/>
    </row>
    <row r="1782" ht="22.5" customHeight="1">
      <c r="A1782" s="223"/>
      <c r="B1782" s="125"/>
      <c r="C1782" s="125"/>
      <c r="D1782" s="125"/>
      <c r="E1782" s="125"/>
      <c r="F1782" s="125"/>
      <c r="G1782" s="125"/>
      <c r="H1782" s="125"/>
      <c r="I1782" s="627" t="s">
        <v>51</v>
      </c>
      <c r="J1782" s="125" t="s">
        <v>51</v>
      </c>
      <c r="K1782" s="125" t="s">
        <v>51</v>
      </c>
      <c r="L1782" s="125" t="s">
        <v>51</v>
      </c>
      <c r="M1782" s="125" t="str">
        <f t="shared" si="1"/>
        <v/>
      </c>
      <c r="N1782" s="125" t="str">
        <f t="shared" si="2"/>
        <v/>
      </c>
      <c r="O1782" s="125"/>
      <c r="P1782" s="125"/>
      <c r="Q1782" s="125"/>
      <c r="R1782" s="125"/>
      <c r="S1782" s="628">
        <f t="shared" si="3"/>
        <v>0</v>
      </c>
      <c r="T1782" s="627" t="s">
        <v>51</v>
      </c>
      <c r="U1782" s="627" t="s">
        <v>51</v>
      </c>
      <c r="V1782" s="627" t="s">
        <v>51</v>
      </c>
      <c r="W1782" s="627" t="s">
        <v>51</v>
      </c>
      <c r="X1782" s="627" t="s">
        <v>51</v>
      </c>
      <c r="Y1782" s="89"/>
    </row>
    <row r="1783" ht="22.5" customHeight="1">
      <c r="A1783" s="223"/>
      <c r="B1783" s="125"/>
      <c r="C1783" s="125"/>
      <c r="D1783" s="125"/>
      <c r="E1783" s="125"/>
      <c r="F1783" s="125"/>
      <c r="G1783" s="125"/>
      <c r="H1783" s="125"/>
      <c r="I1783" s="627" t="s">
        <v>51</v>
      </c>
      <c r="J1783" s="125" t="s">
        <v>51</v>
      </c>
      <c r="K1783" s="125" t="s">
        <v>51</v>
      </c>
      <c r="L1783" s="125" t="s">
        <v>51</v>
      </c>
      <c r="M1783" s="125" t="str">
        <f t="shared" si="1"/>
        <v/>
      </c>
      <c r="N1783" s="125" t="str">
        <f t="shared" si="2"/>
        <v/>
      </c>
      <c r="O1783" s="125"/>
      <c r="P1783" s="125"/>
      <c r="Q1783" s="125"/>
      <c r="R1783" s="125"/>
      <c r="S1783" s="628">
        <f t="shared" si="3"/>
        <v>0</v>
      </c>
      <c r="T1783" s="627" t="s">
        <v>51</v>
      </c>
      <c r="U1783" s="627" t="s">
        <v>51</v>
      </c>
      <c r="V1783" s="627" t="s">
        <v>51</v>
      </c>
      <c r="W1783" s="627" t="s">
        <v>51</v>
      </c>
      <c r="X1783" s="627" t="s">
        <v>51</v>
      </c>
      <c r="Y1783" s="89"/>
    </row>
    <row r="1784" ht="22.5" customHeight="1">
      <c r="A1784" s="223"/>
      <c r="B1784" s="125"/>
      <c r="C1784" s="125"/>
      <c r="D1784" s="125"/>
      <c r="E1784" s="125"/>
      <c r="F1784" s="125"/>
      <c r="G1784" s="125"/>
      <c r="H1784" s="125"/>
      <c r="I1784" s="627" t="s">
        <v>51</v>
      </c>
      <c r="J1784" s="125" t="s">
        <v>51</v>
      </c>
      <c r="K1784" s="125" t="s">
        <v>51</v>
      </c>
      <c r="L1784" s="125" t="s">
        <v>51</v>
      </c>
      <c r="M1784" s="125" t="str">
        <f t="shared" si="1"/>
        <v/>
      </c>
      <c r="N1784" s="125" t="str">
        <f t="shared" si="2"/>
        <v/>
      </c>
      <c r="O1784" s="125"/>
      <c r="P1784" s="125"/>
      <c r="Q1784" s="125"/>
      <c r="R1784" s="125"/>
      <c r="S1784" s="628">
        <f t="shared" si="3"/>
        <v>0</v>
      </c>
      <c r="T1784" s="627" t="s">
        <v>51</v>
      </c>
      <c r="U1784" s="627" t="s">
        <v>51</v>
      </c>
      <c r="V1784" s="627" t="s">
        <v>51</v>
      </c>
      <c r="W1784" s="627" t="s">
        <v>51</v>
      </c>
      <c r="X1784" s="627" t="s">
        <v>51</v>
      </c>
      <c r="Y1784" s="89"/>
    </row>
    <row r="1785" ht="22.5" customHeight="1">
      <c r="A1785" s="223"/>
      <c r="B1785" s="125"/>
      <c r="C1785" s="125"/>
      <c r="D1785" s="125"/>
      <c r="E1785" s="125"/>
      <c r="F1785" s="125"/>
      <c r="G1785" s="125"/>
      <c r="H1785" s="125"/>
      <c r="I1785" s="627" t="s">
        <v>51</v>
      </c>
      <c r="J1785" s="125" t="s">
        <v>51</v>
      </c>
      <c r="K1785" s="125" t="s">
        <v>51</v>
      </c>
      <c r="L1785" s="125" t="s">
        <v>51</v>
      </c>
      <c r="M1785" s="125" t="str">
        <f t="shared" si="1"/>
        <v/>
      </c>
      <c r="N1785" s="125" t="str">
        <f t="shared" si="2"/>
        <v/>
      </c>
      <c r="O1785" s="125"/>
      <c r="P1785" s="125"/>
      <c r="Q1785" s="125"/>
      <c r="R1785" s="125"/>
      <c r="S1785" s="628">
        <f t="shared" si="3"/>
        <v>0</v>
      </c>
      <c r="T1785" s="627" t="s">
        <v>51</v>
      </c>
      <c r="U1785" s="627" t="s">
        <v>51</v>
      </c>
      <c r="V1785" s="627" t="s">
        <v>51</v>
      </c>
      <c r="W1785" s="627" t="s">
        <v>51</v>
      </c>
      <c r="X1785" s="627" t="s">
        <v>51</v>
      </c>
      <c r="Y1785" s="89"/>
    </row>
    <row r="1786" ht="22.5" customHeight="1">
      <c r="A1786" s="223"/>
      <c r="B1786" s="125"/>
      <c r="C1786" s="125"/>
      <c r="D1786" s="125"/>
      <c r="E1786" s="125"/>
      <c r="F1786" s="125"/>
      <c r="G1786" s="125"/>
      <c r="H1786" s="125"/>
      <c r="I1786" s="627" t="s">
        <v>51</v>
      </c>
      <c r="J1786" s="125" t="s">
        <v>51</v>
      </c>
      <c r="K1786" s="125" t="s">
        <v>51</v>
      </c>
      <c r="L1786" s="125" t="s">
        <v>51</v>
      </c>
      <c r="M1786" s="125" t="str">
        <f t="shared" si="1"/>
        <v/>
      </c>
      <c r="N1786" s="125" t="str">
        <f t="shared" si="2"/>
        <v/>
      </c>
      <c r="O1786" s="125"/>
      <c r="P1786" s="125"/>
      <c r="Q1786" s="125"/>
      <c r="R1786" s="125"/>
      <c r="S1786" s="628">
        <f t="shared" si="3"/>
        <v>0</v>
      </c>
      <c r="T1786" s="627" t="s">
        <v>51</v>
      </c>
      <c r="U1786" s="627" t="s">
        <v>51</v>
      </c>
      <c r="V1786" s="627" t="s">
        <v>51</v>
      </c>
      <c r="W1786" s="627" t="s">
        <v>51</v>
      </c>
      <c r="X1786" s="627" t="s">
        <v>51</v>
      </c>
      <c r="Y1786" s="89"/>
    </row>
    <row r="1787" ht="22.5" customHeight="1">
      <c r="A1787" s="223"/>
      <c r="B1787" s="125"/>
      <c r="C1787" s="125"/>
      <c r="D1787" s="125"/>
      <c r="E1787" s="125"/>
      <c r="F1787" s="125"/>
      <c r="G1787" s="125"/>
      <c r="H1787" s="125"/>
      <c r="I1787" s="627" t="s">
        <v>51</v>
      </c>
      <c r="J1787" s="125" t="s">
        <v>51</v>
      </c>
      <c r="K1787" s="125" t="s">
        <v>51</v>
      </c>
      <c r="L1787" s="125" t="s">
        <v>51</v>
      </c>
      <c r="M1787" s="125" t="str">
        <f t="shared" si="1"/>
        <v/>
      </c>
      <c r="N1787" s="125" t="str">
        <f t="shared" si="2"/>
        <v/>
      </c>
      <c r="O1787" s="125"/>
      <c r="P1787" s="125"/>
      <c r="Q1787" s="125"/>
      <c r="R1787" s="125"/>
      <c r="S1787" s="628">
        <f t="shared" si="3"/>
        <v>0</v>
      </c>
      <c r="T1787" s="627" t="s">
        <v>51</v>
      </c>
      <c r="U1787" s="627" t="s">
        <v>51</v>
      </c>
      <c r="V1787" s="627" t="s">
        <v>51</v>
      </c>
      <c r="W1787" s="627" t="s">
        <v>51</v>
      </c>
      <c r="X1787" s="627" t="s">
        <v>51</v>
      </c>
      <c r="Y1787" s="89"/>
    </row>
    <row r="1788" ht="22.5" customHeight="1">
      <c r="A1788" s="223"/>
      <c r="B1788" s="125"/>
      <c r="C1788" s="125"/>
      <c r="D1788" s="125"/>
      <c r="E1788" s="125"/>
      <c r="F1788" s="125"/>
      <c r="G1788" s="125"/>
      <c r="H1788" s="125"/>
      <c r="I1788" s="627" t="s">
        <v>51</v>
      </c>
      <c r="J1788" s="125" t="s">
        <v>51</v>
      </c>
      <c r="K1788" s="125" t="s">
        <v>51</v>
      </c>
      <c r="L1788" s="125" t="s">
        <v>51</v>
      </c>
      <c r="M1788" s="125" t="str">
        <f t="shared" si="1"/>
        <v/>
      </c>
      <c r="N1788" s="125" t="str">
        <f t="shared" si="2"/>
        <v/>
      </c>
      <c r="O1788" s="125"/>
      <c r="P1788" s="125"/>
      <c r="Q1788" s="125"/>
      <c r="R1788" s="125"/>
      <c r="S1788" s="628">
        <f t="shared" si="3"/>
        <v>0</v>
      </c>
      <c r="T1788" s="627" t="s">
        <v>51</v>
      </c>
      <c r="U1788" s="627" t="s">
        <v>51</v>
      </c>
      <c r="V1788" s="627" t="s">
        <v>51</v>
      </c>
      <c r="W1788" s="627" t="s">
        <v>51</v>
      </c>
      <c r="X1788" s="627" t="s">
        <v>51</v>
      </c>
      <c r="Y1788" s="89"/>
    </row>
    <row r="1789" ht="22.5" customHeight="1">
      <c r="A1789" s="223"/>
      <c r="B1789" s="125"/>
      <c r="C1789" s="125"/>
      <c r="D1789" s="125"/>
      <c r="E1789" s="125"/>
      <c r="F1789" s="125"/>
      <c r="G1789" s="125"/>
      <c r="H1789" s="125"/>
      <c r="I1789" s="627" t="s">
        <v>51</v>
      </c>
      <c r="J1789" s="125" t="s">
        <v>51</v>
      </c>
      <c r="K1789" s="125" t="s">
        <v>51</v>
      </c>
      <c r="L1789" s="125" t="s">
        <v>51</v>
      </c>
      <c r="M1789" s="125" t="str">
        <f t="shared" si="1"/>
        <v/>
      </c>
      <c r="N1789" s="125" t="str">
        <f t="shared" si="2"/>
        <v/>
      </c>
      <c r="O1789" s="125"/>
      <c r="P1789" s="125"/>
      <c r="Q1789" s="125"/>
      <c r="R1789" s="125"/>
      <c r="S1789" s="628">
        <f t="shared" si="3"/>
        <v>0</v>
      </c>
      <c r="T1789" s="627" t="s">
        <v>51</v>
      </c>
      <c r="U1789" s="627" t="s">
        <v>51</v>
      </c>
      <c r="V1789" s="627" t="s">
        <v>51</v>
      </c>
      <c r="W1789" s="627" t="s">
        <v>51</v>
      </c>
      <c r="X1789" s="627" t="s">
        <v>51</v>
      </c>
      <c r="Y1789" s="89"/>
    </row>
    <row r="1790" ht="22.5" customHeight="1">
      <c r="A1790" s="223"/>
      <c r="B1790" s="125"/>
      <c r="C1790" s="125"/>
      <c r="D1790" s="125"/>
      <c r="E1790" s="125"/>
      <c r="F1790" s="125"/>
      <c r="G1790" s="125"/>
      <c r="H1790" s="125"/>
      <c r="I1790" s="627" t="s">
        <v>51</v>
      </c>
      <c r="J1790" s="125" t="s">
        <v>51</v>
      </c>
      <c r="K1790" s="125" t="s">
        <v>51</v>
      </c>
      <c r="L1790" s="125" t="s">
        <v>51</v>
      </c>
      <c r="M1790" s="125" t="str">
        <f t="shared" si="1"/>
        <v/>
      </c>
      <c r="N1790" s="125" t="str">
        <f t="shared" si="2"/>
        <v/>
      </c>
      <c r="O1790" s="125"/>
      <c r="P1790" s="125"/>
      <c r="Q1790" s="125"/>
      <c r="R1790" s="125"/>
      <c r="S1790" s="628">
        <f t="shared" si="3"/>
        <v>0</v>
      </c>
      <c r="T1790" s="627" t="s">
        <v>51</v>
      </c>
      <c r="U1790" s="627" t="s">
        <v>51</v>
      </c>
      <c r="V1790" s="627" t="s">
        <v>51</v>
      </c>
      <c r="W1790" s="627" t="s">
        <v>51</v>
      </c>
      <c r="X1790" s="627" t="s">
        <v>51</v>
      </c>
      <c r="Y1790" s="89"/>
    </row>
    <row r="1791" ht="22.5" customHeight="1">
      <c r="A1791" s="223"/>
      <c r="B1791" s="125"/>
      <c r="C1791" s="125"/>
      <c r="D1791" s="125"/>
      <c r="E1791" s="125"/>
      <c r="F1791" s="125"/>
      <c r="G1791" s="125"/>
      <c r="H1791" s="125"/>
      <c r="I1791" s="627" t="s">
        <v>51</v>
      </c>
      <c r="J1791" s="125" t="s">
        <v>51</v>
      </c>
      <c r="K1791" s="125" t="s">
        <v>51</v>
      </c>
      <c r="L1791" s="125" t="s">
        <v>51</v>
      </c>
      <c r="M1791" s="125" t="str">
        <f t="shared" si="1"/>
        <v/>
      </c>
      <c r="N1791" s="125" t="str">
        <f t="shared" si="2"/>
        <v/>
      </c>
      <c r="O1791" s="125"/>
      <c r="P1791" s="125"/>
      <c r="Q1791" s="125"/>
      <c r="R1791" s="125"/>
      <c r="S1791" s="628">
        <f t="shared" si="3"/>
        <v>0</v>
      </c>
      <c r="T1791" s="627" t="s">
        <v>51</v>
      </c>
      <c r="U1791" s="627" t="s">
        <v>51</v>
      </c>
      <c r="V1791" s="627" t="s">
        <v>51</v>
      </c>
      <c r="W1791" s="627" t="s">
        <v>51</v>
      </c>
      <c r="X1791" s="627" t="s">
        <v>51</v>
      </c>
      <c r="Y1791" s="89"/>
    </row>
    <row r="1792" ht="22.5" customHeight="1">
      <c r="A1792" s="223"/>
      <c r="B1792" s="125"/>
      <c r="C1792" s="125"/>
      <c r="D1792" s="125"/>
      <c r="E1792" s="125"/>
      <c r="F1792" s="125"/>
      <c r="G1792" s="125"/>
      <c r="H1792" s="125"/>
      <c r="I1792" s="627" t="s">
        <v>51</v>
      </c>
      <c r="J1792" s="125" t="s">
        <v>51</v>
      </c>
      <c r="K1792" s="125" t="s">
        <v>51</v>
      </c>
      <c r="L1792" s="125" t="s">
        <v>51</v>
      </c>
      <c r="M1792" s="125" t="str">
        <f t="shared" si="1"/>
        <v/>
      </c>
      <c r="N1792" s="125" t="str">
        <f t="shared" si="2"/>
        <v/>
      </c>
      <c r="O1792" s="125"/>
      <c r="P1792" s="125"/>
      <c r="Q1792" s="125"/>
      <c r="R1792" s="125"/>
      <c r="S1792" s="628">
        <f t="shared" si="3"/>
        <v>0</v>
      </c>
      <c r="T1792" s="627" t="s">
        <v>51</v>
      </c>
      <c r="U1792" s="627" t="s">
        <v>51</v>
      </c>
      <c r="V1792" s="627" t="s">
        <v>51</v>
      </c>
      <c r="W1792" s="627" t="s">
        <v>51</v>
      </c>
      <c r="X1792" s="627" t="s">
        <v>51</v>
      </c>
      <c r="Y1792" s="89"/>
    </row>
    <row r="1793" ht="22.5" customHeight="1">
      <c r="A1793" s="223"/>
      <c r="B1793" s="125"/>
      <c r="C1793" s="125"/>
      <c r="D1793" s="125"/>
      <c r="E1793" s="125"/>
      <c r="F1793" s="125"/>
      <c r="G1793" s="125"/>
      <c r="H1793" s="125"/>
      <c r="I1793" s="627" t="s">
        <v>51</v>
      </c>
      <c r="J1793" s="125" t="s">
        <v>51</v>
      </c>
      <c r="K1793" s="125" t="s">
        <v>51</v>
      </c>
      <c r="L1793" s="125" t="s">
        <v>51</v>
      </c>
      <c r="M1793" s="125" t="str">
        <f t="shared" si="1"/>
        <v/>
      </c>
      <c r="N1793" s="125" t="str">
        <f t="shared" si="2"/>
        <v/>
      </c>
      <c r="O1793" s="125"/>
      <c r="P1793" s="125"/>
      <c r="Q1793" s="125"/>
      <c r="R1793" s="125"/>
      <c r="S1793" s="628">
        <f t="shared" si="3"/>
        <v>0</v>
      </c>
      <c r="T1793" s="627" t="s">
        <v>51</v>
      </c>
      <c r="U1793" s="627" t="s">
        <v>51</v>
      </c>
      <c r="V1793" s="627" t="s">
        <v>51</v>
      </c>
      <c r="W1793" s="627" t="s">
        <v>51</v>
      </c>
      <c r="X1793" s="627" t="s">
        <v>51</v>
      </c>
      <c r="Y1793" s="89"/>
    </row>
    <row r="1794" ht="22.5" customHeight="1">
      <c r="A1794" s="223"/>
      <c r="B1794" s="125"/>
      <c r="C1794" s="125"/>
      <c r="D1794" s="125"/>
      <c r="E1794" s="125"/>
      <c r="F1794" s="125"/>
      <c r="G1794" s="125"/>
      <c r="H1794" s="125"/>
      <c r="I1794" s="627" t="s">
        <v>51</v>
      </c>
      <c r="J1794" s="125" t="s">
        <v>51</v>
      </c>
      <c r="K1794" s="125" t="s">
        <v>51</v>
      </c>
      <c r="L1794" s="125" t="s">
        <v>51</v>
      </c>
      <c r="M1794" s="125" t="str">
        <f t="shared" si="1"/>
        <v/>
      </c>
      <c r="N1794" s="125" t="str">
        <f t="shared" si="2"/>
        <v/>
      </c>
      <c r="O1794" s="125"/>
      <c r="P1794" s="125"/>
      <c r="Q1794" s="125"/>
      <c r="R1794" s="125"/>
      <c r="S1794" s="628">
        <f t="shared" si="3"/>
        <v>0</v>
      </c>
      <c r="T1794" s="627" t="s">
        <v>51</v>
      </c>
      <c r="U1794" s="627" t="s">
        <v>51</v>
      </c>
      <c r="V1794" s="627" t="s">
        <v>51</v>
      </c>
      <c r="W1794" s="627" t="s">
        <v>51</v>
      </c>
      <c r="X1794" s="627" t="s">
        <v>51</v>
      </c>
      <c r="Y1794" s="89"/>
    </row>
    <row r="1795" ht="22.5" customHeight="1">
      <c r="A1795" s="223"/>
      <c r="B1795" s="125"/>
      <c r="C1795" s="125"/>
      <c r="D1795" s="125"/>
      <c r="E1795" s="125"/>
      <c r="F1795" s="125"/>
      <c r="G1795" s="125"/>
      <c r="H1795" s="125"/>
      <c r="I1795" s="627" t="s">
        <v>51</v>
      </c>
      <c r="J1795" s="125" t="s">
        <v>51</v>
      </c>
      <c r="K1795" s="125" t="s">
        <v>51</v>
      </c>
      <c r="L1795" s="125" t="s">
        <v>51</v>
      </c>
      <c r="M1795" s="125" t="str">
        <f t="shared" si="1"/>
        <v/>
      </c>
      <c r="N1795" s="125" t="str">
        <f t="shared" si="2"/>
        <v/>
      </c>
      <c r="O1795" s="125"/>
      <c r="P1795" s="125"/>
      <c r="Q1795" s="125"/>
      <c r="R1795" s="125"/>
      <c r="S1795" s="628">
        <f t="shared" si="3"/>
        <v>0</v>
      </c>
      <c r="T1795" s="627" t="s">
        <v>51</v>
      </c>
      <c r="U1795" s="627" t="s">
        <v>51</v>
      </c>
      <c r="V1795" s="627" t="s">
        <v>51</v>
      </c>
      <c r="W1795" s="627" t="s">
        <v>51</v>
      </c>
      <c r="X1795" s="627" t="s">
        <v>51</v>
      </c>
      <c r="Y1795" s="89"/>
    </row>
    <row r="1796" ht="22.5" customHeight="1">
      <c r="A1796" s="223"/>
      <c r="B1796" s="125"/>
      <c r="C1796" s="125"/>
      <c r="D1796" s="125"/>
      <c r="E1796" s="125"/>
      <c r="F1796" s="125"/>
      <c r="G1796" s="125"/>
      <c r="H1796" s="125"/>
      <c r="I1796" s="627" t="s">
        <v>51</v>
      </c>
      <c r="J1796" s="125" t="s">
        <v>51</v>
      </c>
      <c r="K1796" s="125" t="s">
        <v>51</v>
      </c>
      <c r="L1796" s="125" t="s">
        <v>51</v>
      </c>
      <c r="M1796" s="125" t="str">
        <f t="shared" si="1"/>
        <v/>
      </c>
      <c r="N1796" s="125" t="str">
        <f t="shared" si="2"/>
        <v/>
      </c>
      <c r="O1796" s="125"/>
      <c r="P1796" s="125"/>
      <c r="Q1796" s="125"/>
      <c r="R1796" s="125"/>
      <c r="S1796" s="628">
        <f t="shared" si="3"/>
        <v>0</v>
      </c>
      <c r="T1796" s="627" t="s">
        <v>51</v>
      </c>
      <c r="U1796" s="627" t="s">
        <v>51</v>
      </c>
      <c r="V1796" s="627" t="s">
        <v>51</v>
      </c>
      <c r="W1796" s="627" t="s">
        <v>51</v>
      </c>
      <c r="X1796" s="627" t="s">
        <v>51</v>
      </c>
      <c r="Y1796" s="89"/>
    </row>
    <row r="1797" ht="22.5" customHeight="1">
      <c r="A1797" s="223"/>
      <c r="B1797" s="125"/>
      <c r="C1797" s="125"/>
      <c r="D1797" s="125"/>
      <c r="E1797" s="125"/>
      <c r="F1797" s="125"/>
      <c r="G1797" s="125"/>
      <c r="H1797" s="125"/>
      <c r="I1797" s="627" t="s">
        <v>51</v>
      </c>
      <c r="J1797" s="125" t="s">
        <v>51</v>
      </c>
      <c r="K1797" s="125" t="s">
        <v>51</v>
      </c>
      <c r="L1797" s="125" t="s">
        <v>51</v>
      </c>
      <c r="M1797" s="125" t="str">
        <f t="shared" si="1"/>
        <v/>
      </c>
      <c r="N1797" s="125" t="str">
        <f t="shared" si="2"/>
        <v/>
      </c>
      <c r="O1797" s="125"/>
      <c r="P1797" s="125"/>
      <c r="Q1797" s="125"/>
      <c r="R1797" s="125"/>
      <c r="S1797" s="628">
        <f t="shared" si="3"/>
        <v>0</v>
      </c>
      <c r="T1797" s="627" t="s">
        <v>51</v>
      </c>
      <c r="U1797" s="627" t="s">
        <v>51</v>
      </c>
      <c r="V1797" s="627" t="s">
        <v>51</v>
      </c>
      <c r="W1797" s="627" t="s">
        <v>51</v>
      </c>
      <c r="X1797" s="627" t="s">
        <v>51</v>
      </c>
      <c r="Y1797" s="89"/>
    </row>
    <row r="1798" ht="22.5" customHeight="1">
      <c r="A1798" s="223"/>
      <c r="B1798" s="125"/>
      <c r="C1798" s="125"/>
      <c r="D1798" s="125"/>
      <c r="E1798" s="125"/>
      <c r="F1798" s="125"/>
      <c r="G1798" s="125"/>
      <c r="H1798" s="125"/>
      <c r="I1798" s="627" t="s">
        <v>51</v>
      </c>
      <c r="J1798" s="125" t="s">
        <v>51</v>
      </c>
      <c r="K1798" s="125" t="s">
        <v>51</v>
      </c>
      <c r="L1798" s="125" t="s">
        <v>51</v>
      </c>
      <c r="M1798" s="125" t="str">
        <f t="shared" si="1"/>
        <v/>
      </c>
      <c r="N1798" s="125" t="str">
        <f t="shared" si="2"/>
        <v/>
      </c>
      <c r="O1798" s="125"/>
      <c r="P1798" s="125"/>
      <c r="Q1798" s="125"/>
      <c r="R1798" s="125"/>
      <c r="S1798" s="628">
        <f t="shared" si="3"/>
        <v>0</v>
      </c>
      <c r="T1798" s="627" t="s">
        <v>51</v>
      </c>
      <c r="U1798" s="627" t="s">
        <v>51</v>
      </c>
      <c r="V1798" s="627" t="s">
        <v>51</v>
      </c>
      <c r="W1798" s="627" t="s">
        <v>51</v>
      </c>
      <c r="X1798" s="627" t="s">
        <v>51</v>
      </c>
      <c r="Y1798" s="89"/>
    </row>
    <row r="1799" ht="22.5" customHeight="1">
      <c r="A1799" s="223"/>
      <c r="B1799" s="125"/>
      <c r="C1799" s="125"/>
      <c r="D1799" s="125"/>
      <c r="E1799" s="125"/>
      <c r="F1799" s="125"/>
      <c r="G1799" s="125"/>
      <c r="H1799" s="125"/>
      <c r="I1799" s="627" t="s">
        <v>51</v>
      </c>
      <c r="J1799" s="125" t="s">
        <v>51</v>
      </c>
      <c r="K1799" s="125" t="s">
        <v>51</v>
      </c>
      <c r="L1799" s="125" t="s">
        <v>51</v>
      </c>
      <c r="M1799" s="125" t="str">
        <f t="shared" si="1"/>
        <v/>
      </c>
      <c r="N1799" s="125" t="str">
        <f t="shared" si="2"/>
        <v/>
      </c>
      <c r="O1799" s="125"/>
      <c r="P1799" s="125"/>
      <c r="Q1799" s="125"/>
      <c r="R1799" s="125"/>
      <c r="S1799" s="628">
        <f t="shared" si="3"/>
        <v>0</v>
      </c>
      <c r="T1799" s="627" t="s">
        <v>51</v>
      </c>
      <c r="U1799" s="627" t="s">
        <v>51</v>
      </c>
      <c r="V1799" s="627" t="s">
        <v>51</v>
      </c>
      <c r="W1799" s="627" t="s">
        <v>51</v>
      </c>
      <c r="X1799" s="627" t="s">
        <v>51</v>
      </c>
      <c r="Y1799" s="89"/>
    </row>
    <row r="1800" ht="22.5" customHeight="1">
      <c r="A1800" s="223"/>
      <c r="B1800" s="125"/>
      <c r="C1800" s="125"/>
      <c r="D1800" s="125"/>
      <c r="E1800" s="125"/>
      <c r="F1800" s="125"/>
      <c r="G1800" s="125"/>
      <c r="H1800" s="125"/>
      <c r="I1800" s="627" t="s">
        <v>51</v>
      </c>
      <c r="J1800" s="125" t="s">
        <v>51</v>
      </c>
      <c r="K1800" s="125" t="s">
        <v>51</v>
      </c>
      <c r="L1800" s="125" t="s">
        <v>51</v>
      </c>
      <c r="M1800" s="125" t="str">
        <f t="shared" si="1"/>
        <v/>
      </c>
      <c r="N1800" s="125" t="str">
        <f t="shared" si="2"/>
        <v/>
      </c>
      <c r="O1800" s="125"/>
      <c r="P1800" s="125"/>
      <c r="Q1800" s="125"/>
      <c r="R1800" s="125"/>
      <c r="S1800" s="628">
        <f t="shared" si="3"/>
        <v>0</v>
      </c>
      <c r="T1800" s="627" t="s">
        <v>51</v>
      </c>
      <c r="U1800" s="627" t="s">
        <v>51</v>
      </c>
      <c r="V1800" s="627" t="s">
        <v>51</v>
      </c>
      <c r="W1800" s="627" t="s">
        <v>51</v>
      </c>
      <c r="X1800" s="627" t="s">
        <v>51</v>
      </c>
      <c r="Y1800" s="89"/>
    </row>
    <row r="1801" ht="22.5" customHeight="1">
      <c r="A1801" s="223"/>
      <c r="B1801" s="125"/>
      <c r="C1801" s="125"/>
      <c r="D1801" s="125"/>
      <c r="E1801" s="125"/>
      <c r="F1801" s="125"/>
      <c r="G1801" s="125"/>
      <c r="H1801" s="125"/>
      <c r="I1801" s="627" t="s">
        <v>51</v>
      </c>
      <c r="J1801" s="125" t="s">
        <v>51</v>
      </c>
      <c r="K1801" s="125" t="s">
        <v>51</v>
      </c>
      <c r="L1801" s="125" t="s">
        <v>51</v>
      </c>
      <c r="M1801" s="125" t="str">
        <f t="shared" si="1"/>
        <v/>
      </c>
      <c r="N1801" s="125" t="str">
        <f t="shared" si="2"/>
        <v/>
      </c>
      <c r="O1801" s="125"/>
      <c r="P1801" s="125"/>
      <c r="Q1801" s="125"/>
      <c r="R1801" s="125"/>
      <c r="S1801" s="628">
        <f t="shared" si="3"/>
        <v>0</v>
      </c>
      <c r="T1801" s="627" t="s">
        <v>51</v>
      </c>
      <c r="U1801" s="627" t="s">
        <v>51</v>
      </c>
      <c r="V1801" s="627" t="s">
        <v>51</v>
      </c>
      <c r="W1801" s="627" t="s">
        <v>51</v>
      </c>
      <c r="X1801" s="627" t="s">
        <v>51</v>
      </c>
      <c r="Y1801" s="89"/>
    </row>
    <row r="1802" ht="22.5" customHeight="1">
      <c r="A1802" s="223"/>
      <c r="B1802" s="125"/>
      <c r="C1802" s="125"/>
      <c r="D1802" s="125"/>
      <c r="E1802" s="125"/>
      <c r="F1802" s="125"/>
      <c r="G1802" s="125"/>
      <c r="H1802" s="125"/>
      <c r="I1802" s="627" t="s">
        <v>51</v>
      </c>
      <c r="J1802" s="125" t="s">
        <v>51</v>
      </c>
      <c r="K1802" s="125" t="s">
        <v>51</v>
      </c>
      <c r="L1802" s="125" t="s">
        <v>51</v>
      </c>
      <c r="M1802" s="125" t="str">
        <f t="shared" si="1"/>
        <v/>
      </c>
      <c r="N1802" s="125" t="str">
        <f t="shared" si="2"/>
        <v/>
      </c>
      <c r="O1802" s="125"/>
      <c r="P1802" s="125"/>
      <c r="Q1802" s="125"/>
      <c r="R1802" s="125"/>
      <c r="S1802" s="628">
        <f t="shared" si="3"/>
        <v>0</v>
      </c>
      <c r="T1802" s="627" t="s">
        <v>51</v>
      </c>
      <c r="U1802" s="627" t="s">
        <v>51</v>
      </c>
      <c r="V1802" s="627" t="s">
        <v>51</v>
      </c>
      <c r="W1802" s="627" t="s">
        <v>51</v>
      </c>
      <c r="X1802" s="627" t="s">
        <v>51</v>
      </c>
      <c r="Y1802" s="89"/>
    </row>
    <row r="1803" ht="22.5" customHeight="1">
      <c r="A1803" s="223"/>
      <c r="B1803" s="125"/>
      <c r="C1803" s="125"/>
      <c r="D1803" s="125"/>
      <c r="E1803" s="125"/>
      <c r="F1803" s="125"/>
      <c r="G1803" s="125"/>
      <c r="H1803" s="125"/>
      <c r="I1803" s="627" t="s">
        <v>51</v>
      </c>
      <c r="J1803" s="125" t="s">
        <v>51</v>
      </c>
      <c r="K1803" s="125" t="s">
        <v>51</v>
      </c>
      <c r="L1803" s="125" t="s">
        <v>51</v>
      </c>
      <c r="M1803" s="125" t="str">
        <f t="shared" si="1"/>
        <v/>
      </c>
      <c r="N1803" s="125" t="str">
        <f t="shared" si="2"/>
        <v/>
      </c>
      <c r="O1803" s="125"/>
      <c r="P1803" s="125"/>
      <c r="Q1803" s="125"/>
      <c r="R1803" s="125"/>
      <c r="S1803" s="628">
        <f t="shared" si="3"/>
        <v>0</v>
      </c>
      <c r="T1803" s="627" t="s">
        <v>51</v>
      </c>
      <c r="U1803" s="627" t="s">
        <v>51</v>
      </c>
      <c r="V1803" s="627" t="s">
        <v>51</v>
      </c>
      <c r="W1803" s="627" t="s">
        <v>51</v>
      </c>
      <c r="X1803" s="627" t="s">
        <v>51</v>
      </c>
      <c r="Y1803" s="89"/>
    </row>
    <row r="1804" ht="22.5" customHeight="1">
      <c r="A1804" s="223"/>
      <c r="B1804" s="125"/>
      <c r="C1804" s="125"/>
      <c r="D1804" s="125"/>
      <c r="E1804" s="125"/>
      <c r="F1804" s="125"/>
      <c r="G1804" s="125"/>
      <c r="H1804" s="125"/>
      <c r="I1804" s="627" t="s">
        <v>51</v>
      </c>
      <c r="J1804" s="125" t="s">
        <v>51</v>
      </c>
      <c r="K1804" s="125" t="s">
        <v>51</v>
      </c>
      <c r="L1804" s="125" t="s">
        <v>51</v>
      </c>
      <c r="M1804" s="125" t="str">
        <f t="shared" si="1"/>
        <v/>
      </c>
      <c r="N1804" s="125" t="str">
        <f t="shared" si="2"/>
        <v/>
      </c>
      <c r="O1804" s="125"/>
      <c r="P1804" s="125"/>
      <c r="Q1804" s="125"/>
      <c r="R1804" s="125"/>
      <c r="S1804" s="628">
        <f t="shared" si="3"/>
        <v>0</v>
      </c>
      <c r="T1804" s="627" t="s">
        <v>51</v>
      </c>
      <c r="U1804" s="627" t="s">
        <v>51</v>
      </c>
      <c r="V1804" s="627" t="s">
        <v>51</v>
      </c>
      <c r="W1804" s="627" t="s">
        <v>51</v>
      </c>
      <c r="X1804" s="627" t="s">
        <v>51</v>
      </c>
      <c r="Y1804" s="89"/>
    </row>
    <row r="1805" ht="22.5" customHeight="1">
      <c r="A1805" s="223"/>
      <c r="B1805" s="125"/>
      <c r="C1805" s="125"/>
      <c r="D1805" s="125"/>
      <c r="E1805" s="125"/>
      <c r="F1805" s="125"/>
      <c r="G1805" s="125"/>
      <c r="H1805" s="125"/>
      <c r="I1805" s="627" t="s">
        <v>51</v>
      </c>
      <c r="J1805" s="125" t="s">
        <v>51</v>
      </c>
      <c r="K1805" s="125" t="s">
        <v>51</v>
      </c>
      <c r="L1805" s="125" t="s">
        <v>51</v>
      </c>
      <c r="M1805" s="125" t="str">
        <f t="shared" si="1"/>
        <v/>
      </c>
      <c r="N1805" s="125" t="str">
        <f t="shared" si="2"/>
        <v/>
      </c>
      <c r="O1805" s="125"/>
      <c r="P1805" s="125"/>
      <c r="Q1805" s="125"/>
      <c r="R1805" s="125"/>
      <c r="S1805" s="628">
        <f t="shared" si="3"/>
        <v>0</v>
      </c>
      <c r="T1805" s="627" t="s">
        <v>51</v>
      </c>
      <c r="U1805" s="627" t="s">
        <v>51</v>
      </c>
      <c r="V1805" s="627" t="s">
        <v>51</v>
      </c>
      <c r="W1805" s="627" t="s">
        <v>51</v>
      </c>
      <c r="X1805" s="627" t="s">
        <v>51</v>
      </c>
      <c r="Y1805" s="89"/>
    </row>
    <row r="1806" ht="22.5" customHeight="1">
      <c r="A1806" s="223"/>
      <c r="B1806" s="125"/>
      <c r="C1806" s="125"/>
      <c r="D1806" s="125"/>
      <c r="E1806" s="125"/>
      <c r="F1806" s="125"/>
      <c r="G1806" s="125"/>
      <c r="H1806" s="125"/>
      <c r="I1806" s="627" t="s">
        <v>51</v>
      </c>
      <c r="J1806" s="125" t="s">
        <v>51</v>
      </c>
      <c r="K1806" s="125" t="s">
        <v>51</v>
      </c>
      <c r="L1806" s="125" t="s">
        <v>51</v>
      </c>
      <c r="M1806" s="125" t="str">
        <f t="shared" si="1"/>
        <v/>
      </c>
      <c r="N1806" s="125" t="str">
        <f t="shared" si="2"/>
        <v/>
      </c>
      <c r="O1806" s="125"/>
      <c r="P1806" s="125"/>
      <c r="Q1806" s="125"/>
      <c r="R1806" s="125"/>
      <c r="S1806" s="628">
        <f t="shared" si="3"/>
        <v>0</v>
      </c>
      <c r="T1806" s="627" t="s">
        <v>51</v>
      </c>
      <c r="U1806" s="627" t="s">
        <v>51</v>
      </c>
      <c r="V1806" s="627" t="s">
        <v>51</v>
      </c>
      <c r="W1806" s="627" t="s">
        <v>51</v>
      </c>
      <c r="X1806" s="627" t="s">
        <v>51</v>
      </c>
      <c r="Y1806" s="89"/>
    </row>
    <row r="1807" ht="22.5" customHeight="1">
      <c r="A1807" s="223"/>
      <c r="B1807" s="125"/>
      <c r="C1807" s="125"/>
      <c r="D1807" s="125"/>
      <c r="E1807" s="125"/>
      <c r="F1807" s="125"/>
      <c r="G1807" s="125"/>
      <c r="H1807" s="125"/>
      <c r="I1807" s="627" t="s">
        <v>51</v>
      </c>
      <c r="J1807" s="125" t="s">
        <v>51</v>
      </c>
      <c r="K1807" s="125" t="s">
        <v>51</v>
      </c>
      <c r="L1807" s="125" t="s">
        <v>51</v>
      </c>
      <c r="M1807" s="125" t="str">
        <f t="shared" si="1"/>
        <v/>
      </c>
      <c r="N1807" s="125" t="str">
        <f t="shared" si="2"/>
        <v/>
      </c>
      <c r="O1807" s="125"/>
      <c r="P1807" s="125"/>
      <c r="Q1807" s="125"/>
      <c r="R1807" s="125"/>
      <c r="S1807" s="628">
        <f t="shared" si="3"/>
        <v>0</v>
      </c>
      <c r="T1807" s="627" t="s">
        <v>51</v>
      </c>
      <c r="U1807" s="627" t="s">
        <v>51</v>
      </c>
      <c r="V1807" s="627" t="s">
        <v>51</v>
      </c>
      <c r="W1807" s="627" t="s">
        <v>51</v>
      </c>
      <c r="X1807" s="627" t="s">
        <v>51</v>
      </c>
      <c r="Y1807" s="89"/>
    </row>
    <row r="1808" ht="22.5" customHeight="1">
      <c r="A1808" s="223"/>
      <c r="B1808" s="125"/>
      <c r="C1808" s="125"/>
      <c r="D1808" s="125"/>
      <c r="E1808" s="125"/>
      <c r="F1808" s="125"/>
      <c r="G1808" s="125"/>
      <c r="H1808" s="125"/>
      <c r="I1808" s="627" t="s">
        <v>51</v>
      </c>
      <c r="J1808" s="125" t="s">
        <v>51</v>
      </c>
      <c r="K1808" s="125" t="s">
        <v>51</v>
      </c>
      <c r="L1808" s="125" t="s">
        <v>51</v>
      </c>
      <c r="M1808" s="125" t="str">
        <f t="shared" si="1"/>
        <v/>
      </c>
      <c r="N1808" s="125" t="str">
        <f t="shared" si="2"/>
        <v/>
      </c>
      <c r="O1808" s="125"/>
      <c r="P1808" s="125"/>
      <c r="Q1808" s="125"/>
      <c r="R1808" s="125"/>
      <c r="S1808" s="628">
        <f t="shared" si="3"/>
        <v>0</v>
      </c>
      <c r="T1808" s="627" t="s">
        <v>51</v>
      </c>
      <c r="U1808" s="627" t="s">
        <v>51</v>
      </c>
      <c r="V1808" s="627" t="s">
        <v>51</v>
      </c>
      <c r="W1808" s="627" t="s">
        <v>51</v>
      </c>
      <c r="X1808" s="627" t="s">
        <v>51</v>
      </c>
      <c r="Y1808" s="89"/>
    </row>
    <row r="1809" ht="22.5" customHeight="1">
      <c r="A1809" s="223"/>
      <c r="B1809" s="125"/>
      <c r="C1809" s="125"/>
      <c r="D1809" s="125"/>
      <c r="E1809" s="125"/>
      <c r="F1809" s="125"/>
      <c r="G1809" s="125"/>
      <c r="H1809" s="125"/>
      <c r="I1809" s="627" t="s">
        <v>51</v>
      </c>
      <c r="J1809" s="125" t="s">
        <v>51</v>
      </c>
      <c r="K1809" s="125" t="s">
        <v>51</v>
      </c>
      <c r="L1809" s="125" t="s">
        <v>51</v>
      </c>
      <c r="M1809" s="125" t="str">
        <f t="shared" si="1"/>
        <v/>
      </c>
      <c r="N1809" s="125" t="str">
        <f t="shared" si="2"/>
        <v/>
      </c>
      <c r="O1809" s="125"/>
      <c r="P1809" s="125"/>
      <c r="Q1809" s="125"/>
      <c r="R1809" s="125"/>
      <c r="S1809" s="628">
        <f t="shared" si="3"/>
        <v>0</v>
      </c>
      <c r="T1809" s="627" t="s">
        <v>51</v>
      </c>
      <c r="U1809" s="627" t="s">
        <v>51</v>
      </c>
      <c r="V1809" s="627" t="s">
        <v>51</v>
      </c>
      <c r="W1809" s="627" t="s">
        <v>51</v>
      </c>
      <c r="X1809" s="627" t="s">
        <v>51</v>
      </c>
      <c r="Y1809" s="89"/>
    </row>
    <row r="1810" ht="22.5" customHeight="1">
      <c r="A1810" s="223"/>
      <c r="B1810" s="125"/>
      <c r="C1810" s="125"/>
      <c r="D1810" s="125"/>
      <c r="E1810" s="125"/>
      <c r="F1810" s="125"/>
      <c r="G1810" s="125"/>
      <c r="H1810" s="125"/>
      <c r="I1810" s="627" t="s">
        <v>51</v>
      </c>
      <c r="J1810" s="125" t="s">
        <v>51</v>
      </c>
      <c r="K1810" s="125" t="s">
        <v>51</v>
      </c>
      <c r="L1810" s="125" t="s">
        <v>51</v>
      </c>
      <c r="M1810" s="125" t="str">
        <f t="shared" si="1"/>
        <v/>
      </c>
      <c r="N1810" s="125" t="str">
        <f t="shared" si="2"/>
        <v/>
      </c>
      <c r="O1810" s="125"/>
      <c r="P1810" s="125"/>
      <c r="Q1810" s="125"/>
      <c r="R1810" s="125"/>
      <c r="S1810" s="628">
        <f t="shared" si="3"/>
        <v>0</v>
      </c>
      <c r="T1810" s="627" t="s">
        <v>51</v>
      </c>
      <c r="U1810" s="627" t="s">
        <v>51</v>
      </c>
      <c r="V1810" s="627" t="s">
        <v>51</v>
      </c>
      <c r="W1810" s="627" t="s">
        <v>51</v>
      </c>
      <c r="X1810" s="627" t="s">
        <v>51</v>
      </c>
      <c r="Y1810" s="89"/>
    </row>
    <row r="1811" ht="22.5" customHeight="1">
      <c r="A1811" s="223"/>
      <c r="B1811" s="125"/>
      <c r="C1811" s="125"/>
      <c r="D1811" s="125"/>
      <c r="E1811" s="125"/>
      <c r="F1811" s="125"/>
      <c r="G1811" s="125"/>
      <c r="H1811" s="125"/>
      <c r="I1811" s="627" t="s">
        <v>51</v>
      </c>
      <c r="J1811" s="125" t="s">
        <v>51</v>
      </c>
      <c r="K1811" s="125" t="s">
        <v>51</v>
      </c>
      <c r="L1811" s="125" t="s">
        <v>51</v>
      </c>
      <c r="M1811" s="125" t="str">
        <f t="shared" si="1"/>
        <v/>
      </c>
      <c r="N1811" s="125" t="str">
        <f t="shared" si="2"/>
        <v/>
      </c>
      <c r="O1811" s="125"/>
      <c r="P1811" s="125"/>
      <c r="Q1811" s="125"/>
      <c r="R1811" s="125"/>
      <c r="S1811" s="628">
        <f t="shared" si="3"/>
        <v>0</v>
      </c>
      <c r="T1811" s="627" t="s">
        <v>51</v>
      </c>
      <c r="U1811" s="627" t="s">
        <v>51</v>
      </c>
      <c r="V1811" s="627" t="s">
        <v>51</v>
      </c>
      <c r="W1811" s="627" t="s">
        <v>51</v>
      </c>
      <c r="X1811" s="627" t="s">
        <v>51</v>
      </c>
      <c r="Y1811" s="89"/>
    </row>
    <row r="1812" ht="22.5" customHeight="1">
      <c r="A1812" s="223"/>
      <c r="B1812" s="125"/>
      <c r="C1812" s="125"/>
      <c r="D1812" s="125"/>
      <c r="E1812" s="125"/>
      <c r="F1812" s="125"/>
      <c r="G1812" s="125"/>
      <c r="H1812" s="125"/>
      <c r="I1812" s="627" t="s">
        <v>51</v>
      </c>
      <c r="J1812" s="125" t="s">
        <v>51</v>
      </c>
      <c r="K1812" s="125" t="s">
        <v>51</v>
      </c>
      <c r="L1812" s="125" t="s">
        <v>51</v>
      </c>
      <c r="M1812" s="125" t="str">
        <f t="shared" si="1"/>
        <v/>
      </c>
      <c r="N1812" s="125" t="str">
        <f t="shared" si="2"/>
        <v/>
      </c>
      <c r="O1812" s="125"/>
      <c r="P1812" s="125"/>
      <c r="Q1812" s="125"/>
      <c r="R1812" s="125"/>
      <c r="S1812" s="628">
        <f t="shared" si="3"/>
        <v>0</v>
      </c>
      <c r="T1812" s="627" t="s">
        <v>51</v>
      </c>
      <c r="U1812" s="627" t="s">
        <v>51</v>
      </c>
      <c r="V1812" s="627" t="s">
        <v>51</v>
      </c>
      <c r="W1812" s="627" t="s">
        <v>51</v>
      </c>
      <c r="X1812" s="627" t="s">
        <v>51</v>
      </c>
      <c r="Y1812" s="89"/>
    </row>
    <row r="1813" ht="22.5" customHeight="1">
      <c r="A1813" s="223"/>
      <c r="B1813" s="125"/>
      <c r="C1813" s="125"/>
      <c r="D1813" s="125"/>
      <c r="E1813" s="125"/>
      <c r="F1813" s="125"/>
      <c r="G1813" s="125"/>
      <c r="H1813" s="125"/>
      <c r="I1813" s="627" t="s">
        <v>51</v>
      </c>
      <c r="J1813" s="125" t="s">
        <v>51</v>
      </c>
      <c r="K1813" s="125" t="s">
        <v>51</v>
      </c>
      <c r="L1813" s="125" t="s">
        <v>51</v>
      </c>
      <c r="M1813" s="125" t="str">
        <f t="shared" si="1"/>
        <v/>
      </c>
      <c r="N1813" s="125" t="str">
        <f t="shared" si="2"/>
        <v/>
      </c>
      <c r="O1813" s="125"/>
      <c r="P1813" s="125"/>
      <c r="Q1813" s="125"/>
      <c r="R1813" s="125"/>
      <c r="S1813" s="628">
        <f t="shared" si="3"/>
        <v>0</v>
      </c>
      <c r="T1813" s="627" t="s">
        <v>51</v>
      </c>
      <c r="U1813" s="627" t="s">
        <v>51</v>
      </c>
      <c r="V1813" s="627" t="s">
        <v>51</v>
      </c>
      <c r="W1813" s="627" t="s">
        <v>51</v>
      </c>
      <c r="X1813" s="627" t="s">
        <v>51</v>
      </c>
      <c r="Y1813" s="89"/>
    </row>
    <row r="1814" ht="22.5" customHeight="1">
      <c r="A1814" s="223"/>
      <c r="B1814" s="125"/>
      <c r="C1814" s="125"/>
      <c r="D1814" s="125"/>
      <c r="E1814" s="125"/>
      <c r="F1814" s="125"/>
      <c r="G1814" s="125"/>
      <c r="H1814" s="125"/>
      <c r="I1814" s="627" t="s">
        <v>51</v>
      </c>
      <c r="J1814" s="125" t="s">
        <v>51</v>
      </c>
      <c r="K1814" s="125" t="s">
        <v>51</v>
      </c>
      <c r="L1814" s="125" t="s">
        <v>51</v>
      </c>
      <c r="M1814" s="125" t="str">
        <f t="shared" si="1"/>
        <v/>
      </c>
      <c r="N1814" s="125" t="str">
        <f t="shared" si="2"/>
        <v/>
      </c>
      <c r="O1814" s="125"/>
      <c r="P1814" s="125"/>
      <c r="Q1814" s="125"/>
      <c r="R1814" s="125"/>
      <c r="S1814" s="628">
        <f t="shared" si="3"/>
        <v>0</v>
      </c>
      <c r="T1814" s="627" t="s">
        <v>51</v>
      </c>
      <c r="U1814" s="627" t="s">
        <v>51</v>
      </c>
      <c r="V1814" s="627" t="s">
        <v>51</v>
      </c>
      <c r="W1814" s="627" t="s">
        <v>51</v>
      </c>
      <c r="X1814" s="627" t="s">
        <v>51</v>
      </c>
      <c r="Y1814" s="89"/>
    </row>
    <row r="1815" ht="22.5" customHeight="1">
      <c r="A1815" s="223"/>
      <c r="B1815" s="125"/>
      <c r="C1815" s="125"/>
      <c r="D1815" s="125"/>
      <c r="E1815" s="125"/>
      <c r="F1815" s="125"/>
      <c r="G1815" s="125"/>
      <c r="H1815" s="125"/>
      <c r="I1815" s="627" t="s">
        <v>51</v>
      </c>
      <c r="J1815" s="125" t="s">
        <v>51</v>
      </c>
      <c r="K1815" s="125" t="s">
        <v>51</v>
      </c>
      <c r="L1815" s="125" t="s">
        <v>51</v>
      </c>
      <c r="M1815" s="125" t="str">
        <f t="shared" si="1"/>
        <v/>
      </c>
      <c r="N1815" s="125" t="str">
        <f t="shared" si="2"/>
        <v/>
      </c>
      <c r="O1815" s="125"/>
      <c r="P1815" s="125"/>
      <c r="Q1815" s="125"/>
      <c r="R1815" s="125"/>
      <c r="S1815" s="628">
        <f t="shared" si="3"/>
        <v>0</v>
      </c>
      <c r="T1815" s="627" t="s">
        <v>51</v>
      </c>
      <c r="U1815" s="627" t="s">
        <v>51</v>
      </c>
      <c r="V1815" s="627" t="s">
        <v>51</v>
      </c>
      <c r="W1815" s="627" t="s">
        <v>51</v>
      </c>
      <c r="X1815" s="627" t="s">
        <v>51</v>
      </c>
      <c r="Y1815" s="89"/>
    </row>
    <row r="1816" ht="22.5" customHeight="1">
      <c r="A1816" s="223"/>
      <c r="B1816" s="125"/>
      <c r="C1816" s="125"/>
      <c r="D1816" s="125"/>
      <c r="E1816" s="125"/>
      <c r="F1816" s="125"/>
      <c r="G1816" s="125"/>
      <c r="H1816" s="125"/>
      <c r="I1816" s="627" t="s">
        <v>51</v>
      </c>
      <c r="J1816" s="125" t="s">
        <v>51</v>
      </c>
      <c r="K1816" s="125" t="s">
        <v>51</v>
      </c>
      <c r="L1816" s="125" t="s">
        <v>51</v>
      </c>
      <c r="M1816" s="125" t="str">
        <f t="shared" si="1"/>
        <v/>
      </c>
      <c r="N1816" s="125" t="str">
        <f t="shared" si="2"/>
        <v/>
      </c>
      <c r="O1816" s="125"/>
      <c r="P1816" s="125"/>
      <c r="Q1816" s="125"/>
      <c r="R1816" s="125"/>
      <c r="S1816" s="628">
        <f t="shared" si="3"/>
        <v>0</v>
      </c>
      <c r="T1816" s="627" t="s">
        <v>51</v>
      </c>
      <c r="U1816" s="627" t="s">
        <v>51</v>
      </c>
      <c r="V1816" s="627" t="s">
        <v>51</v>
      </c>
      <c r="W1816" s="627" t="s">
        <v>51</v>
      </c>
      <c r="X1816" s="627" t="s">
        <v>51</v>
      </c>
      <c r="Y1816" s="89"/>
    </row>
    <row r="1817" ht="22.5" customHeight="1">
      <c r="A1817" s="223"/>
      <c r="B1817" s="125"/>
      <c r="C1817" s="125"/>
      <c r="D1817" s="125"/>
      <c r="E1817" s="125"/>
      <c r="F1817" s="125"/>
      <c r="G1817" s="125"/>
      <c r="H1817" s="125"/>
      <c r="I1817" s="627" t="s">
        <v>51</v>
      </c>
      <c r="J1817" s="125" t="s">
        <v>51</v>
      </c>
      <c r="K1817" s="125" t="s">
        <v>51</v>
      </c>
      <c r="L1817" s="125" t="s">
        <v>51</v>
      </c>
      <c r="M1817" s="125" t="str">
        <f t="shared" si="1"/>
        <v/>
      </c>
      <c r="N1817" s="125" t="str">
        <f t="shared" si="2"/>
        <v/>
      </c>
      <c r="O1817" s="125"/>
      <c r="P1817" s="125"/>
      <c r="Q1817" s="125"/>
      <c r="R1817" s="125"/>
      <c r="S1817" s="628">
        <f t="shared" si="3"/>
        <v>0</v>
      </c>
      <c r="T1817" s="627" t="s">
        <v>51</v>
      </c>
      <c r="U1817" s="627" t="s">
        <v>51</v>
      </c>
      <c r="V1817" s="627" t="s">
        <v>51</v>
      </c>
      <c r="W1817" s="627" t="s">
        <v>51</v>
      </c>
      <c r="X1817" s="627" t="s">
        <v>51</v>
      </c>
      <c r="Y1817" s="89"/>
    </row>
    <row r="1818" ht="22.5" customHeight="1">
      <c r="A1818" s="223"/>
      <c r="B1818" s="125"/>
      <c r="C1818" s="125"/>
      <c r="D1818" s="125"/>
      <c r="E1818" s="125"/>
      <c r="F1818" s="125"/>
      <c r="G1818" s="125"/>
      <c r="H1818" s="125"/>
      <c r="I1818" s="627" t="s">
        <v>51</v>
      </c>
      <c r="J1818" s="125" t="s">
        <v>51</v>
      </c>
      <c r="K1818" s="125" t="s">
        <v>51</v>
      </c>
      <c r="L1818" s="125" t="s">
        <v>51</v>
      </c>
      <c r="M1818" s="125" t="str">
        <f t="shared" si="1"/>
        <v/>
      </c>
      <c r="N1818" s="125" t="str">
        <f t="shared" si="2"/>
        <v/>
      </c>
      <c r="O1818" s="125"/>
      <c r="P1818" s="125"/>
      <c r="Q1818" s="125"/>
      <c r="R1818" s="125"/>
      <c r="S1818" s="628">
        <f t="shared" si="3"/>
        <v>0</v>
      </c>
      <c r="T1818" s="627" t="s">
        <v>51</v>
      </c>
      <c r="U1818" s="627" t="s">
        <v>51</v>
      </c>
      <c r="V1818" s="627" t="s">
        <v>51</v>
      </c>
      <c r="W1818" s="627" t="s">
        <v>51</v>
      </c>
      <c r="X1818" s="627" t="s">
        <v>51</v>
      </c>
      <c r="Y1818" s="89"/>
    </row>
    <row r="1819" ht="22.5" customHeight="1">
      <c r="A1819" s="223"/>
      <c r="B1819" s="125"/>
      <c r="C1819" s="125"/>
      <c r="D1819" s="125"/>
      <c r="E1819" s="125"/>
      <c r="F1819" s="125"/>
      <c r="G1819" s="125"/>
      <c r="H1819" s="125"/>
      <c r="I1819" s="627" t="s">
        <v>51</v>
      </c>
      <c r="J1819" s="125" t="s">
        <v>51</v>
      </c>
      <c r="K1819" s="125" t="s">
        <v>51</v>
      </c>
      <c r="L1819" s="125" t="s">
        <v>51</v>
      </c>
      <c r="M1819" s="125" t="str">
        <f t="shared" si="1"/>
        <v/>
      </c>
      <c r="N1819" s="125" t="str">
        <f t="shared" si="2"/>
        <v/>
      </c>
      <c r="O1819" s="125"/>
      <c r="P1819" s="125"/>
      <c r="Q1819" s="125"/>
      <c r="R1819" s="125"/>
      <c r="S1819" s="628">
        <f t="shared" si="3"/>
        <v>0</v>
      </c>
      <c r="T1819" s="627" t="s">
        <v>51</v>
      </c>
      <c r="U1819" s="627" t="s">
        <v>51</v>
      </c>
      <c r="V1819" s="627" t="s">
        <v>51</v>
      </c>
      <c r="W1819" s="627" t="s">
        <v>51</v>
      </c>
      <c r="X1819" s="627" t="s">
        <v>51</v>
      </c>
      <c r="Y1819" s="89"/>
    </row>
    <row r="1820" ht="22.5" customHeight="1">
      <c r="A1820" s="223"/>
      <c r="B1820" s="125"/>
      <c r="C1820" s="125"/>
      <c r="D1820" s="125"/>
      <c r="E1820" s="125"/>
      <c r="F1820" s="125"/>
      <c r="G1820" s="125"/>
      <c r="H1820" s="125"/>
      <c r="I1820" s="627" t="s">
        <v>51</v>
      </c>
      <c r="J1820" s="125" t="s">
        <v>51</v>
      </c>
      <c r="K1820" s="125" t="s">
        <v>51</v>
      </c>
      <c r="L1820" s="125" t="s">
        <v>51</v>
      </c>
      <c r="M1820" s="125" t="str">
        <f t="shared" si="1"/>
        <v/>
      </c>
      <c r="N1820" s="125" t="str">
        <f t="shared" si="2"/>
        <v/>
      </c>
      <c r="O1820" s="125"/>
      <c r="P1820" s="125"/>
      <c r="Q1820" s="125"/>
      <c r="R1820" s="125"/>
      <c r="S1820" s="628">
        <f t="shared" si="3"/>
        <v>0</v>
      </c>
      <c r="T1820" s="627" t="s">
        <v>51</v>
      </c>
      <c r="U1820" s="627" t="s">
        <v>51</v>
      </c>
      <c r="V1820" s="627" t="s">
        <v>51</v>
      </c>
      <c r="W1820" s="627" t="s">
        <v>51</v>
      </c>
      <c r="X1820" s="627" t="s">
        <v>51</v>
      </c>
      <c r="Y1820" s="89"/>
    </row>
    <row r="1821" ht="22.5" customHeight="1">
      <c r="A1821" s="223"/>
      <c r="B1821" s="125"/>
      <c r="C1821" s="125"/>
      <c r="D1821" s="125"/>
      <c r="E1821" s="125"/>
      <c r="F1821" s="125"/>
      <c r="G1821" s="125"/>
      <c r="H1821" s="125"/>
      <c r="I1821" s="627" t="s">
        <v>51</v>
      </c>
      <c r="J1821" s="125" t="s">
        <v>51</v>
      </c>
      <c r="K1821" s="125" t="s">
        <v>51</v>
      </c>
      <c r="L1821" s="125" t="s">
        <v>51</v>
      </c>
      <c r="M1821" s="125" t="str">
        <f t="shared" si="1"/>
        <v/>
      </c>
      <c r="N1821" s="125" t="str">
        <f t="shared" si="2"/>
        <v/>
      </c>
      <c r="O1821" s="125"/>
      <c r="P1821" s="125"/>
      <c r="Q1821" s="125"/>
      <c r="R1821" s="125"/>
      <c r="S1821" s="628">
        <f t="shared" si="3"/>
        <v>0</v>
      </c>
      <c r="T1821" s="627" t="s">
        <v>51</v>
      </c>
      <c r="U1821" s="627" t="s">
        <v>51</v>
      </c>
      <c r="V1821" s="627" t="s">
        <v>51</v>
      </c>
      <c r="W1821" s="627" t="s">
        <v>51</v>
      </c>
      <c r="X1821" s="627" t="s">
        <v>51</v>
      </c>
      <c r="Y1821" s="89"/>
    </row>
    <row r="1822" ht="22.5" customHeight="1">
      <c r="A1822" s="223"/>
      <c r="B1822" s="125"/>
      <c r="C1822" s="125"/>
      <c r="D1822" s="125"/>
      <c r="E1822" s="125"/>
      <c r="F1822" s="125"/>
      <c r="G1822" s="125"/>
      <c r="H1822" s="125"/>
      <c r="I1822" s="627" t="s">
        <v>51</v>
      </c>
      <c r="J1822" s="125" t="s">
        <v>51</v>
      </c>
      <c r="K1822" s="125" t="s">
        <v>51</v>
      </c>
      <c r="L1822" s="125" t="s">
        <v>51</v>
      </c>
      <c r="M1822" s="125" t="str">
        <f t="shared" si="1"/>
        <v/>
      </c>
      <c r="N1822" s="125" t="str">
        <f t="shared" si="2"/>
        <v/>
      </c>
      <c r="O1822" s="125"/>
      <c r="P1822" s="125"/>
      <c r="Q1822" s="125"/>
      <c r="R1822" s="125"/>
      <c r="S1822" s="628">
        <f t="shared" si="3"/>
        <v>0</v>
      </c>
      <c r="T1822" s="627" t="s">
        <v>51</v>
      </c>
      <c r="U1822" s="627" t="s">
        <v>51</v>
      </c>
      <c r="V1822" s="627" t="s">
        <v>51</v>
      </c>
      <c r="W1822" s="627" t="s">
        <v>51</v>
      </c>
      <c r="X1822" s="627" t="s">
        <v>51</v>
      </c>
      <c r="Y1822" s="89"/>
    </row>
    <row r="1823" ht="22.5" customHeight="1">
      <c r="A1823" s="223"/>
      <c r="B1823" s="125"/>
      <c r="C1823" s="125"/>
      <c r="D1823" s="125"/>
      <c r="E1823" s="125"/>
      <c r="F1823" s="125"/>
      <c r="G1823" s="125"/>
      <c r="H1823" s="125"/>
      <c r="I1823" s="627" t="s">
        <v>51</v>
      </c>
      <c r="J1823" s="125" t="s">
        <v>51</v>
      </c>
      <c r="K1823" s="125" t="s">
        <v>51</v>
      </c>
      <c r="L1823" s="125" t="s">
        <v>51</v>
      </c>
      <c r="M1823" s="125" t="str">
        <f t="shared" si="1"/>
        <v/>
      </c>
      <c r="N1823" s="125" t="str">
        <f t="shared" si="2"/>
        <v/>
      </c>
      <c r="O1823" s="125"/>
      <c r="P1823" s="125"/>
      <c r="Q1823" s="125"/>
      <c r="R1823" s="125"/>
      <c r="S1823" s="628">
        <f t="shared" si="3"/>
        <v>0</v>
      </c>
      <c r="T1823" s="627" t="s">
        <v>51</v>
      </c>
      <c r="U1823" s="627" t="s">
        <v>51</v>
      </c>
      <c r="V1823" s="627" t="s">
        <v>51</v>
      </c>
      <c r="W1823" s="627" t="s">
        <v>51</v>
      </c>
      <c r="X1823" s="627" t="s">
        <v>51</v>
      </c>
      <c r="Y1823" s="89"/>
    </row>
    <row r="1824" ht="22.5" customHeight="1">
      <c r="A1824" s="223"/>
      <c r="B1824" s="125"/>
      <c r="C1824" s="125"/>
      <c r="D1824" s="125"/>
      <c r="E1824" s="125"/>
      <c r="F1824" s="125"/>
      <c r="G1824" s="125"/>
      <c r="H1824" s="125"/>
      <c r="I1824" s="627" t="s">
        <v>51</v>
      </c>
      <c r="J1824" s="125" t="s">
        <v>51</v>
      </c>
      <c r="K1824" s="125" t="s">
        <v>51</v>
      </c>
      <c r="L1824" s="125" t="s">
        <v>51</v>
      </c>
      <c r="M1824" s="125" t="str">
        <f t="shared" si="1"/>
        <v/>
      </c>
      <c r="N1824" s="125" t="str">
        <f t="shared" si="2"/>
        <v/>
      </c>
      <c r="O1824" s="125"/>
      <c r="P1824" s="125"/>
      <c r="Q1824" s="125"/>
      <c r="R1824" s="125"/>
      <c r="S1824" s="628">
        <f t="shared" si="3"/>
        <v>0</v>
      </c>
      <c r="T1824" s="627" t="s">
        <v>51</v>
      </c>
      <c r="U1824" s="627" t="s">
        <v>51</v>
      </c>
      <c r="V1824" s="627" t="s">
        <v>51</v>
      </c>
      <c r="W1824" s="627" t="s">
        <v>51</v>
      </c>
      <c r="X1824" s="627" t="s">
        <v>51</v>
      </c>
      <c r="Y1824" s="89"/>
    </row>
    <row r="1825" ht="22.5" customHeight="1">
      <c r="A1825" s="223"/>
      <c r="B1825" s="125"/>
      <c r="C1825" s="125"/>
      <c r="D1825" s="125"/>
      <c r="E1825" s="125"/>
      <c r="F1825" s="125"/>
      <c r="G1825" s="125"/>
      <c r="H1825" s="125"/>
      <c r="I1825" s="627" t="s">
        <v>51</v>
      </c>
      <c r="J1825" s="125" t="s">
        <v>51</v>
      </c>
      <c r="K1825" s="125" t="s">
        <v>51</v>
      </c>
      <c r="L1825" s="125" t="s">
        <v>51</v>
      </c>
      <c r="M1825" s="125" t="str">
        <f t="shared" si="1"/>
        <v/>
      </c>
      <c r="N1825" s="125" t="str">
        <f t="shared" si="2"/>
        <v/>
      </c>
      <c r="O1825" s="125"/>
      <c r="P1825" s="125"/>
      <c r="Q1825" s="125"/>
      <c r="R1825" s="125"/>
      <c r="S1825" s="628">
        <f t="shared" si="3"/>
        <v>0</v>
      </c>
      <c r="T1825" s="627" t="s">
        <v>51</v>
      </c>
      <c r="U1825" s="627" t="s">
        <v>51</v>
      </c>
      <c r="V1825" s="627" t="s">
        <v>51</v>
      </c>
      <c r="W1825" s="627" t="s">
        <v>51</v>
      </c>
      <c r="X1825" s="627" t="s">
        <v>51</v>
      </c>
      <c r="Y1825" s="89"/>
    </row>
    <row r="1826" ht="22.5" customHeight="1">
      <c r="A1826" s="223"/>
      <c r="B1826" s="125"/>
      <c r="C1826" s="125"/>
      <c r="D1826" s="125"/>
      <c r="E1826" s="125"/>
      <c r="F1826" s="125"/>
      <c r="G1826" s="125"/>
      <c r="H1826" s="125"/>
      <c r="I1826" s="627" t="s">
        <v>51</v>
      </c>
      <c r="J1826" s="125" t="s">
        <v>51</v>
      </c>
      <c r="K1826" s="125" t="s">
        <v>51</v>
      </c>
      <c r="L1826" s="125" t="s">
        <v>51</v>
      </c>
      <c r="M1826" s="125" t="str">
        <f t="shared" si="1"/>
        <v/>
      </c>
      <c r="N1826" s="125" t="str">
        <f t="shared" si="2"/>
        <v/>
      </c>
      <c r="O1826" s="125"/>
      <c r="P1826" s="125"/>
      <c r="Q1826" s="125"/>
      <c r="R1826" s="125"/>
      <c r="S1826" s="628">
        <f t="shared" si="3"/>
        <v>0</v>
      </c>
      <c r="T1826" s="627" t="s">
        <v>51</v>
      </c>
      <c r="U1826" s="627" t="s">
        <v>51</v>
      </c>
      <c r="V1826" s="627" t="s">
        <v>51</v>
      </c>
      <c r="W1826" s="627" t="s">
        <v>51</v>
      </c>
      <c r="X1826" s="627" t="s">
        <v>51</v>
      </c>
      <c r="Y1826" s="89"/>
    </row>
    <row r="1827" ht="22.5" customHeight="1">
      <c r="A1827" s="223"/>
      <c r="B1827" s="125"/>
      <c r="C1827" s="125"/>
      <c r="D1827" s="125"/>
      <c r="E1827" s="125"/>
      <c r="F1827" s="125"/>
      <c r="G1827" s="125"/>
      <c r="H1827" s="125"/>
      <c r="I1827" s="627" t="s">
        <v>51</v>
      </c>
      <c r="J1827" s="125" t="s">
        <v>51</v>
      </c>
      <c r="K1827" s="125" t="s">
        <v>51</v>
      </c>
      <c r="L1827" s="125" t="s">
        <v>51</v>
      </c>
      <c r="M1827" s="125" t="str">
        <f t="shared" si="1"/>
        <v/>
      </c>
      <c r="N1827" s="125" t="str">
        <f t="shared" si="2"/>
        <v/>
      </c>
      <c r="O1827" s="125"/>
      <c r="P1827" s="125"/>
      <c r="Q1827" s="125"/>
      <c r="R1827" s="125"/>
      <c r="S1827" s="628">
        <f t="shared" si="3"/>
        <v>0</v>
      </c>
      <c r="T1827" s="627" t="s">
        <v>51</v>
      </c>
      <c r="U1827" s="627" t="s">
        <v>51</v>
      </c>
      <c r="V1827" s="627" t="s">
        <v>51</v>
      </c>
      <c r="W1827" s="627" t="s">
        <v>51</v>
      </c>
      <c r="X1827" s="627" t="s">
        <v>51</v>
      </c>
      <c r="Y1827" s="89"/>
    </row>
    <row r="1828" ht="22.5" customHeight="1">
      <c r="A1828" s="223"/>
      <c r="B1828" s="125"/>
      <c r="C1828" s="125"/>
      <c r="D1828" s="125"/>
      <c r="E1828" s="125"/>
      <c r="F1828" s="125"/>
      <c r="G1828" s="125"/>
      <c r="H1828" s="125"/>
      <c r="I1828" s="627" t="s">
        <v>51</v>
      </c>
      <c r="J1828" s="125" t="s">
        <v>51</v>
      </c>
      <c r="K1828" s="125" t="s">
        <v>51</v>
      </c>
      <c r="L1828" s="125" t="s">
        <v>51</v>
      </c>
      <c r="M1828" s="125" t="str">
        <f t="shared" si="1"/>
        <v/>
      </c>
      <c r="N1828" s="125" t="str">
        <f t="shared" si="2"/>
        <v/>
      </c>
      <c r="O1828" s="125"/>
      <c r="P1828" s="125"/>
      <c r="Q1828" s="125"/>
      <c r="R1828" s="125"/>
      <c r="S1828" s="628">
        <f t="shared" si="3"/>
        <v>0</v>
      </c>
      <c r="T1828" s="627" t="s">
        <v>51</v>
      </c>
      <c r="U1828" s="627" t="s">
        <v>51</v>
      </c>
      <c r="V1828" s="627" t="s">
        <v>51</v>
      </c>
      <c r="W1828" s="627" t="s">
        <v>51</v>
      </c>
      <c r="X1828" s="627" t="s">
        <v>51</v>
      </c>
      <c r="Y1828" s="89"/>
    </row>
    <row r="1829" ht="22.5" customHeight="1">
      <c r="A1829" s="223"/>
      <c r="B1829" s="125"/>
      <c r="C1829" s="125"/>
      <c r="D1829" s="125"/>
      <c r="E1829" s="125"/>
      <c r="F1829" s="125"/>
      <c r="G1829" s="125"/>
      <c r="H1829" s="125"/>
      <c r="I1829" s="627" t="s">
        <v>51</v>
      </c>
      <c r="J1829" s="125" t="s">
        <v>51</v>
      </c>
      <c r="K1829" s="125" t="s">
        <v>51</v>
      </c>
      <c r="L1829" s="125" t="s">
        <v>51</v>
      </c>
      <c r="M1829" s="125" t="str">
        <f t="shared" si="1"/>
        <v/>
      </c>
      <c r="N1829" s="125" t="str">
        <f t="shared" si="2"/>
        <v/>
      </c>
      <c r="O1829" s="125"/>
      <c r="P1829" s="125"/>
      <c r="Q1829" s="125"/>
      <c r="R1829" s="125"/>
      <c r="S1829" s="628">
        <f t="shared" si="3"/>
        <v>0</v>
      </c>
      <c r="T1829" s="627" t="s">
        <v>51</v>
      </c>
      <c r="U1829" s="627" t="s">
        <v>51</v>
      </c>
      <c r="V1829" s="627" t="s">
        <v>51</v>
      </c>
      <c r="W1829" s="627" t="s">
        <v>51</v>
      </c>
      <c r="X1829" s="627" t="s">
        <v>51</v>
      </c>
      <c r="Y1829" s="89"/>
    </row>
    <row r="1830" ht="22.5" customHeight="1">
      <c r="A1830" s="223"/>
      <c r="B1830" s="125"/>
      <c r="C1830" s="125"/>
      <c r="D1830" s="125"/>
      <c r="E1830" s="125"/>
      <c r="F1830" s="125"/>
      <c r="G1830" s="125"/>
      <c r="H1830" s="125"/>
      <c r="I1830" s="627" t="s">
        <v>51</v>
      </c>
      <c r="J1830" s="125" t="s">
        <v>51</v>
      </c>
      <c r="K1830" s="125" t="s">
        <v>51</v>
      </c>
      <c r="L1830" s="125" t="s">
        <v>51</v>
      </c>
      <c r="M1830" s="125" t="str">
        <f t="shared" si="1"/>
        <v/>
      </c>
      <c r="N1830" s="125" t="str">
        <f t="shared" si="2"/>
        <v/>
      </c>
      <c r="O1830" s="125"/>
      <c r="P1830" s="125"/>
      <c r="Q1830" s="125"/>
      <c r="R1830" s="125"/>
      <c r="S1830" s="628">
        <f t="shared" si="3"/>
        <v>0</v>
      </c>
      <c r="T1830" s="627" t="s">
        <v>51</v>
      </c>
      <c r="U1830" s="627" t="s">
        <v>51</v>
      </c>
      <c r="V1830" s="627" t="s">
        <v>51</v>
      </c>
      <c r="W1830" s="627" t="s">
        <v>51</v>
      </c>
      <c r="X1830" s="627" t="s">
        <v>51</v>
      </c>
      <c r="Y1830" s="89"/>
    </row>
    <row r="1831" ht="22.5" customHeight="1">
      <c r="A1831" s="223"/>
      <c r="B1831" s="125"/>
      <c r="C1831" s="125"/>
      <c r="D1831" s="125"/>
      <c r="E1831" s="125"/>
      <c r="F1831" s="125"/>
      <c r="G1831" s="125"/>
      <c r="H1831" s="125"/>
      <c r="I1831" s="627" t="s">
        <v>51</v>
      </c>
      <c r="J1831" s="125" t="s">
        <v>51</v>
      </c>
      <c r="K1831" s="125" t="s">
        <v>51</v>
      </c>
      <c r="L1831" s="125" t="s">
        <v>51</v>
      </c>
      <c r="M1831" s="125" t="str">
        <f t="shared" si="1"/>
        <v/>
      </c>
      <c r="N1831" s="125" t="str">
        <f t="shared" si="2"/>
        <v/>
      </c>
      <c r="O1831" s="125"/>
      <c r="P1831" s="125"/>
      <c r="Q1831" s="125"/>
      <c r="R1831" s="125"/>
      <c r="S1831" s="628">
        <f t="shared" si="3"/>
        <v>0</v>
      </c>
      <c r="T1831" s="627" t="s">
        <v>51</v>
      </c>
      <c r="U1831" s="627" t="s">
        <v>51</v>
      </c>
      <c r="V1831" s="627" t="s">
        <v>51</v>
      </c>
      <c r="W1831" s="627" t="s">
        <v>51</v>
      </c>
      <c r="X1831" s="627" t="s">
        <v>51</v>
      </c>
      <c r="Y1831" s="89"/>
    </row>
    <row r="1832" ht="22.5" customHeight="1">
      <c r="A1832" s="223"/>
      <c r="B1832" s="125"/>
      <c r="C1832" s="125"/>
      <c r="D1832" s="125"/>
      <c r="E1832" s="125"/>
      <c r="F1832" s="125"/>
      <c r="G1832" s="125"/>
      <c r="H1832" s="125"/>
      <c r="I1832" s="627" t="s">
        <v>51</v>
      </c>
      <c r="J1832" s="125" t="s">
        <v>51</v>
      </c>
      <c r="K1832" s="125" t="s">
        <v>51</v>
      </c>
      <c r="L1832" s="125" t="s">
        <v>51</v>
      </c>
      <c r="M1832" s="125" t="str">
        <f t="shared" si="1"/>
        <v/>
      </c>
      <c r="N1832" s="125" t="str">
        <f t="shared" si="2"/>
        <v/>
      </c>
      <c r="O1832" s="125"/>
      <c r="P1832" s="125"/>
      <c r="Q1832" s="125"/>
      <c r="R1832" s="125"/>
      <c r="S1832" s="628">
        <f t="shared" si="3"/>
        <v>0</v>
      </c>
      <c r="T1832" s="627" t="s">
        <v>51</v>
      </c>
      <c r="U1832" s="627" t="s">
        <v>51</v>
      </c>
      <c r="V1832" s="627" t="s">
        <v>51</v>
      </c>
      <c r="W1832" s="627" t="s">
        <v>51</v>
      </c>
      <c r="X1832" s="627" t="s">
        <v>51</v>
      </c>
      <c r="Y1832" s="89"/>
    </row>
    <row r="1833" ht="22.5" customHeight="1">
      <c r="A1833" s="223"/>
      <c r="B1833" s="125"/>
      <c r="C1833" s="125"/>
      <c r="D1833" s="125"/>
      <c r="E1833" s="125"/>
      <c r="F1833" s="125"/>
      <c r="G1833" s="125"/>
      <c r="H1833" s="125"/>
      <c r="I1833" s="627" t="s">
        <v>51</v>
      </c>
      <c r="J1833" s="125" t="s">
        <v>51</v>
      </c>
      <c r="K1833" s="125" t="s">
        <v>51</v>
      </c>
      <c r="L1833" s="125" t="s">
        <v>51</v>
      </c>
      <c r="M1833" s="125" t="str">
        <f t="shared" si="1"/>
        <v/>
      </c>
      <c r="N1833" s="125" t="str">
        <f t="shared" si="2"/>
        <v/>
      </c>
      <c r="O1833" s="125"/>
      <c r="P1833" s="125"/>
      <c r="Q1833" s="125"/>
      <c r="R1833" s="125"/>
      <c r="S1833" s="628">
        <f t="shared" si="3"/>
        <v>0</v>
      </c>
      <c r="T1833" s="627" t="s">
        <v>51</v>
      </c>
      <c r="U1833" s="627" t="s">
        <v>51</v>
      </c>
      <c r="V1833" s="627" t="s">
        <v>51</v>
      </c>
      <c r="W1833" s="627" t="s">
        <v>51</v>
      </c>
      <c r="X1833" s="627" t="s">
        <v>51</v>
      </c>
      <c r="Y1833" s="89"/>
    </row>
    <row r="1834" ht="22.5" customHeight="1">
      <c r="A1834" s="223"/>
      <c r="B1834" s="125"/>
      <c r="C1834" s="125"/>
      <c r="D1834" s="125"/>
      <c r="E1834" s="125"/>
      <c r="F1834" s="125"/>
      <c r="G1834" s="125"/>
      <c r="H1834" s="125"/>
      <c r="I1834" s="627" t="s">
        <v>51</v>
      </c>
      <c r="J1834" s="125" t="s">
        <v>51</v>
      </c>
      <c r="K1834" s="125" t="s">
        <v>51</v>
      </c>
      <c r="L1834" s="125" t="s">
        <v>51</v>
      </c>
      <c r="M1834" s="125" t="str">
        <f t="shared" si="1"/>
        <v/>
      </c>
      <c r="N1834" s="125" t="str">
        <f t="shared" si="2"/>
        <v/>
      </c>
      <c r="O1834" s="125"/>
      <c r="P1834" s="125"/>
      <c r="Q1834" s="125"/>
      <c r="R1834" s="125"/>
      <c r="S1834" s="628">
        <f t="shared" si="3"/>
        <v>0</v>
      </c>
      <c r="T1834" s="627" t="s">
        <v>51</v>
      </c>
      <c r="U1834" s="627" t="s">
        <v>51</v>
      </c>
      <c r="V1834" s="627" t="s">
        <v>51</v>
      </c>
      <c r="W1834" s="627" t="s">
        <v>51</v>
      </c>
      <c r="X1834" s="627" t="s">
        <v>51</v>
      </c>
      <c r="Y1834" s="89"/>
    </row>
    <row r="1835" ht="22.5" customHeight="1">
      <c r="A1835" s="223"/>
      <c r="B1835" s="125"/>
      <c r="C1835" s="125"/>
      <c r="D1835" s="125"/>
      <c r="E1835" s="125"/>
      <c r="F1835" s="125"/>
      <c r="G1835" s="125"/>
      <c r="H1835" s="125"/>
      <c r="I1835" s="627" t="s">
        <v>51</v>
      </c>
      <c r="J1835" s="125" t="s">
        <v>51</v>
      </c>
      <c r="K1835" s="125" t="s">
        <v>51</v>
      </c>
      <c r="L1835" s="125" t="s">
        <v>51</v>
      </c>
      <c r="M1835" s="125" t="str">
        <f t="shared" si="1"/>
        <v/>
      </c>
      <c r="N1835" s="125" t="str">
        <f t="shared" si="2"/>
        <v/>
      </c>
      <c r="O1835" s="125"/>
      <c r="P1835" s="125"/>
      <c r="Q1835" s="125"/>
      <c r="R1835" s="125"/>
      <c r="S1835" s="628">
        <f t="shared" si="3"/>
        <v>0</v>
      </c>
      <c r="T1835" s="627" t="s">
        <v>51</v>
      </c>
      <c r="U1835" s="627" t="s">
        <v>51</v>
      </c>
      <c r="V1835" s="627" t="s">
        <v>51</v>
      </c>
      <c r="W1835" s="627" t="s">
        <v>51</v>
      </c>
      <c r="X1835" s="627" t="s">
        <v>51</v>
      </c>
      <c r="Y1835" s="89"/>
    </row>
    <row r="1836" ht="22.5" customHeight="1">
      <c r="A1836" s="223"/>
      <c r="B1836" s="125"/>
      <c r="C1836" s="125"/>
      <c r="D1836" s="125"/>
      <c r="E1836" s="125"/>
      <c r="F1836" s="125"/>
      <c r="G1836" s="125"/>
      <c r="H1836" s="125"/>
      <c r="I1836" s="627" t="s">
        <v>51</v>
      </c>
      <c r="J1836" s="125" t="s">
        <v>51</v>
      </c>
      <c r="K1836" s="125" t="s">
        <v>51</v>
      </c>
      <c r="L1836" s="125" t="s">
        <v>51</v>
      </c>
      <c r="M1836" s="125" t="str">
        <f t="shared" si="1"/>
        <v/>
      </c>
      <c r="N1836" s="125" t="str">
        <f t="shared" si="2"/>
        <v/>
      </c>
      <c r="O1836" s="125"/>
      <c r="P1836" s="125"/>
      <c r="Q1836" s="125"/>
      <c r="R1836" s="125"/>
      <c r="S1836" s="628">
        <f t="shared" si="3"/>
        <v>0</v>
      </c>
      <c r="T1836" s="627" t="s">
        <v>51</v>
      </c>
      <c r="U1836" s="627" t="s">
        <v>51</v>
      </c>
      <c r="V1836" s="627" t="s">
        <v>51</v>
      </c>
      <c r="W1836" s="627" t="s">
        <v>51</v>
      </c>
      <c r="X1836" s="627" t="s">
        <v>51</v>
      </c>
      <c r="Y1836" s="89"/>
    </row>
    <row r="1837" ht="22.5" customHeight="1">
      <c r="A1837" s="223"/>
      <c r="B1837" s="125"/>
      <c r="C1837" s="125"/>
      <c r="D1837" s="125"/>
      <c r="E1837" s="125"/>
      <c r="F1837" s="125"/>
      <c r="G1837" s="125"/>
      <c r="H1837" s="125"/>
      <c r="I1837" s="627" t="s">
        <v>51</v>
      </c>
      <c r="J1837" s="125" t="s">
        <v>51</v>
      </c>
      <c r="K1837" s="125" t="s">
        <v>51</v>
      </c>
      <c r="L1837" s="125" t="s">
        <v>51</v>
      </c>
      <c r="M1837" s="125" t="str">
        <f t="shared" si="1"/>
        <v/>
      </c>
      <c r="N1837" s="125" t="str">
        <f t="shared" si="2"/>
        <v/>
      </c>
      <c r="O1837" s="125"/>
      <c r="P1837" s="125"/>
      <c r="Q1837" s="125"/>
      <c r="R1837" s="125"/>
      <c r="S1837" s="628">
        <f t="shared" si="3"/>
        <v>0</v>
      </c>
      <c r="T1837" s="627" t="s">
        <v>51</v>
      </c>
      <c r="U1837" s="627" t="s">
        <v>51</v>
      </c>
      <c r="V1837" s="627" t="s">
        <v>51</v>
      </c>
      <c r="W1837" s="627" t="s">
        <v>51</v>
      </c>
      <c r="X1837" s="627" t="s">
        <v>51</v>
      </c>
      <c r="Y1837" s="89"/>
    </row>
    <row r="1838" ht="22.5" customHeight="1">
      <c r="A1838" s="223"/>
      <c r="B1838" s="125"/>
      <c r="C1838" s="125"/>
      <c r="D1838" s="125"/>
      <c r="E1838" s="125"/>
      <c r="F1838" s="125"/>
      <c r="G1838" s="125"/>
      <c r="H1838" s="125"/>
      <c r="I1838" s="627" t="s">
        <v>51</v>
      </c>
      <c r="J1838" s="125" t="s">
        <v>51</v>
      </c>
      <c r="K1838" s="125" t="s">
        <v>51</v>
      </c>
      <c r="L1838" s="125" t="s">
        <v>51</v>
      </c>
      <c r="M1838" s="125" t="str">
        <f t="shared" si="1"/>
        <v/>
      </c>
      <c r="N1838" s="125" t="str">
        <f t="shared" si="2"/>
        <v/>
      </c>
      <c r="O1838" s="125"/>
      <c r="P1838" s="125"/>
      <c r="Q1838" s="125"/>
      <c r="R1838" s="125"/>
      <c r="S1838" s="628">
        <f t="shared" si="3"/>
        <v>0</v>
      </c>
      <c r="T1838" s="627" t="s">
        <v>51</v>
      </c>
      <c r="U1838" s="627" t="s">
        <v>51</v>
      </c>
      <c r="V1838" s="627" t="s">
        <v>51</v>
      </c>
      <c r="W1838" s="627" t="s">
        <v>51</v>
      </c>
      <c r="X1838" s="627" t="s">
        <v>51</v>
      </c>
      <c r="Y1838" s="89"/>
    </row>
    <row r="1839" ht="22.5" customHeight="1">
      <c r="A1839" s="223"/>
      <c r="B1839" s="125"/>
      <c r="C1839" s="125"/>
      <c r="D1839" s="125"/>
      <c r="E1839" s="125"/>
      <c r="F1839" s="125"/>
      <c r="G1839" s="125"/>
      <c r="H1839" s="125"/>
      <c r="I1839" s="627" t="s">
        <v>51</v>
      </c>
      <c r="J1839" s="125" t="s">
        <v>51</v>
      </c>
      <c r="K1839" s="125" t="s">
        <v>51</v>
      </c>
      <c r="L1839" s="125" t="s">
        <v>51</v>
      </c>
      <c r="M1839" s="125" t="str">
        <f t="shared" si="1"/>
        <v/>
      </c>
      <c r="N1839" s="125" t="str">
        <f t="shared" si="2"/>
        <v/>
      </c>
      <c r="O1839" s="125"/>
      <c r="P1839" s="125"/>
      <c r="Q1839" s="125"/>
      <c r="R1839" s="125"/>
      <c r="S1839" s="628">
        <f t="shared" si="3"/>
        <v>0</v>
      </c>
      <c r="T1839" s="627" t="s">
        <v>51</v>
      </c>
      <c r="U1839" s="627" t="s">
        <v>51</v>
      </c>
      <c r="V1839" s="627" t="s">
        <v>51</v>
      </c>
      <c r="W1839" s="627" t="s">
        <v>51</v>
      </c>
      <c r="X1839" s="627" t="s">
        <v>51</v>
      </c>
      <c r="Y1839" s="89"/>
    </row>
    <row r="1840" ht="22.5" customHeight="1">
      <c r="A1840" s="223"/>
      <c r="B1840" s="125"/>
      <c r="C1840" s="125"/>
      <c r="D1840" s="125"/>
      <c r="E1840" s="125"/>
      <c r="F1840" s="125"/>
      <c r="G1840" s="125"/>
      <c r="H1840" s="125"/>
      <c r="I1840" s="627" t="s">
        <v>51</v>
      </c>
      <c r="J1840" s="125" t="s">
        <v>51</v>
      </c>
      <c r="K1840" s="125" t="s">
        <v>51</v>
      </c>
      <c r="L1840" s="125" t="s">
        <v>51</v>
      </c>
      <c r="M1840" s="125" t="str">
        <f t="shared" si="1"/>
        <v/>
      </c>
      <c r="N1840" s="125" t="str">
        <f t="shared" si="2"/>
        <v/>
      </c>
      <c r="O1840" s="125"/>
      <c r="P1840" s="125"/>
      <c r="Q1840" s="125"/>
      <c r="R1840" s="125"/>
      <c r="S1840" s="628">
        <f t="shared" si="3"/>
        <v>0</v>
      </c>
      <c r="T1840" s="627" t="s">
        <v>51</v>
      </c>
      <c r="U1840" s="627" t="s">
        <v>51</v>
      </c>
      <c r="V1840" s="627" t="s">
        <v>51</v>
      </c>
      <c r="W1840" s="627" t="s">
        <v>51</v>
      </c>
      <c r="X1840" s="627" t="s">
        <v>51</v>
      </c>
      <c r="Y1840" s="89"/>
    </row>
    <row r="1841" ht="22.5" customHeight="1">
      <c r="A1841" s="223"/>
      <c r="B1841" s="125"/>
      <c r="C1841" s="125"/>
      <c r="D1841" s="125"/>
      <c r="E1841" s="125"/>
      <c r="F1841" s="125"/>
      <c r="G1841" s="125"/>
      <c r="H1841" s="125"/>
      <c r="I1841" s="627" t="s">
        <v>51</v>
      </c>
      <c r="J1841" s="125" t="s">
        <v>51</v>
      </c>
      <c r="K1841" s="125" t="s">
        <v>51</v>
      </c>
      <c r="L1841" s="125" t="s">
        <v>51</v>
      </c>
      <c r="M1841" s="125" t="str">
        <f t="shared" si="1"/>
        <v/>
      </c>
      <c r="N1841" s="125" t="str">
        <f t="shared" si="2"/>
        <v/>
      </c>
      <c r="O1841" s="125"/>
      <c r="P1841" s="125"/>
      <c r="Q1841" s="125"/>
      <c r="R1841" s="125"/>
      <c r="S1841" s="628">
        <f t="shared" si="3"/>
        <v>0</v>
      </c>
      <c r="T1841" s="627" t="s">
        <v>51</v>
      </c>
      <c r="U1841" s="627" t="s">
        <v>51</v>
      </c>
      <c r="V1841" s="627" t="s">
        <v>51</v>
      </c>
      <c r="W1841" s="627" t="s">
        <v>51</v>
      </c>
      <c r="X1841" s="627" t="s">
        <v>51</v>
      </c>
      <c r="Y1841" s="89"/>
    </row>
    <row r="1842" ht="22.5" customHeight="1">
      <c r="A1842" s="223"/>
      <c r="B1842" s="125"/>
      <c r="C1842" s="125"/>
      <c r="D1842" s="125"/>
      <c r="E1842" s="125"/>
      <c r="F1842" s="125"/>
      <c r="G1842" s="125"/>
      <c r="H1842" s="125"/>
      <c r="I1842" s="627" t="s">
        <v>51</v>
      </c>
      <c r="J1842" s="125" t="s">
        <v>51</v>
      </c>
      <c r="K1842" s="125" t="s">
        <v>51</v>
      </c>
      <c r="L1842" s="125" t="s">
        <v>51</v>
      </c>
      <c r="M1842" s="125" t="str">
        <f t="shared" si="1"/>
        <v/>
      </c>
      <c r="N1842" s="125" t="str">
        <f t="shared" si="2"/>
        <v/>
      </c>
      <c r="O1842" s="125"/>
      <c r="P1842" s="125"/>
      <c r="Q1842" s="125"/>
      <c r="R1842" s="125"/>
      <c r="S1842" s="628">
        <f t="shared" si="3"/>
        <v>0</v>
      </c>
      <c r="T1842" s="627" t="s">
        <v>51</v>
      </c>
      <c r="U1842" s="627" t="s">
        <v>51</v>
      </c>
      <c r="V1842" s="627" t="s">
        <v>51</v>
      </c>
      <c r="W1842" s="627" t="s">
        <v>51</v>
      </c>
      <c r="X1842" s="627" t="s">
        <v>51</v>
      </c>
      <c r="Y1842" s="89"/>
    </row>
    <row r="1843" ht="22.5" customHeight="1">
      <c r="A1843" s="223"/>
      <c r="B1843" s="125"/>
      <c r="C1843" s="125"/>
      <c r="D1843" s="125"/>
      <c r="E1843" s="125"/>
      <c r="F1843" s="125"/>
      <c r="G1843" s="125"/>
      <c r="H1843" s="125"/>
      <c r="I1843" s="627" t="s">
        <v>51</v>
      </c>
      <c r="J1843" s="125" t="s">
        <v>51</v>
      </c>
      <c r="K1843" s="125" t="s">
        <v>51</v>
      </c>
      <c r="L1843" s="125" t="s">
        <v>51</v>
      </c>
      <c r="M1843" s="125" t="str">
        <f t="shared" si="1"/>
        <v/>
      </c>
      <c r="N1843" s="125" t="str">
        <f t="shared" si="2"/>
        <v/>
      </c>
      <c r="O1843" s="125"/>
      <c r="P1843" s="125"/>
      <c r="Q1843" s="125"/>
      <c r="R1843" s="125"/>
      <c r="S1843" s="628">
        <f t="shared" si="3"/>
        <v>0</v>
      </c>
      <c r="T1843" s="627" t="s">
        <v>51</v>
      </c>
      <c r="U1843" s="627" t="s">
        <v>51</v>
      </c>
      <c r="V1843" s="627" t="s">
        <v>51</v>
      </c>
      <c r="W1843" s="627" t="s">
        <v>51</v>
      </c>
      <c r="X1843" s="627" t="s">
        <v>51</v>
      </c>
      <c r="Y1843" s="89"/>
    </row>
    <row r="1844" ht="22.5" customHeight="1">
      <c r="A1844" s="223"/>
      <c r="B1844" s="125"/>
      <c r="C1844" s="125"/>
      <c r="D1844" s="125"/>
      <c r="E1844" s="125"/>
      <c r="F1844" s="125"/>
      <c r="G1844" s="125"/>
      <c r="H1844" s="125"/>
      <c r="I1844" s="627" t="s">
        <v>51</v>
      </c>
      <c r="J1844" s="125" t="s">
        <v>51</v>
      </c>
      <c r="K1844" s="125" t="s">
        <v>51</v>
      </c>
      <c r="L1844" s="125" t="s">
        <v>51</v>
      </c>
      <c r="M1844" s="125" t="str">
        <f t="shared" si="1"/>
        <v/>
      </c>
      <c r="N1844" s="125" t="str">
        <f t="shared" si="2"/>
        <v/>
      </c>
      <c r="O1844" s="125"/>
      <c r="P1844" s="125"/>
      <c r="Q1844" s="125"/>
      <c r="R1844" s="125"/>
      <c r="S1844" s="628">
        <f t="shared" si="3"/>
        <v>0</v>
      </c>
      <c r="T1844" s="627" t="s">
        <v>51</v>
      </c>
      <c r="U1844" s="627" t="s">
        <v>51</v>
      </c>
      <c r="V1844" s="627" t="s">
        <v>51</v>
      </c>
      <c r="W1844" s="627" t="s">
        <v>51</v>
      </c>
      <c r="X1844" s="627" t="s">
        <v>51</v>
      </c>
      <c r="Y1844" s="89"/>
    </row>
    <row r="1845" ht="22.5" customHeight="1">
      <c r="A1845" s="223"/>
      <c r="B1845" s="125"/>
      <c r="C1845" s="125"/>
      <c r="D1845" s="125"/>
      <c r="E1845" s="125"/>
      <c r="F1845" s="125"/>
      <c r="G1845" s="125"/>
      <c r="H1845" s="125"/>
      <c r="I1845" s="627" t="s">
        <v>51</v>
      </c>
      <c r="J1845" s="125" t="s">
        <v>51</v>
      </c>
      <c r="K1845" s="125" t="s">
        <v>51</v>
      </c>
      <c r="L1845" s="125" t="s">
        <v>51</v>
      </c>
      <c r="M1845" s="125" t="str">
        <f t="shared" si="1"/>
        <v/>
      </c>
      <c r="N1845" s="125" t="str">
        <f t="shared" si="2"/>
        <v/>
      </c>
      <c r="O1845" s="125"/>
      <c r="P1845" s="125"/>
      <c r="Q1845" s="125"/>
      <c r="R1845" s="125"/>
      <c r="S1845" s="628">
        <f t="shared" si="3"/>
        <v>0</v>
      </c>
      <c r="T1845" s="627" t="s">
        <v>51</v>
      </c>
      <c r="U1845" s="627" t="s">
        <v>51</v>
      </c>
      <c r="V1845" s="627" t="s">
        <v>51</v>
      </c>
      <c r="W1845" s="627" t="s">
        <v>51</v>
      </c>
      <c r="X1845" s="627" t="s">
        <v>51</v>
      </c>
      <c r="Y1845" s="89"/>
    </row>
    <row r="1846" ht="22.5" customHeight="1">
      <c r="A1846" s="223"/>
      <c r="B1846" s="125"/>
      <c r="C1846" s="125"/>
      <c r="D1846" s="125"/>
      <c r="E1846" s="125"/>
      <c r="F1846" s="125"/>
      <c r="G1846" s="125"/>
      <c r="H1846" s="125"/>
      <c r="I1846" s="627" t="s">
        <v>51</v>
      </c>
      <c r="J1846" s="125" t="s">
        <v>51</v>
      </c>
      <c r="K1846" s="125" t="s">
        <v>51</v>
      </c>
      <c r="L1846" s="125" t="s">
        <v>51</v>
      </c>
      <c r="M1846" s="125" t="str">
        <f t="shared" si="1"/>
        <v/>
      </c>
      <c r="N1846" s="125" t="str">
        <f t="shared" si="2"/>
        <v/>
      </c>
      <c r="O1846" s="125"/>
      <c r="P1846" s="125"/>
      <c r="Q1846" s="125"/>
      <c r="R1846" s="125"/>
      <c r="S1846" s="628">
        <f t="shared" si="3"/>
        <v>0</v>
      </c>
      <c r="T1846" s="627" t="s">
        <v>51</v>
      </c>
      <c r="U1846" s="627" t="s">
        <v>51</v>
      </c>
      <c r="V1846" s="627" t="s">
        <v>51</v>
      </c>
      <c r="W1846" s="627" t="s">
        <v>51</v>
      </c>
      <c r="X1846" s="627" t="s">
        <v>51</v>
      </c>
      <c r="Y1846" s="89"/>
    </row>
    <row r="1847" ht="22.5" customHeight="1">
      <c r="A1847" s="223"/>
      <c r="B1847" s="125"/>
      <c r="C1847" s="125"/>
      <c r="D1847" s="125"/>
      <c r="E1847" s="125"/>
      <c r="F1847" s="125"/>
      <c r="G1847" s="125"/>
      <c r="H1847" s="125"/>
      <c r="I1847" s="627" t="s">
        <v>51</v>
      </c>
      <c r="J1847" s="125" t="s">
        <v>51</v>
      </c>
      <c r="K1847" s="125" t="s">
        <v>51</v>
      </c>
      <c r="L1847" s="125" t="s">
        <v>51</v>
      </c>
      <c r="M1847" s="125" t="str">
        <f t="shared" si="1"/>
        <v/>
      </c>
      <c r="N1847" s="125" t="str">
        <f t="shared" si="2"/>
        <v/>
      </c>
      <c r="O1847" s="125"/>
      <c r="P1847" s="125"/>
      <c r="Q1847" s="125"/>
      <c r="R1847" s="125"/>
      <c r="S1847" s="628">
        <f t="shared" si="3"/>
        <v>0</v>
      </c>
      <c r="T1847" s="627" t="s">
        <v>51</v>
      </c>
      <c r="U1847" s="627" t="s">
        <v>51</v>
      </c>
      <c r="V1847" s="627" t="s">
        <v>51</v>
      </c>
      <c r="W1847" s="627" t="s">
        <v>51</v>
      </c>
      <c r="X1847" s="627" t="s">
        <v>51</v>
      </c>
      <c r="Y1847" s="89"/>
    </row>
    <row r="1848" ht="22.5" customHeight="1">
      <c r="A1848" s="223"/>
      <c r="B1848" s="125"/>
      <c r="C1848" s="125"/>
      <c r="D1848" s="125"/>
      <c r="E1848" s="125"/>
      <c r="F1848" s="125"/>
      <c r="G1848" s="125"/>
      <c r="H1848" s="125"/>
      <c r="I1848" s="627" t="s">
        <v>51</v>
      </c>
      <c r="J1848" s="125" t="s">
        <v>51</v>
      </c>
      <c r="K1848" s="125" t="s">
        <v>51</v>
      </c>
      <c r="L1848" s="125" t="s">
        <v>51</v>
      </c>
      <c r="M1848" s="125" t="str">
        <f t="shared" si="1"/>
        <v/>
      </c>
      <c r="N1848" s="125" t="str">
        <f t="shared" si="2"/>
        <v/>
      </c>
      <c r="O1848" s="125"/>
      <c r="P1848" s="125"/>
      <c r="Q1848" s="125"/>
      <c r="R1848" s="125"/>
      <c r="S1848" s="628">
        <f t="shared" si="3"/>
        <v>0</v>
      </c>
      <c r="T1848" s="627" t="s">
        <v>51</v>
      </c>
      <c r="U1848" s="627" t="s">
        <v>51</v>
      </c>
      <c r="V1848" s="627" t="s">
        <v>51</v>
      </c>
      <c r="W1848" s="627" t="s">
        <v>51</v>
      </c>
      <c r="X1848" s="627" t="s">
        <v>51</v>
      </c>
      <c r="Y1848" s="89"/>
    </row>
    <row r="1849" ht="22.5" customHeight="1">
      <c r="A1849" s="223"/>
      <c r="B1849" s="125"/>
      <c r="C1849" s="125"/>
      <c r="D1849" s="125"/>
      <c r="E1849" s="125"/>
      <c r="F1849" s="125"/>
      <c r="G1849" s="125"/>
      <c r="H1849" s="125"/>
      <c r="I1849" s="627" t="s">
        <v>51</v>
      </c>
      <c r="J1849" s="125" t="s">
        <v>51</v>
      </c>
      <c r="K1849" s="125" t="s">
        <v>51</v>
      </c>
      <c r="L1849" s="125" t="s">
        <v>51</v>
      </c>
      <c r="M1849" s="125" t="str">
        <f t="shared" si="1"/>
        <v/>
      </c>
      <c r="N1849" s="125" t="str">
        <f t="shared" si="2"/>
        <v/>
      </c>
      <c r="O1849" s="125"/>
      <c r="P1849" s="125"/>
      <c r="Q1849" s="125"/>
      <c r="R1849" s="125"/>
      <c r="S1849" s="628">
        <f t="shared" si="3"/>
        <v>0</v>
      </c>
      <c r="T1849" s="627" t="s">
        <v>51</v>
      </c>
      <c r="U1849" s="627" t="s">
        <v>51</v>
      </c>
      <c r="V1849" s="627" t="s">
        <v>51</v>
      </c>
      <c r="W1849" s="627" t="s">
        <v>51</v>
      </c>
      <c r="X1849" s="627" t="s">
        <v>51</v>
      </c>
      <c r="Y1849" s="89"/>
    </row>
    <row r="1850" ht="22.5" customHeight="1">
      <c r="A1850" s="223"/>
      <c r="B1850" s="125"/>
      <c r="C1850" s="125"/>
      <c r="D1850" s="125"/>
      <c r="E1850" s="125"/>
      <c r="F1850" s="125"/>
      <c r="G1850" s="125"/>
      <c r="H1850" s="125"/>
      <c r="I1850" s="627" t="s">
        <v>51</v>
      </c>
      <c r="J1850" s="125" t="s">
        <v>51</v>
      </c>
      <c r="K1850" s="125" t="s">
        <v>51</v>
      </c>
      <c r="L1850" s="125" t="s">
        <v>51</v>
      </c>
      <c r="M1850" s="125" t="str">
        <f t="shared" si="1"/>
        <v/>
      </c>
      <c r="N1850" s="125" t="str">
        <f t="shared" si="2"/>
        <v/>
      </c>
      <c r="O1850" s="125"/>
      <c r="P1850" s="125"/>
      <c r="Q1850" s="125"/>
      <c r="R1850" s="125"/>
      <c r="S1850" s="628">
        <f t="shared" si="3"/>
        <v>0</v>
      </c>
      <c r="T1850" s="627" t="s">
        <v>51</v>
      </c>
      <c r="U1850" s="627" t="s">
        <v>51</v>
      </c>
      <c r="V1850" s="627" t="s">
        <v>51</v>
      </c>
      <c r="W1850" s="627" t="s">
        <v>51</v>
      </c>
      <c r="X1850" s="627" t="s">
        <v>51</v>
      </c>
      <c r="Y1850" s="89"/>
    </row>
    <row r="1851" ht="22.5" customHeight="1">
      <c r="A1851" s="223"/>
      <c r="B1851" s="125"/>
      <c r="C1851" s="125"/>
      <c r="D1851" s="125"/>
      <c r="E1851" s="125"/>
      <c r="F1851" s="125"/>
      <c r="G1851" s="125"/>
      <c r="H1851" s="125"/>
      <c r="I1851" s="627" t="s">
        <v>51</v>
      </c>
      <c r="J1851" s="125" t="s">
        <v>51</v>
      </c>
      <c r="K1851" s="125" t="s">
        <v>51</v>
      </c>
      <c r="L1851" s="125" t="s">
        <v>51</v>
      </c>
      <c r="M1851" s="125" t="str">
        <f t="shared" si="1"/>
        <v/>
      </c>
      <c r="N1851" s="125" t="str">
        <f t="shared" si="2"/>
        <v/>
      </c>
      <c r="O1851" s="125"/>
      <c r="P1851" s="125"/>
      <c r="Q1851" s="125"/>
      <c r="R1851" s="125"/>
      <c r="S1851" s="628">
        <f t="shared" si="3"/>
        <v>0</v>
      </c>
      <c r="T1851" s="627" t="s">
        <v>51</v>
      </c>
      <c r="U1851" s="627" t="s">
        <v>51</v>
      </c>
      <c r="V1851" s="627" t="s">
        <v>51</v>
      </c>
      <c r="W1851" s="627" t="s">
        <v>51</v>
      </c>
      <c r="X1851" s="627" t="s">
        <v>51</v>
      </c>
      <c r="Y1851" s="89"/>
    </row>
    <row r="1852" ht="22.5" customHeight="1">
      <c r="A1852" s="223"/>
      <c r="B1852" s="125"/>
      <c r="C1852" s="125"/>
      <c r="D1852" s="125"/>
      <c r="E1852" s="125"/>
      <c r="F1852" s="125"/>
      <c r="G1852" s="125"/>
      <c r="H1852" s="125"/>
      <c r="I1852" s="627" t="s">
        <v>51</v>
      </c>
      <c r="J1852" s="125" t="s">
        <v>51</v>
      </c>
      <c r="K1852" s="125" t="s">
        <v>51</v>
      </c>
      <c r="L1852" s="125" t="s">
        <v>51</v>
      </c>
      <c r="M1852" s="125" t="str">
        <f t="shared" si="1"/>
        <v/>
      </c>
      <c r="N1852" s="125" t="str">
        <f t="shared" si="2"/>
        <v/>
      </c>
      <c r="O1852" s="125"/>
      <c r="P1852" s="125"/>
      <c r="Q1852" s="125"/>
      <c r="R1852" s="125"/>
      <c r="S1852" s="628">
        <f t="shared" si="3"/>
        <v>0</v>
      </c>
      <c r="T1852" s="627" t="s">
        <v>51</v>
      </c>
      <c r="U1852" s="627" t="s">
        <v>51</v>
      </c>
      <c r="V1852" s="627" t="s">
        <v>51</v>
      </c>
      <c r="W1852" s="627" t="s">
        <v>51</v>
      </c>
      <c r="X1852" s="627" t="s">
        <v>51</v>
      </c>
      <c r="Y1852" s="89"/>
    </row>
    <row r="1853" ht="22.5" customHeight="1">
      <c r="A1853" s="223"/>
      <c r="B1853" s="125"/>
      <c r="C1853" s="125"/>
      <c r="D1853" s="125"/>
      <c r="E1853" s="125"/>
      <c r="F1853" s="125"/>
      <c r="G1853" s="125"/>
      <c r="H1853" s="125"/>
      <c r="I1853" s="627" t="s">
        <v>51</v>
      </c>
      <c r="J1853" s="125" t="s">
        <v>51</v>
      </c>
      <c r="K1853" s="125" t="s">
        <v>51</v>
      </c>
      <c r="L1853" s="125" t="s">
        <v>51</v>
      </c>
      <c r="M1853" s="125" t="str">
        <f t="shared" si="1"/>
        <v/>
      </c>
      <c r="N1853" s="125" t="str">
        <f t="shared" si="2"/>
        <v/>
      </c>
      <c r="O1853" s="125"/>
      <c r="P1853" s="125"/>
      <c r="Q1853" s="125"/>
      <c r="R1853" s="125"/>
      <c r="S1853" s="628">
        <f t="shared" si="3"/>
        <v>0</v>
      </c>
      <c r="T1853" s="627" t="s">
        <v>51</v>
      </c>
      <c r="U1853" s="627" t="s">
        <v>51</v>
      </c>
      <c r="V1853" s="627" t="s">
        <v>51</v>
      </c>
      <c r="W1853" s="627" t="s">
        <v>51</v>
      </c>
      <c r="X1853" s="627" t="s">
        <v>51</v>
      </c>
      <c r="Y1853" s="89"/>
    </row>
    <row r="1854" ht="22.5" customHeight="1">
      <c r="A1854" s="223"/>
      <c r="B1854" s="125"/>
      <c r="C1854" s="125"/>
      <c r="D1854" s="125"/>
      <c r="E1854" s="125"/>
      <c r="F1854" s="125"/>
      <c r="G1854" s="125"/>
      <c r="H1854" s="125"/>
      <c r="I1854" s="627" t="s">
        <v>51</v>
      </c>
      <c r="J1854" s="125" t="s">
        <v>51</v>
      </c>
      <c r="K1854" s="125" t="s">
        <v>51</v>
      </c>
      <c r="L1854" s="125" t="s">
        <v>51</v>
      </c>
      <c r="M1854" s="125" t="str">
        <f t="shared" si="1"/>
        <v/>
      </c>
      <c r="N1854" s="125" t="str">
        <f t="shared" si="2"/>
        <v/>
      </c>
      <c r="O1854" s="125"/>
      <c r="P1854" s="125"/>
      <c r="Q1854" s="125"/>
      <c r="R1854" s="125"/>
      <c r="S1854" s="628">
        <f t="shared" si="3"/>
        <v>0</v>
      </c>
      <c r="T1854" s="627" t="s">
        <v>51</v>
      </c>
      <c r="U1854" s="627" t="s">
        <v>51</v>
      </c>
      <c r="V1854" s="627" t="s">
        <v>51</v>
      </c>
      <c r="W1854" s="627" t="s">
        <v>51</v>
      </c>
      <c r="X1854" s="627" t="s">
        <v>51</v>
      </c>
      <c r="Y1854" s="89"/>
    </row>
    <row r="1855" ht="22.5" customHeight="1">
      <c r="A1855" s="223"/>
      <c r="B1855" s="125"/>
      <c r="C1855" s="125"/>
      <c r="D1855" s="125"/>
      <c r="E1855" s="125"/>
      <c r="F1855" s="125"/>
      <c r="G1855" s="125"/>
      <c r="H1855" s="125"/>
      <c r="I1855" s="627" t="s">
        <v>51</v>
      </c>
      <c r="J1855" s="125" t="s">
        <v>51</v>
      </c>
      <c r="K1855" s="125" t="s">
        <v>51</v>
      </c>
      <c r="L1855" s="125" t="s">
        <v>51</v>
      </c>
      <c r="M1855" s="125" t="str">
        <f t="shared" si="1"/>
        <v/>
      </c>
      <c r="N1855" s="125" t="str">
        <f t="shared" si="2"/>
        <v/>
      </c>
      <c r="O1855" s="125"/>
      <c r="P1855" s="125"/>
      <c r="Q1855" s="125"/>
      <c r="R1855" s="125"/>
      <c r="S1855" s="628">
        <f t="shared" si="3"/>
        <v>0</v>
      </c>
      <c r="T1855" s="627" t="s">
        <v>51</v>
      </c>
      <c r="U1855" s="627" t="s">
        <v>51</v>
      </c>
      <c r="V1855" s="627" t="s">
        <v>51</v>
      </c>
      <c r="W1855" s="627" t="s">
        <v>51</v>
      </c>
      <c r="X1855" s="627" t="s">
        <v>51</v>
      </c>
      <c r="Y1855" s="89"/>
    </row>
    <row r="1856" ht="22.5" customHeight="1">
      <c r="A1856" s="223"/>
      <c r="B1856" s="125"/>
      <c r="C1856" s="125"/>
      <c r="D1856" s="125"/>
      <c r="E1856" s="125"/>
      <c r="F1856" s="125"/>
      <c r="G1856" s="125"/>
      <c r="H1856" s="125"/>
      <c r="I1856" s="627" t="s">
        <v>51</v>
      </c>
      <c r="J1856" s="125" t="s">
        <v>51</v>
      </c>
      <c r="K1856" s="125" t="s">
        <v>51</v>
      </c>
      <c r="L1856" s="125" t="s">
        <v>51</v>
      </c>
      <c r="M1856" s="125" t="str">
        <f t="shared" si="1"/>
        <v/>
      </c>
      <c r="N1856" s="125" t="str">
        <f t="shared" si="2"/>
        <v/>
      </c>
      <c r="O1856" s="125"/>
      <c r="P1856" s="125"/>
      <c r="Q1856" s="125"/>
      <c r="R1856" s="125"/>
      <c r="S1856" s="628">
        <f t="shared" si="3"/>
        <v>0</v>
      </c>
      <c r="T1856" s="627" t="s">
        <v>51</v>
      </c>
      <c r="U1856" s="627" t="s">
        <v>51</v>
      </c>
      <c r="V1856" s="627" t="s">
        <v>51</v>
      </c>
      <c r="W1856" s="627" t="s">
        <v>51</v>
      </c>
      <c r="X1856" s="627" t="s">
        <v>51</v>
      </c>
      <c r="Y1856" s="89"/>
    </row>
    <row r="1857" ht="22.5" customHeight="1">
      <c r="A1857" s="223"/>
      <c r="B1857" s="125"/>
      <c r="C1857" s="125"/>
      <c r="D1857" s="125"/>
      <c r="E1857" s="125"/>
      <c r="F1857" s="125"/>
      <c r="G1857" s="125"/>
      <c r="H1857" s="125"/>
      <c r="I1857" s="627" t="s">
        <v>51</v>
      </c>
      <c r="J1857" s="125" t="s">
        <v>51</v>
      </c>
      <c r="K1857" s="125" t="s">
        <v>51</v>
      </c>
      <c r="L1857" s="125" t="s">
        <v>51</v>
      </c>
      <c r="M1857" s="125" t="str">
        <f t="shared" si="1"/>
        <v/>
      </c>
      <c r="N1857" s="125" t="str">
        <f t="shared" si="2"/>
        <v/>
      </c>
      <c r="O1857" s="125"/>
      <c r="P1857" s="125"/>
      <c r="Q1857" s="125"/>
      <c r="R1857" s="125"/>
      <c r="S1857" s="628">
        <f t="shared" si="3"/>
        <v>0</v>
      </c>
      <c r="T1857" s="627" t="s">
        <v>51</v>
      </c>
      <c r="U1857" s="627" t="s">
        <v>51</v>
      </c>
      <c r="V1857" s="627" t="s">
        <v>51</v>
      </c>
      <c r="W1857" s="627" t="s">
        <v>51</v>
      </c>
      <c r="X1857" s="627" t="s">
        <v>51</v>
      </c>
      <c r="Y1857" s="89"/>
    </row>
    <row r="1858" ht="22.5" customHeight="1">
      <c r="A1858" s="223"/>
      <c r="B1858" s="125"/>
      <c r="C1858" s="125"/>
      <c r="D1858" s="125"/>
      <c r="E1858" s="125"/>
      <c r="F1858" s="125"/>
      <c r="G1858" s="125"/>
      <c r="H1858" s="125"/>
      <c r="I1858" s="627" t="s">
        <v>51</v>
      </c>
      <c r="J1858" s="125" t="s">
        <v>51</v>
      </c>
      <c r="K1858" s="125" t="s">
        <v>51</v>
      </c>
      <c r="L1858" s="125" t="s">
        <v>51</v>
      </c>
      <c r="M1858" s="125" t="str">
        <f t="shared" si="1"/>
        <v/>
      </c>
      <c r="N1858" s="125" t="str">
        <f t="shared" si="2"/>
        <v/>
      </c>
      <c r="O1858" s="125"/>
      <c r="P1858" s="125"/>
      <c r="Q1858" s="125"/>
      <c r="R1858" s="125"/>
      <c r="S1858" s="628">
        <f t="shared" si="3"/>
        <v>0</v>
      </c>
      <c r="T1858" s="627" t="s">
        <v>51</v>
      </c>
      <c r="U1858" s="627" t="s">
        <v>51</v>
      </c>
      <c r="V1858" s="627" t="s">
        <v>51</v>
      </c>
      <c r="W1858" s="627" t="s">
        <v>51</v>
      </c>
      <c r="X1858" s="627" t="s">
        <v>51</v>
      </c>
      <c r="Y1858" s="89"/>
    </row>
    <row r="1859" ht="22.5" customHeight="1">
      <c r="A1859" s="223"/>
      <c r="B1859" s="125"/>
      <c r="C1859" s="125"/>
      <c r="D1859" s="125"/>
      <c r="E1859" s="125"/>
      <c r="F1859" s="125"/>
      <c r="G1859" s="125"/>
      <c r="H1859" s="125"/>
      <c r="I1859" s="627" t="s">
        <v>51</v>
      </c>
      <c r="J1859" s="125" t="s">
        <v>51</v>
      </c>
      <c r="K1859" s="125" t="s">
        <v>51</v>
      </c>
      <c r="L1859" s="125" t="s">
        <v>51</v>
      </c>
      <c r="M1859" s="125" t="str">
        <f t="shared" si="1"/>
        <v/>
      </c>
      <c r="N1859" s="125" t="str">
        <f t="shared" si="2"/>
        <v/>
      </c>
      <c r="O1859" s="125"/>
      <c r="P1859" s="125"/>
      <c r="Q1859" s="125"/>
      <c r="R1859" s="125"/>
      <c r="S1859" s="628">
        <f t="shared" si="3"/>
        <v>0</v>
      </c>
      <c r="T1859" s="627" t="s">
        <v>51</v>
      </c>
      <c r="U1859" s="627" t="s">
        <v>51</v>
      </c>
      <c r="V1859" s="627" t="s">
        <v>51</v>
      </c>
      <c r="W1859" s="627" t="s">
        <v>51</v>
      </c>
      <c r="X1859" s="627" t="s">
        <v>51</v>
      </c>
      <c r="Y1859" s="89"/>
    </row>
    <row r="1860" ht="22.5" customHeight="1">
      <c r="A1860" s="223"/>
      <c r="B1860" s="125"/>
      <c r="C1860" s="125"/>
      <c r="D1860" s="125"/>
      <c r="E1860" s="125"/>
      <c r="F1860" s="125"/>
      <c r="G1860" s="125"/>
      <c r="H1860" s="125"/>
      <c r="I1860" s="627" t="s">
        <v>51</v>
      </c>
      <c r="J1860" s="125" t="s">
        <v>51</v>
      </c>
      <c r="K1860" s="125" t="s">
        <v>51</v>
      </c>
      <c r="L1860" s="125" t="s">
        <v>51</v>
      </c>
      <c r="M1860" s="125" t="str">
        <f t="shared" si="1"/>
        <v/>
      </c>
      <c r="N1860" s="125" t="str">
        <f t="shared" si="2"/>
        <v/>
      </c>
      <c r="O1860" s="125"/>
      <c r="P1860" s="125"/>
      <c r="Q1860" s="125"/>
      <c r="R1860" s="125"/>
      <c r="S1860" s="628">
        <f t="shared" si="3"/>
        <v>0</v>
      </c>
      <c r="T1860" s="627" t="s">
        <v>51</v>
      </c>
      <c r="U1860" s="627" t="s">
        <v>51</v>
      </c>
      <c r="V1860" s="627" t="s">
        <v>51</v>
      </c>
      <c r="W1860" s="627" t="s">
        <v>51</v>
      </c>
      <c r="X1860" s="627" t="s">
        <v>51</v>
      </c>
      <c r="Y1860" s="89"/>
    </row>
    <row r="1861" ht="22.5" customHeight="1">
      <c r="A1861" s="223"/>
      <c r="B1861" s="125"/>
      <c r="C1861" s="125"/>
      <c r="D1861" s="125"/>
      <c r="E1861" s="125"/>
      <c r="F1861" s="125"/>
      <c r="G1861" s="125"/>
      <c r="H1861" s="125"/>
      <c r="I1861" s="627" t="s">
        <v>51</v>
      </c>
      <c r="J1861" s="125" t="s">
        <v>51</v>
      </c>
      <c r="K1861" s="125" t="s">
        <v>51</v>
      </c>
      <c r="L1861" s="125" t="s">
        <v>51</v>
      </c>
      <c r="M1861" s="125" t="str">
        <f t="shared" si="1"/>
        <v/>
      </c>
      <c r="N1861" s="125" t="str">
        <f t="shared" si="2"/>
        <v/>
      </c>
      <c r="O1861" s="125"/>
      <c r="P1861" s="125"/>
      <c r="Q1861" s="125"/>
      <c r="R1861" s="125"/>
      <c r="S1861" s="628">
        <f t="shared" si="3"/>
        <v>0</v>
      </c>
      <c r="T1861" s="627" t="s">
        <v>51</v>
      </c>
      <c r="U1861" s="627" t="s">
        <v>51</v>
      </c>
      <c r="V1861" s="627" t="s">
        <v>51</v>
      </c>
      <c r="W1861" s="627" t="s">
        <v>51</v>
      </c>
      <c r="X1861" s="627" t="s">
        <v>51</v>
      </c>
      <c r="Y1861" s="89"/>
    </row>
    <row r="1862" ht="22.5" customHeight="1">
      <c r="A1862" s="223"/>
      <c r="B1862" s="125"/>
      <c r="C1862" s="125"/>
      <c r="D1862" s="125"/>
      <c r="E1862" s="125"/>
      <c r="F1862" s="125"/>
      <c r="G1862" s="125"/>
      <c r="H1862" s="125"/>
      <c r="I1862" s="627" t="s">
        <v>51</v>
      </c>
      <c r="J1862" s="125" t="s">
        <v>51</v>
      </c>
      <c r="K1862" s="125" t="s">
        <v>51</v>
      </c>
      <c r="L1862" s="125" t="s">
        <v>51</v>
      </c>
      <c r="M1862" s="125" t="str">
        <f t="shared" si="1"/>
        <v/>
      </c>
      <c r="N1862" s="125" t="str">
        <f t="shared" si="2"/>
        <v/>
      </c>
      <c r="O1862" s="125"/>
      <c r="P1862" s="125"/>
      <c r="Q1862" s="125"/>
      <c r="R1862" s="125"/>
      <c r="S1862" s="628">
        <f t="shared" si="3"/>
        <v>0</v>
      </c>
      <c r="T1862" s="627" t="s">
        <v>51</v>
      </c>
      <c r="U1862" s="627" t="s">
        <v>51</v>
      </c>
      <c r="V1862" s="627" t="s">
        <v>51</v>
      </c>
      <c r="W1862" s="627" t="s">
        <v>51</v>
      </c>
      <c r="X1862" s="627" t="s">
        <v>51</v>
      </c>
      <c r="Y1862" s="89"/>
    </row>
    <row r="1863" ht="22.5" customHeight="1">
      <c r="A1863" s="223"/>
      <c r="B1863" s="125"/>
      <c r="C1863" s="125"/>
      <c r="D1863" s="125"/>
      <c r="E1863" s="125"/>
      <c r="F1863" s="125"/>
      <c r="G1863" s="125"/>
      <c r="H1863" s="125"/>
      <c r="I1863" s="627" t="s">
        <v>51</v>
      </c>
      <c r="J1863" s="125" t="s">
        <v>51</v>
      </c>
      <c r="K1863" s="125" t="s">
        <v>51</v>
      </c>
      <c r="L1863" s="125" t="s">
        <v>51</v>
      </c>
      <c r="M1863" s="125" t="str">
        <f t="shared" si="1"/>
        <v/>
      </c>
      <c r="N1863" s="125" t="str">
        <f t="shared" si="2"/>
        <v/>
      </c>
      <c r="O1863" s="125"/>
      <c r="P1863" s="125"/>
      <c r="Q1863" s="125"/>
      <c r="R1863" s="125"/>
      <c r="S1863" s="628">
        <f t="shared" si="3"/>
        <v>0</v>
      </c>
      <c r="T1863" s="627" t="s">
        <v>51</v>
      </c>
      <c r="U1863" s="627" t="s">
        <v>51</v>
      </c>
      <c r="V1863" s="627" t="s">
        <v>51</v>
      </c>
      <c r="W1863" s="627" t="s">
        <v>51</v>
      </c>
      <c r="X1863" s="627" t="s">
        <v>51</v>
      </c>
      <c r="Y1863" s="89"/>
    </row>
    <row r="1864" ht="22.5" customHeight="1">
      <c r="A1864" s="223"/>
      <c r="B1864" s="125"/>
      <c r="C1864" s="125"/>
      <c r="D1864" s="125"/>
      <c r="E1864" s="125"/>
      <c r="F1864" s="125"/>
      <c r="G1864" s="125"/>
      <c r="H1864" s="125"/>
      <c r="I1864" s="627" t="s">
        <v>51</v>
      </c>
      <c r="J1864" s="125" t="s">
        <v>51</v>
      </c>
      <c r="K1864" s="125" t="s">
        <v>51</v>
      </c>
      <c r="L1864" s="125" t="s">
        <v>51</v>
      </c>
      <c r="M1864" s="125" t="str">
        <f t="shared" si="1"/>
        <v/>
      </c>
      <c r="N1864" s="125" t="str">
        <f t="shared" si="2"/>
        <v/>
      </c>
      <c r="O1864" s="125"/>
      <c r="P1864" s="125"/>
      <c r="Q1864" s="125"/>
      <c r="R1864" s="125"/>
      <c r="S1864" s="628">
        <f t="shared" si="3"/>
        <v>0</v>
      </c>
      <c r="T1864" s="627" t="s">
        <v>51</v>
      </c>
      <c r="U1864" s="627" t="s">
        <v>51</v>
      </c>
      <c r="V1864" s="627" t="s">
        <v>51</v>
      </c>
      <c r="W1864" s="627" t="s">
        <v>51</v>
      </c>
      <c r="X1864" s="627" t="s">
        <v>51</v>
      </c>
      <c r="Y1864" s="89"/>
    </row>
    <row r="1865" ht="22.5" customHeight="1">
      <c r="A1865" s="223"/>
      <c r="B1865" s="125"/>
      <c r="C1865" s="125"/>
      <c r="D1865" s="125"/>
      <c r="E1865" s="125"/>
      <c r="F1865" s="125"/>
      <c r="G1865" s="125"/>
      <c r="H1865" s="125"/>
      <c r="I1865" s="627" t="s">
        <v>51</v>
      </c>
      <c r="J1865" s="125" t="s">
        <v>51</v>
      </c>
      <c r="K1865" s="125" t="s">
        <v>51</v>
      </c>
      <c r="L1865" s="125" t="s">
        <v>51</v>
      </c>
      <c r="M1865" s="125" t="str">
        <f t="shared" si="1"/>
        <v/>
      </c>
      <c r="N1865" s="125" t="str">
        <f t="shared" si="2"/>
        <v/>
      </c>
      <c r="O1865" s="125"/>
      <c r="P1865" s="125"/>
      <c r="Q1865" s="125"/>
      <c r="R1865" s="125"/>
      <c r="S1865" s="628">
        <f t="shared" si="3"/>
        <v>0</v>
      </c>
      <c r="T1865" s="627" t="s">
        <v>51</v>
      </c>
      <c r="U1865" s="627" t="s">
        <v>51</v>
      </c>
      <c r="V1865" s="627" t="s">
        <v>51</v>
      </c>
      <c r="W1865" s="627" t="s">
        <v>51</v>
      </c>
      <c r="X1865" s="627" t="s">
        <v>51</v>
      </c>
      <c r="Y1865" s="89"/>
    </row>
    <row r="1866" ht="22.5" customHeight="1">
      <c r="A1866" s="223"/>
      <c r="B1866" s="125"/>
      <c r="C1866" s="125"/>
      <c r="D1866" s="125"/>
      <c r="E1866" s="125"/>
      <c r="F1866" s="125"/>
      <c r="G1866" s="125"/>
      <c r="H1866" s="125"/>
      <c r="I1866" s="627" t="s">
        <v>51</v>
      </c>
      <c r="J1866" s="125" t="s">
        <v>51</v>
      </c>
      <c r="K1866" s="125" t="s">
        <v>51</v>
      </c>
      <c r="L1866" s="125" t="s">
        <v>51</v>
      </c>
      <c r="M1866" s="125" t="str">
        <f t="shared" si="1"/>
        <v/>
      </c>
      <c r="N1866" s="125" t="str">
        <f t="shared" si="2"/>
        <v/>
      </c>
      <c r="O1866" s="125"/>
      <c r="P1866" s="125"/>
      <c r="Q1866" s="125"/>
      <c r="R1866" s="125"/>
      <c r="S1866" s="628">
        <f t="shared" si="3"/>
        <v>0</v>
      </c>
      <c r="T1866" s="627" t="s">
        <v>51</v>
      </c>
      <c r="U1866" s="627" t="s">
        <v>51</v>
      </c>
      <c r="V1866" s="627" t="s">
        <v>51</v>
      </c>
      <c r="W1866" s="627" t="s">
        <v>51</v>
      </c>
      <c r="X1866" s="627" t="s">
        <v>51</v>
      </c>
      <c r="Y1866" s="89"/>
    </row>
    <row r="1867" ht="22.5" customHeight="1">
      <c r="A1867" s="223"/>
      <c r="B1867" s="125"/>
      <c r="C1867" s="125"/>
      <c r="D1867" s="125"/>
      <c r="E1867" s="125"/>
      <c r="F1867" s="125"/>
      <c r="G1867" s="125"/>
      <c r="H1867" s="125"/>
      <c r="I1867" s="627" t="s">
        <v>51</v>
      </c>
      <c r="J1867" s="125" t="s">
        <v>51</v>
      </c>
      <c r="K1867" s="125" t="s">
        <v>51</v>
      </c>
      <c r="L1867" s="125" t="s">
        <v>51</v>
      </c>
      <c r="M1867" s="125" t="str">
        <f t="shared" si="1"/>
        <v/>
      </c>
      <c r="N1867" s="125" t="str">
        <f t="shared" si="2"/>
        <v/>
      </c>
      <c r="O1867" s="125"/>
      <c r="P1867" s="125"/>
      <c r="Q1867" s="125"/>
      <c r="R1867" s="125"/>
      <c r="S1867" s="628">
        <f t="shared" si="3"/>
        <v>0</v>
      </c>
      <c r="T1867" s="627" t="s">
        <v>51</v>
      </c>
      <c r="U1867" s="627" t="s">
        <v>51</v>
      </c>
      <c r="V1867" s="627" t="s">
        <v>51</v>
      </c>
      <c r="W1867" s="627" t="s">
        <v>51</v>
      </c>
      <c r="X1867" s="627" t="s">
        <v>51</v>
      </c>
      <c r="Y1867" s="89"/>
    </row>
    <row r="1868" ht="22.5" customHeight="1">
      <c r="A1868" s="223"/>
      <c r="B1868" s="125"/>
      <c r="C1868" s="125"/>
      <c r="D1868" s="125"/>
      <c r="E1868" s="125"/>
      <c r="F1868" s="125"/>
      <c r="G1868" s="125"/>
      <c r="H1868" s="125"/>
      <c r="I1868" s="627" t="s">
        <v>51</v>
      </c>
      <c r="J1868" s="125" t="s">
        <v>51</v>
      </c>
      <c r="K1868" s="125" t="s">
        <v>51</v>
      </c>
      <c r="L1868" s="125" t="s">
        <v>51</v>
      </c>
      <c r="M1868" s="125" t="str">
        <f t="shared" si="1"/>
        <v/>
      </c>
      <c r="N1868" s="125" t="str">
        <f t="shared" si="2"/>
        <v/>
      </c>
      <c r="O1868" s="125"/>
      <c r="P1868" s="125"/>
      <c r="Q1868" s="125"/>
      <c r="R1868" s="125"/>
      <c r="S1868" s="628">
        <f t="shared" si="3"/>
        <v>0</v>
      </c>
      <c r="T1868" s="627" t="s">
        <v>51</v>
      </c>
      <c r="U1868" s="627" t="s">
        <v>51</v>
      </c>
      <c r="V1868" s="627" t="s">
        <v>51</v>
      </c>
      <c r="W1868" s="627" t="s">
        <v>51</v>
      </c>
      <c r="X1868" s="627" t="s">
        <v>51</v>
      </c>
      <c r="Y1868" s="89"/>
    </row>
    <row r="1869" ht="22.5" customHeight="1">
      <c r="A1869" s="223"/>
      <c r="B1869" s="125"/>
      <c r="C1869" s="125"/>
      <c r="D1869" s="125"/>
      <c r="E1869" s="125"/>
      <c r="F1869" s="125"/>
      <c r="G1869" s="125"/>
      <c r="H1869" s="125"/>
      <c r="I1869" s="627" t="s">
        <v>51</v>
      </c>
      <c r="J1869" s="125" t="s">
        <v>51</v>
      </c>
      <c r="K1869" s="125" t="s">
        <v>51</v>
      </c>
      <c r="L1869" s="125" t="s">
        <v>51</v>
      </c>
      <c r="M1869" s="125" t="str">
        <f t="shared" si="1"/>
        <v/>
      </c>
      <c r="N1869" s="125" t="str">
        <f t="shared" si="2"/>
        <v/>
      </c>
      <c r="O1869" s="125"/>
      <c r="P1869" s="125"/>
      <c r="Q1869" s="125"/>
      <c r="R1869" s="125"/>
      <c r="S1869" s="628">
        <f t="shared" si="3"/>
        <v>0</v>
      </c>
      <c r="T1869" s="627" t="s">
        <v>51</v>
      </c>
      <c r="U1869" s="627" t="s">
        <v>51</v>
      </c>
      <c r="V1869" s="627" t="s">
        <v>51</v>
      </c>
      <c r="W1869" s="627" t="s">
        <v>51</v>
      </c>
      <c r="X1869" s="627" t="s">
        <v>51</v>
      </c>
      <c r="Y1869" s="89"/>
    </row>
    <row r="1870" ht="22.5" customHeight="1">
      <c r="A1870" s="223"/>
      <c r="B1870" s="125"/>
      <c r="C1870" s="125"/>
      <c r="D1870" s="125"/>
      <c r="E1870" s="125"/>
      <c r="F1870" s="125"/>
      <c r="G1870" s="125"/>
      <c r="H1870" s="125"/>
      <c r="I1870" s="627" t="s">
        <v>51</v>
      </c>
      <c r="J1870" s="125" t="s">
        <v>51</v>
      </c>
      <c r="K1870" s="125" t="s">
        <v>51</v>
      </c>
      <c r="L1870" s="125" t="s">
        <v>51</v>
      </c>
      <c r="M1870" s="125" t="str">
        <f t="shared" si="1"/>
        <v/>
      </c>
      <c r="N1870" s="125" t="str">
        <f t="shared" si="2"/>
        <v/>
      </c>
      <c r="O1870" s="125"/>
      <c r="P1870" s="125"/>
      <c r="Q1870" s="125"/>
      <c r="R1870" s="125"/>
      <c r="S1870" s="628">
        <f t="shared" si="3"/>
        <v>0</v>
      </c>
      <c r="T1870" s="627" t="s">
        <v>51</v>
      </c>
      <c r="U1870" s="627" t="s">
        <v>51</v>
      </c>
      <c r="V1870" s="627" t="s">
        <v>51</v>
      </c>
      <c r="W1870" s="627" t="s">
        <v>51</v>
      </c>
      <c r="X1870" s="627" t="s">
        <v>51</v>
      </c>
      <c r="Y1870" s="89"/>
    </row>
    <row r="1871" ht="22.5" customHeight="1">
      <c r="A1871" s="223"/>
      <c r="B1871" s="125"/>
      <c r="C1871" s="125"/>
      <c r="D1871" s="125"/>
      <c r="E1871" s="125"/>
      <c r="F1871" s="125"/>
      <c r="G1871" s="125"/>
      <c r="H1871" s="125"/>
      <c r="I1871" s="627" t="s">
        <v>51</v>
      </c>
      <c r="J1871" s="125" t="s">
        <v>51</v>
      </c>
      <c r="K1871" s="125" t="s">
        <v>51</v>
      </c>
      <c r="L1871" s="125" t="s">
        <v>51</v>
      </c>
      <c r="M1871" s="125" t="str">
        <f t="shared" si="1"/>
        <v/>
      </c>
      <c r="N1871" s="125" t="str">
        <f t="shared" si="2"/>
        <v/>
      </c>
      <c r="O1871" s="125"/>
      <c r="P1871" s="125"/>
      <c r="Q1871" s="125"/>
      <c r="R1871" s="125"/>
      <c r="S1871" s="628">
        <f t="shared" si="3"/>
        <v>0</v>
      </c>
      <c r="T1871" s="627" t="s">
        <v>51</v>
      </c>
      <c r="U1871" s="627" t="s">
        <v>51</v>
      </c>
      <c r="V1871" s="627" t="s">
        <v>51</v>
      </c>
      <c r="W1871" s="627" t="s">
        <v>51</v>
      </c>
      <c r="X1871" s="627" t="s">
        <v>51</v>
      </c>
      <c r="Y1871" s="89"/>
    </row>
    <row r="1872" ht="22.5" customHeight="1">
      <c r="A1872" s="223"/>
      <c r="B1872" s="125"/>
      <c r="C1872" s="125"/>
      <c r="D1872" s="125"/>
      <c r="E1872" s="125"/>
      <c r="F1872" s="125"/>
      <c r="G1872" s="125"/>
      <c r="H1872" s="125"/>
      <c r="I1872" s="627" t="s">
        <v>51</v>
      </c>
      <c r="J1872" s="125" t="s">
        <v>51</v>
      </c>
      <c r="K1872" s="125" t="s">
        <v>51</v>
      </c>
      <c r="L1872" s="125" t="s">
        <v>51</v>
      </c>
      <c r="M1872" s="125" t="str">
        <f t="shared" si="1"/>
        <v/>
      </c>
      <c r="N1872" s="125" t="str">
        <f t="shared" si="2"/>
        <v/>
      </c>
      <c r="O1872" s="125"/>
      <c r="P1872" s="125"/>
      <c r="Q1872" s="125"/>
      <c r="R1872" s="125"/>
      <c r="S1872" s="628">
        <f t="shared" si="3"/>
        <v>0</v>
      </c>
      <c r="T1872" s="627" t="s">
        <v>51</v>
      </c>
      <c r="U1872" s="627" t="s">
        <v>51</v>
      </c>
      <c r="V1872" s="627" t="s">
        <v>51</v>
      </c>
      <c r="W1872" s="627" t="s">
        <v>51</v>
      </c>
      <c r="X1872" s="627" t="s">
        <v>51</v>
      </c>
      <c r="Y1872" s="89"/>
    </row>
    <row r="1873" ht="22.5" customHeight="1">
      <c r="A1873" s="223"/>
      <c r="B1873" s="125"/>
      <c r="C1873" s="125"/>
      <c r="D1873" s="125"/>
      <c r="E1873" s="125"/>
      <c r="F1873" s="125"/>
      <c r="G1873" s="125"/>
      <c r="H1873" s="125"/>
      <c r="I1873" s="627" t="s">
        <v>51</v>
      </c>
      <c r="J1873" s="125" t="s">
        <v>51</v>
      </c>
      <c r="K1873" s="125" t="s">
        <v>51</v>
      </c>
      <c r="L1873" s="125" t="s">
        <v>51</v>
      </c>
      <c r="M1873" s="125" t="str">
        <f t="shared" si="1"/>
        <v/>
      </c>
      <c r="N1873" s="125" t="str">
        <f t="shared" si="2"/>
        <v/>
      </c>
      <c r="O1873" s="125"/>
      <c r="P1873" s="125"/>
      <c r="Q1873" s="125"/>
      <c r="R1873" s="125"/>
      <c r="S1873" s="628">
        <f t="shared" si="3"/>
        <v>0</v>
      </c>
      <c r="T1873" s="627" t="s">
        <v>51</v>
      </c>
      <c r="U1873" s="627" t="s">
        <v>51</v>
      </c>
      <c r="V1873" s="627" t="s">
        <v>51</v>
      </c>
      <c r="W1873" s="627" t="s">
        <v>51</v>
      </c>
      <c r="X1873" s="627" t="s">
        <v>51</v>
      </c>
      <c r="Y1873" s="89"/>
    </row>
    <row r="1874" ht="22.5" customHeight="1">
      <c r="A1874" s="223"/>
      <c r="B1874" s="125"/>
      <c r="C1874" s="125"/>
      <c r="D1874" s="125"/>
      <c r="E1874" s="125"/>
      <c r="F1874" s="125"/>
      <c r="G1874" s="125"/>
      <c r="H1874" s="125"/>
      <c r="I1874" s="627" t="s">
        <v>51</v>
      </c>
      <c r="J1874" s="125" t="s">
        <v>51</v>
      </c>
      <c r="K1874" s="125" t="s">
        <v>51</v>
      </c>
      <c r="L1874" s="125" t="s">
        <v>51</v>
      </c>
      <c r="M1874" s="125" t="str">
        <f t="shared" si="1"/>
        <v/>
      </c>
      <c r="N1874" s="125" t="str">
        <f t="shared" si="2"/>
        <v/>
      </c>
      <c r="O1874" s="125"/>
      <c r="P1874" s="125"/>
      <c r="Q1874" s="125"/>
      <c r="R1874" s="125"/>
      <c r="S1874" s="628">
        <f t="shared" si="3"/>
        <v>0</v>
      </c>
      <c r="T1874" s="627" t="s">
        <v>51</v>
      </c>
      <c r="U1874" s="627" t="s">
        <v>51</v>
      </c>
      <c r="V1874" s="627" t="s">
        <v>51</v>
      </c>
      <c r="W1874" s="627" t="s">
        <v>51</v>
      </c>
      <c r="X1874" s="627" t="s">
        <v>51</v>
      </c>
      <c r="Y1874" s="89"/>
    </row>
    <row r="1875" ht="22.5" customHeight="1">
      <c r="A1875" s="223"/>
      <c r="B1875" s="125"/>
      <c r="C1875" s="125"/>
      <c r="D1875" s="125"/>
      <c r="E1875" s="125"/>
      <c r="F1875" s="125"/>
      <c r="G1875" s="125"/>
      <c r="H1875" s="125"/>
      <c r="I1875" s="627" t="s">
        <v>51</v>
      </c>
      <c r="J1875" s="125" t="s">
        <v>51</v>
      </c>
      <c r="K1875" s="125" t="s">
        <v>51</v>
      </c>
      <c r="L1875" s="125" t="s">
        <v>51</v>
      </c>
      <c r="M1875" s="125" t="str">
        <f t="shared" si="1"/>
        <v/>
      </c>
      <c r="N1875" s="125" t="str">
        <f t="shared" si="2"/>
        <v/>
      </c>
      <c r="O1875" s="125"/>
      <c r="P1875" s="125"/>
      <c r="Q1875" s="125"/>
      <c r="R1875" s="125"/>
      <c r="S1875" s="628">
        <f t="shared" si="3"/>
        <v>0</v>
      </c>
      <c r="T1875" s="627" t="s">
        <v>51</v>
      </c>
      <c r="U1875" s="627" t="s">
        <v>51</v>
      </c>
      <c r="V1875" s="627" t="s">
        <v>51</v>
      </c>
      <c r="W1875" s="627" t="s">
        <v>51</v>
      </c>
      <c r="X1875" s="627" t="s">
        <v>51</v>
      </c>
      <c r="Y1875" s="89"/>
    </row>
    <row r="1876" ht="22.5" customHeight="1">
      <c r="A1876" s="223"/>
      <c r="B1876" s="125"/>
      <c r="C1876" s="125"/>
      <c r="D1876" s="125"/>
      <c r="E1876" s="125"/>
      <c r="F1876" s="125"/>
      <c r="G1876" s="125"/>
      <c r="H1876" s="125"/>
      <c r="I1876" s="627" t="s">
        <v>51</v>
      </c>
      <c r="J1876" s="125" t="s">
        <v>51</v>
      </c>
      <c r="K1876" s="125" t="s">
        <v>51</v>
      </c>
      <c r="L1876" s="125" t="s">
        <v>51</v>
      </c>
      <c r="M1876" s="125" t="str">
        <f t="shared" si="1"/>
        <v/>
      </c>
      <c r="N1876" s="125" t="str">
        <f t="shared" si="2"/>
        <v/>
      </c>
      <c r="O1876" s="125"/>
      <c r="P1876" s="125"/>
      <c r="Q1876" s="125"/>
      <c r="R1876" s="125"/>
      <c r="S1876" s="628">
        <f t="shared" si="3"/>
        <v>0</v>
      </c>
      <c r="T1876" s="627" t="s">
        <v>51</v>
      </c>
      <c r="U1876" s="627" t="s">
        <v>51</v>
      </c>
      <c r="V1876" s="627" t="s">
        <v>51</v>
      </c>
      <c r="W1876" s="627" t="s">
        <v>51</v>
      </c>
      <c r="X1876" s="627" t="s">
        <v>51</v>
      </c>
      <c r="Y1876" s="89"/>
    </row>
    <row r="1877" ht="22.5" customHeight="1">
      <c r="A1877" s="223"/>
      <c r="B1877" s="125"/>
      <c r="C1877" s="125"/>
      <c r="D1877" s="125"/>
      <c r="E1877" s="125"/>
      <c r="F1877" s="125"/>
      <c r="G1877" s="125"/>
      <c r="H1877" s="125"/>
      <c r="I1877" s="627" t="s">
        <v>51</v>
      </c>
      <c r="J1877" s="125" t="s">
        <v>51</v>
      </c>
      <c r="K1877" s="125" t="s">
        <v>51</v>
      </c>
      <c r="L1877" s="125" t="s">
        <v>51</v>
      </c>
      <c r="M1877" s="125" t="str">
        <f t="shared" si="1"/>
        <v/>
      </c>
      <c r="N1877" s="125" t="str">
        <f t="shared" si="2"/>
        <v/>
      </c>
      <c r="O1877" s="125"/>
      <c r="P1877" s="125"/>
      <c r="Q1877" s="125"/>
      <c r="R1877" s="125"/>
      <c r="S1877" s="628">
        <f t="shared" si="3"/>
        <v>0</v>
      </c>
      <c r="T1877" s="627" t="s">
        <v>51</v>
      </c>
      <c r="U1877" s="627" t="s">
        <v>51</v>
      </c>
      <c r="V1877" s="627" t="s">
        <v>51</v>
      </c>
      <c r="W1877" s="627" t="s">
        <v>51</v>
      </c>
      <c r="X1877" s="627" t="s">
        <v>51</v>
      </c>
      <c r="Y1877" s="89"/>
    </row>
    <row r="1878" ht="22.5" customHeight="1">
      <c r="A1878" s="223"/>
      <c r="B1878" s="125"/>
      <c r="C1878" s="125"/>
      <c r="D1878" s="125"/>
      <c r="E1878" s="125"/>
      <c r="F1878" s="125"/>
      <c r="G1878" s="125"/>
      <c r="H1878" s="125"/>
      <c r="I1878" s="627" t="s">
        <v>51</v>
      </c>
      <c r="J1878" s="125" t="s">
        <v>51</v>
      </c>
      <c r="K1878" s="125" t="s">
        <v>51</v>
      </c>
      <c r="L1878" s="125" t="s">
        <v>51</v>
      </c>
      <c r="M1878" s="125" t="str">
        <f t="shared" si="1"/>
        <v/>
      </c>
      <c r="N1878" s="125" t="str">
        <f t="shared" si="2"/>
        <v/>
      </c>
      <c r="O1878" s="125"/>
      <c r="P1878" s="125"/>
      <c r="Q1878" s="125"/>
      <c r="R1878" s="125"/>
      <c r="S1878" s="628">
        <f t="shared" si="3"/>
        <v>0</v>
      </c>
      <c r="T1878" s="627" t="s">
        <v>51</v>
      </c>
      <c r="U1878" s="627" t="s">
        <v>51</v>
      </c>
      <c r="V1878" s="627" t="s">
        <v>51</v>
      </c>
      <c r="W1878" s="627" t="s">
        <v>51</v>
      </c>
      <c r="X1878" s="627" t="s">
        <v>51</v>
      </c>
      <c r="Y1878" s="89"/>
    </row>
    <row r="1879" ht="22.5" customHeight="1">
      <c r="A1879" s="223"/>
      <c r="B1879" s="125"/>
      <c r="C1879" s="125"/>
      <c r="D1879" s="125"/>
      <c r="E1879" s="125"/>
      <c r="F1879" s="125"/>
      <c r="G1879" s="125"/>
      <c r="H1879" s="125"/>
      <c r="I1879" s="627" t="s">
        <v>51</v>
      </c>
      <c r="J1879" s="125" t="s">
        <v>51</v>
      </c>
      <c r="K1879" s="125" t="s">
        <v>51</v>
      </c>
      <c r="L1879" s="125" t="s">
        <v>51</v>
      </c>
      <c r="M1879" s="125" t="str">
        <f t="shared" si="1"/>
        <v/>
      </c>
      <c r="N1879" s="125" t="str">
        <f t="shared" si="2"/>
        <v/>
      </c>
      <c r="O1879" s="125"/>
      <c r="P1879" s="125"/>
      <c r="Q1879" s="125"/>
      <c r="R1879" s="125"/>
      <c r="S1879" s="628">
        <f t="shared" si="3"/>
        <v>0</v>
      </c>
      <c r="T1879" s="627" t="s">
        <v>51</v>
      </c>
      <c r="U1879" s="627" t="s">
        <v>51</v>
      </c>
      <c r="V1879" s="627" t="s">
        <v>51</v>
      </c>
      <c r="W1879" s="627" t="s">
        <v>51</v>
      </c>
      <c r="X1879" s="627" t="s">
        <v>51</v>
      </c>
      <c r="Y1879" s="89"/>
    </row>
    <row r="1880" ht="22.5" customHeight="1">
      <c r="A1880" s="223"/>
      <c r="B1880" s="125"/>
      <c r="C1880" s="125"/>
      <c r="D1880" s="125"/>
      <c r="E1880" s="125"/>
      <c r="F1880" s="125"/>
      <c r="G1880" s="125"/>
      <c r="H1880" s="125"/>
      <c r="I1880" s="627" t="s">
        <v>51</v>
      </c>
      <c r="J1880" s="125" t="s">
        <v>51</v>
      </c>
      <c r="K1880" s="125" t="s">
        <v>51</v>
      </c>
      <c r="L1880" s="125" t="s">
        <v>51</v>
      </c>
      <c r="M1880" s="125" t="str">
        <f t="shared" si="1"/>
        <v/>
      </c>
      <c r="N1880" s="125" t="str">
        <f t="shared" si="2"/>
        <v/>
      </c>
      <c r="O1880" s="125"/>
      <c r="P1880" s="125"/>
      <c r="Q1880" s="125"/>
      <c r="R1880" s="125"/>
      <c r="S1880" s="628">
        <f t="shared" si="3"/>
        <v>0</v>
      </c>
      <c r="T1880" s="627" t="s">
        <v>51</v>
      </c>
      <c r="U1880" s="627" t="s">
        <v>51</v>
      </c>
      <c r="V1880" s="627" t="s">
        <v>51</v>
      </c>
      <c r="W1880" s="627" t="s">
        <v>51</v>
      </c>
      <c r="X1880" s="627" t="s">
        <v>51</v>
      </c>
      <c r="Y1880" s="89"/>
    </row>
    <row r="1881" ht="22.5" customHeight="1">
      <c r="A1881" s="223"/>
      <c r="B1881" s="125"/>
      <c r="C1881" s="125"/>
      <c r="D1881" s="125"/>
      <c r="E1881" s="125"/>
      <c r="F1881" s="125"/>
      <c r="G1881" s="125"/>
      <c r="H1881" s="125"/>
      <c r="I1881" s="627" t="s">
        <v>51</v>
      </c>
      <c r="J1881" s="125" t="s">
        <v>51</v>
      </c>
      <c r="K1881" s="125" t="s">
        <v>51</v>
      </c>
      <c r="L1881" s="125" t="s">
        <v>51</v>
      </c>
      <c r="M1881" s="125" t="str">
        <f t="shared" si="1"/>
        <v/>
      </c>
      <c r="N1881" s="125" t="str">
        <f t="shared" si="2"/>
        <v/>
      </c>
      <c r="O1881" s="125"/>
      <c r="P1881" s="125"/>
      <c r="Q1881" s="125"/>
      <c r="R1881" s="125"/>
      <c r="S1881" s="628">
        <f t="shared" si="3"/>
        <v>0</v>
      </c>
      <c r="T1881" s="627" t="s">
        <v>51</v>
      </c>
      <c r="U1881" s="627" t="s">
        <v>51</v>
      </c>
      <c r="V1881" s="627" t="s">
        <v>51</v>
      </c>
      <c r="W1881" s="627" t="s">
        <v>51</v>
      </c>
      <c r="X1881" s="627" t="s">
        <v>51</v>
      </c>
      <c r="Y1881" s="89"/>
    </row>
    <row r="1882" ht="22.5" customHeight="1">
      <c r="A1882" s="223"/>
      <c r="B1882" s="125"/>
      <c r="C1882" s="125"/>
      <c r="D1882" s="125"/>
      <c r="E1882" s="125"/>
      <c r="F1882" s="125"/>
      <c r="G1882" s="125"/>
      <c r="H1882" s="125"/>
      <c r="I1882" s="627" t="s">
        <v>51</v>
      </c>
      <c r="J1882" s="125" t="s">
        <v>51</v>
      </c>
      <c r="K1882" s="125" t="s">
        <v>51</v>
      </c>
      <c r="L1882" s="125" t="s">
        <v>51</v>
      </c>
      <c r="M1882" s="125" t="str">
        <f t="shared" si="1"/>
        <v/>
      </c>
      <c r="N1882" s="125" t="str">
        <f t="shared" si="2"/>
        <v/>
      </c>
      <c r="O1882" s="125"/>
      <c r="P1882" s="125"/>
      <c r="Q1882" s="125"/>
      <c r="R1882" s="125"/>
      <c r="S1882" s="628">
        <f t="shared" si="3"/>
        <v>0</v>
      </c>
      <c r="T1882" s="627" t="s">
        <v>51</v>
      </c>
      <c r="U1882" s="627" t="s">
        <v>51</v>
      </c>
      <c r="V1882" s="627" t="s">
        <v>51</v>
      </c>
      <c r="W1882" s="627" t="s">
        <v>51</v>
      </c>
      <c r="X1882" s="627" t="s">
        <v>51</v>
      </c>
      <c r="Y1882" s="89"/>
    </row>
    <row r="1883" ht="22.5" customHeight="1">
      <c r="A1883" s="223"/>
      <c r="B1883" s="125"/>
      <c r="C1883" s="125"/>
      <c r="D1883" s="125"/>
      <c r="E1883" s="125"/>
      <c r="F1883" s="125"/>
      <c r="G1883" s="125"/>
      <c r="H1883" s="125"/>
      <c r="I1883" s="627" t="s">
        <v>51</v>
      </c>
      <c r="J1883" s="125" t="s">
        <v>51</v>
      </c>
      <c r="K1883" s="125" t="s">
        <v>51</v>
      </c>
      <c r="L1883" s="125" t="s">
        <v>51</v>
      </c>
      <c r="M1883" s="125" t="str">
        <f t="shared" si="1"/>
        <v/>
      </c>
      <c r="N1883" s="125" t="str">
        <f t="shared" si="2"/>
        <v/>
      </c>
      <c r="O1883" s="125"/>
      <c r="P1883" s="125"/>
      <c r="Q1883" s="125"/>
      <c r="R1883" s="125"/>
      <c r="S1883" s="628">
        <f t="shared" si="3"/>
        <v>0</v>
      </c>
      <c r="T1883" s="627" t="s">
        <v>51</v>
      </c>
      <c r="U1883" s="627" t="s">
        <v>51</v>
      </c>
      <c r="V1883" s="627" t="s">
        <v>51</v>
      </c>
      <c r="W1883" s="627" t="s">
        <v>51</v>
      </c>
      <c r="X1883" s="627" t="s">
        <v>51</v>
      </c>
      <c r="Y1883" s="89"/>
    </row>
    <row r="1884" ht="22.5" customHeight="1">
      <c r="A1884" s="223"/>
      <c r="B1884" s="125"/>
      <c r="C1884" s="125"/>
      <c r="D1884" s="125"/>
      <c r="E1884" s="125"/>
      <c r="F1884" s="125"/>
      <c r="G1884" s="125"/>
      <c r="H1884" s="125"/>
      <c r="I1884" s="627" t="s">
        <v>51</v>
      </c>
      <c r="J1884" s="125" t="s">
        <v>51</v>
      </c>
      <c r="K1884" s="125" t="s">
        <v>51</v>
      </c>
      <c r="L1884" s="125" t="s">
        <v>51</v>
      </c>
      <c r="M1884" s="125" t="str">
        <f t="shared" si="1"/>
        <v/>
      </c>
      <c r="N1884" s="125" t="str">
        <f t="shared" si="2"/>
        <v/>
      </c>
      <c r="O1884" s="125"/>
      <c r="P1884" s="125"/>
      <c r="Q1884" s="125"/>
      <c r="R1884" s="125"/>
      <c r="S1884" s="628">
        <f t="shared" si="3"/>
        <v>0</v>
      </c>
      <c r="T1884" s="627" t="s">
        <v>51</v>
      </c>
      <c r="U1884" s="627" t="s">
        <v>51</v>
      </c>
      <c r="V1884" s="627" t="s">
        <v>51</v>
      </c>
      <c r="W1884" s="627" t="s">
        <v>51</v>
      </c>
      <c r="X1884" s="627" t="s">
        <v>51</v>
      </c>
      <c r="Y1884" s="89"/>
    </row>
    <row r="1885" ht="22.5" customHeight="1">
      <c r="A1885" s="223"/>
      <c r="B1885" s="125"/>
      <c r="C1885" s="125"/>
      <c r="D1885" s="125"/>
      <c r="E1885" s="125"/>
      <c r="F1885" s="125"/>
      <c r="G1885" s="125"/>
      <c r="H1885" s="125"/>
      <c r="I1885" s="627" t="s">
        <v>51</v>
      </c>
      <c r="J1885" s="125" t="s">
        <v>51</v>
      </c>
      <c r="K1885" s="125" t="s">
        <v>51</v>
      </c>
      <c r="L1885" s="125" t="s">
        <v>51</v>
      </c>
      <c r="M1885" s="125" t="str">
        <f t="shared" si="1"/>
        <v/>
      </c>
      <c r="N1885" s="125" t="str">
        <f t="shared" si="2"/>
        <v/>
      </c>
      <c r="O1885" s="125"/>
      <c r="P1885" s="125"/>
      <c r="Q1885" s="125"/>
      <c r="R1885" s="125"/>
      <c r="S1885" s="628">
        <f t="shared" si="3"/>
        <v>0</v>
      </c>
      <c r="T1885" s="627" t="s">
        <v>51</v>
      </c>
      <c r="U1885" s="627" t="s">
        <v>51</v>
      </c>
      <c r="V1885" s="627" t="s">
        <v>51</v>
      </c>
      <c r="W1885" s="627" t="s">
        <v>51</v>
      </c>
      <c r="X1885" s="627" t="s">
        <v>51</v>
      </c>
      <c r="Y1885" s="89"/>
    </row>
    <row r="1886" ht="22.5" customHeight="1">
      <c r="A1886" s="223"/>
      <c r="B1886" s="125"/>
      <c r="C1886" s="125"/>
      <c r="D1886" s="125"/>
      <c r="E1886" s="125"/>
      <c r="F1886" s="125"/>
      <c r="G1886" s="125"/>
      <c r="H1886" s="125"/>
      <c r="I1886" s="627" t="s">
        <v>51</v>
      </c>
      <c r="J1886" s="125" t="s">
        <v>51</v>
      </c>
      <c r="K1886" s="125" t="s">
        <v>51</v>
      </c>
      <c r="L1886" s="125" t="s">
        <v>51</v>
      </c>
      <c r="M1886" s="125" t="str">
        <f t="shared" si="1"/>
        <v/>
      </c>
      <c r="N1886" s="125" t="str">
        <f t="shared" si="2"/>
        <v/>
      </c>
      <c r="O1886" s="125"/>
      <c r="P1886" s="125"/>
      <c r="Q1886" s="125"/>
      <c r="R1886" s="125"/>
      <c r="S1886" s="628">
        <f t="shared" si="3"/>
        <v>0</v>
      </c>
      <c r="T1886" s="627" t="s">
        <v>51</v>
      </c>
      <c r="U1886" s="627" t="s">
        <v>51</v>
      </c>
      <c r="V1886" s="627" t="s">
        <v>51</v>
      </c>
      <c r="W1886" s="627" t="s">
        <v>51</v>
      </c>
      <c r="X1886" s="627" t="s">
        <v>51</v>
      </c>
      <c r="Y1886" s="89"/>
    </row>
    <row r="1887" ht="22.5" customHeight="1">
      <c r="A1887" s="223"/>
      <c r="B1887" s="125"/>
      <c r="C1887" s="125"/>
      <c r="D1887" s="125"/>
      <c r="E1887" s="125"/>
      <c r="F1887" s="125"/>
      <c r="G1887" s="125"/>
      <c r="H1887" s="125"/>
      <c r="I1887" s="627" t="s">
        <v>51</v>
      </c>
      <c r="J1887" s="125" t="s">
        <v>51</v>
      </c>
      <c r="K1887" s="125" t="s">
        <v>51</v>
      </c>
      <c r="L1887" s="125" t="s">
        <v>51</v>
      </c>
      <c r="M1887" s="125" t="str">
        <f t="shared" si="1"/>
        <v/>
      </c>
      <c r="N1887" s="125" t="str">
        <f t="shared" si="2"/>
        <v/>
      </c>
      <c r="O1887" s="125"/>
      <c r="P1887" s="125"/>
      <c r="Q1887" s="125"/>
      <c r="R1887" s="125"/>
      <c r="S1887" s="628">
        <f t="shared" si="3"/>
        <v>0</v>
      </c>
      <c r="T1887" s="627" t="s">
        <v>51</v>
      </c>
      <c r="U1887" s="627" t="s">
        <v>51</v>
      </c>
      <c r="V1887" s="627" t="s">
        <v>51</v>
      </c>
      <c r="W1887" s="627" t="s">
        <v>51</v>
      </c>
      <c r="X1887" s="627" t="s">
        <v>51</v>
      </c>
      <c r="Y1887" s="89"/>
    </row>
    <row r="1888" ht="22.5" customHeight="1">
      <c r="A1888" s="223"/>
      <c r="B1888" s="125"/>
      <c r="C1888" s="125"/>
      <c r="D1888" s="125"/>
      <c r="E1888" s="125"/>
      <c r="F1888" s="125"/>
      <c r="G1888" s="125"/>
      <c r="H1888" s="125"/>
      <c r="I1888" s="627" t="s">
        <v>51</v>
      </c>
      <c r="J1888" s="125" t="s">
        <v>51</v>
      </c>
      <c r="K1888" s="125" t="s">
        <v>51</v>
      </c>
      <c r="L1888" s="125" t="s">
        <v>51</v>
      </c>
      <c r="M1888" s="125" t="str">
        <f t="shared" si="1"/>
        <v/>
      </c>
      <c r="N1888" s="125" t="str">
        <f t="shared" si="2"/>
        <v/>
      </c>
      <c r="O1888" s="125"/>
      <c r="P1888" s="125"/>
      <c r="Q1888" s="125"/>
      <c r="R1888" s="125"/>
      <c r="S1888" s="628">
        <f t="shared" si="3"/>
        <v>0</v>
      </c>
      <c r="T1888" s="627" t="s">
        <v>51</v>
      </c>
      <c r="U1888" s="627" t="s">
        <v>51</v>
      </c>
      <c r="V1888" s="627" t="s">
        <v>51</v>
      </c>
      <c r="W1888" s="627" t="s">
        <v>51</v>
      </c>
      <c r="X1888" s="627" t="s">
        <v>51</v>
      </c>
      <c r="Y1888" s="89"/>
    </row>
    <row r="1889" ht="22.5" customHeight="1">
      <c r="A1889" s="223"/>
      <c r="B1889" s="125"/>
      <c r="C1889" s="125"/>
      <c r="D1889" s="125"/>
      <c r="E1889" s="125"/>
      <c r="F1889" s="125"/>
      <c r="G1889" s="125"/>
      <c r="H1889" s="125"/>
      <c r="I1889" s="627" t="s">
        <v>51</v>
      </c>
      <c r="J1889" s="125" t="s">
        <v>51</v>
      </c>
      <c r="K1889" s="125" t="s">
        <v>51</v>
      </c>
      <c r="L1889" s="125" t="s">
        <v>51</v>
      </c>
      <c r="M1889" s="125" t="str">
        <f t="shared" si="1"/>
        <v/>
      </c>
      <c r="N1889" s="125" t="str">
        <f t="shared" si="2"/>
        <v/>
      </c>
      <c r="O1889" s="125"/>
      <c r="P1889" s="125"/>
      <c r="Q1889" s="125"/>
      <c r="R1889" s="125"/>
      <c r="S1889" s="628">
        <f t="shared" si="3"/>
        <v>0</v>
      </c>
      <c r="T1889" s="627" t="s">
        <v>51</v>
      </c>
      <c r="U1889" s="627" t="s">
        <v>51</v>
      </c>
      <c r="V1889" s="627" t="s">
        <v>51</v>
      </c>
      <c r="W1889" s="627" t="s">
        <v>51</v>
      </c>
      <c r="X1889" s="627" t="s">
        <v>51</v>
      </c>
      <c r="Y1889" s="89"/>
    </row>
    <row r="1890" ht="22.5" customHeight="1">
      <c r="A1890" s="223"/>
      <c r="B1890" s="125"/>
      <c r="C1890" s="125"/>
      <c r="D1890" s="125"/>
      <c r="E1890" s="125"/>
      <c r="F1890" s="125"/>
      <c r="G1890" s="125"/>
      <c r="H1890" s="125"/>
      <c r="I1890" s="627" t="s">
        <v>51</v>
      </c>
      <c r="J1890" s="125" t="s">
        <v>51</v>
      </c>
      <c r="K1890" s="125" t="s">
        <v>51</v>
      </c>
      <c r="L1890" s="125" t="s">
        <v>51</v>
      </c>
      <c r="M1890" s="125" t="str">
        <f t="shared" si="1"/>
        <v/>
      </c>
      <c r="N1890" s="125" t="str">
        <f t="shared" si="2"/>
        <v/>
      </c>
      <c r="O1890" s="125"/>
      <c r="P1890" s="125"/>
      <c r="Q1890" s="125"/>
      <c r="R1890" s="125"/>
      <c r="S1890" s="628">
        <f t="shared" si="3"/>
        <v>0</v>
      </c>
      <c r="T1890" s="627" t="s">
        <v>51</v>
      </c>
      <c r="U1890" s="627" t="s">
        <v>51</v>
      </c>
      <c r="V1890" s="627" t="s">
        <v>51</v>
      </c>
      <c r="W1890" s="627" t="s">
        <v>51</v>
      </c>
      <c r="X1890" s="627" t="s">
        <v>51</v>
      </c>
      <c r="Y1890" s="89"/>
    </row>
    <row r="1891" ht="22.5" customHeight="1">
      <c r="A1891" s="223"/>
      <c r="B1891" s="125"/>
      <c r="C1891" s="125"/>
      <c r="D1891" s="125"/>
      <c r="E1891" s="125"/>
      <c r="F1891" s="125"/>
      <c r="G1891" s="125"/>
      <c r="H1891" s="125"/>
      <c r="I1891" s="627" t="s">
        <v>51</v>
      </c>
      <c r="J1891" s="125" t="s">
        <v>51</v>
      </c>
      <c r="K1891" s="125" t="s">
        <v>51</v>
      </c>
      <c r="L1891" s="125" t="s">
        <v>51</v>
      </c>
      <c r="M1891" s="125" t="str">
        <f t="shared" si="1"/>
        <v/>
      </c>
      <c r="N1891" s="125" t="str">
        <f t="shared" si="2"/>
        <v/>
      </c>
      <c r="O1891" s="125"/>
      <c r="P1891" s="125"/>
      <c r="Q1891" s="125"/>
      <c r="R1891" s="125"/>
      <c r="S1891" s="628">
        <f t="shared" si="3"/>
        <v>0</v>
      </c>
      <c r="T1891" s="627" t="s">
        <v>51</v>
      </c>
      <c r="U1891" s="627" t="s">
        <v>51</v>
      </c>
      <c r="V1891" s="627" t="s">
        <v>51</v>
      </c>
      <c r="W1891" s="627" t="s">
        <v>51</v>
      </c>
      <c r="X1891" s="627" t="s">
        <v>51</v>
      </c>
      <c r="Y1891" s="89"/>
    </row>
    <row r="1892" ht="22.5" customHeight="1">
      <c r="A1892" s="223"/>
      <c r="B1892" s="125"/>
      <c r="C1892" s="125"/>
      <c r="D1892" s="125"/>
      <c r="E1892" s="125"/>
      <c r="F1892" s="125"/>
      <c r="G1892" s="125"/>
      <c r="H1892" s="125"/>
      <c r="I1892" s="627" t="s">
        <v>51</v>
      </c>
      <c r="J1892" s="125" t="s">
        <v>51</v>
      </c>
      <c r="K1892" s="125" t="s">
        <v>51</v>
      </c>
      <c r="L1892" s="125" t="s">
        <v>51</v>
      </c>
      <c r="M1892" s="125" t="str">
        <f t="shared" si="1"/>
        <v/>
      </c>
      <c r="N1892" s="125" t="str">
        <f t="shared" si="2"/>
        <v/>
      </c>
      <c r="O1892" s="125"/>
      <c r="P1892" s="125"/>
      <c r="Q1892" s="125"/>
      <c r="R1892" s="125"/>
      <c r="S1892" s="628">
        <f t="shared" si="3"/>
        <v>0</v>
      </c>
      <c r="T1892" s="627" t="s">
        <v>51</v>
      </c>
      <c r="U1892" s="627" t="s">
        <v>51</v>
      </c>
      <c r="V1892" s="627" t="s">
        <v>51</v>
      </c>
      <c r="W1892" s="627" t="s">
        <v>51</v>
      </c>
      <c r="X1892" s="627" t="s">
        <v>51</v>
      </c>
      <c r="Y1892" s="89"/>
    </row>
    <row r="1893" ht="22.5" customHeight="1">
      <c r="A1893" s="223"/>
      <c r="B1893" s="125"/>
      <c r="C1893" s="125"/>
      <c r="D1893" s="125"/>
      <c r="E1893" s="125"/>
      <c r="F1893" s="125"/>
      <c r="G1893" s="125"/>
      <c r="H1893" s="125"/>
      <c r="I1893" s="627" t="s">
        <v>51</v>
      </c>
      <c r="J1893" s="125" t="s">
        <v>51</v>
      </c>
      <c r="K1893" s="125" t="s">
        <v>51</v>
      </c>
      <c r="L1893" s="125" t="s">
        <v>51</v>
      </c>
      <c r="M1893" s="125" t="str">
        <f t="shared" si="1"/>
        <v/>
      </c>
      <c r="N1893" s="125" t="str">
        <f t="shared" si="2"/>
        <v/>
      </c>
      <c r="O1893" s="125"/>
      <c r="P1893" s="125"/>
      <c r="Q1893" s="125"/>
      <c r="R1893" s="125"/>
      <c r="S1893" s="628">
        <f t="shared" si="3"/>
        <v>0</v>
      </c>
      <c r="T1893" s="627" t="s">
        <v>51</v>
      </c>
      <c r="U1893" s="627" t="s">
        <v>51</v>
      </c>
      <c r="V1893" s="627" t="s">
        <v>51</v>
      </c>
      <c r="W1893" s="627" t="s">
        <v>51</v>
      </c>
      <c r="X1893" s="627" t="s">
        <v>51</v>
      </c>
      <c r="Y1893" s="89"/>
    </row>
    <row r="1894" ht="22.5" customHeight="1">
      <c r="A1894" s="223"/>
      <c r="B1894" s="125"/>
      <c r="C1894" s="125"/>
      <c r="D1894" s="125"/>
      <c r="E1894" s="125"/>
      <c r="F1894" s="125"/>
      <c r="G1894" s="125"/>
      <c r="H1894" s="125"/>
      <c r="I1894" s="627" t="s">
        <v>51</v>
      </c>
      <c r="J1894" s="125" t="s">
        <v>51</v>
      </c>
      <c r="K1894" s="125" t="s">
        <v>51</v>
      </c>
      <c r="L1894" s="125" t="s">
        <v>51</v>
      </c>
      <c r="M1894" s="125" t="str">
        <f t="shared" si="1"/>
        <v/>
      </c>
      <c r="N1894" s="125" t="str">
        <f t="shared" si="2"/>
        <v/>
      </c>
      <c r="O1894" s="125"/>
      <c r="P1894" s="125"/>
      <c r="Q1894" s="125"/>
      <c r="R1894" s="125"/>
      <c r="S1894" s="628">
        <f t="shared" si="3"/>
        <v>0</v>
      </c>
      <c r="T1894" s="627" t="s">
        <v>51</v>
      </c>
      <c r="U1894" s="627" t="s">
        <v>51</v>
      </c>
      <c r="V1894" s="627" t="s">
        <v>51</v>
      </c>
      <c r="W1894" s="627" t="s">
        <v>51</v>
      </c>
      <c r="X1894" s="627" t="s">
        <v>51</v>
      </c>
      <c r="Y1894" s="89"/>
    </row>
    <row r="1895" ht="22.5" customHeight="1">
      <c r="A1895" s="223"/>
      <c r="B1895" s="125"/>
      <c r="C1895" s="125"/>
      <c r="D1895" s="125"/>
      <c r="E1895" s="125"/>
      <c r="F1895" s="125"/>
      <c r="G1895" s="125"/>
      <c r="H1895" s="125"/>
      <c r="I1895" s="627" t="s">
        <v>51</v>
      </c>
      <c r="J1895" s="125" t="s">
        <v>51</v>
      </c>
      <c r="K1895" s="125" t="s">
        <v>51</v>
      </c>
      <c r="L1895" s="125" t="s">
        <v>51</v>
      </c>
      <c r="M1895" s="125" t="str">
        <f t="shared" si="1"/>
        <v/>
      </c>
      <c r="N1895" s="125" t="str">
        <f t="shared" si="2"/>
        <v/>
      </c>
      <c r="O1895" s="125"/>
      <c r="P1895" s="125"/>
      <c r="Q1895" s="125"/>
      <c r="R1895" s="125"/>
      <c r="S1895" s="628">
        <f t="shared" si="3"/>
        <v>0</v>
      </c>
      <c r="T1895" s="627" t="s">
        <v>51</v>
      </c>
      <c r="U1895" s="627" t="s">
        <v>51</v>
      </c>
      <c r="V1895" s="627" t="s">
        <v>51</v>
      </c>
      <c r="W1895" s="627" t="s">
        <v>51</v>
      </c>
      <c r="X1895" s="627" t="s">
        <v>51</v>
      </c>
      <c r="Y1895" s="89"/>
    </row>
    <row r="1896" ht="22.5" customHeight="1">
      <c r="A1896" s="223"/>
      <c r="B1896" s="125"/>
      <c r="C1896" s="125"/>
      <c r="D1896" s="125"/>
      <c r="E1896" s="125"/>
      <c r="F1896" s="125"/>
      <c r="G1896" s="125"/>
      <c r="H1896" s="125"/>
      <c r="I1896" s="627" t="s">
        <v>51</v>
      </c>
      <c r="J1896" s="125" t="s">
        <v>51</v>
      </c>
      <c r="K1896" s="125" t="s">
        <v>51</v>
      </c>
      <c r="L1896" s="125" t="s">
        <v>51</v>
      </c>
      <c r="M1896" s="125" t="str">
        <f t="shared" si="1"/>
        <v/>
      </c>
      <c r="N1896" s="125" t="str">
        <f t="shared" si="2"/>
        <v/>
      </c>
      <c r="O1896" s="125"/>
      <c r="P1896" s="125"/>
      <c r="Q1896" s="125"/>
      <c r="R1896" s="125"/>
      <c r="S1896" s="628">
        <f t="shared" si="3"/>
        <v>0</v>
      </c>
      <c r="T1896" s="627" t="s">
        <v>51</v>
      </c>
      <c r="U1896" s="627" t="s">
        <v>51</v>
      </c>
      <c r="V1896" s="627" t="s">
        <v>51</v>
      </c>
      <c r="W1896" s="627" t="s">
        <v>51</v>
      </c>
      <c r="X1896" s="627" t="s">
        <v>51</v>
      </c>
      <c r="Y1896" s="89"/>
    </row>
    <row r="1897" ht="22.5" customHeight="1">
      <c r="A1897" s="223"/>
      <c r="B1897" s="125"/>
      <c r="C1897" s="125"/>
      <c r="D1897" s="125"/>
      <c r="E1897" s="125"/>
      <c r="F1897" s="125"/>
      <c r="G1897" s="125"/>
      <c r="H1897" s="125"/>
      <c r="I1897" s="627" t="s">
        <v>51</v>
      </c>
      <c r="J1897" s="125" t="s">
        <v>51</v>
      </c>
      <c r="K1897" s="125" t="s">
        <v>51</v>
      </c>
      <c r="L1897" s="125" t="s">
        <v>51</v>
      </c>
      <c r="M1897" s="125" t="str">
        <f t="shared" si="1"/>
        <v/>
      </c>
      <c r="N1897" s="125" t="str">
        <f t="shared" si="2"/>
        <v/>
      </c>
      <c r="O1897" s="125"/>
      <c r="P1897" s="125"/>
      <c r="Q1897" s="125"/>
      <c r="R1897" s="125"/>
      <c r="S1897" s="628">
        <f t="shared" si="3"/>
        <v>0</v>
      </c>
      <c r="T1897" s="627" t="s">
        <v>51</v>
      </c>
      <c r="U1897" s="627" t="s">
        <v>51</v>
      </c>
      <c r="V1897" s="627" t="s">
        <v>51</v>
      </c>
      <c r="W1897" s="627" t="s">
        <v>51</v>
      </c>
      <c r="X1897" s="627" t="s">
        <v>51</v>
      </c>
      <c r="Y1897" s="89"/>
    </row>
    <row r="1898" ht="22.5" customHeight="1">
      <c r="A1898" s="223"/>
      <c r="B1898" s="125"/>
      <c r="C1898" s="125"/>
      <c r="D1898" s="125"/>
      <c r="E1898" s="125"/>
      <c r="F1898" s="125"/>
      <c r="G1898" s="125"/>
      <c r="H1898" s="125"/>
      <c r="I1898" s="627" t="s">
        <v>51</v>
      </c>
      <c r="J1898" s="125" t="s">
        <v>51</v>
      </c>
      <c r="K1898" s="125" t="s">
        <v>51</v>
      </c>
      <c r="L1898" s="125" t="s">
        <v>51</v>
      </c>
      <c r="M1898" s="125" t="str">
        <f t="shared" si="1"/>
        <v/>
      </c>
      <c r="N1898" s="125" t="str">
        <f t="shared" si="2"/>
        <v/>
      </c>
      <c r="O1898" s="125"/>
      <c r="P1898" s="125"/>
      <c r="Q1898" s="125"/>
      <c r="R1898" s="125"/>
      <c r="S1898" s="628">
        <f t="shared" si="3"/>
        <v>0</v>
      </c>
      <c r="T1898" s="627" t="s">
        <v>51</v>
      </c>
      <c r="U1898" s="627" t="s">
        <v>51</v>
      </c>
      <c r="V1898" s="627" t="s">
        <v>51</v>
      </c>
      <c r="W1898" s="627" t="s">
        <v>51</v>
      </c>
      <c r="X1898" s="627" t="s">
        <v>51</v>
      </c>
      <c r="Y1898" s="89"/>
    </row>
    <row r="1899" ht="22.5" customHeight="1">
      <c r="A1899" s="223"/>
      <c r="B1899" s="125"/>
      <c r="C1899" s="125"/>
      <c r="D1899" s="125"/>
      <c r="E1899" s="125"/>
      <c r="F1899" s="125"/>
      <c r="G1899" s="125"/>
      <c r="H1899" s="125"/>
      <c r="I1899" s="627" t="s">
        <v>51</v>
      </c>
      <c r="J1899" s="125" t="s">
        <v>51</v>
      </c>
      <c r="K1899" s="125" t="s">
        <v>51</v>
      </c>
      <c r="L1899" s="125" t="s">
        <v>51</v>
      </c>
      <c r="M1899" s="125" t="str">
        <f t="shared" si="1"/>
        <v/>
      </c>
      <c r="N1899" s="125" t="str">
        <f t="shared" si="2"/>
        <v/>
      </c>
      <c r="O1899" s="125"/>
      <c r="P1899" s="125"/>
      <c r="Q1899" s="125"/>
      <c r="R1899" s="125"/>
      <c r="S1899" s="628">
        <f t="shared" si="3"/>
        <v>0</v>
      </c>
      <c r="T1899" s="627" t="s">
        <v>51</v>
      </c>
      <c r="U1899" s="627" t="s">
        <v>51</v>
      </c>
      <c r="V1899" s="627" t="s">
        <v>51</v>
      </c>
      <c r="W1899" s="627" t="s">
        <v>51</v>
      </c>
      <c r="X1899" s="627" t="s">
        <v>51</v>
      </c>
      <c r="Y1899" s="89"/>
    </row>
    <row r="1900" ht="22.5" customHeight="1">
      <c r="A1900" s="223"/>
      <c r="B1900" s="125"/>
      <c r="C1900" s="125"/>
      <c r="D1900" s="125"/>
      <c r="E1900" s="125"/>
      <c r="F1900" s="125"/>
      <c r="G1900" s="125"/>
      <c r="H1900" s="125"/>
      <c r="I1900" s="627" t="s">
        <v>51</v>
      </c>
      <c r="J1900" s="125" t="s">
        <v>51</v>
      </c>
      <c r="K1900" s="125" t="s">
        <v>51</v>
      </c>
      <c r="L1900" s="125" t="s">
        <v>51</v>
      </c>
      <c r="M1900" s="125" t="str">
        <f t="shared" si="1"/>
        <v/>
      </c>
      <c r="N1900" s="125" t="str">
        <f t="shared" si="2"/>
        <v/>
      </c>
      <c r="O1900" s="125"/>
      <c r="P1900" s="125"/>
      <c r="Q1900" s="125"/>
      <c r="R1900" s="125"/>
      <c r="S1900" s="628">
        <f t="shared" si="3"/>
        <v>0</v>
      </c>
      <c r="T1900" s="627" t="s">
        <v>51</v>
      </c>
      <c r="U1900" s="627" t="s">
        <v>51</v>
      </c>
      <c r="V1900" s="627" t="s">
        <v>51</v>
      </c>
      <c r="W1900" s="627" t="s">
        <v>51</v>
      </c>
      <c r="X1900" s="627" t="s">
        <v>51</v>
      </c>
      <c r="Y1900" s="89"/>
    </row>
    <row r="1901" ht="22.5" customHeight="1">
      <c r="A1901" s="223"/>
      <c r="B1901" s="125"/>
      <c r="C1901" s="125"/>
      <c r="D1901" s="125"/>
      <c r="E1901" s="125"/>
      <c r="F1901" s="125"/>
      <c r="G1901" s="125"/>
      <c r="H1901" s="125"/>
      <c r="I1901" s="627" t="s">
        <v>51</v>
      </c>
      <c r="J1901" s="125" t="s">
        <v>51</v>
      </c>
      <c r="K1901" s="125" t="s">
        <v>51</v>
      </c>
      <c r="L1901" s="125" t="s">
        <v>51</v>
      </c>
      <c r="M1901" s="125" t="str">
        <f t="shared" si="1"/>
        <v/>
      </c>
      <c r="N1901" s="125" t="str">
        <f t="shared" si="2"/>
        <v/>
      </c>
      <c r="O1901" s="125"/>
      <c r="P1901" s="125"/>
      <c r="Q1901" s="125"/>
      <c r="R1901" s="125"/>
      <c r="S1901" s="628">
        <f t="shared" si="3"/>
        <v>0</v>
      </c>
      <c r="T1901" s="627" t="s">
        <v>51</v>
      </c>
      <c r="U1901" s="627" t="s">
        <v>51</v>
      </c>
      <c r="V1901" s="627" t="s">
        <v>51</v>
      </c>
      <c r="W1901" s="627" t="s">
        <v>51</v>
      </c>
      <c r="X1901" s="627" t="s">
        <v>51</v>
      </c>
      <c r="Y1901" s="89"/>
    </row>
    <row r="1902" ht="22.5" customHeight="1">
      <c r="A1902" s="223"/>
      <c r="B1902" s="125"/>
      <c r="C1902" s="125"/>
      <c r="D1902" s="125"/>
      <c r="E1902" s="125"/>
      <c r="F1902" s="125"/>
      <c r="G1902" s="125"/>
      <c r="H1902" s="125"/>
      <c r="I1902" s="627" t="s">
        <v>51</v>
      </c>
      <c r="J1902" s="125" t="s">
        <v>51</v>
      </c>
      <c r="K1902" s="125" t="s">
        <v>51</v>
      </c>
      <c r="L1902" s="125" t="s">
        <v>51</v>
      </c>
      <c r="M1902" s="125" t="str">
        <f t="shared" si="1"/>
        <v/>
      </c>
      <c r="N1902" s="125" t="str">
        <f t="shared" si="2"/>
        <v/>
      </c>
      <c r="O1902" s="125"/>
      <c r="P1902" s="125"/>
      <c r="Q1902" s="125"/>
      <c r="R1902" s="125"/>
      <c r="S1902" s="628">
        <f t="shared" si="3"/>
        <v>0</v>
      </c>
      <c r="T1902" s="627" t="s">
        <v>51</v>
      </c>
      <c r="U1902" s="627" t="s">
        <v>51</v>
      </c>
      <c r="V1902" s="627" t="s">
        <v>51</v>
      </c>
      <c r="W1902" s="627" t="s">
        <v>51</v>
      </c>
      <c r="X1902" s="627" t="s">
        <v>51</v>
      </c>
      <c r="Y1902" s="89"/>
    </row>
    <row r="1903" ht="22.5" customHeight="1">
      <c r="A1903" s="223"/>
      <c r="B1903" s="125"/>
      <c r="C1903" s="125"/>
      <c r="D1903" s="125"/>
      <c r="E1903" s="125"/>
      <c r="F1903" s="125"/>
      <c r="G1903" s="125"/>
      <c r="H1903" s="125"/>
      <c r="I1903" s="627" t="s">
        <v>51</v>
      </c>
      <c r="J1903" s="125" t="s">
        <v>51</v>
      </c>
      <c r="K1903" s="125" t="s">
        <v>51</v>
      </c>
      <c r="L1903" s="125" t="s">
        <v>51</v>
      </c>
      <c r="M1903" s="125" t="str">
        <f t="shared" si="1"/>
        <v/>
      </c>
      <c r="N1903" s="125" t="str">
        <f t="shared" si="2"/>
        <v/>
      </c>
      <c r="O1903" s="125"/>
      <c r="P1903" s="125"/>
      <c r="Q1903" s="125"/>
      <c r="R1903" s="125"/>
      <c r="S1903" s="628">
        <f t="shared" si="3"/>
        <v>0</v>
      </c>
      <c r="T1903" s="627" t="s">
        <v>51</v>
      </c>
      <c r="U1903" s="627" t="s">
        <v>51</v>
      </c>
      <c r="V1903" s="627" t="s">
        <v>51</v>
      </c>
      <c r="W1903" s="627" t="s">
        <v>51</v>
      </c>
      <c r="X1903" s="627" t="s">
        <v>51</v>
      </c>
      <c r="Y1903" s="89"/>
    </row>
    <row r="1904" ht="22.5" customHeight="1">
      <c r="A1904" s="223"/>
      <c r="B1904" s="125"/>
      <c r="C1904" s="125"/>
      <c r="D1904" s="125"/>
      <c r="E1904" s="125"/>
      <c r="F1904" s="125"/>
      <c r="G1904" s="125"/>
      <c r="H1904" s="125"/>
      <c r="I1904" s="627" t="s">
        <v>51</v>
      </c>
      <c r="J1904" s="125" t="s">
        <v>51</v>
      </c>
      <c r="K1904" s="125" t="s">
        <v>51</v>
      </c>
      <c r="L1904" s="125" t="s">
        <v>51</v>
      </c>
      <c r="M1904" s="125" t="str">
        <f t="shared" si="1"/>
        <v/>
      </c>
      <c r="N1904" s="125" t="str">
        <f t="shared" si="2"/>
        <v/>
      </c>
      <c r="O1904" s="125"/>
      <c r="P1904" s="125"/>
      <c r="Q1904" s="125"/>
      <c r="R1904" s="125"/>
      <c r="S1904" s="628">
        <f t="shared" si="3"/>
        <v>0</v>
      </c>
      <c r="T1904" s="627" t="s">
        <v>51</v>
      </c>
      <c r="U1904" s="627" t="s">
        <v>51</v>
      </c>
      <c r="V1904" s="627" t="s">
        <v>51</v>
      </c>
      <c r="W1904" s="627" t="s">
        <v>51</v>
      </c>
      <c r="X1904" s="627" t="s">
        <v>51</v>
      </c>
      <c r="Y1904" s="89"/>
    </row>
    <row r="1905" ht="22.5" customHeight="1">
      <c r="A1905" s="223"/>
      <c r="B1905" s="125"/>
      <c r="C1905" s="125"/>
      <c r="D1905" s="125"/>
      <c r="E1905" s="125"/>
      <c r="F1905" s="125"/>
      <c r="G1905" s="125"/>
      <c r="H1905" s="125"/>
      <c r="I1905" s="627" t="s">
        <v>51</v>
      </c>
      <c r="J1905" s="125" t="s">
        <v>51</v>
      </c>
      <c r="K1905" s="125" t="s">
        <v>51</v>
      </c>
      <c r="L1905" s="125" t="s">
        <v>51</v>
      </c>
      <c r="M1905" s="125" t="str">
        <f t="shared" si="1"/>
        <v/>
      </c>
      <c r="N1905" s="125" t="str">
        <f t="shared" si="2"/>
        <v/>
      </c>
      <c r="O1905" s="125"/>
      <c r="P1905" s="125"/>
      <c r="Q1905" s="125"/>
      <c r="R1905" s="125"/>
      <c r="S1905" s="628">
        <f t="shared" si="3"/>
        <v>0</v>
      </c>
      <c r="T1905" s="627" t="s">
        <v>51</v>
      </c>
      <c r="U1905" s="627" t="s">
        <v>51</v>
      </c>
      <c r="V1905" s="627" t="s">
        <v>51</v>
      </c>
      <c r="W1905" s="627" t="s">
        <v>51</v>
      </c>
      <c r="X1905" s="627" t="s">
        <v>51</v>
      </c>
      <c r="Y1905" s="89"/>
    </row>
    <row r="1906" ht="22.5" customHeight="1">
      <c r="A1906" s="223"/>
      <c r="B1906" s="125"/>
      <c r="C1906" s="125"/>
      <c r="D1906" s="125"/>
      <c r="E1906" s="125"/>
      <c r="F1906" s="125"/>
      <c r="G1906" s="125"/>
      <c r="H1906" s="125"/>
      <c r="I1906" s="627" t="s">
        <v>51</v>
      </c>
      <c r="J1906" s="125" t="s">
        <v>51</v>
      </c>
      <c r="K1906" s="125" t="s">
        <v>51</v>
      </c>
      <c r="L1906" s="125" t="s">
        <v>51</v>
      </c>
      <c r="M1906" s="125" t="str">
        <f t="shared" si="1"/>
        <v/>
      </c>
      <c r="N1906" s="125" t="str">
        <f t="shared" si="2"/>
        <v/>
      </c>
      <c r="O1906" s="125"/>
      <c r="P1906" s="125"/>
      <c r="Q1906" s="125"/>
      <c r="R1906" s="125"/>
      <c r="S1906" s="628">
        <f t="shared" si="3"/>
        <v>0</v>
      </c>
      <c r="T1906" s="627" t="s">
        <v>51</v>
      </c>
      <c r="U1906" s="627" t="s">
        <v>51</v>
      </c>
      <c r="V1906" s="627" t="s">
        <v>51</v>
      </c>
      <c r="W1906" s="627" t="s">
        <v>51</v>
      </c>
      <c r="X1906" s="627" t="s">
        <v>51</v>
      </c>
      <c r="Y1906" s="89"/>
    </row>
    <row r="1907" ht="22.5" customHeight="1">
      <c r="A1907" s="223"/>
      <c r="B1907" s="125"/>
      <c r="C1907" s="125"/>
      <c r="D1907" s="125"/>
      <c r="E1907" s="125"/>
      <c r="F1907" s="125"/>
      <c r="G1907" s="125"/>
      <c r="H1907" s="125"/>
      <c r="I1907" s="627" t="s">
        <v>51</v>
      </c>
      <c r="J1907" s="125" t="s">
        <v>51</v>
      </c>
      <c r="K1907" s="125" t="s">
        <v>51</v>
      </c>
      <c r="L1907" s="125" t="s">
        <v>51</v>
      </c>
      <c r="M1907" s="125" t="str">
        <f t="shared" si="1"/>
        <v/>
      </c>
      <c r="N1907" s="125" t="str">
        <f t="shared" si="2"/>
        <v/>
      </c>
      <c r="O1907" s="125"/>
      <c r="P1907" s="125"/>
      <c r="Q1907" s="125"/>
      <c r="R1907" s="125"/>
      <c r="S1907" s="628">
        <f t="shared" si="3"/>
        <v>0</v>
      </c>
      <c r="T1907" s="627" t="s">
        <v>51</v>
      </c>
      <c r="U1907" s="627" t="s">
        <v>51</v>
      </c>
      <c r="V1907" s="627" t="s">
        <v>51</v>
      </c>
      <c r="W1907" s="627" t="s">
        <v>51</v>
      </c>
      <c r="X1907" s="627" t="s">
        <v>51</v>
      </c>
      <c r="Y1907" s="89"/>
    </row>
    <row r="1908" ht="22.5" customHeight="1">
      <c r="A1908" s="223"/>
      <c r="B1908" s="125"/>
      <c r="C1908" s="125"/>
      <c r="D1908" s="125"/>
      <c r="E1908" s="125"/>
      <c r="F1908" s="125"/>
      <c r="G1908" s="125"/>
      <c r="H1908" s="125"/>
      <c r="I1908" s="627" t="s">
        <v>51</v>
      </c>
      <c r="J1908" s="125" t="s">
        <v>51</v>
      </c>
      <c r="K1908" s="125" t="s">
        <v>51</v>
      </c>
      <c r="L1908" s="125" t="s">
        <v>51</v>
      </c>
      <c r="M1908" s="125" t="str">
        <f t="shared" si="1"/>
        <v/>
      </c>
      <c r="N1908" s="125" t="str">
        <f t="shared" si="2"/>
        <v/>
      </c>
      <c r="O1908" s="125"/>
      <c r="P1908" s="125"/>
      <c r="Q1908" s="125"/>
      <c r="R1908" s="125"/>
      <c r="S1908" s="628">
        <f t="shared" si="3"/>
        <v>0</v>
      </c>
      <c r="T1908" s="627" t="s">
        <v>51</v>
      </c>
      <c r="U1908" s="627" t="s">
        <v>51</v>
      </c>
      <c r="V1908" s="627" t="s">
        <v>51</v>
      </c>
      <c r="W1908" s="627" t="s">
        <v>51</v>
      </c>
      <c r="X1908" s="627" t="s">
        <v>51</v>
      </c>
      <c r="Y1908" s="89"/>
    </row>
    <row r="1909" ht="22.5" customHeight="1">
      <c r="A1909" s="223"/>
      <c r="B1909" s="125"/>
      <c r="C1909" s="125"/>
      <c r="D1909" s="125"/>
      <c r="E1909" s="125"/>
      <c r="F1909" s="125"/>
      <c r="G1909" s="125"/>
      <c r="H1909" s="125"/>
      <c r="I1909" s="627" t="s">
        <v>51</v>
      </c>
      <c r="J1909" s="125" t="s">
        <v>51</v>
      </c>
      <c r="K1909" s="125" t="s">
        <v>51</v>
      </c>
      <c r="L1909" s="125" t="s">
        <v>51</v>
      </c>
      <c r="M1909" s="125" t="str">
        <f t="shared" si="1"/>
        <v/>
      </c>
      <c r="N1909" s="125" t="str">
        <f t="shared" si="2"/>
        <v/>
      </c>
      <c r="O1909" s="125"/>
      <c r="P1909" s="125"/>
      <c r="Q1909" s="125"/>
      <c r="R1909" s="125"/>
      <c r="S1909" s="628">
        <f t="shared" si="3"/>
        <v>0</v>
      </c>
      <c r="T1909" s="627" t="s">
        <v>51</v>
      </c>
      <c r="U1909" s="627" t="s">
        <v>51</v>
      </c>
      <c r="V1909" s="627" t="s">
        <v>51</v>
      </c>
      <c r="W1909" s="627" t="s">
        <v>51</v>
      </c>
      <c r="X1909" s="627" t="s">
        <v>51</v>
      </c>
      <c r="Y1909" s="89"/>
    </row>
    <row r="1910" ht="22.5" customHeight="1">
      <c r="A1910" s="223"/>
      <c r="B1910" s="125"/>
      <c r="C1910" s="125"/>
      <c r="D1910" s="125"/>
      <c r="E1910" s="125"/>
      <c r="F1910" s="125"/>
      <c r="G1910" s="125"/>
      <c r="H1910" s="125"/>
      <c r="I1910" s="627" t="s">
        <v>51</v>
      </c>
      <c r="J1910" s="125" t="s">
        <v>51</v>
      </c>
      <c r="K1910" s="125" t="s">
        <v>51</v>
      </c>
      <c r="L1910" s="125" t="s">
        <v>51</v>
      </c>
      <c r="M1910" s="125" t="str">
        <f t="shared" si="1"/>
        <v/>
      </c>
      <c r="N1910" s="125" t="str">
        <f t="shared" si="2"/>
        <v/>
      </c>
      <c r="O1910" s="125"/>
      <c r="P1910" s="125"/>
      <c r="Q1910" s="125"/>
      <c r="R1910" s="125"/>
      <c r="S1910" s="628">
        <f t="shared" si="3"/>
        <v>0</v>
      </c>
      <c r="T1910" s="627" t="s">
        <v>51</v>
      </c>
      <c r="U1910" s="627" t="s">
        <v>51</v>
      </c>
      <c r="V1910" s="627" t="s">
        <v>51</v>
      </c>
      <c r="W1910" s="627" t="s">
        <v>51</v>
      </c>
      <c r="X1910" s="627" t="s">
        <v>51</v>
      </c>
      <c r="Y1910" s="89"/>
    </row>
    <row r="1911" ht="22.5" customHeight="1">
      <c r="A1911" s="223"/>
      <c r="B1911" s="125"/>
      <c r="C1911" s="125"/>
      <c r="D1911" s="125"/>
      <c r="E1911" s="125"/>
      <c r="F1911" s="125"/>
      <c r="G1911" s="125"/>
      <c r="H1911" s="125"/>
      <c r="I1911" s="627" t="s">
        <v>51</v>
      </c>
      <c r="J1911" s="125" t="s">
        <v>51</v>
      </c>
      <c r="K1911" s="125" t="s">
        <v>51</v>
      </c>
      <c r="L1911" s="125" t="s">
        <v>51</v>
      </c>
      <c r="M1911" s="125" t="str">
        <f t="shared" si="1"/>
        <v/>
      </c>
      <c r="N1911" s="125" t="str">
        <f t="shared" si="2"/>
        <v/>
      </c>
      <c r="O1911" s="125"/>
      <c r="P1911" s="125"/>
      <c r="Q1911" s="125"/>
      <c r="R1911" s="125"/>
      <c r="S1911" s="628">
        <f t="shared" si="3"/>
        <v>0</v>
      </c>
      <c r="T1911" s="627" t="s">
        <v>51</v>
      </c>
      <c r="U1911" s="627" t="s">
        <v>51</v>
      </c>
      <c r="V1911" s="627" t="s">
        <v>51</v>
      </c>
      <c r="W1911" s="627" t="s">
        <v>51</v>
      </c>
      <c r="X1911" s="627" t="s">
        <v>51</v>
      </c>
      <c r="Y1911" s="89"/>
    </row>
    <row r="1912" ht="22.5" customHeight="1">
      <c r="A1912" s="223"/>
      <c r="B1912" s="125"/>
      <c r="C1912" s="125"/>
      <c r="D1912" s="125"/>
      <c r="E1912" s="125"/>
      <c r="F1912" s="125"/>
      <c r="G1912" s="125"/>
      <c r="H1912" s="125"/>
      <c r="I1912" s="627" t="s">
        <v>51</v>
      </c>
      <c r="J1912" s="125" t="s">
        <v>51</v>
      </c>
      <c r="K1912" s="125" t="s">
        <v>51</v>
      </c>
      <c r="L1912" s="125" t="s">
        <v>51</v>
      </c>
      <c r="M1912" s="125" t="str">
        <f t="shared" si="1"/>
        <v/>
      </c>
      <c r="N1912" s="125" t="str">
        <f t="shared" si="2"/>
        <v/>
      </c>
      <c r="O1912" s="125"/>
      <c r="P1912" s="125"/>
      <c r="Q1912" s="125"/>
      <c r="R1912" s="125"/>
      <c r="S1912" s="628">
        <f t="shared" si="3"/>
        <v>0</v>
      </c>
      <c r="T1912" s="627" t="s">
        <v>51</v>
      </c>
      <c r="U1912" s="627" t="s">
        <v>51</v>
      </c>
      <c r="V1912" s="627" t="s">
        <v>51</v>
      </c>
      <c r="W1912" s="627" t="s">
        <v>51</v>
      </c>
      <c r="X1912" s="627" t="s">
        <v>51</v>
      </c>
      <c r="Y1912" s="89"/>
    </row>
    <row r="1913" ht="22.5" customHeight="1">
      <c r="A1913" s="223"/>
      <c r="B1913" s="125"/>
      <c r="C1913" s="125"/>
      <c r="D1913" s="125"/>
      <c r="E1913" s="125"/>
      <c r="F1913" s="125"/>
      <c r="G1913" s="125"/>
      <c r="H1913" s="125"/>
      <c r="I1913" s="627" t="s">
        <v>51</v>
      </c>
      <c r="J1913" s="125" t="s">
        <v>51</v>
      </c>
      <c r="K1913" s="125" t="s">
        <v>51</v>
      </c>
      <c r="L1913" s="125" t="s">
        <v>51</v>
      </c>
      <c r="M1913" s="125" t="str">
        <f t="shared" si="1"/>
        <v/>
      </c>
      <c r="N1913" s="125" t="str">
        <f t="shared" si="2"/>
        <v/>
      </c>
      <c r="O1913" s="125"/>
      <c r="P1913" s="125"/>
      <c r="Q1913" s="125"/>
      <c r="R1913" s="125"/>
      <c r="S1913" s="628">
        <f t="shared" si="3"/>
        <v>0</v>
      </c>
      <c r="T1913" s="627" t="s">
        <v>51</v>
      </c>
      <c r="U1913" s="627" t="s">
        <v>51</v>
      </c>
      <c r="V1913" s="627" t="s">
        <v>51</v>
      </c>
      <c r="W1913" s="627" t="s">
        <v>51</v>
      </c>
      <c r="X1913" s="627" t="s">
        <v>51</v>
      </c>
      <c r="Y1913" s="89"/>
    </row>
    <row r="1914" ht="22.5" customHeight="1">
      <c r="A1914" s="223"/>
      <c r="B1914" s="125"/>
      <c r="C1914" s="125"/>
      <c r="D1914" s="125"/>
      <c r="E1914" s="125"/>
      <c r="F1914" s="125"/>
      <c r="G1914" s="125"/>
      <c r="H1914" s="125"/>
      <c r="I1914" s="627" t="s">
        <v>51</v>
      </c>
      <c r="J1914" s="125" t="s">
        <v>51</v>
      </c>
      <c r="K1914" s="125" t="s">
        <v>51</v>
      </c>
      <c r="L1914" s="125" t="s">
        <v>51</v>
      </c>
      <c r="M1914" s="125" t="str">
        <f t="shared" si="1"/>
        <v/>
      </c>
      <c r="N1914" s="125" t="str">
        <f t="shared" si="2"/>
        <v/>
      </c>
      <c r="O1914" s="125"/>
      <c r="P1914" s="125"/>
      <c r="Q1914" s="125"/>
      <c r="R1914" s="125"/>
      <c r="S1914" s="628">
        <f t="shared" si="3"/>
        <v>0</v>
      </c>
      <c r="T1914" s="627" t="s">
        <v>51</v>
      </c>
      <c r="U1914" s="627" t="s">
        <v>51</v>
      </c>
      <c r="V1914" s="627" t="s">
        <v>51</v>
      </c>
      <c r="W1914" s="627" t="s">
        <v>51</v>
      </c>
      <c r="X1914" s="627" t="s">
        <v>51</v>
      </c>
      <c r="Y1914" s="89"/>
    </row>
    <row r="1915" ht="22.5" customHeight="1">
      <c r="A1915" s="223"/>
      <c r="B1915" s="125"/>
      <c r="C1915" s="125"/>
      <c r="D1915" s="125"/>
      <c r="E1915" s="125"/>
      <c r="F1915" s="125"/>
      <c r="G1915" s="125"/>
      <c r="H1915" s="125"/>
      <c r="I1915" s="627" t="s">
        <v>51</v>
      </c>
      <c r="J1915" s="125" t="s">
        <v>51</v>
      </c>
      <c r="K1915" s="125" t="s">
        <v>51</v>
      </c>
      <c r="L1915" s="125" t="s">
        <v>51</v>
      </c>
      <c r="M1915" s="125" t="str">
        <f t="shared" si="1"/>
        <v/>
      </c>
      <c r="N1915" s="125" t="str">
        <f t="shared" si="2"/>
        <v/>
      </c>
      <c r="O1915" s="125"/>
      <c r="P1915" s="125"/>
      <c r="Q1915" s="125"/>
      <c r="R1915" s="125"/>
      <c r="S1915" s="628">
        <f t="shared" si="3"/>
        <v>0</v>
      </c>
      <c r="T1915" s="627" t="s">
        <v>51</v>
      </c>
      <c r="U1915" s="627" t="s">
        <v>51</v>
      </c>
      <c r="V1915" s="627" t="s">
        <v>51</v>
      </c>
      <c r="W1915" s="627" t="s">
        <v>51</v>
      </c>
      <c r="X1915" s="627" t="s">
        <v>51</v>
      </c>
      <c r="Y1915" s="89"/>
    </row>
    <row r="1916" ht="22.5" customHeight="1">
      <c r="A1916" s="223"/>
      <c r="B1916" s="125"/>
      <c r="C1916" s="125"/>
      <c r="D1916" s="125"/>
      <c r="E1916" s="125"/>
      <c r="F1916" s="125"/>
      <c r="G1916" s="125"/>
      <c r="H1916" s="125"/>
      <c r="I1916" s="627" t="s">
        <v>51</v>
      </c>
      <c r="J1916" s="125" t="s">
        <v>51</v>
      </c>
      <c r="K1916" s="125" t="s">
        <v>51</v>
      </c>
      <c r="L1916" s="125" t="s">
        <v>51</v>
      </c>
      <c r="M1916" s="125" t="str">
        <f t="shared" si="1"/>
        <v/>
      </c>
      <c r="N1916" s="125" t="str">
        <f t="shared" si="2"/>
        <v/>
      </c>
      <c r="O1916" s="125"/>
      <c r="P1916" s="125"/>
      <c r="Q1916" s="125"/>
      <c r="R1916" s="125"/>
      <c r="S1916" s="628">
        <f t="shared" si="3"/>
        <v>0</v>
      </c>
      <c r="T1916" s="627" t="s">
        <v>51</v>
      </c>
      <c r="U1916" s="627" t="s">
        <v>51</v>
      </c>
      <c r="V1916" s="627" t="s">
        <v>51</v>
      </c>
      <c r="W1916" s="627" t="s">
        <v>51</v>
      </c>
      <c r="X1916" s="627" t="s">
        <v>51</v>
      </c>
      <c r="Y1916" s="89"/>
    </row>
    <row r="1917" ht="22.5" customHeight="1">
      <c r="A1917" s="223"/>
      <c r="B1917" s="125"/>
      <c r="C1917" s="125"/>
      <c r="D1917" s="125"/>
      <c r="E1917" s="125"/>
      <c r="F1917" s="125"/>
      <c r="G1917" s="125"/>
      <c r="H1917" s="125"/>
      <c r="I1917" s="627" t="s">
        <v>51</v>
      </c>
      <c r="J1917" s="125" t="s">
        <v>51</v>
      </c>
      <c r="K1917" s="125" t="s">
        <v>51</v>
      </c>
      <c r="L1917" s="125" t="s">
        <v>51</v>
      </c>
      <c r="M1917" s="125" t="str">
        <f t="shared" si="1"/>
        <v/>
      </c>
      <c r="N1917" s="125" t="str">
        <f t="shared" si="2"/>
        <v/>
      </c>
      <c r="O1917" s="125"/>
      <c r="P1917" s="125"/>
      <c r="Q1917" s="125"/>
      <c r="R1917" s="125"/>
      <c r="S1917" s="628">
        <f t="shared" si="3"/>
        <v>0</v>
      </c>
      <c r="T1917" s="627" t="s">
        <v>51</v>
      </c>
      <c r="U1917" s="627" t="s">
        <v>51</v>
      </c>
      <c r="V1917" s="627" t="s">
        <v>51</v>
      </c>
      <c r="W1917" s="627" t="s">
        <v>51</v>
      </c>
      <c r="X1917" s="627" t="s">
        <v>51</v>
      </c>
      <c r="Y1917" s="89"/>
    </row>
    <row r="1918" ht="22.5" customHeight="1">
      <c r="A1918" s="223"/>
      <c r="B1918" s="125"/>
      <c r="C1918" s="125"/>
      <c r="D1918" s="125"/>
      <c r="E1918" s="125"/>
      <c r="F1918" s="125"/>
      <c r="G1918" s="125"/>
      <c r="H1918" s="125"/>
      <c r="I1918" s="627" t="s">
        <v>51</v>
      </c>
      <c r="J1918" s="125" t="s">
        <v>51</v>
      </c>
      <c r="K1918" s="125" t="s">
        <v>51</v>
      </c>
      <c r="L1918" s="125" t="s">
        <v>51</v>
      </c>
      <c r="M1918" s="125" t="str">
        <f t="shared" si="1"/>
        <v/>
      </c>
      <c r="N1918" s="125" t="str">
        <f t="shared" si="2"/>
        <v/>
      </c>
      <c r="O1918" s="125"/>
      <c r="P1918" s="125"/>
      <c r="Q1918" s="125"/>
      <c r="R1918" s="125"/>
      <c r="S1918" s="628">
        <f t="shared" si="3"/>
        <v>0</v>
      </c>
      <c r="T1918" s="627" t="s">
        <v>51</v>
      </c>
      <c r="U1918" s="627" t="s">
        <v>51</v>
      </c>
      <c r="V1918" s="627" t="s">
        <v>51</v>
      </c>
      <c r="W1918" s="627" t="s">
        <v>51</v>
      </c>
      <c r="X1918" s="627" t="s">
        <v>51</v>
      </c>
      <c r="Y1918" s="89"/>
    </row>
    <row r="1919" ht="22.5" customHeight="1">
      <c r="A1919" s="223"/>
      <c r="B1919" s="125"/>
      <c r="C1919" s="125"/>
      <c r="D1919" s="125"/>
      <c r="E1919" s="125"/>
      <c r="F1919" s="125"/>
      <c r="G1919" s="125"/>
      <c r="H1919" s="125"/>
      <c r="I1919" s="627" t="s">
        <v>51</v>
      </c>
      <c r="J1919" s="125" t="s">
        <v>51</v>
      </c>
      <c r="K1919" s="125" t="s">
        <v>51</v>
      </c>
      <c r="L1919" s="125" t="s">
        <v>51</v>
      </c>
      <c r="M1919" s="125" t="str">
        <f t="shared" si="1"/>
        <v/>
      </c>
      <c r="N1919" s="125" t="str">
        <f t="shared" si="2"/>
        <v/>
      </c>
      <c r="O1919" s="125"/>
      <c r="P1919" s="125"/>
      <c r="Q1919" s="125"/>
      <c r="R1919" s="125"/>
      <c r="S1919" s="628">
        <f t="shared" si="3"/>
        <v>0</v>
      </c>
      <c r="T1919" s="627" t="s">
        <v>51</v>
      </c>
      <c r="U1919" s="627" t="s">
        <v>51</v>
      </c>
      <c r="V1919" s="627" t="s">
        <v>51</v>
      </c>
      <c r="W1919" s="627" t="s">
        <v>51</v>
      </c>
      <c r="X1919" s="627" t="s">
        <v>51</v>
      </c>
      <c r="Y1919" s="89"/>
    </row>
    <row r="1920" ht="22.5" customHeight="1">
      <c r="A1920" s="223"/>
      <c r="B1920" s="125"/>
      <c r="C1920" s="125"/>
      <c r="D1920" s="125"/>
      <c r="E1920" s="125"/>
      <c r="F1920" s="125"/>
      <c r="G1920" s="125"/>
      <c r="H1920" s="125"/>
      <c r="I1920" s="627" t="s">
        <v>51</v>
      </c>
      <c r="J1920" s="125" t="s">
        <v>51</v>
      </c>
      <c r="K1920" s="125" t="s">
        <v>51</v>
      </c>
      <c r="L1920" s="125" t="s">
        <v>51</v>
      </c>
      <c r="M1920" s="125" t="str">
        <f t="shared" si="1"/>
        <v/>
      </c>
      <c r="N1920" s="125" t="str">
        <f t="shared" si="2"/>
        <v/>
      </c>
      <c r="O1920" s="125"/>
      <c r="P1920" s="125"/>
      <c r="Q1920" s="125"/>
      <c r="R1920" s="125"/>
      <c r="S1920" s="628">
        <f t="shared" si="3"/>
        <v>0</v>
      </c>
      <c r="T1920" s="627" t="s">
        <v>51</v>
      </c>
      <c r="U1920" s="627" t="s">
        <v>51</v>
      </c>
      <c r="V1920" s="627" t="s">
        <v>51</v>
      </c>
      <c r="W1920" s="627" t="s">
        <v>51</v>
      </c>
      <c r="X1920" s="627" t="s">
        <v>51</v>
      </c>
      <c r="Y1920" s="89"/>
    </row>
    <row r="1921" ht="22.5" customHeight="1">
      <c r="A1921" s="223"/>
      <c r="B1921" s="125"/>
      <c r="C1921" s="125"/>
      <c r="D1921" s="125"/>
      <c r="E1921" s="125"/>
      <c r="F1921" s="125"/>
      <c r="G1921" s="125"/>
      <c r="H1921" s="125"/>
      <c r="I1921" s="627" t="s">
        <v>51</v>
      </c>
      <c r="J1921" s="125" t="s">
        <v>51</v>
      </c>
      <c r="K1921" s="125" t="s">
        <v>51</v>
      </c>
      <c r="L1921" s="125" t="s">
        <v>51</v>
      </c>
      <c r="M1921" s="125" t="str">
        <f t="shared" si="1"/>
        <v/>
      </c>
      <c r="N1921" s="125" t="str">
        <f t="shared" si="2"/>
        <v/>
      </c>
      <c r="O1921" s="125"/>
      <c r="P1921" s="125"/>
      <c r="Q1921" s="125"/>
      <c r="R1921" s="125"/>
      <c r="S1921" s="628">
        <f t="shared" si="3"/>
        <v>0</v>
      </c>
      <c r="T1921" s="627" t="s">
        <v>51</v>
      </c>
      <c r="U1921" s="627" t="s">
        <v>51</v>
      </c>
      <c r="V1921" s="627" t="s">
        <v>51</v>
      </c>
      <c r="W1921" s="627" t="s">
        <v>51</v>
      </c>
      <c r="X1921" s="627" t="s">
        <v>51</v>
      </c>
      <c r="Y1921" s="89"/>
    </row>
    <row r="1922" ht="22.5" customHeight="1">
      <c r="A1922" s="223"/>
      <c r="B1922" s="125"/>
      <c r="C1922" s="125"/>
      <c r="D1922" s="125"/>
      <c r="E1922" s="125"/>
      <c r="F1922" s="125"/>
      <c r="G1922" s="125"/>
      <c r="H1922" s="125"/>
      <c r="I1922" s="627" t="s">
        <v>51</v>
      </c>
      <c r="J1922" s="125" t="s">
        <v>51</v>
      </c>
      <c r="K1922" s="125" t="s">
        <v>51</v>
      </c>
      <c r="L1922" s="125" t="s">
        <v>51</v>
      </c>
      <c r="M1922" s="125" t="str">
        <f t="shared" si="1"/>
        <v/>
      </c>
      <c r="N1922" s="125" t="str">
        <f t="shared" si="2"/>
        <v/>
      </c>
      <c r="O1922" s="125"/>
      <c r="P1922" s="125"/>
      <c r="Q1922" s="125"/>
      <c r="R1922" s="125"/>
      <c r="S1922" s="628">
        <f t="shared" si="3"/>
        <v>0</v>
      </c>
      <c r="T1922" s="627" t="s">
        <v>51</v>
      </c>
      <c r="U1922" s="627" t="s">
        <v>51</v>
      </c>
      <c r="V1922" s="627" t="s">
        <v>51</v>
      </c>
      <c r="W1922" s="627" t="s">
        <v>51</v>
      </c>
      <c r="X1922" s="627" t="s">
        <v>51</v>
      </c>
      <c r="Y1922" s="89"/>
    </row>
    <row r="1923" ht="22.5" customHeight="1">
      <c r="A1923" s="223"/>
      <c r="B1923" s="125"/>
      <c r="C1923" s="125"/>
      <c r="D1923" s="125"/>
      <c r="E1923" s="125"/>
      <c r="F1923" s="125"/>
      <c r="G1923" s="125"/>
      <c r="H1923" s="125"/>
      <c r="I1923" s="627" t="s">
        <v>51</v>
      </c>
      <c r="J1923" s="125" t="s">
        <v>51</v>
      </c>
      <c r="K1923" s="125" t="s">
        <v>51</v>
      </c>
      <c r="L1923" s="125" t="s">
        <v>51</v>
      </c>
      <c r="M1923" s="125" t="str">
        <f t="shared" si="1"/>
        <v/>
      </c>
      <c r="N1923" s="125" t="str">
        <f t="shared" si="2"/>
        <v/>
      </c>
      <c r="O1923" s="125"/>
      <c r="P1923" s="125"/>
      <c r="Q1923" s="125"/>
      <c r="R1923" s="125"/>
      <c r="S1923" s="628">
        <f t="shared" si="3"/>
        <v>0</v>
      </c>
      <c r="T1923" s="627" t="s">
        <v>51</v>
      </c>
      <c r="U1923" s="627" t="s">
        <v>51</v>
      </c>
      <c r="V1923" s="627" t="s">
        <v>51</v>
      </c>
      <c r="W1923" s="627" t="s">
        <v>51</v>
      </c>
      <c r="X1923" s="627" t="s">
        <v>51</v>
      </c>
      <c r="Y1923" s="89"/>
    </row>
    <row r="1924" ht="22.5" customHeight="1">
      <c r="A1924" s="223"/>
      <c r="B1924" s="125"/>
      <c r="C1924" s="125"/>
      <c r="D1924" s="125"/>
      <c r="E1924" s="125"/>
      <c r="F1924" s="125"/>
      <c r="G1924" s="125"/>
      <c r="H1924" s="125"/>
      <c r="I1924" s="627" t="s">
        <v>51</v>
      </c>
      <c r="J1924" s="125" t="s">
        <v>51</v>
      </c>
      <c r="K1924" s="125" t="s">
        <v>51</v>
      </c>
      <c r="L1924" s="125" t="s">
        <v>51</v>
      </c>
      <c r="M1924" s="125" t="str">
        <f t="shared" si="1"/>
        <v/>
      </c>
      <c r="N1924" s="125" t="str">
        <f t="shared" si="2"/>
        <v/>
      </c>
      <c r="O1924" s="125"/>
      <c r="P1924" s="125"/>
      <c r="Q1924" s="125"/>
      <c r="R1924" s="125"/>
      <c r="S1924" s="628">
        <f t="shared" si="3"/>
        <v>0</v>
      </c>
      <c r="T1924" s="627" t="s">
        <v>51</v>
      </c>
      <c r="U1924" s="627" t="s">
        <v>51</v>
      </c>
      <c r="V1924" s="627" t="s">
        <v>51</v>
      </c>
      <c r="W1924" s="627" t="s">
        <v>51</v>
      </c>
      <c r="X1924" s="627" t="s">
        <v>51</v>
      </c>
      <c r="Y1924" s="89"/>
    </row>
    <row r="1925" ht="22.5" customHeight="1">
      <c r="A1925" s="223"/>
      <c r="B1925" s="125"/>
      <c r="C1925" s="125"/>
      <c r="D1925" s="125"/>
      <c r="E1925" s="125"/>
      <c r="F1925" s="125"/>
      <c r="G1925" s="125"/>
      <c r="H1925" s="125"/>
      <c r="I1925" s="627" t="s">
        <v>51</v>
      </c>
      <c r="J1925" s="125" t="s">
        <v>51</v>
      </c>
      <c r="K1925" s="125" t="s">
        <v>51</v>
      </c>
      <c r="L1925" s="125" t="s">
        <v>51</v>
      </c>
      <c r="M1925" s="125" t="str">
        <f t="shared" si="1"/>
        <v/>
      </c>
      <c r="N1925" s="125" t="str">
        <f t="shared" si="2"/>
        <v/>
      </c>
      <c r="O1925" s="125"/>
      <c r="P1925" s="125"/>
      <c r="Q1925" s="125"/>
      <c r="R1925" s="125"/>
      <c r="S1925" s="628">
        <f t="shared" si="3"/>
        <v>0</v>
      </c>
      <c r="T1925" s="627" t="s">
        <v>51</v>
      </c>
      <c r="U1925" s="627" t="s">
        <v>51</v>
      </c>
      <c r="V1925" s="627" t="s">
        <v>51</v>
      </c>
      <c r="W1925" s="627" t="s">
        <v>51</v>
      </c>
      <c r="X1925" s="627" t="s">
        <v>51</v>
      </c>
      <c r="Y1925" s="89"/>
    </row>
    <row r="1926" ht="22.5" customHeight="1">
      <c r="A1926" s="223"/>
      <c r="B1926" s="125"/>
      <c r="C1926" s="125"/>
      <c r="D1926" s="125"/>
      <c r="E1926" s="125"/>
      <c r="F1926" s="125"/>
      <c r="G1926" s="125"/>
      <c r="H1926" s="125"/>
      <c r="I1926" s="627" t="s">
        <v>51</v>
      </c>
      <c r="J1926" s="125" t="s">
        <v>51</v>
      </c>
      <c r="K1926" s="125" t="s">
        <v>51</v>
      </c>
      <c r="L1926" s="125" t="s">
        <v>51</v>
      </c>
      <c r="M1926" s="125" t="str">
        <f t="shared" si="1"/>
        <v/>
      </c>
      <c r="N1926" s="125" t="str">
        <f t="shared" si="2"/>
        <v/>
      </c>
      <c r="O1926" s="125"/>
      <c r="P1926" s="125"/>
      <c r="Q1926" s="125"/>
      <c r="R1926" s="125"/>
      <c r="S1926" s="628">
        <f t="shared" si="3"/>
        <v>0</v>
      </c>
      <c r="T1926" s="627" t="s">
        <v>51</v>
      </c>
      <c r="U1926" s="627" t="s">
        <v>51</v>
      </c>
      <c r="V1926" s="627" t="s">
        <v>51</v>
      </c>
      <c r="W1926" s="627" t="s">
        <v>51</v>
      </c>
      <c r="X1926" s="627" t="s">
        <v>51</v>
      </c>
      <c r="Y1926" s="89"/>
    </row>
    <row r="1927" ht="22.5" customHeight="1">
      <c r="A1927" s="223"/>
      <c r="B1927" s="125"/>
      <c r="C1927" s="125"/>
      <c r="D1927" s="125"/>
      <c r="E1927" s="125"/>
      <c r="F1927" s="125"/>
      <c r="G1927" s="125"/>
      <c r="H1927" s="125"/>
      <c r="I1927" s="627" t="s">
        <v>51</v>
      </c>
      <c r="J1927" s="125" t="s">
        <v>51</v>
      </c>
      <c r="K1927" s="125" t="s">
        <v>51</v>
      </c>
      <c r="L1927" s="125" t="s">
        <v>51</v>
      </c>
      <c r="M1927" s="125" t="str">
        <f t="shared" si="1"/>
        <v/>
      </c>
      <c r="N1927" s="125" t="str">
        <f t="shared" si="2"/>
        <v/>
      </c>
      <c r="O1927" s="125"/>
      <c r="P1927" s="125"/>
      <c r="Q1927" s="125"/>
      <c r="R1927" s="125"/>
      <c r="S1927" s="628">
        <f t="shared" si="3"/>
        <v>0</v>
      </c>
      <c r="T1927" s="627" t="s">
        <v>51</v>
      </c>
      <c r="U1927" s="627" t="s">
        <v>51</v>
      </c>
      <c r="V1927" s="627" t="s">
        <v>51</v>
      </c>
      <c r="W1927" s="627" t="s">
        <v>51</v>
      </c>
      <c r="X1927" s="627" t="s">
        <v>51</v>
      </c>
      <c r="Y1927" s="89"/>
    </row>
    <row r="1928" ht="22.5" customHeight="1">
      <c r="A1928" s="223"/>
      <c r="B1928" s="125"/>
      <c r="C1928" s="125"/>
      <c r="D1928" s="125"/>
      <c r="E1928" s="125"/>
      <c r="F1928" s="125"/>
      <c r="G1928" s="125"/>
      <c r="H1928" s="125"/>
      <c r="I1928" s="627" t="s">
        <v>51</v>
      </c>
      <c r="J1928" s="125" t="s">
        <v>51</v>
      </c>
      <c r="K1928" s="125" t="s">
        <v>51</v>
      </c>
      <c r="L1928" s="125" t="s">
        <v>51</v>
      </c>
      <c r="M1928" s="125" t="str">
        <f t="shared" si="1"/>
        <v/>
      </c>
      <c r="N1928" s="125" t="str">
        <f t="shared" si="2"/>
        <v/>
      </c>
      <c r="O1928" s="125"/>
      <c r="P1928" s="125"/>
      <c r="Q1928" s="125"/>
      <c r="R1928" s="125"/>
      <c r="S1928" s="628">
        <f t="shared" si="3"/>
        <v>0</v>
      </c>
      <c r="T1928" s="627" t="s">
        <v>51</v>
      </c>
      <c r="U1928" s="627" t="s">
        <v>51</v>
      </c>
      <c r="V1928" s="627" t="s">
        <v>51</v>
      </c>
      <c r="W1928" s="627" t="s">
        <v>51</v>
      </c>
      <c r="X1928" s="627" t="s">
        <v>51</v>
      </c>
      <c r="Y1928" s="89"/>
    </row>
    <row r="1929" ht="22.5" customHeight="1">
      <c r="A1929" s="223"/>
      <c r="B1929" s="125"/>
      <c r="C1929" s="125"/>
      <c r="D1929" s="125"/>
      <c r="E1929" s="125"/>
      <c r="F1929" s="125"/>
      <c r="G1929" s="125"/>
      <c r="H1929" s="125"/>
      <c r="I1929" s="627" t="s">
        <v>51</v>
      </c>
      <c r="J1929" s="125" t="s">
        <v>51</v>
      </c>
      <c r="K1929" s="125" t="s">
        <v>51</v>
      </c>
      <c r="L1929" s="125" t="s">
        <v>51</v>
      </c>
      <c r="M1929" s="125" t="str">
        <f t="shared" si="1"/>
        <v/>
      </c>
      <c r="N1929" s="125" t="str">
        <f t="shared" si="2"/>
        <v/>
      </c>
      <c r="O1929" s="125"/>
      <c r="P1929" s="125"/>
      <c r="Q1929" s="125"/>
      <c r="R1929" s="125"/>
      <c r="S1929" s="628">
        <f t="shared" si="3"/>
        <v>0</v>
      </c>
      <c r="T1929" s="627" t="s">
        <v>51</v>
      </c>
      <c r="U1929" s="627" t="s">
        <v>51</v>
      </c>
      <c r="V1929" s="627" t="s">
        <v>51</v>
      </c>
      <c r="W1929" s="627" t="s">
        <v>51</v>
      </c>
      <c r="X1929" s="627" t="s">
        <v>51</v>
      </c>
      <c r="Y1929" s="89"/>
    </row>
    <row r="1930" ht="22.5" customHeight="1">
      <c r="A1930" s="223"/>
      <c r="B1930" s="125"/>
      <c r="C1930" s="125"/>
      <c r="D1930" s="125"/>
      <c r="E1930" s="125"/>
      <c r="F1930" s="125"/>
      <c r="G1930" s="125"/>
      <c r="H1930" s="125"/>
      <c r="I1930" s="627" t="s">
        <v>51</v>
      </c>
      <c r="J1930" s="125" t="s">
        <v>51</v>
      </c>
      <c r="K1930" s="125" t="s">
        <v>51</v>
      </c>
      <c r="L1930" s="125" t="s">
        <v>51</v>
      </c>
      <c r="M1930" s="125" t="str">
        <f t="shared" si="1"/>
        <v/>
      </c>
      <c r="N1930" s="125" t="str">
        <f t="shared" si="2"/>
        <v/>
      </c>
      <c r="O1930" s="125"/>
      <c r="P1930" s="125"/>
      <c r="Q1930" s="125"/>
      <c r="R1930" s="125"/>
      <c r="S1930" s="628">
        <f t="shared" si="3"/>
        <v>0</v>
      </c>
      <c r="T1930" s="627" t="s">
        <v>51</v>
      </c>
      <c r="U1930" s="627" t="s">
        <v>51</v>
      </c>
      <c r="V1930" s="627" t="s">
        <v>51</v>
      </c>
      <c r="W1930" s="627" t="s">
        <v>51</v>
      </c>
      <c r="X1930" s="627" t="s">
        <v>51</v>
      </c>
      <c r="Y1930" s="89"/>
    </row>
    <row r="1931" ht="22.5" customHeight="1">
      <c r="A1931" s="223"/>
      <c r="B1931" s="125"/>
      <c r="C1931" s="125"/>
      <c r="D1931" s="125"/>
      <c r="E1931" s="125"/>
      <c r="F1931" s="125"/>
      <c r="G1931" s="125"/>
      <c r="H1931" s="125"/>
      <c r="I1931" s="627" t="s">
        <v>51</v>
      </c>
      <c r="J1931" s="125" t="s">
        <v>51</v>
      </c>
      <c r="K1931" s="125" t="s">
        <v>51</v>
      </c>
      <c r="L1931" s="125" t="s">
        <v>51</v>
      </c>
      <c r="M1931" s="125" t="str">
        <f t="shared" si="1"/>
        <v/>
      </c>
      <c r="N1931" s="125" t="str">
        <f t="shared" si="2"/>
        <v/>
      </c>
      <c r="O1931" s="125"/>
      <c r="P1931" s="125"/>
      <c r="Q1931" s="125"/>
      <c r="R1931" s="125"/>
      <c r="S1931" s="628">
        <f t="shared" si="3"/>
        <v>0</v>
      </c>
      <c r="T1931" s="627" t="s">
        <v>51</v>
      </c>
      <c r="U1931" s="627" t="s">
        <v>51</v>
      </c>
      <c r="V1931" s="627" t="s">
        <v>51</v>
      </c>
      <c r="W1931" s="627" t="s">
        <v>51</v>
      </c>
      <c r="X1931" s="627" t="s">
        <v>51</v>
      </c>
      <c r="Y1931" s="89"/>
    </row>
    <row r="1932" ht="22.5" customHeight="1">
      <c r="A1932" s="223"/>
      <c r="B1932" s="125"/>
      <c r="C1932" s="125"/>
      <c r="D1932" s="125"/>
      <c r="E1932" s="125"/>
      <c r="F1932" s="125"/>
      <c r="G1932" s="125"/>
      <c r="H1932" s="125"/>
      <c r="I1932" s="627" t="s">
        <v>51</v>
      </c>
      <c r="J1932" s="125" t="s">
        <v>51</v>
      </c>
      <c r="K1932" s="125" t="s">
        <v>51</v>
      </c>
      <c r="L1932" s="125" t="s">
        <v>51</v>
      </c>
      <c r="M1932" s="125" t="str">
        <f t="shared" si="1"/>
        <v/>
      </c>
      <c r="N1932" s="125" t="str">
        <f t="shared" si="2"/>
        <v/>
      </c>
      <c r="O1932" s="125"/>
      <c r="P1932" s="125"/>
      <c r="Q1932" s="125"/>
      <c r="R1932" s="125"/>
      <c r="S1932" s="628">
        <f t="shared" si="3"/>
        <v>0</v>
      </c>
      <c r="T1932" s="627" t="s">
        <v>51</v>
      </c>
      <c r="U1932" s="627" t="s">
        <v>51</v>
      </c>
      <c r="V1932" s="627" t="s">
        <v>51</v>
      </c>
      <c r="W1932" s="627" t="s">
        <v>51</v>
      </c>
      <c r="X1932" s="627" t="s">
        <v>51</v>
      </c>
      <c r="Y1932" s="89"/>
    </row>
    <row r="1933" ht="22.5" customHeight="1">
      <c r="A1933" s="223"/>
      <c r="B1933" s="125"/>
      <c r="C1933" s="125"/>
      <c r="D1933" s="125"/>
      <c r="E1933" s="125"/>
      <c r="F1933" s="125"/>
      <c r="G1933" s="125"/>
      <c r="H1933" s="125"/>
      <c r="I1933" s="627" t="s">
        <v>51</v>
      </c>
      <c r="J1933" s="125" t="s">
        <v>51</v>
      </c>
      <c r="K1933" s="125" t="s">
        <v>51</v>
      </c>
      <c r="L1933" s="125" t="s">
        <v>51</v>
      </c>
      <c r="M1933" s="125" t="str">
        <f t="shared" si="1"/>
        <v/>
      </c>
      <c r="N1933" s="125" t="str">
        <f t="shared" si="2"/>
        <v/>
      </c>
      <c r="O1933" s="125"/>
      <c r="P1933" s="125"/>
      <c r="Q1933" s="125"/>
      <c r="R1933" s="125"/>
      <c r="S1933" s="628">
        <f t="shared" si="3"/>
        <v>0</v>
      </c>
      <c r="T1933" s="627" t="s">
        <v>51</v>
      </c>
      <c r="U1933" s="627" t="s">
        <v>51</v>
      </c>
      <c r="V1933" s="627" t="s">
        <v>51</v>
      </c>
      <c r="W1933" s="627" t="s">
        <v>51</v>
      </c>
      <c r="X1933" s="627" t="s">
        <v>51</v>
      </c>
      <c r="Y1933" s="89"/>
    </row>
    <row r="1934" ht="22.5" customHeight="1">
      <c r="A1934" s="223"/>
      <c r="B1934" s="125"/>
      <c r="C1934" s="125"/>
      <c r="D1934" s="125"/>
      <c r="E1934" s="125"/>
      <c r="F1934" s="125"/>
      <c r="G1934" s="125"/>
      <c r="H1934" s="125"/>
      <c r="I1934" s="627" t="s">
        <v>51</v>
      </c>
      <c r="J1934" s="125" t="s">
        <v>51</v>
      </c>
      <c r="K1934" s="125" t="s">
        <v>51</v>
      </c>
      <c r="L1934" s="125" t="s">
        <v>51</v>
      </c>
      <c r="M1934" s="125" t="str">
        <f t="shared" si="1"/>
        <v/>
      </c>
      <c r="N1934" s="125" t="str">
        <f t="shared" si="2"/>
        <v/>
      </c>
      <c r="O1934" s="125"/>
      <c r="P1934" s="125"/>
      <c r="Q1934" s="125"/>
      <c r="R1934" s="125"/>
      <c r="S1934" s="628">
        <f t="shared" si="3"/>
        <v>0</v>
      </c>
      <c r="T1934" s="627" t="s">
        <v>51</v>
      </c>
      <c r="U1934" s="627" t="s">
        <v>51</v>
      </c>
      <c r="V1934" s="627" t="s">
        <v>51</v>
      </c>
      <c r="W1934" s="627" t="s">
        <v>51</v>
      </c>
      <c r="X1934" s="627" t="s">
        <v>51</v>
      </c>
      <c r="Y1934" s="89"/>
    </row>
    <row r="1935" ht="22.5" customHeight="1">
      <c r="A1935" s="223"/>
      <c r="B1935" s="125"/>
      <c r="C1935" s="125"/>
      <c r="D1935" s="125"/>
      <c r="E1935" s="125"/>
      <c r="F1935" s="125"/>
      <c r="G1935" s="125"/>
      <c r="H1935" s="125"/>
      <c r="I1935" s="627" t="s">
        <v>51</v>
      </c>
      <c r="J1935" s="125" t="s">
        <v>51</v>
      </c>
      <c r="K1935" s="125" t="s">
        <v>51</v>
      </c>
      <c r="L1935" s="125" t="s">
        <v>51</v>
      </c>
      <c r="M1935" s="125" t="str">
        <f t="shared" si="1"/>
        <v/>
      </c>
      <c r="N1935" s="125" t="str">
        <f t="shared" si="2"/>
        <v/>
      </c>
      <c r="O1935" s="125"/>
      <c r="P1935" s="125"/>
      <c r="Q1935" s="125"/>
      <c r="R1935" s="125"/>
      <c r="S1935" s="628">
        <f t="shared" si="3"/>
        <v>0</v>
      </c>
      <c r="T1935" s="627" t="s">
        <v>51</v>
      </c>
      <c r="U1935" s="627" t="s">
        <v>51</v>
      </c>
      <c r="V1935" s="627" t="s">
        <v>51</v>
      </c>
      <c r="W1935" s="627" t="s">
        <v>51</v>
      </c>
      <c r="X1935" s="627" t="s">
        <v>51</v>
      </c>
      <c r="Y1935" s="89"/>
    </row>
    <row r="1936" ht="22.5" customHeight="1">
      <c r="A1936" s="223"/>
      <c r="B1936" s="125"/>
      <c r="C1936" s="125"/>
      <c r="D1936" s="125"/>
      <c r="E1936" s="125"/>
      <c r="F1936" s="125"/>
      <c r="G1936" s="125"/>
      <c r="H1936" s="125"/>
      <c r="I1936" s="627" t="s">
        <v>51</v>
      </c>
      <c r="J1936" s="125" t="s">
        <v>51</v>
      </c>
      <c r="K1936" s="125" t="s">
        <v>51</v>
      </c>
      <c r="L1936" s="125" t="s">
        <v>51</v>
      </c>
      <c r="M1936" s="125" t="str">
        <f t="shared" si="1"/>
        <v/>
      </c>
      <c r="N1936" s="125" t="str">
        <f t="shared" si="2"/>
        <v/>
      </c>
      <c r="O1936" s="125"/>
      <c r="P1936" s="125"/>
      <c r="Q1936" s="125"/>
      <c r="R1936" s="125"/>
      <c r="S1936" s="628">
        <f t="shared" si="3"/>
        <v>0</v>
      </c>
      <c r="T1936" s="627" t="s">
        <v>51</v>
      </c>
      <c r="U1936" s="627" t="s">
        <v>51</v>
      </c>
      <c r="V1936" s="627" t="s">
        <v>51</v>
      </c>
      <c r="W1936" s="627" t="s">
        <v>51</v>
      </c>
      <c r="X1936" s="627" t="s">
        <v>51</v>
      </c>
      <c r="Y1936" s="89"/>
    </row>
    <row r="1937" ht="22.5" customHeight="1">
      <c r="A1937" s="223"/>
      <c r="B1937" s="125"/>
      <c r="C1937" s="125"/>
      <c r="D1937" s="125"/>
      <c r="E1937" s="125"/>
      <c r="F1937" s="125"/>
      <c r="G1937" s="125"/>
      <c r="H1937" s="125"/>
      <c r="I1937" s="627" t="s">
        <v>51</v>
      </c>
      <c r="J1937" s="125" t="s">
        <v>51</v>
      </c>
      <c r="K1937" s="125" t="s">
        <v>51</v>
      </c>
      <c r="L1937" s="125" t="s">
        <v>51</v>
      </c>
      <c r="M1937" s="125" t="str">
        <f t="shared" si="1"/>
        <v/>
      </c>
      <c r="N1937" s="125" t="str">
        <f t="shared" si="2"/>
        <v/>
      </c>
      <c r="O1937" s="125"/>
      <c r="P1937" s="125"/>
      <c r="Q1937" s="125"/>
      <c r="R1937" s="125"/>
      <c r="S1937" s="628">
        <f t="shared" si="3"/>
        <v>0</v>
      </c>
      <c r="T1937" s="627" t="s">
        <v>51</v>
      </c>
      <c r="U1937" s="627" t="s">
        <v>51</v>
      </c>
      <c r="V1937" s="627" t="s">
        <v>51</v>
      </c>
      <c r="W1937" s="627" t="s">
        <v>51</v>
      </c>
      <c r="X1937" s="627" t="s">
        <v>51</v>
      </c>
      <c r="Y1937" s="89"/>
    </row>
    <row r="1938" ht="22.5" customHeight="1">
      <c r="A1938" s="223"/>
      <c r="B1938" s="125"/>
      <c r="C1938" s="125"/>
      <c r="D1938" s="125"/>
      <c r="E1938" s="125"/>
      <c r="F1938" s="125"/>
      <c r="G1938" s="125"/>
      <c r="H1938" s="125"/>
      <c r="I1938" s="627" t="s">
        <v>51</v>
      </c>
      <c r="J1938" s="125" t="s">
        <v>51</v>
      </c>
      <c r="K1938" s="125" t="s">
        <v>51</v>
      </c>
      <c r="L1938" s="125" t="s">
        <v>51</v>
      </c>
      <c r="M1938" s="125" t="str">
        <f t="shared" si="1"/>
        <v/>
      </c>
      <c r="N1938" s="125" t="str">
        <f t="shared" si="2"/>
        <v/>
      </c>
      <c r="O1938" s="125"/>
      <c r="P1938" s="125"/>
      <c r="Q1938" s="125"/>
      <c r="R1938" s="125"/>
      <c r="S1938" s="628">
        <f t="shared" si="3"/>
        <v>0</v>
      </c>
      <c r="T1938" s="627" t="s">
        <v>51</v>
      </c>
      <c r="U1938" s="627" t="s">
        <v>51</v>
      </c>
      <c r="V1938" s="627" t="s">
        <v>51</v>
      </c>
      <c r="W1938" s="627" t="s">
        <v>51</v>
      </c>
      <c r="X1938" s="627" t="s">
        <v>51</v>
      </c>
      <c r="Y1938" s="89"/>
    </row>
    <row r="1939" ht="22.5" customHeight="1">
      <c r="A1939" s="223"/>
      <c r="B1939" s="125"/>
      <c r="C1939" s="125"/>
      <c r="D1939" s="125"/>
      <c r="E1939" s="125"/>
      <c r="F1939" s="125"/>
      <c r="G1939" s="125"/>
      <c r="H1939" s="125"/>
      <c r="I1939" s="627" t="s">
        <v>51</v>
      </c>
      <c r="J1939" s="125" t="s">
        <v>51</v>
      </c>
      <c r="K1939" s="125" t="s">
        <v>51</v>
      </c>
      <c r="L1939" s="125" t="s">
        <v>51</v>
      </c>
      <c r="M1939" s="125" t="str">
        <f t="shared" si="1"/>
        <v/>
      </c>
      <c r="N1939" s="125" t="str">
        <f t="shared" si="2"/>
        <v/>
      </c>
      <c r="O1939" s="125"/>
      <c r="P1939" s="125"/>
      <c r="Q1939" s="125"/>
      <c r="R1939" s="125"/>
      <c r="S1939" s="628">
        <f t="shared" si="3"/>
        <v>0</v>
      </c>
      <c r="T1939" s="627" t="s">
        <v>51</v>
      </c>
      <c r="U1939" s="627" t="s">
        <v>51</v>
      </c>
      <c r="V1939" s="627" t="s">
        <v>51</v>
      </c>
      <c r="W1939" s="627" t="s">
        <v>51</v>
      </c>
      <c r="X1939" s="627" t="s">
        <v>51</v>
      </c>
      <c r="Y1939" s="89"/>
    </row>
    <row r="1940" ht="22.5" customHeight="1">
      <c r="A1940" s="223"/>
      <c r="B1940" s="125"/>
      <c r="C1940" s="125"/>
      <c r="D1940" s="125"/>
      <c r="E1940" s="125"/>
      <c r="F1940" s="125"/>
      <c r="G1940" s="125"/>
      <c r="H1940" s="125"/>
      <c r="I1940" s="627" t="s">
        <v>51</v>
      </c>
      <c r="J1940" s="125" t="s">
        <v>51</v>
      </c>
      <c r="K1940" s="125" t="s">
        <v>51</v>
      </c>
      <c r="L1940" s="125" t="s">
        <v>51</v>
      </c>
      <c r="M1940" s="125" t="str">
        <f t="shared" si="1"/>
        <v/>
      </c>
      <c r="N1940" s="125" t="str">
        <f t="shared" si="2"/>
        <v/>
      </c>
      <c r="O1940" s="125"/>
      <c r="P1940" s="125"/>
      <c r="Q1940" s="125"/>
      <c r="R1940" s="125"/>
      <c r="S1940" s="628">
        <f t="shared" si="3"/>
        <v>0</v>
      </c>
      <c r="T1940" s="627" t="s">
        <v>51</v>
      </c>
      <c r="U1940" s="627" t="s">
        <v>51</v>
      </c>
      <c r="V1940" s="627" t="s">
        <v>51</v>
      </c>
      <c r="W1940" s="627" t="s">
        <v>51</v>
      </c>
      <c r="X1940" s="627" t="s">
        <v>51</v>
      </c>
      <c r="Y1940" s="89"/>
    </row>
    <row r="1941" ht="22.5" customHeight="1">
      <c r="A1941" s="223"/>
      <c r="B1941" s="125"/>
      <c r="C1941" s="125"/>
      <c r="D1941" s="125"/>
      <c r="E1941" s="125"/>
      <c r="F1941" s="125"/>
      <c r="G1941" s="125"/>
      <c r="H1941" s="125"/>
      <c r="I1941" s="627" t="s">
        <v>51</v>
      </c>
      <c r="J1941" s="125" t="s">
        <v>51</v>
      </c>
      <c r="K1941" s="125" t="s">
        <v>51</v>
      </c>
      <c r="L1941" s="125" t="s">
        <v>51</v>
      </c>
      <c r="M1941" s="125" t="str">
        <f t="shared" si="1"/>
        <v/>
      </c>
      <c r="N1941" s="125" t="str">
        <f t="shared" si="2"/>
        <v/>
      </c>
      <c r="O1941" s="125"/>
      <c r="P1941" s="125"/>
      <c r="Q1941" s="125"/>
      <c r="R1941" s="125"/>
      <c r="S1941" s="628">
        <f t="shared" si="3"/>
        <v>0</v>
      </c>
      <c r="T1941" s="627" t="s">
        <v>51</v>
      </c>
      <c r="U1941" s="627" t="s">
        <v>51</v>
      </c>
      <c r="V1941" s="627" t="s">
        <v>51</v>
      </c>
      <c r="W1941" s="627" t="s">
        <v>51</v>
      </c>
      <c r="X1941" s="627" t="s">
        <v>51</v>
      </c>
      <c r="Y1941" s="89"/>
    </row>
    <row r="1942" ht="22.5" customHeight="1">
      <c r="A1942" s="223"/>
      <c r="B1942" s="125"/>
      <c r="C1942" s="125"/>
      <c r="D1942" s="125"/>
      <c r="E1942" s="125"/>
      <c r="F1942" s="125"/>
      <c r="G1942" s="125"/>
      <c r="H1942" s="125"/>
      <c r="I1942" s="627" t="s">
        <v>51</v>
      </c>
      <c r="J1942" s="125" t="s">
        <v>51</v>
      </c>
      <c r="K1942" s="125" t="s">
        <v>51</v>
      </c>
      <c r="L1942" s="125" t="s">
        <v>51</v>
      </c>
      <c r="M1942" s="125" t="str">
        <f t="shared" si="1"/>
        <v/>
      </c>
      <c r="N1942" s="125" t="str">
        <f t="shared" si="2"/>
        <v/>
      </c>
      <c r="O1942" s="125"/>
      <c r="P1942" s="125"/>
      <c r="Q1942" s="125"/>
      <c r="R1942" s="125"/>
      <c r="S1942" s="628">
        <f t="shared" si="3"/>
        <v>0</v>
      </c>
      <c r="T1942" s="627" t="s">
        <v>51</v>
      </c>
      <c r="U1942" s="627" t="s">
        <v>51</v>
      </c>
      <c r="V1942" s="627" t="s">
        <v>51</v>
      </c>
      <c r="W1942" s="627" t="s">
        <v>51</v>
      </c>
      <c r="X1942" s="627" t="s">
        <v>51</v>
      </c>
      <c r="Y1942" s="89"/>
    </row>
    <row r="1943" ht="22.5" customHeight="1">
      <c r="A1943" s="223"/>
      <c r="B1943" s="125"/>
      <c r="C1943" s="125"/>
      <c r="D1943" s="125"/>
      <c r="E1943" s="125"/>
      <c r="F1943" s="125"/>
      <c r="G1943" s="125"/>
      <c r="H1943" s="125"/>
      <c r="I1943" s="627" t="s">
        <v>51</v>
      </c>
      <c r="J1943" s="125" t="s">
        <v>51</v>
      </c>
      <c r="K1943" s="125" t="s">
        <v>51</v>
      </c>
      <c r="L1943" s="125" t="s">
        <v>51</v>
      </c>
      <c r="M1943" s="125" t="str">
        <f t="shared" si="1"/>
        <v/>
      </c>
      <c r="N1943" s="125" t="str">
        <f t="shared" si="2"/>
        <v/>
      </c>
      <c r="O1943" s="125"/>
      <c r="P1943" s="125"/>
      <c r="Q1943" s="125"/>
      <c r="R1943" s="125"/>
      <c r="S1943" s="628">
        <f t="shared" si="3"/>
        <v>0</v>
      </c>
      <c r="T1943" s="627" t="s">
        <v>51</v>
      </c>
      <c r="U1943" s="627" t="s">
        <v>51</v>
      </c>
      <c r="V1943" s="627" t="s">
        <v>51</v>
      </c>
      <c r="W1943" s="627" t="s">
        <v>51</v>
      </c>
      <c r="X1943" s="627" t="s">
        <v>51</v>
      </c>
      <c r="Y1943" s="89"/>
    </row>
    <row r="1944" ht="22.5" customHeight="1">
      <c r="A1944" s="223"/>
      <c r="B1944" s="125"/>
      <c r="C1944" s="125"/>
      <c r="D1944" s="125"/>
      <c r="E1944" s="125"/>
      <c r="F1944" s="125"/>
      <c r="G1944" s="125"/>
      <c r="H1944" s="125"/>
      <c r="I1944" s="627" t="s">
        <v>51</v>
      </c>
      <c r="J1944" s="125" t="s">
        <v>51</v>
      </c>
      <c r="K1944" s="125" t="s">
        <v>51</v>
      </c>
      <c r="L1944" s="125" t="s">
        <v>51</v>
      </c>
      <c r="M1944" s="125" t="str">
        <f t="shared" si="1"/>
        <v/>
      </c>
      <c r="N1944" s="125" t="str">
        <f t="shared" si="2"/>
        <v/>
      </c>
      <c r="O1944" s="125"/>
      <c r="P1944" s="125"/>
      <c r="Q1944" s="125"/>
      <c r="R1944" s="125"/>
      <c r="S1944" s="628">
        <f t="shared" si="3"/>
        <v>0</v>
      </c>
      <c r="T1944" s="627" t="s">
        <v>51</v>
      </c>
      <c r="U1944" s="627" t="s">
        <v>51</v>
      </c>
      <c r="V1944" s="627" t="s">
        <v>51</v>
      </c>
      <c r="W1944" s="627" t="s">
        <v>51</v>
      </c>
      <c r="X1944" s="627" t="s">
        <v>51</v>
      </c>
      <c r="Y1944" s="89"/>
    </row>
    <row r="1945" ht="22.5" customHeight="1">
      <c r="A1945" s="223"/>
      <c r="B1945" s="125"/>
      <c r="C1945" s="125"/>
      <c r="D1945" s="125"/>
      <c r="E1945" s="125"/>
      <c r="F1945" s="125"/>
      <c r="G1945" s="125"/>
      <c r="H1945" s="125"/>
      <c r="I1945" s="627" t="s">
        <v>51</v>
      </c>
      <c r="J1945" s="125" t="s">
        <v>51</v>
      </c>
      <c r="K1945" s="125" t="s">
        <v>51</v>
      </c>
      <c r="L1945" s="125" t="s">
        <v>51</v>
      </c>
      <c r="M1945" s="125" t="str">
        <f t="shared" si="1"/>
        <v/>
      </c>
      <c r="N1945" s="125" t="str">
        <f t="shared" si="2"/>
        <v/>
      </c>
      <c r="O1945" s="125"/>
      <c r="P1945" s="125"/>
      <c r="Q1945" s="125"/>
      <c r="R1945" s="125"/>
      <c r="S1945" s="628">
        <f t="shared" si="3"/>
        <v>0</v>
      </c>
      <c r="T1945" s="627" t="s">
        <v>51</v>
      </c>
      <c r="U1945" s="627" t="s">
        <v>51</v>
      </c>
      <c r="V1945" s="627" t="s">
        <v>51</v>
      </c>
      <c r="W1945" s="627" t="s">
        <v>51</v>
      </c>
      <c r="X1945" s="627" t="s">
        <v>51</v>
      </c>
      <c r="Y1945" s="89"/>
    </row>
    <row r="1946" ht="22.5" customHeight="1">
      <c r="A1946" s="223"/>
      <c r="B1946" s="125"/>
      <c r="C1946" s="125"/>
      <c r="D1946" s="125"/>
      <c r="E1946" s="125"/>
      <c r="F1946" s="125"/>
      <c r="G1946" s="125"/>
      <c r="H1946" s="125"/>
      <c r="I1946" s="627" t="s">
        <v>51</v>
      </c>
      <c r="J1946" s="125" t="s">
        <v>51</v>
      </c>
      <c r="K1946" s="125" t="s">
        <v>51</v>
      </c>
      <c r="L1946" s="125" t="s">
        <v>51</v>
      </c>
      <c r="M1946" s="125" t="str">
        <f t="shared" si="1"/>
        <v/>
      </c>
      <c r="N1946" s="125" t="str">
        <f t="shared" si="2"/>
        <v/>
      </c>
      <c r="O1946" s="125"/>
      <c r="P1946" s="125"/>
      <c r="Q1946" s="125"/>
      <c r="R1946" s="125"/>
      <c r="S1946" s="628">
        <f t="shared" si="3"/>
        <v>0</v>
      </c>
      <c r="T1946" s="627" t="s">
        <v>51</v>
      </c>
      <c r="U1946" s="627" t="s">
        <v>51</v>
      </c>
      <c r="V1946" s="627" t="s">
        <v>51</v>
      </c>
      <c r="W1946" s="627" t="s">
        <v>51</v>
      </c>
      <c r="X1946" s="627" t="s">
        <v>51</v>
      </c>
      <c r="Y1946" s="89"/>
    </row>
    <row r="1947" ht="22.5" customHeight="1">
      <c r="A1947" s="223"/>
      <c r="B1947" s="125"/>
      <c r="C1947" s="125"/>
      <c r="D1947" s="125"/>
      <c r="E1947" s="125"/>
      <c r="F1947" s="125"/>
      <c r="G1947" s="125"/>
      <c r="H1947" s="125"/>
      <c r="I1947" s="627" t="s">
        <v>51</v>
      </c>
      <c r="J1947" s="125" t="s">
        <v>51</v>
      </c>
      <c r="K1947" s="125" t="s">
        <v>51</v>
      </c>
      <c r="L1947" s="125" t="s">
        <v>51</v>
      </c>
      <c r="M1947" s="125" t="str">
        <f t="shared" si="1"/>
        <v/>
      </c>
      <c r="N1947" s="125" t="str">
        <f t="shared" si="2"/>
        <v/>
      </c>
      <c r="O1947" s="125"/>
      <c r="P1947" s="125"/>
      <c r="Q1947" s="125"/>
      <c r="R1947" s="125"/>
      <c r="S1947" s="628">
        <f t="shared" si="3"/>
        <v>0</v>
      </c>
      <c r="T1947" s="627" t="s">
        <v>51</v>
      </c>
      <c r="U1947" s="627" t="s">
        <v>51</v>
      </c>
      <c r="V1947" s="627" t="s">
        <v>51</v>
      </c>
      <c r="W1947" s="627" t="s">
        <v>51</v>
      </c>
      <c r="X1947" s="627" t="s">
        <v>51</v>
      </c>
      <c r="Y1947" s="89"/>
    </row>
    <row r="1948" ht="22.5" customHeight="1">
      <c r="A1948" s="223"/>
      <c r="B1948" s="125"/>
      <c r="C1948" s="125"/>
      <c r="D1948" s="125"/>
      <c r="E1948" s="125"/>
      <c r="F1948" s="125"/>
      <c r="G1948" s="125"/>
      <c r="H1948" s="125"/>
      <c r="I1948" s="627" t="s">
        <v>51</v>
      </c>
      <c r="J1948" s="125" t="s">
        <v>51</v>
      </c>
      <c r="K1948" s="125" t="s">
        <v>51</v>
      </c>
      <c r="L1948" s="125" t="s">
        <v>51</v>
      </c>
      <c r="M1948" s="125" t="str">
        <f t="shared" si="1"/>
        <v/>
      </c>
      <c r="N1948" s="125" t="str">
        <f t="shared" si="2"/>
        <v/>
      </c>
      <c r="O1948" s="125"/>
      <c r="P1948" s="125"/>
      <c r="Q1948" s="125"/>
      <c r="R1948" s="125"/>
      <c r="S1948" s="628">
        <f t="shared" si="3"/>
        <v>0</v>
      </c>
      <c r="T1948" s="627" t="s">
        <v>51</v>
      </c>
      <c r="U1948" s="627" t="s">
        <v>51</v>
      </c>
      <c r="V1948" s="627" t="s">
        <v>51</v>
      </c>
      <c r="W1948" s="627" t="s">
        <v>51</v>
      </c>
      <c r="X1948" s="627" t="s">
        <v>51</v>
      </c>
      <c r="Y1948" s="89"/>
    </row>
    <row r="1949" ht="22.5" customHeight="1">
      <c r="A1949" s="223"/>
      <c r="B1949" s="125"/>
      <c r="C1949" s="125"/>
      <c r="D1949" s="125"/>
      <c r="E1949" s="125"/>
      <c r="F1949" s="125"/>
      <c r="G1949" s="125"/>
      <c r="H1949" s="125"/>
      <c r="I1949" s="627" t="s">
        <v>51</v>
      </c>
      <c r="J1949" s="125" t="s">
        <v>51</v>
      </c>
      <c r="K1949" s="125" t="s">
        <v>51</v>
      </c>
      <c r="L1949" s="125" t="s">
        <v>51</v>
      </c>
      <c r="M1949" s="125" t="str">
        <f t="shared" si="1"/>
        <v/>
      </c>
      <c r="N1949" s="125" t="str">
        <f t="shared" si="2"/>
        <v/>
      </c>
      <c r="O1949" s="125"/>
      <c r="P1949" s="125"/>
      <c r="Q1949" s="125"/>
      <c r="R1949" s="125"/>
      <c r="S1949" s="628">
        <f t="shared" si="3"/>
        <v>0</v>
      </c>
      <c r="T1949" s="627" t="s">
        <v>51</v>
      </c>
      <c r="U1949" s="627" t="s">
        <v>51</v>
      </c>
      <c r="V1949" s="627" t="s">
        <v>51</v>
      </c>
      <c r="W1949" s="627" t="s">
        <v>51</v>
      </c>
      <c r="X1949" s="627" t="s">
        <v>51</v>
      </c>
      <c r="Y1949" s="89"/>
    </row>
    <row r="1950" ht="22.5" customHeight="1">
      <c r="A1950" s="223"/>
      <c r="B1950" s="125"/>
      <c r="C1950" s="125"/>
      <c r="D1950" s="125"/>
      <c r="E1950" s="125"/>
      <c r="F1950" s="125"/>
      <c r="G1950" s="125"/>
      <c r="H1950" s="125"/>
      <c r="I1950" s="627" t="s">
        <v>51</v>
      </c>
      <c r="J1950" s="125" t="s">
        <v>51</v>
      </c>
      <c r="K1950" s="125" t="s">
        <v>51</v>
      </c>
      <c r="L1950" s="125" t="s">
        <v>51</v>
      </c>
      <c r="M1950" s="125" t="str">
        <f t="shared" si="1"/>
        <v/>
      </c>
      <c r="N1950" s="125" t="str">
        <f t="shared" si="2"/>
        <v/>
      </c>
      <c r="O1950" s="125"/>
      <c r="P1950" s="125"/>
      <c r="Q1950" s="125"/>
      <c r="R1950" s="125"/>
      <c r="S1950" s="628">
        <f t="shared" si="3"/>
        <v>0</v>
      </c>
      <c r="T1950" s="627" t="s">
        <v>51</v>
      </c>
      <c r="U1950" s="627" t="s">
        <v>51</v>
      </c>
      <c r="V1950" s="627" t="s">
        <v>51</v>
      </c>
      <c r="W1950" s="627" t="s">
        <v>51</v>
      </c>
      <c r="X1950" s="627" t="s">
        <v>51</v>
      </c>
      <c r="Y1950" s="89"/>
    </row>
    <row r="1951" ht="22.5" customHeight="1">
      <c r="A1951" s="223"/>
      <c r="B1951" s="125"/>
      <c r="C1951" s="125"/>
      <c r="D1951" s="125"/>
      <c r="E1951" s="125"/>
      <c r="F1951" s="125"/>
      <c r="G1951" s="125"/>
      <c r="H1951" s="125"/>
      <c r="I1951" s="627" t="s">
        <v>51</v>
      </c>
      <c r="J1951" s="125" t="s">
        <v>51</v>
      </c>
      <c r="K1951" s="125" t="s">
        <v>51</v>
      </c>
      <c r="L1951" s="125" t="s">
        <v>51</v>
      </c>
      <c r="M1951" s="125" t="str">
        <f t="shared" si="1"/>
        <v/>
      </c>
      <c r="N1951" s="125" t="str">
        <f t="shared" si="2"/>
        <v/>
      </c>
      <c r="O1951" s="125"/>
      <c r="P1951" s="125"/>
      <c r="Q1951" s="125"/>
      <c r="R1951" s="125"/>
      <c r="S1951" s="628">
        <f t="shared" si="3"/>
        <v>0</v>
      </c>
      <c r="T1951" s="627" t="s">
        <v>51</v>
      </c>
      <c r="U1951" s="627" t="s">
        <v>51</v>
      </c>
      <c r="V1951" s="627" t="s">
        <v>51</v>
      </c>
      <c r="W1951" s="627" t="s">
        <v>51</v>
      </c>
      <c r="X1951" s="627" t="s">
        <v>51</v>
      </c>
      <c r="Y1951" s="89"/>
    </row>
    <row r="1952" ht="22.5" customHeight="1">
      <c r="A1952" s="223"/>
      <c r="B1952" s="125"/>
      <c r="C1952" s="125"/>
      <c r="D1952" s="125"/>
      <c r="E1952" s="125"/>
      <c r="F1952" s="125"/>
      <c r="G1952" s="125"/>
      <c r="H1952" s="125"/>
      <c r="I1952" s="627" t="s">
        <v>51</v>
      </c>
      <c r="J1952" s="125" t="s">
        <v>51</v>
      </c>
      <c r="K1952" s="125" t="s">
        <v>51</v>
      </c>
      <c r="L1952" s="125" t="s">
        <v>51</v>
      </c>
      <c r="M1952" s="125" t="str">
        <f t="shared" si="1"/>
        <v/>
      </c>
      <c r="N1952" s="125" t="str">
        <f t="shared" si="2"/>
        <v/>
      </c>
      <c r="O1952" s="125"/>
      <c r="P1952" s="125"/>
      <c r="Q1952" s="125"/>
      <c r="R1952" s="125"/>
      <c r="S1952" s="628">
        <f t="shared" si="3"/>
        <v>0</v>
      </c>
      <c r="T1952" s="627" t="s">
        <v>51</v>
      </c>
      <c r="U1952" s="627" t="s">
        <v>51</v>
      </c>
      <c r="V1952" s="627" t="s">
        <v>51</v>
      </c>
      <c r="W1952" s="627" t="s">
        <v>51</v>
      </c>
      <c r="X1952" s="627" t="s">
        <v>51</v>
      </c>
      <c r="Y1952" s="89"/>
    </row>
    <row r="1953" ht="22.5" customHeight="1">
      <c r="A1953" s="223"/>
      <c r="B1953" s="125"/>
      <c r="C1953" s="125"/>
      <c r="D1953" s="125"/>
      <c r="E1953" s="125"/>
      <c r="F1953" s="125"/>
      <c r="G1953" s="125"/>
      <c r="H1953" s="125"/>
      <c r="I1953" s="627" t="s">
        <v>51</v>
      </c>
      <c r="J1953" s="125" t="s">
        <v>51</v>
      </c>
      <c r="K1953" s="125" t="s">
        <v>51</v>
      </c>
      <c r="L1953" s="125" t="s">
        <v>51</v>
      </c>
      <c r="M1953" s="125" t="str">
        <f t="shared" si="1"/>
        <v/>
      </c>
      <c r="N1953" s="125" t="str">
        <f t="shared" si="2"/>
        <v/>
      </c>
      <c r="O1953" s="125"/>
      <c r="P1953" s="125"/>
      <c r="Q1953" s="125"/>
      <c r="R1953" s="125"/>
      <c r="S1953" s="628">
        <f t="shared" si="3"/>
        <v>0</v>
      </c>
      <c r="T1953" s="627" t="s">
        <v>51</v>
      </c>
      <c r="U1953" s="627" t="s">
        <v>51</v>
      </c>
      <c r="V1953" s="627" t="s">
        <v>51</v>
      </c>
      <c r="W1953" s="627" t="s">
        <v>51</v>
      </c>
      <c r="X1953" s="627" t="s">
        <v>51</v>
      </c>
      <c r="Y1953" s="89"/>
    </row>
    <row r="1954" ht="22.5" customHeight="1">
      <c r="A1954" s="223"/>
      <c r="B1954" s="125"/>
      <c r="C1954" s="125"/>
      <c r="D1954" s="125"/>
      <c r="E1954" s="125"/>
      <c r="F1954" s="125"/>
      <c r="G1954" s="125"/>
      <c r="H1954" s="125"/>
      <c r="I1954" s="627" t="s">
        <v>51</v>
      </c>
      <c r="J1954" s="125" t="s">
        <v>51</v>
      </c>
      <c r="K1954" s="125" t="s">
        <v>51</v>
      </c>
      <c r="L1954" s="125" t="s">
        <v>51</v>
      </c>
      <c r="M1954" s="125" t="str">
        <f t="shared" si="1"/>
        <v/>
      </c>
      <c r="N1954" s="125" t="str">
        <f t="shared" si="2"/>
        <v/>
      </c>
      <c r="O1954" s="125"/>
      <c r="P1954" s="125"/>
      <c r="Q1954" s="125"/>
      <c r="R1954" s="125"/>
      <c r="S1954" s="628">
        <f t="shared" si="3"/>
        <v>0</v>
      </c>
      <c r="T1954" s="627" t="s">
        <v>51</v>
      </c>
      <c r="U1954" s="627" t="s">
        <v>51</v>
      </c>
      <c r="V1954" s="627" t="s">
        <v>51</v>
      </c>
      <c r="W1954" s="627" t="s">
        <v>51</v>
      </c>
      <c r="X1954" s="627" t="s">
        <v>51</v>
      </c>
      <c r="Y1954" s="89"/>
    </row>
    <row r="1955" ht="22.5" customHeight="1">
      <c r="A1955" s="223"/>
      <c r="B1955" s="125"/>
      <c r="C1955" s="125"/>
      <c r="D1955" s="125"/>
      <c r="E1955" s="125"/>
      <c r="F1955" s="125"/>
      <c r="G1955" s="125"/>
      <c r="H1955" s="125"/>
      <c r="I1955" s="627" t="s">
        <v>51</v>
      </c>
      <c r="J1955" s="125" t="s">
        <v>51</v>
      </c>
      <c r="K1955" s="125" t="s">
        <v>51</v>
      </c>
      <c r="L1955" s="125" t="s">
        <v>51</v>
      </c>
      <c r="M1955" s="125" t="str">
        <f t="shared" si="1"/>
        <v/>
      </c>
      <c r="N1955" s="125" t="str">
        <f t="shared" si="2"/>
        <v/>
      </c>
      <c r="O1955" s="125"/>
      <c r="P1955" s="125"/>
      <c r="Q1955" s="125"/>
      <c r="R1955" s="125"/>
      <c r="S1955" s="628">
        <f t="shared" si="3"/>
        <v>0</v>
      </c>
      <c r="T1955" s="627" t="s">
        <v>51</v>
      </c>
      <c r="U1955" s="627" t="s">
        <v>51</v>
      </c>
      <c r="V1955" s="627" t="s">
        <v>51</v>
      </c>
      <c r="W1955" s="627" t="s">
        <v>51</v>
      </c>
      <c r="X1955" s="627" t="s">
        <v>51</v>
      </c>
      <c r="Y1955" s="89"/>
    </row>
    <row r="1956" ht="22.5" customHeight="1">
      <c r="A1956" s="223"/>
      <c r="B1956" s="125"/>
      <c r="C1956" s="125"/>
      <c r="D1956" s="125"/>
      <c r="E1956" s="125"/>
      <c r="F1956" s="125"/>
      <c r="G1956" s="125"/>
      <c r="H1956" s="125"/>
      <c r="I1956" s="627" t="s">
        <v>51</v>
      </c>
      <c r="J1956" s="125" t="s">
        <v>51</v>
      </c>
      <c r="K1956" s="125" t="s">
        <v>51</v>
      </c>
      <c r="L1956" s="125" t="s">
        <v>51</v>
      </c>
      <c r="M1956" s="125" t="str">
        <f t="shared" si="1"/>
        <v/>
      </c>
      <c r="N1956" s="125" t="str">
        <f t="shared" si="2"/>
        <v/>
      </c>
      <c r="O1956" s="125"/>
      <c r="P1956" s="125"/>
      <c r="Q1956" s="125"/>
      <c r="R1956" s="125"/>
      <c r="S1956" s="628">
        <f t="shared" si="3"/>
        <v>0</v>
      </c>
      <c r="T1956" s="627" t="s">
        <v>51</v>
      </c>
      <c r="U1956" s="627" t="s">
        <v>51</v>
      </c>
      <c r="V1956" s="627" t="s">
        <v>51</v>
      </c>
      <c r="W1956" s="627" t="s">
        <v>51</v>
      </c>
      <c r="X1956" s="627" t="s">
        <v>51</v>
      </c>
      <c r="Y1956" s="89"/>
    </row>
    <row r="1957" ht="22.5" customHeight="1">
      <c r="A1957" s="223"/>
      <c r="B1957" s="125"/>
      <c r="C1957" s="125"/>
      <c r="D1957" s="125"/>
      <c r="E1957" s="125"/>
      <c r="F1957" s="125"/>
      <c r="G1957" s="125"/>
      <c r="H1957" s="125"/>
      <c r="I1957" s="627" t="s">
        <v>51</v>
      </c>
      <c r="J1957" s="125" t="s">
        <v>51</v>
      </c>
      <c r="K1957" s="125" t="s">
        <v>51</v>
      </c>
      <c r="L1957" s="125" t="s">
        <v>51</v>
      </c>
      <c r="M1957" s="125" t="str">
        <f t="shared" si="1"/>
        <v/>
      </c>
      <c r="N1957" s="125" t="str">
        <f t="shared" si="2"/>
        <v/>
      </c>
      <c r="O1957" s="125"/>
      <c r="P1957" s="125"/>
      <c r="Q1957" s="125"/>
      <c r="R1957" s="125"/>
      <c r="S1957" s="628">
        <f t="shared" si="3"/>
        <v>0</v>
      </c>
      <c r="T1957" s="627" t="s">
        <v>51</v>
      </c>
      <c r="U1957" s="627" t="s">
        <v>51</v>
      </c>
      <c r="V1957" s="627" t="s">
        <v>51</v>
      </c>
      <c r="W1957" s="627" t="s">
        <v>51</v>
      </c>
      <c r="X1957" s="627" t="s">
        <v>51</v>
      </c>
      <c r="Y1957" s="89"/>
    </row>
    <row r="1958" ht="22.5" customHeight="1">
      <c r="A1958" s="223"/>
      <c r="B1958" s="125"/>
      <c r="C1958" s="125"/>
      <c r="D1958" s="125"/>
      <c r="E1958" s="125"/>
      <c r="F1958" s="125"/>
      <c r="G1958" s="125"/>
      <c r="H1958" s="125"/>
      <c r="I1958" s="627" t="s">
        <v>51</v>
      </c>
      <c r="J1958" s="125" t="s">
        <v>51</v>
      </c>
      <c r="K1958" s="125" t="s">
        <v>51</v>
      </c>
      <c r="L1958" s="125" t="s">
        <v>51</v>
      </c>
      <c r="M1958" s="125" t="str">
        <f t="shared" si="1"/>
        <v/>
      </c>
      <c r="N1958" s="125" t="str">
        <f t="shared" si="2"/>
        <v/>
      </c>
      <c r="O1958" s="125"/>
      <c r="P1958" s="125"/>
      <c r="Q1958" s="125"/>
      <c r="R1958" s="125"/>
      <c r="S1958" s="628">
        <f t="shared" si="3"/>
        <v>0</v>
      </c>
      <c r="T1958" s="627" t="s">
        <v>51</v>
      </c>
      <c r="U1958" s="627" t="s">
        <v>51</v>
      </c>
      <c r="V1958" s="627" t="s">
        <v>51</v>
      </c>
      <c r="W1958" s="627" t="s">
        <v>51</v>
      </c>
      <c r="X1958" s="627" t="s">
        <v>51</v>
      </c>
      <c r="Y1958" s="89"/>
    </row>
    <row r="1959" ht="22.5" customHeight="1">
      <c r="A1959" s="223"/>
      <c r="B1959" s="125"/>
      <c r="C1959" s="125"/>
      <c r="D1959" s="125"/>
      <c r="E1959" s="125"/>
      <c r="F1959" s="125"/>
      <c r="G1959" s="125"/>
      <c r="H1959" s="125"/>
      <c r="I1959" s="627" t="s">
        <v>51</v>
      </c>
      <c r="J1959" s="125" t="s">
        <v>51</v>
      </c>
      <c r="K1959" s="125" t="s">
        <v>51</v>
      </c>
      <c r="L1959" s="125" t="s">
        <v>51</v>
      </c>
      <c r="M1959" s="125" t="str">
        <f t="shared" si="1"/>
        <v/>
      </c>
      <c r="N1959" s="125" t="str">
        <f t="shared" si="2"/>
        <v/>
      </c>
      <c r="O1959" s="125"/>
      <c r="P1959" s="125"/>
      <c r="Q1959" s="125"/>
      <c r="R1959" s="125"/>
      <c r="S1959" s="628">
        <f t="shared" si="3"/>
        <v>0</v>
      </c>
      <c r="T1959" s="627" t="s">
        <v>51</v>
      </c>
      <c r="U1959" s="627" t="s">
        <v>51</v>
      </c>
      <c r="V1959" s="627" t="s">
        <v>51</v>
      </c>
      <c r="W1959" s="627" t="s">
        <v>51</v>
      </c>
      <c r="X1959" s="627" t="s">
        <v>51</v>
      </c>
      <c r="Y1959" s="89"/>
    </row>
    <row r="1960" ht="22.5" customHeight="1">
      <c r="A1960" s="223"/>
      <c r="B1960" s="125"/>
      <c r="C1960" s="125"/>
      <c r="D1960" s="125"/>
      <c r="E1960" s="125"/>
      <c r="F1960" s="125"/>
      <c r="G1960" s="125"/>
      <c r="H1960" s="125"/>
      <c r="I1960" s="627" t="s">
        <v>51</v>
      </c>
      <c r="J1960" s="125" t="s">
        <v>51</v>
      </c>
      <c r="K1960" s="125" t="s">
        <v>51</v>
      </c>
      <c r="L1960" s="125" t="s">
        <v>51</v>
      </c>
      <c r="M1960" s="125" t="str">
        <f t="shared" si="1"/>
        <v/>
      </c>
      <c r="N1960" s="125" t="str">
        <f t="shared" si="2"/>
        <v/>
      </c>
      <c r="O1960" s="125"/>
      <c r="P1960" s="125"/>
      <c r="Q1960" s="125"/>
      <c r="R1960" s="125"/>
      <c r="S1960" s="628">
        <f t="shared" si="3"/>
        <v>0</v>
      </c>
      <c r="T1960" s="627" t="s">
        <v>51</v>
      </c>
      <c r="U1960" s="627" t="s">
        <v>51</v>
      </c>
      <c r="V1960" s="627" t="s">
        <v>51</v>
      </c>
      <c r="W1960" s="627" t="s">
        <v>51</v>
      </c>
      <c r="X1960" s="627" t="s">
        <v>51</v>
      </c>
      <c r="Y1960" s="89"/>
    </row>
    <row r="1961" ht="22.5" customHeight="1">
      <c r="A1961" s="223"/>
      <c r="B1961" s="125"/>
      <c r="C1961" s="125"/>
      <c r="D1961" s="125"/>
      <c r="E1961" s="125"/>
      <c r="F1961" s="125"/>
      <c r="G1961" s="125"/>
      <c r="H1961" s="125"/>
      <c r="I1961" s="627" t="s">
        <v>51</v>
      </c>
      <c r="J1961" s="125" t="s">
        <v>51</v>
      </c>
      <c r="K1961" s="125" t="s">
        <v>51</v>
      </c>
      <c r="L1961" s="125" t="s">
        <v>51</v>
      </c>
      <c r="M1961" s="125" t="str">
        <f t="shared" si="1"/>
        <v/>
      </c>
      <c r="N1961" s="125" t="str">
        <f t="shared" si="2"/>
        <v/>
      </c>
      <c r="O1961" s="125"/>
      <c r="P1961" s="125"/>
      <c r="Q1961" s="125"/>
      <c r="R1961" s="125"/>
      <c r="S1961" s="628">
        <f t="shared" si="3"/>
        <v>0</v>
      </c>
      <c r="T1961" s="627" t="s">
        <v>51</v>
      </c>
      <c r="U1961" s="627" t="s">
        <v>51</v>
      </c>
      <c r="V1961" s="627" t="s">
        <v>51</v>
      </c>
      <c r="W1961" s="627" t="s">
        <v>51</v>
      </c>
      <c r="X1961" s="627" t="s">
        <v>51</v>
      </c>
      <c r="Y1961" s="89"/>
    </row>
    <row r="1962" ht="22.5" customHeight="1">
      <c r="A1962" s="223"/>
      <c r="B1962" s="125"/>
      <c r="C1962" s="125"/>
      <c r="D1962" s="125"/>
      <c r="E1962" s="125"/>
      <c r="F1962" s="125"/>
      <c r="G1962" s="125"/>
      <c r="H1962" s="125"/>
      <c r="I1962" s="627" t="s">
        <v>51</v>
      </c>
      <c r="J1962" s="125" t="s">
        <v>51</v>
      </c>
      <c r="K1962" s="125" t="s">
        <v>51</v>
      </c>
      <c r="L1962" s="125" t="s">
        <v>51</v>
      </c>
      <c r="M1962" s="125" t="str">
        <f t="shared" si="1"/>
        <v/>
      </c>
      <c r="N1962" s="125" t="str">
        <f t="shared" si="2"/>
        <v/>
      </c>
      <c r="O1962" s="125"/>
      <c r="P1962" s="125"/>
      <c r="Q1962" s="125"/>
      <c r="R1962" s="125"/>
      <c r="S1962" s="628">
        <f t="shared" si="3"/>
        <v>0</v>
      </c>
      <c r="T1962" s="627" t="s">
        <v>51</v>
      </c>
      <c r="U1962" s="627" t="s">
        <v>51</v>
      </c>
      <c r="V1962" s="627" t="s">
        <v>51</v>
      </c>
      <c r="W1962" s="627" t="s">
        <v>51</v>
      </c>
      <c r="X1962" s="627" t="s">
        <v>51</v>
      </c>
      <c r="Y1962" s="89"/>
    </row>
    <row r="1963" ht="22.5" customHeight="1">
      <c r="A1963" s="223"/>
      <c r="B1963" s="125"/>
      <c r="C1963" s="125"/>
      <c r="D1963" s="125"/>
      <c r="E1963" s="125"/>
      <c r="F1963" s="125"/>
      <c r="G1963" s="125"/>
      <c r="H1963" s="125"/>
      <c r="I1963" s="627" t="s">
        <v>51</v>
      </c>
      <c r="J1963" s="125" t="s">
        <v>51</v>
      </c>
      <c r="K1963" s="125" t="s">
        <v>51</v>
      </c>
      <c r="L1963" s="125" t="s">
        <v>51</v>
      </c>
      <c r="M1963" s="125" t="str">
        <f t="shared" si="1"/>
        <v/>
      </c>
      <c r="N1963" s="125" t="str">
        <f t="shared" si="2"/>
        <v/>
      </c>
      <c r="O1963" s="125"/>
      <c r="P1963" s="125"/>
      <c r="Q1963" s="125"/>
      <c r="R1963" s="125"/>
      <c r="S1963" s="628">
        <f t="shared" si="3"/>
        <v>0</v>
      </c>
      <c r="T1963" s="627" t="s">
        <v>51</v>
      </c>
      <c r="U1963" s="627" t="s">
        <v>51</v>
      </c>
      <c r="V1963" s="627" t="s">
        <v>51</v>
      </c>
      <c r="W1963" s="627" t="s">
        <v>51</v>
      </c>
      <c r="X1963" s="627" t="s">
        <v>51</v>
      </c>
      <c r="Y1963" s="89"/>
    </row>
    <row r="1964" ht="22.5" customHeight="1">
      <c r="A1964" s="223"/>
      <c r="B1964" s="125"/>
      <c r="C1964" s="125"/>
      <c r="D1964" s="125"/>
      <c r="E1964" s="125"/>
      <c r="F1964" s="125"/>
      <c r="G1964" s="125"/>
      <c r="H1964" s="125"/>
      <c r="I1964" s="627" t="s">
        <v>51</v>
      </c>
      <c r="J1964" s="125" t="s">
        <v>51</v>
      </c>
      <c r="K1964" s="125" t="s">
        <v>51</v>
      </c>
      <c r="L1964" s="125" t="s">
        <v>51</v>
      </c>
      <c r="M1964" s="125" t="str">
        <f t="shared" si="1"/>
        <v/>
      </c>
      <c r="N1964" s="125" t="str">
        <f t="shared" si="2"/>
        <v/>
      </c>
      <c r="O1964" s="125"/>
      <c r="P1964" s="125"/>
      <c r="Q1964" s="125"/>
      <c r="R1964" s="125"/>
      <c r="S1964" s="628">
        <f t="shared" si="3"/>
        <v>0</v>
      </c>
      <c r="T1964" s="627" t="s">
        <v>51</v>
      </c>
      <c r="U1964" s="627" t="s">
        <v>51</v>
      </c>
      <c r="V1964" s="627" t="s">
        <v>51</v>
      </c>
      <c r="W1964" s="627" t="s">
        <v>51</v>
      </c>
      <c r="X1964" s="627" t="s">
        <v>51</v>
      </c>
      <c r="Y1964" s="89"/>
    </row>
    <row r="1965" ht="22.5" customHeight="1">
      <c r="A1965" s="223"/>
      <c r="B1965" s="125"/>
      <c r="C1965" s="125"/>
      <c r="D1965" s="125"/>
      <c r="E1965" s="125"/>
      <c r="F1965" s="125"/>
      <c r="G1965" s="125"/>
      <c r="H1965" s="125"/>
      <c r="I1965" s="627" t="s">
        <v>51</v>
      </c>
      <c r="J1965" s="125" t="s">
        <v>51</v>
      </c>
      <c r="K1965" s="125" t="s">
        <v>51</v>
      </c>
      <c r="L1965" s="125" t="s">
        <v>51</v>
      </c>
      <c r="M1965" s="125" t="str">
        <f t="shared" si="1"/>
        <v/>
      </c>
      <c r="N1965" s="125" t="str">
        <f t="shared" si="2"/>
        <v/>
      </c>
      <c r="O1965" s="125"/>
      <c r="P1965" s="125"/>
      <c r="Q1965" s="125"/>
      <c r="R1965" s="125"/>
      <c r="S1965" s="628">
        <f t="shared" si="3"/>
        <v>0</v>
      </c>
      <c r="T1965" s="627" t="s">
        <v>51</v>
      </c>
      <c r="U1965" s="627" t="s">
        <v>51</v>
      </c>
      <c r="V1965" s="627" t="s">
        <v>51</v>
      </c>
      <c r="W1965" s="627" t="s">
        <v>51</v>
      </c>
      <c r="X1965" s="627" t="s">
        <v>51</v>
      </c>
      <c r="Y1965" s="89"/>
    </row>
    <row r="1966" ht="22.5" customHeight="1">
      <c r="A1966" s="223"/>
      <c r="B1966" s="125"/>
      <c r="C1966" s="125"/>
      <c r="D1966" s="125"/>
      <c r="E1966" s="125"/>
      <c r="F1966" s="125"/>
      <c r="G1966" s="125"/>
      <c r="H1966" s="125"/>
      <c r="I1966" s="627" t="s">
        <v>51</v>
      </c>
      <c r="J1966" s="125" t="s">
        <v>51</v>
      </c>
      <c r="K1966" s="125" t="s">
        <v>51</v>
      </c>
      <c r="L1966" s="125" t="s">
        <v>51</v>
      </c>
      <c r="M1966" s="125" t="str">
        <f t="shared" si="1"/>
        <v/>
      </c>
      <c r="N1966" s="125" t="str">
        <f t="shared" si="2"/>
        <v/>
      </c>
      <c r="O1966" s="125"/>
      <c r="P1966" s="125"/>
      <c r="Q1966" s="125"/>
      <c r="R1966" s="125"/>
      <c r="S1966" s="628">
        <f t="shared" si="3"/>
        <v>0</v>
      </c>
      <c r="T1966" s="627" t="s">
        <v>51</v>
      </c>
      <c r="U1966" s="627" t="s">
        <v>51</v>
      </c>
      <c r="V1966" s="627" t="s">
        <v>51</v>
      </c>
      <c r="W1966" s="627" t="s">
        <v>51</v>
      </c>
      <c r="X1966" s="627" t="s">
        <v>51</v>
      </c>
      <c r="Y1966" s="89"/>
    </row>
    <row r="1967" ht="22.5" customHeight="1">
      <c r="A1967" s="223"/>
      <c r="B1967" s="125"/>
      <c r="C1967" s="125"/>
      <c r="D1967" s="125"/>
      <c r="E1967" s="125"/>
      <c r="F1967" s="125"/>
      <c r="G1967" s="125"/>
      <c r="H1967" s="125"/>
      <c r="I1967" s="627" t="s">
        <v>51</v>
      </c>
      <c r="J1967" s="125" t="s">
        <v>51</v>
      </c>
      <c r="K1967" s="125" t="s">
        <v>51</v>
      </c>
      <c r="L1967" s="125" t="s">
        <v>51</v>
      </c>
      <c r="M1967" s="125" t="str">
        <f t="shared" si="1"/>
        <v/>
      </c>
      <c r="N1967" s="125" t="str">
        <f t="shared" si="2"/>
        <v/>
      </c>
      <c r="O1967" s="125"/>
      <c r="P1967" s="125"/>
      <c r="Q1967" s="125"/>
      <c r="R1967" s="125"/>
      <c r="S1967" s="628">
        <f t="shared" si="3"/>
        <v>0</v>
      </c>
      <c r="T1967" s="627" t="s">
        <v>51</v>
      </c>
      <c r="U1967" s="627" t="s">
        <v>51</v>
      </c>
      <c r="V1967" s="627" t="s">
        <v>51</v>
      </c>
      <c r="W1967" s="627" t="s">
        <v>51</v>
      </c>
      <c r="X1967" s="627" t="s">
        <v>51</v>
      </c>
      <c r="Y1967" s="89"/>
    </row>
    <row r="1968" ht="22.5" customHeight="1">
      <c r="A1968" s="223"/>
      <c r="B1968" s="125"/>
      <c r="C1968" s="125"/>
      <c r="D1968" s="125"/>
      <c r="E1968" s="125"/>
      <c r="F1968" s="125"/>
      <c r="G1968" s="125"/>
      <c r="H1968" s="125"/>
      <c r="I1968" s="627" t="s">
        <v>51</v>
      </c>
      <c r="J1968" s="125" t="s">
        <v>51</v>
      </c>
      <c r="K1968" s="125" t="s">
        <v>51</v>
      </c>
      <c r="L1968" s="125" t="s">
        <v>51</v>
      </c>
      <c r="M1968" s="125" t="str">
        <f t="shared" si="1"/>
        <v/>
      </c>
      <c r="N1968" s="125" t="str">
        <f t="shared" si="2"/>
        <v/>
      </c>
      <c r="O1968" s="125"/>
      <c r="P1968" s="125"/>
      <c r="Q1968" s="125"/>
      <c r="R1968" s="125"/>
      <c r="S1968" s="628">
        <f t="shared" si="3"/>
        <v>0</v>
      </c>
      <c r="T1968" s="627" t="s">
        <v>51</v>
      </c>
      <c r="U1968" s="627" t="s">
        <v>51</v>
      </c>
      <c r="V1968" s="627" t="s">
        <v>51</v>
      </c>
      <c r="W1968" s="627" t="s">
        <v>51</v>
      </c>
      <c r="X1968" s="627" t="s">
        <v>51</v>
      </c>
      <c r="Y1968" s="89"/>
    </row>
    <row r="1969" ht="22.5" customHeight="1">
      <c r="A1969" s="223"/>
      <c r="B1969" s="125"/>
      <c r="C1969" s="125"/>
      <c r="D1969" s="125"/>
      <c r="E1969" s="125"/>
      <c r="F1969" s="125"/>
      <c r="G1969" s="125"/>
      <c r="H1969" s="125"/>
      <c r="I1969" s="627" t="s">
        <v>51</v>
      </c>
      <c r="J1969" s="125" t="s">
        <v>51</v>
      </c>
      <c r="K1969" s="125" t="s">
        <v>51</v>
      </c>
      <c r="L1969" s="125" t="s">
        <v>51</v>
      </c>
      <c r="M1969" s="125" t="str">
        <f t="shared" si="1"/>
        <v/>
      </c>
      <c r="N1969" s="125" t="str">
        <f t="shared" si="2"/>
        <v/>
      </c>
      <c r="O1969" s="125"/>
      <c r="P1969" s="125"/>
      <c r="Q1969" s="125"/>
      <c r="R1969" s="125"/>
      <c r="S1969" s="628">
        <f t="shared" si="3"/>
        <v>0</v>
      </c>
      <c r="T1969" s="627" t="s">
        <v>51</v>
      </c>
      <c r="U1969" s="627" t="s">
        <v>51</v>
      </c>
      <c r="V1969" s="627" t="s">
        <v>51</v>
      </c>
      <c r="W1969" s="627" t="s">
        <v>51</v>
      </c>
      <c r="X1969" s="627" t="s">
        <v>51</v>
      </c>
      <c r="Y1969" s="89"/>
    </row>
    <row r="1970" ht="22.5" customHeight="1">
      <c r="A1970" s="223"/>
      <c r="B1970" s="125"/>
      <c r="C1970" s="125"/>
      <c r="D1970" s="125"/>
      <c r="E1970" s="125"/>
      <c r="F1970" s="125"/>
      <c r="G1970" s="125"/>
      <c r="H1970" s="125"/>
      <c r="I1970" s="627" t="s">
        <v>51</v>
      </c>
      <c r="J1970" s="125" t="s">
        <v>51</v>
      </c>
      <c r="K1970" s="125" t="s">
        <v>51</v>
      </c>
      <c r="L1970" s="125" t="s">
        <v>51</v>
      </c>
      <c r="M1970" s="125" t="str">
        <f t="shared" si="1"/>
        <v/>
      </c>
      <c r="N1970" s="125" t="str">
        <f t="shared" si="2"/>
        <v/>
      </c>
      <c r="O1970" s="125"/>
      <c r="P1970" s="125"/>
      <c r="Q1970" s="125"/>
      <c r="R1970" s="125"/>
      <c r="S1970" s="628">
        <f t="shared" si="3"/>
        <v>0</v>
      </c>
      <c r="T1970" s="627" t="s">
        <v>51</v>
      </c>
      <c r="U1970" s="627" t="s">
        <v>51</v>
      </c>
      <c r="V1970" s="627" t="s">
        <v>51</v>
      </c>
      <c r="W1970" s="627" t="s">
        <v>51</v>
      </c>
      <c r="X1970" s="627" t="s">
        <v>51</v>
      </c>
      <c r="Y1970" s="89"/>
    </row>
    <row r="1971" ht="22.5" customHeight="1">
      <c r="A1971" s="223"/>
      <c r="B1971" s="125"/>
      <c r="C1971" s="125"/>
      <c r="D1971" s="125"/>
      <c r="E1971" s="125"/>
      <c r="F1971" s="125"/>
      <c r="G1971" s="125"/>
      <c r="H1971" s="125"/>
      <c r="I1971" s="627" t="s">
        <v>51</v>
      </c>
      <c r="J1971" s="125" t="s">
        <v>51</v>
      </c>
      <c r="K1971" s="125" t="s">
        <v>51</v>
      </c>
      <c r="L1971" s="125" t="s">
        <v>51</v>
      </c>
      <c r="M1971" s="125" t="str">
        <f t="shared" si="1"/>
        <v/>
      </c>
      <c r="N1971" s="125" t="str">
        <f t="shared" si="2"/>
        <v/>
      </c>
      <c r="O1971" s="125"/>
      <c r="P1971" s="125"/>
      <c r="Q1971" s="125"/>
      <c r="R1971" s="125"/>
      <c r="S1971" s="628">
        <f t="shared" si="3"/>
        <v>0</v>
      </c>
      <c r="T1971" s="627" t="s">
        <v>51</v>
      </c>
      <c r="U1971" s="627" t="s">
        <v>51</v>
      </c>
      <c r="V1971" s="627" t="s">
        <v>51</v>
      </c>
      <c r="W1971" s="627" t="s">
        <v>51</v>
      </c>
      <c r="X1971" s="627" t="s">
        <v>51</v>
      </c>
      <c r="Y1971" s="89"/>
    </row>
    <row r="1972" ht="22.5" customHeight="1">
      <c r="A1972" s="223"/>
      <c r="B1972" s="125"/>
      <c r="C1972" s="125"/>
      <c r="D1972" s="125"/>
      <c r="E1972" s="125"/>
      <c r="F1972" s="125"/>
      <c r="G1972" s="125"/>
      <c r="H1972" s="125"/>
      <c r="I1972" s="627" t="s">
        <v>51</v>
      </c>
      <c r="J1972" s="125" t="s">
        <v>51</v>
      </c>
      <c r="K1972" s="125" t="s">
        <v>51</v>
      </c>
      <c r="L1972" s="125" t="s">
        <v>51</v>
      </c>
      <c r="M1972" s="125" t="str">
        <f t="shared" si="1"/>
        <v/>
      </c>
      <c r="N1972" s="125" t="str">
        <f t="shared" si="2"/>
        <v/>
      </c>
      <c r="O1972" s="125"/>
      <c r="P1972" s="125"/>
      <c r="Q1972" s="125"/>
      <c r="R1972" s="125"/>
      <c r="S1972" s="628">
        <f t="shared" si="3"/>
        <v>0</v>
      </c>
      <c r="T1972" s="627" t="s">
        <v>51</v>
      </c>
      <c r="U1972" s="627" t="s">
        <v>51</v>
      </c>
      <c r="V1972" s="627" t="s">
        <v>51</v>
      </c>
      <c r="W1972" s="627" t="s">
        <v>51</v>
      </c>
      <c r="X1972" s="627" t="s">
        <v>51</v>
      </c>
      <c r="Y1972" s="89"/>
    </row>
    <row r="1973" ht="22.5" customHeight="1">
      <c r="A1973" s="223"/>
      <c r="B1973" s="125"/>
      <c r="C1973" s="125"/>
      <c r="D1973" s="125"/>
      <c r="E1973" s="125"/>
      <c r="F1973" s="125"/>
      <c r="G1973" s="125"/>
      <c r="H1973" s="125"/>
      <c r="I1973" s="627" t="s">
        <v>51</v>
      </c>
      <c r="J1973" s="125" t="s">
        <v>51</v>
      </c>
      <c r="K1973" s="125" t="s">
        <v>51</v>
      </c>
      <c r="L1973" s="125" t="s">
        <v>51</v>
      </c>
      <c r="M1973" s="125" t="str">
        <f t="shared" si="1"/>
        <v/>
      </c>
      <c r="N1973" s="125" t="str">
        <f t="shared" si="2"/>
        <v/>
      </c>
      <c r="O1973" s="125"/>
      <c r="P1973" s="125"/>
      <c r="Q1973" s="125"/>
      <c r="R1973" s="125"/>
      <c r="S1973" s="628">
        <f t="shared" si="3"/>
        <v>0</v>
      </c>
      <c r="T1973" s="627" t="s">
        <v>51</v>
      </c>
      <c r="U1973" s="627" t="s">
        <v>51</v>
      </c>
      <c r="V1973" s="627" t="s">
        <v>51</v>
      </c>
      <c r="W1973" s="627" t="s">
        <v>51</v>
      </c>
      <c r="X1973" s="627" t="s">
        <v>51</v>
      </c>
      <c r="Y1973" s="89"/>
    </row>
    <row r="1974" ht="22.5" customHeight="1">
      <c r="A1974" s="223"/>
      <c r="B1974" s="125"/>
      <c r="C1974" s="125"/>
      <c r="D1974" s="125"/>
      <c r="E1974" s="125"/>
      <c r="F1974" s="125"/>
      <c r="G1974" s="125"/>
      <c r="H1974" s="125"/>
      <c r="I1974" s="627" t="s">
        <v>51</v>
      </c>
      <c r="J1974" s="125" t="s">
        <v>51</v>
      </c>
      <c r="K1974" s="125" t="s">
        <v>51</v>
      </c>
      <c r="L1974" s="125" t="s">
        <v>51</v>
      </c>
      <c r="M1974" s="125" t="str">
        <f t="shared" si="1"/>
        <v/>
      </c>
      <c r="N1974" s="125" t="str">
        <f t="shared" si="2"/>
        <v/>
      </c>
      <c r="O1974" s="125"/>
      <c r="P1974" s="125"/>
      <c r="Q1974" s="125"/>
      <c r="R1974" s="125"/>
      <c r="S1974" s="628">
        <f t="shared" si="3"/>
        <v>0</v>
      </c>
      <c r="T1974" s="627" t="s">
        <v>51</v>
      </c>
      <c r="U1974" s="627" t="s">
        <v>51</v>
      </c>
      <c r="V1974" s="627" t="s">
        <v>51</v>
      </c>
      <c r="W1974" s="627" t="s">
        <v>51</v>
      </c>
      <c r="X1974" s="627" t="s">
        <v>51</v>
      </c>
      <c r="Y1974" s="89"/>
    </row>
    <row r="1975" ht="22.5" customHeight="1">
      <c r="A1975" s="223"/>
      <c r="B1975" s="125"/>
      <c r="C1975" s="125"/>
      <c r="D1975" s="125"/>
      <c r="E1975" s="125"/>
      <c r="F1975" s="125"/>
      <c r="G1975" s="125"/>
      <c r="H1975" s="125"/>
      <c r="I1975" s="627" t="s">
        <v>51</v>
      </c>
      <c r="J1975" s="125" t="s">
        <v>51</v>
      </c>
      <c r="K1975" s="125" t="s">
        <v>51</v>
      </c>
      <c r="L1975" s="125" t="s">
        <v>51</v>
      </c>
      <c r="M1975" s="125" t="str">
        <f t="shared" si="1"/>
        <v/>
      </c>
      <c r="N1975" s="125" t="str">
        <f t="shared" si="2"/>
        <v/>
      </c>
      <c r="O1975" s="125"/>
      <c r="P1975" s="125"/>
      <c r="Q1975" s="125"/>
      <c r="R1975" s="125"/>
      <c r="S1975" s="628">
        <f t="shared" si="3"/>
        <v>0</v>
      </c>
      <c r="T1975" s="627" t="s">
        <v>51</v>
      </c>
      <c r="U1975" s="627" t="s">
        <v>51</v>
      </c>
      <c r="V1975" s="627" t="s">
        <v>51</v>
      </c>
      <c r="W1975" s="627" t="s">
        <v>51</v>
      </c>
      <c r="X1975" s="627" t="s">
        <v>51</v>
      </c>
      <c r="Y1975" s="89"/>
    </row>
    <row r="1976" ht="22.5" customHeight="1">
      <c r="A1976" s="223"/>
      <c r="B1976" s="125"/>
      <c r="C1976" s="125"/>
      <c r="D1976" s="125"/>
      <c r="E1976" s="125"/>
      <c r="F1976" s="125"/>
      <c r="G1976" s="125"/>
      <c r="H1976" s="125"/>
      <c r="I1976" s="627" t="s">
        <v>51</v>
      </c>
      <c r="J1976" s="125" t="s">
        <v>51</v>
      </c>
      <c r="K1976" s="125" t="s">
        <v>51</v>
      </c>
      <c r="L1976" s="125" t="s">
        <v>51</v>
      </c>
      <c r="M1976" s="125" t="str">
        <f t="shared" si="1"/>
        <v/>
      </c>
      <c r="N1976" s="125" t="str">
        <f t="shared" si="2"/>
        <v/>
      </c>
      <c r="O1976" s="125"/>
      <c r="P1976" s="125"/>
      <c r="Q1976" s="125"/>
      <c r="R1976" s="125"/>
      <c r="S1976" s="628">
        <f t="shared" si="3"/>
        <v>0</v>
      </c>
      <c r="T1976" s="627" t="s">
        <v>51</v>
      </c>
      <c r="U1976" s="627" t="s">
        <v>51</v>
      </c>
      <c r="V1976" s="627" t="s">
        <v>51</v>
      </c>
      <c r="W1976" s="627" t="s">
        <v>51</v>
      </c>
      <c r="X1976" s="627" t="s">
        <v>51</v>
      </c>
      <c r="Y1976" s="89"/>
    </row>
    <row r="1977" ht="22.5" customHeight="1">
      <c r="A1977" s="223"/>
      <c r="B1977" s="125"/>
      <c r="C1977" s="125"/>
      <c r="D1977" s="125"/>
      <c r="E1977" s="125"/>
      <c r="F1977" s="125"/>
      <c r="G1977" s="125"/>
      <c r="H1977" s="125"/>
      <c r="I1977" s="627" t="s">
        <v>51</v>
      </c>
      <c r="J1977" s="125" t="s">
        <v>51</v>
      </c>
      <c r="K1977" s="125" t="s">
        <v>51</v>
      </c>
      <c r="L1977" s="125" t="s">
        <v>51</v>
      </c>
      <c r="M1977" s="125" t="str">
        <f t="shared" si="1"/>
        <v/>
      </c>
      <c r="N1977" s="125" t="str">
        <f t="shared" si="2"/>
        <v/>
      </c>
      <c r="O1977" s="125"/>
      <c r="P1977" s="125"/>
      <c r="Q1977" s="125"/>
      <c r="R1977" s="125"/>
      <c r="S1977" s="628">
        <f t="shared" si="3"/>
        <v>0</v>
      </c>
      <c r="T1977" s="627" t="s">
        <v>51</v>
      </c>
      <c r="U1977" s="627" t="s">
        <v>51</v>
      </c>
      <c r="V1977" s="627" t="s">
        <v>51</v>
      </c>
      <c r="W1977" s="627" t="s">
        <v>51</v>
      </c>
      <c r="X1977" s="627" t="s">
        <v>51</v>
      </c>
      <c r="Y1977" s="89"/>
    </row>
    <row r="1978" ht="22.5" customHeight="1">
      <c r="A1978" s="223"/>
      <c r="B1978" s="125"/>
      <c r="C1978" s="125"/>
      <c r="D1978" s="125"/>
      <c r="E1978" s="125"/>
      <c r="F1978" s="125"/>
      <c r="G1978" s="125"/>
      <c r="H1978" s="125"/>
      <c r="I1978" s="627" t="s">
        <v>51</v>
      </c>
      <c r="J1978" s="125" t="s">
        <v>51</v>
      </c>
      <c r="K1978" s="125" t="s">
        <v>51</v>
      </c>
      <c r="L1978" s="125" t="s">
        <v>51</v>
      </c>
      <c r="M1978" s="125" t="str">
        <f t="shared" si="1"/>
        <v/>
      </c>
      <c r="N1978" s="125" t="str">
        <f t="shared" si="2"/>
        <v/>
      </c>
      <c r="O1978" s="125"/>
      <c r="P1978" s="125"/>
      <c r="Q1978" s="125"/>
      <c r="R1978" s="125"/>
      <c r="S1978" s="628">
        <f t="shared" si="3"/>
        <v>0</v>
      </c>
      <c r="T1978" s="627" t="s">
        <v>51</v>
      </c>
      <c r="U1978" s="627" t="s">
        <v>51</v>
      </c>
      <c r="V1978" s="627" t="s">
        <v>51</v>
      </c>
      <c r="W1978" s="627" t="s">
        <v>51</v>
      </c>
      <c r="X1978" s="627" t="s">
        <v>51</v>
      </c>
      <c r="Y1978" s="89"/>
    </row>
    <row r="1979" ht="22.5" customHeight="1">
      <c r="A1979" s="223"/>
      <c r="B1979" s="125"/>
      <c r="C1979" s="125"/>
      <c r="D1979" s="125"/>
      <c r="E1979" s="125"/>
      <c r="F1979" s="125"/>
      <c r="G1979" s="125"/>
      <c r="H1979" s="125"/>
      <c r="I1979" s="627" t="s">
        <v>51</v>
      </c>
      <c r="J1979" s="125" t="s">
        <v>51</v>
      </c>
      <c r="K1979" s="125" t="s">
        <v>51</v>
      </c>
      <c r="L1979" s="125" t="s">
        <v>51</v>
      </c>
      <c r="M1979" s="125" t="str">
        <f t="shared" si="1"/>
        <v/>
      </c>
      <c r="N1979" s="125" t="str">
        <f t="shared" si="2"/>
        <v/>
      </c>
      <c r="O1979" s="125"/>
      <c r="P1979" s="125"/>
      <c r="Q1979" s="125"/>
      <c r="R1979" s="125"/>
      <c r="S1979" s="628">
        <f t="shared" si="3"/>
        <v>0</v>
      </c>
      <c r="T1979" s="627" t="s">
        <v>51</v>
      </c>
      <c r="U1979" s="627" t="s">
        <v>51</v>
      </c>
      <c r="V1979" s="627" t="s">
        <v>51</v>
      </c>
      <c r="W1979" s="627" t="s">
        <v>51</v>
      </c>
      <c r="X1979" s="627" t="s">
        <v>51</v>
      </c>
      <c r="Y1979" s="89"/>
    </row>
    <row r="1980" ht="22.5" customHeight="1">
      <c r="A1980" s="223"/>
      <c r="B1980" s="125"/>
      <c r="C1980" s="125"/>
      <c r="D1980" s="125"/>
      <c r="E1980" s="125"/>
      <c r="F1980" s="125"/>
      <c r="G1980" s="125"/>
      <c r="H1980" s="125"/>
      <c r="I1980" s="627" t="s">
        <v>51</v>
      </c>
      <c r="J1980" s="125" t="s">
        <v>51</v>
      </c>
      <c r="K1980" s="125" t="s">
        <v>51</v>
      </c>
      <c r="L1980" s="125" t="s">
        <v>51</v>
      </c>
      <c r="M1980" s="125" t="str">
        <f t="shared" si="1"/>
        <v/>
      </c>
      <c r="N1980" s="125" t="str">
        <f t="shared" si="2"/>
        <v/>
      </c>
      <c r="O1980" s="125"/>
      <c r="P1980" s="125"/>
      <c r="Q1980" s="125"/>
      <c r="R1980" s="125"/>
      <c r="S1980" s="628">
        <f t="shared" si="3"/>
        <v>0</v>
      </c>
      <c r="T1980" s="627" t="s">
        <v>51</v>
      </c>
      <c r="U1980" s="627" t="s">
        <v>51</v>
      </c>
      <c r="V1980" s="627" t="s">
        <v>51</v>
      </c>
      <c r="W1980" s="627" t="s">
        <v>51</v>
      </c>
      <c r="X1980" s="627" t="s">
        <v>51</v>
      </c>
      <c r="Y1980" s="89"/>
    </row>
    <row r="1981" ht="22.5" customHeight="1">
      <c r="A1981" s="223"/>
      <c r="B1981" s="125"/>
      <c r="C1981" s="125"/>
      <c r="D1981" s="125"/>
      <c r="E1981" s="125"/>
      <c r="F1981" s="125"/>
      <c r="G1981" s="125"/>
      <c r="H1981" s="125"/>
      <c r="I1981" s="627" t="s">
        <v>51</v>
      </c>
      <c r="J1981" s="125" t="s">
        <v>51</v>
      </c>
      <c r="K1981" s="125" t="s">
        <v>51</v>
      </c>
      <c r="L1981" s="125" t="s">
        <v>51</v>
      </c>
      <c r="M1981" s="125" t="str">
        <f t="shared" si="1"/>
        <v/>
      </c>
      <c r="N1981" s="125" t="str">
        <f t="shared" si="2"/>
        <v/>
      </c>
      <c r="O1981" s="125"/>
      <c r="P1981" s="125"/>
      <c r="Q1981" s="125"/>
      <c r="R1981" s="125"/>
      <c r="S1981" s="628">
        <f t="shared" si="3"/>
        <v>0</v>
      </c>
      <c r="T1981" s="627" t="s">
        <v>51</v>
      </c>
      <c r="U1981" s="627" t="s">
        <v>51</v>
      </c>
      <c r="V1981" s="627" t="s">
        <v>51</v>
      </c>
      <c r="W1981" s="627" t="s">
        <v>51</v>
      </c>
      <c r="X1981" s="627" t="s">
        <v>51</v>
      </c>
      <c r="Y1981" s="89"/>
    </row>
    <row r="1982" ht="22.5" customHeight="1">
      <c r="A1982" s="223"/>
      <c r="B1982" s="125"/>
      <c r="C1982" s="125"/>
      <c r="D1982" s="125"/>
      <c r="E1982" s="125"/>
      <c r="F1982" s="125"/>
      <c r="G1982" s="125"/>
      <c r="H1982" s="125"/>
      <c r="I1982" s="627" t="s">
        <v>51</v>
      </c>
      <c r="J1982" s="125" t="s">
        <v>51</v>
      </c>
      <c r="K1982" s="125" t="s">
        <v>51</v>
      </c>
      <c r="L1982" s="125" t="s">
        <v>51</v>
      </c>
      <c r="M1982" s="125" t="str">
        <f t="shared" si="1"/>
        <v/>
      </c>
      <c r="N1982" s="125" t="str">
        <f t="shared" si="2"/>
        <v/>
      </c>
      <c r="O1982" s="125"/>
      <c r="P1982" s="125"/>
      <c r="Q1982" s="125"/>
      <c r="R1982" s="125"/>
      <c r="S1982" s="628">
        <f t="shared" si="3"/>
        <v>0</v>
      </c>
      <c r="T1982" s="627" t="s">
        <v>51</v>
      </c>
      <c r="U1982" s="627" t="s">
        <v>51</v>
      </c>
      <c r="V1982" s="627" t="s">
        <v>51</v>
      </c>
      <c r="W1982" s="627" t="s">
        <v>51</v>
      </c>
      <c r="X1982" s="627" t="s">
        <v>51</v>
      </c>
      <c r="Y1982" s="89"/>
    </row>
    <row r="1983" ht="22.5" customHeight="1">
      <c r="A1983" s="223"/>
      <c r="B1983" s="125"/>
      <c r="C1983" s="125"/>
      <c r="D1983" s="125"/>
      <c r="E1983" s="125"/>
      <c r="F1983" s="125"/>
      <c r="G1983" s="125"/>
      <c r="H1983" s="125"/>
      <c r="I1983" s="627" t="s">
        <v>51</v>
      </c>
      <c r="J1983" s="125" t="s">
        <v>51</v>
      </c>
      <c r="K1983" s="125" t="s">
        <v>51</v>
      </c>
      <c r="L1983" s="125" t="s">
        <v>51</v>
      </c>
      <c r="M1983" s="125" t="str">
        <f t="shared" si="1"/>
        <v/>
      </c>
      <c r="N1983" s="125" t="str">
        <f t="shared" si="2"/>
        <v/>
      </c>
      <c r="O1983" s="125"/>
      <c r="P1983" s="125"/>
      <c r="Q1983" s="125"/>
      <c r="R1983" s="125"/>
      <c r="S1983" s="628">
        <f t="shared" si="3"/>
        <v>0</v>
      </c>
      <c r="T1983" s="627" t="s">
        <v>51</v>
      </c>
      <c r="U1983" s="627" t="s">
        <v>51</v>
      </c>
      <c r="V1983" s="627" t="s">
        <v>51</v>
      </c>
      <c r="W1983" s="627" t="s">
        <v>51</v>
      </c>
      <c r="X1983" s="627" t="s">
        <v>51</v>
      </c>
      <c r="Y1983" s="89"/>
    </row>
    <row r="1984" ht="22.5" customHeight="1">
      <c r="A1984" s="223"/>
      <c r="B1984" s="125"/>
      <c r="C1984" s="125"/>
      <c r="D1984" s="125"/>
      <c r="E1984" s="125"/>
      <c r="F1984" s="125"/>
      <c r="G1984" s="125"/>
      <c r="H1984" s="125"/>
      <c r="I1984" s="627" t="s">
        <v>51</v>
      </c>
      <c r="J1984" s="125" t="s">
        <v>51</v>
      </c>
      <c r="K1984" s="125" t="s">
        <v>51</v>
      </c>
      <c r="L1984" s="125" t="s">
        <v>51</v>
      </c>
      <c r="M1984" s="125" t="str">
        <f t="shared" si="1"/>
        <v/>
      </c>
      <c r="N1984" s="125" t="str">
        <f t="shared" si="2"/>
        <v/>
      </c>
      <c r="O1984" s="125"/>
      <c r="P1984" s="125"/>
      <c r="Q1984" s="125"/>
      <c r="R1984" s="125"/>
      <c r="S1984" s="628">
        <f t="shared" si="3"/>
        <v>0</v>
      </c>
      <c r="T1984" s="627" t="s">
        <v>51</v>
      </c>
      <c r="U1984" s="627" t="s">
        <v>51</v>
      </c>
      <c r="V1984" s="627" t="s">
        <v>51</v>
      </c>
      <c r="W1984" s="627" t="s">
        <v>51</v>
      </c>
      <c r="X1984" s="627" t="s">
        <v>51</v>
      </c>
      <c r="Y1984" s="89"/>
    </row>
    <row r="1985" ht="22.5" customHeight="1">
      <c r="A1985" s="223"/>
      <c r="B1985" s="125"/>
      <c r="C1985" s="125"/>
      <c r="D1985" s="125"/>
      <c r="E1985" s="125"/>
      <c r="F1985" s="125"/>
      <c r="G1985" s="125"/>
      <c r="H1985" s="125"/>
      <c r="I1985" s="627" t="s">
        <v>51</v>
      </c>
      <c r="J1985" s="125" t="s">
        <v>51</v>
      </c>
      <c r="K1985" s="125" t="s">
        <v>51</v>
      </c>
      <c r="L1985" s="125" t="s">
        <v>51</v>
      </c>
      <c r="M1985" s="125" t="str">
        <f t="shared" si="1"/>
        <v/>
      </c>
      <c r="N1985" s="125" t="str">
        <f t="shared" si="2"/>
        <v/>
      </c>
      <c r="O1985" s="125"/>
      <c r="P1985" s="125"/>
      <c r="Q1985" s="125"/>
      <c r="R1985" s="125"/>
      <c r="S1985" s="628">
        <f t="shared" si="3"/>
        <v>0</v>
      </c>
      <c r="T1985" s="627" t="s">
        <v>51</v>
      </c>
      <c r="U1985" s="627" t="s">
        <v>51</v>
      </c>
      <c r="V1985" s="627" t="s">
        <v>51</v>
      </c>
      <c r="W1985" s="627" t="s">
        <v>51</v>
      </c>
      <c r="X1985" s="627" t="s">
        <v>51</v>
      </c>
      <c r="Y1985" s="89"/>
    </row>
    <row r="1986" ht="22.5" customHeight="1">
      <c r="A1986" s="223"/>
      <c r="B1986" s="125"/>
      <c r="C1986" s="125"/>
      <c r="D1986" s="125"/>
      <c r="E1986" s="125"/>
      <c r="F1986" s="125"/>
      <c r="G1986" s="125"/>
      <c r="H1986" s="125"/>
      <c r="I1986" s="627" t="s">
        <v>51</v>
      </c>
      <c r="J1986" s="125" t="s">
        <v>51</v>
      </c>
      <c r="K1986" s="125" t="s">
        <v>51</v>
      </c>
      <c r="L1986" s="125" t="s">
        <v>51</v>
      </c>
      <c r="M1986" s="125" t="str">
        <f t="shared" si="1"/>
        <v/>
      </c>
      <c r="N1986" s="125" t="str">
        <f t="shared" si="2"/>
        <v/>
      </c>
      <c r="O1986" s="125"/>
      <c r="P1986" s="125"/>
      <c r="Q1986" s="125"/>
      <c r="R1986" s="125"/>
      <c r="S1986" s="628">
        <f t="shared" si="3"/>
        <v>0</v>
      </c>
      <c r="T1986" s="627" t="s">
        <v>51</v>
      </c>
      <c r="U1986" s="627" t="s">
        <v>51</v>
      </c>
      <c r="V1986" s="627" t="s">
        <v>51</v>
      </c>
      <c r="W1986" s="627" t="s">
        <v>51</v>
      </c>
      <c r="X1986" s="627" t="s">
        <v>51</v>
      </c>
      <c r="Y1986" s="89"/>
    </row>
    <row r="1987" ht="22.5" customHeight="1">
      <c r="A1987" s="223"/>
      <c r="B1987" s="125"/>
      <c r="C1987" s="125"/>
      <c r="D1987" s="125"/>
      <c r="E1987" s="125"/>
      <c r="F1987" s="125"/>
      <c r="G1987" s="125"/>
      <c r="H1987" s="125"/>
      <c r="I1987" s="627" t="s">
        <v>51</v>
      </c>
      <c r="J1987" s="125" t="s">
        <v>51</v>
      </c>
      <c r="K1987" s="125" t="s">
        <v>51</v>
      </c>
      <c r="L1987" s="125" t="s">
        <v>51</v>
      </c>
      <c r="M1987" s="125" t="str">
        <f t="shared" si="1"/>
        <v/>
      </c>
      <c r="N1987" s="125" t="str">
        <f t="shared" si="2"/>
        <v/>
      </c>
      <c r="O1987" s="125"/>
      <c r="P1987" s="125"/>
      <c r="Q1987" s="125"/>
      <c r="R1987" s="125"/>
      <c r="S1987" s="628">
        <f t="shared" si="3"/>
        <v>0</v>
      </c>
      <c r="T1987" s="627" t="s">
        <v>51</v>
      </c>
      <c r="U1987" s="627" t="s">
        <v>51</v>
      </c>
      <c r="V1987" s="627" t="s">
        <v>51</v>
      </c>
      <c r="W1987" s="627" t="s">
        <v>51</v>
      </c>
      <c r="X1987" s="627" t="s">
        <v>51</v>
      </c>
      <c r="Y1987" s="89"/>
    </row>
    <row r="1988" ht="22.5" customHeight="1">
      <c r="A1988" s="223"/>
      <c r="B1988" s="125"/>
      <c r="C1988" s="125"/>
      <c r="D1988" s="125"/>
      <c r="E1988" s="125"/>
      <c r="F1988" s="125"/>
      <c r="G1988" s="125"/>
      <c r="H1988" s="125"/>
      <c r="I1988" s="627" t="s">
        <v>51</v>
      </c>
      <c r="J1988" s="125" t="s">
        <v>51</v>
      </c>
      <c r="K1988" s="125" t="s">
        <v>51</v>
      </c>
      <c r="L1988" s="125" t="s">
        <v>51</v>
      </c>
      <c r="M1988" s="125" t="str">
        <f t="shared" si="1"/>
        <v/>
      </c>
      <c r="N1988" s="125" t="str">
        <f t="shared" si="2"/>
        <v/>
      </c>
      <c r="O1988" s="125"/>
      <c r="P1988" s="125"/>
      <c r="Q1988" s="125"/>
      <c r="R1988" s="125"/>
      <c r="S1988" s="628">
        <f t="shared" si="3"/>
        <v>0</v>
      </c>
      <c r="T1988" s="627" t="s">
        <v>51</v>
      </c>
      <c r="U1988" s="627" t="s">
        <v>51</v>
      </c>
      <c r="V1988" s="627" t="s">
        <v>51</v>
      </c>
      <c r="W1988" s="627" t="s">
        <v>51</v>
      </c>
      <c r="X1988" s="627" t="s">
        <v>51</v>
      </c>
      <c r="Y1988" s="89"/>
    </row>
    <row r="1989" ht="22.5" customHeight="1">
      <c r="A1989" s="223"/>
      <c r="B1989" s="125"/>
      <c r="C1989" s="125"/>
      <c r="D1989" s="125"/>
      <c r="E1989" s="125"/>
      <c r="F1989" s="125"/>
      <c r="G1989" s="125"/>
      <c r="H1989" s="125"/>
      <c r="I1989" s="627" t="s">
        <v>51</v>
      </c>
      <c r="J1989" s="125" t="s">
        <v>51</v>
      </c>
      <c r="K1989" s="125" t="s">
        <v>51</v>
      </c>
      <c r="L1989" s="125" t="s">
        <v>51</v>
      </c>
      <c r="M1989" s="125" t="str">
        <f t="shared" si="1"/>
        <v/>
      </c>
      <c r="N1989" s="125" t="str">
        <f t="shared" si="2"/>
        <v/>
      </c>
      <c r="O1989" s="125"/>
      <c r="P1989" s="125"/>
      <c r="Q1989" s="125"/>
      <c r="R1989" s="125"/>
      <c r="S1989" s="628">
        <f t="shared" si="3"/>
        <v>0</v>
      </c>
      <c r="T1989" s="627" t="s">
        <v>51</v>
      </c>
      <c r="U1989" s="627" t="s">
        <v>51</v>
      </c>
      <c r="V1989" s="627" t="s">
        <v>51</v>
      </c>
      <c r="W1989" s="627" t="s">
        <v>51</v>
      </c>
      <c r="X1989" s="627" t="s">
        <v>51</v>
      </c>
      <c r="Y1989" s="89"/>
    </row>
    <row r="1990" ht="22.5" customHeight="1">
      <c r="A1990" s="223"/>
      <c r="B1990" s="125"/>
      <c r="C1990" s="125"/>
      <c r="D1990" s="125"/>
      <c r="E1990" s="125"/>
      <c r="F1990" s="125"/>
      <c r="G1990" s="125"/>
      <c r="H1990" s="125"/>
      <c r="I1990" s="627" t="s">
        <v>51</v>
      </c>
      <c r="J1990" s="125" t="s">
        <v>51</v>
      </c>
      <c r="K1990" s="125" t="s">
        <v>51</v>
      </c>
      <c r="L1990" s="125" t="s">
        <v>51</v>
      </c>
      <c r="M1990" s="125" t="str">
        <f t="shared" si="1"/>
        <v/>
      </c>
      <c r="N1990" s="125" t="str">
        <f t="shared" si="2"/>
        <v/>
      </c>
      <c r="O1990" s="125"/>
      <c r="P1990" s="125"/>
      <c r="Q1990" s="125"/>
      <c r="R1990" s="125"/>
      <c r="S1990" s="628">
        <f t="shared" si="3"/>
        <v>0</v>
      </c>
      <c r="T1990" s="627" t="s">
        <v>51</v>
      </c>
      <c r="U1990" s="627" t="s">
        <v>51</v>
      </c>
      <c r="V1990" s="627" t="s">
        <v>51</v>
      </c>
      <c r="W1990" s="627" t="s">
        <v>51</v>
      </c>
      <c r="X1990" s="627" t="s">
        <v>51</v>
      </c>
      <c r="Y1990" s="89"/>
    </row>
    <row r="1991" ht="22.5" customHeight="1">
      <c r="A1991" s="223"/>
      <c r="B1991" s="125"/>
      <c r="C1991" s="125"/>
      <c r="D1991" s="125"/>
      <c r="E1991" s="125"/>
      <c r="F1991" s="125"/>
      <c r="G1991" s="125"/>
      <c r="H1991" s="125"/>
      <c r="I1991" s="627" t="s">
        <v>51</v>
      </c>
      <c r="J1991" s="125" t="s">
        <v>51</v>
      </c>
      <c r="K1991" s="125" t="s">
        <v>51</v>
      </c>
      <c r="L1991" s="125" t="s">
        <v>51</v>
      </c>
      <c r="M1991" s="125" t="str">
        <f t="shared" si="1"/>
        <v/>
      </c>
      <c r="N1991" s="125" t="str">
        <f t="shared" si="2"/>
        <v/>
      </c>
      <c r="O1991" s="125"/>
      <c r="P1991" s="125"/>
      <c r="Q1991" s="125"/>
      <c r="R1991" s="125"/>
      <c r="S1991" s="628">
        <f t="shared" si="3"/>
        <v>0</v>
      </c>
      <c r="T1991" s="627" t="s">
        <v>51</v>
      </c>
      <c r="U1991" s="627" t="s">
        <v>51</v>
      </c>
      <c r="V1991" s="627" t="s">
        <v>51</v>
      </c>
      <c r="W1991" s="627" t="s">
        <v>51</v>
      </c>
      <c r="X1991" s="627" t="s">
        <v>51</v>
      </c>
      <c r="Y1991" s="89"/>
    </row>
    <row r="1992" ht="22.5" customHeight="1">
      <c r="A1992" s="223"/>
      <c r="B1992" s="125"/>
      <c r="C1992" s="125"/>
      <c r="D1992" s="125"/>
      <c r="E1992" s="125"/>
      <c r="F1992" s="125"/>
      <c r="G1992" s="125"/>
      <c r="H1992" s="125"/>
      <c r="I1992" s="627" t="s">
        <v>51</v>
      </c>
      <c r="J1992" s="125" t="s">
        <v>51</v>
      </c>
      <c r="K1992" s="125" t="s">
        <v>51</v>
      </c>
      <c r="L1992" s="125" t="s">
        <v>51</v>
      </c>
      <c r="M1992" s="125" t="str">
        <f t="shared" si="1"/>
        <v/>
      </c>
      <c r="N1992" s="125" t="str">
        <f t="shared" si="2"/>
        <v/>
      </c>
      <c r="O1992" s="125"/>
      <c r="P1992" s="125"/>
      <c r="Q1992" s="125"/>
      <c r="R1992" s="125"/>
      <c r="S1992" s="628">
        <f t="shared" si="3"/>
        <v>0</v>
      </c>
      <c r="T1992" s="627" t="s">
        <v>51</v>
      </c>
      <c r="U1992" s="627" t="s">
        <v>51</v>
      </c>
      <c r="V1992" s="627" t="s">
        <v>51</v>
      </c>
      <c r="W1992" s="627" t="s">
        <v>51</v>
      </c>
      <c r="X1992" s="627" t="s">
        <v>51</v>
      </c>
      <c r="Y1992" s="89"/>
    </row>
    <row r="1993" ht="22.5" customHeight="1">
      <c r="A1993" s="223"/>
      <c r="B1993" s="125"/>
      <c r="C1993" s="125"/>
      <c r="D1993" s="125"/>
      <c r="E1993" s="125"/>
      <c r="F1993" s="125"/>
      <c r="G1993" s="125"/>
      <c r="H1993" s="125"/>
      <c r="I1993" s="627" t="s">
        <v>51</v>
      </c>
      <c r="J1993" s="125" t="s">
        <v>51</v>
      </c>
      <c r="K1993" s="125" t="s">
        <v>51</v>
      </c>
      <c r="L1993" s="125" t="s">
        <v>51</v>
      </c>
      <c r="M1993" s="125" t="str">
        <f t="shared" si="1"/>
        <v/>
      </c>
      <c r="N1993" s="125" t="str">
        <f t="shared" si="2"/>
        <v/>
      </c>
      <c r="O1993" s="125"/>
      <c r="P1993" s="125"/>
      <c r="Q1993" s="125"/>
      <c r="R1993" s="125"/>
      <c r="S1993" s="628">
        <f t="shared" si="3"/>
        <v>0</v>
      </c>
      <c r="T1993" s="627" t="s">
        <v>51</v>
      </c>
      <c r="U1993" s="627" t="s">
        <v>51</v>
      </c>
      <c r="V1993" s="627" t="s">
        <v>51</v>
      </c>
      <c r="W1993" s="627" t="s">
        <v>51</v>
      </c>
      <c r="X1993" s="627" t="s">
        <v>51</v>
      </c>
      <c r="Y1993" s="89"/>
    </row>
    <row r="1994" ht="22.5" customHeight="1">
      <c r="A1994" s="223"/>
      <c r="B1994" s="125"/>
      <c r="C1994" s="125"/>
      <c r="D1994" s="125"/>
      <c r="E1994" s="125"/>
      <c r="F1994" s="125"/>
      <c r="G1994" s="125"/>
      <c r="H1994" s="125"/>
      <c r="I1994" s="627" t="s">
        <v>51</v>
      </c>
      <c r="J1994" s="125" t="s">
        <v>51</v>
      </c>
      <c r="K1994" s="125" t="s">
        <v>51</v>
      </c>
      <c r="L1994" s="125" t="s">
        <v>51</v>
      </c>
      <c r="M1994" s="125" t="str">
        <f t="shared" si="1"/>
        <v/>
      </c>
      <c r="N1994" s="125" t="str">
        <f t="shared" si="2"/>
        <v/>
      </c>
      <c r="O1994" s="125"/>
      <c r="P1994" s="125"/>
      <c r="Q1994" s="125"/>
      <c r="R1994" s="125"/>
      <c r="S1994" s="628">
        <f t="shared" si="3"/>
        <v>0</v>
      </c>
      <c r="T1994" s="627" t="s">
        <v>51</v>
      </c>
      <c r="U1994" s="627" t="s">
        <v>51</v>
      </c>
      <c r="V1994" s="627" t="s">
        <v>51</v>
      </c>
      <c r="W1994" s="627" t="s">
        <v>51</v>
      </c>
      <c r="X1994" s="627" t="s">
        <v>51</v>
      </c>
      <c r="Y1994" s="89"/>
    </row>
    <row r="1995" ht="22.5" customHeight="1">
      <c r="A1995" s="223"/>
      <c r="B1995" s="125"/>
      <c r="C1995" s="125"/>
      <c r="D1995" s="125"/>
      <c r="E1995" s="125"/>
      <c r="F1995" s="125"/>
      <c r="G1995" s="125"/>
      <c r="H1995" s="125"/>
      <c r="I1995" s="627" t="s">
        <v>51</v>
      </c>
      <c r="J1995" s="125" t="s">
        <v>51</v>
      </c>
      <c r="K1995" s="125" t="s">
        <v>51</v>
      </c>
      <c r="L1995" s="125" t="s">
        <v>51</v>
      </c>
      <c r="M1995" s="125" t="str">
        <f t="shared" si="1"/>
        <v/>
      </c>
      <c r="N1995" s="125" t="str">
        <f t="shared" si="2"/>
        <v/>
      </c>
      <c r="O1995" s="125"/>
      <c r="P1995" s="125"/>
      <c r="Q1995" s="125"/>
      <c r="R1995" s="125"/>
      <c r="S1995" s="628">
        <f t="shared" si="3"/>
        <v>0</v>
      </c>
      <c r="T1995" s="627" t="s">
        <v>51</v>
      </c>
      <c r="U1995" s="627" t="s">
        <v>51</v>
      </c>
      <c r="V1995" s="627" t="s">
        <v>51</v>
      </c>
      <c r="W1995" s="627" t="s">
        <v>51</v>
      </c>
      <c r="X1995" s="627" t="s">
        <v>51</v>
      </c>
      <c r="Y1995" s="89"/>
    </row>
    <row r="1996" ht="22.5" customHeight="1">
      <c r="A1996" s="223"/>
      <c r="B1996" s="125"/>
      <c r="C1996" s="125"/>
      <c r="D1996" s="125"/>
      <c r="E1996" s="125"/>
      <c r="F1996" s="125"/>
      <c r="G1996" s="125"/>
      <c r="H1996" s="125"/>
      <c r="I1996" s="627" t="s">
        <v>51</v>
      </c>
      <c r="J1996" s="125" t="s">
        <v>51</v>
      </c>
      <c r="K1996" s="125" t="s">
        <v>51</v>
      </c>
      <c r="L1996" s="125" t="s">
        <v>51</v>
      </c>
      <c r="M1996" s="125" t="str">
        <f t="shared" si="1"/>
        <v/>
      </c>
      <c r="N1996" s="125" t="str">
        <f t="shared" si="2"/>
        <v/>
      </c>
      <c r="O1996" s="125"/>
      <c r="P1996" s="125"/>
      <c r="Q1996" s="125"/>
      <c r="R1996" s="125"/>
      <c r="S1996" s="628">
        <f t="shared" si="3"/>
        <v>0</v>
      </c>
      <c r="T1996" s="627" t="s">
        <v>51</v>
      </c>
      <c r="U1996" s="627" t="s">
        <v>51</v>
      </c>
      <c r="V1996" s="627" t="s">
        <v>51</v>
      </c>
      <c r="W1996" s="627" t="s">
        <v>51</v>
      </c>
      <c r="X1996" s="627" t="s">
        <v>51</v>
      </c>
      <c r="Y1996" s="89"/>
    </row>
    <row r="1997" ht="22.5" customHeight="1">
      <c r="A1997" s="223"/>
      <c r="B1997" s="125"/>
      <c r="C1997" s="125"/>
      <c r="D1997" s="125"/>
      <c r="E1997" s="125"/>
      <c r="F1997" s="125"/>
      <c r="G1997" s="125"/>
      <c r="H1997" s="125"/>
      <c r="I1997" s="627" t="s">
        <v>51</v>
      </c>
      <c r="J1997" s="125" t="s">
        <v>51</v>
      </c>
      <c r="K1997" s="125" t="s">
        <v>51</v>
      </c>
      <c r="L1997" s="125" t="s">
        <v>51</v>
      </c>
      <c r="M1997" s="125" t="str">
        <f t="shared" si="1"/>
        <v/>
      </c>
      <c r="N1997" s="125" t="str">
        <f t="shared" si="2"/>
        <v/>
      </c>
      <c r="O1997" s="125"/>
      <c r="P1997" s="125"/>
      <c r="Q1997" s="125"/>
      <c r="R1997" s="125"/>
      <c r="S1997" s="628">
        <f t="shared" si="3"/>
        <v>0</v>
      </c>
      <c r="T1997" s="627" t="s">
        <v>51</v>
      </c>
      <c r="U1997" s="627" t="s">
        <v>51</v>
      </c>
      <c r="V1997" s="627" t="s">
        <v>51</v>
      </c>
      <c r="W1997" s="627" t="s">
        <v>51</v>
      </c>
      <c r="X1997" s="627" t="s">
        <v>51</v>
      </c>
      <c r="Y1997" s="89"/>
    </row>
    <row r="1998" ht="22.5" customHeight="1">
      <c r="A1998" s="223"/>
      <c r="B1998" s="125"/>
      <c r="C1998" s="125"/>
      <c r="D1998" s="125"/>
      <c r="E1998" s="125"/>
      <c r="F1998" s="125"/>
      <c r="G1998" s="125"/>
      <c r="H1998" s="125"/>
      <c r="I1998" s="627" t="s">
        <v>51</v>
      </c>
      <c r="J1998" s="125" t="s">
        <v>51</v>
      </c>
      <c r="K1998" s="125" t="s">
        <v>51</v>
      </c>
      <c r="L1998" s="125" t="s">
        <v>51</v>
      </c>
      <c r="M1998" s="125" t="str">
        <f t="shared" si="1"/>
        <v/>
      </c>
      <c r="N1998" s="125" t="str">
        <f t="shared" si="2"/>
        <v/>
      </c>
      <c r="O1998" s="125"/>
      <c r="P1998" s="125"/>
      <c r="Q1998" s="125"/>
      <c r="R1998" s="125"/>
      <c r="S1998" s="628">
        <f t="shared" si="3"/>
        <v>0</v>
      </c>
      <c r="T1998" s="627" t="s">
        <v>51</v>
      </c>
      <c r="U1998" s="627" t="s">
        <v>51</v>
      </c>
      <c r="V1998" s="627" t="s">
        <v>51</v>
      </c>
      <c r="W1998" s="627" t="s">
        <v>51</v>
      </c>
      <c r="X1998" s="627" t="s">
        <v>51</v>
      </c>
      <c r="Y1998" s="89"/>
    </row>
    <row r="1999" ht="22.5" customHeight="1">
      <c r="A1999" s="223"/>
      <c r="B1999" s="125"/>
      <c r="C1999" s="125"/>
      <c r="D1999" s="125"/>
      <c r="E1999" s="125"/>
      <c r="F1999" s="125"/>
      <c r="G1999" s="125"/>
      <c r="H1999" s="125"/>
      <c r="I1999" s="627" t="s">
        <v>51</v>
      </c>
      <c r="J1999" s="125" t="s">
        <v>51</v>
      </c>
      <c r="K1999" s="125" t="s">
        <v>51</v>
      </c>
      <c r="L1999" s="125" t="s">
        <v>51</v>
      </c>
      <c r="M1999" s="125" t="str">
        <f t="shared" si="1"/>
        <v/>
      </c>
      <c r="N1999" s="125" t="str">
        <f t="shared" si="2"/>
        <v/>
      </c>
      <c r="O1999" s="125"/>
      <c r="P1999" s="125"/>
      <c r="Q1999" s="125"/>
      <c r="R1999" s="125"/>
      <c r="S1999" s="628">
        <f t="shared" si="3"/>
        <v>0</v>
      </c>
      <c r="T1999" s="627" t="s">
        <v>51</v>
      </c>
      <c r="U1999" s="627" t="s">
        <v>51</v>
      </c>
      <c r="V1999" s="627" t="s">
        <v>51</v>
      </c>
      <c r="W1999" s="627" t="s">
        <v>51</v>
      </c>
      <c r="X1999" s="627" t="s">
        <v>51</v>
      </c>
      <c r="Y1999" s="89"/>
    </row>
    <row r="2000" ht="22.5" customHeight="1">
      <c r="A2000" s="223"/>
      <c r="B2000" s="125"/>
      <c r="C2000" s="125"/>
      <c r="D2000" s="125"/>
      <c r="E2000" s="125"/>
      <c r="F2000" s="125"/>
      <c r="G2000" s="125"/>
      <c r="H2000" s="125"/>
      <c r="I2000" s="627" t="s">
        <v>51</v>
      </c>
      <c r="J2000" s="125" t="s">
        <v>51</v>
      </c>
      <c r="K2000" s="125" t="s">
        <v>51</v>
      </c>
      <c r="L2000" s="125" t="s">
        <v>51</v>
      </c>
      <c r="M2000" s="125" t="str">
        <f t="shared" si="1"/>
        <v/>
      </c>
      <c r="N2000" s="125" t="str">
        <f t="shared" si="2"/>
        <v/>
      </c>
      <c r="O2000" s="125"/>
      <c r="P2000" s="125"/>
      <c r="Q2000" s="125"/>
      <c r="R2000" s="125"/>
      <c r="S2000" s="628">
        <f t="shared" si="3"/>
        <v>0</v>
      </c>
      <c r="T2000" s="627" t="s">
        <v>51</v>
      </c>
      <c r="U2000" s="627" t="s">
        <v>51</v>
      </c>
      <c r="V2000" s="627" t="s">
        <v>51</v>
      </c>
      <c r="W2000" s="627" t="s">
        <v>51</v>
      </c>
      <c r="X2000" s="627" t="s">
        <v>51</v>
      </c>
      <c r="Y2000" s="89"/>
    </row>
    <row r="2001" ht="22.5" customHeight="1">
      <c r="A2001" s="223"/>
      <c r="B2001" s="125"/>
      <c r="C2001" s="125"/>
      <c r="D2001" s="125"/>
      <c r="E2001" s="125"/>
      <c r="F2001" s="125"/>
      <c r="G2001" s="125"/>
      <c r="H2001" s="125"/>
      <c r="I2001" s="627" t="s">
        <v>51</v>
      </c>
      <c r="J2001" s="125" t="s">
        <v>51</v>
      </c>
      <c r="K2001" s="125" t="s">
        <v>51</v>
      </c>
      <c r="L2001" s="125" t="s">
        <v>51</v>
      </c>
      <c r="M2001" s="125" t="str">
        <f t="shared" si="1"/>
        <v/>
      </c>
      <c r="N2001" s="125" t="str">
        <f t="shared" si="2"/>
        <v/>
      </c>
      <c r="O2001" s="125"/>
      <c r="P2001" s="125"/>
      <c r="Q2001" s="125"/>
      <c r="R2001" s="125"/>
      <c r="S2001" s="628">
        <f t="shared" si="3"/>
        <v>0</v>
      </c>
      <c r="T2001" s="627" t="s">
        <v>51</v>
      </c>
      <c r="U2001" s="627" t="s">
        <v>51</v>
      </c>
      <c r="V2001" s="627" t="s">
        <v>51</v>
      </c>
      <c r="W2001" s="627" t="s">
        <v>51</v>
      </c>
      <c r="X2001" s="627" t="s">
        <v>51</v>
      </c>
      <c r="Y2001" s="89"/>
    </row>
    <row r="2002" ht="22.5" customHeight="1">
      <c r="A2002" s="223"/>
      <c r="B2002" s="125"/>
      <c r="C2002" s="125"/>
      <c r="D2002" s="125"/>
      <c r="E2002" s="125"/>
      <c r="F2002" s="125"/>
      <c r="G2002" s="125"/>
      <c r="H2002" s="125"/>
      <c r="I2002" s="627" t="s">
        <v>51</v>
      </c>
      <c r="J2002" s="125" t="s">
        <v>51</v>
      </c>
      <c r="K2002" s="125" t="s">
        <v>51</v>
      </c>
      <c r="L2002" s="125" t="s">
        <v>51</v>
      </c>
      <c r="M2002" s="125" t="str">
        <f t="shared" si="1"/>
        <v/>
      </c>
      <c r="N2002" s="125" t="str">
        <f t="shared" si="2"/>
        <v/>
      </c>
      <c r="O2002" s="125"/>
      <c r="P2002" s="125"/>
      <c r="Q2002" s="125"/>
      <c r="R2002" s="125"/>
      <c r="S2002" s="628">
        <f t="shared" si="3"/>
        <v>0</v>
      </c>
      <c r="T2002" s="627" t="s">
        <v>51</v>
      </c>
      <c r="U2002" s="627" t="s">
        <v>51</v>
      </c>
      <c r="V2002" s="627" t="s">
        <v>51</v>
      </c>
      <c r="W2002" s="627" t="s">
        <v>51</v>
      </c>
      <c r="X2002" s="627" t="s">
        <v>51</v>
      </c>
      <c r="Y2002" s="89"/>
    </row>
    <row r="2003" ht="22.5" customHeight="1">
      <c r="A2003" s="223"/>
      <c r="B2003" s="125"/>
      <c r="C2003" s="125"/>
      <c r="D2003" s="125"/>
      <c r="E2003" s="125"/>
      <c r="F2003" s="125"/>
      <c r="G2003" s="125"/>
      <c r="H2003" s="125"/>
      <c r="I2003" s="627" t="s">
        <v>51</v>
      </c>
      <c r="J2003" s="125" t="s">
        <v>51</v>
      </c>
      <c r="K2003" s="125" t="s">
        <v>51</v>
      </c>
      <c r="L2003" s="125" t="s">
        <v>51</v>
      </c>
      <c r="M2003" s="125" t="str">
        <f t="shared" si="1"/>
        <v/>
      </c>
      <c r="N2003" s="125" t="str">
        <f t="shared" si="2"/>
        <v/>
      </c>
      <c r="O2003" s="125"/>
      <c r="P2003" s="125"/>
      <c r="Q2003" s="125"/>
      <c r="R2003" s="125"/>
      <c r="S2003" s="628">
        <f t="shared" si="3"/>
        <v>0</v>
      </c>
      <c r="T2003" s="627" t="s">
        <v>51</v>
      </c>
      <c r="U2003" s="627" t="s">
        <v>51</v>
      </c>
      <c r="V2003" s="627" t="s">
        <v>51</v>
      </c>
      <c r="W2003" s="627" t="s">
        <v>51</v>
      </c>
      <c r="X2003" s="627" t="s">
        <v>51</v>
      </c>
      <c r="Y2003" s="89"/>
    </row>
    <row r="2004" ht="22.5" customHeight="1">
      <c r="A2004" s="223"/>
      <c r="B2004" s="125"/>
      <c r="C2004" s="125"/>
      <c r="D2004" s="125"/>
      <c r="E2004" s="125"/>
      <c r="F2004" s="125"/>
      <c r="G2004" s="125"/>
      <c r="H2004" s="125"/>
      <c r="I2004" s="627" t="s">
        <v>51</v>
      </c>
      <c r="J2004" s="125" t="s">
        <v>51</v>
      </c>
      <c r="K2004" s="125" t="s">
        <v>51</v>
      </c>
      <c r="L2004" s="125" t="s">
        <v>51</v>
      </c>
      <c r="M2004" s="125" t="str">
        <f t="shared" si="1"/>
        <v/>
      </c>
      <c r="N2004" s="125" t="str">
        <f t="shared" si="2"/>
        <v/>
      </c>
      <c r="O2004" s="125"/>
      <c r="P2004" s="125"/>
      <c r="Q2004" s="125"/>
      <c r="R2004" s="125"/>
      <c r="S2004" s="628">
        <f t="shared" si="3"/>
        <v>0</v>
      </c>
      <c r="T2004" s="627" t="s">
        <v>51</v>
      </c>
      <c r="U2004" s="627" t="s">
        <v>51</v>
      </c>
      <c r="V2004" s="627" t="s">
        <v>51</v>
      </c>
      <c r="W2004" s="627" t="s">
        <v>51</v>
      </c>
      <c r="X2004" s="627" t="s">
        <v>51</v>
      </c>
      <c r="Y2004" s="89"/>
    </row>
    <row r="2005" ht="22.5" customHeight="1">
      <c r="A2005" s="223"/>
      <c r="B2005" s="125"/>
      <c r="C2005" s="125"/>
      <c r="D2005" s="125"/>
      <c r="E2005" s="125"/>
      <c r="F2005" s="125"/>
      <c r="G2005" s="125"/>
      <c r="H2005" s="125"/>
      <c r="I2005" s="627" t="s">
        <v>51</v>
      </c>
      <c r="J2005" s="125" t="s">
        <v>51</v>
      </c>
      <c r="K2005" s="125" t="s">
        <v>51</v>
      </c>
      <c r="L2005" s="125" t="s">
        <v>51</v>
      </c>
      <c r="M2005" s="125" t="str">
        <f t="shared" si="1"/>
        <v/>
      </c>
      <c r="N2005" s="125" t="str">
        <f t="shared" si="2"/>
        <v/>
      </c>
      <c r="O2005" s="125"/>
      <c r="P2005" s="125"/>
      <c r="Q2005" s="125"/>
      <c r="R2005" s="125"/>
      <c r="S2005" s="628">
        <f t="shared" si="3"/>
        <v>0</v>
      </c>
      <c r="T2005" s="627" t="s">
        <v>51</v>
      </c>
      <c r="U2005" s="627" t="s">
        <v>51</v>
      </c>
      <c r="V2005" s="627" t="s">
        <v>51</v>
      </c>
      <c r="W2005" s="627" t="s">
        <v>51</v>
      </c>
      <c r="X2005" s="627" t="s">
        <v>51</v>
      </c>
      <c r="Y2005" s="89"/>
    </row>
    <row r="2006" ht="22.5" customHeight="1">
      <c r="A2006" s="223"/>
      <c r="B2006" s="125"/>
      <c r="C2006" s="125"/>
      <c r="D2006" s="125"/>
      <c r="E2006" s="125"/>
      <c r="F2006" s="125"/>
      <c r="G2006" s="125"/>
      <c r="H2006" s="125"/>
      <c r="I2006" s="627" t="s">
        <v>51</v>
      </c>
      <c r="J2006" s="125" t="s">
        <v>51</v>
      </c>
      <c r="K2006" s="125" t="s">
        <v>51</v>
      </c>
      <c r="L2006" s="125" t="s">
        <v>51</v>
      </c>
      <c r="M2006" s="125" t="str">
        <f t="shared" si="1"/>
        <v/>
      </c>
      <c r="N2006" s="125" t="str">
        <f t="shared" si="2"/>
        <v/>
      </c>
      <c r="O2006" s="125"/>
      <c r="P2006" s="125"/>
      <c r="Q2006" s="125"/>
      <c r="R2006" s="125"/>
      <c r="S2006" s="628">
        <f t="shared" si="3"/>
        <v>0</v>
      </c>
      <c r="T2006" s="627" t="s">
        <v>51</v>
      </c>
      <c r="U2006" s="627" t="s">
        <v>51</v>
      </c>
      <c r="V2006" s="627" t="s">
        <v>51</v>
      </c>
      <c r="W2006" s="627" t="s">
        <v>51</v>
      </c>
      <c r="X2006" s="627" t="s">
        <v>51</v>
      </c>
      <c r="Y2006" s="89"/>
    </row>
    <row r="2007" ht="22.5" customHeight="1">
      <c r="A2007" s="223"/>
      <c r="B2007" s="125"/>
      <c r="C2007" s="125"/>
      <c r="D2007" s="125"/>
      <c r="E2007" s="125"/>
      <c r="F2007" s="125"/>
      <c r="G2007" s="125"/>
      <c r="H2007" s="125"/>
      <c r="I2007" s="627" t="s">
        <v>51</v>
      </c>
      <c r="J2007" s="125" t="s">
        <v>51</v>
      </c>
      <c r="K2007" s="125" t="s">
        <v>51</v>
      </c>
      <c r="L2007" s="125" t="s">
        <v>51</v>
      </c>
      <c r="M2007" s="125" t="str">
        <f t="shared" si="1"/>
        <v/>
      </c>
      <c r="N2007" s="125" t="str">
        <f t="shared" si="2"/>
        <v/>
      </c>
      <c r="O2007" s="125"/>
      <c r="P2007" s="125"/>
      <c r="Q2007" s="125"/>
      <c r="R2007" s="125"/>
      <c r="S2007" s="628">
        <f t="shared" si="3"/>
        <v>0</v>
      </c>
      <c r="T2007" s="627" t="s">
        <v>51</v>
      </c>
      <c r="U2007" s="627" t="s">
        <v>51</v>
      </c>
      <c r="V2007" s="627" t="s">
        <v>51</v>
      </c>
      <c r="W2007" s="627" t="s">
        <v>51</v>
      </c>
      <c r="X2007" s="627" t="s">
        <v>51</v>
      </c>
      <c r="Y2007" s="89"/>
    </row>
    <row r="2008" ht="22.5" customHeight="1">
      <c r="A2008" s="223"/>
      <c r="B2008" s="125"/>
      <c r="C2008" s="125"/>
      <c r="D2008" s="125"/>
      <c r="E2008" s="125"/>
      <c r="F2008" s="125"/>
      <c r="G2008" s="125"/>
      <c r="H2008" s="125"/>
      <c r="I2008" s="627" t="s">
        <v>51</v>
      </c>
      <c r="J2008" s="125" t="s">
        <v>51</v>
      </c>
      <c r="K2008" s="125" t="s">
        <v>51</v>
      </c>
      <c r="L2008" s="125" t="s">
        <v>51</v>
      </c>
      <c r="M2008" s="125" t="str">
        <f t="shared" si="1"/>
        <v/>
      </c>
      <c r="N2008" s="125" t="str">
        <f t="shared" si="2"/>
        <v/>
      </c>
      <c r="O2008" s="125"/>
      <c r="P2008" s="125"/>
      <c r="Q2008" s="125"/>
      <c r="R2008" s="125"/>
      <c r="S2008" s="628">
        <f t="shared" si="3"/>
        <v>0</v>
      </c>
      <c r="T2008" s="627" t="s">
        <v>51</v>
      </c>
      <c r="U2008" s="627" t="s">
        <v>51</v>
      </c>
      <c r="V2008" s="627" t="s">
        <v>51</v>
      </c>
      <c r="W2008" s="627" t="s">
        <v>51</v>
      </c>
      <c r="X2008" s="627" t="s">
        <v>51</v>
      </c>
      <c r="Y2008" s="89"/>
    </row>
    <row r="2009" ht="22.5" customHeight="1">
      <c r="A2009" s="223"/>
      <c r="B2009" s="125"/>
      <c r="C2009" s="125"/>
      <c r="D2009" s="125"/>
      <c r="E2009" s="125"/>
      <c r="F2009" s="125"/>
      <c r="G2009" s="125"/>
      <c r="H2009" s="125"/>
      <c r="I2009" s="627" t="s">
        <v>51</v>
      </c>
      <c r="J2009" s="125" t="s">
        <v>51</v>
      </c>
      <c r="K2009" s="125" t="s">
        <v>51</v>
      </c>
      <c r="L2009" s="125" t="s">
        <v>51</v>
      </c>
      <c r="M2009" s="125" t="str">
        <f t="shared" si="1"/>
        <v/>
      </c>
      <c r="N2009" s="125" t="str">
        <f t="shared" si="2"/>
        <v/>
      </c>
      <c r="O2009" s="125"/>
      <c r="P2009" s="125"/>
      <c r="Q2009" s="125"/>
      <c r="R2009" s="125"/>
      <c r="S2009" s="628">
        <f t="shared" si="3"/>
        <v>0</v>
      </c>
      <c r="T2009" s="627" t="s">
        <v>51</v>
      </c>
      <c r="U2009" s="627" t="s">
        <v>51</v>
      </c>
      <c r="V2009" s="627" t="s">
        <v>51</v>
      </c>
      <c r="W2009" s="627" t="s">
        <v>51</v>
      </c>
      <c r="X2009" s="627" t="s">
        <v>51</v>
      </c>
      <c r="Y2009" s="89"/>
    </row>
    <row r="2010" ht="22.5" customHeight="1">
      <c r="A2010" s="223"/>
      <c r="B2010" s="125"/>
      <c r="C2010" s="125"/>
      <c r="D2010" s="125"/>
      <c r="E2010" s="125"/>
      <c r="F2010" s="125"/>
      <c r="G2010" s="125"/>
      <c r="H2010" s="125"/>
      <c r="I2010" s="627" t="s">
        <v>51</v>
      </c>
      <c r="J2010" s="125" t="s">
        <v>51</v>
      </c>
      <c r="K2010" s="125" t="s">
        <v>51</v>
      </c>
      <c r="L2010" s="125" t="s">
        <v>51</v>
      </c>
      <c r="M2010" s="125" t="str">
        <f t="shared" si="1"/>
        <v/>
      </c>
      <c r="N2010" s="125" t="str">
        <f t="shared" si="2"/>
        <v/>
      </c>
      <c r="O2010" s="125"/>
      <c r="P2010" s="125"/>
      <c r="Q2010" s="125"/>
      <c r="R2010" s="125"/>
      <c r="S2010" s="628">
        <f t="shared" si="3"/>
        <v>0</v>
      </c>
      <c r="T2010" s="627" t="s">
        <v>51</v>
      </c>
      <c r="U2010" s="627" t="s">
        <v>51</v>
      </c>
      <c r="V2010" s="627" t="s">
        <v>51</v>
      </c>
      <c r="W2010" s="627" t="s">
        <v>51</v>
      </c>
      <c r="X2010" s="627" t="s">
        <v>51</v>
      </c>
      <c r="Y2010" s="89"/>
    </row>
    <row r="2011" ht="22.5" customHeight="1">
      <c r="A2011" s="223"/>
      <c r="B2011" s="125"/>
      <c r="C2011" s="125"/>
      <c r="D2011" s="125"/>
      <c r="E2011" s="125"/>
      <c r="F2011" s="125"/>
      <c r="G2011" s="125"/>
      <c r="H2011" s="125"/>
      <c r="I2011" s="627" t="s">
        <v>51</v>
      </c>
      <c r="J2011" s="125" t="s">
        <v>51</v>
      </c>
      <c r="K2011" s="125" t="s">
        <v>51</v>
      </c>
      <c r="L2011" s="125" t="s">
        <v>51</v>
      </c>
      <c r="M2011" s="125" t="str">
        <f t="shared" si="1"/>
        <v/>
      </c>
      <c r="N2011" s="125" t="str">
        <f t="shared" si="2"/>
        <v/>
      </c>
      <c r="O2011" s="125"/>
      <c r="P2011" s="125"/>
      <c r="Q2011" s="125"/>
      <c r="R2011" s="125"/>
      <c r="S2011" s="628">
        <f t="shared" si="3"/>
        <v>0</v>
      </c>
      <c r="T2011" s="627" t="s">
        <v>51</v>
      </c>
      <c r="U2011" s="627" t="s">
        <v>51</v>
      </c>
      <c r="V2011" s="627" t="s">
        <v>51</v>
      </c>
      <c r="W2011" s="627" t="s">
        <v>51</v>
      </c>
      <c r="X2011" s="627" t="s">
        <v>51</v>
      </c>
      <c r="Y2011" s="89"/>
    </row>
    <row r="2012" ht="22.5" customHeight="1">
      <c r="A2012" s="223"/>
      <c r="B2012" s="125"/>
      <c r="C2012" s="125"/>
      <c r="D2012" s="125"/>
      <c r="E2012" s="125"/>
      <c r="F2012" s="125"/>
      <c r="G2012" s="125"/>
      <c r="H2012" s="125"/>
      <c r="I2012" s="627" t="s">
        <v>51</v>
      </c>
      <c r="J2012" s="125" t="s">
        <v>51</v>
      </c>
      <c r="K2012" s="125" t="s">
        <v>51</v>
      </c>
      <c r="L2012" s="125" t="s">
        <v>51</v>
      </c>
      <c r="M2012" s="125" t="str">
        <f t="shared" si="1"/>
        <v/>
      </c>
      <c r="N2012" s="125" t="str">
        <f t="shared" si="2"/>
        <v/>
      </c>
      <c r="O2012" s="125"/>
      <c r="P2012" s="125"/>
      <c r="Q2012" s="125"/>
      <c r="R2012" s="125"/>
      <c r="S2012" s="628">
        <f t="shared" si="3"/>
        <v>0</v>
      </c>
      <c r="T2012" s="627" t="s">
        <v>51</v>
      </c>
      <c r="U2012" s="627" t="s">
        <v>51</v>
      </c>
      <c r="V2012" s="627" t="s">
        <v>51</v>
      </c>
      <c r="W2012" s="627" t="s">
        <v>51</v>
      </c>
      <c r="X2012" s="627" t="s">
        <v>51</v>
      </c>
      <c r="Y2012" s="89"/>
    </row>
    <row r="2013" ht="22.5" customHeight="1">
      <c r="A2013" s="223"/>
      <c r="B2013" s="125"/>
      <c r="C2013" s="125"/>
      <c r="D2013" s="125"/>
      <c r="E2013" s="125"/>
      <c r="F2013" s="125"/>
      <c r="G2013" s="125"/>
      <c r="H2013" s="125"/>
      <c r="I2013" s="627" t="s">
        <v>51</v>
      </c>
      <c r="J2013" s="125" t="s">
        <v>51</v>
      </c>
      <c r="K2013" s="125" t="s">
        <v>51</v>
      </c>
      <c r="L2013" s="125" t="s">
        <v>51</v>
      </c>
      <c r="M2013" s="125" t="str">
        <f t="shared" si="1"/>
        <v/>
      </c>
      <c r="N2013" s="125" t="str">
        <f t="shared" si="2"/>
        <v/>
      </c>
      <c r="O2013" s="125"/>
      <c r="P2013" s="125"/>
      <c r="Q2013" s="125"/>
      <c r="R2013" s="125"/>
      <c r="S2013" s="628">
        <f t="shared" si="3"/>
        <v>0</v>
      </c>
      <c r="T2013" s="627" t="s">
        <v>51</v>
      </c>
      <c r="U2013" s="627" t="s">
        <v>51</v>
      </c>
      <c r="V2013" s="627" t="s">
        <v>51</v>
      </c>
      <c r="W2013" s="627" t="s">
        <v>51</v>
      </c>
      <c r="X2013" s="627" t="s">
        <v>51</v>
      </c>
      <c r="Y2013" s="89"/>
    </row>
    <row r="2014" ht="22.5" customHeight="1">
      <c r="A2014" s="223"/>
      <c r="B2014" s="125"/>
      <c r="C2014" s="125"/>
      <c r="D2014" s="125"/>
      <c r="E2014" s="125"/>
      <c r="F2014" s="125"/>
      <c r="G2014" s="125"/>
      <c r="H2014" s="125"/>
      <c r="I2014" s="627" t="s">
        <v>51</v>
      </c>
      <c r="J2014" s="125" t="s">
        <v>51</v>
      </c>
      <c r="K2014" s="125" t="s">
        <v>51</v>
      </c>
      <c r="L2014" s="125" t="s">
        <v>51</v>
      </c>
      <c r="M2014" s="125" t="str">
        <f t="shared" si="1"/>
        <v/>
      </c>
      <c r="N2014" s="125" t="str">
        <f t="shared" si="2"/>
        <v/>
      </c>
      <c r="O2014" s="125"/>
      <c r="P2014" s="125"/>
      <c r="Q2014" s="125"/>
      <c r="R2014" s="125"/>
      <c r="S2014" s="628">
        <f t="shared" si="3"/>
        <v>0</v>
      </c>
      <c r="T2014" s="627" t="s">
        <v>51</v>
      </c>
      <c r="U2014" s="627" t="s">
        <v>51</v>
      </c>
      <c r="V2014" s="627" t="s">
        <v>51</v>
      </c>
      <c r="W2014" s="627" t="s">
        <v>51</v>
      </c>
      <c r="X2014" s="627" t="s">
        <v>51</v>
      </c>
      <c r="Y2014" s="89"/>
    </row>
    <row r="2015" ht="22.5" customHeight="1">
      <c r="A2015" s="223"/>
      <c r="B2015" s="125"/>
      <c r="C2015" s="125"/>
      <c r="D2015" s="125"/>
      <c r="E2015" s="125"/>
      <c r="F2015" s="125"/>
      <c r="G2015" s="125"/>
      <c r="H2015" s="125"/>
      <c r="I2015" s="627" t="s">
        <v>51</v>
      </c>
      <c r="J2015" s="125" t="s">
        <v>51</v>
      </c>
      <c r="K2015" s="125" t="s">
        <v>51</v>
      </c>
      <c r="L2015" s="125" t="s">
        <v>51</v>
      </c>
      <c r="M2015" s="125" t="str">
        <f t="shared" si="1"/>
        <v/>
      </c>
      <c r="N2015" s="125" t="str">
        <f t="shared" si="2"/>
        <v/>
      </c>
      <c r="O2015" s="125"/>
      <c r="P2015" s="125"/>
      <c r="Q2015" s="125"/>
      <c r="R2015" s="125"/>
      <c r="S2015" s="628">
        <f t="shared" si="3"/>
        <v>0</v>
      </c>
      <c r="T2015" s="627" t="s">
        <v>51</v>
      </c>
      <c r="U2015" s="627" t="s">
        <v>51</v>
      </c>
      <c r="V2015" s="627" t="s">
        <v>51</v>
      </c>
      <c r="W2015" s="627" t="s">
        <v>51</v>
      </c>
      <c r="X2015" s="627" t="s">
        <v>51</v>
      </c>
      <c r="Y2015" s="89"/>
    </row>
    <row r="2016" ht="22.5" customHeight="1">
      <c r="A2016" s="223"/>
      <c r="B2016" s="125"/>
      <c r="C2016" s="125"/>
      <c r="D2016" s="125"/>
      <c r="E2016" s="125"/>
      <c r="F2016" s="125"/>
      <c r="G2016" s="125"/>
      <c r="H2016" s="125"/>
      <c r="I2016" s="627" t="s">
        <v>51</v>
      </c>
      <c r="J2016" s="125" t="s">
        <v>51</v>
      </c>
      <c r="K2016" s="125" t="s">
        <v>51</v>
      </c>
      <c r="L2016" s="125" t="s">
        <v>51</v>
      </c>
      <c r="M2016" s="125" t="str">
        <f t="shared" si="1"/>
        <v/>
      </c>
      <c r="N2016" s="125" t="str">
        <f t="shared" si="2"/>
        <v/>
      </c>
      <c r="O2016" s="125"/>
      <c r="P2016" s="125"/>
      <c r="Q2016" s="125"/>
      <c r="R2016" s="125"/>
      <c r="S2016" s="628">
        <f t="shared" si="3"/>
        <v>0</v>
      </c>
      <c r="T2016" s="627" t="s">
        <v>51</v>
      </c>
      <c r="U2016" s="627" t="s">
        <v>51</v>
      </c>
      <c r="V2016" s="627" t="s">
        <v>51</v>
      </c>
      <c r="W2016" s="627" t="s">
        <v>51</v>
      </c>
      <c r="X2016" s="627" t="s">
        <v>51</v>
      </c>
      <c r="Y2016" s="89"/>
    </row>
    <row r="2017" ht="22.5" customHeight="1">
      <c r="A2017" s="223"/>
      <c r="B2017" s="125"/>
      <c r="C2017" s="125"/>
      <c r="D2017" s="125"/>
      <c r="E2017" s="125"/>
      <c r="F2017" s="125"/>
      <c r="G2017" s="125"/>
      <c r="H2017" s="125"/>
      <c r="I2017" s="627" t="s">
        <v>51</v>
      </c>
      <c r="J2017" s="125" t="s">
        <v>51</v>
      </c>
      <c r="K2017" s="125" t="s">
        <v>51</v>
      </c>
      <c r="L2017" s="125" t="s">
        <v>51</v>
      </c>
      <c r="M2017" s="125" t="str">
        <f t="shared" si="1"/>
        <v/>
      </c>
      <c r="N2017" s="125" t="str">
        <f t="shared" si="2"/>
        <v/>
      </c>
      <c r="O2017" s="125"/>
      <c r="P2017" s="125"/>
      <c r="Q2017" s="125"/>
      <c r="R2017" s="125"/>
      <c r="S2017" s="628">
        <f t="shared" si="3"/>
        <v>0</v>
      </c>
      <c r="T2017" s="627" t="s">
        <v>51</v>
      </c>
      <c r="U2017" s="627" t="s">
        <v>51</v>
      </c>
      <c r="V2017" s="627" t="s">
        <v>51</v>
      </c>
      <c r="W2017" s="627" t="s">
        <v>51</v>
      </c>
      <c r="X2017" s="627" t="s">
        <v>51</v>
      </c>
      <c r="Y2017" s="89"/>
    </row>
    <row r="2018" ht="22.5" customHeight="1">
      <c r="A2018" s="223"/>
      <c r="B2018" s="125"/>
      <c r="C2018" s="125"/>
      <c r="D2018" s="125"/>
      <c r="E2018" s="125"/>
      <c r="F2018" s="125"/>
      <c r="G2018" s="125"/>
      <c r="H2018" s="125"/>
      <c r="I2018" s="627" t="s">
        <v>51</v>
      </c>
      <c r="J2018" s="125" t="s">
        <v>51</v>
      </c>
      <c r="K2018" s="125" t="s">
        <v>51</v>
      </c>
      <c r="L2018" s="125" t="s">
        <v>51</v>
      </c>
      <c r="M2018" s="125" t="str">
        <f t="shared" si="1"/>
        <v/>
      </c>
      <c r="N2018" s="125" t="str">
        <f t="shared" si="2"/>
        <v/>
      </c>
      <c r="O2018" s="125"/>
      <c r="P2018" s="125"/>
      <c r="Q2018" s="125"/>
      <c r="R2018" s="125"/>
      <c r="S2018" s="628">
        <f t="shared" si="3"/>
        <v>0</v>
      </c>
      <c r="T2018" s="627" t="s">
        <v>51</v>
      </c>
      <c r="U2018" s="627" t="s">
        <v>51</v>
      </c>
      <c r="V2018" s="627" t="s">
        <v>51</v>
      </c>
      <c r="W2018" s="627" t="s">
        <v>51</v>
      </c>
      <c r="X2018" s="627" t="s">
        <v>51</v>
      </c>
      <c r="Y2018" s="89"/>
    </row>
    <row r="2019" ht="22.5" customHeight="1">
      <c r="A2019" s="223"/>
      <c r="B2019" s="125"/>
      <c r="C2019" s="125"/>
      <c r="D2019" s="125"/>
      <c r="E2019" s="125"/>
      <c r="F2019" s="125"/>
      <c r="G2019" s="125"/>
      <c r="H2019" s="125"/>
      <c r="I2019" s="627" t="s">
        <v>51</v>
      </c>
      <c r="J2019" s="125" t="s">
        <v>51</v>
      </c>
      <c r="K2019" s="125" t="s">
        <v>51</v>
      </c>
      <c r="L2019" s="125" t="s">
        <v>51</v>
      </c>
      <c r="M2019" s="125" t="str">
        <f t="shared" si="1"/>
        <v/>
      </c>
      <c r="N2019" s="125" t="str">
        <f t="shared" si="2"/>
        <v/>
      </c>
      <c r="O2019" s="125"/>
      <c r="P2019" s="125"/>
      <c r="Q2019" s="125"/>
      <c r="R2019" s="125"/>
      <c r="S2019" s="628">
        <f t="shared" si="3"/>
        <v>0</v>
      </c>
      <c r="T2019" s="627" t="s">
        <v>51</v>
      </c>
      <c r="U2019" s="627" t="s">
        <v>51</v>
      </c>
      <c r="V2019" s="627" t="s">
        <v>51</v>
      </c>
      <c r="W2019" s="627" t="s">
        <v>51</v>
      </c>
      <c r="X2019" s="627" t="s">
        <v>51</v>
      </c>
      <c r="Y2019" s="89"/>
    </row>
    <row r="2020" ht="22.5" customHeight="1">
      <c r="A2020" s="223"/>
      <c r="B2020" s="125"/>
      <c r="C2020" s="125"/>
      <c r="D2020" s="125"/>
      <c r="E2020" s="125"/>
      <c r="F2020" s="125"/>
      <c r="G2020" s="125"/>
      <c r="H2020" s="125"/>
      <c r="I2020" s="627" t="s">
        <v>51</v>
      </c>
      <c r="J2020" s="125" t="s">
        <v>51</v>
      </c>
      <c r="K2020" s="125" t="s">
        <v>51</v>
      </c>
      <c r="L2020" s="125" t="s">
        <v>51</v>
      </c>
      <c r="M2020" s="125" t="str">
        <f t="shared" si="1"/>
        <v/>
      </c>
      <c r="N2020" s="125" t="str">
        <f t="shared" si="2"/>
        <v/>
      </c>
      <c r="O2020" s="125"/>
      <c r="P2020" s="125"/>
      <c r="Q2020" s="125"/>
      <c r="R2020" s="125"/>
      <c r="S2020" s="628">
        <f t="shared" si="3"/>
        <v>0</v>
      </c>
      <c r="T2020" s="627" t="s">
        <v>51</v>
      </c>
      <c r="U2020" s="627" t="s">
        <v>51</v>
      </c>
      <c r="V2020" s="627" t="s">
        <v>51</v>
      </c>
      <c r="W2020" s="627" t="s">
        <v>51</v>
      </c>
      <c r="X2020" s="627" t="s">
        <v>51</v>
      </c>
      <c r="Y2020" s="89"/>
    </row>
    <row r="2021" ht="22.5" customHeight="1">
      <c r="A2021" s="223"/>
      <c r="B2021" s="125"/>
      <c r="C2021" s="125"/>
      <c r="D2021" s="125"/>
      <c r="E2021" s="125"/>
      <c r="F2021" s="125"/>
      <c r="G2021" s="125"/>
      <c r="H2021" s="125"/>
      <c r="I2021" s="627" t="s">
        <v>51</v>
      </c>
      <c r="J2021" s="125" t="s">
        <v>51</v>
      </c>
      <c r="K2021" s="125" t="s">
        <v>51</v>
      </c>
      <c r="L2021" s="125" t="s">
        <v>51</v>
      </c>
      <c r="M2021" s="125" t="str">
        <f t="shared" si="1"/>
        <v/>
      </c>
      <c r="N2021" s="125" t="str">
        <f t="shared" si="2"/>
        <v/>
      </c>
      <c r="O2021" s="125"/>
      <c r="P2021" s="125"/>
      <c r="Q2021" s="125"/>
      <c r="R2021" s="125"/>
      <c r="S2021" s="628">
        <f t="shared" si="3"/>
        <v>0</v>
      </c>
      <c r="T2021" s="627" t="s">
        <v>51</v>
      </c>
      <c r="U2021" s="627" t="s">
        <v>51</v>
      </c>
      <c r="V2021" s="627" t="s">
        <v>51</v>
      </c>
      <c r="W2021" s="627" t="s">
        <v>51</v>
      </c>
      <c r="X2021" s="627" t="s">
        <v>51</v>
      </c>
      <c r="Y2021" s="89"/>
    </row>
    <row r="2022" ht="22.5" customHeight="1">
      <c r="A2022" s="223"/>
      <c r="B2022" s="125"/>
      <c r="C2022" s="125"/>
      <c r="D2022" s="125"/>
      <c r="E2022" s="125"/>
      <c r="F2022" s="125"/>
      <c r="G2022" s="125"/>
      <c r="H2022" s="125"/>
      <c r="I2022" s="627" t="s">
        <v>51</v>
      </c>
      <c r="J2022" s="125" t="s">
        <v>51</v>
      </c>
      <c r="K2022" s="125" t="s">
        <v>51</v>
      </c>
      <c r="L2022" s="125" t="s">
        <v>51</v>
      </c>
      <c r="M2022" s="125" t="str">
        <f t="shared" si="1"/>
        <v/>
      </c>
      <c r="N2022" s="125" t="str">
        <f t="shared" si="2"/>
        <v/>
      </c>
      <c r="O2022" s="125"/>
      <c r="P2022" s="125"/>
      <c r="Q2022" s="125"/>
      <c r="R2022" s="125"/>
      <c r="S2022" s="628">
        <f t="shared" si="3"/>
        <v>0</v>
      </c>
      <c r="T2022" s="627" t="s">
        <v>51</v>
      </c>
      <c r="U2022" s="627" t="s">
        <v>51</v>
      </c>
      <c r="V2022" s="627" t="s">
        <v>51</v>
      </c>
      <c r="W2022" s="627" t="s">
        <v>51</v>
      </c>
      <c r="X2022" s="627" t="s">
        <v>51</v>
      </c>
      <c r="Y2022" s="89"/>
    </row>
    <row r="2023" ht="22.5" customHeight="1">
      <c r="A2023" s="223"/>
      <c r="B2023" s="125"/>
      <c r="C2023" s="125"/>
      <c r="D2023" s="125"/>
      <c r="E2023" s="125"/>
      <c r="F2023" s="125"/>
      <c r="G2023" s="125"/>
      <c r="H2023" s="125"/>
      <c r="I2023" s="627" t="s">
        <v>51</v>
      </c>
      <c r="J2023" s="125" t="s">
        <v>51</v>
      </c>
      <c r="K2023" s="125" t="s">
        <v>51</v>
      </c>
      <c r="L2023" s="125" t="s">
        <v>51</v>
      </c>
      <c r="M2023" s="125" t="str">
        <f t="shared" si="1"/>
        <v/>
      </c>
      <c r="N2023" s="125" t="str">
        <f t="shared" si="2"/>
        <v/>
      </c>
      <c r="O2023" s="125"/>
      <c r="P2023" s="125"/>
      <c r="Q2023" s="125"/>
      <c r="R2023" s="125"/>
      <c r="S2023" s="628">
        <f t="shared" si="3"/>
        <v>0</v>
      </c>
      <c r="T2023" s="627" t="s">
        <v>51</v>
      </c>
      <c r="U2023" s="627" t="s">
        <v>51</v>
      </c>
      <c r="V2023" s="627" t="s">
        <v>51</v>
      </c>
      <c r="W2023" s="627" t="s">
        <v>51</v>
      </c>
      <c r="X2023" s="627" t="s">
        <v>51</v>
      </c>
      <c r="Y2023" s="89"/>
    </row>
    <row r="2024" ht="22.5" customHeight="1">
      <c r="A2024" s="223"/>
      <c r="B2024" s="125"/>
      <c r="C2024" s="125"/>
      <c r="D2024" s="125"/>
      <c r="E2024" s="125"/>
      <c r="F2024" s="125"/>
      <c r="G2024" s="125"/>
      <c r="H2024" s="125"/>
      <c r="I2024" s="627" t="s">
        <v>51</v>
      </c>
      <c r="J2024" s="125" t="s">
        <v>51</v>
      </c>
      <c r="K2024" s="125" t="s">
        <v>51</v>
      </c>
      <c r="L2024" s="125" t="s">
        <v>51</v>
      </c>
      <c r="M2024" s="125" t="str">
        <f t="shared" si="1"/>
        <v/>
      </c>
      <c r="N2024" s="125" t="str">
        <f t="shared" si="2"/>
        <v/>
      </c>
      <c r="O2024" s="125"/>
      <c r="P2024" s="125"/>
      <c r="Q2024" s="125"/>
      <c r="R2024" s="125"/>
      <c r="S2024" s="628">
        <f t="shared" si="3"/>
        <v>0</v>
      </c>
      <c r="T2024" s="627" t="s">
        <v>51</v>
      </c>
      <c r="U2024" s="627" t="s">
        <v>51</v>
      </c>
      <c r="V2024" s="627" t="s">
        <v>51</v>
      </c>
      <c r="W2024" s="627" t="s">
        <v>51</v>
      </c>
      <c r="X2024" s="627" t="s">
        <v>51</v>
      </c>
      <c r="Y2024" s="89"/>
    </row>
    <row r="2025" ht="22.5" customHeight="1">
      <c r="A2025" s="223"/>
      <c r="B2025" s="125"/>
      <c r="C2025" s="125"/>
      <c r="D2025" s="125"/>
      <c r="E2025" s="125"/>
      <c r="F2025" s="125"/>
      <c r="G2025" s="125"/>
      <c r="H2025" s="125"/>
      <c r="I2025" s="627" t="s">
        <v>51</v>
      </c>
      <c r="J2025" s="125" t="s">
        <v>51</v>
      </c>
      <c r="K2025" s="125" t="s">
        <v>51</v>
      </c>
      <c r="L2025" s="125" t="s">
        <v>51</v>
      </c>
      <c r="M2025" s="125" t="str">
        <f t="shared" si="1"/>
        <v/>
      </c>
      <c r="N2025" s="125" t="str">
        <f t="shared" si="2"/>
        <v/>
      </c>
      <c r="O2025" s="125"/>
      <c r="P2025" s="125"/>
      <c r="Q2025" s="125"/>
      <c r="R2025" s="125"/>
      <c r="S2025" s="628">
        <f t="shared" si="3"/>
        <v>0</v>
      </c>
      <c r="T2025" s="627" t="s">
        <v>51</v>
      </c>
      <c r="U2025" s="627" t="s">
        <v>51</v>
      </c>
      <c r="V2025" s="627" t="s">
        <v>51</v>
      </c>
      <c r="W2025" s="627" t="s">
        <v>51</v>
      </c>
      <c r="X2025" s="627" t="s">
        <v>51</v>
      </c>
      <c r="Y2025" s="89"/>
    </row>
    <row r="2026" ht="22.5" customHeight="1">
      <c r="A2026" s="223"/>
      <c r="B2026" s="125"/>
      <c r="C2026" s="125"/>
      <c r="D2026" s="125"/>
      <c r="E2026" s="125"/>
      <c r="F2026" s="125"/>
      <c r="G2026" s="125"/>
      <c r="H2026" s="125"/>
      <c r="I2026" s="627" t="s">
        <v>51</v>
      </c>
      <c r="J2026" s="125" t="s">
        <v>51</v>
      </c>
      <c r="K2026" s="125" t="s">
        <v>51</v>
      </c>
      <c r="L2026" s="125" t="s">
        <v>51</v>
      </c>
      <c r="M2026" s="125" t="str">
        <f t="shared" si="1"/>
        <v/>
      </c>
      <c r="N2026" s="125" t="str">
        <f t="shared" si="2"/>
        <v/>
      </c>
      <c r="O2026" s="125"/>
      <c r="P2026" s="125"/>
      <c r="Q2026" s="125"/>
      <c r="R2026" s="125"/>
      <c r="S2026" s="628">
        <f t="shared" si="3"/>
        <v>0</v>
      </c>
      <c r="T2026" s="627" t="s">
        <v>51</v>
      </c>
      <c r="U2026" s="627" t="s">
        <v>51</v>
      </c>
      <c r="V2026" s="627" t="s">
        <v>51</v>
      </c>
      <c r="W2026" s="627" t="s">
        <v>51</v>
      </c>
      <c r="X2026" s="627" t="s">
        <v>51</v>
      </c>
      <c r="Y2026" s="89"/>
    </row>
    <row r="2027" ht="22.5" customHeight="1">
      <c r="A2027" s="223"/>
      <c r="B2027" s="125"/>
      <c r="C2027" s="125"/>
      <c r="D2027" s="125"/>
      <c r="E2027" s="125"/>
      <c r="F2027" s="125"/>
      <c r="G2027" s="125"/>
      <c r="H2027" s="125"/>
      <c r="I2027" s="627" t="s">
        <v>51</v>
      </c>
      <c r="J2027" s="125" t="s">
        <v>51</v>
      </c>
      <c r="K2027" s="125" t="s">
        <v>51</v>
      </c>
      <c r="L2027" s="125" t="s">
        <v>51</v>
      </c>
      <c r="M2027" s="125" t="str">
        <f t="shared" si="1"/>
        <v/>
      </c>
      <c r="N2027" s="125" t="str">
        <f t="shared" si="2"/>
        <v/>
      </c>
      <c r="O2027" s="125"/>
      <c r="P2027" s="125"/>
      <c r="Q2027" s="125"/>
      <c r="R2027" s="125"/>
      <c r="S2027" s="628">
        <f t="shared" si="3"/>
        <v>0</v>
      </c>
      <c r="T2027" s="627" t="s">
        <v>51</v>
      </c>
      <c r="U2027" s="627" t="s">
        <v>51</v>
      </c>
      <c r="V2027" s="627" t="s">
        <v>51</v>
      </c>
      <c r="W2027" s="627" t="s">
        <v>51</v>
      </c>
      <c r="X2027" s="627" t="s">
        <v>51</v>
      </c>
      <c r="Y2027" s="89"/>
    </row>
    <row r="2028" ht="22.5" customHeight="1">
      <c r="A2028" s="223"/>
      <c r="B2028" s="125"/>
      <c r="C2028" s="125"/>
      <c r="D2028" s="125"/>
      <c r="E2028" s="125"/>
      <c r="F2028" s="125"/>
      <c r="G2028" s="125"/>
      <c r="H2028" s="125"/>
      <c r="I2028" s="627" t="s">
        <v>51</v>
      </c>
      <c r="J2028" s="125" t="s">
        <v>51</v>
      </c>
      <c r="K2028" s="125" t="s">
        <v>51</v>
      </c>
      <c r="L2028" s="125" t="s">
        <v>51</v>
      </c>
      <c r="M2028" s="125" t="str">
        <f t="shared" si="1"/>
        <v/>
      </c>
      <c r="N2028" s="125" t="str">
        <f t="shared" si="2"/>
        <v/>
      </c>
      <c r="O2028" s="125"/>
      <c r="P2028" s="125"/>
      <c r="Q2028" s="125"/>
      <c r="R2028" s="125"/>
      <c r="S2028" s="628">
        <f t="shared" si="3"/>
        <v>0</v>
      </c>
      <c r="T2028" s="627" t="s">
        <v>51</v>
      </c>
      <c r="U2028" s="627" t="s">
        <v>51</v>
      </c>
      <c r="V2028" s="627" t="s">
        <v>51</v>
      </c>
      <c r="W2028" s="627" t="s">
        <v>51</v>
      </c>
      <c r="X2028" s="627" t="s">
        <v>51</v>
      </c>
      <c r="Y2028" s="89"/>
    </row>
    <row r="2029" ht="22.5" customHeight="1">
      <c r="A2029" s="223"/>
      <c r="B2029" s="125"/>
      <c r="C2029" s="125"/>
      <c r="D2029" s="125"/>
      <c r="E2029" s="125"/>
      <c r="F2029" s="125"/>
      <c r="G2029" s="125"/>
      <c r="H2029" s="125"/>
      <c r="I2029" s="627" t="s">
        <v>51</v>
      </c>
      <c r="J2029" s="125" t="s">
        <v>51</v>
      </c>
      <c r="K2029" s="125" t="s">
        <v>51</v>
      </c>
      <c r="L2029" s="125" t="s">
        <v>51</v>
      </c>
      <c r="M2029" s="125" t="str">
        <f t="shared" si="1"/>
        <v/>
      </c>
      <c r="N2029" s="125" t="str">
        <f t="shared" si="2"/>
        <v/>
      </c>
      <c r="O2029" s="125"/>
      <c r="P2029" s="125"/>
      <c r="Q2029" s="125"/>
      <c r="R2029" s="125"/>
      <c r="S2029" s="628">
        <f t="shared" si="3"/>
        <v>0</v>
      </c>
      <c r="T2029" s="627" t="s">
        <v>51</v>
      </c>
      <c r="U2029" s="627" t="s">
        <v>51</v>
      </c>
      <c r="V2029" s="627" t="s">
        <v>51</v>
      </c>
      <c r="W2029" s="627" t="s">
        <v>51</v>
      </c>
      <c r="X2029" s="627" t="s">
        <v>51</v>
      </c>
      <c r="Y2029" s="89"/>
    </row>
    <row r="2030" ht="22.5" customHeight="1">
      <c r="A2030" s="223"/>
      <c r="B2030" s="125"/>
      <c r="C2030" s="125"/>
      <c r="D2030" s="125"/>
      <c r="E2030" s="125"/>
      <c r="F2030" s="125"/>
      <c r="G2030" s="125"/>
      <c r="H2030" s="125"/>
      <c r="I2030" s="627" t="s">
        <v>51</v>
      </c>
      <c r="J2030" s="125" t="s">
        <v>51</v>
      </c>
      <c r="K2030" s="125" t="s">
        <v>51</v>
      </c>
      <c r="L2030" s="125" t="s">
        <v>51</v>
      </c>
      <c r="M2030" s="125" t="str">
        <f t="shared" si="1"/>
        <v/>
      </c>
      <c r="N2030" s="125" t="str">
        <f t="shared" si="2"/>
        <v/>
      </c>
      <c r="O2030" s="125"/>
      <c r="P2030" s="125"/>
      <c r="Q2030" s="125"/>
      <c r="R2030" s="125"/>
      <c r="S2030" s="628">
        <f t="shared" si="3"/>
        <v>0</v>
      </c>
      <c r="T2030" s="627" t="s">
        <v>51</v>
      </c>
      <c r="U2030" s="627" t="s">
        <v>51</v>
      </c>
      <c r="V2030" s="627" t="s">
        <v>51</v>
      </c>
      <c r="W2030" s="627" t="s">
        <v>51</v>
      </c>
      <c r="X2030" s="627" t="s">
        <v>51</v>
      </c>
      <c r="Y2030" s="89"/>
    </row>
    <row r="2031" ht="22.5" customHeight="1">
      <c r="A2031" s="223"/>
      <c r="B2031" s="125"/>
      <c r="C2031" s="125"/>
      <c r="D2031" s="125"/>
      <c r="E2031" s="125"/>
      <c r="F2031" s="125"/>
      <c r="G2031" s="125"/>
      <c r="H2031" s="125"/>
      <c r="I2031" s="627" t="s">
        <v>51</v>
      </c>
      <c r="J2031" s="125" t="s">
        <v>51</v>
      </c>
      <c r="K2031" s="125" t="s">
        <v>51</v>
      </c>
      <c r="L2031" s="125" t="s">
        <v>51</v>
      </c>
      <c r="M2031" s="125" t="str">
        <f t="shared" si="1"/>
        <v/>
      </c>
      <c r="N2031" s="125" t="str">
        <f t="shared" si="2"/>
        <v/>
      </c>
      <c r="O2031" s="125"/>
      <c r="P2031" s="125"/>
      <c r="Q2031" s="125"/>
      <c r="R2031" s="125"/>
      <c r="S2031" s="628">
        <f t="shared" si="3"/>
        <v>0</v>
      </c>
      <c r="T2031" s="627" t="s">
        <v>51</v>
      </c>
      <c r="U2031" s="627" t="s">
        <v>51</v>
      </c>
      <c r="V2031" s="627" t="s">
        <v>51</v>
      </c>
      <c r="W2031" s="627" t="s">
        <v>51</v>
      </c>
      <c r="X2031" s="627" t="s">
        <v>51</v>
      </c>
      <c r="Y2031" s="89"/>
    </row>
    <row r="2032" ht="22.5" customHeight="1">
      <c r="A2032" s="223"/>
      <c r="B2032" s="125"/>
      <c r="C2032" s="125"/>
      <c r="D2032" s="125"/>
      <c r="E2032" s="125"/>
      <c r="F2032" s="125"/>
      <c r="G2032" s="125"/>
      <c r="H2032" s="125"/>
      <c r="I2032" s="627" t="s">
        <v>51</v>
      </c>
      <c r="J2032" s="125" t="s">
        <v>51</v>
      </c>
      <c r="K2032" s="125" t="s">
        <v>51</v>
      </c>
      <c r="L2032" s="125" t="s">
        <v>51</v>
      </c>
      <c r="M2032" s="125" t="str">
        <f t="shared" si="1"/>
        <v/>
      </c>
      <c r="N2032" s="125" t="str">
        <f t="shared" si="2"/>
        <v/>
      </c>
      <c r="O2032" s="125"/>
      <c r="P2032" s="125"/>
      <c r="Q2032" s="125"/>
      <c r="R2032" s="125"/>
      <c r="S2032" s="628">
        <f t="shared" si="3"/>
        <v>0</v>
      </c>
      <c r="T2032" s="627" t="s">
        <v>51</v>
      </c>
      <c r="U2032" s="627" t="s">
        <v>51</v>
      </c>
      <c r="V2032" s="627" t="s">
        <v>51</v>
      </c>
      <c r="W2032" s="627" t="s">
        <v>51</v>
      </c>
      <c r="X2032" s="627" t="s">
        <v>51</v>
      </c>
      <c r="Y2032" s="89"/>
    </row>
    <row r="2033" ht="22.5" customHeight="1">
      <c r="A2033" s="223"/>
      <c r="B2033" s="125"/>
      <c r="C2033" s="125"/>
      <c r="D2033" s="125"/>
      <c r="E2033" s="125"/>
      <c r="F2033" s="125"/>
      <c r="G2033" s="125"/>
      <c r="H2033" s="125"/>
      <c r="I2033" s="627" t="s">
        <v>51</v>
      </c>
      <c r="J2033" s="125" t="s">
        <v>51</v>
      </c>
      <c r="K2033" s="125" t="s">
        <v>51</v>
      </c>
      <c r="L2033" s="125" t="s">
        <v>51</v>
      </c>
      <c r="M2033" s="125" t="str">
        <f t="shared" si="1"/>
        <v/>
      </c>
      <c r="N2033" s="125" t="str">
        <f t="shared" si="2"/>
        <v/>
      </c>
      <c r="O2033" s="125"/>
      <c r="P2033" s="125"/>
      <c r="Q2033" s="125"/>
      <c r="R2033" s="125"/>
      <c r="S2033" s="628">
        <f t="shared" si="3"/>
        <v>0</v>
      </c>
      <c r="T2033" s="627" t="s">
        <v>51</v>
      </c>
      <c r="U2033" s="627" t="s">
        <v>51</v>
      </c>
      <c r="V2033" s="627" t="s">
        <v>51</v>
      </c>
      <c r="W2033" s="627" t="s">
        <v>51</v>
      </c>
      <c r="X2033" s="627" t="s">
        <v>51</v>
      </c>
      <c r="Y2033" s="89"/>
    </row>
    <row r="2034" ht="22.5" customHeight="1">
      <c r="A2034" s="223"/>
      <c r="B2034" s="125"/>
      <c r="C2034" s="125"/>
      <c r="D2034" s="125"/>
      <c r="E2034" s="125"/>
      <c r="F2034" s="125"/>
      <c r="G2034" s="125"/>
      <c r="H2034" s="125"/>
      <c r="I2034" s="627" t="s">
        <v>51</v>
      </c>
      <c r="J2034" s="125" t="s">
        <v>51</v>
      </c>
      <c r="K2034" s="125" t="s">
        <v>51</v>
      </c>
      <c r="L2034" s="125" t="s">
        <v>51</v>
      </c>
      <c r="M2034" s="125" t="str">
        <f t="shared" si="1"/>
        <v/>
      </c>
      <c r="N2034" s="125" t="str">
        <f t="shared" si="2"/>
        <v/>
      </c>
      <c r="O2034" s="125"/>
      <c r="P2034" s="125"/>
      <c r="Q2034" s="125"/>
      <c r="R2034" s="125"/>
      <c r="S2034" s="628">
        <f t="shared" si="3"/>
        <v>0</v>
      </c>
      <c r="T2034" s="627" t="s">
        <v>51</v>
      </c>
      <c r="U2034" s="627" t="s">
        <v>51</v>
      </c>
      <c r="V2034" s="627" t="s">
        <v>51</v>
      </c>
      <c r="W2034" s="627" t="s">
        <v>51</v>
      </c>
      <c r="X2034" s="627" t="s">
        <v>51</v>
      </c>
      <c r="Y2034" s="89"/>
    </row>
    <row r="2035" ht="22.5" customHeight="1">
      <c r="A2035" s="223"/>
      <c r="B2035" s="125"/>
      <c r="C2035" s="125"/>
      <c r="D2035" s="125"/>
      <c r="E2035" s="125"/>
      <c r="F2035" s="125"/>
      <c r="G2035" s="125"/>
      <c r="H2035" s="125"/>
      <c r="I2035" s="627" t="s">
        <v>51</v>
      </c>
      <c r="J2035" s="125" t="s">
        <v>51</v>
      </c>
      <c r="K2035" s="125" t="s">
        <v>51</v>
      </c>
      <c r="L2035" s="125" t="s">
        <v>51</v>
      </c>
      <c r="M2035" s="125" t="str">
        <f t="shared" si="1"/>
        <v/>
      </c>
      <c r="N2035" s="125" t="str">
        <f t="shared" si="2"/>
        <v/>
      </c>
      <c r="O2035" s="125"/>
      <c r="P2035" s="125"/>
      <c r="Q2035" s="125"/>
      <c r="R2035" s="125"/>
      <c r="S2035" s="628">
        <f t="shared" si="3"/>
        <v>0</v>
      </c>
      <c r="T2035" s="627" t="s">
        <v>51</v>
      </c>
      <c r="U2035" s="627" t="s">
        <v>51</v>
      </c>
      <c r="V2035" s="627" t="s">
        <v>51</v>
      </c>
      <c r="W2035" s="627" t="s">
        <v>51</v>
      </c>
      <c r="X2035" s="627" t="s">
        <v>51</v>
      </c>
      <c r="Y2035" s="89"/>
    </row>
    <row r="2036" ht="22.5" customHeight="1">
      <c r="A2036" s="223"/>
      <c r="B2036" s="125"/>
      <c r="C2036" s="125"/>
      <c r="D2036" s="125"/>
      <c r="E2036" s="125"/>
      <c r="F2036" s="125"/>
      <c r="G2036" s="125"/>
      <c r="H2036" s="125"/>
      <c r="I2036" s="627" t="s">
        <v>51</v>
      </c>
      <c r="J2036" s="125" t="s">
        <v>51</v>
      </c>
      <c r="K2036" s="125" t="s">
        <v>51</v>
      </c>
      <c r="L2036" s="125" t="s">
        <v>51</v>
      </c>
      <c r="M2036" s="125" t="str">
        <f t="shared" si="1"/>
        <v/>
      </c>
      <c r="N2036" s="125" t="str">
        <f t="shared" si="2"/>
        <v/>
      </c>
      <c r="O2036" s="125"/>
      <c r="P2036" s="125"/>
      <c r="Q2036" s="125"/>
      <c r="R2036" s="125"/>
      <c r="S2036" s="628">
        <f t="shared" si="3"/>
        <v>0</v>
      </c>
      <c r="T2036" s="627" t="s">
        <v>51</v>
      </c>
      <c r="U2036" s="627" t="s">
        <v>51</v>
      </c>
      <c r="V2036" s="627" t="s">
        <v>51</v>
      </c>
      <c r="W2036" s="627" t="s">
        <v>51</v>
      </c>
      <c r="X2036" s="627" t="s">
        <v>51</v>
      </c>
      <c r="Y2036" s="89"/>
    </row>
    <row r="2037" ht="22.5" customHeight="1">
      <c r="A2037" s="223"/>
      <c r="B2037" s="125"/>
      <c r="C2037" s="125"/>
      <c r="D2037" s="125"/>
      <c r="E2037" s="125"/>
      <c r="F2037" s="125"/>
      <c r="G2037" s="125"/>
      <c r="H2037" s="125"/>
      <c r="I2037" s="627" t="s">
        <v>51</v>
      </c>
      <c r="J2037" s="125" t="s">
        <v>51</v>
      </c>
      <c r="K2037" s="125" t="s">
        <v>51</v>
      </c>
      <c r="L2037" s="125" t="s">
        <v>51</v>
      </c>
      <c r="M2037" s="125" t="str">
        <f t="shared" si="1"/>
        <v/>
      </c>
      <c r="N2037" s="125" t="str">
        <f t="shared" si="2"/>
        <v/>
      </c>
      <c r="O2037" s="125"/>
      <c r="P2037" s="125"/>
      <c r="Q2037" s="125"/>
      <c r="R2037" s="125"/>
      <c r="S2037" s="628">
        <f t="shared" si="3"/>
        <v>0</v>
      </c>
      <c r="T2037" s="627" t="s">
        <v>51</v>
      </c>
      <c r="U2037" s="627" t="s">
        <v>51</v>
      </c>
      <c r="V2037" s="627" t="s">
        <v>51</v>
      </c>
      <c r="W2037" s="627" t="s">
        <v>51</v>
      </c>
      <c r="X2037" s="627" t="s">
        <v>51</v>
      </c>
      <c r="Y2037" s="89"/>
    </row>
    <row r="2038" ht="22.5" customHeight="1">
      <c r="A2038" s="223"/>
      <c r="B2038" s="125"/>
      <c r="C2038" s="125"/>
      <c r="D2038" s="125"/>
      <c r="E2038" s="125"/>
      <c r="F2038" s="125"/>
      <c r="G2038" s="125"/>
      <c r="H2038" s="125"/>
      <c r="I2038" s="627" t="s">
        <v>51</v>
      </c>
      <c r="J2038" s="125" t="s">
        <v>51</v>
      </c>
      <c r="K2038" s="125" t="s">
        <v>51</v>
      </c>
      <c r="L2038" s="125" t="s">
        <v>51</v>
      </c>
      <c r="M2038" s="125" t="str">
        <f t="shared" si="1"/>
        <v/>
      </c>
      <c r="N2038" s="125" t="str">
        <f t="shared" si="2"/>
        <v/>
      </c>
      <c r="O2038" s="125"/>
      <c r="P2038" s="125"/>
      <c r="Q2038" s="125"/>
      <c r="R2038" s="125"/>
      <c r="S2038" s="628">
        <f t="shared" si="3"/>
        <v>0</v>
      </c>
      <c r="T2038" s="627" t="s">
        <v>51</v>
      </c>
      <c r="U2038" s="627" t="s">
        <v>51</v>
      </c>
      <c r="V2038" s="627" t="s">
        <v>51</v>
      </c>
      <c r="W2038" s="627" t="s">
        <v>51</v>
      </c>
      <c r="X2038" s="627" t="s">
        <v>51</v>
      </c>
      <c r="Y2038" s="89"/>
    </row>
    <row r="2039" ht="22.5" customHeight="1">
      <c r="A2039" s="223"/>
      <c r="B2039" s="125"/>
      <c r="C2039" s="125"/>
      <c r="D2039" s="125"/>
      <c r="E2039" s="125"/>
      <c r="F2039" s="125"/>
      <c r="G2039" s="125"/>
      <c r="H2039" s="125"/>
      <c r="I2039" s="627" t="s">
        <v>51</v>
      </c>
      <c r="J2039" s="125" t="s">
        <v>51</v>
      </c>
      <c r="K2039" s="125" t="s">
        <v>51</v>
      </c>
      <c r="L2039" s="125" t="s">
        <v>51</v>
      </c>
      <c r="M2039" s="125" t="str">
        <f t="shared" si="1"/>
        <v/>
      </c>
      <c r="N2039" s="125" t="str">
        <f t="shared" si="2"/>
        <v/>
      </c>
      <c r="O2039" s="125"/>
      <c r="P2039" s="125"/>
      <c r="Q2039" s="125"/>
      <c r="R2039" s="125"/>
      <c r="S2039" s="628">
        <f t="shared" si="3"/>
        <v>0</v>
      </c>
      <c r="T2039" s="627" t="s">
        <v>51</v>
      </c>
      <c r="U2039" s="627" t="s">
        <v>51</v>
      </c>
      <c r="V2039" s="627" t="s">
        <v>51</v>
      </c>
      <c r="W2039" s="627" t="s">
        <v>51</v>
      </c>
      <c r="X2039" s="627" t="s">
        <v>51</v>
      </c>
      <c r="Y2039" s="89"/>
    </row>
    <row r="2040" ht="22.5" customHeight="1">
      <c r="A2040" s="223"/>
      <c r="B2040" s="125"/>
      <c r="C2040" s="125"/>
      <c r="D2040" s="125"/>
      <c r="E2040" s="125"/>
      <c r="F2040" s="125"/>
      <c r="G2040" s="125"/>
      <c r="H2040" s="125"/>
      <c r="I2040" s="627" t="s">
        <v>51</v>
      </c>
      <c r="J2040" s="125" t="s">
        <v>51</v>
      </c>
      <c r="K2040" s="125" t="s">
        <v>51</v>
      </c>
      <c r="L2040" s="125" t="s">
        <v>51</v>
      </c>
      <c r="M2040" s="125" t="str">
        <f t="shared" si="1"/>
        <v/>
      </c>
      <c r="N2040" s="125" t="str">
        <f t="shared" si="2"/>
        <v/>
      </c>
      <c r="O2040" s="125"/>
      <c r="P2040" s="125"/>
      <c r="Q2040" s="125"/>
      <c r="R2040" s="125"/>
      <c r="S2040" s="628">
        <f t="shared" si="3"/>
        <v>0</v>
      </c>
      <c r="T2040" s="627" t="s">
        <v>51</v>
      </c>
      <c r="U2040" s="627" t="s">
        <v>51</v>
      </c>
      <c r="V2040" s="627" t="s">
        <v>51</v>
      </c>
      <c r="W2040" s="627" t="s">
        <v>51</v>
      </c>
      <c r="X2040" s="627" t="s">
        <v>51</v>
      </c>
      <c r="Y2040" s="89"/>
    </row>
    <row r="2041" ht="22.5" customHeight="1">
      <c r="A2041" s="223"/>
      <c r="B2041" s="125"/>
      <c r="C2041" s="125"/>
      <c r="D2041" s="125"/>
      <c r="E2041" s="125"/>
      <c r="F2041" s="125"/>
      <c r="G2041" s="125"/>
      <c r="H2041" s="125"/>
      <c r="I2041" s="627" t="s">
        <v>51</v>
      </c>
      <c r="J2041" s="125" t="s">
        <v>51</v>
      </c>
      <c r="K2041" s="125" t="s">
        <v>51</v>
      </c>
      <c r="L2041" s="125" t="s">
        <v>51</v>
      </c>
      <c r="M2041" s="125" t="str">
        <f t="shared" si="1"/>
        <v/>
      </c>
      <c r="N2041" s="125" t="str">
        <f t="shared" si="2"/>
        <v/>
      </c>
      <c r="O2041" s="125"/>
      <c r="P2041" s="125"/>
      <c r="Q2041" s="125"/>
      <c r="R2041" s="125"/>
      <c r="S2041" s="628">
        <f t="shared" si="3"/>
        <v>0</v>
      </c>
      <c r="T2041" s="627" t="s">
        <v>51</v>
      </c>
      <c r="U2041" s="627" t="s">
        <v>51</v>
      </c>
      <c r="V2041" s="627" t="s">
        <v>51</v>
      </c>
      <c r="W2041" s="627" t="s">
        <v>51</v>
      </c>
      <c r="X2041" s="627" t="s">
        <v>51</v>
      </c>
      <c r="Y2041" s="89"/>
    </row>
    <row r="2042" ht="22.5" customHeight="1">
      <c r="A2042" s="223"/>
      <c r="B2042" s="125"/>
      <c r="C2042" s="125"/>
      <c r="D2042" s="125"/>
      <c r="E2042" s="125"/>
      <c r="F2042" s="125"/>
      <c r="G2042" s="125"/>
      <c r="H2042" s="125"/>
      <c r="I2042" s="627" t="s">
        <v>51</v>
      </c>
      <c r="J2042" s="125" t="s">
        <v>51</v>
      </c>
      <c r="K2042" s="125" t="s">
        <v>51</v>
      </c>
      <c r="L2042" s="125" t="s">
        <v>51</v>
      </c>
      <c r="M2042" s="125" t="str">
        <f t="shared" si="1"/>
        <v/>
      </c>
      <c r="N2042" s="125" t="str">
        <f t="shared" si="2"/>
        <v/>
      </c>
      <c r="O2042" s="125"/>
      <c r="P2042" s="125"/>
      <c r="Q2042" s="125"/>
      <c r="R2042" s="125"/>
      <c r="S2042" s="628">
        <f t="shared" si="3"/>
        <v>0</v>
      </c>
      <c r="T2042" s="627" t="s">
        <v>51</v>
      </c>
      <c r="U2042" s="627" t="s">
        <v>51</v>
      </c>
      <c r="V2042" s="627" t="s">
        <v>51</v>
      </c>
      <c r="W2042" s="627" t="s">
        <v>51</v>
      </c>
      <c r="X2042" s="627" t="s">
        <v>51</v>
      </c>
      <c r="Y2042" s="89"/>
    </row>
    <row r="2043" ht="22.5" customHeight="1">
      <c r="A2043" s="223"/>
      <c r="B2043" s="125"/>
      <c r="C2043" s="125"/>
      <c r="D2043" s="125"/>
      <c r="E2043" s="125"/>
      <c r="F2043" s="125"/>
      <c r="G2043" s="125"/>
      <c r="H2043" s="125"/>
      <c r="I2043" s="627" t="s">
        <v>51</v>
      </c>
      <c r="J2043" s="125" t="s">
        <v>51</v>
      </c>
      <c r="K2043" s="125" t="s">
        <v>51</v>
      </c>
      <c r="L2043" s="125" t="s">
        <v>51</v>
      </c>
      <c r="M2043" s="125" t="str">
        <f t="shared" si="1"/>
        <v/>
      </c>
      <c r="N2043" s="125" t="str">
        <f t="shared" si="2"/>
        <v/>
      </c>
      <c r="O2043" s="125"/>
      <c r="P2043" s="125"/>
      <c r="Q2043" s="125"/>
      <c r="R2043" s="125"/>
      <c r="S2043" s="628">
        <f t="shared" si="3"/>
        <v>0</v>
      </c>
      <c r="T2043" s="627" t="s">
        <v>51</v>
      </c>
      <c r="U2043" s="627" t="s">
        <v>51</v>
      </c>
      <c r="V2043" s="627" t="s">
        <v>51</v>
      </c>
      <c r="W2043" s="627" t="s">
        <v>51</v>
      </c>
      <c r="X2043" s="627" t="s">
        <v>51</v>
      </c>
      <c r="Y2043" s="89"/>
    </row>
    <row r="2044" ht="22.5" customHeight="1">
      <c r="A2044" s="223"/>
      <c r="B2044" s="125"/>
      <c r="C2044" s="125"/>
      <c r="D2044" s="125"/>
      <c r="E2044" s="125"/>
      <c r="F2044" s="125"/>
      <c r="G2044" s="125"/>
      <c r="H2044" s="125"/>
      <c r="I2044" s="627" t="s">
        <v>51</v>
      </c>
      <c r="J2044" s="125" t="s">
        <v>51</v>
      </c>
      <c r="K2044" s="125" t="s">
        <v>51</v>
      </c>
      <c r="L2044" s="125" t="s">
        <v>51</v>
      </c>
      <c r="M2044" s="125" t="str">
        <f t="shared" si="1"/>
        <v/>
      </c>
      <c r="N2044" s="125" t="str">
        <f t="shared" si="2"/>
        <v/>
      </c>
      <c r="O2044" s="125"/>
      <c r="P2044" s="125"/>
      <c r="Q2044" s="125"/>
      <c r="R2044" s="125"/>
      <c r="S2044" s="628">
        <f t="shared" si="3"/>
        <v>0</v>
      </c>
      <c r="T2044" s="627" t="s">
        <v>51</v>
      </c>
      <c r="U2044" s="627" t="s">
        <v>51</v>
      </c>
      <c r="V2044" s="627" t="s">
        <v>51</v>
      </c>
      <c r="W2044" s="627" t="s">
        <v>51</v>
      </c>
      <c r="X2044" s="627" t="s">
        <v>51</v>
      </c>
      <c r="Y2044" s="89"/>
    </row>
    <row r="2045" ht="22.5" customHeight="1">
      <c r="A2045" s="223"/>
      <c r="B2045" s="125"/>
      <c r="C2045" s="125"/>
      <c r="D2045" s="125"/>
      <c r="E2045" s="125"/>
      <c r="F2045" s="125"/>
      <c r="G2045" s="125"/>
      <c r="H2045" s="125"/>
      <c r="I2045" s="627" t="s">
        <v>51</v>
      </c>
      <c r="J2045" s="125" t="s">
        <v>51</v>
      </c>
      <c r="K2045" s="125" t="s">
        <v>51</v>
      </c>
      <c r="L2045" s="125" t="s">
        <v>51</v>
      </c>
      <c r="M2045" s="125" t="str">
        <f t="shared" si="1"/>
        <v/>
      </c>
      <c r="N2045" s="125" t="str">
        <f t="shared" si="2"/>
        <v/>
      </c>
      <c r="O2045" s="125"/>
      <c r="P2045" s="125"/>
      <c r="Q2045" s="125"/>
      <c r="R2045" s="125"/>
      <c r="S2045" s="628">
        <f t="shared" si="3"/>
        <v>0</v>
      </c>
      <c r="T2045" s="627" t="s">
        <v>51</v>
      </c>
      <c r="U2045" s="627" t="s">
        <v>51</v>
      </c>
      <c r="V2045" s="627" t="s">
        <v>51</v>
      </c>
      <c r="W2045" s="627" t="s">
        <v>51</v>
      </c>
      <c r="X2045" s="627" t="s">
        <v>51</v>
      </c>
      <c r="Y2045" s="89"/>
    </row>
    <row r="2046" ht="22.5" customHeight="1">
      <c r="A2046" s="223"/>
      <c r="B2046" s="125"/>
      <c r="C2046" s="125"/>
      <c r="D2046" s="125"/>
      <c r="E2046" s="125"/>
      <c r="F2046" s="125"/>
      <c r="G2046" s="125"/>
      <c r="H2046" s="125"/>
      <c r="I2046" s="627" t="s">
        <v>51</v>
      </c>
      <c r="J2046" s="125" t="s">
        <v>51</v>
      </c>
      <c r="K2046" s="125" t="s">
        <v>51</v>
      </c>
      <c r="L2046" s="125" t="s">
        <v>51</v>
      </c>
      <c r="M2046" s="125" t="str">
        <f t="shared" si="1"/>
        <v/>
      </c>
      <c r="N2046" s="125" t="str">
        <f t="shared" si="2"/>
        <v/>
      </c>
      <c r="O2046" s="125"/>
      <c r="P2046" s="125"/>
      <c r="Q2046" s="125"/>
      <c r="R2046" s="125"/>
      <c r="S2046" s="628">
        <f t="shared" si="3"/>
        <v>0</v>
      </c>
      <c r="T2046" s="627" t="s">
        <v>51</v>
      </c>
      <c r="U2046" s="627" t="s">
        <v>51</v>
      </c>
      <c r="V2046" s="627" t="s">
        <v>51</v>
      </c>
      <c r="W2046" s="627" t="s">
        <v>51</v>
      </c>
      <c r="X2046" s="627" t="s">
        <v>51</v>
      </c>
      <c r="Y2046" s="89"/>
    </row>
    <row r="2047" ht="22.5" customHeight="1">
      <c r="A2047" s="223"/>
      <c r="B2047" s="125"/>
      <c r="C2047" s="125"/>
      <c r="D2047" s="125"/>
      <c r="E2047" s="125"/>
      <c r="F2047" s="125"/>
      <c r="G2047" s="125"/>
      <c r="H2047" s="125"/>
      <c r="I2047" s="627" t="s">
        <v>51</v>
      </c>
      <c r="J2047" s="125" t="s">
        <v>51</v>
      </c>
      <c r="K2047" s="125" t="s">
        <v>51</v>
      </c>
      <c r="L2047" s="125" t="s">
        <v>51</v>
      </c>
      <c r="M2047" s="125" t="str">
        <f t="shared" si="1"/>
        <v/>
      </c>
      <c r="N2047" s="125" t="str">
        <f t="shared" si="2"/>
        <v/>
      </c>
      <c r="O2047" s="125"/>
      <c r="P2047" s="125"/>
      <c r="Q2047" s="125"/>
      <c r="R2047" s="125"/>
      <c r="S2047" s="628">
        <f t="shared" si="3"/>
        <v>0</v>
      </c>
      <c r="T2047" s="627" t="s">
        <v>51</v>
      </c>
      <c r="U2047" s="627" t="s">
        <v>51</v>
      </c>
      <c r="V2047" s="627" t="s">
        <v>51</v>
      </c>
      <c r="W2047" s="627" t="s">
        <v>51</v>
      </c>
      <c r="X2047" s="627" t="s">
        <v>51</v>
      </c>
      <c r="Y2047" s="89"/>
    </row>
    <row r="2048" ht="22.5" customHeight="1">
      <c r="A2048" s="223"/>
      <c r="B2048" s="125"/>
      <c r="C2048" s="125"/>
      <c r="D2048" s="125"/>
      <c r="E2048" s="125"/>
      <c r="F2048" s="125"/>
      <c r="G2048" s="125"/>
      <c r="H2048" s="125"/>
      <c r="I2048" s="627" t="s">
        <v>51</v>
      </c>
      <c r="J2048" s="125" t="s">
        <v>51</v>
      </c>
      <c r="K2048" s="125" t="s">
        <v>51</v>
      </c>
      <c r="L2048" s="125" t="s">
        <v>51</v>
      </c>
      <c r="M2048" s="125" t="str">
        <f t="shared" si="1"/>
        <v/>
      </c>
      <c r="N2048" s="125" t="str">
        <f t="shared" si="2"/>
        <v/>
      </c>
      <c r="O2048" s="125"/>
      <c r="P2048" s="125"/>
      <c r="Q2048" s="125"/>
      <c r="R2048" s="125"/>
      <c r="S2048" s="628">
        <f t="shared" si="3"/>
        <v>0</v>
      </c>
      <c r="T2048" s="627" t="s">
        <v>51</v>
      </c>
      <c r="U2048" s="627" t="s">
        <v>51</v>
      </c>
      <c r="V2048" s="627" t="s">
        <v>51</v>
      </c>
      <c r="W2048" s="627" t="s">
        <v>51</v>
      </c>
      <c r="X2048" s="627" t="s">
        <v>51</v>
      </c>
      <c r="Y2048" s="89"/>
    </row>
    <row r="2049" ht="22.5" customHeight="1">
      <c r="A2049" s="223"/>
      <c r="B2049" s="125"/>
      <c r="C2049" s="125"/>
      <c r="D2049" s="125"/>
      <c r="E2049" s="125"/>
      <c r="F2049" s="125"/>
      <c r="G2049" s="125"/>
      <c r="H2049" s="125"/>
      <c r="I2049" s="627" t="s">
        <v>51</v>
      </c>
      <c r="J2049" s="125" t="s">
        <v>51</v>
      </c>
      <c r="K2049" s="125" t="s">
        <v>51</v>
      </c>
      <c r="L2049" s="125" t="s">
        <v>51</v>
      </c>
      <c r="M2049" s="125" t="str">
        <f t="shared" si="1"/>
        <v/>
      </c>
      <c r="N2049" s="125" t="str">
        <f t="shared" si="2"/>
        <v/>
      </c>
      <c r="O2049" s="125"/>
      <c r="P2049" s="125"/>
      <c r="Q2049" s="125"/>
      <c r="R2049" s="125"/>
      <c r="S2049" s="628">
        <f t="shared" si="3"/>
        <v>0</v>
      </c>
      <c r="T2049" s="627" t="s">
        <v>51</v>
      </c>
      <c r="U2049" s="627" t="s">
        <v>51</v>
      </c>
      <c r="V2049" s="627" t="s">
        <v>51</v>
      </c>
      <c r="W2049" s="627" t="s">
        <v>51</v>
      </c>
      <c r="X2049" s="627" t="s">
        <v>51</v>
      </c>
      <c r="Y2049" s="89"/>
    </row>
    <row r="2050" ht="22.5" customHeight="1">
      <c r="A2050" s="223"/>
      <c r="B2050" s="125"/>
      <c r="C2050" s="125"/>
      <c r="D2050" s="125"/>
      <c r="E2050" s="125"/>
      <c r="F2050" s="125"/>
      <c r="G2050" s="125"/>
      <c r="H2050" s="125"/>
      <c r="I2050" s="627" t="s">
        <v>51</v>
      </c>
      <c r="J2050" s="125" t="s">
        <v>51</v>
      </c>
      <c r="K2050" s="125" t="s">
        <v>51</v>
      </c>
      <c r="L2050" s="125" t="s">
        <v>51</v>
      </c>
      <c r="M2050" s="125" t="str">
        <f t="shared" si="1"/>
        <v/>
      </c>
      <c r="N2050" s="125" t="str">
        <f t="shared" si="2"/>
        <v/>
      </c>
      <c r="O2050" s="125"/>
      <c r="P2050" s="125"/>
      <c r="Q2050" s="125"/>
      <c r="R2050" s="125"/>
      <c r="S2050" s="628">
        <f t="shared" si="3"/>
        <v>0</v>
      </c>
      <c r="T2050" s="627" t="s">
        <v>51</v>
      </c>
      <c r="U2050" s="627" t="s">
        <v>51</v>
      </c>
      <c r="V2050" s="627" t="s">
        <v>51</v>
      </c>
      <c r="W2050" s="627" t="s">
        <v>51</v>
      </c>
      <c r="X2050" s="627" t="s">
        <v>51</v>
      </c>
      <c r="Y2050" s="89"/>
    </row>
    <row r="2051" ht="22.5" customHeight="1">
      <c r="A2051" s="223"/>
      <c r="B2051" s="125"/>
      <c r="C2051" s="125"/>
      <c r="D2051" s="125"/>
      <c r="E2051" s="125"/>
      <c r="F2051" s="125"/>
      <c r="G2051" s="125"/>
      <c r="H2051" s="125"/>
      <c r="I2051" s="627" t="s">
        <v>51</v>
      </c>
      <c r="J2051" s="125" t="s">
        <v>51</v>
      </c>
      <c r="K2051" s="125" t="s">
        <v>51</v>
      </c>
      <c r="L2051" s="125" t="s">
        <v>51</v>
      </c>
      <c r="M2051" s="125" t="str">
        <f t="shared" si="1"/>
        <v/>
      </c>
      <c r="N2051" s="125" t="str">
        <f t="shared" si="2"/>
        <v/>
      </c>
      <c r="O2051" s="125"/>
      <c r="P2051" s="125"/>
      <c r="Q2051" s="125"/>
      <c r="R2051" s="125"/>
      <c r="S2051" s="628">
        <f t="shared" si="3"/>
        <v>0</v>
      </c>
      <c r="T2051" s="627" t="s">
        <v>51</v>
      </c>
      <c r="U2051" s="627" t="s">
        <v>51</v>
      </c>
      <c r="V2051" s="627" t="s">
        <v>51</v>
      </c>
      <c r="W2051" s="627" t="s">
        <v>51</v>
      </c>
      <c r="X2051" s="627" t="s">
        <v>51</v>
      </c>
      <c r="Y2051" s="89"/>
    </row>
    <row r="2052" ht="22.5" customHeight="1">
      <c r="A2052" s="223"/>
      <c r="B2052" s="125"/>
      <c r="C2052" s="125"/>
      <c r="D2052" s="125"/>
      <c r="E2052" s="125"/>
      <c r="F2052" s="125"/>
      <c r="G2052" s="125"/>
      <c r="H2052" s="125"/>
      <c r="I2052" s="627" t="s">
        <v>51</v>
      </c>
      <c r="J2052" s="125" t="s">
        <v>51</v>
      </c>
      <c r="K2052" s="125" t="s">
        <v>51</v>
      </c>
      <c r="L2052" s="125" t="s">
        <v>51</v>
      </c>
      <c r="M2052" s="125" t="str">
        <f t="shared" si="1"/>
        <v/>
      </c>
      <c r="N2052" s="125" t="str">
        <f t="shared" si="2"/>
        <v/>
      </c>
      <c r="O2052" s="125"/>
      <c r="P2052" s="125"/>
      <c r="Q2052" s="125"/>
      <c r="R2052" s="125"/>
      <c r="S2052" s="628">
        <f t="shared" si="3"/>
        <v>0</v>
      </c>
      <c r="T2052" s="627" t="s">
        <v>51</v>
      </c>
      <c r="U2052" s="627" t="s">
        <v>51</v>
      </c>
      <c r="V2052" s="627" t="s">
        <v>51</v>
      </c>
      <c r="W2052" s="627" t="s">
        <v>51</v>
      </c>
      <c r="X2052" s="627" t="s">
        <v>51</v>
      </c>
      <c r="Y2052" s="89"/>
    </row>
    <row r="2053" ht="22.5" customHeight="1">
      <c r="A2053" s="223"/>
      <c r="B2053" s="125"/>
      <c r="C2053" s="125"/>
      <c r="D2053" s="125"/>
      <c r="E2053" s="125"/>
      <c r="F2053" s="125"/>
      <c r="G2053" s="125"/>
      <c r="H2053" s="125"/>
      <c r="I2053" s="627" t="s">
        <v>51</v>
      </c>
      <c r="J2053" s="125" t="s">
        <v>51</v>
      </c>
      <c r="K2053" s="125" t="s">
        <v>51</v>
      </c>
      <c r="L2053" s="125" t="s">
        <v>51</v>
      </c>
      <c r="M2053" s="125" t="str">
        <f t="shared" si="1"/>
        <v/>
      </c>
      <c r="N2053" s="125" t="str">
        <f t="shared" si="2"/>
        <v/>
      </c>
      <c r="O2053" s="125"/>
      <c r="P2053" s="125"/>
      <c r="Q2053" s="125"/>
      <c r="R2053" s="125"/>
      <c r="S2053" s="628">
        <f t="shared" si="3"/>
        <v>0</v>
      </c>
      <c r="T2053" s="627" t="s">
        <v>51</v>
      </c>
      <c r="U2053" s="627" t="s">
        <v>51</v>
      </c>
      <c r="V2053" s="627" t="s">
        <v>51</v>
      </c>
      <c r="W2053" s="627" t="s">
        <v>51</v>
      </c>
      <c r="X2053" s="627" t="s">
        <v>51</v>
      </c>
      <c r="Y2053" s="89"/>
    </row>
    <row r="2054" ht="22.5" customHeight="1">
      <c r="A2054" s="223"/>
      <c r="B2054" s="125"/>
      <c r="C2054" s="125"/>
      <c r="D2054" s="125"/>
      <c r="E2054" s="125"/>
      <c r="F2054" s="125"/>
      <c r="G2054" s="125"/>
      <c r="H2054" s="125"/>
      <c r="I2054" s="627" t="s">
        <v>51</v>
      </c>
      <c r="J2054" s="125" t="s">
        <v>51</v>
      </c>
      <c r="K2054" s="125" t="s">
        <v>51</v>
      </c>
      <c r="L2054" s="125" t="s">
        <v>51</v>
      </c>
      <c r="M2054" s="125" t="str">
        <f t="shared" si="1"/>
        <v/>
      </c>
      <c r="N2054" s="125" t="str">
        <f t="shared" si="2"/>
        <v/>
      </c>
      <c r="O2054" s="125"/>
      <c r="P2054" s="125"/>
      <c r="Q2054" s="125"/>
      <c r="R2054" s="125"/>
      <c r="S2054" s="628">
        <f t="shared" si="3"/>
        <v>0</v>
      </c>
      <c r="T2054" s="627" t="s">
        <v>51</v>
      </c>
      <c r="U2054" s="627" t="s">
        <v>51</v>
      </c>
      <c r="V2054" s="627" t="s">
        <v>51</v>
      </c>
      <c r="W2054" s="627" t="s">
        <v>51</v>
      </c>
      <c r="X2054" s="627" t="s">
        <v>51</v>
      </c>
      <c r="Y2054" s="89"/>
    </row>
    <row r="2055" ht="22.5" customHeight="1">
      <c r="A2055" s="223"/>
      <c r="B2055" s="125"/>
      <c r="C2055" s="125"/>
      <c r="D2055" s="125"/>
      <c r="E2055" s="125"/>
      <c r="F2055" s="125"/>
      <c r="G2055" s="125"/>
      <c r="H2055" s="125"/>
      <c r="I2055" s="627" t="s">
        <v>51</v>
      </c>
      <c r="J2055" s="125" t="s">
        <v>51</v>
      </c>
      <c r="K2055" s="125" t="s">
        <v>51</v>
      </c>
      <c r="L2055" s="125" t="s">
        <v>51</v>
      </c>
      <c r="M2055" s="125" t="str">
        <f t="shared" si="1"/>
        <v/>
      </c>
      <c r="N2055" s="125" t="str">
        <f t="shared" si="2"/>
        <v/>
      </c>
      <c r="O2055" s="125"/>
      <c r="P2055" s="125"/>
      <c r="Q2055" s="125"/>
      <c r="R2055" s="125"/>
      <c r="S2055" s="628">
        <f t="shared" si="3"/>
        <v>0</v>
      </c>
      <c r="T2055" s="627" t="s">
        <v>51</v>
      </c>
      <c r="U2055" s="627" t="s">
        <v>51</v>
      </c>
      <c r="V2055" s="627" t="s">
        <v>51</v>
      </c>
      <c r="W2055" s="627" t="s">
        <v>51</v>
      </c>
      <c r="X2055" s="627" t="s">
        <v>51</v>
      </c>
      <c r="Y2055" s="89"/>
    </row>
    <row r="2056" ht="22.5" customHeight="1">
      <c r="A2056" s="223"/>
      <c r="B2056" s="125"/>
      <c r="C2056" s="125"/>
      <c r="D2056" s="125"/>
      <c r="E2056" s="125"/>
      <c r="F2056" s="125"/>
      <c r="G2056" s="125"/>
      <c r="H2056" s="125"/>
      <c r="I2056" s="627" t="s">
        <v>51</v>
      </c>
      <c r="J2056" s="125" t="s">
        <v>51</v>
      </c>
      <c r="K2056" s="125" t="s">
        <v>51</v>
      </c>
      <c r="L2056" s="125" t="s">
        <v>51</v>
      </c>
      <c r="M2056" s="125" t="str">
        <f t="shared" si="1"/>
        <v/>
      </c>
      <c r="N2056" s="125" t="str">
        <f t="shared" si="2"/>
        <v/>
      </c>
      <c r="O2056" s="125"/>
      <c r="P2056" s="125"/>
      <c r="Q2056" s="125"/>
      <c r="R2056" s="125"/>
      <c r="S2056" s="628">
        <f t="shared" si="3"/>
        <v>0</v>
      </c>
      <c r="T2056" s="627" t="s">
        <v>51</v>
      </c>
      <c r="U2056" s="627" t="s">
        <v>51</v>
      </c>
      <c r="V2056" s="627" t="s">
        <v>51</v>
      </c>
      <c r="W2056" s="627" t="s">
        <v>51</v>
      </c>
      <c r="X2056" s="627" t="s">
        <v>51</v>
      </c>
      <c r="Y2056" s="89"/>
    </row>
    <row r="2057" ht="22.5" customHeight="1">
      <c r="A2057" s="223"/>
      <c r="B2057" s="125"/>
      <c r="C2057" s="125"/>
      <c r="D2057" s="125"/>
      <c r="E2057" s="125"/>
      <c r="F2057" s="125"/>
      <c r="G2057" s="125"/>
      <c r="H2057" s="125"/>
      <c r="I2057" s="627" t="s">
        <v>51</v>
      </c>
      <c r="J2057" s="125" t="s">
        <v>51</v>
      </c>
      <c r="K2057" s="125" t="s">
        <v>51</v>
      </c>
      <c r="L2057" s="125" t="s">
        <v>51</v>
      </c>
      <c r="M2057" s="125" t="str">
        <f t="shared" si="1"/>
        <v/>
      </c>
      <c r="N2057" s="125" t="str">
        <f t="shared" si="2"/>
        <v/>
      </c>
      <c r="O2057" s="125"/>
      <c r="P2057" s="125"/>
      <c r="Q2057" s="125"/>
      <c r="R2057" s="125"/>
      <c r="S2057" s="628">
        <f t="shared" si="3"/>
        <v>0</v>
      </c>
      <c r="T2057" s="627" t="s">
        <v>51</v>
      </c>
      <c r="U2057" s="627" t="s">
        <v>51</v>
      </c>
      <c r="V2057" s="627" t="s">
        <v>51</v>
      </c>
      <c r="W2057" s="627" t="s">
        <v>51</v>
      </c>
      <c r="X2057" s="627" t="s">
        <v>51</v>
      </c>
      <c r="Y2057" s="89"/>
    </row>
    <row r="2058" ht="22.5" customHeight="1">
      <c r="A2058" s="223"/>
      <c r="B2058" s="125"/>
      <c r="C2058" s="125"/>
      <c r="D2058" s="125"/>
      <c r="E2058" s="125"/>
      <c r="F2058" s="125"/>
      <c r="G2058" s="125"/>
      <c r="H2058" s="125"/>
      <c r="I2058" s="627" t="s">
        <v>51</v>
      </c>
      <c r="J2058" s="125" t="s">
        <v>51</v>
      </c>
      <c r="K2058" s="125" t="s">
        <v>51</v>
      </c>
      <c r="L2058" s="125" t="s">
        <v>51</v>
      </c>
      <c r="M2058" s="125" t="str">
        <f t="shared" si="1"/>
        <v/>
      </c>
      <c r="N2058" s="125" t="str">
        <f t="shared" si="2"/>
        <v/>
      </c>
      <c r="O2058" s="125"/>
      <c r="P2058" s="125"/>
      <c r="Q2058" s="125"/>
      <c r="R2058" s="125"/>
      <c r="S2058" s="628">
        <f t="shared" si="3"/>
        <v>0</v>
      </c>
      <c r="T2058" s="627" t="s">
        <v>51</v>
      </c>
      <c r="U2058" s="627" t="s">
        <v>51</v>
      </c>
      <c r="V2058" s="627" t="s">
        <v>51</v>
      </c>
      <c r="W2058" s="627" t="s">
        <v>51</v>
      </c>
      <c r="X2058" s="627" t="s">
        <v>51</v>
      </c>
      <c r="Y2058" s="89"/>
    </row>
    <row r="2059" ht="22.5" customHeight="1">
      <c r="A2059" s="223"/>
      <c r="B2059" s="125"/>
      <c r="C2059" s="125"/>
      <c r="D2059" s="125"/>
      <c r="E2059" s="125"/>
      <c r="F2059" s="125"/>
      <c r="G2059" s="125"/>
      <c r="H2059" s="125"/>
      <c r="I2059" s="627" t="s">
        <v>51</v>
      </c>
      <c r="J2059" s="125" t="s">
        <v>51</v>
      </c>
      <c r="K2059" s="125" t="s">
        <v>51</v>
      </c>
      <c r="L2059" s="125" t="s">
        <v>51</v>
      </c>
      <c r="M2059" s="125" t="str">
        <f t="shared" si="1"/>
        <v/>
      </c>
      <c r="N2059" s="125" t="str">
        <f t="shared" si="2"/>
        <v/>
      </c>
      <c r="O2059" s="125"/>
      <c r="P2059" s="125"/>
      <c r="Q2059" s="125"/>
      <c r="R2059" s="125"/>
      <c r="S2059" s="628">
        <f t="shared" si="3"/>
        <v>0</v>
      </c>
      <c r="T2059" s="627" t="s">
        <v>51</v>
      </c>
      <c r="U2059" s="627" t="s">
        <v>51</v>
      </c>
      <c r="V2059" s="627" t="s">
        <v>51</v>
      </c>
      <c r="W2059" s="627" t="s">
        <v>51</v>
      </c>
      <c r="X2059" s="627" t="s">
        <v>51</v>
      </c>
      <c r="Y2059" s="89"/>
    </row>
    <row r="2060" ht="22.5" customHeight="1">
      <c r="A2060" s="223"/>
      <c r="B2060" s="125"/>
      <c r="C2060" s="125"/>
      <c r="D2060" s="125"/>
      <c r="E2060" s="125"/>
      <c r="F2060" s="125"/>
      <c r="G2060" s="125"/>
      <c r="H2060" s="125"/>
      <c r="I2060" s="627" t="s">
        <v>51</v>
      </c>
      <c r="J2060" s="125" t="s">
        <v>51</v>
      </c>
      <c r="K2060" s="125" t="s">
        <v>51</v>
      </c>
      <c r="L2060" s="125" t="s">
        <v>51</v>
      </c>
      <c r="M2060" s="125" t="str">
        <f t="shared" si="1"/>
        <v/>
      </c>
      <c r="N2060" s="125" t="str">
        <f t="shared" si="2"/>
        <v/>
      </c>
      <c r="O2060" s="125"/>
      <c r="P2060" s="125"/>
      <c r="Q2060" s="125"/>
      <c r="R2060" s="125"/>
      <c r="S2060" s="628">
        <f t="shared" si="3"/>
        <v>0</v>
      </c>
      <c r="T2060" s="627" t="s">
        <v>51</v>
      </c>
      <c r="U2060" s="627" t="s">
        <v>51</v>
      </c>
      <c r="V2060" s="627" t="s">
        <v>51</v>
      </c>
      <c r="W2060" s="627" t="s">
        <v>51</v>
      </c>
      <c r="X2060" s="627" t="s">
        <v>51</v>
      </c>
      <c r="Y2060" s="89"/>
    </row>
    <row r="2061" ht="22.5" customHeight="1">
      <c r="A2061" s="223"/>
      <c r="B2061" s="125"/>
      <c r="C2061" s="125"/>
      <c r="D2061" s="125"/>
      <c r="E2061" s="125"/>
      <c r="F2061" s="125"/>
      <c r="G2061" s="125"/>
      <c r="H2061" s="125"/>
      <c r="I2061" s="627" t="s">
        <v>51</v>
      </c>
      <c r="J2061" s="125" t="s">
        <v>51</v>
      </c>
      <c r="K2061" s="125" t="s">
        <v>51</v>
      </c>
      <c r="L2061" s="125" t="s">
        <v>51</v>
      </c>
      <c r="M2061" s="125" t="str">
        <f t="shared" si="1"/>
        <v/>
      </c>
      <c r="N2061" s="125" t="str">
        <f t="shared" si="2"/>
        <v/>
      </c>
      <c r="O2061" s="125"/>
      <c r="P2061" s="125"/>
      <c r="Q2061" s="125"/>
      <c r="R2061" s="125"/>
      <c r="S2061" s="628">
        <f t="shared" si="3"/>
        <v>0</v>
      </c>
      <c r="T2061" s="627" t="s">
        <v>51</v>
      </c>
      <c r="U2061" s="627" t="s">
        <v>51</v>
      </c>
      <c r="V2061" s="627" t="s">
        <v>51</v>
      </c>
      <c r="W2061" s="627" t="s">
        <v>51</v>
      </c>
      <c r="X2061" s="627" t="s">
        <v>51</v>
      </c>
      <c r="Y2061" s="89"/>
    </row>
    <row r="2062" ht="22.5" customHeight="1">
      <c r="A2062" s="223"/>
      <c r="B2062" s="125"/>
      <c r="C2062" s="125"/>
      <c r="D2062" s="125"/>
      <c r="E2062" s="125"/>
      <c r="F2062" s="125"/>
      <c r="G2062" s="125"/>
      <c r="H2062" s="125"/>
      <c r="I2062" s="627" t="s">
        <v>51</v>
      </c>
      <c r="J2062" s="125" t="s">
        <v>51</v>
      </c>
      <c r="K2062" s="125" t="s">
        <v>51</v>
      </c>
      <c r="L2062" s="125" t="s">
        <v>51</v>
      </c>
      <c r="M2062" s="125" t="str">
        <f t="shared" si="1"/>
        <v/>
      </c>
      <c r="N2062" s="125" t="str">
        <f t="shared" si="2"/>
        <v/>
      </c>
      <c r="O2062" s="125"/>
      <c r="P2062" s="125"/>
      <c r="Q2062" s="125"/>
      <c r="R2062" s="125"/>
      <c r="S2062" s="628">
        <f t="shared" si="3"/>
        <v>0</v>
      </c>
      <c r="T2062" s="627" t="s">
        <v>51</v>
      </c>
      <c r="U2062" s="627" t="s">
        <v>51</v>
      </c>
      <c r="V2062" s="627" t="s">
        <v>51</v>
      </c>
      <c r="W2062" s="627" t="s">
        <v>51</v>
      </c>
      <c r="X2062" s="627" t="s">
        <v>51</v>
      </c>
      <c r="Y2062" s="89"/>
    </row>
    <row r="2063" ht="22.5" customHeight="1">
      <c r="A2063" s="223"/>
      <c r="B2063" s="125"/>
      <c r="C2063" s="125"/>
      <c r="D2063" s="125"/>
      <c r="E2063" s="125"/>
      <c r="F2063" s="125"/>
      <c r="G2063" s="125"/>
      <c r="H2063" s="125"/>
      <c r="I2063" s="627" t="s">
        <v>51</v>
      </c>
      <c r="J2063" s="125" t="s">
        <v>51</v>
      </c>
      <c r="K2063" s="125" t="s">
        <v>51</v>
      </c>
      <c r="L2063" s="125" t="s">
        <v>51</v>
      </c>
      <c r="M2063" s="125" t="str">
        <f t="shared" si="1"/>
        <v/>
      </c>
      <c r="N2063" s="125" t="str">
        <f t="shared" si="2"/>
        <v/>
      </c>
      <c r="O2063" s="125"/>
      <c r="P2063" s="125"/>
      <c r="Q2063" s="125"/>
      <c r="R2063" s="125"/>
      <c r="S2063" s="628">
        <f t="shared" si="3"/>
        <v>0</v>
      </c>
      <c r="T2063" s="627" t="s">
        <v>51</v>
      </c>
      <c r="U2063" s="627" t="s">
        <v>51</v>
      </c>
      <c r="V2063" s="627" t="s">
        <v>51</v>
      </c>
      <c r="W2063" s="627" t="s">
        <v>51</v>
      </c>
      <c r="X2063" s="627" t="s">
        <v>51</v>
      </c>
      <c r="Y2063" s="89"/>
    </row>
    <row r="2064" ht="22.5" customHeight="1">
      <c r="A2064" s="223"/>
      <c r="B2064" s="125"/>
      <c r="C2064" s="125"/>
      <c r="D2064" s="125"/>
      <c r="E2064" s="125"/>
      <c r="F2064" s="125"/>
      <c r="G2064" s="125"/>
      <c r="H2064" s="125"/>
      <c r="I2064" s="627" t="s">
        <v>51</v>
      </c>
      <c r="J2064" s="125" t="s">
        <v>51</v>
      </c>
      <c r="K2064" s="125" t="s">
        <v>51</v>
      </c>
      <c r="L2064" s="125" t="s">
        <v>51</v>
      </c>
      <c r="M2064" s="125" t="str">
        <f t="shared" si="1"/>
        <v/>
      </c>
      <c r="N2064" s="125" t="str">
        <f t="shared" si="2"/>
        <v/>
      </c>
      <c r="O2064" s="125"/>
      <c r="P2064" s="125"/>
      <c r="Q2064" s="125"/>
      <c r="R2064" s="125"/>
      <c r="S2064" s="628">
        <f t="shared" si="3"/>
        <v>0</v>
      </c>
      <c r="T2064" s="627" t="s">
        <v>51</v>
      </c>
      <c r="U2064" s="627" t="s">
        <v>51</v>
      </c>
      <c r="V2064" s="627" t="s">
        <v>51</v>
      </c>
      <c r="W2064" s="627" t="s">
        <v>51</v>
      </c>
      <c r="X2064" s="627" t="s">
        <v>51</v>
      </c>
      <c r="Y2064" s="89"/>
    </row>
    <row r="2065" ht="22.5" customHeight="1">
      <c r="A2065" s="223"/>
      <c r="B2065" s="125"/>
      <c r="C2065" s="125"/>
      <c r="D2065" s="125"/>
      <c r="E2065" s="125"/>
      <c r="F2065" s="125"/>
      <c r="G2065" s="125"/>
      <c r="H2065" s="125"/>
      <c r="I2065" s="627" t="s">
        <v>51</v>
      </c>
      <c r="J2065" s="125" t="s">
        <v>51</v>
      </c>
      <c r="K2065" s="125" t="s">
        <v>51</v>
      </c>
      <c r="L2065" s="125" t="s">
        <v>51</v>
      </c>
      <c r="M2065" s="125" t="str">
        <f t="shared" si="1"/>
        <v/>
      </c>
      <c r="N2065" s="125" t="str">
        <f t="shared" si="2"/>
        <v/>
      </c>
      <c r="O2065" s="125"/>
      <c r="P2065" s="125"/>
      <c r="Q2065" s="125"/>
      <c r="R2065" s="125"/>
      <c r="S2065" s="628">
        <f t="shared" si="3"/>
        <v>0</v>
      </c>
      <c r="T2065" s="627" t="s">
        <v>51</v>
      </c>
      <c r="U2065" s="627" t="s">
        <v>51</v>
      </c>
      <c r="V2065" s="627" t="s">
        <v>51</v>
      </c>
      <c r="W2065" s="627" t="s">
        <v>51</v>
      </c>
      <c r="X2065" s="627" t="s">
        <v>51</v>
      </c>
      <c r="Y2065" s="89"/>
    </row>
    <row r="2066" ht="22.5" customHeight="1">
      <c r="A2066" s="223"/>
      <c r="B2066" s="125"/>
      <c r="C2066" s="125"/>
      <c r="D2066" s="125"/>
      <c r="E2066" s="125"/>
      <c r="F2066" s="125"/>
      <c r="G2066" s="125"/>
      <c r="H2066" s="125"/>
      <c r="I2066" s="627" t="s">
        <v>51</v>
      </c>
      <c r="J2066" s="125" t="s">
        <v>51</v>
      </c>
      <c r="K2066" s="125" t="s">
        <v>51</v>
      </c>
      <c r="L2066" s="125" t="s">
        <v>51</v>
      </c>
      <c r="M2066" s="125" t="str">
        <f t="shared" si="1"/>
        <v/>
      </c>
      <c r="N2066" s="125" t="str">
        <f t="shared" si="2"/>
        <v/>
      </c>
      <c r="O2066" s="125"/>
      <c r="P2066" s="125"/>
      <c r="Q2066" s="125"/>
      <c r="R2066" s="125"/>
      <c r="S2066" s="628">
        <f t="shared" si="3"/>
        <v>0</v>
      </c>
      <c r="T2066" s="627" t="s">
        <v>51</v>
      </c>
      <c r="U2066" s="627" t="s">
        <v>51</v>
      </c>
      <c r="V2066" s="627" t="s">
        <v>51</v>
      </c>
      <c r="W2066" s="627" t="s">
        <v>51</v>
      </c>
      <c r="X2066" s="627" t="s">
        <v>51</v>
      </c>
      <c r="Y2066" s="89"/>
    </row>
    <row r="2067" ht="22.5" customHeight="1">
      <c r="A2067" s="223"/>
      <c r="B2067" s="125"/>
      <c r="C2067" s="125"/>
      <c r="D2067" s="125"/>
      <c r="E2067" s="125"/>
      <c r="F2067" s="125"/>
      <c r="G2067" s="125"/>
      <c r="H2067" s="125"/>
      <c r="I2067" s="627" t="s">
        <v>51</v>
      </c>
      <c r="J2067" s="125" t="s">
        <v>51</v>
      </c>
      <c r="K2067" s="125" t="s">
        <v>51</v>
      </c>
      <c r="L2067" s="125" t="s">
        <v>51</v>
      </c>
      <c r="M2067" s="125" t="str">
        <f t="shared" si="1"/>
        <v/>
      </c>
      <c r="N2067" s="125" t="str">
        <f t="shared" si="2"/>
        <v/>
      </c>
      <c r="O2067" s="125"/>
      <c r="P2067" s="125"/>
      <c r="Q2067" s="125"/>
      <c r="R2067" s="125"/>
      <c r="S2067" s="628">
        <f t="shared" si="3"/>
        <v>0</v>
      </c>
      <c r="T2067" s="627" t="s">
        <v>51</v>
      </c>
      <c r="U2067" s="627" t="s">
        <v>51</v>
      </c>
      <c r="V2067" s="627" t="s">
        <v>51</v>
      </c>
      <c r="W2067" s="627" t="s">
        <v>51</v>
      </c>
      <c r="X2067" s="627" t="s">
        <v>51</v>
      </c>
      <c r="Y2067" s="89"/>
    </row>
    <row r="2068" ht="22.5" customHeight="1">
      <c r="A2068" s="223"/>
      <c r="B2068" s="125"/>
      <c r="C2068" s="125"/>
      <c r="D2068" s="125"/>
      <c r="E2068" s="125"/>
      <c r="F2068" s="125"/>
      <c r="G2068" s="125"/>
      <c r="H2068" s="125"/>
      <c r="I2068" s="627" t="s">
        <v>51</v>
      </c>
      <c r="J2068" s="125" t="s">
        <v>51</v>
      </c>
      <c r="K2068" s="125" t="s">
        <v>51</v>
      </c>
      <c r="L2068" s="125" t="s">
        <v>51</v>
      </c>
      <c r="M2068" s="125" t="str">
        <f t="shared" si="1"/>
        <v/>
      </c>
      <c r="N2068" s="125" t="str">
        <f t="shared" si="2"/>
        <v/>
      </c>
      <c r="O2068" s="125"/>
      <c r="P2068" s="125"/>
      <c r="Q2068" s="125"/>
      <c r="R2068" s="125"/>
      <c r="S2068" s="628">
        <f t="shared" si="3"/>
        <v>0</v>
      </c>
      <c r="T2068" s="627" t="s">
        <v>51</v>
      </c>
      <c r="U2068" s="627" t="s">
        <v>51</v>
      </c>
      <c r="V2068" s="627" t="s">
        <v>51</v>
      </c>
      <c r="W2068" s="627" t="s">
        <v>51</v>
      </c>
      <c r="X2068" s="627" t="s">
        <v>51</v>
      </c>
      <c r="Y2068" s="89"/>
    </row>
    <row r="2069" ht="22.5" customHeight="1">
      <c r="A2069" s="223"/>
      <c r="B2069" s="125"/>
      <c r="C2069" s="125"/>
      <c r="D2069" s="125"/>
      <c r="E2069" s="125"/>
      <c r="F2069" s="125"/>
      <c r="G2069" s="125"/>
      <c r="H2069" s="125"/>
      <c r="I2069" s="627" t="s">
        <v>51</v>
      </c>
      <c r="J2069" s="125" t="s">
        <v>51</v>
      </c>
      <c r="K2069" s="125" t="s">
        <v>51</v>
      </c>
      <c r="L2069" s="125" t="s">
        <v>51</v>
      </c>
      <c r="M2069" s="125" t="str">
        <f t="shared" si="1"/>
        <v/>
      </c>
      <c r="N2069" s="125" t="str">
        <f t="shared" si="2"/>
        <v/>
      </c>
      <c r="O2069" s="125"/>
      <c r="P2069" s="125"/>
      <c r="Q2069" s="125"/>
      <c r="R2069" s="125"/>
      <c r="S2069" s="628">
        <f t="shared" si="3"/>
        <v>0</v>
      </c>
      <c r="T2069" s="627" t="s">
        <v>51</v>
      </c>
      <c r="U2069" s="627" t="s">
        <v>51</v>
      </c>
      <c r="V2069" s="627" t="s">
        <v>51</v>
      </c>
      <c r="W2069" s="627" t="s">
        <v>51</v>
      </c>
      <c r="X2069" s="627" t="s">
        <v>51</v>
      </c>
      <c r="Y2069" s="89"/>
    </row>
    <row r="2070" ht="22.5" customHeight="1">
      <c r="A2070" s="223"/>
      <c r="B2070" s="125"/>
      <c r="C2070" s="125"/>
      <c r="D2070" s="125"/>
      <c r="E2070" s="125"/>
      <c r="F2070" s="125"/>
      <c r="G2070" s="125"/>
      <c r="H2070" s="125"/>
      <c r="I2070" s="627" t="s">
        <v>51</v>
      </c>
      <c r="J2070" s="125" t="s">
        <v>51</v>
      </c>
      <c r="K2070" s="125" t="s">
        <v>51</v>
      </c>
      <c r="L2070" s="125" t="s">
        <v>51</v>
      </c>
      <c r="M2070" s="125" t="str">
        <f t="shared" si="1"/>
        <v/>
      </c>
      <c r="N2070" s="125" t="str">
        <f t="shared" si="2"/>
        <v/>
      </c>
      <c r="O2070" s="125"/>
      <c r="P2070" s="125"/>
      <c r="Q2070" s="125"/>
      <c r="R2070" s="125"/>
      <c r="S2070" s="628">
        <f t="shared" si="3"/>
        <v>0</v>
      </c>
      <c r="T2070" s="627" t="s">
        <v>51</v>
      </c>
      <c r="U2070" s="627" t="s">
        <v>51</v>
      </c>
      <c r="V2070" s="627" t="s">
        <v>51</v>
      </c>
      <c r="W2070" s="627" t="s">
        <v>51</v>
      </c>
      <c r="X2070" s="627" t="s">
        <v>51</v>
      </c>
      <c r="Y2070" s="89"/>
    </row>
    <row r="2071" ht="22.5" customHeight="1">
      <c r="A2071" s="223"/>
      <c r="B2071" s="125"/>
      <c r="C2071" s="125"/>
      <c r="D2071" s="125"/>
      <c r="E2071" s="125"/>
      <c r="F2071" s="125"/>
      <c r="G2071" s="125"/>
      <c r="H2071" s="125"/>
      <c r="I2071" s="627" t="s">
        <v>51</v>
      </c>
      <c r="J2071" s="125" t="s">
        <v>51</v>
      </c>
      <c r="K2071" s="125" t="s">
        <v>51</v>
      </c>
      <c r="L2071" s="125" t="s">
        <v>51</v>
      </c>
      <c r="M2071" s="125" t="str">
        <f t="shared" si="1"/>
        <v/>
      </c>
      <c r="N2071" s="125" t="str">
        <f t="shared" si="2"/>
        <v/>
      </c>
      <c r="O2071" s="125"/>
      <c r="P2071" s="125"/>
      <c r="Q2071" s="125"/>
      <c r="R2071" s="125"/>
      <c r="S2071" s="628">
        <f t="shared" si="3"/>
        <v>0</v>
      </c>
      <c r="T2071" s="627" t="s">
        <v>51</v>
      </c>
      <c r="U2071" s="627" t="s">
        <v>51</v>
      </c>
      <c r="V2071" s="627" t="s">
        <v>51</v>
      </c>
      <c r="W2071" s="627" t="s">
        <v>51</v>
      </c>
      <c r="X2071" s="627" t="s">
        <v>51</v>
      </c>
      <c r="Y2071" s="89"/>
    </row>
    <row r="2072" ht="22.5" customHeight="1">
      <c r="A2072" s="223"/>
      <c r="B2072" s="125"/>
      <c r="C2072" s="125"/>
      <c r="D2072" s="125"/>
      <c r="E2072" s="125"/>
      <c r="F2072" s="125"/>
      <c r="G2072" s="125"/>
      <c r="H2072" s="125"/>
      <c r="I2072" s="627" t="s">
        <v>51</v>
      </c>
      <c r="J2072" s="125" t="s">
        <v>51</v>
      </c>
      <c r="K2072" s="125" t="s">
        <v>51</v>
      </c>
      <c r="L2072" s="125" t="s">
        <v>51</v>
      </c>
      <c r="M2072" s="125" t="str">
        <f t="shared" si="1"/>
        <v/>
      </c>
      <c r="N2072" s="125" t="str">
        <f t="shared" si="2"/>
        <v/>
      </c>
      <c r="O2072" s="125"/>
      <c r="P2072" s="125"/>
      <c r="Q2072" s="125"/>
      <c r="R2072" s="125"/>
      <c r="S2072" s="628">
        <f t="shared" si="3"/>
        <v>0</v>
      </c>
      <c r="T2072" s="627" t="s">
        <v>51</v>
      </c>
      <c r="U2072" s="627" t="s">
        <v>51</v>
      </c>
      <c r="V2072" s="627" t="s">
        <v>51</v>
      </c>
      <c r="W2072" s="627" t="s">
        <v>51</v>
      </c>
      <c r="X2072" s="627" t="s">
        <v>51</v>
      </c>
      <c r="Y2072" s="89"/>
    </row>
    <row r="2073" ht="22.5" customHeight="1">
      <c r="A2073" s="223"/>
      <c r="B2073" s="125"/>
      <c r="C2073" s="125"/>
      <c r="D2073" s="125"/>
      <c r="E2073" s="125"/>
      <c r="F2073" s="125"/>
      <c r="G2073" s="125"/>
      <c r="H2073" s="125"/>
      <c r="I2073" s="627" t="s">
        <v>51</v>
      </c>
      <c r="J2073" s="125" t="s">
        <v>51</v>
      </c>
      <c r="K2073" s="125" t="s">
        <v>51</v>
      </c>
      <c r="L2073" s="125" t="s">
        <v>51</v>
      </c>
      <c r="M2073" s="125" t="str">
        <f t="shared" si="1"/>
        <v/>
      </c>
      <c r="N2073" s="125" t="str">
        <f t="shared" si="2"/>
        <v/>
      </c>
      <c r="O2073" s="125"/>
      <c r="P2073" s="125"/>
      <c r="Q2073" s="125"/>
      <c r="R2073" s="125"/>
      <c r="S2073" s="628">
        <f t="shared" si="3"/>
        <v>0</v>
      </c>
      <c r="T2073" s="627" t="s">
        <v>51</v>
      </c>
      <c r="U2073" s="627" t="s">
        <v>51</v>
      </c>
      <c r="V2073" s="627" t="s">
        <v>51</v>
      </c>
      <c r="W2073" s="627" t="s">
        <v>51</v>
      </c>
      <c r="X2073" s="627" t="s">
        <v>51</v>
      </c>
      <c r="Y2073" s="89"/>
    </row>
    <row r="2074" ht="22.5" customHeight="1">
      <c r="A2074" s="223"/>
      <c r="B2074" s="125"/>
      <c r="C2074" s="125"/>
      <c r="D2074" s="125"/>
      <c r="E2074" s="125"/>
      <c r="F2074" s="125"/>
      <c r="G2074" s="125"/>
      <c r="H2074" s="125"/>
      <c r="I2074" s="627" t="s">
        <v>51</v>
      </c>
      <c r="J2074" s="125" t="s">
        <v>51</v>
      </c>
      <c r="K2074" s="125" t="s">
        <v>51</v>
      </c>
      <c r="L2074" s="125" t="s">
        <v>51</v>
      </c>
      <c r="M2074" s="125" t="str">
        <f t="shared" si="1"/>
        <v/>
      </c>
      <c r="N2074" s="125" t="str">
        <f t="shared" si="2"/>
        <v/>
      </c>
      <c r="O2074" s="125"/>
      <c r="P2074" s="125"/>
      <c r="Q2074" s="125"/>
      <c r="R2074" s="125"/>
      <c r="S2074" s="628">
        <f t="shared" si="3"/>
        <v>0</v>
      </c>
      <c r="T2074" s="627" t="s">
        <v>51</v>
      </c>
      <c r="U2074" s="627" t="s">
        <v>51</v>
      </c>
      <c r="V2074" s="627" t="s">
        <v>51</v>
      </c>
      <c r="W2074" s="627" t="s">
        <v>51</v>
      </c>
      <c r="X2074" s="627" t="s">
        <v>51</v>
      </c>
      <c r="Y2074" s="89"/>
    </row>
    <row r="2075" ht="22.5" customHeight="1">
      <c r="A2075" s="223"/>
      <c r="B2075" s="125"/>
      <c r="C2075" s="125"/>
      <c r="D2075" s="125"/>
      <c r="E2075" s="125"/>
      <c r="F2075" s="125"/>
      <c r="G2075" s="125"/>
      <c r="H2075" s="125"/>
      <c r="I2075" s="627" t="s">
        <v>51</v>
      </c>
      <c r="J2075" s="125" t="s">
        <v>51</v>
      </c>
      <c r="K2075" s="125" t="s">
        <v>51</v>
      </c>
      <c r="L2075" s="125" t="s">
        <v>51</v>
      </c>
      <c r="M2075" s="125" t="str">
        <f t="shared" si="1"/>
        <v/>
      </c>
      <c r="N2075" s="125" t="str">
        <f t="shared" si="2"/>
        <v/>
      </c>
      <c r="O2075" s="125"/>
      <c r="P2075" s="125"/>
      <c r="Q2075" s="125"/>
      <c r="R2075" s="125"/>
      <c r="S2075" s="628">
        <f t="shared" si="3"/>
        <v>0</v>
      </c>
      <c r="T2075" s="627" t="s">
        <v>51</v>
      </c>
      <c r="U2075" s="627" t="s">
        <v>51</v>
      </c>
      <c r="V2075" s="627" t="s">
        <v>51</v>
      </c>
      <c r="W2075" s="627" t="s">
        <v>51</v>
      </c>
      <c r="X2075" s="627" t="s">
        <v>51</v>
      </c>
      <c r="Y2075" s="89"/>
    </row>
    <row r="2076" ht="22.5" customHeight="1">
      <c r="A2076" s="223"/>
      <c r="B2076" s="125"/>
      <c r="C2076" s="125"/>
      <c r="D2076" s="125"/>
      <c r="E2076" s="125"/>
      <c r="F2076" s="125"/>
      <c r="G2076" s="125"/>
      <c r="H2076" s="125"/>
      <c r="I2076" s="627" t="s">
        <v>51</v>
      </c>
      <c r="J2076" s="125" t="s">
        <v>51</v>
      </c>
      <c r="K2076" s="125" t="s">
        <v>51</v>
      </c>
      <c r="L2076" s="125" t="s">
        <v>51</v>
      </c>
      <c r="M2076" s="125" t="str">
        <f t="shared" si="1"/>
        <v/>
      </c>
      <c r="N2076" s="125" t="str">
        <f t="shared" si="2"/>
        <v/>
      </c>
      <c r="O2076" s="125"/>
      <c r="P2076" s="125"/>
      <c r="Q2076" s="125"/>
      <c r="R2076" s="125"/>
      <c r="S2076" s="628">
        <f t="shared" si="3"/>
        <v>0</v>
      </c>
      <c r="T2076" s="627" t="s">
        <v>51</v>
      </c>
      <c r="U2076" s="627" t="s">
        <v>51</v>
      </c>
      <c r="V2076" s="627" t="s">
        <v>51</v>
      </c>
      <c r="W2076" s="627" t="s">
        <v>51</v>
      </c>
      <c r="X2076" s="627" t="s">
        <v>51</v>
      </c>
      <c r="Y2076" s="89"/>
    </row>
    <row r="2077" ht="22.5" customHeight="1">
      <c r="A2077" s="223"/>
      <c r="B2077" s="125"/>
      <c r="C2077" s="125"/>
      <c r="D2077" s="125"/>
      <c r="E2077" s="125"/>
      <c r="F2077" s="125"/>
      <c r="G2077" s="125"/>
      <c r="H2077" s="125"/>
      <c r="I2077" s="627" t="s">
        <v>51</v>
      </c>
      <c r="J2077" s="125" t="s">
        <v>51</v>
      </c>
      <c r="K2077" s="125" t="s">
        <v>51</v>
      </c>
      <c r="L2077" s="125" t="s">
        <v>51</v>
      </c>
      <c r="M2077" s="125" t="str">
        <f t="shared" si="1"/>
        <v/>
      </c>
      <c r="N2077" s="125" t="str">
        <f t="shared" si="2"/>
        <v/>
      </c>
      <c r="O2077" s="125"/>
      <c r="P2077" s="125"/>
      <c r="Q2077" s="125"/>
      <c r="R2077" s="125"/>
      <c r="S2077" s="628">
        <f t="shared" si="3"/>
        <v>0</v>
      </c>
      <c r="T2077" s="627" t="s">
        <v>51</v>
      </c>
      <c r="U2077" s="627" t="s">
        <v>51</v>
      </c>
      <c r="V2077" s="627" t="s">
        <v>51</v>
      </c>
      <c r="W2077" s="627" t="s">
        <v>51</v>
      </c>
      <c r="X2077" s="627" t="s">
        <v>51</v>
      </c>
      <c r="Y2077" s="89"/>
    </row>
    <row r="2078" ht="22.5" customHeight="1">
      <c r="A2078" s="223"/>
      <c r="B2078" s="125"/>
      <c r="C2078" s="125"/>
      <c r="D2078" s="125"/>
      <c r="E2078" s="125"/>
      <c r="F2078" s="125"/>
      <c r="G2078" s="125"/>
      <c r="H2078" s="125"/>
      <c r="I2078" s="627" t="s">
        <v>51</v>
      </c>
      <c r="J2078" s="125" t="s">
        <v>51</v>
      </c>
      <c r="K2078" s="125" t="s">
        <v>51</v>
      </c>
      <c r="L2078" s="125" t="s">
        <v>51</v>
      </c>
      <c r="M2078" s="125" t="str">
        <f t="shared" si="1"/>
        <v/>
      </c>
      <c r="N2078" s="125" t="str">
        <f t="shared" si="2"/>
        <v/>
      </c>
      <c r="O2078" s="125"/>
      <c r="P2078" s="125"/>
      <c r="Q2078" s="125"/>
      <c r="R2078" s="125"/>
      <c r="S2078" s="628">
        <f t="shared" si="3"/>
        <v>0</v>
      </c>
      <c r="T2078" s="627" t="s">
        <v>51</v>
      </c>
      <c r="U2078" s="627" t="s">
        <v>51</v>
      </c>
      <c r="V2078" s="627" t="s">
        <v>51</v>
      </c>
      <c r="W2078" s="627" t="s">
        <v>51</v>
      </c>
      <c r="X2078" s="627" t="s">
        <v>51</v>
      </c>
      <c r="Y2078" s="89"/>
    </row>
    <row r="2079" ht="22.5" customHeight="1">
      <c r="A2079" s="223"/>
      <c r="B2079" s="125"/>
      <c r="C2079" s="125"/>
      <c r="D2079" s="125"/>
      <c r="E2079" s="125"/>
      <c r="F2079" s="125"/>
      <c r="G2079" s="125"/>
      <c r="H2079" s="125"/>
      <c r="I2079" s="627" t="s">
        <v>51</v>
      </c>
      <c r="J2079" s="125" t="s">
        <v>51</v>
      </c>
      <c r="K2079" s="125" t="s">
        <v>51</v>
      </c>
      <c r="L2079" s="125" t="s">
        <v>51</v>
      </c>
      <c r="M2079" s="125" t="str">
        <f t="shared" si="1"/>
        <v/>
      </c>
      <c r="N2079" s="125" t="str">
        <f t="shared" si="2"/>
        <v/>
      </c>
      <c r="O2079" s="125"/>
      <c r="P2079" s="125"/>
      <c r="Q2079" s="125"/>
      <c r="R2079" s="125"/>
      <c r="S2079" s="628">
        <f t="shared" si="3"/>
        <v>0</v>
      </c>
      <c r="T2079" s="627" t="s">
        <v>51</v>
      </c>
      <c r="U2079" s="627" t="s">
        <v>51</v>
      </c>
      <c r="V2079" s="627" t="s">
        <v>51</v>
      </c>
      <c r="W2079" s="627" t="s">
        <v>51</v>
      </c>
      <c r="X2079" s="627" t="s">
        <v>51</v>
      </c>
      <c r="Y2079" s="89"/>
    </row>
    <row r="2080" ht="22.5" customHeight="1">
      <c r="A2080" s="223"/>
      <c r="B2080" s="125"/>
      <c r="C2080" s="125"/>
      <c r="D2080" s="125"/>
      <c r="E2080" s="125"/>
      <c r="F2080" s="125"/>
      <c r="G2080" s="125"/>
      <c r="H2080" s="125"/>
      <c r="I2080" s="627" t="s">
        <v>51</v>
      </c>
      <c r="J2080" s="125" t="s">
        <v>51</v>
      </c>
      <c r="K2080" s="125" t="s">
        <v>51</v>
      </c>
      <c r="L2080" s="125" t="s">
        <v>51</v>
      </c>
      <c r="M2080" s="125" t="str">
        <f t="shared" si="1"/>
        <v/>
      </c>
      <c r="N2080" s="125" t="str">
        <f t="shared" si="2"/>
        <v/>
      </c>
      <c r="O2080" s="125"/>
      <c r="P2080" s="125"/>
      <c r="Q2080" s="125"/>
      <c r="R2080" s="125"/>
      <c r="S2080" s="628">
        <f t="shared" si="3"/>
        <v>0</v>
      </c>
      <c r="T2080" s="627" t="s">
        <v>51</v>
      </c>
      <c r="U2080" s="627" t="s">
        <v>51</v>
      </c>
      <c r="V2080" s="627" t="s">
        <v>51</v>
      </c>
      <c r="W2080" s="627" t="s">
        <v>51</v>
      </c>
      <c r="X2080" s="627" t="s">
        <v>51</v>
      </c>
      <c r="Y2080" s="89"/>
    </row>
    <row r="2081" ht="22.5" customHeight="1">
      <c r="A2081" s="223"/>
      <c r="B2081" s="125"/>
      <c r="C2081" s="125"/>
      <c r="D2081" s="125"/>
      <c r="E2081" s="125"/>
      <c r="F2081" s="125"/>
      <c r="G2081" s="125"/>
      <c r="H2081" s="125"/>
      <c r="I2081" s="627" t="s">
        <v>51</v>
      </c>
      <c r="J2081" s="125" t="s">
        <v>51</v>
      </c>
      <c r="K2081" s="125" t="s">
        <v>51</v>
      </c>
      <c r="L2081" s="125" t="s">
        <v>51</v>
      </c>
      <c r="M2081" s="125" t="str">
        <f t="shared" si="1"/>
        <v/>
      </c>
      <c r="N2081" s="125" t="str">
        <f t="shared" si="2"/>
        <v/>
      </c>
      <c r="O2081" s="125"/>
      <c r="P2081" s="125"/>
      <c r="Q2081" s="125"/>
      <c r="R2081" s="125"/>
      <c r="S2081" s="628">
        <f t="shared" si="3"/>
        <v>0</v>
      </c>
      <c r="T2081" s="627" t="s">
        <v>51</v>
      </c>
      <c r="U2081" s="627" t="s">
        <v>51</v>
      </c>
      <c r="V2081" s="627" t="s">
        <v>51</v>
      </c>
      <c r="W2081" s="627" t="s">
        <v>51</v>
      </c>
      <c r="X2081" s="627" t="s">
        <v>51</v>
      </c>
      <c r="Y2081" s="89"/>
    </row>
    <row r="2082" ht="22.5" customHeight="1">
      <c r="A2082" s="223"/>
      <c r="B2082" s="125"/>
      <c r="C2082" s="125"/>
      <c r="D2082" s="125"/>
      <c r="E2082" s="125"/>
      <c r="F2082" s="125"/>
      <c r="G2082" s="125"/>
      <c r="H2082" s="125"/>
      <c r="I2082" s="627" t="s">
        <v>51</v>
      </c>
      <c r="J2082" s="125" t="s">
        <v>51</v>
      </c>
      <c r="K2082" s="125" t="s">
        <v>51</v>
      </c>
      <c r="L2082" s="125" t="s">
        <v>51</v>
      </c>
      <c r="M2082" s="125" t="str">
        <f t="shared" si="1"/>
        <v/>
      </c>
      <c r="N2082" s="125" t="str">
        <f t="shared" si="2"/>
        <v/>
      </c>
      <c r="O2082" s="125"/>
      <c r="P2082" s="125"/>
      <c r="Q2082" s="125"/>
      <c r="R2082" s="125"/>
      <c r="S2082" s="628">
        <f t="shared" si="3"/>
        <v>0</v>
      </c>
      <c r="T2082" s="627" t="s">
        <v>51</v>
      </c>
      <c r="U2082" s="627" t="s">
        <v>51</v>
      </c>
      <c r="V2082" s="627" t="s">
        <v>51</v>
      </c>
      <c r="W2082" s="627" t="s">
        <v>51</v>
      </c>
      <c r="X2082" s="627" t="s">
        <v>51</v>
      </c>
      <c r="Y2082" s="89"/>
    </row>
    <row r="2083" ht="22.5" customHeight="1">
      <c r="A2083" s="223"/>
      <c r="B2083" s="125"/>
      <c r="C2083" s="125"/>
      <c r="D2083" s="125"/>
      <c r="E2083" s="125"/>
      <c r="F2083" s="125"/>
      <c r="G2083" s="125"/>
      <c r="H2083" s="125"/>
      <c r="I2083" s="627" t="s">
        <v>51</v>
      </c>
      <c r="J2083" s="125" t="s">
        <v>51</v>
      </c>
      <c r="K2083" s="125" t="s">
        <v>51</v>
      </c>
      <c r="L2083" s="125" t="s">
        <v>51</v>
      </c>
      <c r="M2083" s="125" t="str">
        <f t="shared" si="1"/>
        <v/>
      </c>
      <c r="N2083" s="125" t="str">
        <f t="shared" si="2"/>
        <v/>
      </c>
      <c r="O2083" s="125"/>
      <c r="P2083" s="125"/>
      <c r="Q2083" s="125"/>
      <c r="R2083" s="125"/>
      <c r="S2083" s="628">
        <f t="shared" si="3"/>
        <v>0</v>
      </c>
      <c r="T2083" s="627" t="s">
        <v>51</v>
      </c>
      <c r="U2083" s="627" t="s">
        <v>51</v>
      </c>
      <c r="V2083" s="627" t="s">
        <v>51</v>
      </c>
      <c r="W2083" s="627" t="s">
        <v>51</v>
      </c>
      <c r="X2083" s="627" t="s">
        <v>51</v>
      </c>
      <c r="Y2083" s="89"/>
    </row>
    <row r="2084" ht="22.5" customHeight="1">
      <c r="A2084" s="223"/>
      <c r="B2084" s="125"/>
      <c r="C2084" s="125"/>
      <c r="D2084" s="125"/>
      <c r="E2084" s="125"/>
      <c r="F2084" s="125"/>
      <c r="G2084" s="125"/>
      <c r="H2084" s="125"/>
      <c r="I2084" s="627" t="s">
        <v>51</v>
      </c>
      <c r="J2084" s="125" t="s">
        <v>51</v>
      </c>
      <c r="K2084" s="125" t="s">
        <v>51</v>
      </c>
      <c r="L2084" s="125" t="s">
        <v>51</v>
      </c>
      <c r="M2084" s="125" t="str">
        <f t="shared" si="1"/>
        <v/>
      </c>
      <c r="N2084" s="125" t="str">
        <f t="shared" si="2"/>
        <v/>
      </c>
      <c r="O2084" s="125"/>
      <c r="P2084" s="125"/>
      <c r="Q2084" s="125"/>
      <c r="R2084" s="125"/>
      <c r="S2084" s="628">
        <f t="shared" si="3"/>
        <v>0</v>
      </c>
      <c r="T2084" s="627" t="s">
        <v>51</v>
      </c>
      <c r="U2084" s="627" t="s">
        <v>51</v>
      </c>
      <c r="V2084" s="627" t="s">
        <v>51</v>
      </c>
      <c r="W2084" s="627" t="s">
        <v>51</v>
      </c>
      <c r="X2084" s="627" t="s">
        <v>51</v>
      </c>
      <c r="Y2084" s="89"/>
    </row>
    <row r="2085" ht="22.5" customHeight="1">
      <c r="A2085" s="223"/>
      <c r="B2085" s="125"/>
      <c r="C2085" s="125"/>
      <c r="D2085" s="125"/>
      <c r="E2085" s="125"/>
      <c r="F2085" s="125"/>
      <c r="G2085" s="125"/>
      <c r="H2085" s="125"/>
      <c r="I2085" s="627" t="s">
        <v>51</v>
      </c>
      <c r="J2085" s="125" t="s">
        <v>51</v>
      </c>
      <c r="K2085" s="125" t="s">
        <v>51</v>
      </c>
      <c r="L2085" s="125" t="s">
        <v>51</v>
      </c>
      <c r="M2085" s="125" t="str">
        <f t="shared" si="1"/>
        <v/>
      </c>
      <c r="N2085" s="125" t="str">
        <f t="shared" si="2"/>
        <v/>
      </c>
      <c r="O2085" s="125"/>
      <c r="P2085" s="125"/>
      <c r="Q2085" s="125"/>
      <c r="R2085" s="125"/>
      <c r="S2085" s="628">
        <f t="shared" si="3"/>
        <v>0</v>
      </c>
      <c r="T2085" s="627" t="s">
        <v>51</v>
      </c>
      <c r="U2085" s="627" t="s">
        <v>51</v>
      </c>
      <c r="V2085" s="627" t="s">
        <v>51</v>
      </c>
      <c r="W2085" s="627" t="s">
        <v>51</v>
      </c>
      <c r="X2085" s="627" t="s">
        <v>51</v>
      </c>
      <c r="Y2085" s="89"/>
    </row>
    <row r="2086" ht="22.5" customHeight="1">
      <c r="A2086" s="223"/>
      <c r="B2086" s="125"/>
      <c r="C2086" s="125"/>
      <c r="D2086" s="125"/>
      <c r="E2086" s="125"/>
      <c r="F2086" s="125"/>
      <c r="G2086" s="125"/>
      <c r="H2086" s="125"/>
      <c r="I2086" s="627" t="s">
        <v>51</v>
      </c>
      <c r="J2086" s="125" t="s">
        <v>51</v>
      </c>
      <c r="K2086" s="125" t="s">
        <v>51</v>
      </c>
      <c r="L2086" s="125" t="s">
        <v>51</v>
      </c>
      <c r="M2086" s="125" t="str">
        <f t="shared" si="1"/>
        <v/>
      </c>
      <c r="N2086" s="125" t="str">
        <f t="shared" si="2"/>
        <v/>
      </c>
      <c r="O2086" s="125"/>
      <c r="P2086" s="125"/>
      <c r="Q2086" s="125"/>
      <c r="R2086" s="125"/>
      <c r="S2086" s="628">
        <f t="shared" si="3"/>
        <v>0</v>
      </c>
      <c r="T2086" s="627" t="s">
        <v>51</v>
      </c>
      <c r="U2086" s="627" t="s">
        <v>51</v>
      </c>
      <c r="V2086" s="627" t="s">
        <v>51</v>
      </c>
      <c r="W2086" s="627" t="s">
        <v>51</v>
      </c>
      <c r="X2086" s="627" t="s">
        <v>51</v>
      </c>
      <c r="Y2086" s="89"/>
    </row>
    <row r="2087" ht="22.5" customHeight="1">
      <c r="A2087" s="223"/>
      <c r="B2087" s="125"/>
      <c r="C2087" s="125"/>
      <c r="D2087" s="125"/>
      <c r="E2087" s="125"/>
      <c r="F2087" s="125"/>
      <c r="G2087" s="125"/>
      <c r="H2087" s="125"/>
      <c r="I2087" s="627" t="s">
        <v>51</v>
      </c>
      <c r="J2087" s="125" t="s">
        <v>51</v>
      </c>
      <c r="K2087" s="125" t="s">
        <v>51</v>
      </c>
      <c r="L2087" s="125" t="s">
        <v>51</v>
      </c>
      <c r="M2087" s="125" t="str">
        <f t="shared" si="1"/>
        <v/>
      </c>
      <c r="N2087" s="125" t="str">
        <f t="shared" si="2"/>
        <v/>
      </c>
      <c r="O2087" s="125"/>
      <c r="P2087" s="125"/>
      <c r="Q2087" s="125"/>
      <c r="R2087" s="125"/>
      <c r="S2087" s="628">
        <f t="shared" si="3"/>
        <v>0</v>
      </c>
      <c r="T2087" s="627" t="s">
        <v>51</v>
      </c>
      <c r="U2087" s="627" t="s">
        <v>51</v>
      </c>
      <c r="V2087" s="627" t="s">
        <v>51</v>
      </c>
      <c r="W2087" s="627" t="s">
        <v>51</v>
      </c>
      <c r="X2087" s="627" t="s">
        <v>51</v>
      </c>
      <c r="Y2087" s="89"/>
    </row>
    <row r="2088" ht="22.5" customHeight="1">
      <c r="A2088" s="223"/>
      <c r="B2088" s="125"/>
      <c r="C2088" s="125"/>
      <c r="D2088" s="125"/>
      <c r="E2088" s="125"/>
      <c r="F2088" s="125"/>
      <c r="G2088" s="125"/>
      <c r="H2088" s="125"/>
      <c r="I2088" s="627" t="s">
        <v>51</v>
      </c>
      <c r="J2088" s="125" t="s">
        <v>51</v>
      </c>
      <c r="K2088" s="125" t="s">
        <v>51</v>
      </c>
      <c r="L2088" s="125" t="s">
        <v>51</v>
      </c>
      <c r="M2088" s="125" t="str">
        <f t="shared" si="1"/>
        <v/>
      </c>
      <c r="N2088" s="125" t="str">
        <f t="shared" si="2"/>
        <v/>
      </c>
      <c r="O2088" s="125"/>
      <c r="P2088" s="125"/>
      <c r="Q2088" s="125"/>
      <c r="R2088" s="125"/>
      <c r="S2088" s="628">
        <f t="shared" si="3"/>
        <v>0</v>
      </c>
      <c r="T2088" s="627" t="s">
        <v>51</v>
      </c>
      <c r="U2088" s="627" t="s">
        <v>51</v>
      </c>
      <c r="V2088" s="627" t="s">
        <v>51</v>
      </c>
      <c r="W2088" s="627" t="s">
        <v>51</v>
      </c>
      <c r="X2088" s="627" t="s">
        <v>51</v>
      </c>
      <c r="Y2088" s="89"/>
    </row>
    <row r="2089" ht="22.5" customHeight="1">
      <c r="A2089" s="223"/>
      <c r="B2089" s="125"/>
      <c r="C2089" s="125"/>
      <c r="D2089" s="125"/>
      <c r="E2089" s="125"/>
      <c r="F2089" s="125"/>
      <c r="G2089" s="125"/>
      <c r="H2089" s="125"/>
      <c r="I2089" s="627" t="s">
        <v>51</v>
      </c>
      <c r="J2089" s="125" t="s">
        <v>51</v>
      </c>
      <c r="K2089" s="125" t="s">
        <v>51</v>
      </c>
      <c r="L2089" s="125" t="s">
        <v>51</v>
      </c>
      <c r="M2089" s="125" t="str">
        <f t="shared" si="1"/>
        <v/>
      </c>
      <c r="N2089" s="125" t="str">
        <f t="shared" si="2"/>
        <v/>
      </c>
      <c r="O2089" s="125"/>
      <c r="P2089" s="125"/>
      <c r="Q2089" s="125"/>
      <c r="R2089" s="125"/>
      <c r="S2089" s="628">
        <f t="shared" si="3"/>
        <v>0</v>
      </c>
      <c r="T2089" s="627" t="s">
        <v>51</v>
      </c>
      <c r="U2089" s="627" t="s">
        <v>51</v>
      </c>
      <c r="V2089" s="627" t="s">
        <v>51</v>
      </c>
      <c r="W2089" s="627" t="s">
        <v>51</v>
      </c>
      <c r="X2089" s="627" t="s">
        <v>51</v>
      </c>
      <c r="Y2089" s="89"/>
    </row>
    <row r="2090" ht="22.5" customHeight="1">
      <c r="A2090" s="223"/>
      <c r="B2090" s="125"/>
      <c r="C2090" s="125"/>
      <c r="D2090" s="125"/>
      <c r="E2090" s="125"/>
      <c r="F2090" s="125"/>
      <c r="G2090" s="125"/>
      <c r="H2090" s="125"/>
      <c r="I2090" s="627" t="s">
        <v>51</v>
      </c>
      <c r="J2090" s="125" t="s">
        <v>51</v>
      </c>
      <c r="K2090" s="125" t="s">
        <v>51</v>
      </c>
      <c r="L2090" s="125" t="s">
        <v>51</v>
      </c>
      <c r="M2090" s="125" t="str">
        <f t="shared" si="1"/>
        <v/>
      </c>
      <c r="N2090" s="125" t="str">
        <f t="shared" si="2"/>
        <v/>
      </c>
      <c r="O2090" s="125"/>
      <c r="P2090" s="125"/>
      <c r="Q2090" s="125"/>
      <c r="R2090" s="125"/>
      <c r="S2090" s="628">
        <f t="shared" si="3"/>
        <v>0</v>
      </c>
      <c r="T2090" s="627" t="s">
        <v>51</v>
      </c>
      <c r="U2090" s="627" t="s">
        <v>51</v>
      </c>
      <c r="V2090" s="627" t="s">
        <v>51</v>
      </c>
      <c r="W2090" s="627" t="s">
        <v>51</v>
      </c>
      <c r="X2090" s="627" t="s">
        <v>51</v>
      </c>
      <c r="Y2090" s="89"/>
    </row>
    <row r="2091" ht="22.5" customHeight="1">
      <c r="A2091" s="223"/>
      <c r="B2091" s="125"/>
      <c r="C2091" s="125"/>
      <c r="D2091" s="125"/>
      <c r="E2091" s="125"/>
      <c r="F2091" s="125"/>
      <c r="G2091" s="125"/>
      <c r="H2091" s="125"/>
      <c r="I2091" s="627" t="s">
        <v>51</v>
      </c>
      <c r="J2091" s="125" t="s">
        <v>51</v>
      </c>
      <c r="K2091" s="125" t="s">
        <v>51</v>
      </c>
      <c r="L2091" s="125" t="s">
        <v>51</v>
      </c>
      <c r="M2091" s="125" t="str">
        <f t="shared" si="1"/>
        <v/>
      </c>
      <c r="N2091" s="125" t="str">
        <f t="shared" si="2"/>
        <v/>
      </c>
      <c r="O2091" s="125"/>
      <c r="P2091" s="125"/>
      <c r="Q2091" s="125"/>
      <c r="R2091" s="125"/>
      <c r="S2091" s="628">
        <f t="shared" si="3"/>
        <v>0</v>
      </c>
      <c r="T2091" s="627" t="s">
        <v>51</v>
      </c>
      <c r="U2091" s="627" t="s">
        <v>51</v>
      </c>
      <c r="V2091" s="627" t="s">
        <v>51</v>
      </c>
      <c r="W2091" s="627" t="s">
        <v>51</v>
      </c>
      <c r="X2091" s="627" t="s">
        <v>51</v>
      </c>
      <c r="Y2091" s="89"/>
    </row>
    <row r="2092" ht="22.5" customHeight="1">
      <c r="A2092" s="223"/>
      <c r="B2092" s="125"/>
      <c r="C2092" s="125"/>
      <c r="D2092" s="125"/>
      <c r="E2092" s="125"/>
      <c r="F2092" s="125"/>
      <c r="G2092" s="125"/>
      <c r="H2092" s="125"/>
      <c r="I2092" s="627" t="s">
        <v>51</v>
      </c>
      <c r="J2092" s="125" t="s">
        <v>51</v>
      </c>
      <c r="K2092" s="125" t="s">
        <v>51</v>
      </c>
      <c r="L2092" s="125" t="s">
        <v>51</v>
      </c>
      <c r="M2092" s="125" t="str">
        <f t="shared" si="1"/>
        <v/>
      </c>
      <c r="N2092" s="125" t="str">
        <f t="shared" si="2"/>
        <v/>
      </c>
      <c r="O2092" s="125"/>
      <c r="P2092" s="125"/>
      <c r="Q2092" s="125"/>
      <c r="R2092" s="125"/>
      <c r="S2092" s="628">
        <f t="shared" si="3"/>
        <v>0</v>
      </c>
      <c r="T2092" s="627" t="s">
        <v>51</v>
      </c>
      <c r="U2092" s="627" t="s">
        <v>51</v>
      </c>
      <c r="V2092" s="627" t="s">
        <v>51</v>
      </c>
      <c r="W2092" s="627" t="s">
        <v>51</v>
      </c>
      <c r="X2092" s="627" t="s">
        <v>51</v>
      </c>
      <c r="Y2092" s="89"/>
    </row>
    <row r="2093" ht="22.5" customHeight="1">
      <c r="A2093" s="223"/>
      <c r="B2093" s="125"/>
      <c r="C2093" s="125"/>
      <c r="D2093" s="125"/>
      <c r="E2093" s="125"/>
      <c r="F2093" s="125"/>
      <c r="G2093" s="125"/>
      <c r="H2093" s="125"/>
      <c r="I2093" s="627" t="s">
        <v>51</v>
      </c>
      <c r="J2093" s="125" t="s">
        <v>51</v>
      </c>
      <c r="K2093" s="125" t="s">
        <v>51</v>
      </c>
      <c r="L2093" s="125" t="s">
        <v>51</v>
      </c>
      <c r="M2093" s="125" t="str">
        <f t="shared" si="1"/>
        <v/>
      </c>
      <c r="N2093" s="125" t="str">
        <f t="shared" si="2"/>
        <v/>
      </c>
      <c r="O2093" s="125"/>
      <c r="P2093" s="125"/>
      <c r="Q2093" s="125"/>
      <c r="R2093" s="125"/>
      <c r="S2093" s="628">
        <f t="shared" si="3"/>
        <v>0</v>
      </c>
      <c r="T2093" s="627" t="s">
        <v>51</v>
      </c>
      <c r="U2093" s="627" t="s">
        <v>51</v>
      </c>
      <c r="V2093" s="627" t="s">
        <v>51</v>
      </c>
      <c r="W2093" s="627" t="s">
        <v>51</v>
      </c>
      <c r="X2093" s="627" t="s">
        <v>51</v>
      </c>
      <c r="Y2093" s="89"/>
    </row>
    <row r="2094" ht="22.5" customHeight="1">
      <c r="A2094" s="223"/>
      <c r="B2094" s="125"/>
      <c r="C2094" s="125"/>
      <c r="D2094" s="125"/>
      <c r="E2094" s="125"/>
      <c r="F2094" s="125"/>
      <c r="G2094" s="125"/>
      <c r="H2094" s="125"/>
      <c r="I2094" s="627" t="s">
        <v>51</v>
      </c>
      <c r="J2094" s="125" t="s">
        <v>51</v>
      </c>
      <c r="K2094" s="125" t="s">
        <v>51</v>
      </c>
      <c r="L2094" s="125" t="s">
        <v>51</v>
      </c>
      <c r="M2094" s="125" t="str">
        <f t="shared" si="1"/>
        <v/>
      </c>
      <c r="N2094" s="125" t="str">
        <f t="shared" si="2"/>
        <v/>
      </c>
      <c r="O2094" s="125"/>
      <c r="P2094" s="125"/>
      <c r="Q2094" s="125"/>
      <c r="R2094" s="125"/>
      <c r="S2094" s="628">
        <f t="shared" si="3"/>
        <v>0</v>
      </c>
      <c r="T2094" s="627" t="s">
        <v>51</v>
      </c>
      <c r="U2094" s="627" t="s">
        <v>51</v>
      </c>
      <c r="V2094" s="627" t="s">
        <v>51</v>
      </c>
      <c r="W2094" s="627" t="s">
        <v>51</v>
      </c>
      <c r="X2094" s="627" t="s">
        <v>51</v>
      </c>
      <c r="Y2094" s="89"/>
    </row>
    <row r="2095" ht="22.5" customHeight="1">
      <c r="A2095" s="223"/>
      <c r="B2095" s="125"/>
      <c r="C2095" s="125"/>
      <c r="D2095" s="125"/>
      <c r="E2095" s="125"/>
      <c r="F2095" s="125"/>
      <c r="G2095" s="125"/>
      <c r="H2095" s="125"/>
      <c r="I2095" s="627" t="s">
        <v>51</v>
      </c>
      <c r="J2095" s="125" t="s">
        <v>51</v>
      </c>
      <c r="K2095" s="125" t="s">
        <v>51</v>
      </c>
      <c r="L2095" s="125" t="s">
        <v>51</v>
      </c>
      <c r="M2095" s="125" t="str">
        <f t="shared" si="1"/>
        <v/>
      </c>
      <c r="N2095" s="125" t="str">
        <f t="shared" si="2"/>
        <v/>
      </c>
      <c r="O2095" s="125"/>
      <c r="P2095" s="125"/>
      <c r="Q2095" s="125"/>
      <c r="R2095" s="125"/>
      <c r="S2095" s="628">
        <f t="shared" si="3"/>
        <v>0</v>
      </c>
      <c r="T2095" s="627" t="s">
        <v>51</v>
      </c>
      <c r="U2095" s="627" t="s">
        <v>51</v>
      </c>
      <c r="V2095" s="627" t="s">
        <v>51</v>
      </c>
      <c r="W2095" s="627" t="s">
        <v>51</v>
      </c>
      <c r="X2095" s="627" t="s">
        <v>51</v>
      </c>
      <c r="Y2095" s="89"/>
    </row>
    <row r="2096" ht="22.5" customHeight="1">
      <c r="A2096" s="223"/>
      <c r="B2096" s="125"/>
      <c r="C2096" s="125"/>
      <c r="D2096" s="125"/>
      <c r="E2096" s="125"/>
      <c r="F2096" s="125"/>
      <c r="G2096" s="125"/>
      <c r="H2096" s="125"/>
      <c r="I2096" s="627" t="s">
        <v>51</v>
      </c>
      <c r="J2096" s="125" t="s">
        <v>51</v>
      </c>
      <c r="K2096" s="125" t="s">
        <v>51</v>
      </c>
      <c r="L2096" s="125" t="s">
        <v>51</v>
      </c>
      <c r="M2096" s="125" t="str">
        <f t="shared" si="1"/>
        <v/>
      </c>
      <c r="N2096" s="125" t="str">
        <f t="shared" si="2"/>
        <v/>
      </c>
      <c r="O2096" s="125"/>
      <c r="P2096" s="125"/>
      <c r="Q2096" s="125"/>
      <c r="R2096" s="125"/>
      <c r="S2096" s="628">
        <f t="shared" si="3"/>
        <v>0</v>
      </c>
      <c r="T2096" s="627" t="s">
        <v>51</v>
      </c>
      <c r="U2096" s="627" t="s">
        <v>51</v>
      </c>
      <c r="V2096" s="627" t="s">
        <v>51</v>
      </c>
      <c r="W2096" s="627" t="s">
        <v>51</v>
      </c>
      <c r="X2096" s="627" t="s">
        <v>51</v>
      </c>
      <c r="Y2096" s="89"/>
    </row>
    <row r="2097" ht="22.5" customHeight="1">
      <c r="A2097" s="223"/>
      <c r="B2097" s="125"/>
      <c r="C2097" s="125"/>
      <c r="D2097" s="125"/>
      <c r="E2097" s="125"/>
      <c r="F2097" s="125"/>
      <c r="G2097" s="125"/>
      <c r="H2097" s="125"/>
      <c r="I2097" s="627" t="s">
        <v>51</v>
      </c>
      <c r="J2097" s="125" t="s">
        <v>51</v>
      </c>
      <c r="K2097" s="125" t="s">
        <v>51</v>
      </c>
      <c r="L2097" s="125" t="s">
        <v>51</v>
      </c>
      <c r="M2097" s="125" t="str">
        <f t="shared" si="1"/>
        <v/>
      </c>
      <c r="N2097" s="125" t="str">
        <f t="shared" si="2"/>
        <v/>
      </c>
      <c r="O2097" s="125"/>
      <c r="P2097" s="125"/>
      <c r="Q2097" s="125"/>
      <c r="R2097" s="125"/>
      <c r="S2097" s="628">
        <f t="shared" si="3"/>
        <v>0</v>
      </c>
      <c r="T2097" s="627" t="s">
        <v>51</v>
      </c>
      <c r="U2097" s="627" t="s">
        <v>51</v>
      </c>
      <c r="V2097" s="627" t="s">
        <v>51</v>
      </c>
      <c r="W2097" s="627" t="s">
        <v>51</v>
      </c>
      <c r="X2097" s="627" t="s">
        <v>51</v>
      </c>
      <c r="Y2097" s="89"/>
    </row>
    <row r="2098" ht="22.5" customHeight="1">
      <c r="A2098" s="223"/>
      <c r="B2098" s="125"/>
      <c r="C2098" s="125"/>
      <c r="D2098" s="125"/>
      <c r="E2098" s="125"/>
      <c r="F2098" s="125"/>
      <c r="G2098" s="125"/>
      <c r="H2098" s="125"/>
      <c r="I2098" s="627" t="s">
        <v>51</v>
      </c>
      <c r="J2098" s="125" t="s">
        <v>51</v>
      </c>
      <c r="K2098" s="125" t="s">
        <v>51</v>
      </c>
      <c r="L2098" s="125" t="s">
        <v>51</v>
      </c>
      <c r="M2098" s="125" t="str">
        <f t="shared" si="1"/>
        <v/>
      </c>
      <c r="N2098" s="125" t="str">
        <f t="shared" si="2"/>
        <v/>
      </c>
      <c r="O2098" s="125"/>
      <c r="P2098" s="125"/>
      <c r="Q2098" s="125"/>
      <c r="R2098" s="125"/>
      <c r="S2098" s="628">
        <f t="shared" si="3"/>
        <v>0</v>
      </c>
      <c r="T2098" s="627" t="s">
        <v>51</v>
      </c>
      <c r="U2098" s="627" t="s">
        <v>51</v>
      </c>
      <c r="V2098" s="627" t="s">
        <v>51</v>
      </c>
      <c r="W2098" s="627" t="s">
        <v>51</v>
      </c>
      <c r="X2098" s="627" t="s">
        <v>51</v>
      </c>
      <c r="Y2098" s="89"/>
    </row>
    <row r="2099" ht="22.5" customHeight="1">
      <c r="A2099" s="223"/>
      <c r="B2099" s="125"/>
      <c r="C2099" s="125"/>
      <c r="D2099" s="125"/>
      <c r="E2099" s="125"/>
      <c r="F2099" s="125"/>
      <c r="G2099" s="125"/>
      <c r="H2099" s="125"/>
      <c r="I2099" s="627" t="s">
        <v>51</v>
      </c>
      <c r="J2099" s="125" t="s">
        <v>51</v>
      </c>
      <c r="K2099" s="125" t="s">
        <v>51</v>
      </c>
      <c r="L2099" s="125" t="s">
        <v>51</v>
      </c>
      <c r="M2099" s="125" t="str">
        <f t="shared" si="1"/>
        <v/>
      </c>
      <c r="N2099" s="125" t="str">
        <f t="shared" si="2"/>
        <v/>
      </c>
      <c r="O2099" s="125"/>
      <c r="P2099" s="125"/>
      <c r="Q2099" s="125"/>
      <c r="R2099" s="125"/>
      <c r="S2099" s="628">
        <f t="shared" si="3"/>
        <v>0</v>
      </c>
      <c r="T2099" s="627" t="s">
        <v>51</v>
      </c>
      <c r="U2099" s="627" t="s">
        <v>51</v>
      </c>
      <c r="V2099" s="627" t="s">
        <v>51</v>
      </c>
      <c r="W2099" s="627" t="s">
        <v>51</v>
      </c>
      <c r="X2099" s="627" t="s">
        <v>51</v>
      </c>
      <c r="Y2099" s="89"/>
    </row>
    <row r="2100" ht="22.5" customHeight="1">
      <c r="A2100" s="223"/>
      <c r="B2100" s="125"/>
      <c r="C2100" s="125"/>
      <c r="D2100" s="125"/>
      <c r="E2100" s="125"/>
      <c r="F2100" s="125"/>
      <c r="G2100" s="125"/>
      <c r="H2100" s="125"/>
      <c r="I2100" s="627" t="s">
        <v>51</v>
      </c>
      <c r="J2100" s="125" t="s">
        <v>51</v>
      </c>
      <c r="K2100" s="125" t="s">
        <v>51</v>
      </c>
      <c r="L2100" s="125" t="s">
        <v>51</v>
      </c>
      <c r="M2100" s="125" t="str">
        <f t="shared" si="1"/>
        <v/>
      </c>
      <c r="N2100" s="125" t="str">
        <f t="shared" si="2"/>
        <v/>
      </c>
      <c r="O2100" s="125"/>
      <c r="P2100" s="125"/>
      <c r="Q2100" s="125"/>
      <c r="R2100" s="125"/>
      <c r="S2100" s="628">
        <f t="shared" si="3"/>
        <v>0</v>
      </c>
      <c r="T2100" s="627" t="s">
        <v>51</v>
      </c>
      <c r="U2100" s="627" t="s">
        <v>51</v>
      </c>
      <c r="V2100" s="627" t="s">
        <v>51</v>
      </c>
      <c r="W2100" s="627" t="s">
        <v>51</v>
      </c>
      <c r="X2100" s="627" t="s">
        <v>51</v>
      </c>
      <c r="Y2100" s="89"/>
    </row>
    <row r="2101" ht="22.5" customHeight="1">
      <c r="A2101" s="223"/>
      <c r="B2101" s="125"/>
      <c r="C2101" s="125"/>
      <c r="D2101" s="125"/>
      <c r="E2101" s="125"/>
      <c r="F2101" s="125"/>
      <c r="G2101" s="125"/>
      <c r="H2101" s="125"/>
      <c r="I2101" s="627" t="s">
        <v>51</v>
      </c>
      <c r="J2101" s="125" t="s">
        <v>51</v>
      </c>
      <c r="K2101" s="125" t="s">
        <v>51</v>
      </c>
      <c r="L2101" s="125" t="s">
        <v>51</v>
      </c>
      <c r="M2101" s="125" t="str">
        <f t="shared" si="1"/>
        <v/>
      </c>
      <c r="N2101" s="125" t="str">
        <f t="shared" si="2"/>
        <v/>
      </c>
      <c r="O2101" s="125"/>
      <c r="P2101" s="125"/>
      <c r="Q2101" s="125"/>
      <c r="R2101" s="125"/>
      <c r="S2101" s="628">
        <f t="shared" si="3"/>
        <v>0</v>
      </c>
      <c r="T2101" s="627" t="s">
        <v>51</v>
      </c>
      <c r="U2101" s="627" t="s">
        <v>51</v>
      </c>
      <c r="V2101" s="627" t="s">
        <v>51</v>
      </c>
      <c r="W2101" s="627" t="s">
        <v>51</v>
      </c>
      <c r="X2101" s="627" t="s">
        <v>51</v>
      </c>
      <c r="Y2101" s="89"/>
    </row>
    <row r="2102" ht="22.5" customHeight="1">
      <c r="A2102" s="223"/>
      <c r="B2102" s="125"/>
      <c r="C2102" s="125"/>
      <c r="D2102" s="125"/>
      <c r="E2102" s="125"/>
      <c r="F2102" s="125"/>
      <c r="G2102" s="125"/>
      <c r="H2102" s="125"/>
      <c r="I2102" s="627" t="s">
        <v>51</v>
      </c>
      <c r="J2102" s="125" t="s">
        <v>51</v>
      </c>
      <c r="K2102" s="125" t="s">
        <v>51</v>
      </c>
      <c r="L2102" s="125" t="s">
        <v>51</v>
      </c>
      <c r="M2102" s="125" t="str">
        <f t="shared" si="1"/>
        <v/>
      </c>
      <c r="N2102" s="125" t="str">
        <f t="shared" si="2"/>
        <v/>
      </c>
      <c r="O2102" s="125"/>
      <c r="P2102" s="125"/>
      <c r="Q2102" s="125"/>
      <c r="R2102" s="125"/>
      <c r="S2102" s="628">
        <f t="shared" si="3"/>
        <v>0</v>
      </c>
      <c r="T2102" s="627" t="s">
        <v>51</v>
      </c>
      <c r="U2102" s="627" t="s">
        <v>51</v>
      </c>
      <c r="V2102" s="627" t="s">
        <v>51</v>
      </c>
      <c r="W2102" s="627" t="s">
        <v>51</v>
      </c>
      <c r="X2102" s="627" t="s">
        <v>51</v>
      </c>
      <c r="Y2102" s="89"/>
    </row>
    <row r="2103" ht="22.5" customHeight="1">
      <c r="A2103" s="223"/>
      <c r="B2103" s="125"/>
      <c r="C2103" s="125"/>
      <c r="D2103" s="125"/>
      <c r="E2103" s="125"/>
      <c r="F2103" s="125"/>
      <c r="G2103" s="125"/>
      <c r="H2103" s="125"/>
      <c r="I2103" s="627" t="s">
        <v>51</v>
      </c>
      <c r="J2103" s="125" t="s">
        <v>51</v>
      </c>
      <c r="K2103" s="125" t="s">
        <v>51</v>
      </c>
      <c r="L2103" s="125" t="s">
        <v>51</v>
      </c>
      <c r="M2103" s="125" t="str">
        <f t="shared" si="1"/>
        <v/>
      </c>
      <c r="N2103" s="125" t="str">
        <f t="shared" si="2"/>
        <v/>
      </c>
      <c r="O2103" s="125"/>
      <c r="P2103" s="125"/>
      <c r="Q2103" s="125"/>
      <c r="R2103" s="125"/>
      <c r="S2103" s="628">
        <f t="shared" si="3"/>
        <v>0</v>
      </c>
      <c r="T2103" s="627" t="s">
        <v>51</v>
      </c>
      <c r="U2103" s="627" t="s">
        <v>51</v>
      </c>
      <c r="V2103" s="627" t="s">
        <v>51</v>
      </c>
      <c r="W2103" s="627" t="s">
        <v>51</v>
      </c>
      <c r="X2103" s="627" t="s">
        <v>51</v>
      </c>
      <c r="Y2103" s="89"/>
    </row>
    <row r="2104" ht="22.5" customHeight="1">
      <c r="A2104" s="223"/>
      <c r="B2104" s="125"/>
      <c r="C2104" s="125"/>
      <c r="D2104" s="125"/>
      <c r="E2104" s="125"/>
      <c r="F2104" s="125"/>
      <c r="G2104" s="125"/>
      <c r="H2104" s="125"/>
      <c r="I2104" s="627" t="s">
        <v>51</v>
      </c>
      <c r="J2104" s="125" t="s">
        <v>51</v>
      </c>
      <c r="K2104" s="125" t="s">
        <v>51</v>
      </c>
      <c r="L2104" s="125" t="s">
        <v>51</v>
      </c>
      <c r="M2104" s="125" t="str">
        <f t="shared" si="1"/>
        <v/>
      </c>
      <c r="N2104" s="125" t="str">
        <f t="shared" si="2"/>
        <v/>
      </c>
      <c r="O2104" s="125"/>
      <c r="P2104" s="125"/>
      <c r="Q2104" s="125"/>
      <c r="R2104" s="125"/>
      <c r="S2104" s="628">
        <f t="shared" si="3"/>
        <v>0</v>
      </c>
      <c r="T2104" s="627" t="s">
        <v>51</v>
      </c>
      <c r="U2104" s="627" t="s">
        <v>51</v>
      </c>
      <c r="V2104" s="627" t="s">
        <v>51</v>
      </c>
      <c r="W2104" s="627" t="s">
        <v>51</v>
      </c>
      <c r="X2104" s="627" t="s">
        <v>51</v>
      </c>
      <c r="Y2104" s="89"/>
    </row>
    <row r="2105" ht="22.5" customHeight="1">
      <c r="A2105" s="223"/>
      <c r="B2105" s="125"/>
      <c r="C2105" s="125"/>
      <c r="D2105" s="125"/>
      <c r="E2105" s="125"/>
      <c r="F2105" s="125"/>
      <c r="G2105" s="125"/>
      <c r="H2105" s="125"/>
      <c r="I2105" s="627" t="s">
        <v>51</v>
      </c>
      <c r="J2105" s="125" t="s">
        <v>51</v>
      </c>
      <c r="K2105" s="125" t="s">
        <v>51</v>
      </c>
      <c r="L2105" s="125" t="s">
        <v>51</v>
      </c>
      <c r="M2105" s="125" t="str">
        <f t="shared" si="1"/>
        <v/>
      </c>
      <c r="N2105" s="125" t="str">
        <f t="shared" si="2"/>
        <v/>
      </c>
      <c r="O2105" s="125"/>
      <c r="P2105" s="125"/>
      <c r="Q2105" s="125"/>
      <c r="R2105" s="125"/>
      <c r="S2105" s="628">
        <f t="shared" si="3"/>
        <v>0</v>
      </c>
      <c r="T2105" s="627" t="s">
        <v>51</v>
      </c>
      <c r="U2105" s="627" t="s">
        <v>51</v>
      </c>
      <c r="V2105" s="627" t="s">
        <v>51</v>
      </c>
      <c r="W2105" s="627" t="s">
        <v>51</v>
      </c>
      <c r="X2105" s="627" t="s">
        <v>51</v>
      </c>
      <c r="Y2105" s="89"/>
    </row>
    <row r="2106" ht="22.5" customHeight="1">
      <c r="A2106" s="223"/>
      <c r="B2106" s="125"/>
      <c r="C2106" s="125"/>
      <c r="D2106" s="125"/>
      <c r="E2106" s="125"/>
      <c r="F2106" s="125"/>
      <c r="G2106" s="125"/>
      <c r="H2106" s="125"/>
      <c r="I2106" s="627" t="s">
        <v>51</v>
      </c>
      <c r="J2106" s="125" t="s">
        <v>51</v>
      </c>
      <c r="K2106" s="125" t="s">
        <v>51</v>
      </c>
      <c r="L2106" s="125" t="s">
        <v>51</v>
      </c>
      <c r="M2106" s="125" t="str">
        <f t="shared" si="1"/>
        <v/>
      </c>
      <c r="N2106" s="125" t="str">
        <f t="shared" si="2"/>
        <v/>
      </c>
      <c r="O2106" s="125"/>
      <c r="P2106" s="125"/>
      <c r="Q2106" s="125"/>
      <c r="R2106" s="125"/>
      <c r="S2106" s="628">
        <f t="shared" si="3"/>
        <v>0</v>
      </c>
      <c r="T2106" s="627" t="s">
        <v>51</v>
      </c>
      <c r="U2106" s="627" t="s">
        <v>51</v>
      </c>
      <c r="V2106" s="627" t="s">
        <v>51</v>
      </c>
      <c r="W2106" s="627" t="s">
        <v>51</v>
      </c>
      <c r="X2106" s="627" t="s">
        <v>51</v>
      </c>
      <c r="Y2106" s="89"/>
    </row>
    <row r="2107" ht="22.5" customHeight="1">
      <c r="A2107" s="223"/>
      <c r="B2107" s="125"/>
      <c r="C2107" s="125"/>
      <c r="D2107" s="125"/>
      <c r="E2107" s="125"/>
      <c r="F2107" s="125"/>
      <c r="G2107" s="125"/>
      <c r="H2107" s="125"/>
      <c r="I2107" s="627" t="s">
        <v>51</v>
      </c>
      <c r="J2107" s="125" t="s">
        <v>51</v>
      </c>
      <c r="K2107" s="125" t="s">
        <v>51</v>
      </c>
      <c r="L2107" s="125" t="s">
        <v>51</v>
      </c>
      <c r="M2107" s="125" t="str">
        <f t="shared" si="1"/>
        <v/>
      </c>
      <c r="N2107" s="125" t="str">
        <f t="shared" si="2"/>
        <v/>
      </c>
      <c r="O2107" s="125"/>
      <c r="P2107" s="125"/>
      <c r="Q2107" s="125"/>
      <c r="R2107" s="125"/>
      <c r="S2107" s="628">
        <f t="shared" si="3"/>
        <v>0</v>
      </c>
      <c r="T2107" s="627" t="s">
        <v>51</v>
      </c>
      <c r="U2107" s="627" t="s">
        <v>51</v>
      </c>
      <c r="V2107" s="627" t="s">
        <v>51</v>
      </c>
      <c r="W2107" s="627" t="s">
        <v>51</v>
      </c>
      <c r="X2107" s="627" t="s">
        <v>51</v>
      </c>
      <c r="Y2107" s="89"/>
    </row>
    <row r="2108" ht="22.5" customHeight="1">
      <c r="A2108" s="223"/>
      <c r="B2108" s="125"/>
      <c r="C2108" s="125"/>
      <c r="D2108" s="125"/>
      <c r="E2108" s="125"/>
      <c r="F2108" s="125"/>
      <c r="G2108" s="125"/>
      <c r="H2108" s="125"/>
      <c r="I2108" s="627" t="s">
        <v>51</v>
      </c>
      <c r="J2108" s="125" t="s">
        <v>51</v>
      </c>
      <c r="K2108" s="125" t="s">
        <v>51</v>
      </c>
      <c r="L2108" s="125" t="s">
        <v>51</v>
      </c>
      <c r="M2108" s="125" t="str">
        <f t="shared" si="1"/>
        <v/>
      </c>
      <c r="N2108" s="125" t="str">
        <f t="shared" si="2"/>
        <v/>
      </c>
      <c r="O2108" s="125"/>
      <c r="P2108" s="125"/>
      <c r="Q2108" s="125"/>
      <c r="R2108" s="125"/>
      <c r="S2108" s="628">
        <f t="shared" si="3"/>
        <v>0</v>
      </c>
      <c r="T2108" s="627" t="s">
        <v>51</v>
      </c>
      <c r="U2108" s="627" t="s">
        <v>51</v>
      </c>
      <c r="V2108" s="627" t="s">
        <v>51</v>
      </c>
      <c r="W2108" s="627" t="s">
        <v>51</v>
      </c>
      <c r="X2108" s="627" t="s">
        <v>51</v>
      </c>
      <c r="Y2108" s="89"/>
    </row>
    <row r="2109" ht="22.5" customHeight="1">
      <c r="A2109" s="223"/>
      <c r="B2109" s="125"/>
      <c r="C2109" s="125"/>
      <c r="D2109" s="125"/>
      <c r="E2109" s="125"/>
      <c r="F2109" s="125"/>
      <c r="G2109" s="125"/>
      <c r="H2109" s="125"/>
      <c r="I2109" s="627" t="s">
        <v>51</v>
      </c>
      <c r="J2109" s="125" t="s">
        <v>51</v>
      </c>
      <c r="K2109" s="125" t="s">
        <v>51</v>
      </c>
      <c r="L2109" s="125" t="s">
        <v>51</v>
      </c>
      <c r="M2109" s="125" t="str">
        <f t="shared" si="1"/>
        <v/>
      </c>
      <c r="N2109" s="125" t="str">
        <f t="shared" si="2"/>
        <v/>
      </c>
      <c r="O2109" s="125"/>
      <c r="P2109" s="125"/>
      <c r="Q2109" s="125"/>
      <c r="R2109" s="125"/>
      <c r="S2109" s="628">
        <f t="shared" si="3"/>
        <v>0</v>
      </c>
      <c r="T2109" s="627" t="s">
        <v>51</v>
      </c>
      <c r="U2109" s="627" t="s">
        <v>51</v>
      </c>
      <c r="V2109" s="627" t="s">
        <v>51</v>
      </c>
      <c r="W2109" s="627" t="s">
        <v>51</v>
      </c>
      <c r="X2109" s="627" t="s">
        <v>51</v>
      </c>
      <c r="Y2109" s="89"/>
    </row>
    <row r="2110" ht="22.5" customHeight="1">
      <c r="A2110" s="223"/>
      <c r="B2110" s="125"/>
      <c r="C2110" s="125"/>
      <c r="D2110" s="125"/>
      <c r="E2110" s="125"/>
      <c r="F2110" s="125"/>
      <c r="G2110" s="125"/>
      <c r="H2110" s="125"/>
      <c r="I2110" s="627" t="s">
        <v>51</v>
      </c>
      <c r="J2110" s="125" t="s">
        <v>51</v>
      </c>
      <c r="K2110" s="125" t="s">
        <v>51</v>
      </c>
      <c r="L2110" s="125" t="s">
        <v>51</v>
      </c>
      <c r="M2110" s="125" t="str">
        <f t="shared" si="1"/>
        <v/>
      </c>
      <c r="N2110" s="125" t="str">
        <f t="shared" si="2"/>
        <v/>
      </c>
      <c r="O2110" s="125"/>
      <c r="P2110" s="125"/>
      <c r="Q2110" s="125"/>
      <c r="R2110" s="125"/>
      <c r="S2110" s="628">
        <f t="shared" si="3"/>
        <v>0</v>
      </c>
      <c r="T2110" s="627" t="s">
        <v>51</v>
      </c>
      <c r="U2110" s="627" t="s">
        <v>51</v>
      </c>
      <c r="V2110" s="627" t="s">
        <v>51</v>
      </c>
      <c r="W2110" s="627" t="s">
        <v>51</v>
      </c>
      <c r="X2110" s="627" t="s">
        <v>51</v>
      </c>
      <c r="Y2110" s="89"/>
    </row>
    <row r="2111" ht="22.5" customHeight="1">
      <c r="A2111" s="223"/>
      <c r="B2111" s="125"/>
      <c r="C2111" s="125"/>
      <c r="D2111" s="125"/>
      <c r="E2111" s="125"/>
      <c r="F2111" s="125"/>
      <c r="G2111" s="125"/>
      <c r="H2111" s="125"/>
      <c r="I2111" s="627" t="s">
        <v>51</v>
      </c>
      <c r="J2111" s="125" t="s">
        <v>51</v>
      </c>
      <c r="K2111" s="125" t="s">
        <v>51</v>
      </c>
      <c r="L2111" s="125" t="s">
        <v>51</v>
      </c>
      <c r="M2111" s="125" t="str">
        <f t="shared" si="1"/>
        <v/>
      </c>
      <c r="N2111" s="125" t="str">
        <f t="shared" si="2"/>
        <v/>
      </c>
      <c r="O2111" s="125"/>
      <c r="P2111" s="125"/>
      <c r="Q2111" s="125"/>
      <c r="R2111" s="125"/>
      <c r="S2111" s="628">
        <f t="shared" si="3"/>
        <v>0</v>
      </c>
      <c r="T2111" s="627" t="s">
        <v>51</v>
      </c>
      <c r="U2111" s="627" t="s">
        <v>51</v>
      </c>
      <c r="V2111" s="627" t="s">
        <v>51</v>
      </c>
      <c r="W2111" s="627" t="s">
        <v>51</v>
      </c>
      <c r="X2111" s="627" t="s">
        <v>51</v>
      </c>
      <c r="Y2111" s="89"/>
    </row>
    <row r="2112" ht="22.5" customHeight="1">
      <c r="A2112" s="223"/>
      <c r="B2112" s="125"/>
      <c r="C2112" s="125"/>
      <c r="D2112" s="125"/>
      <c r="E2112" s="125"/>
      <c r="F2112" s="125"/>
      <c r="G2112" s="125"/>
      <c r="H2112" s="125"/>
      <c r="I2112" s="627" t="s">
        <v>51</v>
      </c>
      <c r="J2112" s="125" t="s">
        <v>51</v>
      </c>
      <c r="K2112" s="125" t="s">
        <v>51</v>
      </c>
      <c r="L2112" s="125" t="s">
        <v>51</v>
      </c>
      <c r="M2112" s="125" t="str">
        <f t="shared" si="1"/>
        <v/>
      </c>
      <c r="N2112" s="125" t="str">
        <f t="shared" si="2"/>
        <v/>
      </c>
      <c r="O2112" s="125"/>
      <c r="P2112" s="125"/>
      <c r="Q2112" s="125"/>
      <c r="R2112" s="125"/>
      <c r="S2112" s="628">
        <f t="shared" si="3"/>
        <v>0</v>
      </c>
      <c r="T2112" s="627" t="s">
        <v>51</v>
      </c>
      <c r="U2112" s="627" t="s">
        <v>51</v>
      </c>
      <c r="V2112" s="627" t="s">
        <v>51</v>
      </c>
      <c r="W2112" s="627" t="s">
        <v>51</v>
      </c>
      <c r="X2112" s="627" t="s">
        <v>51</v>
      </c>
      <c r="Y2112" s="89"/>
    </row>
    <row r="2113" ht="22.5" customHeight="1">
      <c r="A2113" s="223"/>
      <c r="B2113" s="125"/>
      <c r="C2113" s="125"/>
      <c r="D2113" s="125"/>
      <c r="E2113" s="125"/>
      <c r="F2113" s="125"/>
      <c r="G2113" s="125"/>
      <c r="H2113" s="125"/>
      <c r="I2113" s="627" t="s">
        <v>51</v>
      </c>
      <c r="J2113" s="125" t="s">
        <v>51</v>
      </c>
      <c r="K2113" s="125" t="s">
        <v>51</v>
      </c>
      <c r="L2113" s="125" t="s">
        <v>51</v>
      </c>
      <c r="M2113" s="125" t="str">
        <f t="shared" si="1"/>
        <v/>
      </c>
      <c r="N2113" s="125" t="str">
        <f t="shared" si="2"/>
        <v/>
      </c>
      <c r="O2113" s="125"/>
      <c r="P2113" s="125"/>
      <c r="Q2113" s="125"/>
      <c r="R2113" s="125"/>
      <c r="S2113" s="628">
        <f t="shared" si="3"/>
        <v>0</v>
      </c>
      <c r="T2113" s="627" t="s">
        <v>51</v>
      </c>
      <c r="U2113" s="627" t="s">
        <v>51</v>
      </c>
      <c r="V2113" s="627" t="s">
        <v>51</v>
      </c>
      <c r="W2113" s="627" t="s">
        <v>51</v>
      </c>
      <c r="X2113" s="627" t="s">
        <v>51</v>
      </c>
      <c r="Y2113" s="89"/>
    </row>
    <row r="2114" ht="22.5" customHeight="1">
      <c r="A2114" s="223"/>
      <c r="B2114" s="125"/>
      <c r="C2114" s="125"/>
      <c r="D2114" s="125"/>
      <c r="E2114" s="125"/>
      <c r="F2114" s="125"/>
      <c r="G2114" s="125"/>
      <c r="H2114" s="125"/>
      <c r="I2114" s="627" t="s">
        <v>51</v>
      </c>
      <c r="J2114" s="125" t="s">
        <v>51</v>
      </c>
      <c r="K2114" s="125" t="s">
        <v>51</v>
      </c>
      <c r="L2114" s="125" t="s">
        <v>51</v>
      </c>
      <c r="M2114" s="125" t="str">
        <f t="shared" si="1"/>
        <v/>
      </c>
      <c r="N2114" s="125" t="str">
        <f t="shared" si="2"/>
        <v/>
      </c>
      <c r="O2114" s="125"/>
      <c r="P2114" s="125"/>
      <c r="Q2114" s="125"/>
      <c r="R2114" s="125"/>
      <c r="S2114" s="628">
        <f t="shared" si="3"/>
        <v>0</v>
      </c>
      <c r="T2114" s="627" t="s">
        <v>51</v>
      </c>
      <c r="U2114" s="627" t="s">
        <v>51</v>
      </c>
      <c r="V2114" s="627" t="s">
        <v>51</v>
      </c>
      <c r="W2114" s="627" t="s">
        <v>51</v>
      </c>
      <c r="X2114" s="627" t="s">
        <v>51</v>
      </c>
      <c r="Y2114" s="89"/>
    </row>
    <row r="2115" ht="22.5" customHeight="1">
      <c r="A2115" s="223"/>
      <c r="B2115" s="125"/>
      <c r="C2115" s="125"/>
      <c r="D2115" s="125"/>
      <c r="E2115" s="125"/>
      <c r="F2115" s="125"/>
      <c r="G2115" s="125"/>
      <c r="H2115" s="125"/>
      <c r="I2115" s="627" t="s">
        <v>51</v>
      </c>
      <c r="J2115" s="125" t="s">
        <v>51</v>
      </c>
      <c r="K2115" s="125" t="s">
        <v>51</v>
      </c>
      <c r="L2115" s="125" t="s">
        <v>51</v>
      </c>
      <c r="M2115" s="125" t="str">
        <f t="shared" si="1"/>
        <v/>
      </c>
      <c r="N2115" s="125" t="str">
        <f t="shared" si="2"/>
        <v/>
      </c>
      <c r="O2115" s="125"/>
      <c r="P2115" s="125"/>
      <c r="Q2115" s="125"/>
      <c r="R2115" s="125"/>
      <c r="S2115" s="628">
        <f t="shared" si="3"/>
        <v>0</v>
      </c>
      <c r="T2115" s="627" t="s">
        <v>51</v>
      </c>
      <c r="U2115" s="627" t="s">
        <v>51</v>
      </c>
      <c r="V2115" s="627" t="s">
        <v>51</v>
      </c>
      <c r="W2115" s="627" t="s">
        <v>51</v>
      </c>
      <c r="X2115" s="627" t="s">
        <v>51</v>
      </c>
      <c r="Y2115" s="89"/>
    </row>
    <row r="2116" ht="22.5" customHeight="1">
      <c r="A2116" s="223"/>
      <c r="B2116" s="125"/>
      <c r="C2116" s="125"/>
      <c r="D2116" s="125"/>
      <c r="E2116" s="125"/>
      <c r="F2116" s="125"/>
      <c r="G2116" s="125"/>
      <c r="H2116" s="125"/>
      <c r="I2116" s="627" t="s">
        <v>51</v>
      </c>
      <c r="J2116" s="125" t="s">
        <v>51</v>
      </c>
      <c r="K2116" s="125" t="s">
        <v>51</v>
      </c>
      <c r="L2116" s="125" t="s">
        <v>51</v>
      </c>
      <c r="M2116" s="125" t="str">
        <f t="shared" si="1"/>
        <v/>
      </c>
      <c r="N2116" s="125" t="str">
        <f t="shared" si="2"/>
        <v/>
      </c>
      <c r="O2116" s="125"/>
      <c r="P2116" s="125"/>
      <c r="Q2116" s="125"/>
      <c r="R2116" s="125"/>
      <c r="S2116" s="628">
        <f t="shared" si="3"/>
        <v>0</v>
      </c>
      <c r="T2116" s="627" t="s">
        <v>51</v>
      </c>
      <c r="U2116" s="627" t="s">
        <v>51</v>
      </c>
      <c r="V2116" s="627" t="s">
        <v>51</v>
      </c>
      <c r="W2116" s="627" t="s">
        <v>51</v>
      </c>
      <c r="X2116" s="627" t="s">
        <v>51</v>
      </c>
      <c r="Y2116" s="89"/>
    </row>
    <row r="2117" ht="22.5" customHeight="1">
      <c r="A2117" s="223"/>
      <c r="B2117" s="125"/>
      <c r="C2117" s="125"/>
      <c r="D2117" s="125"/>
      <c r="E2117" s="125"/>
      <c r="F2117" s="125"/>
      <c r="G2117" s="125"/>
      <c r="H2117" s="125"/>
      <c r="I2117" s="627" t="s">
        <v>51</v>
      </c>
      <c r="J2117" s="125" t="s">
        <v>51</v>
      </c>
      <c r="K2117" s="125" t="s">
        <v>51</v>
      </c>
      <c r="L2117" s="125" t="s">
        <v>51</v>
      </c>
      <c r="M2117" s="125" t="str">
        <f t="shared" si="1"/>
        <v/>
      </c>
      <c r="N2117" s="125" t="str">
        <f t="shared" si="2"/>
        <v/>
      </c>
      <c r="O2117" s="125"/>
      <c r="P2117" s="125"/>
      <c r="Q2117" s="125"/>
      <c r="R2117" s="125"/>
      <c r="S2117" s="628">
        <f t="shared" si="3"/>
        <v>0</v>
      </c>
      <c r="T2117" s="627" t="s">
        <v>51</v>
      </c>
      <c r="U2117" s="627" t="s">
        <v>51</v>
      </c>
      <c r="V2117" s="627" t="s">
        <v>51</v>
      </c>
      <c r="W2117" s="627" t="s">
        <v>51</v>
      </c>
      <c r="X2117" s="627" t="s">
        <v>51</v>
      </c>
      <c r="Y2117" s="89"/>
    </row>
    <row r="2118" ht="22.5" customHeight="1">
      <c r="A2118" s="223"/>
      <c r="B2118" s="125"/>
      <c r="C2118" s="125"/>
      <c r="D2118" s="125"/>
      <c r="E2118" s="125"/>
      <c r="F2118" s="125"/>
      <c r="G2118" s="125"/>
      <c r="H2118" s="125"/>
      <c r="I2118" s="627" t="s">
        <v>51</v>
      </c>
      <c r="J2118" s="125" t="s">
        <v>51</v>
      </c>
      <c r="K2118" s="125" t="s">
        <v>51</v>
      </c>
      <c r="L2118" s="125" t="s">
        <v>51</v>
      </c>
      <c r="M2118" s="125" t="str">
        <f t="shared" si="1"/>
        <v/>
      </c>
      <c r="N2118" s="125" t="str">
        <f t="shared" si="2"/>
        <v/>
      </c>
      <c r="O2118" s="125"/>
      <c r="P2118" s="125"/>
      <c r="Q2118" s="125"/>
      <c r="R2118" s="125"/>
      <c r="S2118" s="628">
        <f t="shared" si="3"/>
        <v>0</v>
      </c>
      <c r="T2118" s="627" t="s">
        <v>51</v>
      </c>
      <c r="U2118" s="627" t="s">
        <v>51</v>
      </c>
      <c r="V2118" s="627" t="s">
        <v>51</v>
      </c>
      <c r="W2118" s="627" t="s">
        <v>51</v>
      </c>
      <c r="X2118" s="627" t="s">
        <v>51</v>
      </c>
      <c r="Y2118" s="89"/>
    </row>
    <row r="2119" ht="22.5" customHeight="1">
      <c r="A2119" s="223"/>
      <c r="B2119" s="125"/>
      <c r="C2119" s="125"/>
      <c r="D2119" s="125"/>
      <c r="E2119" s="125"/>
      <c r="F2119" s="125"/>
      <c r="G2119" s="125"/>
      <c r="H2119" s="125"/>
      <c r="I2119" s="627" t="s">
        <v>51</v>
      </c>
      <c r="J2119" s="125" t="s">
        <v>51</v>
      </c>
      <c r="K2119" s="125" t="s">
        <v>51</v>
      </c>
      <c r="L2119" s="125" t="s">
        <v>51</v>
      </c>
      <c r="M2119" s="125" t="str">
        <f t="shared" si="1"/>
        <v/>
      </c>
      <c r="N2119" s="125" t="str">
        <f t="shared" si="2"/>
        <v/>
      </c>
      <c r="O2119" s="125"/>
      <c r="P2119" s="125"/>
      <c r="Q2119" s="125"/>
      <c r="R2119" s="125"/>
      <c r="S2119" s="628">
        <f t="shared" si="3"/>
        <v>0</v>
      </c>
      <c r="T2119" s="627" t="s">
        <v>51</v>
      </c>
      <c r="U2119" s="627" t="s">
        <v>51</v>
      </c>
      <c r="V2119" s="627" t="s">
        <v>51</v>
      </c>
      <c r="W2119" s="627" t="s">
        <v>51</v>
      </c>
      <c r="X2119" s="627" t="s">
        <v>51</v>
      </c>
      <c r="Y2119" s="89"/>
    </row>
    <row r="2120" ht="22.5" customHeight="1">
      <c r="A2120" s="223"/>
      <c r="B2120" s="125"/>
      <c r="C2120" s="125"/>
      <c r="D2120" s="125"/>
      <c r="E2120" s="125"/>
      <c r="F2120" s="125"/>
      <c r="G2120" s="125"/>
      <c r="H2120" s="125"/>
      <c r="I2120" s="627" t="s">
        <v>51</v>
      </c>
      <c r="J2120" s="125" t="s">
        <v>51</v>
      </c>
      <c r="K2120" s="125" t="s">
        <v>51</v>
      </c>
      <c r="L2120" s="125" t="s">
        <v>51</v>
      </c>
      <c r="M2120" s="125" t="str">
        <f t="shared" si="1"/>
        <v/>
      </c>
      <c r="N2120" s="125" t="str">
        <f t="shared" si="2"/>
        <v/>
      </c>
      <c r="O2120" s="125"/>
      <c r="P2120" s="125"/>
      <c r="Q2120" s="125"/>
      <c r="R2120" s="125"/>
      <c r="S2120" s="628">
        <f t="shared" si="3"/>
        <v>0</v>
      </c>
      <c r="T2120" s="627" t="s">
        <v>51</v>
      </c>
      <c r="U2120" s="627" t="s">
        <v>51</v>
      </c>
      <c r="V2120" s="627" t="s">
        <v>51</v>
      </c>
      <c r="W2120" s="627" t="s">
        <v>51</v>
      </c>
      <c r="X2120" s="627" t="s">
        <v>51</v>
      </c>
      <c r="Y2120" s="89"/>
    </row>
    <row r="2121" ht="22.5" customHeight="1">
      <c r="A2121" s="223"/>
      <c r="B2121" s="125"/>
      <c r="C2121" s="125"/>
      <c r="D2121" s="125"/>
      <c r="E2121" s="125"/>
      <c r="F2121" s="125"/>
      <c r="G2121" s="125"/>
      <c r="H2121" s="125"/>
      <c r="I2121" s="627" t="s">
        <v>51</v>
      </c>
      <c r="J2121" s="125" t="s">
        <v>51</v>
      </c>
      <c r="K2121" s="125" t="s">
        <v>51</v>
      </c>
      <c r="L2121" s="125" t="s">
        <v>51</v>
      </c>
      <c r="M2121" s="125" t="str">
        <f t="shared" si="1"/>
        <v/>
      </c>
      <c r="N2121" s="125" t="str">
        <f t="shared" si="2"/>
        <v/>
      </c>
      <c r="O2121" s="125"/>
      <c r="P2121" s="125"/>
      <c r="Q2121" s="125"/>
      <c r="R2121" s="125"/>
      <c r="S2121" s="628">
        <f t="shared" si="3"/>
        <v>0</v>
      </c>
      <c r="T2121" s="627" t="s">
        <v>51</v>
      </c>
      <c r="U2121" s="627" t="s">
        <v>51</v>
      </c>
      <c r="V2121" s="627" t="s">
        <v>51</v>
      </c>
      <c r="W2121" s="627" t="s">
        <v>51</v>
      </c>
      <c r="X2121" s="627" t="s">
        <v>51</v>
      </c>
      <c r="Y2121" s="89"/>
    </row>
    <row r="2122" ht="22.5" customHeight="1">
      <c r="A2122" s="223"/>
      <c r="B2122" s="125"/>
      <c r="C2122" s="125"/>
      <c r="D2122" s="125"/>
      <c r="E2122" s="125"/>
      <c r="F2122" s="125"/>
      <c r="G2122" s="125"/>
      <c r="H2122" s="125"/>
      <c r="I2122" s="627" t="s">
        <v>51</v>
      </c>
      <c r="J2122" s="125" t="s">
        <v>51</v>
      </c>
      <c r="K2122" s="125" t="s">
        <v>51</v>
      </c>
      <c r="L2122" s="125" t="s">
        <v>51</v>
      </c>
      <c r="M2122" s="125" t="str">
        <f t="shared" si="1"/>
        <v/>
      </c>
      <c r="N2122" s="125" t="str">
        <f t="shared" si="2"/>
        <v/>
      </c>
      <c r="O2122" s="125"/>
      <c r="P2122" s="125"/>
      <c r="Q2122" s="125"/>
      <c r="R2122" s="125"/>
      <c r="S2122" s="628">
        <f t="shared" si="3"/>
        <v>0</v>
      </c>
      <c r="T2122" s="627" t="s">
        <v>51</v>
      </c>
      <c r="U2122" s="627" t="s">
        <v>51</v>
      </c>
      <c r="V2122" s="627" t="s">
        <v>51</v>
      </c>
      <c r="W2122" s="627" t="s">
        <v>51</v>
      </c>
      <c r="X2122" s="627" t="s">
        <v>51</v>
      </c>
      <c r="Y2122" s="89"/>
    </row>
    <row r="2123" ht="22.5" customHeight="1">
      <c r="A2123" s="223"/>
      <c r="B2123" s="125"/>
      <c r="C2123" s="125"/>
      <c r="D2123" s="125"/>
      <c r="E2123" s="125"/>
      <c r="F2123" s="125"/>
      <c r="G2123" s="125"/>
      <c r="H2123" s="125"/>
      <c r="I2123" s="627" t="s">
        <v>51</v>
      </c>
      <c r="J2123" s="125" t="s">
        <v>51</v>
      </c>
      <c r="K2123" s="125" t="s">
        <v>51</v>
      </c>
      <c r="L2123" s="125" t="s">
        <v>51</v>
      </c>
      <c r="M2123" s="125" t="str">
        <f t="shared" si="1"/>
        <v/>
      </c>
      <c r="N2123" s="125" t="str">
        <f t="shared" si="2"/>
        <v/>
      </c>
      <c r="O2123" s="125"/>
      <c r="P2123" s="125"/>
      <c r="Q2123" s="125"/>
      <c r="R2123" s="125"/>
      <c r="S2123" s="628">
        <f t="shared" si="3"/>
        <v>0</v>
      </c>
      <c r="T2123" s="627" t="s">
        <v>51</v>
      </c>
      <c r="U2123" s="627" t="s">
        <v>51</v>
      </c>
      <c r="V2123" s="627" t="s">
        <v>51</v>
      </c>
      <c r="W2123" s="627" t="s">
        <v>51</v>
      </c>
      <c r="X2123" s="627" t="s">
        <v>51</v>
      </c>
      <c r="Y2123" s="89"/>
    </row>
    <row r="2124" ht="22.5" customHeight="1">
      <c r="A2124" s="223"/>
      <c r="B2124" s="125"/>
      <c r="C2124" s="125"/>
      <c r="D2124" s="125"/>
      <c r="E2124" s="125"/>
      <c r="F2124" s="125"/>
      <c r="G2124" s="125"/>
      <c r="H2124" s="125"/>
      <c r="I2124" s="627" t="s">
        <v>51</v>
      </c>
      <c r="J2124" s="125" t="s">
        <v>51</v>
      </c>
      <c r="K2124" s="125" t="s">
        <v>51</v>
      </c>
      <c r="L2124" s="125" t="s">
        <v>51</v>
      </c>
      <c r="M2124" s="125" t="str">
        <f t="shared" si="1"/>
        <v/>
      </c>
      <c r="N2124" s="125" t="str">
        <f t="shared" si="2"/>
        <v/>
      </c>
      <c r="O2124" s="125"/>
      <c r="P2124" s="125"/>
      <c r="Q2124" s="125"/>
      <c r="R2124" s="125"/>
      <c r="S2124" s="628">
        <f t="shared" si="3"/>
        <v>0</v>
      </c>
      <c r="T2124" s="627" t="s">
        <v>51</v>
      </c>
      <c r="U2124" s="627" t="s">
        <v>51</v>
      </c>
      <c r="V2124" s="627" t="s">
        <v>51</v>
      </c>
      <c r="W2124" s="627" t="s">
        <v>51</v>
      </c>
      <c r="X2124" s="627" t="s">
        <v>51</v>
      </c>
      <c r="Y2124" s="89"/>
    </row>
    <row r="2125" ht="22.5" customHeight="1">
      <c r="A2125" s="223"/>
      <c r="B2125" s="125"/>
      <c r="C2125" s="125"/>
      <c r="D2125" s="125"/>
      <c r="E2125" s="125"/>
      <c r="F2125" s="125"/>
      <c r="G2125" s="125"/>
      <c r="H2125" s="125"/>
      <c r="I2125" s="627" t="s">
        <v>51</v>
      </c>
      <c r="J2125" s="125" t="s">
        <v>51</v>
      </c>
      <c r="K2125" s="125" t="s">
        <v>51</v>
      </c>
      <c r="L2125" s="125" t="s">
        <v>51</v>
      </c>
      <c r="M2125" s="125" t="str">
        <f t="shared" si="1"/>
        <v/>
      </c>
      <c r="N2125" s="125" t="str">
        <f t="shared" si="2"/>
        <v/>
      </c>
      <c r="O2125" s="125"/>
      <c r="P2125" s="125"/>
      <c r="Q2125" s="125"/>
      <c r="R2125" s="125"/>
      <c r="S2125" s="628">
        <f t="shared" si="3"/>
        <v>0</v>
      </c>
      <c r="T2125" s="627" t="s">
        <v>51</v>
      </c>
      <c r="U2125" s="627" t="s">
        <v>51</v>
      </c>
      <c r="V2125" s="627" t="s">
        <v>51</v>
      </c>
      <c r="W2125" s="627" t="s">
        <v>51</v>
      </c>
      <c r="X2125" s="627" t="s">
        <v>51</v>
      </c>
      <c r="Y2125" s="89"/>
    </row>
    <row r="2126" ht="22.5" customHeight="1">
      <c r="A2126" s="223"/>
      <c r="B2126" s="125"/>
      <c r="C2126" s="125"/>
      <c r="D2126" s="125"/>
      <c r="E2126" s="125"/>
      <c r="F2126" s="125"/>
      <c r="G2126" s="125"/>
      <c r="H2126" s="125"/>
      <c r="I2126" s="627" t="s">
        <v>51</v>
      </c>
      <c r="J2126" s="125" t="s">
        <v>51</v>
      </c>
      <c r="K2126" s="125" t="s">
        <v>51</v>
      </c>
      <c r="L2126" s="125" t="s">
        <v>51</v>
      </c>
      <c r="M2126" s="125" t="str">
        <f t="shared" si="1"/>
        <v/>
      </c>
      <c r="N2126" s="125" t="str">
        <f t="shared" si="2"/>
        <v/>
      </c>
      <c r="O2126" s="125"/>
      <c r="P2126" s="125"/>
      <c r="Q2126" s="125"/>
      <c r="R2126" s="125"/>
      <c r="S2126" s="628">
        <f t="shared" si="3"/>
        <v>0</v>
      </c>
      <c r="T2126" s="627" t="s">
        <v>51</v>
      </c>
      <c r="U2126" s="627" t="s">
        <v>51</v>
      </c>
      <c r="V2126" s="627" t="s">
        <v>51</v>
      </c>
      <c r="W2126" s="627" t="s">
        <v>51</v>
      </c>
      <c r="X2126" s="627" t="s">
        <v>51</v>
      </c>
      <c r="Y2126" s="89"/>
    </row>
    <row r="2127" ht="22.5" customHeight="1">
      <c r="A2127" s="223"/>
      <c r="B2127" s="125"/>
      <c r="C2127" s="125"/>
      <c r="D2127" s="125"/>
      <c r="E2127" s="125"/>
      <c r="F2127" s="125"/>
      <c r="G2127" s="125"/>
      <c r="H2127" s="125"/>
      <c r="I2127" s="627" t="s">
        <v>51</v>
      </c>
      <c r="J2127" s="125" t="s">
        <v>51</v>
      </c>
      <c r="K2127" s="125" t="s">
        <v>51</v>
      </c>
      <c r="L2127" s="125" t="s">
        <v>51</v>
      </c>
      <c r="M2127" s="125" t="str">
        <f t="shared" si="1"/>
        <v/>
      </c>
      <c r="N2127" s="125" t="str">
        <f t="shared" si="2"/>
        <v/>
      </c>
      <c r="O2127" s="125"/>
      <c r="P2127" s="125"/>
      <c r="Q2127" s="125"/>
      <c r="R2127" s="125"/>
      <c r="S2127" s="628">
        <f t="shared" si="3"/>
        <v>0</v>
      </c>
      <c r="T2127" s="627" t="s">
        <v>51</v>
      </c>
      <c r="U2127" s="627" t="s">
        <v>51</v>
      </c>
      <c r="V2127" s="627" t="s">
        <v>51</v>
      </c>
      <c r="W2127" s="627" t="s">
        <v>51</v>
      </c>
      <c r="X2127" s="627" t="s">
        <v>51</v>
      </c>
      <c r="Y2127" s="89"/>
    </row>
    <row r="2128" ht="22.5" customHeight="1">
      <c r="A2128" s="223"/>
      <c r="B2128" s="125"/>
      <c r="C2128" s="125"/>
      <c r="D2128" s="125"/>
      <c r="E2128" s="125"/>
      <c r="F2128" s="125"/>
      <c r="G2128" s="125"/>
      <c r="H2128" s="125"/>
      <c r="I2128" s="627" t="s">
        <v>51</v>
      </c>
      <c r="J2128" s="125" t="s">
        <v>51</v>
      </c>
      <c r="K2128" s="125" t="s">
        <v>51</v>
      </c>
      <c r="L2128" s="125" t="s">
        <v>51</v>
      </c>
      <c r="M2128" s="125" t="str">
        <f t="shared" si="1"/>
        <v/>
      </c>
      <c r="N2128" s="125" t="str">
        <f t="shared" si="2"/>
        <v/>
      </c>
      <c r="O2128" s="125"/>
      <c r="P2128" s="125"/>
      <c r="Q2128" s="125"/>
      <c r="R2128" s="125"/>
      <c r="S2128" s="628">
        <f t="shared" si="3"/>
        <v>0</v>
      </c>
      <c r="T2128" s="627" t="s">
        <v>51</v>
      </c>
      <c r="U2128" s="627" t="s">
        <v>51</v>
      </c>
      <c r="V2128" s="627" t="s">
        <v>51</v>
      </c>
      <c r="W2128" s="627" t="s">
        <v>51</v>
      </c>
      <c r="X2128" s="627" t="s">
        <v>51</v>
      </c>
      <c r="Y2128" s="89"/>
    </row>
    <row r="2129" ht="22.5" customHeight="1">
      <c r="A2129" s="223"/>
      <c r="B2129" s="125"/>
      <c r="C2129" s="125"/>
      <c r="D2129" s="125"/>
      <c r="E2129" s="125"/>
      <c r="F2129" s="125"/>
      <c r="G2129" s="125"/>
      <c r="H2129" s="125"/>
      <c r="I2129" s="627" t="s">
        <v>51</v>
      </c>
      <c r="J2129" s="125" t="s">
        <v>51</v>
      </c>
      <c r="K2129" s="125" t="s">
        <v>51</v>
      </c>
      <c r="L2129" s="125" t="s">
        <v>51</v>
      </c>
      <c r="M2129" s="125" t="str">
        <f t="shared" si="1"/>
        <v/>
      </c>
      <c r="N2129" s="125" t="str">
        <f t="shared" si="2"/>
        <v/>
      </c>
      <c r="O2129" s="125"/>
      <c r="P2129" s="125"/>
      <c r="Q2129" s="125"/>
      <c r="R2129" s="125"/>
      <c r="S2129" s="628">
        <f t="shared" si="3"/>
        <v>0</v>
      </c>
      <c r="T2129" s="627" t="s">
        <v>51</v>
      </c>
      <c r="U2129" s="627" t="s">
        <v>51</v>
      </c>
      <c r="V2129" s="627" t="s">
        <v>51</v>
      </c>
      <c r="W2129" s="627" t="s">
        <v>51</v>
      </c>
      <c r="X2129" s="627" t="s">
        <v>51</v>
      </c>
      <c r="Y2129" s="89"/>
    </row>
    <row r="2130" ht="22.5" customHeight="1">
      <c r="A2130" s="223"/>
      <c r="B2130" s="125"/>
      <c r="C2130" s="125"/>
      <c r="D2130" s="125"/>
      <c r="E2130" s="125"/>
      <c r="F2130" s="125"/>
      <c r="G2130" s="125"/>
      <c r="H2130" s="125"/>
      <c r="I2130" s="627" t="s">
        <v>51</v>
      </c>
      <c r="J2130" s="125" t="s">
        <v>51</v>
      </c>
      <c r="K2130" s="125" t="s">
        <v>51</v>
      </c>
      <c r="L2130" s="125" t="s">
        <v>51</v>
      </c>
      <c r="M2130" s="125" t="str">
        <f t="shared" si="1"/>
        <v/>
      </c>
      <c r="N2130" s="125" t="str">
        <f t="shared" si="2"/>
        <v/>
      </c>
      <c r="O2130" s="125"/>
      <c r="P2130" s="125"/>
      <c r="Q2130" s="125"/>
      <c r="R2130" s="125"/>
      <c r="S2130" s="628">
        <f t="shared" si="3"/>
        <v>0</v>
      </c>
      <c r="T2130" s="627" t="s">
        <v>51</v>
      </c>
      <c r="U2130" s="627" t="s">
        <v>51</v>
      </c>
      <c r="V2130" s="627" t="s">
        <v>51</v>
      </c>
      <c r="W2130" s="627" t="s">
        <v>51</v>
      </c>
      <c r="X2130" s="627" t="s">
        <v>51</v>
      </c>
      <c r="Y2130" s="89"/>
    </row>
    <row r="2131" ht="22.5" customHeight="1">
      <c r="A2131" s="223"/>
      <c r="B2131" s="125"/>
      <c r="C2131" s="125"/>
      <c r="D2131" s="125"/>
      <c r="E2131" s="125"/>
      <c r="F2131" s="125"/>
      <c r="G2131" s="125"/>
      <c r="H2131" s="125"/>
      <c r="I2131" s="627" t="s">
        <v>51</v>
      </c>
      <c r="J2131" s="125" t="s">
        <v>51</v>
      </c>
      <c r="K2131" s="125" t="s">
        <v>51</v>
      </c>
      <c r="L2131" s="125" t="s">
        <v>51</v>
      </c>
      <c r="M2131" s="125" t="str">
        <f t="shared" si="1"/>
        <v/>
      </c>
      <c r="N2131" s="125" t="str">
        <f t="shared" si="2"/>
        <v/>
      </c>
      <c r="O2131" s="125"/>
      <c r="P2131" s="125"/>
      <c r="Q2131" s="125"/>
      <c r="R2131" s="125"/>
      <c r="S2131" s="628">
        <f t="shared" si="3"/>
        <v>0</v>
      </c>
      <c r="T2131" s="627" t="s">
        <v>51</v>
      </c>
      <c r="U2131" s="627" t="s">
        <v>51</v>
      </c>
      <c r="V2131" s="627" t="s">
        <v>51</v>
      </c>
      <c r="W2131" s="627" t="s">
        <v>51</v>
      </c>
      <c r="X2131" s="627" t="s">
        <v>51</v>
      </c>
      <c r="Y2131" s="89"/>
    </row>
    <row r="2132" ht="22.5" customHeight="1">
      <c r="A2132" s="223"/>
      <c r="B2132" s="125"/>
      <c r="C2132" s="125"/>
      <c r="D2132" s="125"/>
      <c r="E2132" s="125"/>
      <c r="F2132" s="125"/>
      <c r="G2132" s="125"/>
      <c r="H2132" s="125"/>
      <c r="I2132" s="627" t="s">
        <v>51</v>
      </c>
      <c r="J2132" s="125" t="s">
        <v>51</v>
      </c>
      <c r="K2132" s="125" t="s">
        <v>51</v>
      </c>
      <c r="L2132" s="125" t="s">
        <v>51</v>
      </c>
      <c r="M2132" s="125" t="str">
        <f t="shared" si="1"/>
        <v/>
      </c>
      <c r="N2132" s="125" t="str">
        <f t="shared" si="2"/>
        <v/>
      </c>
      <c r="O2132" s="125"/>
      <c r="P2132" s="125"/>
      <c r="Q2132" s="125"/>
      <c r="R2132" s="125"/>
      <c r="S2132" s="628">
        <f t="shared" si="3"/>
        <v>0</v>
      </c>
      <c r="T2132" s="627" t="s">
        <v>51</v>
      </c>
      <c r="U2132" s="627" t="s">
        <v>51</v>
      </c>
      <c r="V2132" s="627" t="s">
        <v>51</v>
      </c>
      <c r="W2132" s="627" t="s">
        <v>51</v>
      </c>
      <c r="X2132" s="627" t="s">
        <v>51</v>
      </c>
      <c r="Y2132" s="89"/>
    </row>
    <row r="2133" ht="22.5" customHeight="1">
      <c r="A2133" s="223"/>
      <c r="B2133" s="125"/>
      <c r="C2133" s="125"/>
      <c r="D2133" s="125"/>
      <c r="E2133" s="125"/>
      <c r="F2133" s="125"/>
      <c r="G2133" s="125"/>
      <c r="H2133" s="125"/>
      <c r="I2133" s="627" t="s">
        <v>51</v>
      </c>
      <c r="J2133" s="125" t="s">
        <v>51</v>
      </c>
      <c r="K2133" s="125" t="s">
        <v>51</v>
      </c>
      <c r="L2133" s="125" t="s">
        <v>51</v>
      </c>
      <c r="M2133" s="125" t="str">
        <f t="shared" si="1"/>
        <v/>
      </c>
      <c r="N2133" s="125" t="str">
        <f t="shared" si="2"/>
        <v/>
      </c>
      <c r="O2133" s="125"/>
      <c r="P2133" s="125"/>
      <c r="Q2133" s="125"/>
      <c r="R2133" s="125"/>
      <c r="S2133" s="628">
        <f t="shared" si="3"/>
        <v>0</v>
      </c>
      <c r="T2133" s="627" t="s">
        <v>51</v>
      </c>
      <c r="U2133" s="627" t="s">
        <v>51</v>
      </c>
      <c r="V2133" s="627" t="s">
        <v>51</v>
      </c>
      <c r="W2133" s="627" t="s">
        <v>51</v>
      </c>
      <c r="X2133" s="627" t="s">
        <v>51</v>
      </c>
      <c r="Y2133" s="89"/>
    </row>
    <row r="2134" ht="22.5" customHeight="1">
      <c r="A2134" s="223"/>
      <c r="B2134" s="125"/>
      <c r="C2134" s="125"/>
      <c r="D2134" s="125"/>
      <c r="E2134" s="125"/>
      <c r="F2134" s="125"/>
      <c r="G2134" s="125"/>
      <c r="H2134" s="125"/>
      <c r="I2134" s="627" t="s">
        <v>51</v>
      </c>
      <c r="J2134" s="125" t="s">
        <v>51</v>
      </c>
      <c r="K2134" s="125" t="s">
        <v>51</v>
      </c>
      <c r="L2134" s="125" t="s">
        <v>51</v>
      </c>
      <c r="M2134" s="125" t="str">
        <f t="shared" si="1"/>
        <v/>
      </c>
      <c r="N2134" s="125" t="str">
        <f t="shared" si="2"/>
        <v/>
      </c>
      <c r="O2134" s="125"/>
      <c r="P2134" s="125"/>
      <c r="Q2134" s="125"/>
      <c r="R2134" s="125"/>
      <c r="S2134" s="628">
        <f t="shared" si="3"/>
        <v>0</v>
      </c>
      <c r="T2134" s="627" t="s">
        <v>51</v>
      </c>
      <c r="U2134" s="627" t="s">
        <v>51</v>
      </c>
      <c r="V2134" s="627" t="s">
        <v>51</v>
      </c>
      <c r="W2134" s="627" t="s">
        <v>51</v>
      </c>
      <c r="X2134" s="627" t="s">
        <v>51</v>
      </c>
      <c r="Y2134" s="89"/>
    </row>
    <row r="2135" ht="22.5" customHeight="1">
      <c r="A2135" s="223"/>
      <c r="B2135" s="125"/>
      <c r="C2135" s="125"/>
      <c r="D2135" s="125"/>
      <c r="E2135" s="125"/>
      <c r="F2135" s="125"/>
      <c r="G2135" s="125"/>
      <c r="H2135" s="125"/>
      <c r="I2135" s="627" t="s">
        <v>51</v>
      </c>
      <c r="J2135" s="125" t="s">
        <v>51</v>
      </c>
      <c r="K2135" s="125" t="s">
        <v>51</v>
      </c>
      <c r="L2135" s="125" t="s">
        <v>51</v>
      </c>
      <c r="M2135" s="125" t="str">
        <f t="shared" si="1"/>
        <v/>
      </c>
      <c r="N2135" s="125" t="str">
        <f t="shared" si="2"/>
        <v/>
      </c>
      <c r="O2135" s="125"/>
      <c r="P2135" s="125"/>
      <c r="Q2135" s="125"/>
      <c r="R2135" s="125"/>
      <c r="S2135" s="628">
        <f t="shared" si="3"/>
        <v>0</v>
      </c>
      <c r="T2135" s="627" t="s">
        <v>51</v>
      </c>
      <c r="U2135" s="627" t="s">
        <v>51</v>
      </c>
      <c r="V2135" s="627" t="s">
        <v>51</v>
      </c>
      <c r="W2135" s="627" t="s">
        <v>51</v>
      </c>
      <c r="X2135" s="627" t="s">
        <v>51</v>
      </c>
      <c r="Y2135" s="89"/>
    </row>
    <row r="2136" ht="22.5" customHeight="1">
      <c r="A2136" s="223"/>
      <c r="B2136" s="125"/>
      <c r="C2136" s="125"/>
      <c r="D2136" s="125"/>
      <c r="E2136" s="125"/>
      <c r="F2136" s="125"/>
      <c r="G2136" s="125"/>
      <c r="H2136" s="125"/>
      <c r="I2136" s="627" t="s">
        <v>51</v>
      </c>
      <c r="J2136" s="125" t="s">
        <v>51</v>
      </c>
      <c r="K2136" s="125" t="s">
        <v>51</v>
      </c>
      <c r="L2136" s="125" t="s">
        <v>51</v>
      </c>
      <c r="M2136" s="125" t="str">
        <f t="shared" si="1"/>
        <v/>
      </c>
      <c r="N2136" s="125" t="str">
        <f t="shared" si="2"/>
        <v/>
      </c>
      <c r="O2136" s="125"/>
      <c r="P2136" s="125"/>
      <c r="Q2136" s="125"/>
      <c r="R2136" s="125"/>
      <c r="S2136" s="628">
        <f t="shared" si="3"/>
        <v>0</v>
      </c>
      <c r="T2136" s="627" t="s">
        <v>51</v>
      </c>
      <c r="U2136" s="627" t="s">
        <v>51</v>
      </c>
      <c r="V2136" s="627" t="s">
        <v>51</v>
      </c>
      <c r="W2136" s="627" t="s">
        <v>51</v>
      </c>
      <c r="X2136" s="627" t="s">
        <v>51</v>
      </c>
      <c r="Y2136" s="89"/>
    </row>
    <row r="2137" ht="22.5" customHeight="1">
      <c r="A2137" s="223"/>
      <c r="B2137" s="125"/>
      <c r="C2137" s="125"/>
      <c r="D2137" s="125"/>
      <c r="E2137" s="125"/>
      <c r="F2137" s="125"/>
      <c r="G2137" s="125"/>
      <c r="H2137" s="125"/>
      <c r="I2137" s="627" t="s">
        <v>51</v>
      </c>
      <c r="J2137" s="125" t="s">
        <v>51</v>
      </c>
      <c r="K2137" s="125" t="s">
        <v>51</v>
      </c>
      <c r="L2137" s="125" t="s">
        <v>51</v>
      </c>
      <c r="M2137" s="125" t="str">
        <f t="shared" si="1"/>
        <v/>
      </c>
      <c r="N2137" s="125" t="str">
        <f t="shared" si="2"/>
        <v/>
      </c>
      <c r="O2137" s="125"/>
      <c r="P2137" s="125"/>
      <c r="Q2137" s="125"/>
      <c r="R2137" s="125"/>
      <c r="S2137" s="628">
        <f t="shared" si="3"/>
        <v>0</v>
      </c>
      <c r="T2137" s="627" t="s">
        <v>51</v>
      </c>
      <c r="U2137" s="627" t="s">
        <v>51</v>
      </c>
      <c r="V2137" s="627" t="s">
        <v>51</v>
      </c>
      <c r="W2137" s="627" t="s">
        <v>51</v>
      </c>
      <c r="X2137" s="627" t="s">
        <v>51</v>
      </c>
      <c r="Y2137" s="89"/>
    </row>
    <row r="2138" ht="22.5" customHeight="1">
      <c r="A2138" s="223"/>
      <c r="B2138" s="125"/>
      <c r="C2138" s="125"/>
      <c r="D2138" s="125"/>
      <c r="E2138" s="125"/>
      <c r="F2138" s="125"/>
      <c r="G2138" s="125"/>
      <c r="H2138" s="125"/>
      <c r="I2138" s="627" t="s">
        <v>51</v>
      </c>
      <c r="J2138" s="125" t="s">
        <v>51</v>
      </c>
      <c r="K2138" s="125" t="s">
        <v>51</v>
      </c>
      <c r="L2138" s="125" t="s">
        <v>51</v>
      </c>
      <c r="M2138" s="125" t="str">
        <f t="shared" si="1"/>
        <v/>
      </c>
      <c r="N2138" s="125" t="str">
        <f t="shared" si="2"/>
        <v/>
      </c>
      <c r="O2138" s="125"/>
      <c r="P2138" s="125"/>
      <c r="Q2138" s="125"/>
      <c r="R2138" s="125"/>
      <c r="S2138" s="628">
        <f t="shared" si="3"/>
        <v>0</v>
      </c>
      <c r="T2138" s="627" t="s">
        <v>51</v>
      </c>
      <c r="U2138" s="627" t="s">
        <v>51</v>
      </c>
      <c r="V2138" s="627" t="s">
        <v>51</v>
      </c>
      <c r="W2138" s="627" t="s">
        <v>51</v>
      </c>
      <c r="X2138" s="627" t="s">
        <v>51</v>
      </c>
      <c r="Y2138" s="89"/>
    </row>
    <row r="2139" ht="22.5" customHeight="1">
      <c r="A2139" s="223"/>
      <c r="B2139" s="125"/>
      <c r="C2139" s="125"/>
      <c r="D2139" s="125"/>
      <c r="E2139" s="125"/>
      <c r="F2139" s="125"/>
      <c r="G2139" s="125"/>
      <c r="H2139" s="125"/>
      <c r="I2139" s="627" t="s">
        <v>51</v>
      </c>
      <c r="J2139" s="125" t="s">
        <v>51</v>
      </c>
      <c r="K2139" s="125" t="s">
        <v>51</v>
      </c>
      <c r="L2139" s="125" t="s">
        <v>51</v>
      </c>
      <c r="M2139" s="125" t="str">
        <f t="shared" si="1"/>
        <v/>
      </c>
      <c r="N2139" s="125" t="str">
        <f t="shared" si="2"/>
        <v/>
      </c>
      <c r="O2139" s="125"/>
      <c r="P2139" s="125"/>
      <c r="Q2139" s="125"/>
      <c r="R2139" s="125"/>
      <c r="S2139" s="628">
        <f t="shared" si="3"/>
        <v>0</v>
      </c>
      <c r="T2139" s="627" t="s">
        <v>51</v>
      </c>
      <c r="U2139" s="627" t="s">
        <v>51</v>
      </c>
      <c r="V2139" s="627" t="s">
        <v>51</v>
      </c>
      <c r="W2139" s="627" t="s">
        <v>51</v>
      </c>
      <c r="X2139" s="627" t="s">
        <v>51</v>
      </c>
      <c r="Y2139" s="89"/>
    </row>
    <row r="2140" ht="22.5" customHeight="1">
      <c r="A2140" s="223"/>
      <c r="B2140" s="125"/>
      <c r="C2140" s="125"/>
      <c r="D2140" s="125"/>
      <c r="E2140" s="125"/>
      <c r="F2140" s="125"/>
      <c r="G2140" s="125"/>
      <c r="H2140" s="125"/>
      <c r="I2140" s="627" t="s">
        <v>51</v>
      </c>
      <c r="J2140" s="125" t="s">
        <v>51</v>
      </c>
      <c r="K2140" s="125" t="s">
        <v>51</v>
      </c>
      <c r="L2140" s="125" t="s">
        <v>51</v>
      </c>
      <c r="M2140" s="125" t="str">
        <f t="shared" si="1"/>
        <v/>
      </c>
      <c r="N2140" s="125" t="str">
        <f t="shared" si="2"/>
        <v/>
      </c>
      <c r="O2140" s="125"/>
      <c r="P2140" s="125"/>
      <c r="Q2140" s="125"/>
      <c r="R2140" s="125"/>
      <c r="S2140" s="628">
        <f t="shared" si="3"/>
        <v>0</v>
      </c>
      <c r="T2140" s="627" t="s">
        <v>51</v>
      </c>
      <c r="U2140" s="627" t="s">
        <v>51</v>
      </c>
      <c r="V2140" s="627" t="s">
        <v>51</v>
      </c>
      <c r="W2140" s="627" t="s">
        <v>51</v>
      </c>
      <c r="X2140" s="627" t="s">
        <v>51</v>
      </c>
      <c r="Y2140" s="89"/>
    </row>
    <row r="2141" ht="22.5" customHeight="1">
      <c r="A2141" s="223"/>
      <c r="B2141" s="125"/>
      <c r="C2141" s="125"/>
      <c r="D2141" s="125"/>
      <c r="E2141" s="125"/>
      <c r="F2141" s="125"/>
      <c r="G2141" s="125"/>
      <c r="H2141" s="125"/>
      <c r="I2141" s="627" t="s">
        <v>51</v>
      </c>
      <c r="J2141" s="125" t="s">
        <v>51</v>
      </c>
      <c r="K2141" s="125" t="s">
        <v>51</v>
      </c>
      <c r="L2141" s="125" t="s">
        <v>51</v>
      </c>
      <c r="M2141" s="125" t="str">
        <f t="shared" si="1"/>
        <v/>
      </c>
      <c r="N2141" s="125" t="str">
        <f t="shared" si="2"/>
        <v/>
      </c>
      <c r="O2141" s="125"/>
      <c r="P2141" s="125"/>
      <c r="Q2141" s="125"/>
      <c r="R2141" s="125"/>
      <c r="S2141" s="628">
        <f t="shared" si="3"/>
        <v>0</v>
      </c>
      <c r="T2141" s="627" t="s">
        <v>51</v>
      </c>
      <c r="U2141" s="627" t="s">
        <v>51</v>
      </c>
      <c r="V2141" s="627" t="s">
        <v>51</v>
      </c>
      <c r="W2141" s="627" t="s">
        <v>51</v>
      </c>
      <c r="X2141" s="627" t="s">
        <v>51</v>
      </c>
      <c r="Y2141" s="89"/>
    </row>
    <row r="2142" ht="22.5" customHeight="1">
      <c r="A2142" s="223"/>
      <c r="B2142" s="125"/>
      <c r="C2142" s="125"/>
      <c r="D2142" s="125"/>
      <c r="E2142" s="125"/>
      <c r="F2142" s="125"/>
      <c r="G2142" s="125"/>
      <c r="H2142" s="125"/>
      <c r="I2142" s="627" t="s">
        <v>51</v>
      </c>
      <c r="J2142" s="125" t="s">
        <v>51</v>
      </c>
      <c r="K2142" s="125" t="s">
        <v>51</v>
      </c>
      <c r="L2142" s="125" t="s">
        <v>51</v>
      </c>
      <c r="M2142" s="125" t="str">
        <f t="shared" si="1"/>
        <v/>
      </c>
      <c r="N2142" s="125" t="str">
        <f t="shared" si="2"/>
        <v/>
      </c>
      <c r="O2142" s="125"/>
      <c r="P2142" s="125"/>
      <c r="Q2142" s="125"/>
      <c r="R2142" s="125"/>
      <c r="S2142" s="628">
        <f t="shared" si="3"/>
        <v>0</v>
      </c>
      <c r="T2142" s="627" t="s">
        <v>51</v>
      </c>
      <c r="U2142" s="627" t="s">
        <v>51</v>
      </c>
      <c r="V2142" s="627" t="s">
        <v>51</v>
      </c>
      <c r="W2142" s="627" t="s">
        <v>51</v>
      </c>
      <c r="X2142" s="627" t="s">
        <v>51</v>
      </c>
      <c r="Y2142" s="89"/>
    </row>
    <row r="2143" ht="22.5" customHeight="1">
      <c r="A2143" s="223"/>
      <c r="B2143" s="125"/>
      <c r="C2143" s="125"/>
      <c r="D2143" s="125"/>
      <c r="E2143" s="125"/>
      <c r="F2143" s="125"/>
      <c r="G2143" s="125"/>
      <c r="H2143" s="125"/>
      <c r="I2143" s="627" t="s">
        <v>51</v>
      </c>
      <c r="J2143" s="125" t="s">
        <v>51</v>
      </c>
      <c r="K2143" s="125" t="s">
        <v>51</v>
      </c>
      <c r="L2143" s="125" t="s">
        <v>51</v>
      </c>
      <c r="M2143" s="125" t="str">
        <f t="shared" si="1"/>
        <v/>
      </c>
      <c r="N2143" s="125" t="str">
        <f t="shared" si="2"/>
        <v/>
      </c>
      <c r="O2143" s="125"/>
      <c r="P2143" s="125"/>
      <c r="Q2143" s="125"/>
      <c r="R2143" s="125"/>
      <c r="S2143" s="628">
        <f t="shared" si="3"/>
        <v>0</v>
      </c>
      <c r="T2143" s="627" t="s">
        <v>51</v>
      </c>
      <c r="U2143" s="627" t="s">
        <v>51</v>
      </c>
      <c r="V2143" s="627" t="s">
        <v>51</v>
      </c>
      <c r="W2143" s="627" t="s">
        <v>51</v>
      </c>
      <c r="X2143" s="627" t="s">
        <v>51</v>
      </c>
      <c r="Y2143" s="89"/>
    </row>
    <row r="2144" ht="22.5" customHeight="1">
      <c r="A2144" s="223"/>
      <c r="B2144" s="125"/>
      <c r="C2144" s="125"/>
      <c r="D2144" s="125"/>
      <c r="E2144" s="125"/>
      <c r="F2144" s="125"/>
      <c r="G2144" s="125"/>
      <c r="H2144" s="125"/>
      <c r="I2144" s="627" t="s">
        <v>51</v>
      </c>
      <c r="J2144" s="125" t="s">
        <v>51</v>
      </c>
      <c r="K2144" s="125" t="s">
        <v>51</v>
      </c>
      <c r="L2144" s="125" t="s">
        <v>51</v>
      </c>
      <c r="M2144" s="125" t="str">
        <f t="shared" si="1"/>
        <v/>
      </c>
      <c r="N2144" s="125" t="str">
        <f t="shared" si="2"/>
        <v/>
      </c>
      <c r="O2144" s="125"/>
      <c r="P2144" s="125"/>
      <c r="Q2144" s="125"/>
      <c r="R2144" s="125"/>
      <c r="S2144" s="628">
        <f t="shared" si="3"/>
        <v>0</v>
      </c>
      <c r="T2144" s="627" t="s">
        <v>51</v>
      </c>
      <c r="U2144" s="627" t="s">
        <v>51</v>
      </c>
      <c r="V2144" s="627" t="s">
        <v>51</v>
      </c>
      <c r="W2144" s="627" t="s">
        <v>51</v>
      </c>
      <c r="X2144" s="627" t="s">
        <v>51</v>
      </c>
      <c r="Y2144" s="89"/>
    </row>
    <row r="2145" ht="22.5" customHeight="1">
      <c r="A2145" s="223"/>
      <c r="B2145" s="125"/>
      <c r="C2145" s="125"/>
      <c r="D2145" s="125"/>
      <c r="E2145" s="125"/>
      <c r="F2145" s="125"/>
      <c r="G2145" s="125"/>
      <c r="H2145" s="125"/>
      <c r="I2145" s="627" t="s">
        <v>51</v>
      </c>
      <c r="J2145" s="125" t="s">
        <v>51</v>
      </c>
      <c r="K2145" s="125" t="s">
        <v>51</v>
      </c>
      <c r="L2145" s="125" t="s">
        <v>51</v>
      </c>
      <c r="M2145" s="125" t="str">
        <f t="shared" si="1"/>
        <v/>
      </c>
      <c r="N2145" s="125" t="str">
        <f t="shared" si="2"/>
        <v/>
      </c>
      <c r="O2145" s="125"/>
      <c r="P2145" s="125"/>
      <c r="Q2145" s="125"/>
      <c r="R2145" s="125"/>
      <c r="S2145" s="628">
        <f t="shared" si="3"/>
        <v>0</v>
      </c>
      <c r="T2145" s="627" t="s">
        <v>51</v>
      </c>
      <c r="U2145" s="627" t="s">
        <v>51</v>
      </c>
      <c r="V2145" s="627" t="s">
        <v>51</v>
      </c>
      <c r="W2145" s="627" t="s">
        <v>51</v>
      </c>
      <c r="X2145" s="627" t="s">
        <v>51</v>
      </c>
      <c r="Y2145" s="89"/>
    </row>
    <row r="2146" ht="22.5" customHeight="1">
      <c r="A2146" s="223"/>
      <c r="B2146" s="125"/>
      <c r="C2146" s="125"/>
      <c r="D2146" s="125"/>
      <c r="E2146" s="125"/>
      <c r="F2146" s="125"/>
      <c r="G2146" s="125"/>
      <c r="H2146" s="125"/>
      <c r="I2146" s="627" t="s">
        <v>51</v>
      </c>
      <c r="J2146" s="125" t="s">
        <v>51</v>
      </c>
      <c r="K2146" s="125" t="s">
        <v>51</v>
      </c>
      <c r="L2146" s="125" t="s">
        <v>51</v>
      </c>
      <c r="M2146" s="125" t="str">
        <f t="shared" si="1"/>
        <v/>
      </c>
      <c r="N2146" s="125" t="str">
        <f t="shared" si="2"/>
        <v/>
      </c>
      <c r="O2146" s="125"/>
      <c r="P2146" s="125"/>
      <c r="Q2146" s="125"/>
      <c r="R2146" s="125"/>
      <c r="S2146" s="628">
        <f t="shared" si="3"/>
        <v>0</v>
      </c>
      <c r="T2146" s="627" t="s">
        <v>51</v>
      </c>
      <c r="U2146" s="627" t="s">
        <v>51</v>
      </c>
      <c r="V2146" s="627" t="s">
        <v>51</v>
      </c>
      <c r="W2146" s="627" t="s">
        <v>51</v>
      </c>
      <c r="X2146" s="627" t="s">
        <v>51</v>
      </c>
      <c r="Y2146" s="89"/>
    </row>
    <row r="2147" ht="22.5" customHeight="1">
      <c r="A2147" s="223"/>
      <c r="B2147" s="125"/>
      <c r="C2147" s="125"/>
      <c r="D2147" s="125"/>
      <c r="E2147" s="125"/>
      <c r="F2147" s="125"/>
      <c r="G2147" s="125"/>
      <c r="H2147" s="125"/>
      <c r="I2147" s="627" t="s">
        <v>51</v>
      </c>
      <c r="J2147" s="125" t="s">
        <v>51</v>
      </c>
      <c r="K2147" s="125" t="s">
        <v>51</v>
      </c>
      <c r="L2147" s="125" t="s">
        <v>51</v>
      </c>
      <c r="M2147" s="125" t="str">
        <f t="shared" si="1"/>
        <v/>
      </c>
      <c r="N2147" s="125" t="str">
        <f t="shared" si="2"/>
        <v/>
      </c>
      <c r="O2147" s="125"/>
      <c r="P2147" s="125"/>
      <c r="Q2147" s="125"/>
      <c r="R2147" s="125"/>
      <c r="S2147" s="628">
        <f t="shared" si="3"/>
        <v>0</v>
      </c>
      <c r="T2147" s="627" t="s">
        <v>51</v>
      </c>
      <c r="U2147" s="627" t="s">
        <v>51</v>
      </c>
      <c r="V2147" s="627" t="s">
        <v>51</v>
      </c>
      <c r="W2147" s="627" t="s">
        <v>51</v>
      </c>
      <c r="X2147" s="627" t="s">
        <v>51</v>
      </c>
      <c r="Y2147" s="89"/>
    </row>
    <row r="2148" ht="22.5" customHeight="1">
      <c r="A2148" s="223"/>
      <c r="B2148" s="125"/>
      <c r="C2148" s="125"/>
      <c r="D2148" s="125"/>
      <c r="E2148" s="125"/>
      <c r="F2148" s="125"/>
      <c r="G2148" s="125"/>
      <c r="H2148" s="125"/>
      <c r="I2148" s="627" t="s">
        <v>51</v>
      </c>
      <c r="J2148" s="125" t="s">
        <v>51</v>
      </c>
      <c r="K2148" s="125" t="s">
        <v>51</v>
      </c>
      <c r="L2148" s="125" t="s">
        <v>51</v>
      </c>
      <c r="M2148" s="125" t="str">
        <f t="shared" si="1"/>
        <v/>
      </c>
      <c r="N2148" s="125" t="str">
        <f t="shared" si="2"/>
        <v/>
      </c>
      <c r="O2148" s="125"/>
      <c r="P2148" s="125"/>
      <c r="Q2148" s="125"/>
      <c r="R2148" s="125"/>
      <c r="S2148" s="628">
        <f t="shared" si="3"/>
        <v>0</v>
      </c>
      <c r="T2148" s="627" t="s">
        <v>51</v>
      </c>
      <c r="U2148" s="627" t="s">
        <v>51</v>
      </c>
      <c r="V2148" s="627" t="s">
        <v>51</v>
      </c>
      <c r="W2148" s="627" t="s">
        <v>51</v>
      </c>
      <c r="X2148" s="627" t="s">
        <v>51</v>
      </c>
      <c r="Y2148" s="89"/>
    </row>
    <row r="2149" ht="22.5" customHeight="1">
      <c r="A2149" s="223"/>
      <c r="B2149" s="125"/>
      <c r="C2149" s="125"/>
      <c r="D2149" s="125"/>
      <c r="E2149" s="125"/>
      <c r="F2149" s="125"/>
      <c r="G2149" s="125"/>
      <c r="H2149" s="125"/>
      <c r="I2149" s="627" t="s">
        <v>51</v>
      </c>
      <c r="J2149" s="125" t="s">
        <v>51</v>
      </c>
      <c r="K2149" s="125" t="s">
        <v>51</v>
      </c>
      <c r="L2149" s="125" t="s">
        <v>51</v>
      </c>
      <c r="M2149" s="125" t="str">
        <f t="shared" si="1"/>
        <v/>
      </c>
      <c r="N2149" s="125" t="str">
        <f t="shared" si="2"/>
        <v/>
      </c>
      <c r="O2149" s="125"/>
      <c r="P2149" s="125"/>
      <c r="Q2149" s="125"/>
      <c r="R2149" s="125"/>
      <c r="S2149" s="628">
        <f t="shared" si="3"/>
        <v>0</v>
      </c>
      <c r="T2149" s="627" t="s">
        <v>51</v>
      </c>
      <c r="U2149" s="627" t="s">
        <v>51</v>
      </c>
      <c r="V2149" s="627" t="s">
        <v>51</v>
      </c>
      <c r="W2149" s="627" t="s">
        <v>51</v>
      </c>
      <c r="X2149" s="627" t="s">
        <v>51</v>
      </c>
      <c r="Y2149" s="89"/>
    </row>
    <row r="2150" ht="22.5" customHeight="1">
      <c r="A2150" s="223"/>
      <c r="B2150" s="125"/>
      <c r="C2150" s="125"/>
      <c r="D2150" s="125"/>
      <c r="E2150" s="125"/>
      <c r="F2150" s="125"/>
      <c r="G2150" s="125"/>
      <c r="H2150" s="125"/>
      <c r="I2150" s="627" t="s">
        <v>51</v>
      </c>
      <c r="J2150" s="125" t="s">
        <v>51</v>
      </c>
      <c r="K2150" s="125" t="s">
        <v>51</v>
      </c>
      <c r="L2150" s="125" t="s">
        <v>51</v>
      </c>
      <c r="M2150" s="125" t="str">
        <f t="shared" si="1"/>
        <v/>
      </c>
      <c r="N2150" s="125" t="str">
        <f t="shared" si="2"/>
        <v/>
      </c>
      <c r="O2150" s="125"/>
      <c r="P2150" s="125"/>
      <c r="Q2150" s="125"/>
      <c r="R2150" s="125"/>
      <c r="S2150" s="628">
        <f t="shared" si="3"/>
        <v>0</v>
      </c>
      <c r="T2150" s="627" t="s">
        <v>51</v>
      </c>
      <c r="U2150" s="627" t="s">
        <v>51</v>
      </c>
      <c r="V2150" s="627" t="s">
        <v>51</v>
      </c>
      <c r="W2150" s="627" t="s">
        <v>51</v>
      </c>
      <c r="X2150" s="627" t="s">
        <v>51</v>
      </c>
      <c r="Y2150" s="89"/>
    </row>
    <row r="2151" ht="22.5" customHeight="1">
      <c r="A2151" s="223"/>
      <c r="B2151" s="125"/>
      <c r="C2151" s="125"/>
      <c r="D2151" s="125"/>
      <c r="E2151" s="125"/>
      <c r="F2151" s="125"/>
      <c r="G2151" s="125"/>
      <c r="H2151" s="125"/>
      <c r="I2151" s="627" t="s">
        <v>51</v>
      </c>
      <c r="J2151" s="125" t="s">
        <v>51</v>
      </c>
      <c r="K2151" s="125" t="s">
        <v>51</v>
      </c>
      <c r="L2151" s="125" t="s">
        <v>51</v>
      </c>
      <c r="M2151" s="125" t="str">
        <f t="shared" si="1"/>
        <v/>
      </c>
      <c r="N2151" s="125" t="str">
        <f t="shared" si="2"/>
        <v/>
      </c>
      <c r="O2151" s="125"/>
      <c r="P2151" s="125"/>
      <c r="Q2151" s="125"/>
      <c r="R2151" s="125"/>
      <c r="S2151" s="628">
        <f t="shared" si="3"/>
        <v>0</v>
      </c>
      <c r="T2151" s="627" t="s">
        <v>51</v>
      </c>
      <c r="U2151" s="627" t="s">
        <v>51</v>
      </c>
      <c r="V2151" s="627" t="s">
        <v>51</v>
      </c>
      <c r="W2151" s="627" t="s">
        <v>51</v>
      </c>
      <c r="X2151" s="627" t="s">
        <v>51</v>
      </c>
      <c r="Y2151" s="89"/>
    </row>
    <row r="2152" ht="22.5" customHeight="1">
      <c r="A2152" s="223"/>
      <c r="B2152" s="125"/>
      <c r="C2152" s="125"/>
      <c r="D2152" s="125"/>
      <c r="E2152" s="125"/>
      <c r="F2152" s="125"/>
      <c r="G2152" s="125"/>
      <c r="H2152" s="125"/>
      <c r="I2152" s="627" t="s">
        <v>51</v>
      </c>
      <c r="J2152" s="125" t="s">
        <v>51</v>
      </c>
      <c r="K2152" s="125" t="s">
        <v>51</v>
      </c>
      <c r="L2152" s="125" t="s">
        <v>51</v>
      </c>
      <c r="M2152" s="125" t="str">
        <f t="shared" si="1"/>
        <v/>
      </c>
      <c r="N2152" s="125" t="str">
        <f t="shared" si="2"/>
        <v/>
      </c>
      <c r="O2152" s="125"/>
      <c r="P2152" s="125"/>
      <c r="Q2152" s="125"/>
      <c r="R2152" s="125"/>
      <c r="S2152" s="628">
        <f t="shared" si="3"/>
        <v>0</v>
      </c>
      <c r="T2152" s="627" t="s">
        <v>51</v>
      </c>
      <c r="U2152" s="627" t="s">
        <v>51</v>
      </c>
      <c r="V2152" s="627" t="s">
        <v>51</v>
      </c>
      <c r="W2152" s="627" t="s">
        <v>51</v>
      </c>
      <c r="X2152" s="627" t="s">
        <v>51</v>
      </c>
      <c r="Y2152" s="89"/>
    </row>
    <row r="2153" ht="22.5" customHeight="1">
      <c r="A2153" s="223"/>
      <c r="B2153" s="125"/>
      <c r="C2153" s="125"/>
      <c r="D2153" s="125"/>
      <c r="E2153" s="125"/>
      <c r="F2153" s="125"/>
      <c r="G2153" s="125"/>
      <c r="H2153" s="125"/>
      <c r="I2153" s="627" t="s">
        <v>51</v>
      </c>
      <c r="J2153" s="125" t="s">
        <v>51</v>
      </c>
      <c r="K2153" s="125" t="s">
        <v>51</v>
      </c>
      <c r="L2153" s="125" t="s">
        <v>51</v>
      </c>
      <c r="M2153" s="125" t="str">
        <f t="shared" si="1"/>
        <v/>
      </c>
      <c r="N2153" s="125" t="str">
        <f t="shared" si="2"/>
        <v/>
      </c>
      <c r="O2153" s="125"/>
      <c r="P2153" s="125"/>
      <c r="Q2153" s="125"/>
      <c r="R2153" s="125"/>
      <c r="S2153" s="628">
        <f t="shared" si="3"/>
        <v>0</v>
      </c>
      <c r="T2153" s="627" t="s">
        <v>51</v>
      </c>
      <c r="U2153" s="627" t="s">
        <v>51</v>
      </c>
      <c r="V2153" s="627" t="s">
        <v>51</v>
      </c>
      <c r="W2153" s="627" t="s">
        <v>51</v>
      </c>
      <c r="X2153" s="627" t="s">
        <v>51</v>
      </c>
      <c r="Y2153" s="89"/>
    </row>
    <row r="2154" ht="22.5" customHeight="1">
      <c r="A2154" s="223"/>
      <c r="B2154" s="125"/>
      <c r="C2154" s="125"/>
      <c r="D2154" s="125"/>
      <c r="E2154" s="125"/>
      <c r="F2154" s="125"/>
      <c r="G2154" s="125"/>
      <c r="H2154" s="125"/>
      <c r="I2154" s="627" t="s">
        <v>51</v>
      </c>
      <c r="J2154" s="125" t="s">
        <v>51</v>
      </c>
      <c r="K2154" s="125" t="s">
        <v>51</v>
      </c>
      <c r="L2154" s="125" t="s">
        <v>51</v>
      </c>
      <c r="M2154" s="125" t="str">
        <f t="shared" si="1"/>
        <v/>
      </c>
      <c r="N2154" s="125" t="str">
        <f t="shared" si="2"/>
        <v/>
      </c>
      <c r="O2154" s="125"/>
      <c r="P2154" s="125"/>
      <c r="Q2154" s="125"/>
      <c r="R2154" s="125"/>
      <c r="S2154" s="628">
        <f t="shared" si="3"/>
        <v>0</v>
      </c>
      <c r="T2154" s="627" t="s">
        <v>51</v>
      </c>
      <c r="U2154" s="627" t="s">
        <v>51</v>
      </c>
      <c r="V2154" s="627" t="s">
        <v>51</v>
      </c>
      <c r="W2154" s="627" t="s">
        <v>51</v>
      </c>
      <c r="X2154" s="627" t="s">
        <v>51</v>
      </c>
      <c r="Y2154" s="89"/>
    </row>
    <row r="2155" ht="22.5" customHeight="1">
      <c r="A2155" s="223"/>
      <c r="B2155" s="125"/>
      <c r="C2155" s="125"/>
      <c r="D2155" s="125"/>
      <c r="E2155" s="125"/>
      <c r="F2155" s="125"/>
      <c r="G2155" s="125"/>
      <c r="H2155" s="125"/>
      <c r="I2155" s="627" t="s">
        <v>51</v>
      </c>
      <c r="J2155" s="125" t="s">
        <v>51</v>
      </c>
      <c r="K2155" s="125" t="s">
        <v>51</v>
      </c>
      <c r="L2155" s="125" t="s">
        <v>51</v>
      </c>
      <c r="M2155" s="125" t="str">
        <f t="shared" si="1"/>
        <v/>
      </c>
      <c r="N2155" s="125" t="str">
        <f t="shared" si="2"/>
        <v/>
      </c>
      <c r="O2155" s="125"/>
      <c r="P2155" s="125"/>
      <c r="Q2155" s="125"/>
      <c r="R2155" s="125"/>
      <c r="S2155" s="628">
        <f t="shared" si="3"/>
        <v>0</v>
      </c>
      <c r="T2155" s="627" t="s">
        <v>51</v>
      </c>
      <c r="U2155" s="627" t="s">
        <v>51</v>
      </c>
      <c r="V2155" s="627" t="s">
        <v>51</v>
      </c>
      <c r="W2155" s="627" t="s">
        <v>51</v>
      </c>
      <c r="X2155" s="627" t="s">
        <v>51</v>
      </c>
      <c r="Y2155" s="89"/>
    </row>
    <row r="2156" ht="22.5" customHeight="1">
      <c r="A2156" s="223"/>
      <c r="B2156" s="125"/>
      <c r="C2156" s="125"/>
      <c r="D2156" s="125"/>
      <c r="E2156" s="125"/>
      <c r="F2156" s="125"/>
      <c r="G2156" s="125"/>
      <c r="H2156" s="125"/>
      <c r="I2156" s="627" t="s">
        <v>51</v>
      </c>
      <c r="J2156" s="125" t="s">
        <v>51</v>
      </c>
      <c r="K2156" s="125" t="s">
        <v>51</v>
      </c>
      <c r="L2156" s="125" t="s">
        <v>51</v>
      </c>
      <c r="M2156" s="125" t="str">
        <f t="shared" si="1"/>
        <v/>
      </c>
      <c r="N2156" s="125" t="str">
        <f t="shared" si="2"/>
        <v/>
      </c>
      <c r="O2156" s="125"/>
      <c r="P2156" s="125"/>
      <c r="Q2156" s="125"/>
      <c r="R2156" s="125"/>
      <c r="S2156" s="628">
        <f t="shared" si="3"/>
        <v>0</v>
      </c>
      <c r="T2156" s="627" t="s">
        <v>51</v>
      </c>
      <c r="U2156" s="627" t="s">
        <v>51</v>
      </c>
      <c r="V2156" s="627" t="s">
        <v>51</v>
      </c>
      <c r="W2156" s="627" t="s">
        <v>51</v>
      </c>
      <c r="X2156" s="627" t="s">
        <v>51</v>
      </c>
      <c r="Y2156" s="89"/>
    </row>
  </sheetData>
  <dataValidations>
    <dataValidation type="custom" allowBlank="1" showDropDown="1" sqref="S2:S2156">
      <formula1>AND(ISNUMBER(S2),(NOT(OR(NOT(ISERROR(DATEVALUE(S2))), AND(ISNUMBER(S2), LEFT(CELL("format", S2))="D")))))</formula1>
    </dataValidation>
  </dataValidations>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18.75"/>
    <col customWidth="1" min="6" max="6" width="17.63"/>
    <col customWidth="1" min="7" max="8" width="16.25"/>
    <col customWidth="1" min="9" max="9" width="13.0"/>
    <col customWidth="1" min="11" max="11" width="13.25"/>
    <col customWidth="1" min="12" max="12" width="13.5"/>
    <col customWidth="1" min="13" max="13" width="16.38"/>
    <col customWidth="1" min="15" max="15" width="15.38"/>
  </cols>
  <sheetData>
    <row r="1" ht="22.5" customHeight="1">
      <c r="A1" s="629" t="s">
        <v>8805</v>
      </c>
      <c r="B1" s="629" t="s">
        <v>2070</v>
      </c>
      <c r="C1" s="629" t="s">
        <v>2071</v>
      </c>
      <c r="D1" s="629" t="s">
        <v>172</v>
      </c>
      <c r="E1" s="629" t="s">
        <v>2072</v>
      </c>
      <c r="F1" s="629" t="s">
        <v>2074</v>
      </c>
      <c r="G1" s="629" t="s">
        <v>2075</v>
      </c>
      <c r="H1" s="629" t="s">
        <v>8806</v>
      </c>
      <c r="I1" s="629" t="s">
        <v>2076</v>
      </c>
      <c r="J1" s="629" t="s">
        <v>2068</v>
      </c>
      <c r="K1" s="629" t="s">
        <v>2069</v>
      </c>
      <c r="L1" s="629" t="s">
        <v>1600</v>
      </c>
      <c r="M1" s="629" t="s">
        <v>2073</v>
      </c>
      <c r="N1" s="629" t="s">
        <v>428</v>
      </c>
      <c r="O1" s="629" t="s">
        <v>2067</v>
      </c>
      <c r="P1" s="629" t="s">
        <v>8807</v>
      </c>
    </row>
    <row r="2">
      <c r="A2" s="2" t="s">
        <v>8808</v>
      </c>
      <c r="B2" s="2" t="s">
        <v>8809</v>
      </c>
      <c r="C2" s="2" t="s">
        <v>8810</v>
      </c>
      <c r="D2" s="2" t="s">
        <v>8811</v>
      </c>
      <c r="E2" s="2">
        <v>4.0</v>
      </c>
      <c r="F2" s="2">
        <v>32.0</v>
      </c>
      <c r="G2" s="2">
        <v>128.0</v>
      </c>
      <c r="H2" s="2">
        <v>120.0</v>
      </c>
      <c r="I2" s="2" t="s">
        <v>8812</v>
      </c>
      <c r="J2" s="630">
        <v>46081.0</v>
      </c>
      <c r="K2" s="2" t="s">
        <v>2081</v>
      </c>
      <c r="L2" s="2" t="s">
        <v>2082</v>
      </c>
      <c r="M2" s="2" t="s">
        <v>1621</v>
      </c>
      <c r="O2" s="2" t="s">
        <v>8813</v>
      </c>
    </row>
    <row r="3">
      <c r="A3" s="2" t="s">
        <v>8814</v>
      </c>
      <c r="B3" s="2" t="s">
        <v>8809</v>
      </c>
      <c r="C3" s="2" t="s">
        <v>8810</v>
      </c>
      <c r="D3" s="2" t="s">
        <v>8811</v>
      </c>
      <c r="E3" s="2">
        <v>2.0</v>
      </c>
      <c r="F3" s="2">
        <v>2.0</v>
      </c>
      <c r="G3" s="2">
        <v>1.0</v>
      </c>
      <c r="H3" s="2">
        <v>15.0</v>
      </c>
      <c r="J3" s="630">
        <v>46081.0</v>
      </c>
      <c r="K3" s="2" t="s">
        <v>2081</v>
      </c>
      <c r="L3" s="2" t="s">
        <v>2082</v>
      </c>
      <c r="M3" s="2" t="s">
        <v>1621</v>
      </c>
      <c r="O3" s="2" t="s">
        <v>8813</v>
      </c>
    </row>
    <row r="4">
      <c r="A4" s="2" t="s">
        <v>8815</v>
      </c>
      <c r="B4" s="2" t="s">
        <v>8809</v>
      </c>
      <c r="C4" s="2" t="s">
        <v>8810</v>
      </c>
      <c r="D4" s="2" t="s">
        <v>8811</v>
      </c>
      <c r="E4" s="2">
        <v>2.0</v>
      </c>
      <c r="F4" s="2">
        <v>10.0</v>
      </c>
      <c r="H4" s="2">
        <v>20.0</v>
      </c>
      <c r="J4" s="630">
        <v>46081.0</v>
      </c>
      <c r="K4" s="2" t="s">
        <v>2081</v>
      </c>
      <c r="L4" s="2" t="s">
        <v>2082</v>
      </c>
      <c r="M4" s="2" t="s">
        <v>1621</v>
      </c>
      <c r="N4" s="2" t="s">
        <v>8816</v>
      </c>
      <c r="O4" s="2" t="s">
        <v>8817</v>
      </c>
    </row>
    <row r="5">
      <c r="A5" s="2" t="s">
        <v>8818</v>
      </c>
      <c r="B5" s="2" t="s">
        <v>8809</v>
      </c>
      <c r="C5" s="2" t="s">
        <v>8810</v>
      </c>
      <c r="D5" s="2" t="s">
        <v>8811</v>
      </c>
      <c r="E5" s="2">
        <v>5.0</v>
      </c>
      <c r="F5" s="2">
        <v>20.0</v>
      </c>
      <c r="G5" s="2">
        <v>100.0</v>
      </c>
      <c r="I5" s="2" t="s">
        <v>8819</v>
      </c>
      <c r="J5" s="630">
        <v>46081.0</v>
      </c>
      <c r="K5" s="2" t="s">
        <v>2081</v>
      </c>
      <c r="L5" s="2" t="s">
        <v>2082</v>
      </c>
      <c r="M5" s="2" t="s">
        <v>1621</v>
      </c>
      <c r="O5" s="2" t="s">
        <v>8820</v>
      </c>
    </row>
    <row r="6">
      <c r="A6" s="2" t="s">
        <v>8821</v>
      </c>
      <c r="B6" s="2" t="s">
        <v>208</v>
      </c>
      <c r="C6" s="2" t="s">
        <v>8810</v>
      </c>
      <c r="D6" s="2" t="s">
        <v>8822</v>
      </c>
      <c r="E6" s="2">
        <v>6.0</v>
      </c>
      <c r="F6" s="2">
        <v>20.0</v>
      </c>
      <c r="G6" s="2">
        <v>120.0</v>
      </c>
      <c r="H6" s="2">
        <v>100.0</v>
      </c>
      <c r="I6" s="2" t="s">
        <v>8819</v>
      </c>
      <c r="J6" s="630">
        <v>46081.0</v>
      </c>
      <c r="K6" s="2" t="s">
        <v>2081</v>
      </c>
      <c r="L6" s="2" t="s">
        <v>2082</v>
      </c>
      <c r="M6" s="2" t="s">
        <v>1621</v>
      </c>
      <c r="N6" s="2" t="s">
        <v>8823</v>
      </c>
      <c r="O6" s="2" t="s">
        <v>8824</v>
      </c>
    </row>
    <row r="7">
      <c r="A7" s="2" t="s">
        <v>8825</v>
      </c>
      <c r="B7" s="2" t="s">
        <v>8809</v>
      </c>
      <c r="C7" s="2" t="s">
        <v>8810</v>
      </c>
      <c r="D7" s="2" t="s">
        <v>8811</v>
      </c>
      <c r="E7" s="2">
        <v>3.0</v>
      </c>
      <c r="F7" s="2">
        <v>25.0</v>
      </c>
      <c r="G7" s="2">
        <v>75.0</v>
      </c>
      <c r="H7" s="2">
        <v>120.0</v>
      </c>
      <c r="I7" s="2" t="s">
        <v>8819</v>
      </c>
      <c r="J7" s="630">
        <v>46082.0</v>
      </c>
      <c r="K7" s="2" t="s">
        <v>2081</v>
      </c>
      <c r="L7" s="2" t="s">
        <v>2082</v>
      </c>
      <c r="M7" s="2" t="s">
        <v>1621</v>
      </c>
      <c r="N7" s="2" t="s">
        <v>8826</v>
      </c>
      <c r="O7" s="2" t="s">
        <v>8827</v>
      </c>
    </row>
    <row r="8">
      <c r="A8" s="2" t="s">
        <v>8828</v>
      </c>
      <c r="B8" s="2" t="s">
        <v>162</v>
      </c>
      <c r="C8" s="2" t="s">
        <v>8829</v>
      </c>
      <c r="D8" s="2" t="s">
        <v>8830</v>
      </c>
      <c r="E8" s="2">
        <v>2.0</v>
      </c>
      <c r="F8" s="2">
        <v>2.0</v>
      </c>
      <c r="G8" s="2">
        <v>4.0</v>
      </c>
      <c r="H8" s="2">
        <v>2.0</v>
      </c>
      <c r="J8" s="630">
        <v>46082.0</v>
      </c>
      <c r="K8" s="2" t="s">
        <v>2081</v>
      </c>
      <c r="L8" s="2" t="s">
        <v>2082</v>
      </c>
      <c r="M8" s="2" t="s">
        <v>1621</v>
      </c>
      <c r="O8" s="2" t="s">
        <v>8831</v>
      </c>
    </row>
    <row r="9">
      <c r="A9" s="2" t="s">
        <v>8832</v>
      </c>
      <c r="B9" s="2" t="s">
        <v>8809</v>
      </c>
      <c r="C9" s="2" t="s">
        <v>8810</v>
      </c>
      <c r="D9" s="2" t="s">
        <v>8811</v>
      </c>
      <c r="E9" s="2">
        <v>2.0</v>
      </c>
      <c r="F9" s="2">
        <v>2.0</v>
      </c>
      <c r="G9" s="2">
        <v>4.0</v>
      </c>
      <c r="H9" s="2">
        <v>2.0</v>
      </c>
      <c r="J9" s="630">
        <v>46082.0</v>
      </c>
      <c r="K9" s="2" t="s">
        <v>2081</v>
      </c>
      <c r="L9" s="2" t="s">
        <v>2082</v>
      </c>
      <c r="M9" s="2" t="s">
        <v>1621</v>
      </c>
      <c r="O9" s="2" t="s">
        <v>8833</v>
      </c>
    </row>
    <row r="10">
      <c r="A10" s="2" t="s">
        <v>8834</v>
      </c>
      <c r="B10" s="2" t="s">
        <v>162</v>
      </c>
      <c r="C10" s="2" t="s">
        <v>8829</v>
      </c>
      <c r="D10" s="2" t="s">
        <v>8830</v>
      </c>
      <c r="E10" s="2">
        <v>3.0</v>
      </c>
      <c r="F10" s="2">
        <v>2.0</v>
      </c>
      <c r="G10" s="2">
        <v>6.0</v>
      </c>
      <c r="H10" s="2">
        <v>3.0</v>
      </c>
      <c r="J10" s="630">
        <v>46082.0</v>
      </c>
      <c r="K10" s="2" t="s">
        <v>2081</v>
      </c>
      <c r="L10" s="2" t="s">
        <v>2082</v>
      </c>
      <c r="M10" s="2" t="s">
        <v>1621</v>
      </c>
      <c r="N10" s="2" t="s">
        <v>8835</v>
      </c>
      <c r="O10" s="2" t="s">
        <v>8836</v>
      </c>
      <c r="P10" s="2" t="s">
        <v>8837</v>
      </c>
    </row>
    <row r="11">
      <c r="A11" s="2" t="s">
        <v>8838</v>
      </c>
      <c r="B11" s="2" t="s">
        <v>162</v>
      </c>
      <c r="C11" s="2" t="s">
        <v>8810</v>
      </c>
      <c r="D11" s="2" t="s">
        <v>8839</v>
      </c>
      <c r="E11" s="2">
        <v>3.0</v>
      </c>
      <c r="F11" s="2">
        <v>50.0</v>
      </c>
      <c r="G11" s="2">
        <v>150.0</v>
      </c>
      <c r="H11" s="2">
        <v>25.0</v>
      </c>
      <c r="I11" s="2" t="s">
        <v>8819</v>
      </c>
      <c r="J11" s="630">
        <v>46082.0</v>
      </c>
      <c r="K11" s="2" t="s">
        <v>2081</v>
      </c>
      <c r="L11" s="2" t="s">
        <v>2082</v>
      </c>
      <c r="M11" s="2" t="s">
        <v>1621</v>
      </c>
      <c r="O11" s="2" t="s">
        <v>8840</v>
      </c>
    </row>
    <row r="12">
      <c r="A12" s="2" t="s">
        <v>8841</v>
      </c>
      <c r="B12" s="2" t="s">
        <v>2681</v>
      </c>
      <c r="C12" s="2" t="s">
        <v>168</v>
      </c>
      <c r="D12" s="2" t="s">
        <v>8842</v>
      </c>
      <c r="E12" s="2">
        <v>4.0</v>
      </c>
      <c r="F12" s="2">
        <v>25.0</v>
      </c>
      <c r="G12" s="2">
        <v>100.0</v>
      </c>
      <c r="H12" s="2">
        <v>35.0</v>
      </c>
      <c r="I12" s="2" t="s">
        <v>2083</v>
      </c>
      <c r="J12" s="630">
        <v>46082.0</v>
      </c>
      <c r="K12" s="2" t="s">
        <v>2081</v>
      </c>
      <c r="L12" s="2" t="s">
        <v>2082</v>
      </c>
      <c r="M12" s="2" t="s">
        <v>1621</v>
      </c>
      <c r="O12" s="2" t="s">
        <v>8843</v>
      </c>
    </row>
    <row r="13">
      <c r="A13" s="2" t="s">
        <v>8844</v>
      </c>
      <c r="B13" s="2" t="s">
        <v>162</v>
      </c>
      <c r="C13" s="2" t="s">
        <v>8810</v>
      </c>
      <c r="D13" s="2" t="s">
        <v>8839</v>
      </c>
      <c r="E13" s="2">
        <v>4.0</v>
      </c>
      <c r="F13" s="2">
        <v>55.0</v>
      </c>
      <c r="G13" s="2">
        <v>220.0</v>
      </c>
      <c r="H13" s="2">
        <v>111.0</v>
      </c>
      <c r="I13" s="2" t="s">
        <v>2083</v>
      </c>
      <c r="J13" s="630">
        <v>46082.0</v>
      </c>
      <c r="K13" s="2" t="s">
        <v>2081</v>
      </c>
      <c r="L13" s="2" t="s">
        <v>2082</v>
      </c>
      <c r="M13" s="2" t="s">
        <v>1621</v>
      </c>
      <c r="O13" s="2" t="s">
        <v>8845</v>
      </c>
      <c r="P13" s="2" t="s">
        <v>8837</v>
      </c>
    </row>
    <row r="14">
      <c r="A14" s="2" t="s">
        <v>8846</v>
      </c>
      <c r="B14" s="2" t="s">
        <v>8847</v>
      </c>
      <c r="C14" s="2" t="s">
        <v>2735</v>
      </c>
      <c r="D14" s="2" t="s">
        <v>8848</v>
      </c>
      <c r="E14" s="2">
        <v>5.0</v>
      </c>
      <c r="F14" s="2">
        <v>23.0</v>
      </c>
      <c r="G14" s="2">
        <v>115.0</v>
      </c>
      <c r="H14" s="2">
        <v>57.0</v>
      </c>
      <c r="I14" s="2" t="s">
        <v>2112</v>
      </c>
      <c r="J14" s="630">
        <v>46083.0</v>
      </c>
      <c r="K14" s="2" t="s">
        <v>2081</v>
      </c>
      <c r="L14" s="2" t="s">
        <v>2082</v>
      </c>
      <c r="M14" s="2" t="s">
        <v>1621</v>
      </c>
      <c r="N14" s="2" t="s">
        <v>5979</v>
      </c>
      <c r="O14" s="2" t="s">
        <v>8849</v>
      </c>
      <c r="P14" s="2" t="s">
        <v>8837</v>
      </c>
    </row>
    <row r="15">
      <c r="A15" s="2" t="s">
        <v>8850</v>
      </c>
      <c r="B15" s="2" t="s">
        <v>242</v>
      </c>
      <c r="C15" s="2" t="s">
        <v>2735</v>
      </c>
      <c r="D15" s="2" t="s">
        <v>247</v>
      </c>
      <c r="E15" s="2">
        <v>5.0</v>
      </c>
      <c r="F15" s="2">
        <v>26.0</v>
      </c>
      <c r="G15" s="2">
        <v>130.0</v>
      </c>
      <c r="H15" s="2">
        <v>170.0</v>
      </c>
      <c r="I15" s="2" t="s">
        <v>2083</v>
      </c>
      <c r="J15" s="630">
        <v>46083.0</v>
      </c>
      <c r="K15" s="2" t="s">
        <v>2081</v>
      </c>
      <c r="L15" s="2" t="s">
        <v>2082</v>
      </c>
      <c r="M15" s="2" t="s">
        <v>1621</v>
      </c>
      <c r="O15" s="2" t="s">
        <v>8851</v>
      </c>
      <c r="P15" s="2" t="s">
        <v>8837</v>
      </c>
    </row>
    <row r="16">
      <c r="A16" s="2" t="s">
        <v>8852</v>
      </c>
      <c r="B16" s="2" t="s">
        <v>2207</v>
      </c>
      <c r="C16" s="2" t="s">
        <v>2115</v>
      </c>
      <c r="D16" s="2" t="s">
        <v>2205</v>
      </c>
      <c r="E16" s="2">
        <v>1.0</v>
      </c>
      <c r="F16" s="2">
        <v>7.0</v>
      </c>
      <c r="G16" s="2">
        <v>7.0</v>
      </c>
      <c r="I16" s="2" t="s">
        <v>2209</v>
      </c>
      <c r="J16" s="630">
        <v>46084.0</v>
      </c>
      <c r="K16" s="2" t="s">
        <v>2081</v>
      </c>
      <c r="L16" s="2" t="s">
        <v>2206</v>
      </c>
      <c r="M16" s="2" t="s">
        <v>2208</v>
      </c>
      <c r="O16" s="2" t="s">
        <v>2204</v>
      </c>
    </row>
    <row r="17">
      <c r="A17" s="2" t="s">
        <v>8853</v>
      </c>
      <c r="B17" s="2" t="s">
        <v>2207</v>
      </c>
      <c r="C17" s="2" t="s">
        <v>2115</v>
      </c>
      <c r="D17" s="2" t="s">
        <v>2205</v>
      </c>
      <c r="E17" s="2">
        <v>1.0</v>
      </c>
      <c r="F17" s="2">
        <v>7.0</v>
      </c>
      <c r="G17" s="2">
        <v>7.0</v>
      </c>
      <c r="I17" s="2" t="s">
        <v>2209</v>
      </c>
      <c r="J17" s="630">
        <v>46084.0</v>
      </c>
      <c r="K17" s="2" t="s">
        <v>2081</v>
      </c>
      <c r="L17" s="2" t="s">
        <v>2214</v>
      </c>
      <c r="M17" s="2" t="s">
        <v>1621</v>
      </c>
      <c r="O17" s="2" t="s">
        <v>8854</v>
      </c>
    </row>
    <row r="18">
      <c r="A18" s="2" t="s">
        <v>8855</v>
      </c>
      <c r="B18" s="2" t="s">
        <v>2207</v>
      </c>
      <c r="C18" s="2" t="s">
        <v>2187</v>
      </c>
      <c r="D18" s="2" t="s">
        <v>2213</v>
      </c>
      <c r="E18" s="2">
        <v>3.0</v>
      </c>
      <c r="F18" s="2">
        <v>7.0</v>
      </c>
      <c r="G18" s="2">
        <v>21.0</v>
      </c>
      <c r="I18" s="2" t="s">
        <v>2209</v>
      </c>
      <c r="J18" s="630">
        <v>46084.0</v>
      </c>
      <c r="K18" s="2" t="s">
        <v>2102</v>
      </c>
      <c r="L18" s="2" t="s">
        <v>2214</v>
      </c>
      <c r="M18" s="2" t="s">
        <v>2208</v>
      </c>
      <c r="O18" s="2" t="s">
        <v>8854</v>
      </c>
      <c r="P18" s="2" t="s">
        <v>8837</v>
      </c>
    </row>
    <row r="19">
      <c r="A19" s="2" t="s">
        <v>8856</v>
      </c>
      <c r="B19" s="2" t="s">
        <v>2207</v>
      </c>
      <c r="C19" s="2" t="s">
        <v>2184</v>
      </c>
      <c r="D19" s="2" t="s">
        <v>2216</v>
      </c>
      <c r="E19" s="2">
        <v>3.0</v>
      </c>
      <c r="F19" s="2">
        <v>7.0</v>
      </c>
      <c r="G19" s="2">
        <v>21.0</v>
      </c>
      <c r="I19" s="2" t="s">
        <v>2209</v>
      </c>
      <c r="J19" s="630">
        <v>46084.0</v>
      </c>
      <c r="K19" s="2" t="s">
        <v>2102</v>
      </c>
      <c r="L19" s="2" t="s">
        <v>2214</v>
      </c>
      <c r="M19" s="2" t="s">
        <v>2208</v>
      </c>
      <c r="O19" s="2" t="s">
        <v>8854</v>
      </c>
      <c r="P19" s="2" t="s">
        <v>8837</v>
      </c>
    </row>
    <row r="20">
      <c r="A20" s="2" t="s">
        <v>8857</v>
      </c>
      <c r="B20" s="2" t="s">
        <v>2207</v>
      </c>
      <c r="C20" s="2" t="s">
        <v>2219</v>
      </c>
      <c r="D20" s="2" t="s">
        <v>2218</v>
      </c>
      <c r="E20" s="2">
        <v>3.0</v>
      </c>
      <c r="F20" s="2">
        <v>7.0</v>
      </c>
      <c r="G20" s="2">
        <v>21.0</v>
      </c>
      <c r="J20" s="630">
        <v>46084.0</v>
      </c>
      <c r="K20" s="2" t="s">
        <v>2102</v>
      </c>
      <c r="L20" s="2" t="s">
        <v>2214</v>
      </c>
      <c r="M20" s="2" t="s">
        <v>2208</v>
      </c>
      <c r="O20" s="2" t="s">
        <v>8854</v>
      </c>
      <c r="P20" s="2" t="s">
        <v>8837</v>
      </c>
    </row>
    <row r="21">
      <c r="A21" s="2" t="s">
        <v>8858</v>
      </c>
      <c r="B21" s="2" t="s">
        <v>2207</v>
      </c>
      <c r="C21" s="2" t="s">
        <v>2222</v>
      </c>
      <c r="D21" s="2" t="s">
        <v>2221</v>
      </c>
      <c r="E21" s="2">
        <v>2.0</v>
      </c>
      <c r="F21" s="2">
        <v>7.0</v>
      </c>
      <c r="G21" s="2">
        <v>14.0</v>
      </c>
      <c r="I21" s="2" t="s">
        <v>2209</v>
      </c>
      <c r="J21" s="630">
        <v>46084.0</v>
      </c>
      <c r="K21" s="2" t="s">
        <v>2102</v>
      </c>
      <c r="L21" s="2" t="s">
        <v>2082</v>
      </c>
      <c r="M21" s="2" t="s">
        <v>2208</v>
      </c>
      <c r="O21" s="2" t="s">
        <v>8854</v>
      </c>
      <c r="P21" s="2" t="s">
        <v>8837</v>
      </c>
    </row>
    <row r="22">
      <c r="A22" s="2" t="s">
        <v>8859</v>
      </c>
      <c r="B22" s="2" t="s">
        <v>2207</v>
      </c>
      <c r="C22" s="2" t="s">
        <v>2225</v>
      </c>
      <c r="D22" s="2" t="s">
        <v>2224</v>
      </c>
      <c r="E22" s="2">
        <v>2.0</v>
      </c>
      <c r="F22" s="2">
        <v>7.0</v>
      </c>
      <c r="G22" s="2">
        <v>14.0</v>
      </c>
      <c r="I22" s="2" t="s">
        <v>2209</v>
      </c>
      <c r="J22" s="630">
        <v>46084.0</v>
      </c>
      <c r="K22" s="2" t="s">
        <v>2102</v>
      </c>
      <c r="L22" s="2" t="s">
        <v>2214</v>
      </c>
      <c r="M22" s="2" t="s">
        <v>2208</v>
      </c>
      <c r="O22" s="2" t="s">
        <v>8854</v>
      </c>
      <c r="P22" s="2" t="s">
        <v>8837</v>
      </c>
    </row>
    <row r="23">
      <c r="A23" s="2" t="s">
        <v>8860</v>
      </c>
      <c r="B23" s="2" t="s">
        <v>2207</v>
      </c>
      <c r="C23" s="2" t="s">
        <v>2228</v>
      </c>
      <c r="D23" s="2" t="s">
        <v>2227</v>
      </c>
      <c r="E23" s="2">
        <v>1.0</v>
      </c>
      <c r="F23" s="2">
        <v>7.0</v>
      </c>
      <c r="G23" s="2">
        <v>7.0</v>
      </c>
      <c r="I23" s="2" t="s">
        <v>2209</v>
      </c>
      <c r="J23" s="630">
        <v>46084.0</v>
      </c>
      <c r="K23" s="2" t="s">
        <v>2102</v>
      </c>
      <c r="L23" s="2" t="s">
        <v>2214</v>
      </c>
      <c r="M23" s="2" t="s">
        <v>2208</v>
      </c>
      <c r="O23" s="2" t="s">
        <v>8854</v>
      </c>
      <c r="P23" s="2" t="s">
        <v>8837</v>
      </c>
    </row>
    <row r="24">
      <c r="A24" s="2" t="s">
        <v>8861</v>
      </c>
      <c r="B24" s="2" t="s">
        <v>2231</v>
      </c>
      <c r="C24" s="2" t="s">
        <v>2219</v>
      </c>
      <c r="D24" s="2" t="s">
        <v>2230</v>
      </c>
      <c r="E24" s="2">
        <v>1.0</v>
      </c>
      <c r="F24" s="2">
        <v>21.0</v>
      </c>
      <c r="G24" s="2">
        <v>21.0</v>
      </c>
      <c r="I24" s="2" t="s">
        <v>2209</v>
      </c>
      <c r="J24" s="630">
        <v>46084.0</v>
      </c>
      <c r="K24" s="2" t="s">
        <v>2102</v>
      </c>
      <c r="L24" s="2" t="s">
        <v>2214</v>
      </c>
      <c r="M24" s="2" t="s">
        <v>2208</v>
      </c>
      <c r="N24" s="2" t="s">
        <v>8862</v>
      </c>
      <c r="O24" s="2" t="s">
        <v>8854</v>
      </c>
      <c r="P24" s="2" t="s">
        <v>8837</v>
      </c>
    </row>
    <row r="25">
      <c r="A25" s="2" t="s">
        <v>8863</v>
      </c>
      <c r="B25" s="2" t="s">
        <v>2231</v>
      </c>
      <c r="C25" s="2" t="s">
        <v>2184</v>
      </c>
      <c r="D25" s="2" t="s">
        <v>2234</v>
      </c>
      <c r="E25" s="2">
        <v>1.0</v>
      </c>
      <c r="F25" s="2">
        <v>21.0</v>
      </c>
      <c r="G25" s="2">
        <v>21.0</v>
      </c>
      <c r="J25" s="630">
        <v>46084.0</v>
      </c>
      <c r="K25" s="2" t="s">
        <v>2102</v>
      </c>
      <c r="L25" s="2" t="s">
        <v>2214</v>
      </c>
      <c r="M25" s="2" t="s">
        <v>2208</v>
      </c>
      <c r="N25" s="2" t="s">
        <v>8864</v>
      </c>
      <c r="O25" s="2" t="s">
        <v>8854</v>
      </c>
      <c r="P25" s="2" t="s">
        <v>8837</v>
      </c>
    </row>
    <row r="26">
      <c r="A26" s="2" t="s">
        <v>8865</v>
      </c>
      <c r="B26" s="2" t="s">
        <v>2239</v>
      </c>
      <c r="C26" s="2" t="s">
        <v>2240</v>
      </c>
      <c r="D26" s="2" t="s">
        <v>8866</v>
      </c>
      <c r="E26" s="2">
        <v>250.0</v>
      </c>
      <c r="F26" s="2">
        <v>0.25</v>
      </c>
      <c r="G26" s="2">
        <v>62.5</v>
      </c>
      <c r="I26" s="2" t="s">
        <v>2241</v>
      </c>
      <c r="J26" s="630">
        <v>46084.0</v>
      </c>
      <c r="K26" s="2" t="s">
        <v>2102</v>
      </c>
      <c r="L26" s="2" t="s">
        <v>2238</v>
      </c>
      <c r="M26" s="2" t="s">
        <v>2208</v>
      </c>
      <c r="O26" s="2" t="s">
        <v>8854</v>
      </c>
      <c r="P26" s="2" t="s">
        <v>8837</v>
      </c>
    </row>
    <row r="27">
      <c r="A27" s="2" t="s">
        <v>8867</v>
      </c>
      <c r="B27" s="2" t="s">
        <v>2239</v>
      </c>
      <c r="C27" s="2" t="s">
        <v>2244</v>
      </c>
      <c r="D27" s="2" t="s">
        <v>8868</v>
      </c>
      <c r="E27" s="2">
        <v>50.0</v>
      </c>
      <c r="F27" s="2">
        <v>0.25</v>
      </c>
      <c r="G27" s="2">
        <v>12.5</v>
      </c>
      <c r="I27" s="2" t="s">
        <v>2241</v>
      </c>
      <c r="J27" s="630">
        <v>46084.0</v>
      </c>
      <c r="K27" s="2" t="s">
        <v>2102</v>
      </c>
      <c r="L27" s="2" t="s">
        <v>2238</v>
      </c>
      <c r="M27" s="2" t="s">
        <v>2208</v>
      </c>
      <c r="O27" s="2" t="s">
        <v>8854</v>
      </c>
      <c r="P27" s="2" t="s">
        <v>8837</v>
      </c>
    </row>
    <row r="28">
      <c r="A28" s="2" t="s">
        <v>8869</v>
      </c>
      <c r="B28" s="2" t="s">
        <v>2239</v>
      </c>
      <c r="C28" s="2" t="s">
        <v>2247</v>
      </c>
      <c r="D28" s="2" t="s">
        <v>8870</v>
      </c>
      <c r="E28" s="2">
        <v>75.0</v>
      </c>
      <c r="F28" s="2">
        <v>0.25</v>
      </c>
      <c r="G28" s="2">
        <v>18.75</v>
      </c>
      <c r="J28" s="630">
        <v>46084.0</v>
      </c>
      <c r="K28" s="2" t="s">
        <v>2102</v>
      </c>
      <c r="L28" s="2" t="s">
        <v>2238</v>
      </c>
      <c r="M28" s="2" t="s">
        <v>2208</v>
      </c>
      <c r="O28" s="2" t="s">
        <v>8854</v>
      </c>
      <c r="P28" s="2" t="s">
        <v>8837</v>
      </c>
    </row>
    <row r="29">
      <c r="A29" s="2" t="s">
        <v>8871</v>
      </c>
      <c r="B29" s="2" t="s">
        <v>2239</v>
      </c>
      <c r="C29" s="2" t="s">
        <v>2250</v>
      </c>
      <c r="D29" s="2" t="s">
        <v>8872</v>
      </c>
      <c r="E29" s="2">
        <v>100.0</v>
      </c>
      <c r="F29" s="2">
        <v>0.25</v>
      </c>
      <c r="G29" s="2">
        <v>25.0</v>
      </c>
      <c r="I29" s="2" t="s">
        <v>2241</v>
      </c>
      <c r="J29" s="630">
        <v>46084.0</v>
      </c>
      <c r="K29" s="2" t="s">
        <v>2102</v>
      </c>
      <c r="L29" s="2" t="s">
        <v>2238</v>
      </c>
      <c r="M29" s="2" t="s">
        <v>2208</v>
      </c>
      <c r="O29" s="2" t="s">
        <v>8854</v>
      </c>
      <c r="P29" s="2" t="s">
        <v>8837</v>
      </c>
    </row>
    <row r="30">
      <c r="A30" s="2" t="s">
        <v>8873</v>
      </c>
      <c r="B30" s="2" t="s">
        <v>2239</v>
      </c>
      <c r="C30" s="2" t="s">
        <v>2253</v>
      </c>
      <c r="D30" s="2" t="s">
        <v>8874</v>
      </c>
      <c r="E30" s="2">
        <v>100.0</v>
      </c>
      <c r="F30" s="2">
        <v>0.25</v>
      </c>
      <c r="G30" s="2">
        <v>25.0</v>
      </c>
      <c r="I30" s="2" t="s">
        <v>2241</v>
      </c>
      <c r="J30" s="630">
        <v>46084.0</v>
      </c>
      <c r="K30" s="2" t="s">
        <v>2102</v>
      </c>
      <c r="L30" s="2" t="s">
        <v>2238</v>
      </c>
      <c r="M30" s="2" t="s">
        <v>2208</v>
      </c>
      <c r="O30" s="2" t="s">
        <v>8854</v>
      </c>
      <c r="P30" s="2" t="s">
        <v>8837</v>
      </c>
    </row>
    <row r="31">
      <c r="A31" s="2" t="s">
        <v>8875</v>
      </c>
      <c r="B31" s="2" t="s">
        <v>8876</v>
      </c>
      <c r="C31" s="2" t="s">
        <v>8877</v>
      </c>
      <c r="D31" s="2" t="s">
        <v>8878</v>
      </c>
      <c r="E31" s="2">
        <v>1.0</v>
      </c>
      <c r="F31" s="2">
        <v>0.01</v>
      </c>
      <c r="G31" s="2">
        <v>0.01</v>
      </c>
      <c r="J31" s="630">
        <v>46084.0</v>
      </c>
      <c r="K31" s="2" t="s">
        <v>2081</v>
      </c>
      <c r="L31" s="2" t="s">
        <v>2082</v>
      </c>
      <c r="M31" s="2" t="s">
        <v>1621</v>
      </c>
      <c r="O31" s="2" t="s">
        <v>8854</v>
      </c>
    </row>
    <row r="32">
      <c r="A32" s="2" t="s">
        <v>8879</v>
      </c>
      <c r="B32" s="2" t="s">
        <v>8876</v>
      </c>
      <c r="C32" s="2" t="s">
        <v>8880</v>
      </c>
      <c r="D32" s="2" t="s">
        <v>8881</v>
      </c>
      <c r="E32" s="2">
        <v>1.0</v>
      </c>
      <c r="F32" s="2">
        <v>0.01</v>
      </c>
      <c r="G32" s="2">
        <v>0.01</v>
      </c>
      <c r="J32" s="630">
        <v>46084.0</v>
      </c>
      <c r="K32" s="2" t="s">
        <v>2081</v>
      </c>
      <c r="L32" s="2" t="s">
        <v>2082</v>
      </c>
      <c r="M32" s="2" t="s">
        <v>1621</v>
      </c>
      <c r="O32" s="2" t="s">
        <v>8882</v>
      </c>
    </row>
    <row r="33">
      <c r="A33" s="2" t="s">
        <v>8883</v>
      </c>
      <c r="B33" s="2" t="s">
        <v>162</v>
      </c>
      <c r="C33" s="2" t="s">
        <v>6867</v>
      </c>
      <c r="D33" s="2" t="s">
        <v>3249</v>
      </c>
      <c r="E33" s="2">
        <v>2.0</v>
      </c>
      <c r="F33" s="2">
        <v>20.0</v>
      </c>
      <c r="G33" s="2">
        <v>40.0</v>
      </c>
      <c r="J33" s="630">
        <v>46084.0</v>
      </c>
      <c r="K33" s="2" t="s">
        <v>2081</v>
      </c>
      <c r="L33" s="2" t="s">
        <v>2082</v>
      </c>
      <c r="M33" s="2" t="s">
        <v>1621</v>
      </c>
      <c r="N33" s="2" t="s">
        <v>8884</v>
      </c>
      <c r="O33" s="2" t="s">
        <v>8885</v>
      </c>
      <c r="P33" s="2" t="s">
        <v>8837</v>
      </c>
    </row>
    <row r="34">
      <c r="A34" s="2" t="s">
        <v>8886</v>
      </c>
      <c r="B34" s="2" t="s">
        <v>2239</v>
      </c>
      <c r="C34" s="2" t="s">
        <v>2256</v>
      </c>
      <c r="D34" s="2" t="s">
        <v>8887</v>
      </c>
      <c r="E34" s="2">
        <v>100.0</v>
      </c>
      <c r="F34" s="2">
        <v>0.25</v>
      </c>
      <c r="G34" s="2">
        <v>25.0</v>
      </c>
      <c r="I34" s="2" t="s">
        <v>2241</v>
      </c>
      <c r="J34" s="630">
        <v>46084.0</v>
      </c>
      <c r="K34" s="2" t="s">
        <v>2102</v>
      </c>
      <c r="L34" s="2" t="s">
        <v>2238</v>
      </c>
      <c r="M34" s="2" t="s">
        <v>2208</v>
      </c>
      <c r="O34" s="2" t="s">
        <v>8885</v>
      </c>
      <c r="P34" s="2" t="s">
        <v>8837</v>
      </c>
    </row>
    <row r="35">
      <c r="A35" s="2" t="s">
        <v>8888</v>
      </c>
      <c r="B35" s="2" t="s">
        <v>2239</v>
      </c>
      <c r="C35" s="2" t="s">
        <v>2259</v>
      </c>
      <c r="D35" s="2" t="s">
        <v>8889</v>
      </c>
      <c r="E35" s="2">
        <v>100.0</v>
      </c>
      <c r="F35" s="2">
        <v>0.25</v>
      </c>
      <c r="G35" s="2">
        <v>25.0</v>
      </c>
      <c r="J35" s="630">
        <v>46084.0</v>
      </c>
      <c r="K35" s="2" t="s">
        <v>2102</v>
      </c>
      <c r="L35" s="2" t="s">
        <v>2238</v>
      </c>
      <c r="M35" s="2" t="s">
        <v>2208</v>
      </c>
      <c r="O35" s="2" t="s">
        <v>8890</v>
      </c>
      <c r="P35" s="2" t="s">
        <v>8837</v>
      </c>
    </row>
    <row r="36">
      <c r="A36" s="2" t="s">
        <v>8891</v>
      </c>
      <c r="B36" s="2" t="s">
        <v>2239</v>
      </c>
      <c r="C36" s="2" t="s">
        <v>2262</v>
      </c>
      <c r="D36" s="2" t="s">
        <v>8892</v>
      </c>
      <c r="E36" s="2">
        <v>75.0</v>
      </c>
      <c r="F36" s="2">
        <v>0.25</v>
      </c>
      <c r="G36" s="2">
        <v>18.75</v>
      </c>
      <c r="J36" s="630">
        <v>46084.0</v>
      </c>
      <c r="K36" s="2" t="s">
        <v>2102</v>
      </c>
      <c r="L36" s="2" t="s">
        <v>2238</v>
      </c>
      <c r="M36" s="2" t="s">
        <v>2208</v>
      </c>
      <c r="O36" s="2" t="s">
        <v>8893</v>
      </c>
      <c r="P36" s="2" t="s">
        <v>8837</v>
      </c>
    </row>
    <row r="37">
      <c r="A37" s="2" t="s">
        <v>8894</v>
      </c>
      <c r="B37" s="2" t="s">
        <v>2239</v>
      </c>
      <c r="C37" s="2" t="s">
        <v>2265</v>
      </c>
      <c r="D37" s="2" t="s">
        <v>8895</v>
      </c>
      <c r="E37" s="2">
        <v>100.0</v>
      </c>
      <c r="F37" s="2">
        <v>0.25</v>
      </c>
      <c r="G37" s="2">
        <v>25.0</v>
      </c>
      <c r="I37" s="2" t="s">
        <v>2241</v>
      </c>
      <c r="J37" s="630">
        <v>46084.0</v>
      </c>
      <c r="K37" s="2" t="s">
        <v>2102</v>
      </c>
      <c r="L37" s="2" t="s">
        <v>2238</v>
      </c>
      <c r="M37" s="2" t="s">
        <v>2208</v>
      </c>
      <c r="O37" s="2" t="s">
        <v>8896</v>
      </c>
      <c r="P37" s="2" t="s">
        <v>8837</v>
      </c>
    </row>
    <row r="38">
      <c r="A38" s="2" t="s">
        <v>8897</v>
      </c>
      <c r="B38" s="2" t="s">
        <v>2239</v>
      </c>
      <c r="C38" s="2" t="s">
        <v>2268</v>
      </c>
      <c r="D38" s="2" t="s">
        <v>8898</v>
      </c>
      <c r="E38" s="2">
        <v>100.0</v>
      </c>
      <c r="F38" s="2">
        <v>0.25</v>
      </c>
      <c r="G38" s="2">
        <v>25.0</v>
      </c>
      <c r="J38" s="630">
        <v>46084.0</v>
      </c>
      <c r="K38" s="2" t="s">
        <v>2102</v>
      </c>
      <c r="L38" s="2" t="s">
        <v>2238</v>
      </c>
      <c r="M38" s="2" t="s">
        <v>2208</v>
      </c>
      <c r="O38" s="2" t="s">
        <v>8899</v>
      </c>
      <c r="P38" s="2" t="s">
        <v>8837</v>
      </c>
    </row>
    <row r="39">
      <c r="A39" s="2" t="s">
        <v>8900</v>
      </c>
      <c r="B39" s="2" t="s">
        <v>2239</v>
      </c>
      <c r="C39" s="2" t="s">
        <v>2271</v>
      </c>
      <c r="D39" s="2" t="s">
        <v>8901</v>
      </c>
      <c r="E39" s="2">
        <v>75.0</v>
      </c>
      <c r="F39" s="2">
        <v>0.25</v>
      </c>
      <c r="G39" s="2">
        <v>18.75</v>
      </c>
      <c r="I39" s="2" t="s">
        <v>2241</v>
      </c>
      <c r="J39" s="630">
        <v>46084.0</v>
      </c>
      <c r="K39" s="2" t="s">
        <v>2102</v>
      </c>
      <c r="L39" s="2" t="s">
        <v>2238</v>
      </c>
      <c r="M39" s="2" t="s">
        <v>2208</v>
      </c>
      <c r="O39" s="2" t="s">
        <v>8902</v>
      </c>
      <c r="P39" s="2" t="s">
        <v>8837</v>
      </c>
    </row>
    <row r="40">
      <c r="A40" s="2" t="s">
        <v>8903</v>
      </c>
      <c r="B40" s="2" t="s">
        <v>2239</v>
      </c>
      <c r="C40" s="2" t="s">
        <v>2274</v>
      </c>
      <c r="D40" s="2" t="s">
        <v>8904</v>
      </c>
      <c r="E40" s="2">
        <v>100.0</v>
      </c>
      <c r="F40" s="2">
        <v>0.25</v>
      </c>
      <c r="G40" s="2">
        <v>25.0</v>
      </c>
      <c r="I40" s="2" t="s">
        <v>2241</v>
      </c>
      <c r="J40" s="630">
        <v>46084.0</v>
      </c>
      <c r="K40" s="2" t="s">
        <v>2102</v>
      </c>
      <c r="L40" s="2" t="s">
        <v>2238</v>
      </c>
      <c r="M40" s="2" t="s">
        <v>2208</v>
      </c>
      <c r="O40" s="2" t="s">
        <v>8905</v>
      </c>
      <c r="P40" s="2" t="s">
        <v>8837</v>
      </c>
    </row>
    <row r="41">
      <c r="A41" s="2" t="s">
        <v>8906</v>
      </c>
      <c r="B41" s="2" t="s">
        <v>162</v>
      </c>
      <c r="C41" s="2" t="s">
        <v>8907</v>
      </c>
      <c r="D41" s="2" t="s">
        <v>2013</v>
      </c>
      <c r="E41" s="2">
        <v>1.0</v>
      </c>
      <c r="F41" s="2">
        <v>25.0</v>
      </c>
      <c r="G41" s="2">
        <v>25.0</v>
      </c>
      <c r="H41" s="2">
        <v>120.0</v>
      </c>
      <c r="J41" s="630">
        <v>46084.0</v>
      </c>
      <c r="K41" s="2" t="s">
        <v>2081</v>
      </c>
      <c r="L41" s="2" t="s">
        <v>2082</v>
      </c>
      <c r="M41" s="2" t="s">
        <v>1621</v>
      </c>
      <c r="N41" s="2" t="s">
        <v>8908</v>
      </c>
      <c r="O41" s="2" t="s">
        <v>8909</v>
      </c>
      <c r="P41" s="2" t="s">
        <v>8837</v>
      </c>
    </row>
    <row r="42">
      <c r="A42" s="2" t="s">
        <v>8910</v>
      </c>
      <c r="B42" s="2" t="s">
        <v>242</v>
      </c>
      <c r="C42" s="2" t="s">
        <v>2735</v>
      </c>
      <c r="D42" s="2" t="s">
        <v>247</v>
      </c>
      <c r="E42" s="2">
        <v>5.0</v>
      </c>
      <c r="F42" s="2">
        <v>36.0</v>
      </c>
      <c r="G42" s="2">
        <v>180.0</v>
      </c>
      <c r="H42" s="2">
        <v>170.0</v>
      </c>
      <c r="I42" s="2" t="s">
        <v>2083</v>
      </c>
      <c r="J42" s="630">
        <v>46084.0</v>
      </c>
      <c r="K42" s="2" t="s">
        <v>2081</v>
      </c>
      <c r="L42" s="2" t="s">
        <v>2082</v>
      </c>
      <c r="M42" s="2" t="s">
        <v>1621</v>
      </c>
      <c r="O42" s="2" t="s">
        <v>8911</v>
      </c>
      <c r="P42" s="2" t="s">
        <v>8837</v>
      </c>
    </row>
    <row r="43">
      <c r="A43" s="2" t="s">
        <v>8912</v>
      </c>
      <c r="B43" s="2" t="s">
        <v>162</v>
      </c>
      <c r="C43" s="2" t="s">
        <v>7960</v>
      </c>
      <c r="D43" s="2" t="s">
        <v>3375</v>
      </c>
      <c r="E43" s="2">
        <v>20.0</v>
      </c>
      <c r="F43" s="2">
        <v>20.0</v>
      </c>
      <c r="G43" s="2">
        <v>400.0</v>
      </c>
      <c r="H43" s="2">
        <v>120.0</v>
      </c>
      <c r="I43" s="2" t="s">
        <v>2083</v>
      </c>
      <c r="J43" s="630">
        <v>46085.0</v>
      </c>
      <c r="K43" s="2" t="s">
        <v>2081</v>
      </c>
      <c r="L43" s="2" t="s">
        <v>2082</v>
      </c>
      <c r="M43" s="2" t="s">
        <v>1621</v>
      </c>
      <c r="O43" s="2" t="s">
        <v>8909</v>
      </c>
      <c r="P43" s="2" t="s">
        <v>8837</v>
      </c>
    </row>
    <row r="44">
      <c r="A44" s="2" t="s">
        <v>8913</v>
      </c>
      <c r="B44" s="2" t="s">
        <v>162</v>
      </c>
      <c r="C44" s="2" t="s">
        <v>2576</v>
      </c>
      <c r="D44" s="2" t="s">
        <v>229</v>
      </c>
      <c r="E44" s="2">
        <v>10.0</v>
      </c>
      <c r="F44" s="2">
        <v>20.0</v>
      </c>
      <c r="G44" s="2">
        <v>200.0</v>
      </c>
      <c r="H44" s="2">
        <v>150.0</v>
      </c>
      <c r="J44" s="630">
        <v>46085.0</v>
      </c>
      <c r="K44" s="2" t="s">
        <v>2081</v>
      </c>
      <c r="L44" s="2" t="s">
        <v>2082</v>
      </c>
      <c r="M44" s="2" t="s">
        <v>1621</v>
      </c>
      <c r="O44" s="2" t="s">
        <v>8911</v>
      </c>
      <c r="P44" s="2" t="s">
        <v>8837</v>
      </c>
    </row>
    <row r="45">
      <c r="A45" s="2" t="s">
        <v>8914</v>
      </c>
      <c r="B45" s="2" t="s">
        <v>162</v>
      </c>
      <c r="C45" s="2" t="s">
        <v>8915</v>
      </c>
      <c r="D45" s="2" t="s">
        <v>233</v>
      </c>
      <c r="E45" s="2">
        <v>11.0</v>
      </c>
      <c r="F45" s="2">
        <v>20.0</v>
      </c>
      <c r="G45" s="2">
        <v>220.0</v>
      </c>
      <c r="H45" s="2">
        <v>120.0</v>
      </c>
      <c r="I45" s="2" t="s">
        <v>2083</v>
      </c>
      <c r="J45" s="630">
        <v>46085.0</v>
      </c>
      <c r="K45" s="2" t="s">
        <v>2081</v>
      </c>
      <c r="L45" s="2" t="s">
        <v>2082</v>
      </c>
      <c r="M45" s="2" t="s">
        <v>1621</v>
      </c>
      <c r="O45" s="2" t="s">
        <v>8916</v>
      </c>
      <c r="P45" s="2" t="s">
        <v>8837</v>
      </c>
    </row>
    <row r="46">
      <c r="A46" s="2" t="s">
        <v>8917</v>
      </c>
      <c r="B46" s="2" t="s">
        <v>162</v>
      </c>
      <c r="C46" s="2" t="s">
        <v>234</v>
      </c>
      <c r="D46" s="2" t="s">
        <v>235</v>
      </c>
      <c r="E46" s="2">
        <v>3.0</v>
      </c>
      <c r="F46" s="2">
        <v>20.0</v>
      </c>
      <c r="G46" s="2">
        <v>60.0</v>
      </c>
      <c r="H46" s="2">
        <v>120.0</v>
      </c>
      <c r="I46" s="2" t="s">
        <v>2083</v>
      </c>
      <c r="J46" s="630">
        <v>46085.0</v>
      </c>
      <c r="K46" s="2" t="s">
        <v>2081</v>
      </c>
      <c r="L46" s="2" t="s">
        <v>2082</v>
      </c>
      <c r="M46" s="2" t="s">
        <v>1621</v>
      </c>
      <c r="O46" s="2" t="s">
        <v>8918</v>
      </c>
      <c r="P46" s="2" t="s">
        <v>8837</v>
      </c>
    </row>
    <row r="47">
      <c r="A47" s="2" t="s">
        <v>8919</v>
      </c>
      <c r="B47" s="2" t="s">
        <v>162</v>
      </c>
      <c r="C47" s="2" t="s">
        <v>236</v>
      </c>
      <c r="D47" s="2" t="s">
        <v>237</v>
      </c>
      <c r="E47" s="2">
        <v>10.0</v>
      </c>
      <c r="F47" s="2">
        <v>20.0</v>
      </c>
      <c r="G47" s="2">
        <v>200.0</v>
      </c>
      <c r="H47" s="2">
        <v>120.0</v>
      </c>
      <c r="J47" s="630">
        <v>46085.0</v>
      </c>
      <c r="K47" s="2" t="s">
        <v>2081</v>
      </c>
      <c r="L47" s="2" t="s">
        <v>2082</v>
      </c>
      <c r="M47" s="2" t="s">
        <v>1621</v>
      </c>
      <c r="O47" s="2" t="s">
        <v>8920</v>
      </c>
      <c r="P47" s="2" t="s">
        <v>8837</v>
      </c>
    </row>
    <row r="48">
      <c r="A48" s="2" t="s">
        <v>8921</v>
      </c>
      <c r="B48" s="2" t="s">
        <v>162</v>
      </c>
      <c r="C48" s="2" t="s">
        <v>238</v>
      </c>
      <c r="D48" s="2" t="s">
        <v>239</v>
      </c>
      <c r="E48" s="2">
        <v>11.0</v>
      </c>
      <c r="F48" s="2">
        <v>20.0</v>
      </c>
      <c r="G48" s="2">
        <v>220.0</v>
      </c>
      <c r="H48" s="2">
        <v>120.0</v>
      </c>
      <c r="I48" s="2" t="s">
        <v>2083</v>
      </c>
      <c r="J48" s="630">
        <v>46085.0</v>
      </c>
      <c r="K48" s="2" t="s">
        <v>2081</v>
      </c>
      <c r="L48" s="2" t="s">
        <v>2082</v>
      </c>
      <c r="M48" s="2" t="s">
        <v>1621</v>
      </c>
      <c r="O48" s="2" t="s">
        <v>8922</v>
      </c>
      <c r="P48" s="2" t="s">
        <v>8837</v>
      </c>
    </row>
    <row r="49">
      <c r="A49" s="2" t="s">
        <v>8923</v>
      </c>
      <c r="B49" s="2" t="s">
        <v>162</v>
      </c>
      <c r="C49" s="2" t="s">
        <v>2766</v>
      </c>
      <c r="D49" s="2" t="s">
        <v>241</v>
      </c>
      <c r="E49" s="2">
        <v>6.0</v>
      </c>
      <c r="F49" s="2">
        <v>20.0</v>
      </c>
      <c r="G49" s="2">
        <v>120.0</v>
      </c>
      <c r="H49" s="2">
        <v>120.0</v>
      </c>
      <c r="I49" s="2" t="s">
        <v>2083</v>
      </c>
      <c r="J49" s="630">
        <v>46085.0</v>
      </c>
      <c r="K49" s="2" t="s">
        <v>2081</v>
      </c>
      <c r="L49" s="2" t="s">
        <v>2082</v>
      </c>
      <c r="M49" s="2" t="s">
        <v>1621</v>
      </c>
      <c r="N49" s="2" t="s">
        <v>2282</v>
      </c>
      <c r="O49" s="2" t="s">
        <v>8924</v>
      </c>
      <c r="P49" s="2" t="s">
        <v>8837</v>
      </c>
    </row>
    <row r="50">
      <c r="A50" s="2" t="s">
        <v>8925</v>
      </c>
      <c r="B50" s="2" t="s">
        <v>242</v>
      </c>
      <c r="C50" s="2" t="s">
        <v>2043</v>
      </c>
      <c r="D50" s="2" t="s">
        <v>244</v>
      </c>
      <c r="E50" s="2">
        <v>5.0</v>
      </c>
      <c r="F50" s="2">
        <v>30.0</v>
      </c>
      <c r="G50" s="2">
        <v>150.0</v>
      </c>
      <c r="H50" s="2">
        <v>170.0</v>
      </c>
      <c r="I50" s="2" t="s">
        <v>2083</v>
      </c>
      <c r="J50" s="630">
        <v>46069.0</v>
      </c>
      <c r="K50" s="2" t="s">
        <v>2081</v>
      </c>
      <c r="L50" s="2" t="s">
        <v>2082</v>
      </c>
      <c r="M50" s="2" t="s">
        <v>1621</v>
      </c>
      <c r="O50" s="2" t="s">
        <v>8926</v>
      </c>
      <c r="P50" s="2" t="s">
        <v>8837</v>
      </c>
    </row>
    <row r="51">
      <c r="A51" s="2" t="s">
        <v>8927</v>
      </c>
      <c r="B51" s="2" t="s">
        <v>242</v>
      </c>
      <c r="C51" s="2" t="s">
        <v>2041</v>
      </c>
      <c r="D51" s="2" t="s">
        <v>8928</v>
      </c>
      <c r="E51" s="2">
        <v>5.0</v>
      </c>
      <c r="F51" s="2">
        <v>25.0</v>
      </c>
      <c r="G51" s="2">
        <v>125.0</v>
      </c>
      <c r="H51" s="2">
        <v>170.0</v>
      </c>
      <c r="I51" s="2" t="s">
        <v>2083</v>
      </c>
      <c r="J51" s="630">
        <v>46069.0</v>
      </c>
      <c r="K51" s="2" t="s">
        <v>2081</v>
      </c>
      <c r="L51" s="2" t="s">
        <v>2082</v>
      </c>
      <c r="M51" s="2" t="s">
        <v>1621</v>
      </c>
      <c r="O51" s="2" t="s">
        <v>8926</v>
      </c>
      <c r="P51" s="2" t="s">
        <v>8837</v>
      </c>
    </row>
    <row r="52">
      <c r="A52" s="2" t="s">
        <v>8929</v>
      </c>
      <c r="B52" s="2" t="s">
        <v>242</v>
      </c>
      <c r="C52" s="2" t="s">
        <v>2735</v>
      </c>
      <c r="D52" s="2" t="s">
        <v>247</v>
      </c>
      <c r="E52" s="2">
        <v>11.0</v>
      </c>
      <c r="F52" s="2">
        <v>25.0</v>
      </c>
      <c r="G52" s="2">
        <v>275.0</v>
      </c>
      <c r="I52" s="2" t="s">
        <v>2083</v>
      </c>
      <c r="J52" s="630">
        <v>46069.0</v>
      </c>
      <c r="K52" s="2" t="s">
        <v>2081</v>
      </c>
      <c r="L52" s="2" t="s">
        <v>2082</v>
      </c>
      <c r="M52" s="2" t="s">
        <v>1621</v>
      </c>
      <c r="O52" s="2" t="s">
        <v>8926</v>
      </c>
      <c r="P52" s="2" t="s">
        <v>8837</v>
      </c>
    </row>
    <row r="53">
      <c r="A53" s="2" t="s">
        <v>8930</v>
      </c>
      <c r="B53" s="2" t="s">
        <v>208</v>
      </c>
      <c r="C53" s="2" t="s">
        <v>204</v>
      </c>
      <c r="D53" s="2" t="s">
        <v>249</v>
      </c>
      <c r="E53" s="2">
        <v>16.0</v>
      </c>
      <c r="F53" s="2">
        <v>45.4</v>
      </c>
      <c r="G53" s="2">
        <v>726.4</v>
      </c>
      <c r="H53" s="2">
        <v>175.0</v>
      </c>
      <c r="J53" s="630">
        <v>46100.0</v>
      </c>
      <c r="K53" s="2" t="s">
        <v>2081</v>
      </c>
      <c r="L53" s="2" t="s">
        <v>2082</v>
      </c>
      <c r="M53" s="2" t="s">
        <v>1621</v>
      </c>
      <c r="O53" s="2" t="s">
        <v>8931</v>
      </c>
      <c r="P53" s="2" t="s">
        <v>8837</v>
      </c>
    </row>
    <row r="54">
      <c r="A54" s="2" t="s">
        <v>8932</v>
      </c>
      <c r="B54" s="2" t="s">
        <v>208</v>
      </c>
      <c r="C54" s="2" t="s">
        <v>6960</v>
      </c>
      <c r="D54" s="2" t="s">
        <v>2014</v>
      </c>
      <c r="E54" s="2">
        <v>5.0</v>
      </c>
      <c r="F54" s="2">
        <v>45.4</v>
      </c>
      <c r="G54" s="2">
        <v>227.0</v>
      </c>
      <c r="H54" s="2">
        <v>175.0</v>
      </c>
      <c r="I54" s="2" t="s">
        <v>2083</v>
      </c>
      <c r="J54" s="630">
        <v>46099.0</v>
      </c>
      <c r="K54" s="2" t="s">
        <v>2081</v>
      </c>
      <c r="L54" s="2" t="s">
        <v>2082</v>
      </c>
      <c r="M54" s="2" t="s">
        <v>1621</v>
      </c>
      <c r="O54" s="2" t="s">
        <v>8933</v>
      </c>
      <c r="P54" s="2" t="s">
        <v>8837</v>
      </c>
    </row>
    <row r="55">
      <c r="A55" s="2" t="s">
        <v>8934</v>
      </c>
      <c r="B55" s="2" t="s">
        <v>208</v>
      </c>
      <c r="C55" s="2" t="s">
        <v>2735</v>
      </c>
      <c r="D55" s="2" t="s">
        <v>250</v>
      </c>
      <c r="E55" s="2">
        <v>9.0</v>
      </c>
      <c r="F55" s="2">
        <v>45.4</v>
      </c>
      <c r="G55" s="2">
        <v>408.6</v>
      </c>
      <c r="H55" s="2">
        <v>175.0</v>
      </c>
      <c r="I55" s="2" t="s">
        <v>2083</v>
      </c>
      <c r="J55" s="630">
        <v>46099.0</v>
      </c>
      <c r="K55" s="2" t="s">
        <v>2081</v>
      </c>
      <c r="L55" s="2" t="s">
        <v>2082</v>
      </c>
      <c r="M55" s="2" t="s">
        <v>1621</v>
      </c>
      <c r="O55" s="2" t="s">
        <v>8935</v>
      </c>
      <c r="P55" s="2" t="s">
        <v>8837</v>
      </c>
    </row>
    <row r="56">
      <c r="A56" s="2" t="s">
        <v>8936</v>
      </c>
      <c r="B56" s="2" t="s">
        <v>208</v>
      </c>
      <c r="C56" s="2" t="s">
        <v>188</v>
      </c>
      <c r="D56" s="2" t="s">
        <v>251</v>
      </c>
      <c r="E56" s="2">
        <v>10.0</v>
      </c>
      <c r="F56" s="2">
        <v>45.5</v>
      </c>
      <c r="G56" s="2">
        <v>455.0</v>
      </c>
      <c r="H56" s="2">
        <v>175.0</v>
      </c>
      <c r="I56" s="2" t="s">
        <v>2083</v>
      </c>
      <c r="J56" s="630">
        <v>46099.0</v>
      </c>
      <c r="K56" s="2" t="s">
        <v>2081</v>
      </c>
      <c r="L56" s="2" t="s">
        <v>2082</v>
      </c>
      <c r="M56" s="2" t="s">
        <v>1621</v>
      </c>
      <c r="O56" s="2" t="s">
        <v>8937</v>
      </c>
      <c r="P56" s="2" t="s">
        <v>8837</v>
      </c>
    </row>
    <row r="57">
      <c r="A57" s="2" t="s">
        <v>8938</v>
      </c>
      <c r="B57" s="2" t="s">
        <v>252</v>
      </c>
      <c r="C57" s="2" t="s">
        <v>6964</v>
      </c>
      <c r="D57" s="2" t="s">
        <v>8939</v>
      </c>
      <c r="E57" s="2">
        <v>5.0</v>
      </c>
      <c r="F57" s="2">
        <v>16.5</v>
      </c>
      <c r="G57" s="2">
        <v>82.5</v>
      </c>
      <c r="H57" s="2">
        <v>90.0</v>
      </c>
      <c r="I57" s="2" t="s">
        <v>2293</v>
      </c>
      <c r="J57" s="630">
        <v>46107.0</v>
      </c>
      <c r="K57" s="2" t="s">
        <v>2081</v>
      </c>
      <c r="L57" s="2" t="s">
        <v>2082</v>
      </c>
      <c r="M57" s="2" t="s">
        <v>1621</v>
      </c>
      <c r="O57" s="2" t="s">
        <v>8940</v>
      </c>
      <c r="P57" s="2" t="s">
        <v>8837</v>
      </c>
    </row>
    <row r="58">
      <c r="A58" s="2" t="s">
        <v>8941</v>
      </c>
      <c r="B58" s="2" t="s">
        <v>252</v>
      </c>
      <c r="C58" s="2" t="s">
        <v>6968</v>
      </c>
      <c r="D58" s="2" t="s">
        <v>8942</v>
      </c>
      <c r="E58" s="2">
        <v>5.0</v>
      </c>
      <c r="F58" s="2">
        <v>16.5</v>
      </c>
      <c r="G58" s="2">
        <v>82.5</v>
      </c>
      <c r="I58" s="2" t="s">
        <v>2293</v>
      </c>
      <c r="J58" s="630">
        <v>46107.0</v>
      </c>
      <c r="K58" s="2" t="s">
        <v>2081</v>
      </c>
      <c r="L58" s="2" t="s">
        <v>2082</v>
      </c>
      <c r="M58" s="2" t="s">
        <v>1621</v>
      </c>
      <c r="O58" s="2" t="s">
        <v>8940</v>
      </c>
    </row>
    <row r="59">
      <c r="A59" s="2" t="s">
        <v>8943</v>
      </c>
      <c r="B59" s="2" t="s">
        <v>252</v>
      </c>
      <c r="C59" s="2" t="s">
        <v>6966</v>
      </c>
      <c r="D59" s="2" t="s">
        <v>8944</v>
      </c>
      <c r="E59" s="2">
        <v>2.0</v>
      </c>
      <c r="F59" s="2">
        <v>16.5</v>
      </c>
      <c r="G59" s="2">
        <v>33.0</v>
      </c>
      <c r="H59" s="2">
        <v>90.0</v>
      </c>
      <c r="J59" s="630">
        <v>46107.0</v>
      </c>
      <c r="K59" s="2" t="s">
        <v>2081</v>
      </c>
      <c r="L59" s="2" t="s">
        <v>2082</v>
      </c>
      <c r="M59" s="2" t="s">
        <v>1621</v>
      </c>
      <c r="O59" s="2" t="s">
        <v>8940</v>
      </c>
      <c r="P59" s="2" t="s">
        <v>8837</v>
      </c>
    </row>
    <row r="60">
      <c r="A60" s="2" t="s">
        <v>8945</v>
      </c>
      <c r="B60" s="2" t="s">
        <v>252</v>
      </c>
      <c r="C60" s="2" t="s">
        <v>6970</v>
      </c>
      <c r="D60" s="2" t="s">
        <v>8946</v>
      </c>
      <c r="E60" s="2">
        <v>2.0</v>
      </c>
      <c r="F60" s="2">
        <v>16.5</v>
      </c>
      <c r="G60" s="2">
        <v>33.0</v>
      </c>
      <c r="I60" s="2" t="s">
        <v>2293</v>
      </c>
      <c r="J60" s="630">
        <v>46107.0</v>
      </c>
      <c r="K60" s="2" t="s">
        <v>2081</v>
      </c>
      <c r="L60" s="2" t="s">
        <v>2082</v>
      </c>
      <c r="M60" s="2" t="s">
        <v>1621</v>
      </c>
      <c r="O60" s="2" t="s">
        <v>8940</v>
      </c>
    </row>
    <row r="61">
      <c r="A61" s="631" t="s">
        <v>8947</v>
      </c>
      <c r="B61" s="2" t="s">
        <v>2681</v>
      </c>
      <c r="C61" s="2" t="s">
        <v>7564</v>
      </c>
      <c r="D61" s="2" t="s">
        <v>3660</v>
      </c>
      <c r="E61" s="2">
        <v>10.0</v>
      </c>
      <c r="F61" s="2">
        <v>16.5</v>
      </c>
      <c r="G61" s="2">
        <v>165.0</v>
      </c>
      <c r="H61" s="2">
        <v>90.0</v>
      </c>
      <c r="I61" s="2" t="s">
        <v>2293</v>
      </c>
      <c r="J61" s="630">
        <v>46107.0</v>
      </c>
      <c r="K61" s="2" t="s">
        <v>2081</v>
      </c>
      <c r="L61" s="2" t="s">
        <v>2082</v>
      </c>
      <c r="M61" s="2" t="s">
        <v>1621</v>
      </c>
      <c r="O61" s="2" t="s">
        <v>8817</v>
      </c>
      <c r="P61" s="2" t="s">
        <v>8837</v>
      </c>
    </row>
    <row r="62">
      <c r="A62" s="2" t="s">
        <v>8948</v>
      </c>
      <c r="B62" s="2" t="s">
        <v>2681</v>
      </c>
      <c r="C62" s="2" t="s">
        <v>6906</v>
      </c>
      <c r="D62" s="2" t="s">
        <v>8949</v>
      </c>
      <c r="E62" s="2">
        <v>5.0</v>
      </c>
      <c r="F62" s="2">
        <v>16.5</v>
      </c>
      <c r="G62" s="2">
        <v>82.5</v>
      </c>
      <c r="H62" s="2">
        <v>90.0</v>
      </c>
      <c r="I62" s="2" t="s">
        <v>2293</v>
      </c>
      <c r="J62" s="630">
        <v>46107.0</v>
      </c>
      <c r="K62" s="2" t="s">
        <v>2081</v>
      </c>
      <c r="L62" s="2" t="s">
        <v>2082</v>
      </c>
      <c r="M62" s="2" t="s">
        <v>1621</v>
      </c>
      <c r="O62" s="2" t="s">
        <v>8817</v>
      </c>
      <c r="P62" s="2" t="s">
        <v>8837</v>
      </c>
    </row>
    <row r="63">
      <c r="A63" s="2" t="s">
        <v>8950</v>
      </c>
      <c r="B63" s="2" t="s">
        <v>2681</v>
      </c>
      <c r="C63" s="2" t="s">
        <v>6851</v>
      </c>
      <c r="D63" s="2" t="s">
        <v>8951</v>
      </c>
      <c r="E63" s="2">
        <v>2.0</v>
      </c>
      <c r="F63" s="2">
        <v>16.5</v>
      </c>
      <c r="G63" s="2">
        <v>33.0</v>
      </c>
      <c r="H63" s="2">
        <v>90.0</v>
      </c>
      <c r="I63" s="2" t="s">
        <v>2293</v>
      </c>
      <c r="J63" s="630">
        <v>46107.0</v>
      </c>
      <c r="K63" s="2" t="s">
        <v>2081</v>
      </c>
      <c r="L63" s="2" t="s">
        <v>2082</v>
      </c>
      <c r="M63" s="2" t="s">
        <v>1621</v>
      </c>
      <c r="O63" s="2" t="s">
        <v>8817</v>
      </c>
      <c r="P63" s="2" t="s">
        <v>8837</v>
      </c>
    </row>
    <row r="64">
      <c r="A64" s="2" t="s">
        <v>8952</v>
      </c>
      <c r="B64" s="2" t="s">
        <v>2681</v>
      </c>
      <c r="C64" s="2" t="s">
        <v>6828</v>
      </c>
      <c r="D64" s="2" t="s">
        <v>8953</v>
      </c>
      <c r="E64" s="2">
        <v>2.0</v>
      </c>
      <c r="F64" s="2">
        <v>16.5</v>
      </c>
      <c r="G64" s="2">
        <v>33.0</v>
      </c>
      <c r="H64" s="2">
        <v>90.0</v>
      </c>
      <c r="I64" s="2" t="s">
        <v>2293</v>
      </c>
      <c r="J64" s="630">
        <v>46107.0</v>
      </c>
      <c r="K64" s="2" t="s">
        <v>2081</v>
      </c>
      <c r="L64" s="2" t="s">
        <v>2082</v>
      </c>
      <c r="M64" s="2" t="s">
        <v>1621</v>
      </c>
      <c r="O64" s="2" t="s">
        <v>8817</v>
      </c>
      <c r="P64" s="2" t="s">
        <v>8837</v>
      </c>
    </row>
    <row r="65">
      <c r="A65" s="2" t="s">
        <v>8954</v>
      </c>
      <c r="B65" s="2" t="s">
        <v>2681</v>
      </c>
      <c r="C65" s="2" t="s">
        <v>2459</v>
      </c>
      <c r="D65" s="2" t="s">
        <v>3618</v>
      </c>
      <c r="E65" s="2">
        <v>15.0</v>
      </c>
      <c r="F65" s="2">
        <v>16.5</v>
      </c>
      <c r="G65" s="2">
        <v>247.5</v>
      </c>
      <c r="H65" s="2">
        <v>90.0</v>
      </c>
      <c r="I65" s="2" t="s">
        <v>2293</v>
      </c>
      <c r="J65" s="630">
        <v>46107.0</v>
      </c>
      <c r="K65" s="2" t="s">
        <v>2081</v>
      </c>
      <c r="L65" s="2" t="s">
        <v>2082</v>
      </c>
      <c r="M65" s="2" t="s">
        <v>1621</v>
      </c>
      <c r="O65" s="2" t="s">
        <v>8831</v>
      </c>
      <c r="P65" s="2" t="s">
        <v>8837</v>
      </c>
    </row>
    <row r="66">
      <c r="A66" s="2" t="s">
        <v>8955</v>
      </c>
      <c r="B66" s="2" t="s">
        <v>269</v>
      </c>
      <c r="C66" s="2" t="s">
        <v>6975</v>
      </c>
      <c r="D66" s="2" t="s">
        <v>2024</v>
      </c>
      <c r="E66" s="2">
        <v>10.0</v>
      </c>
      <c r="F66" s="2">
        <v>19.0</v>
      </c>
      <c r="G66" s="2">
        <v>190.0</v>
      </c>
      <c r="H66" s="2">
        <v>80.0</v>
      </c>
      <c r="I66" s="2" t="s">
        <v>2293</v>
      </c>
      <c r="J66" s="630">
        <v>46120.0</v>
      </c>
      <c r="K66" s="2" t="s">
        <v>2081</v>
      </c>
      <c r="L66" s="2" t="s">
        <v>2082</v>
      </c>
      <c r="M66" s="2" t="s">
        <v>1621</v>
      </c>
      <c r="O66" s="2" t="s">
        <v>8833</v>
      </c>
      <c r="P66" s="2" t="s">
        <v>8837</v>
      </c>
    </row>
    <row r="67">
      <c r="A67" s="2" t="s">
        <v>8956</v>
      </c>
      <c r="B67" s="2" t="s">
        <v>269</v>
      </c>
      <c r="C67" s="2" t="s">
        <v>6976</v>
      </c>
      <c r="D67" s="2" t="s">
        <v>2025</v>
      </c>
      <c r="E67" s="2">
        <v>9.0</v>
      </c>
      <c r="F67" s="2">
        <v>19.0</v>
      </c>
      <c r="G67" s="2">
        <v>171.0</v>
      </c>
      <c r="H67" s="2">
        <v>80.0</v>
      </c>
      <c r="I67" s="2" t="s">
        <v>2293</v>
      </c>
      <c r="J67" s="630">
        <v>46120.0</v>
      </c>
      <c r="K67" s="2" t="s">
        <v>2081</v>
      </c>
      <c r="L67" s="2" t="s">
        <v>2082</v>
      </c>
      <c r="M67" s="2" t="s">
        <v>1621</v>
      </c>
      <c r="O67" s="2" t="s">
        <v>8957</v>
      </c>
      <c r="P67" s="2" t="s">
        <v>8837</v>
      </c>
    </row>
    <row r="68">
      <c r="A68" s="2" t="s">
        <v>8958</v>
      </c>
      <c r="B68" s="2" t="s">
        <v>269</v>
      </c>
      <c r="C68" s="2" t="s">
        <v>8959</v>
      </c>
      <c r="D68" s="2" t="s">
        <v>275</v>
      </c>
      <c r="E68" s="2">
        <v>10.0</v>
      </c>
      <c r="F68" s="2">
        <v>19.0</v>
      </c>
      <c r="G68" s="2">
        <v>190.0</v>
      </c>
      <c r="I68" s="2" t="s">
        <v>2293</v>
      </c>
      <c r="J68" s="630">
        <v>46120.0</v>
      </c>
      <c r="K68" s="2" t="s">
        <v>2081</v>
      </c>
      <c r="L68" s="2" t="s">
        <v>2082</v>
      </c>
      <c r="M68" s="2" t="s">
        <v>1621</v>
      </c>
      <c r="O68" s="2" t="s">
        <v>8960</v>
      </c>
      <c r="P68" s="2" t="s">
        <v>8837</v>
      </c>
    </row>
    <row r="69">
      <c r="A69" s="2" t="s">
        <v>8961</v>
      </c>
      <c r="B69" s="2" t="s">
        <v>269</v>
      </c>
      <c r="C69" s="2" t="s">
        <v>276</v>
      </c>
      <c r="D69" s="2" t="s">
        <v>1278</v>
      </c>
      <c r="E69" s="2">
        <v>10.0</v>
      </c>
      <c r="F69" s="2">
        <v>19.0</v>
      </c>
      <c r="G69" s="2">
        <v>190.0</v>
      </c>
      <c r="H69" s="2">
        <v>80.0</v>
      </c>
      <c r="I69" s="2" t="s">
        <v>2293</v>
      </c>
      <c r="J69" s="630">
        <v>46120.0</v>
      </c>
      <c r="K69" s="2" t="s">
        <v>2081</v>
      </c>
      <c r="L69" s="2" t="s">
        <v>2082</v>
      </c>
      <c r="M69" s="2" t="s">
        <v>1621</v>
      </c>
      <c r="O69" s="2" t="s">
        <v>8960</v>
      </c>
      <c r="P69" s="2" t="s">
        <v>8837</v>
      </c>
    </row>
    <row r="70">
      <c r="A70" s="2" t="s">
        <v>8962</v>
      </c>
      <c r="B70" s="2" t="s">
        <v>269</v>
      </c>
      <c r="C70" s="2" t="s">
        <v>8963</v>
      </c>
      <c r="D70" s="2" t="s">
        <v>279</v>
      </c>
      <c r="E70" s="2">
        <v>2.0</v>
      </c>
      <c r="F70" s="2">
        <v>16.5</v>
      </c>
      <c r="G70" s="2">
        <v>33.0</v>
      </c>
      <c r="I70" s="2" t="s">
        <v>2293</v>
      </c>
      <c r="J70" s="630">
        <v>46120.0</v>
      </c>
      <c r="K70" s="2" t="s">
        <v>2081</v>
      </c>
      <c r="L70" s="2" t="s">
        <v>2082</v>
      </c>
      <c r="M70" s="2" t="s">
        <v>1621</v>
      </c>
      <c r="O70" s="2" t="s">
        <v>8964</v>
      </c>
      <c r="P70" s="2" t="s">
        <v>8837</v>
      </c>
    </row>
    <row r="71">
      <c r="A71" s="2" t="s">
        <v>8965</v>
      </c>
      <c r="B71" s="2" t="s">
        <v>269</v>
      </c>
      <c r="C71" s="2" t="s">
        <v>8966</v>
      </c>
      <c r="D71" s="2" t="s">
        <v>281</v>
      </c>
      <c r="E71" s="2">
        <v>6.0</v>
      </c>
      <c r="F71" s="2">
        <v>16.5</v>
      </c>
      <c r="G71" s="2">
        <v>99.0</v>
      </c>
      <c r="H71" s="2">
        <v>80.0</v>
      </c>
      <c r="I71" s="2" t="s">
        <v>2293</v>
      </c>
      <c r="J71" s="630">
        <v>46120.0</v>
      </c>
      <c r="K71" s="2" t="s">
        <v>2081</v>
      </c>
      <c r="L71" s="2" t="s">
        <v>2082</v>
      </c>
      <c r="M71" s="2" t="s">
        <v>1621</v>
      </c>
      <c r="O71" s="2" t="s">
        <v>8964</v>
      </c>
      <c r="P71" s="2" t="s">
        <v>8837</v>
      </c>
    </row>
    <row r="72">
      <c r="A72" s="2" t="s">
        <v>8967</v>
      </c>
      <c r="B72" s="2" t="s">
        <v>269</v>
      </c>
      <c r="C72" s="2" t="s">
        <v>2785</v>
      </c>
      <c r="D72" s="2" t="s">
        <v>8968</v>
      </c>
      <c r="E72" s="2">
        <v>9.0</v>
      </c>
      <c r="F72" s="2">
        <v>19.0</v>
      </c>
      <c r="G72" s="2">
        <v>171.0</v>
      </c>
      <c r="H72" s="2">
        <v>80.0</v>
      </c>
      <c r="J72" s="630">
        <v>46120.0</v>
      </c>
      <c r="K72" s="2" t="s">
        <v>2081</v>
      </c>
      <c r="L72" s="2" t="s">
        <v>2082</v>
      </c>
      <c r="M72" s="2" t="s">
        <v>1621</v>
      </c>
      <c r="O72" s="2" t="s">
        <v>8969</v>
      </c>
      <c r="P72" s="2" t="s">
        <v>8837</v>
      </c>
    </row>
    <row r="73">
      <c r="A73" s="2" t="s">
        <v>8970</v>
      </c>
      <c r="B73" s="2" t="s">
        <v>269</v>
      </c>
      <c r="C73" s="2" t="s">
        <v>6979</v>
      </c>
      <c r="D73" s="2" t="s">
        <v>2023</v>
      </c>
      <c r="E73" s="2">
        <v>4.0</v>
      </c>
      <c r="F73" s="2">
        <v>19.0</v>
      </c>
      <c r="G73" s="2">
        <v>76.0</v>
      </c>
      <c r="H73" s="2">
        <v>80.0</v>
      </c>
      <c r="I73" s="2" t="s">
        <v>2293</v>
      </c>
      <c r="J73" s="630">
        <v>46120.0</v>
      </c>
      <c r="K73" s="2" t="s">
        <v>2081</v>
      </c>
      <c r="L73" s="2" t="s">
        <v>2082</v>
      </c>
      <c r="M73" s="2" t="s">
        <v>1621</v>
      </c>
      <c r="O73" s="2" t="s">
        <v>8969</v>
      </c>
      <c r="P73" s="2" t="s">
        <v>8837</v>
      </c>
    </row>
    <row r="74">
      <c r="A74" s="2" t="s">
        <v>8971</v>
      </c>
      <c r="B74" s="2" t="s">
        <v>8809</v>
      </c>
      <c r="C74" s="2" t="s">
        <v>8907</v>
      </c>
      <c r="D74" s="2" t="s">
        <v>8972</v>
      </c>
      <c r="E74" s="2">
        <v>3.0</v>
      </c>
      <c r="F74" s="2">
        <v>0.019</v>
      </c>
      <c r="G74" s="2">
        <v>0.06</v>
      </c>
      <c r="H74" s="2">
        <v>8.0</v>
      </c>
      <c r="J74" s="630">
        <v>46124.0</v>
      </c>
      <c r="K74" s="2" t="s">
        <v>2081</v>
      </c>
      <c r="L74" s="2" t="s">
        <v>2082</v>
      </c>
      <c r="M74" s="2" t="s">
        <v>1621</v>
      </c>
      <c r="O74" s="2" t="s">
        <v>8973</v>
      </c>
      <c r="P74" s="2" t="s">
        <v>8837</v>
      </c>
    </row>
    <row r="75">
      <c r="A75" s="2" t="s">
        <v>8974</v>
      </c>
      <c r="B75" s="2" t="s">
        <v>2681</v>
      </c>
      <c r="C75" s="2" t="s">
        <v>6906</v>
      </c>
      <c r="D75" s="2" t="s">
        <v>8949</v>
      </c>
      <c r="E75" s="2">
        <v>5.0</v>
      </c>
      <c r="F75" s="2">
        <v>16.5</v>
      </c>
      <c r="G75" s="2">
        <v>82.5</v>
      </c>
      <c r="I75" s="2" t="s">
        <v>2293</v>
      </c>
      <c r="J75" s="630">
        <v>46133.0</v>
      </c>
      <c r="K75" s="2" t="s">
        <v>2081</v>
      </c>
      <c r="L75" s="2" t="s">
        <v>2082</v>
      </c>
      <c r="M75" s="2" t="s">
        <v>1621</v>
      </c>
      <c r="O75" s="2" t="s">
        <v>8973</v>
      </c>
      <c r="P75" s="2" t="s">
        <v>8837</v>
      </c>
    </row>
    <row r="76">
      <c r="A76" s="2" t="s">
        <v>8975</v>
      </c>
      <c r="B76" s="2" t="s">
        <v>2681</v>
      </c>
      <c r="C76" s="2" t="s">
        <v>6843</v>
      </c>
      <c r="D76" s="2" t="s">
        <v>8976</v>
      </c>
      <c r="E76" s="2">
        <v>2.0</v>
      </c>
      <c r="F76" s="2">
        <v>16.5</v>
      </c>
      <c r="G76" s="2">
        <v>33.0</v>
      </c>
      <c r="I76" s="2" t="s">
        <v>2293</v>
      </c>
      <c r="J76" s="630">
        <v>46133.0</v>
      </c>
      <c r="K76" s="2" t="s">
        <v>2081</v>
      </c>
      <c r="L76" s="2" t="s">
        <v>2082</v>
      </c>
      <c r="M76" s="2" t="s">
        <v>1621</v>
      </c>
      <c r="O76" s="2" t="s">
        <v>8973</v>
      </c>
      <c r="P76" s="2" t="s">
        <v>8837</v>
      </c>
    </row>
    <row r="77">
      <c r="A77" s="2" t="s">
        <v>8977</v>
      </c>
      <c r="B77" s="2" t="s">
        <v>2681</v>
      </c>
      <c r="C77" s="2" t="s">
        <v>8978</v>
      </c>
      <c r="D77" s="2" t="s">
        <v>8979</v>
      </c>
      <c r="E77" s="2">
        <v>3.0</v>
      </c>
      <c r="F77" s="2">
        <v>16.5</v>
      </c>
      <c r="G77" s="2">
        <v>49.5</v>
      </c>
      <c r="I77" s="2" t="s">
        <v>2293</v>
      </c>
      <c r="J77" s="630">
        <v>46133.0</v>
      </c>
      <c r="K77" s="2" t="s">
        <v>2081</v>
      </c>
      <c r="L77" s="2" t="s">
        <v>2082</v>
      </c>
      <c r="M77" s="2" t="s">
        <v>1621</v>
      </c>
      <c r="O77" s="2" t="s">
        <v>8973</v>
      </c>
      <c r="P77" s="2" t="s">
        <v>8837</v>
      </c>
    </row>
    <row r="78">
      <c r="A78" s="2" t="s">
        <v>8980</v>
      </c>
      <c r="B78" s="2" t="s">
        <v>2681</v>
      </c>
      <c r="C78" s="2" t="s">
        <v>2459</v>
      </c>
      <c r="D78" s="2" t="s">
        <v>3618</v>
      </c>
      <c r="E78" s="2">
        <v>3.0</v>
      </c>
      <c r="F78" s="2">
        <v>16.5</v>
      </c>
      <c r="G78" s="2">
        <v>49.5</v>
      </c>
      <c r="I78" s="2" t="s">
        <v>2293</v>
      </c>
      <c r="J78" s="630">
        <v>46133.0</v>
      </c>
      <c r="K78" s="2" t="s">
        <v>2081</v>
      </c>
      <c r="L78" s="2" t="s">
        <v>2082</v>
      </c>
      <c r="M78" s="2" t="s">
        <v>1621</v>
      </c>
      <c r="O78" s="2" t="s">
        <v>8973</v>
      </c>
      <c r="P78" s="2" t="s">
        <v>8837</v>
      </c>
    </row>
    <row r="79">
      <c r="A79" s="2" t="s">
        <v>8981</v>
      </c>
      <c r="B79" s="2" t="s">
        <v>252</v>
      </c>
      <c r="C79" s="2" t="s">
        <v>2225</v>
      </c>
      <c r="D79" s="2" t="s">
        <v>8982</v>
      </c>
      <c r="E79" s="2">
        <v>5.0</v>
      </c>
      <c r="F79" s="2">
        <v>16.5</v>
      </c>
      <c r="G79" s="2">
        <v>82.5</v>
      </c>
      <c r="I79" s="2" t="s">
        <v>2293</v>
      </c>
      <c r="J79" s="630">
        <v>46133.0</v>
      </c>
      <c r="K79" s="2" t="s">
        <v>2081</v>
      </c>
      <c r="L79" s="2" t="s">
        <v>2082</v>
      </c>
      <c r="M79" s="2" t="s">
        <v>1621</v>
      </c>
      <c r="O79" s="2" t="s">
        <v>8973</v>
      </c>
    </row>
    <row r="80">
      <c r="A80" s="2" t="s">
        <v>8983</v>
      </c>
      <c r="B80" s="2" t="s">
        <v>252</v>
      </c>
      <c r="C80" s="2" t="s">
        <v>6964</v>
      </c>
      <c r="D80" s="2" t="s">
        <v>8939</v>
      </c>
      <c r="E80" s="2">
        <v>5.0</v>
      </c>
      <c r="F80" s="2">
        <v>16.5</v>
      </c>
      <c r="G80" s="2">
        <v>82.5</v>
      </c>
      <c r="I80" s="2" t="s">
        <v>2293</v>
      </c>
      <c r="J80" s="630">
        <v>46133.0</v>
      </c>
      <c r="K80" s="2" t="s">
        <v>2081</v>
      </c>
      <c r="L80" s="2" t="s">
        <v>2082</v>
      </c>
      <c r="M80" s="2" t="s">
        <v>1621</v>
      </c>
      <c r="O80" s="2" t="s">
        <v>8973</v>
      </c>
      <c r="P80" s="2" t="s">
        <v>8837</v>
      </c>
    </row>
    <row r="81">
      <c r="A81" s="2" t="s">
        <v>8984</v>
      </c>
      <c r="B81" s="2" t="s">
        <v>162</v>
      </c>
      <c r="C81" s="2" t="s">
        <v>286</v>
      </c>
      <c r="D81" s="2" t="s">
        <v>8985</v>
      </c>
      <c r="E81" s="2">
        <v>9.0</v>
      </c>
      <c r="F81" s="2">
        <v>20.0</v>
      </c>
      <c r="G81" s="2">
        <v>180.0</v>
      </c>
      <c r="I81" s="2" t="s">
        <v>2083</v>
      </c>
      <c r="J81" s="630">
        <v>46134.0</v>
      </c>
      <c r="K81" s="2" t="s">
        <v>2081</v>
      </c>
      <c r="L81" s="2" t="s">
        <v>2082</v>
      </c>
      <c r="M81" s="2" t="s">
        <v>1621</v>
      </c>
      <c r="O81" s="2" t="s">
        <v>8973</v>
      </c>
    </row>
    <row r="82">
      <c r="A82" s="2" t="s">
        <v>8986</v>
      </c>
      <c r="B82" s="2" t="s">
        <v>162</v>
      </c>
      <c r="C82" s="2" t="s">
        <v>2035</v>
      </c>
      <c r="D82" s="2" t="s">
        <v>223</v>
      </c>
      <c r="E82" s="2">
        <v>9.0</v>
      </c>
      <c r="F82" s="2">
        <v>20.0</v>
      </c>
      <c r="G82" s="2">
        <v>180.0</v>
      </c>
      <c r="I82" s="2" t="s">
        <v>2083</v>
      </c>
      <c r="J82" s="630">
        <v>46134.0</v>
      </c>
      <c r="K82" s="2" t="s">
        <v>2081</v>
      </c>
      <c r="L82" s="2" t="s">
        <v>2082</v>
      </c>
      <c r="M82" s="2" t="s">
        <v>1621</v>
      </c>
      <c r="O82" s="2" t="s">
        <v>8973</v>
      </c>
    </row>
    <row r="83">
      <c r="A83" s="2" t="s">
        <v>8987</v>
      </c>
      <c r="B83" s="2" t="s">
        <v>162</v>
      </c>
      <c r="C83" s="2" t="s">
        <v>2035</v>
      </c>
      <c r="D83" s="2" t="s">
        <v>223</v>
      </c>
      <c r="E83" s="2">
        <v>1.0</v>
      </c>
      <c r="F83" s="2">
        <v>20.0</v>
      </c>
      <c r="G83" s="2">
        <v>20.0</v>
      </c>
      <c r="H83" s="2">
        <v>0.0</v>
      </c>
      <c r="I83" s="2" t="s">
        <v>2293</v>
      </c>
      <c r="J83" s="630">
        <v>46135.0</v>
      </c>
      <c r="K83" s="2" t="s">
        <v>2081</v>
      </c>
      <c r="L83" s="2" t="s">
        <v>2082</v>
      </c>
      <c r="M83" s="2" t="s">
        <v>1621</v>
      </c>
      <c r="N83" s="2" t="s">
        <v>2584</v>
      </c>
      <c r="O83" s="2" t="s">
        <v>8988</v>
      </c>
      <c r="P83" s="2" t="s">
        <v>8837</v>
      </c>
    </row>
    <row r="84">
      <c r="A84" s="2" t="s">
        <v>8989</v>
      </c>
      <c r="B84" s="2" t="s">
        <v>242</v>
      </c>
      <c r="C84" s="2" t="s">
        <v>2735</v>
      </c>
      <c r="D84" s="2" t="s">
        <v>247</v>
      </c>
      <c r="E84" s="2">
        <v>12.0</v>
      </c>
      <c r="F84" s="2">
        <v>25.0</v>
      </c>
      <c r="G84" s="2">
        <v>300.0</v>
      </c>
      <c r="H84" s="2">
        <v>170.0</v>
      </c>
      <c r="I84" s="2" t="s">
        <v>2288</v>
      </c>
      <c r="J84" s="630">
        <v>46141.0</v>
      </c>
      <c r="K84" s="2" t="s">
        <v>2081</v>
      </c>
      <c r="L84" s="2" t="s">
        <v>2082</v>
      </c>
      <c r="M84" s="2" t="s">
        <v>1621</v>
      </c>
      <c r="O84" s="2" t="s">
        <v>8988</v>
      </c>
      <c r="P84" s="2" t="s">
        <v>8837</v>
      </c>
    </row>
    <row r="85">
      <c r="A85" s="2" t="s">
        <v>8990</v>
      </c>
      <c r="B85" s="2" t="s">
        <v>162</v>
      </c>
      <c r="C85" s="2" t="s">
        <v>2038</v>
      </c>
      <c r="D85" s="2" t="s">
        <v>289</v>
      </c>
      <c r="E85" s="2">
        <v>8.0</v>
      </c>
      <c r="F85" s="2">
        <v>20.0</v>
      </c>
      <c r="G85" s="2">
        <v>160.0</v>
      </c>
      <c r="H85" s="2">
        <v>120.0</v>
      </c>
      <c r="I85" s="2" t="s">
        <v>2288</v>
      </c>
      <c r="J85" s="630">
        <v>46153.0</v>
      </c>
      <c r="K85" s="2" t="s">
        <v>2081</v>
      </c>
      <c r="L85" s="2" t="s">
        <v>2082</v>
      </c>
      <c r="M85" s="2" t="s">
        <v>1621</v>
      </c>
      <c r="O85" s="2" t="s">
        <v>8991</v>
      </c>
      <c r="P85" s="2" t="s">
        <v>8837</v>
      </c>
    </row>
    <row r="86">
      <c r="A86" s="2" t="s">
        <v>8992</v>
      </c>
      <c r="B86" s="2" t="s">
        <v>162</v>
      </c>
      <c r="C86" s="2" t="s">
        <v>8993</v>
      </c>
      <c r="D86" s="2" t="s">
        <v>291</v>
      </c>
      <c r="E86" s="2">
        <v>10.0</v>
      </c>
      <c r="F86" s="2">
        <v>20.0</v>
      </c>
      <c r="G86" s="2">
        <v>200.0</v>
      </c>
      <c r="I86" s="2" t="s">
        <v>2288</v>
      </c>
      <c r="J86" s="630">
        <v>46153.0</v>
      </c>
      <c r="K86" s="2" t="s">
        <v>2081</v>
      </c>
      <c r="L86" s="2" t="s">
        <v>2082</v>
      </c>
      <c r="M86" s="2" t="s">
        <v>1621</v>
      </c>
      <c r="O86" s="2" t="s">
        <v>8991</v>
      </c>
    </row>
    <row r="87">
      <c r="A87" s="2" t="s">
        <v>8994</v>
      </c>
      <c r="B87" s="2" t="s">
        <v>162</v>
      </c>
      <c r="C87" s="2" t="s">
        <v>2040</v>
      </c>
      <c r="D87" s="2" t="s">
        <v>2039</v>
      </c>
      <c r="E87" s="2">
        <v>7.0</v>
      </c>
      <c r="F87" s="2">
        <v>20.0</v>
      </c>
      <c r="G87" s="2">
        <v>140.0</v>
      </c>
      <c r="H87" s="2">
        <v>120.0</v>
      </c>
      <c r="I87" s="2" t="s">
        <v>2288</v>
      </c>
      <c r="J87" s="630">
        <v>46153.0</v>
      </c>
      <c r="K87" s="2" t="s">
        <v>2081</v>
      </c>
      <c r="L87" s="2" t="s">
        <v>2082</v>
      </c>
      <c r="M87" s="2" t="s">
        <v>1621</v>
      </c>
      <c r="O87" s="2" t="s">
        <v>8991</v>
      </c>
      <c r="P87" s="2" t="s">
        <v>8837</v>
      </c>
    </row>
    <row r="88">
      <c r="A88" s="2" t="s">
        <v>8995</v>
      </c>
      <c r="B88" s="2" t="s">
        <v>203</v>
      </c>
      <c r="C88" s="2" t="s">
        <v>8996</v>
      </c>
      <c r="D88" s="2" t="s">
        <v>207</v>
      </c>
      <c r="E88" s="2">
        <v>11.0</v>
      </c>
      <c r="F88" s="2">
        <v>26.0</v>
      </c>
      <c r="G88" s="2">
        <v>286.0</v>
      </c>
      <c r="I88" s="2" t="s">
        <v>2288</v>
      </c>
      <c r="J88" s="630">
        <v>46153.0</v>
      </c>
      <c r="K88" s="2" t="s">
        <v>2081</v>
      </c>
      <c r="L88" s="2" t="s">
        <v>2082</v>
      </c>
      <c r="M88" s="2" t="s">
        <v>1621</v>
      </c>
      <c r="O88" s="2" t="s">
        <v>8991</v>
      </c>
      <c r="P88" s="2" t="s">
        <v>8837</v>
      </c>
    </row>
    <row r="89">
      <c r="A89" s="2" t="s">
        <v>8997</v>
      </c>
      <c r="B89" s="2" t="s">
        <v>203</v>
      </c>
      <c r="C89" s="2" t="s">
        <v>8998</v>
      </c>
      <c r="D89" s="2" t="s">
        <v>8999</v>
      </c>
      <c r="E89" s="2">
        <v>11.0</v>
      </c>
      <c r="F89" s="2">
        <v>26.0</v>
      </c>
      <c r="G89" s="2">
        <v>286.0</v>
      </c>
      <c r="I89" s="2" t="s">
        <v>2288</v>
      </c>
      <c r="J89" s="630">
        <v>46153.0</v>
      </c>
      <c r="K89" s="2" t="s">
        <v>2081</v>
      </c>
      <c r="L89" s="2" t="s">
        <v>2082</v>
      </c>
      <c r="M89" s="2" t="s">
        <v>1621</v>
      </c>
      <c r="O89" s="2" t="s">
        <v>8991</v>
      </c>
    </row>
    <row r="90">
      <c r="A90" s="631" t="s">
        <v>9000</v>
      </c>
      <c r="B90" s="2" t="s">
        <v>242</v>
      </c>
      <c r="C90" s="2" t="s">
        <v>2043</v>
      </c>
      <c r="D90" s="2" t="s">
        <v>244</v>
      </c>
      <c r="E90" s="2">
        <v>5.0</v>
      </c>
      <c r="F90" s="2">
        <v>30.0</v>
      </c>
      <c r="G90" s="2">
        <v>150.0</v>
      </c>
      <c r="H90" s="2">
        <v>170.0</v>
      </c>
      <c r="I90" s="2" t="s">
        <v>2083</v>
      </c>
      <c r="J90" s="630">
        <v>46150.0</v>
      </c>
      <c r="K90" s="2" t="s">
        <v>2081</v>
      </c>
      <c r="L90" s="2" t="s">
        <v>2082</v>
      </c>
      <c r="M90" s="2" t="s">
        <v>1621</v>
      </c>
      <c r="O90" s="2" t="s">
        <v>9001</v>
      </c>
      <c r="P90" s="2" t="s">
        <v>8837</v>
      </c>
    </row>
    <row r="91">
      <c r="A91" s="2" t="s">
        <v>9002</v>
      </c>
      <c r="B91" s="2" t="s">
        <v>242</v>
      </c>
      <c r="C91" s="2" t="s">
        <v>2041</v>
      </c>
      <c r="D91" s="2" t="s">
        <v>8928</v>
      </c>
      <c r="E91" s="2">
        <v>5.0</v>
      </c>
      <c r="F91" s="2">
        <v>25.0</v>
      </c>
      <c r="G91" s="2">
        <v>125.0</v>
      </c>
      <c r="H91" s="2">
        <v>170.0</v>
      </c>
      <c r="I91" s="2" t="s">
        <v>2288</v>
      </c>
      <c r="J91" s="630">
        <v>46150.0</v>
      </c>
      <c r="K91" s="2" t="s">
        <v>2081</v>
      </c>
      <c r="L91" s="2" t="s">
        <v>2082</v>
      </c>
      <c r="M91" s="2" t="s">
        <v>1621</v>
      </c>
      <c r="O91" s="2" t="s">
        <v>9003</v>
      </c>
      <c r="P91" s="2" t="s">
        <v>8837</v>
      </c>
    </row>
    <row r="92">
      <c r="A92" s="2" t="s">
        <v>9004</v>
      </c>
      <c r="B92" s="2" t="s">
        <v>162</v>
      </c>
      <c r="C92" s="2" t="s">
        <v>2041</v>
      </c>
      <c r="D92" s="2" t="s">
        <v>9005</v>
      </c>
      <c r="E92" s="2">
        <v>5.0</v>
      </c>
      <c r="F92" s="2">
        <v>25.0</v>
      </c>
      <c r="G92" s="2">
        <v>125.0</v>
      </c>
      <c r="H92" s="2">
        <v>170.0</v>
      </c>
      <c r="I92" s="2" t="s">
        <v>2288</v>
      </c>
      <c r="J92" s="630">
        <v>46150.0</v>
      </c>
      <c r="K92" s="2" t="s">
        <v>2081</v>
      </c>
      <c r="L92" s="2" t="s">
        <v>2082</v>
      </c>
      <c r="M92" s="2" t="s">
        <v>1621</v>
      </c>
      <c r="O92" s="2" t="s">
        <v>9001</v>
      </c>
      <c r="P92" s="2" t="s">
        <v>8837</v>
      </c>
    </row>
    <row r="93">
      <c r="A93" s="2" t="s">
        <v>9006</v>
      </c>
      <c r="B93" s="2" t="s">
        <v>162</v>
      </c>
      <c r="C93" s="2" t="s">
        <v>2043</v>
      </c>
      <c r="D93" s="2" t="s">
        <v>2042</v>
      </c>
      <c r="E93" s="2">
        <v>5.0</v>
      </c>
      <c r="F93" s="2">
        <v>30.0</v>
      </c>
      <c r="G93" s="2">
        <v>150.0</v>
      </c>
      <c r="H93" s="2">
        <v>170.0</v>
      </c>
      <c r="I93" s="2" t="s">
        <v>2083</v>
      </c>
      <c r="J93" s="630">
        <v>46150.0</v>
      </c>
      <c r="K93" s="2" t="s">
        <v>2081</v>
      </c>
      <c r="L93" s="2" t="s">
        <v>2082</v>
      </c>
      <c r="M93" s="2" t="s">
        <v>1621</v>
      </c>
      <c r="O93" s="2" t="s">
        <v>9001</v>
      </c>
      <c r="P93" s="2" t="s">
        <v>8837</v>
      </c>
    </row>
    <row r="94">
      <c r="A94" s="2" t="s">
        <v>9007</v>
      </c>
      <c r="B94" s="2" t="s">
        <v>242</v>
      </c>
      <c r="C94" s="2" t="s">
        <v>236</v>
      </c>
      <c r="D94" s="2" t="s">
        <v>296</v>
      </c>
      <c r="E94" s="2">
        <v>10.0</v>
      </c>
      <c r="F94" s="2">
        <v>25.0</v>
      </c>
      <c r="G94" s="2">
        <v>250.0</v>
      </c>
      <c r="I94" s="2" t="s">
        <v>2288</v>
      </c>
      <c r="J94" s="630">
        <v>46150.0</v>
      </c>
      <c r="K94" s="2" t="s">
        <v>2081</v>
      </c>
      <c r="L94" s="2" t="s">
        <v>2082</v>
      </c>
      <c r="M94" s="2" t="s">
        <v>1621</v>
      </c>
      <c r="O94" s="2" t="s">
        <v>9001</v>
      </c>
    </row>
    <row r="95">
      <c r="A95" s="2" t="s">
        <v>9008</v>
      </c>
      <c r="B95" s="2" t="s">
        <v>162</v>
      </c>
      <c r="C95" s="2" t="s">
        <v>2044</v>
      </c>
      <c r="D95" s="2" t="s">
        <v>298</v>
      </c>
      <c r="E95" s="2">
        <v>7.0</v>
      </c>
      <c r="F95" s="2">
        <v>20.0</v>
      </c>
      <c r="G95" s="2">
        <v>140.0</v>
      </c>
      <c r="H95" s="2">
        <v>120.0</v>
      </c>
      <c r="I95" s="2" t="s">
        <v>2288</v>
      </c>
      <c r="J95" s="630">
        <v>46150.0</v>
      </c>
      <c r="K95" s="2" t="s">
        <v>2081</v>
      </c>
      <c r="L95" s="2" t="s">
        <v>2082</v>
      </c>
      <c r="M95" s="2" t="s">
        <v>1621</v>
      </c>
      <c r="O95" s="2" t="s">
        <v>9001</v>
      </c>
      <c r="P95" s="2" t="s">
        <v>8837</v>
      </c>
    </row>
    <row r="96">
      <c r="A96" s="2" t="s">
        <v>9009</v>
      </c>
      <c r="B96" s="2" t="s">
        <v>162</v>
      </c>
      <c r="C96" s="2" t="s">
        <v>2045</v>
      </c>
      <c r="D96" s="2" t="s">
        <v>300</v>
      </c>
      <c r="E96" s="2">
        <v>8.0</v>
      </c>
      <c r="F96" s="2">
        <v>20.0</v>
      </c>
      <c r="G96" s="2">
        <v>160.0</v>
      </c>
      <c r="H96" s="2">
        <v>120.0</v>
      </c>
      <c r="I96" s="2" t="s">
        <v>2083</v>
      </c>
      <c r="J96" s="630">
        <v>46150.0</v>
      </c>
      <c r="K96" s="2" t="s">
        <v>2081</v>
      </c>
      <c r="L96" s="2" t="s">
        <v>2082</v>
      </c>
      <c r="M96" s="2" t="s">
        <v>1621</v>
      </c>
      <c r="O96" s="2" t="s">
        <v>9001</v>
      </c>
      <c r="P96" s="2" t="s">
        <v>8837</v>
      </c>
    </row>
    <row r="97">
      <c r="A97" s="2" t="s">
        <v>9010</v>
      </c>
      <c r="B97" s="2" t="s">
        <v>203</v>
      </c>
      <c r="C97" s="2" t="s">
        <v>8996</v>
      </c>
      <c r="D97" s="2" t="s">
        <v>207</v>
      </c>
      <c r="E97" s="2">
        <v>1.0</v>
      </c>
      <c r="F97" s="2">
        <v>26.0</v>
      </c>
      <c r="G97" s="2">
        <v>26.0</v>
      </c>
      <c r="H97" s="2">
        <v>120.0</v>
      </c>
      <c r="I97" s="2" t="s">
        <v>2083</v>
      </c>
      <c r="J97" s="630">
        <v>46150.0</v>
      </c>
      <c r="K97" s="2" t="s">
        <v>2081</v>
      </c>
      <c r="L97" s="2" t="s">
        <v>2082</v>
      </c>
      <c r="M97" s="2" t="s">
        <v>1621</v>
      </c>
      <c r="O97" s="2" t="s">
        <v>9001</v>
      </c>
      <c r="P97" s="2" t="s">
        <v>8837</v>
      </c>
    </row>
    <row r="98">
      <c r="A98" s="2" t="s">
        <v>9011</v>
      </c>
      <c r="B98" s="2" t="s">
        <v>162</v>
      </c>
      <c r="C98" s="2" t="s">
        <v>2735</v>
      </c>
      <c r="D98" s="2" t="s">
        <v>161</v>
      </c>
      <c r="E98" s="2">
        <v>6.0</v>
      </c>
      <c r="F98" s="2">
        <v>20.0</v>
      </c>
      <c r="G98" s="2">
        <v>120.0</v>
      </c>
      <c r="H98" s="2">
        <v>120.0</v>
      </c>
      <c r="I98" s="2" t="s">
        <v>2288</v>
      </c>
      <c r="J98" s="630">
        <v>46161.0</v>
      </c>
      <c r="K98" s="2" t="s">
        <v>2081</v>
      </c>
      <c r="L98" s="2" t="s">
        <v>2082</v>
      </c>
      <c r="M98" s="2" t="s">
        <v>1621</v>
      </c>
      <c r="O98" s="2" t="s">
        <v>9012</v>
      </c>
      <c r="P98" s="2" t="s">
        <v>8837</v>
      </c>
    </row>
    <row r="99">
      <c r="A99" s="2" t="s">
        <v>9013</v>
      </c>
      <c r="B99" s="2" t="s">
        <v>269</v>
      </c>
      <c r="C99" s="2" t="s">
        <v>2047</v>
      </c>
      <c r="D99" s="2" t="s">
        <v>302</v>
      </c>
      <c r="E99" s="2">
        <v>5.0</v>
      </c>
      <c r="F99" s="2">
        <v>19.0</v>
      </c>
      <c r="G99" s="2">
        <v>95.0</v>
      </c>
      <c r="H99" s="2">
        <v>80.0</v>
      </c>
      <c r="I99" s="2" t="s">
        <v>2293</v>
      </c>
      <c r="J99" s="630">
        <v>46162.0</v>
      </c>
      <c r="K99" s="2" t="s">
        <v>2081</v>
      </c>
      <c r="L99" s="2" t="s">
        <v>2082</v>
      </c>
      <c r="M99" s="2" t="s">
        <v>1621</v>
      </c>
      <c r="O99" s="2" t="s">
        <v>9014</v>
      </c>
      <c r="P99" s="2" t="s">
        <v>8837</v>
      </c>
    </row>
    <row r="100">
      <c r="A100" s="2" t="s">
        <v>9015</v>
      </c>
      <c r="B100" s="2" t="s">
        <v>269</v>
      </c>
      <c r="C100" s="2" t="s">
        <v>2048</v>
      </c>
      <c r="D100" s="2" t="s">
        <v>304</v>
      </c>
      <c r="E100" s="2">
        <v>5.0</v>
      </c>
      <c r="F100" s="2">
        <v>19.0</v>
      </c>
      <c r="G100" s="2">
        <v>95.0</v>
      </c>
      <c r="H100" s="2">
        <v>80.0</v>
      </c>
      <c r="I100" s="2" t="s">
        <v>2293</v>
      </c>
      <c r="J100" s="630">
        <v>46162.0</v>
      </c>
      <c r="K100" s="2" t="s">
        <v>2081</v>
      </c>
      <c r="L100" s="2" t="s">
        <v>2082</v>
      </c>
      <c r="M100" s="2" t="s">
        <v>1621</v>
      </c>
      <c r="O100" s="2" t="s">
        <v>9016</v>
      </c>
      <c r="P100" s="2" t="s">
        <v>8837</v>
      </c>
    </row>
    <row r="101">
      <c r="A101" s="2" t="s">
        <v>9017</v>
      </c>
      <c r="B101" s="2" t="s">
        <v>269</v>
      </c>
      <c r="C101" s="2" t="s">
        <v>283</v>
      </c>
      <c r="D101" s="2" t="s">
        <v>52</v>
      </c>
      <c r="E101" s="2">
        <v>9.0</v>
      </c>
      <c r="F101" s="2">
        <v>19.0</v>
      </c>
      <c r="G101" s="2">
        <v>171.0</v>
      </c>
      <c r="H101" s="2">
        <v>80.0</v>
      </c>
      <c r="I101" s="2" t="s">
        <v>2293</v>
      </c>
      <c r="J101" s="630">
        <v>46162.0</v>
      </c>
      <c r="K101" s="2" t="s">
        <v>2081</v>
      </c>
      <c r="L101" s="2" t="s">
        <v>2082</v>
      </c>
      <c r="M101" s="2" t="s">
        <v>1621</v>
      </c>
      <c r="O101" s="2" t="s">
        <v>9018</v>
      </c>
      <c r="P101" s="2" t="s">
        <v>8837</v>
      </c>
    </row>
    <row r="102">
      <c r="A102" s="2" t="s">
        <v>9019</v>
      </c>
      <c r="B102" s="2" t="s">
        <v>269</v>
      </c>
      <c r="C102" s="2" t="s">
        <v>255</v>
      </c>
      <c r="D102" s="2" t="s">
        <v>305</v>
      </c>
      <c r="E102" s="2">
        <v>1.0</v>
      </c>
      <c r="F102" s="2">
        <v>19.0</v>
      </c>
      <c r="G102" s="2">
        <v>19.0</v>
      </c>
      <c r="H102" s="2">
        <v>80.0</v>
      </c>
      <c r="I102" s="2" t="s">
        <v>2293</v>
      </c>
      <c r="J102" s="630">
        <v>46162.0</v>
      </c>
      <c r="K102" s="2" t="s">
        <v>2081</v>
      </c>
      <c r="L102" s="2" t="s">
        <v>2082</v>
      </c>
      <c r="M102" s="2" t="s">
        <v>1621</v>
      </c>
      <c r="O102" s="2" t="s">
        <v>9020</v>
      </c>
      <c r="P102" s="2" t="s">
        <v>8837</v>
      </c>
    </row>
    <row r="103">
      <c r="A103" s="2" t="s">
        <v>9021</v>
      </c>
      <c r="B103" s="2" t="s">
        <v>252</v>
      </c>
      <c r="C103" s="2" t="s">
        <v>9022</v>
      </c>
      <c r="D103" s="2" t="s">
        <v>9023</v>
      </c>
      <c r="E103" s="2">
        <v>8.0</v>
      </c>
      <c r="F103" s="2">
        <v>16.5</v>
      </c>
      <c r="G103" s="2">
        <v>132.0</v>
      </c>
      <c r="H103" s="2">
        <v>90.0</v>
      </c>
      <c r="I103" s="2" t="s">
        <v>2293</v>
      </c>
      <c r="J103" s="630">
        <v>46162.0</v>
      </c>
      <c r="K103" s="2" t="s">
        <v>2081</v>
      </c>
      <c r="L103" s="2" t="s">
        <v>2082</v>
      </c>
      <c r="M103" s="2" t="s">
        <v>1621</v>
      </c>
      <c r="O103" s="2" t="s">
        <v>9024</v>
      </c>
      <c r="P103" s="2" t="s">
        <v>8837</v>
      </c>
    </row>
    <row r="104">
      <c r="A104" s="2" t="s">
        <v>9025</v>
      </c>
      <c r="B104" s="2" t="s">
        <v>252</v>
      </c>
      <c r="C104" s="2" t="s">
        <v>2050</v>
      </c>
      <c r="D104" s="2" t="s">
        <v>2049</v>
      </c>
      <c r="E104" s="2">
        <v>8.0</v>
      </c>
      <c r="F104" s="2">
        <v>16.5</v>
      </c>
      <c r="G104" s="2">
        <v>132.0</v>
      </c>
      <c r="H104" s="2">
        <v>90.0</v>
      </c>
      <c r="I104" s="2" t="s">
        <v>2293</v>
      </c>
      <c r="J104" s="630">
        <v>46162.0</v>
      </c>
      <c r="K104" s="2" t="s">
        <v>2081</v>
      </c>
      <c r="L104" s="2" t="s">
        <v>2082</v>
      </c>
      <c r="M104" s="2" t="s">
        <v>1621</v>
      </c>
      <c r="O104" s="2" t="s">
        <v>9026</v>
      </c>
      <c r="P104" s="2" t="s">
        <v>8837</v>
      </c>
    </row>
    <row r="105">
      <c r="A105" s="2" t="s">
        <v>9027</v>
      </c>
      <c r="B105" s="2" t="s">
        <v>252</v>
      </c>
      <c r="C105" s="2" t="s">
        <v>263</v>
      </c>
      <c r="D105" s="2" t="s">
        <v>264</v>
      </c>
      <c r="E105" s="2">
        <v>6.0</v>
      </c>
      <c r="F105" s="2">
        <v>16.5</v>
      </c>
      <c r="G105" s="2">
        <v>99.0</v>
      </c>
      <c r="H105" s="2">
        <v>90.0</v>
      </c>
      <c r="I105" s="2" t="s">
        <v>2293</v>
      </c>
      <c r="J105" s="630">
        <v>46162.0</v>
      </c>
      <c r="K105" s="2" t="s">
        <v>2081</v>
      </c>
      <c r="L105" s="2" t="s">
        <v>2082</v>
      </c>
      <c r="M105" s="2" t="s">
        <v>1621</v>
      </c>
      <c r="O105" s="2" t="s">
        <v>9026</v>
      </c>
      <c r="P105" s="2" t="s">
        <v>8837</v>
      </c>
    </row>
    <row r="106">
      <c r="A106" s="2" t="s">
        <v>9028</v>
      </c>
      <c r="B106" s="2" t="s">
        <v>252</v>
      </c>
      <c r="C106" s="2" t="s">
        <v>265</v>
      </c>
      <c r="D106" s="2" t="s">
        <v>266</v>
      </c>
      <c r="E106" s="2">
        <v>5.0</v>
      </c>
      <c r="F106" s="2">
        <v>16.5</v>
      </c>
      <c r="G106" s="2">
        <v>82.5</v>
      </c>
      <c r="H106" s="2">
        <v>90.0</v>
      </c>
      <c r="I106" s="2" t="s">
        <v>2293</v>
      </c>
      <c r="J106" s="630">
        <v>46162.0</v>
      </c>
      <c r="K106" s="2" t="s">
        <v>2081</v>
      </c>
      <c r="L106" s="2" t="s">
        <v>2082</v>
      </c>
      <c r="M106" s="2" t="s">
        <v>1621</v>
      </c>
      <c r="O106" s="2" t="s">
        <v>9029</v>
      </c>
      <c r="P106" s="2" t="s">
        <v>8837</v>
      </c>
    </row>
    <row r="107">
      <c r="A107" s="2" t="s">
        <v>9030</v>
      </c>
      <c r="B107" s="2" t="s">
        <v>252</v>
      </c>
      <c r="C107" s="2" t="s">
        <v>306</v>
      </c>
      <c r="D107" s="2" t="s">
        <v>307</v>
      </c>
      <c r="E107" s="2">
        <v>7.0</v>
      </c>
      <c r="F107" s="2">
        <v>16.5</v>
      </c>
      <c r="G107" s="2">
        <v>115.5</v>
      </c>
      <c r="H107" s="2">
        <v>90.0</v>
      </c>
      <c r="I107" s="2" t="s">
        <v>2293</v>
      </c>
      <c r="J107" s="630">
        <v>46162.0</v>
      </c>
      <c r="K107" s="2" t="s">
        <v>2081</v>
      </c>
      <c r="L107" s="2" t="s">
        <v>2082</v>
      </c>
      <c r="M107" s="2" t="s">
        <v>1621</v>
      </c>
      <c r="O107" s="2" t="s">
        <v>9029</v>
      </c>
      <c r="P107" s="2" t="s">
        <v>8837</v>
      </c>
    </row>
    <row r="108">
      <c r="A108" s="2" t="s">
        <v>9031</v>
      </c>
      <c r="B108" s="2" t="s">
        <v>269</v>
      </c>
      <c r="C108" s="2" t="s">
        <v>272</v>
      </c>
      <c r="D108" s="2" t="s">
        <v>273</v>
      </c>
      <c r="E108" s="2">
        <v>4.0</v>
      </c>
      <c r="F108" s="2">
        <v>19.0</v>
      </c>
      <c r="G108" s="2">
        <v>76.0</v>
      </c>
      <c r="H108" s="2">
        <v>80.0</v>
      </c>
      <c r="I108" s="2" t="s">
        <v>2293</v>
      </c>
      <c r="J108" s="630">
        <v>46171.0</v>
      </c>
      <c r="K108" s="2" t="s">
        <v>2081</v>
      </c>
      <c r="L108" s="2" t="s">
        <v>2082</v>
      </c>
      <c r="M108" s="2" t="s">
        <v>1621</v>
      </c>
      <c r="O108" s="2" t="s">
        <v>9032</v>
      </c>
      <c r="P108" s="2" t="s">
        <v>8837</v>
      </c>
    </row>
    <row r="109">
      <c r="A109" s="2" t="s">
        <v>9033</v>
      </c>
      <c r="B109" s="2" t="s">
        <v>269</v>
      </c>
      <c r="C109" s="2" t="s">
        <v>270</v>
      </c>
      <c r="D109" s="2" t="s">
        <v>271</v>
      </c>
      <c r="E109" s="2">
        <v>4.0</v>
      </c>
      <c r="F109" s="2">
        <v>19.0</v>
      </c>
      <c r="G109" s="2">
        <v>76.0</v>
      </c>
      <c r="H109" s="2">
        <v>80.0</v>
      </c>
      <c r="I109" s="2" t="s">
        <v>2293</v>
      </c>
      <c r="J109" s="630">
        <v>46171.0</v>
      </c>
      <c r="K109" s="2" t="s">
        <v>2081</v>
      </c>
      <c r="L109" s="2" t="s">
        <v>2082</v>
      </c>
      <c r="M109" s="2" t="s">
        <v>1621</v>
      </c>
      <c r="O109" s="2" t="s">
        <v>9034</v>
      </c>
      <c r="P109" s="2" t="s">
        <v>8837</v>
      </c>
    </row>
    <row r="110">
      <c r="A110" s="2" t="s">
        <v>9035</v>
      </c>
      <c r="B110" s="2" t="s">
        <v>269</v>
      </c>
      <c r="C110" s="2" t="s">
        <v>2053</v>
      </c>
      <c r="D110" s="2" t="s">
        <v>381</v>
      </c>
      <c r="E110" s="2">
        <v>3.0</v>
      </c>
      <c r="F110" s="2">
        <v>19.0</v>
      </c>
      <c r="G110" s="2">
        <v>57.0</v>
      </c>
      <c r="H110" s="2">
        <v>80.0</v>
      </c>
      <c r="I110" s="2" t="s">
        <v>2293</v>
      </c>
      <c r="J110" s="630">
        <v>46171.0</v>
      </c>
      <c r="K110" s="2" t="s">
        <v>2081</v>
      </c>
      <c r="L110" s="2" t="s">
        <v>2082</v>
      </c>
      <c r="M110" s="2" t="s">
        <v>1621</v>
      </c>
      <c r="O110" s="2" t="s">
        <v>9036</v>
      </c>
      <c r="P110" s="2" t="s">
        <v>8837</v>
      </c>
    </row>
    <row r="111">
      <c r="A111" s="2" t="s">
        <v>9037</v>
      </c>
      <c r="B111" s="2" t="s">
        <v>2231</v>
      </c>
      <c r="C111" s="2" t="s">
        <v>2441</v>
      </c>
      <c r="D111" s="2" t="s">
        <v>9038</v>
      </c>
      <c r="E111" s="2">
        <v>2.0</v>
      </c>
      <c r="F111" s="2">
        <v>21.0</v>
      </c>
      <c r="G111" s="2">
        <v>42.0</v>
      </c>
      <c r="I111" s="2" t="s">
        <v>2209</v>
      </c>
      <c r="J111" s="630">
        <v>46189.0</v>
      </c>
      <c r="K111" s="2" t="s">
        <v>2102</v>
      </c>
      <c r="L111" s="2" t="s">
        <v>2214</v>
      </c>
      <c r="M111" s="2" t="s">
        <v>2208</v>
      </c>
      <c r="O111" s="2" t="s">
        <v>9039</v>
      </c>
      <c r="P111" s="2" t="s">
        <v>8837</v>
      </c>
    </row>
    <row r="112">
      <c r="A112" s="2" t="s">
        <v>9040</v>
      </c>
      <c r="B112" s="2" t="s">
        <v>2445</v>
      </c>
      <c r="C112" s="2" t="s">
        <v>2446</v>
      </c>
      <c r="D112" s="2" t="s">
        <v>9041</v>
      </c>
      <c r="E112" s="2">
        <v>3.0</v>
      </c>
      <c r="F112" s="2">
        <v>18.0</v>
      </c>
      <c r="G112" s="2">
        <v>54.0</v>
      </c>
      <c r="I112" s="2" t="s">
        <v>2209</v>
      </c>
      <c r="J112" s="630">
        <v>46189.0</v>
      </c>
      <c r="K112" s="2" t="s">
        <v>2102</v>
      </c>
      <c r="L112" s="2" t="s">
        <v>2444</v>
      </c>
      <c r="M112" s="2" t="s">
        <v>2208</v>
      </c>
      <c r="O112" s="2" t="s">
        <v>9039</v>
      </c>
      <c r="P112" s="2" t="s">
        <v>8837</v>
      </c>
    </row>
    <row r="113">
      <c r="A113" s="2" t="s">
        <v>9042</v>
      </c>
      <c r="B113" s="2" t="s">
        <v>2231</v>
      </c>
      <c r="C113" s="2" t="s">
        <v>2449</v>
      </c>
      <c r="D113" s="2" t="s">
        <v>9043</v>
      </c>
      <c r="E113" s="2">
        <v>1.0</v>
      </c>
      <c r="F113" s="2">
        <v>21.0</v>
      </c>
      <c r="G113" s="2">
        <v>21.0</v>
      </c>
      <c r="I113" s="2" t="s">
        <v>2209</v>
      </c>
      <c r="J113" s="630">
        <v>46189.0</v>
      </c>
      <c r="K113" s="2" t="s">
        <v>2102</v>
      </c>
      <c r="L113" s="2" t="s">
        <v>2214</v>
      </c>
      <c r="M113" s="2" t="s">
        <v>2208</v>
      </c>
      <c r="O113" s="2" t="s">
        <v>9039</v>
      </c>
      <c r="P113" s="2" t="s">
        <v>8837</v>
      </c>
    </row>
    <row r="114">
      <c r="A114" s="2" t="s">
        <v>9044</v>
      </c>
      <c r="B114" s="2" t="s">
        <v>2207</v>
      </c>
      <c r="C114" s="2" t="s">
        <v>2187</v>
      </c>
      <c r="D114" s="2" t="s">
        <v>2213</v>
      </c>
      <c r="E114" s="2">
        <v>1.0</v>
      </c>
      <c r="F114" s="2">
        <v>7.0</v>
      </c>
      <c r="G114" s="2">
        <v>7.0</v>
      </c>
      <c r="I114" s="2" t="s">
        <v>2209</v>
      </c>
      <c r="J114" s="630">
        <v>46189.0</v>
      </c>
      <c r="K114" s="2" t="s">
        <v>2102</v>
      </c>
      <c r="L114" s="2" t="s">
        <v>2214</v>
      </c>
      <c r="M114" s="2" t="s">
        <v>2208</v>
      </c>
      <c r="O114" s="2" t="s">
        <v>9039</v>
      </c>
      <c r="P114" s="2" t="s">
        <v>8837</v>
      </c>
    </row>
    <row r="115">
      <c r="A115" s="2" t="s">
        <v>9045</v>
      </c>
      <c r="B115" s="2" t="s">
        <v>2445</v>
      </c>
      <c r="C115" s="2" t="s">
        <v>2453</v>
      </c>
      <c r="D115" s="2" t="s">
        <v>9046</v>
      </c>
      <c r="E115" s="2">
        <v>1.0</v>
      </c>
      <c r="F115" s="2">
        <v>19.0</v>
      </c>
      <c r="G115" s="2">
        <v>19.0</v>
      </c>
      <c r="I115" s="2" t="s">
        <v>2209</v>
      </c>
      <c r="J115" s="630">
        <v>46189.0</v>
      </c>
      <c r="K115" s="2" t="s">
        <v>2102</v>
      </c>
      <c r="L115" s="2" t="s">
        <v>2082</v>
      </c>
      <c r="M115" s="2" t="s">
        <v>2208</v>
      </c>
      <c r="O115" s="2" t="s">
        <v>9039</v>
      </c>
      <c r="P115" s="2" t="s">
        <v>8837</v>
      </c>
    </row>
    <row r="116">
      <c r="A116" s="2" t="s">
        <v>9047</v>
      </c>
      <c r="B116" s="2" t="s">
        <v>2207</v>
      </c>
      <c r="C116" s="2" t="s">
        <v>2222</v>
      </c>
      <c r="D116" s="2" t="s">
        <v>2221</v>
      </c>
      <c r="E116" s="2">
        <v>1.0</v>
      </c>
      <c r="F116" s="2">
        <v>7.0</v>
      </c>
      <c r="G116" s="2">
        <v>7.0</v>
      </c>
      <c r="I116" s="2" t="s">
        <v>2209</v>
      </c>
      <c r="J116" s="630">
        <v>46189.0</v>
      </c>
      <c r="K116" s="2" t="s">
        <v>2102</v>
      </c>
      <c r="L116" s="2" t="s">
        <v>2214</v>
      </c>
      <c r="M116" s="2" t="s">
        <v>2208</v>
      </c>
      <c r="O116" s="2" t="s">
        <v>9039</v>
      </c>
      <c r="P116" s="2" t="s">
        <v>8837</v>
      </c>
    </row>
    <row r="117">
      <c r="A117" s="2" t="s">
        <v>9048</v>
      </c>
      <c r="B117" s="2" t="s">
        <v>2207</v>
      </c>
      <c r="C117" s="2" t="s">
        <v>2184</v>
      </c>
      <c r="D117" s="2" t="s">
        <v>2216</v>
      </c>
      <c r="E117" s="2">
        <v>1.0</v>
      </c>
      <c r="F117" s="2">
        <v>7.0</v>
      </c>
      <c r="G117" s="2">
        <v>7.0</v>
      </c>
      <c r="I117" s="2" t="s">
        <v>2209</v>
      </c>
      <c r="J117" s="630">
        <v>46189.0</v>
      </c>
      <c r="K117" s="2" t="s">
        <v>2102</v>
      </c>
      <c r="L117" s="2" t="s">
        <v>2214</v>
      </c>
      <c r="M117" s="2" t="s">
        <v>2208</v>
      </c>
      <c r="O117" s="2" t="s">
        <v>9039</v>
      </c>
      <c r="P117" s="2" t="s">
        <v>8837</v>
      </c>
    </row>
    <row r="118">
      <c r="A118" s="2" t="s">
        <v>9049</v>
      </c>
      <c r="B118" s="2" t="s">
        <v>2207</v>
      </c>
      <c r="C118" s="2" t="s">
        <v>2219</v>
      </c>
      <c r="D118" s="2" t="s">
        <v>2218</v>
      </c>
      <c r="E118" s="2">
        <v>1.0</v>
      </c>
      <c r="F118" s="2">
        <v>7.0</v>
      </c>
      <c r="G118" s="2">
        <v>7.0</v>
      </c>
      <c r="I118" s="2" t="s">
        <v>2209</v>
      </c>
      <c r="J118" s="630">
        <v>46189.0</v>
      </c>
      <c r="K118" s="2" t="s">
        <v>2102</v>
      </c>
      <c r="L118" s="2" t="s">
        <v>2214</v>
      </c>
      <c r="M118" s="2" t="s">
        <v>2208</v>
      </c>
      <c r="O118" s="2" t="s">
        <v>9039</v>
      </c>
      <c r="P118" s="2" t="s">
        <v>8837</v>
      </c>
    </row>
    <row r="119">
      <c r="A119" s="2" t="s">
        <v>9050</v>
      </c>
      <c r="B119" s="2" t="s">
        <v>2207</v>
      </c>
      <c r="C119" s="2" t="s">
        <v>2459</v>
      </c>
      <c r="D119" s="2" t="s">
        <v>9051</v>
      </c>
      <c r="E119" s="2">
        <v>5.0</v>
      </c>
      <c r="F119" s="2">
        <v>7.0</v>
      </c>
      <c r="G119" s="2">
        <v>35.0</v>
      </c>
      <c r="I119" s="2" t="s">
        <v>2209</v>
      </c>
      <c r="J119" s="630">
        <v>46189.0</v>
      </c>
      <c r="K119" s="2" t="s">
        <v>2102</v>
      </c>
      <c r="L119" s="2" t="s">
        <v>2214</v>
      </c>
      <c r="M119" s="2" t="s">
        <v>2208</v>
      </c>
      <c r="O119" s="2" t="s">
        <v>9039</v>
      </c>
      <c r="P119" s="2" t="s">
        <v>8837</v>
      </c>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1.88"/>
    <col customWidth="1" min="2" max="2" width="10.5"/>
    <col customWidth="1" min="3" max="3" width="42.5"/>
    <col customWidth="1" min="4" max="4" width="10.13"/>
    <col customWidth="1" min="5" max="5" width="18.5"/>
    <col customWidth="1" min="6" max="6" width="8.38"/>
  </cols>
  <sheetData>
    <row r="1">
      <c r="A1" s="632" t="s">
        <v>9052</v>
      </c>
      <c r="B1" s="632" t="s">
        <v>9053</v>
      </c>
      <c r="C1" s="632" t="s">
        <v>9054</v>
      </c>
      <c r="D1" s="632" t="s">
        <v>33</v>
      </c>
      <c r="E1" s="632" t="s">
        <v>9055</v>
      </c>
      <c r="F1" s="632" t="s">
        <v>2507</v>
      </c>
      <c r="G1" s="89"/>
      <c r="H1" s="89"/>
      <c r="I1" s="89"/>
      <c r="J1" s="89"/>
      <c r="K1" s="89"/>
      <c r="L1" s="89"/>
      <c r="M1" s="89"/>
      <c r="N1" s="89"/>
      <c r="O1" s="89"/>
      <c r="P1" s="89"/>
      <c r="Q1" s="89"/>
      <c r="R1" s="89"/>
      <c r="S1" s="89"/>
      <c r="T1" s="89"/>
      <c r="U1" s="89"/>
      <c r="V1" s="89"/>
      <c r="W1" s="89"/>
      <c r="X1" s="89"/>
      <c r="Y1" s="89"/>
      <c r="Z1" s="89"/>
    </row>
    <row r="2">
      <c r="A2" s="633">
        <v>45701.0</v>
      </c>
      <c r="B2" s="634">
        <v>1.0</v>
      </c>
      <c r="C2" s="634" t="s">
        <v>2011</v>
      </c>
      <c r="D2" s="634">
        <v>1.0</v>
      </c>
      <c r="E2" s="634" t="s">
        <v>9056</v>
      </c>
      <c r="F2" s="635">
        <v>120.0</v>
      </c>
      <c r="G2" s="89"/>
      <c r="H2" s="89"/>
      <c r="I2" s="89"/>
      <c r="J2" s="89"/>
      <c r="K2" s="89"/>
      <c r="L2" s="89"/>
      <c r="M2" s="89"/>
      <c r="N2" s="89"/>
      <c r="O2" s="89"/>
      <c r="P2" s="89"/>
      <c r="Q2" s="89"/>
      <c r="R2" s="89"/>
      <c r="S2" s="89"/>
      <c r="T2" s="89"/>
      <c r="U2" s="89"/>
      <c r="V2" s="89"/>
      <c r="W2" s="89"/>
      <c r="X2" s="89"/>
      <c r="Y2" s="89"/>
      <c r="Z2" s="89"/>
    </row>
    <row r="3">
      <c r="A3" s="633">
        <v>45701.0</v>
      </c>
      <c r="B3" s="634">
        <v>2.0</v>
      </c>
      <c r="C3" s="634" t="s">
        <v>2011</v>
      </c>
      <c r="D3" s="634">
        <v>1.0</v>
      </c>
      <c r="E3" s="634" t="s">
        <v>9056</v>
      </c>
      <c r="F3" s="635">
        <v>153.0</v>
      </c>
      <c r="G3" s="89"/>
      <c r="H3" s="89"/>
      <c r="I3" s="89"/>
      <c r="J3" s="89"/>
      <c r="K3" s="89"/>
      <c r="L3" s="89"/>
      <c r="M3" s="89"/>
      <c r="N3" s="89"/>
      <c r="O3" s="89"/>
      <c r="P3" s="89"/>
      <c r="Q3" s="89"/>
      <c r="R3" s="89"/>
      <c r="S3" s="89"/>
      <c r="T3" s="89"/>
      <c r="U3" s="89"/>
      <c r="V3" s="89"/>
      <c r="W3" s="89"/>
      <c r="X3" s="89"/>
      <c r="Y3" s="89"/>
      <c r="Z3" s="89"/>
    </row>
    <row r="4">
      <c r="A4" s="633">
        <v>45701.0</v>
      </c>
      <c r="B4" s="634">
        <v>3.0</v>
      </c>
      <c r="C4" s="634" t="s">
        <v>2011</v>
      </c>
      <c r="D4" s="634">
        <v>1.0</v>
      </c>
      <c r="E4" s="634" t="s">
        <v>9056</v>
      </c>
      <c r="F4" s="635">
        <v>170.0</v>
      </c>
      <c r="G4" s="89"/>
      <c r="H4" s="89"/>
      <c r="I4" s="89"/>
      <c r="J4" s="89"/>
      <c r="K4" s="89"/>
      <c r="L4" s="89"/>
      <c r="M4" s="89"/>
      <c r="N4" s="89"/>
      <c r="O4" s="89"/>
      <c r="P4" s="89"/>
      <c r="Q4" s="89"/>
      <c r="R4" s="89"/>
      <c r="S4" s="89"/>
      <c r="T4" s="89"/>
      <c r="U4" s="89"/>
      <c r="V4" s="89"/>
      <c r="W4" s="89"/>
      <c r="X4" s="89"/>
      <c r="Y4" s="89"/>
      <c r="Z4" s="89"/>
    </row>
    <row r="5">
      <c r="A5" s="633">
        <v>45701.0</v>
      </c>
      <c r="B5" s="636">
        <v>999999.0</v>
      </c>
      <c r="C5" s="634" t="s">
        <v>2010</v>
      </c>
      <c r="D5" s="636">
        <v>1.0</v>
      </c>
      <c r="E5" s="634" t="s">
        <v>9056</v>
      </c>
      <c r="F5" s="635">
        <v>120.0</v>
      </c>
      <c r="G5" s="89"/>
      <c r="H5" s="89"/>
      <c r="I5" s="89"/>
      <c r="J5" s="89"/>
      <c r="K5" s="89"/>
      <c r="L5" s="89"/>
      <c r="M5" s="89"/>
      <c r="N5" s="89"/>
      <c r="O5" s="89"/>
      <c r="P5" s="89"/>
      <c r="Q5" s="89"/>
      <c r="R5" s="89"/>
      <c r="S5" s="89"/>
      <c r="T5" s="89"/>
      <c r="U5" s="89"/>
      <c r="V5" s="89"/>
      <c r="W5" s="89"/>
      <c r="X5" s="89"/>
      <c r="Y5" s="89"/>
      <c r="Z5" s="89"/>
    </row>
    <row r="6">
      <c r="A6" s="633">
        <v>45701.0</v>
      </c>
      <c r="B6" s="636">
        <v>12.0</v>
      </c>
      <c r="C6" s="634" t="s">
        <v>2010</v>
      </c>
      <c r="D6" s="636">
        <v>1.0</v>
      </c>
      <c r="E6" s="634" t="s">
        <v>9056</v>
      </c>
      <c r="F6" s="635">
        <v>120.0</v>
      </c>
      <c r="G6" s="89"/>
      <c r="H6" s="89"/>
      <c r="I6" s="89"/>
      <c r="J6" s="89"/>
      <c r="K6" s="89"/>
      <c r="L6" s="89"/>
      <c r="M6" s="89"/>
      <c r="N6" s="89"/>
      <c r="O6" s="89"/>
      <c r="P6" s="89"/>
      <c r="Q6" s="89"/>
      <c r="R6" s="89"/>
      <c r="S6" s="89"/>
      <c r="T6" s="89"/>
      <c r="U6" s="89"/>
      <c r="V6" s="89"/>
      <c r="W6" s="89"/>
      <c r="X6" s="89"/>
      <c r="Y6" s="89"/>
      <c r="Z6" s="89"/>
    </row>
    <row r="7">
      <c r="A7" s="637">
        <v>46094.91994212963</v>
      </c>
      <c r="B7" s="636">
        <v>9022980.0</v>
      </c>
      <c r="C7" s="634" t="s">
        <v>241</v>
      </c>
      <c r="D7" s="636">
        <v>1.0</v>
      </c>
      <c r="E7" s="634" t="s">
        <v>2511</v>
      </c>
      <c r="F7" s="635">
        <v>108.0</v>
      </c>
      <c r="G7" s="89"/>
      <c r="H7" s="89"/>
      <c r="I7" s="89"/>
      <c r="J7" s="89"/>
      <c r="K7" s="89"/>
      <c r="L7" s="89"/>
      <c r="M7" s="89"/>
      <c r="N7" s="89"/>
      <c r="O7" s="89"/>
      <c r="P7" s="89"/>
      <c r="Q7" s="89"/>
      <c r="R7" s="89"/>
      <c r="S7" s="89"/>
      <c r="T7" s="89"/>
      <c r="U7" s="89"/>
      <c r="V7" s="89"/>
      <c r="W7" s="89"/>
      <c r="X7" s="89"/>
      <c r="Y7" s="89"/>
      <c r="Z7" s="89"/>
    </row>
    <row r="8">
      <c r="A8" s="637">
        <v>46109.451689814814</v>
      </c>
      <c r="B8" s="636">
        <v>9356014.0</v>
      </c>
      <c r="C8" s="634" t="s">
        <v>247</v>
      </c>
      <c r="D8" s="636">
        <v>1.0</v>
      </c>
      <c r="E8" s="634" t="s">
        <v>2510</v>
      </c>
      <c r="F8" s="636">
        <v>170.0</v>
      </c>
      <c r="G8" s="89"/>
      <c r="H8" s="89"/>
      <c r="I8" s="89"/>
      <c r="J8" s="89"/>
      <c r="K8" s="89"/>
      <c r="L8" s="89"/>
      <c r="M8" s="89"/>
      <c r="N8" s="89"/>
      <c r="O8" s="89"/>
      <c r="P8" s="89"/>
      <c r="Q8" s="89"/>
      <c r="R8" s="89"/>
      <c r="S8" s="89"/>
      <c r="T8" s="89"/>
      <c r="U8" s="89"/>
      <c r="V8" s="89"/>
      <c r="W8" s="89"/>
      <c r="X8" s="89"/>
      <c r="Y8" s="89"/>
      <c r="Z8" s="89"/>
    </row>
    <row r="9">
      <c r="A9" s="637">
        <v>46109.4546875</v>
      </c>
      <c r="B9" s="636">
        <v>9356152.0</v>
      </c>
      <c r="C9" s="634" t="s">
        <v>1995</v>
      </c>
      <c r="D9" s="636">
        <v>1.0</v>
      </c>
      <c r="E9" s="634" t="s">
        <v>2510</v>
      </c>
      <c r="F9" s="636">
        <v>170.0</v>
      </c>
      <c r="G9" s="89"/>
      <c r="H9" s="89"/>
      <c r="I9" s="89"/>
      <c r="J9" s="89"/>
      <c r="K9" s="89"/>
      <c r="L9" s="89"/>
      <c r="M9" s="89"/>
      <c r="N9" s="89"/>
      <c r="O9" s="89"/>
      <c r="P9" s="89"/>
      <c r="Q9" s="89"/>
      <c r="R9" s="89"/>
      <c r="S9" s="89"/>
      <c r="T9" s="89"/>
      <c r="U9" s="89"/>
      <c r="V9" s="89"/>
      <c r="W9" s="89"/>
      <c r="X9" s="89"/>
      <c r="Y9" s="89"/>
      <c r="Z9" s="89"/>
    </row>
    <row r="10">
      <c r="A10" s="637">
        <v>46109.48158564815</v>
      </c>
      <c r="B10" s="636">
        <v>9357493.0</v>
      </c>
      <c r="C10" s="634" t="s">
        <v>3617</v>
      </c>
      <c r="D10" s="636">
        <v>1.0</v>
      </c>
      <c r="E10" s="634" t="s">
        <v>2510</v>
      </c>
      <c r="F10" s="636">
        <v>90.0</v>
      </c>
      <c r="G10" s="89"/>
      <c r="H10" s="89"/>
      <c r="I10" s="89"/>
      <c r="J10" s="89"/>
      <c r="K10" s="89"/>
      <c r="L10" s="89"/>
      <c r="M10" s="89"/>
      <c r="N10" s="89"/>
      <c r="O10" s="89"/>
      <c r="P10" s="89"/>
      <c r="Q10" s="89"/>
      <c r="R10" s="89"/>
      <c r="S10" s="89"/>
      <c r="T10" s="89"/>
      <c r="U10" s="89"/>
      <c r="V10" s="89"/>
      <c r="W10" s="89"/>
      <c r="X10" s="89"/>
      <c r="Y10" s="89"/>
      <c r="Z10" s="89"/>
    </row>
    <row r="11">
      <c r="A11" s="637">
        <v>46109.56979166667</v>
      </c>
      <c r="B11" s="636">
        <v>9363340.0</v>
      </c>
      <c r="C11" s="634" t="s">
        <v>2513</v>
      </c>
      <c r="D11" s="636">
        <v>1.0</v>
      </c>
      <c r="E11" s="634" t="s">
        <v>2510</v>
      </c>
      <c r="F11" s="636">
        <v>120.0</v>
      </c>
      <c r="G11" s="89"/>
      <c r="H11" s="89"/>
      <c r="I11" s="89"/>
      <c r="J11" s="89"/>
      <c r="K11" s="89"/>
      <c r="L11" s="89"/>
      <c r="M11" s="89"/>
      <c r="N11" s="89"/>
      <c r="O11" s="89"/>
      <c r="P11" s="89"/>
      <c r="Q11" s="89"/>
      <c r="R11" s="89"/>
      <c r="S11" s="89"/>
      <c r="T11" s="89"/>
      <c r="U11" s="89"/>
      <c r="V11" s="89"/>
      <c r="W11" s="89"/>
      <c r="X11" s="89"/>
      <c r="Y11" s="89"/>
      <c r="Z11" s="89"/>
    </row>
    <row r="12">
      <c r="A12" s="637">
        <v>46109.57703703704</v>
      </c>
      <c r="B12" s="636">
        <v>9363601.0</v>
      </c>
      <c r="C12" s="634" t="s">
        <v>2514</v>
      </c>
      <c r="D12" s="636">
        <v>1.0</v>
      </c>
      <c r="E12" s="634" t="s">
        <v>2510</v>
      </c>
      <c r="F12" s="636">
        <v>120.0</v>
      </c>
      <c r="G12" s="89"/>
      <c r="H12" s="89"/>
      <c r="I12" s="89"/>
      <c r="J12" s="89"/>
      <c r="K12" s="89"/>
      <c r="L12" s="89"/>
      <c r="M12" s="89"/>
      <c r="N12" s="89"/>
      <c r="O12" s="89"/>
      <c r="P12" s="89"/>
      <c r="Q12" s="89"/>
      <c r="R12" s="89"/>
      <c r="S12" s="89"/>
      <c r="T12" s="89"/>
      <c r="U12" s="89"/>
      <c r="V12" s="89"/>
      <c r="W12" s="89"/>
      <c r="X12" s="89"/>
      <c r="Y12" s="89"/>
      <c r="Z12" s="89"/>
    </row>
    <row r="13">
      <c r="A13" s="637">
        <v>46109.67506944444</v>
      </c>
      <c r="B13" s="636">
        <v>9366714.0</v>
      </c>
      <c r="C13" s="634" t="s">
        <v>3617</v>
      </c>
      <c r="D13" s="636">
        <v>1.0</v>
      </c>
      <c r="E13" s="634" t="s">
        <v>2510</v>
      </c>
      <c r="F13" s="636">
        <v>90.0</v>
      </c>
      <c r="G13" s="89"/>
      <c r="H13" s="89"/>
      <c r="I13" s="89"/>
      <c r="J13" s="89"/>
      <c r="K13" s="89"/>
      <c r="L13" s="89"/>
      <c r="M13" s="89"/>
      <c r="N13" s="89"/>
      <c r="O13" s="89"/>
      <c r="P13" s="89"/>
      <c r="Q13" s="89"/>
      <c r="R13" s="89"/>
      <c r="S13" s="89"/>
      <c r="T13" s="89"/>
      <c r="U13" s="89"/>
      <c r="V13" s="89"/>
      <c r="W13" s="89"/>
      <c r="X13" s="89"/>
      <c r="Y13" s="89"/>
      <c r="Z13" s="89"/>
    </row>
    <row r="14">
      <c r="A14" s="637">
        <v>46109.67858796296</v>
      </c>
      <c r="B14" s="636">
        <v>9366847.0</v>
      </c>
      <c r="C14" s="634" t="s">
        <v>9057</v>
      </c>
      <c r="D14" s="636">
        <v>1.0</v>
      </c>
      <c r="E14" s="634" t="s">
        <v>2510</v>
      </c>
      <c r="F14" s="636">
        <v>90.0</v>
      </c>
      <c r="G14" s="89"/>
      <c r="H14" s="89"/>
      <c r="I14" s="89"/>
      <c r="J14" s="89"/>
      <c r="K14" s="89"/>
      <c r="L14" s="89"/>
      <c r="M14" s="89"/>
      <c r="N14" s="89"/>
      <c r="O14" s="89"/>
      <c r="P14" s="89"/>
      <c r="Q14" s="89"/>
      <c r="R14" s="89"/>
      <c r="S14" s="89"/>
      <c r="T14" s="89"/>
      <c r="U14" s="89"/>
      <c r="V14" s="89"/>
      <c r="W14" s="89"/>
      <c r="X14" s="89"/>
      <c r="Y14" s="89"/>
      <c r="Z14" s="89"/>
    </row>
    <row r="15">
      <c r="A15" s="637">
        <v>46109.712592592594</v>
      </c>
      <c r="B15" s="636">
        <v>9368628.0</v>
      </c>
      <c r="C15" s="634" t="s">
        <v>9058</v>
      </c>
      <c r="D15" s="636">
        <v>3.0</v>
      </c>
      <c r="E15" s="634" t="s">
        <v>2510</v>
      </c>
      <c r="F15" s="636">
        <v>50.0</v>
      </c>
      <c r="G15" s="89"/>
      <c r="H15" s="89"/>
      <c r="I15" s="89"/>
      <c r="J15" s="89"/>
      <c r="K15" s="89"/>
      <c r="L15" s="89"/>
      <c r="M15" s="89"/>
      <c r="N15" s="89"/>
      <c r="O15" s="89"/>
      <c r="P15" s="89"/>
      <c r="Q15" s="89"/>
      <c r="R15" s="89"/>
      <c r="S15" s="89"/>
      <c r="T15" s="89"/>
      <c r="U15" s="89"/>
      <c r="V15" s="89"/>
      <c r="W15" s="89"/>
      <c r="X15" s="89"/>
      <c r="Y15" s="89"/>
      <c r="Z15" s="89"/>
    </row>
    <row r="16">
      <c r="A16" s="637">
        <v>46109.712592592594</v>
      </c>
      <c r="B16" s="636">
        <v>9368628.0</v>
      </c>
      <c r="C16" s="634" t="s">
        <v>9059</v>
      </c>
      <c r="D16" s="636">
        <v>1.0</v>
      </c>
      <c r="E16" s="634" t="s">
        <v>2510</v>
      </c>
      <c r="F16" s="636">
        <v>150.0</v>
      </c>
      <c r="G16" s="89"/>
      <c r="H16" s="89"/>
      <c r="I16" s="89"/>
      <c r="J16" s="89"/>
      <c r="K16" s="89"/>
      <c r="L16" s="89"/>
      <c r="M16" s="89"/>
      <c r="N16" s="89"/>
      <c r="O16" s="89"/>
      <c r="P16" s="89"/>
      <c r="Q16" s="89"/>
      <c r="R16" s="89"/>
      <c r="S16" s="89"/>
      <c r="T16" s="89"/>
      <c r="U16" s="89"/>
      <c r="V16" s="89"/>
      <c r="W16" s="89"/>
      <c r="X16" s="89"/>
      <c r="Y16" s="89"/>
      <c r="Z16" s="89"/>
    </row>
    <row r="17">
      <c r="A17" s="637">
        <v>46109.73674768519</v>
      </c>
      <c r="B17" s="636">
        <v>9370191.0</v>
      </c>
      <c r="C17" s="634" t="s">
        <v>6974</v>
      </c>
      <c r="D17" s="636">
        <v>1.0</v>
      </c>
      <c r="E17" s="634" t="s">
        <v>2511</v>
      </c>
      <c r="F17" s="636">
        <v>90.0</v>
      </c>
      <c r="G17" s="89"/>
      <c r="H17" s="89"/>
      <c r="I17" s="89"/>
      <c r="J17" s="89"/>
      <c r="K17" s="89"/>
      <c r="L17" s="89"/>
      <c r="M17" s="89"/>
      <c r="N17" s="89"/>
      <c r="O17" s="89"/>
      <c r="P17" s="89"/>
      <c r="Q17" s="89"/>
      <c r="R17" s="89"/>
      <c r="S17" s="89"/>
      <c r="T17" s="89"/>
      <c r="U17" s="89"/>
      <c r="V17" s="89"/>
      <c r="W17" s="89"/>
      <c r="X17" s="89"/>
      <c r="Y17" s="89"/>
      <c r="Z17" s="89"/>
    </row>
    <row r="18">
      <c r="A18" s="637">
        <v>46119.390081018515</v>
      </c>
      <c r="B18" s="636">
        <v>9621299.0</v>
      </c>
      <c r="C18" s="638" t="s">
        <v>247</v>
      </c>
      <c r="D18" s="636">
        <v>1.0</v>
      </c>
      <c r="E18" s="634" t="s">
        <v>2510</v>
      </c>
      <c r="F18" s="636">
        <v>170.0</v>
      </c>
      <c r="G18" s="89"/>
      <c r="H18" s="89"/>
      <c r="I18" s="89"/>
      <c r="J18" s="89"/>
      <c r="K18" s="89"/>
      <c r="L18" s="89"/>
      <c r="M18" s="89"/>
      <c r="N18" s="89"/>
      <c r="O18" s="89"/>
      <c r="P18" s="89"/>
      <c r="Q18" s="89"/>
      <c r="R18" s="89"/>
      <c r="S18" s="89"/>
      <c r="T18" s="89"/>
      <c r="U18" s="89"/>
      <c r="V18" s="89"/>
      <c r="W18" s="89"/>
      <c r="X18" s="89"/>
      <c r="Y18" s="89"/>
      <c r="Z18" s="89"/>
    </row>
    <row r="19">
      <c r="A19" s="637">
        <v>46120.76917824074</v>
      </c>
      <c r="B19" s="636">
        <v>9645088.0</v>
      </c>
      <c r="C19" s="638" t="s">
        <v>271</v>
      </c>
      <c r="D19" s="636">
        <v>1.0</v>
      </c>
      <c r="E19" s="634" t="s">
        <v>2510</v>
      </c>
      <c r="F19" s="636">
        <v>80.0</v>
      </c>
      <c r="G19" s="89"/>
      <c r="H19" s="89"/>
      <c r="I19" s="89"/>
      <c r="J19" s="89"/>
      <c r="K19" s="89"/>
      <c r="L19" s="89"/>
      <c r="M19" s="89"/>
      <c r="N19" s="89"/>
      <c r="O19" s="89"/>
      <c r="P19" s="89"/>
      <c r="Q19" s="89"/>
      <c r="R19" s="89"/>
      <c r="S19" s="89"/>
      <c r="T19" s="89"/>
      <c r="U19" s="89"/>
      <c r="V19" s="89"/>
      <c r="W19" s="89"/>
      <c r="X19" s="89"/>
      <c r="Y19" s="89"/>
      <c r="Z19" s="89"/>
    </row>
    <row r="20">
      <c r="A20" s="637">
        <v>46120.76969907407</v>
      </c>
      <c r="B20" s="636">
        <v>9645109.0</v>
      </c>
      <c r="C20" s="638" t="s">
        <v>273</v>
      </c>
      <c r="D20" s="636">
        <v>1.0</v>
      </c>
      <c r="E20" s="634" t="s">
        <v>2510</v>
      </c>
      <c r="F20" s="636">
        <v>80.0</v>
      </c>
      <c r="G20" s="89"/>
      <c r="H20" s="89"/>
      <c r="I20" s="638" t="s">
        <v>161</v>
      </c>
      <c r="J20" s="89"/>
      <c r="K20" s="89"/>
      <c r="L20" s="89"/>
      <c r="M20" s="89"/>
      <c r="N20" s="89"/>
      <c r="O20" s="89"/>
      <c r="P20" s="89"/>
      <c r="Q20" s="89"/>
      <c r="R20" s="89"/>
      <c r="S20" s="89"/>
      <c r="T20" s="89"/>
      <c r="U20" s="89"/>
      <c r="V20" s="89"/>
      <c r="W20" s="89"/>
      <c r="X20" s="89"/>
      <c r="Y20" s="89"/>
      <c r="Z20" s="89"/>
    </row>
    <row r="21">
      <c r="A21" s="637">
        <v>46120.77070601852</v>
      </c>
      <c r="B21" s="636">
        <v>9645146.0</v>
      </c>
      <c r="C21" s="638" t="s">
        <v>273</v>
      </c>
      <c r="D21" s="636">
        <v>1.0</v>
      </c>
      <c r="E21" s="634" t="s">
        <v>2510</v>
      </c>
      <c r="F21" s="636">
        <v>80.0</v>
      </c>
      <c r="G21" s="89"/>
      <c r="H21" s="89"/>
      <c r="I21" s="638" t="s">
        <v>271</v>
      </c>
      <c r="J21" s="89"/>
      <c r="K21" s="89"/>
      <c r="L21" s="89"/>
      <c r="M21" s="89"/>
      <c r="N21" s="89"/>
      <c r="O21" s="89"/>
      <c r="P21" s="89"/>
      <c r="Q21" s="89"/>
      <c r="R21" s="89"/>
      <c r="S21" s="89"/>
      <c r="T21" s="89"/>
      <c r="U21" s="89"/>
      <c r="V21" s="89"/>
      <c r="W21" s="89"/>
      <c r="X21" s="89"/>
      <c r="Y21" s="89"/>
      <c r="Z21" s="89"/>
    </row>
    <row r="22">
      <c r="A22" s="637">
        <v>46120.77070601852</v>
      </c>
      <c r="B22" s="636">
        <v>9645146.0</v>
      </c>
      <c r="C22" s="638" t="s">
        <v>271</v>
      </c>
      <c r="D22" s="636">
        <v>1.0</v>
      </c>
      <c r="E22" s="634" t="s">
        <v>2510</v>
      </c>
      <c r="F22" s="636">
        <v>80.0</v>
      </c>
      <c r="G22" s="89"/>
      <c r="H22" s="89"/>
      <c r="I22" s="638" t="s">
        <v>273</v>
      </c>
      <c r="J22" s="89"/>
      <c r="K22" s="89"/>
      <c r="L22" s="89"/>
      <c r="M22" s="89"/>
      <c r="N22" s="89"/>
      <c r="O22" s="89"/>
      <c r="P22" s="89"/>
      <c r="Q22" s="89"/>
      <c r="R22" s="89"/>
      <c r="S22" s="89"/>
      <c r="T22" s="89"/>
      <c r="U22" s="89"/>
      <c r="V22" s="89"/>
      <c r="W22" s="89"/>
      <c r="X22" s="89"/>
      <c r="Y22" s="89"/>
      <c r="Z22" s="89"/>
    </row>
    <row r="23">
      <c r="A23" s="637">
        <v>46120.772523148145</v>
      </c>
      <c r="B23" s="636">
        <v>9645209.0</v>
      </c>
      <c r="C23" s="634" t="s">
        <v>2519</v>
      </c>
      <c r="D23" s="636">
        <v>1.0</v>
      </c>
      <c r="E23" s="634" t="s">
        <v>2510</v>
      </c>
      <c r="F23" s="636">
        <v>150.0</v>
      </c>
      <c r="G23" s="89"/>
      <c r="H23" s="89"/>
      <c r="I23" s="639" t="s">
        <v>271</v>
      </c>
      <c r="J23" s="89"/>
      <c r="K23" s="89"/>
      <c r="L23" s="89"/>
      <c r="M23" s="89"/>
      <c r="N23" s="89"/>
      <c r="O23" s="89"/>
      <c r="P23" s="89"/>
      <c r="Q23" s="89"/>
      <c r="R23" s="89"/>
      <c r="S23" s="89"/>
      <c r="T23" s="89"/>
      <c r="U23" s="89"/>
      <c r="V23" s="89"/>
      <c r="W23" s="89"/>
      <c r="X23" s="89"/>
      <c r="Y23" s="89"/>
      <c r="Z23" s="89"/>
    </row>
    <row r="24">
      <c r="A24" s="637">
        <v>46121.62170138889</v>
      </c>
      <c r="B24" s="636">
        <v>9658460.0</v>
      </c>
      <c r="C24" s="634" t="s">
        <v>2520</v>
      </c>
      <c r="D24" s="636">
        <v>1.0</v>
      </c>
      <c r="E24" s="634" t="s">
        <v>2510</v>
      </c>
      <c r="F24" s="636">
        <v>90.0</v>
      </c>
      <c r="G24" s="89"/>
      <c r="H24" s="89"/>
      <c r="I24" s="89"/>
      <c r="J24" s="89"/>
      <c r="K24" s="89"/>
      <c r="L24" s="89"/>
      <c r="M24" s="89"/>
      <c r="N24" s="89"/>
      <c r="O24" s="89"/>
      <c r="P24" s="89"/>
      <c r="Q24" s="89"/>
      <c r="R24" s="89"/>
      <c r="S24" s="89"/>
      <c r="T24" s="89"/>
      <c r="U24" s="89"/>
      <c r="V24" s="89"/>
      <c r="W24" s="89"/>
      <c r="X24" s="89"/>
      <c r="Y24" s="89"/>
      <c r="Z24" s="89"/>
    </row>
    <row r="25">
      <c r="A25" s="637">
        <v>46121.64938657408</v>
      </c>
      <c r="B25" s="636">
        <v>9658908.0</v>
      </c>
      <c r="C25" s="634" t="s">
        <v>213</v>
      </c>
      <c r="D25" s="636">
        <v>1.0</v>
      </c>
      <c r="E25" s="634" t="s">
        <v>2510</v>
      </c>
      <c r="F25" s="636">
        <v>50.0</v>
      </c>
      <c r="G25" s="89"/>
      <c r="H25" s="89"/>
      <c r="I25" s="89"/>
      <c r="J25" s="89"/>
      <c r="K25" s="89"/>
      <c r="L25" s="89"/>
      <c r="M25" s="89"/>
      <c r="N25" s="89"/>
      <c r="O25" s="89"/>
      <c r="P25" s="89"/>
      <c r="Q25" s="89"/>
      <c r="R25" s="89"/>
      <c r="S25" s="89"/>
      <c r="T25" s="89"/>
      <c r="U25" s="89"/>
      <c r="V25" s="89"/>
      <c r="W25" s="89"/>
      <c r="X25" s="89"/>
      <c r="Y25" s="89"/>
      <c r="Z25" s="89"/>
    </row>
    <row r="26">
      <c r="A26" s="637">
        <v>46122.5108912037</v>
      </c>
      <c r="B26" s="636">
        <v>9675821.0</v>
      </c>
      <c r="C26" s="634" t="s">
        <v>2037</v>
      </c>
      <c r="D26" s="636">
        <v>1.0</v>
      </c>
      <c r="E26" s="634" t="s">
        <v>2510</v>
      </c>
      <c r="F26" s="636">
        <v>150.0</v>
      </c>
      <c r="G26" s="89"/>
      <c r="H26" s="89"/>
      <c r="I26" s="89"/>
      <c r="J26" s="89"/>
      <c r="K26" s="89"/>
      <c r="L26" s="89"/>
      <c r="M26" s="89"/>
      <c r="N26" s="89"/>
      <c r="O26" s="89"/>
      <c r="P26" s="89"/>
      <c r="Q26" s="89"/>
      <c r="R26" s="89"/>
      <c r="S26" s="89"/>
      <c r="T26" s="89"/>
      <c r="U26" s="89"/>
      <c r="V26" s="89"/>
      <c r="W26" s="89"/>
      <c r="X26" s="89"/>
      <c r="Y26" s="89"/>
      <c r="Z26" s="89"/>
    </row>
    <row r="27">
      <c r="A27" s="637">
        <v>46122.544953703706</v>
      </c>
      <c r="B27" s="636">
        <v>9676638.0</v>
      </c>
      <c r="C27" s="634" t="s">
        <v>2520</v>
      </c>
      <c r="D27" s="636">
        <v>1.0</v>
      </c>
      <c r="E27" s="634" t="s">
        <v>2510</v>
      </c>
      <c r="F27" s="636">
        <v>90.0</v>
      </c>
      <c r="G27" s="89"/>
      <c r="H27" s="89"/>
      <c r="I27" s="89"/>
      <c r="J27" s="89"/>
      <c r="K27" s="89"/>
      <c r="L27" s="89"/>
      <c r="M27" s="89"/>
      <c r="N27" s="89"/>
      <c r="O27" s="89"/>
      <c r="P27" s="89"/>
      <c r="Q27" s="89"/>
      <c r="R27" s="89"/>
      <c r="S27" s="89"/>
      <c r="T27" s="89"/>
      <c r="U27" s="89"/>
      <c r="V27" s="89"/>
      <c r="W27" s="89"/>
      <c r="X27" s="89"/>
      <c r="Y27" s="89"/>
      <c r="Z27" s="89"/>
    </row>
    <row r="28">
      <c r="A28" s="637">
        <v>46122.55357638889</v>
      </c>
      <c r="B28" s="636">
        <v>9676768.0</v>
      </c>
      <c r="C28" s="634" t="s">
        <v>2028</v>
      </c>
      <c r="D28" s="636">
        <v>1.0</v>
      </c>
      <c r="E28" s="634" t="s">
        <v>2510</v>
      </c>
      <c r="F28" s="636">
        <v>80.0</v>
      </c>
      <c r="G28" s="89"/>
      <c r="H28" s="89"/>
      <c r="I28" s="89"/>
      <c r="J28" s="89"/>
      <c r="K28" s="89"/>
      <c r="L28" s="89"/>
      <c r="M28" s="89"/>
      <c r="N28" s="89"/>
      <c r="O28" s="89"/>
      <c r="P28" s="89"/>
      <c r="Q28" s="89"/>
      <c r="R28" s="89"/>
      <c r="S28" s="89"/>
      <c r="T28" s="89"/>
      <c r="U28" s="89"/>
      <c r="V28" s="89"/>
      <c r="W28" s="89"/>
      <c r="X28" s="89"/>
      <c r="Y28" s="89"/>
      <c r="Z28" s="89"/>
    </row>
    <row r="29">
      <c r="A29" s="637">
        <v>46123.47482638889</v>
      </c>
      <c r="B29" s="636">
        <v>9710035.0</v>
      </c>
      <c r="C29" s="634" t="s">
        <v>205</v>
      </c>
      <c r="D29" s="636">
        <v>1.0</v>
      </c>
      <c r="E29" s="634" t="s">
        <v>2510</v>
      </c>
      <c r="F29" s="636">
        <v>105.0</v>
      </c>
      <c r="G29" s="89"/>
      <c r="H29" s="89"/>
      <c r="I29" s="89"/>
      <c r="J29" s="89"/>
      <c r="K29" s="89"/>
      <c r="L29" s="89"/>
      <c r="M29" s="89"/>
      <c r="N29" s="89"/>
      <c r="O29" s="89"/>
      <c r="P29" s="89"/>
      <c r="Q29" s="89"/>
      <c r="R29" s="89"/>
      <c r="S29" s="89"/>
      <c r="T29" s="89"/>
      <c r="U29" s="89"/>
      <c r="V29" s="89"/>
      <c r="W29" s="89"/>
      <c r="X29" s="89"/>
      <c r="Y29" s="89"/>
      <c r="Z29" s="89"/>
    </row>
    <row r="30">
      <c r="A30" s="637">
        <v>46123.51246527778</v>
      </c>
      <c r="B30" s="636">
        <v>9712742.0</v>
      </c>
      <c r="C30" s="634" t="s">
        <v>2521</v>
      </c>
      <c r="D30" s="636">
        <v>1.0</v>
      </c>
      <c r="E30" s="634" t="s">
        <v>2510</v>
      </c>
      <c r="F30" s="636">
        <v>120.0</v>
      </c>
      <c r="G30" s="89"/>
      <c r="H30" s="89"/>
      <c r="I30" s="89"/>
      <c r="J30" s="89"/>
      <c r="K30" s="89"/>
      <c r="L30" s="89"/>
      <c r="M30" s="89"/>
      <c r="N30" s="89"/>
      <c r="O30" s="89"/>
      <c r="P30" s="89"/>
      <c r="Q30" s="89"/>
      <c r="R30" s="89"/>
      <c r="S30" s="89"/>
      <c r="T30" s="89"/>
      <c r="U30" s="89"/>
      <c r="V30" s="89"/>
      <c r="W30" s="89"/>
      <c r="X30" s="89"/>
      <c r="Y30" s="89"/>
      <c r="Z30" s="89"/>
    </row>
    <row r="31">
      <c r="A31" s="637">
        <v>46123.540300925924</v>
      </c>
      <c r="B31" s="636">
        <v>9713965.0</v>
      </c>
      <c r="C31" s="634" t="s">
        <v>2522</v>
      </c>
      <c r="D31" s="636">
        <v>1.0</v>
      </c>
      <c r="E31" s="634" t="s">
        <v>2510</v>
      </c>
      <c r="F31" s="636">
        <v>80.0</v>
      </c>
      <c r="G31" s="89"/>
      <c r="H31" s="89"/>
      <c r="I31" s="89"/>
      <c r="J31" s="89"/>
      <c r="K31" s="89"/>
      <c r="L31" s="89"/>
      <c r="M31" s="89"/>
      <c r="N31" s="89"/>
      <c r="O31" s="89"/>
      <c r="P31" s="89"/>
      <c r="Q31" s="89"/>
      <c r="R31" s="89"/>
      <c r="S31" s="89"/>
      <c r="T31" s="89"/>
      <c r="U31" s="89"/>
      <c r="V31" s="89"/>
      <c r="W31" s="89"/>
      <c r="X31" s="89"/>
      <c r="Y31" s="89"/>
      <c r="Z31" s="89"/>
    </row>
    <row r="32">
      <c r="A32" s="637">
        <v>46123.57313657407</v>
      </c>
      <c r="B32" s="636">
        <v>9715218.0</v>
      </c>
      <c r="C32" s="634" t="s">
        <v>233</v>
      </c>
      <c r="D32" s="636">
        <v>1.0</v>
      </c>
      <c r="E32" s="634" t="s">
        <v>2510</v>
      </c>
      <c r="F32" s="636">
        <v>110.0</v>
      </c>
      <c r="G32" s="89"/>
      <c r="H32" s="89"/>
      <c r="I32" s="89"/>
      <c r="J32" s="89"/>
      <c r="K32" s="89"/>
      <c r="L32" s="89"/>
      <c r="M32" s="89"/>
      <c r="N32" s="89"/>
      <c r="O32" s="89"/>
      <c r="P32" s="89"/>
      <c r="Q32" s="89"/>
      <c r="R32" s="89"/>
      <c r="S32" s="89"/>
      <c r="T32" s="89"/>
      <c r="U32" s="89"/>
      <c r="V32" s="89"/>
      <c r="W32" s="89"/>
      <c r="X32" s="89"/>
      <c r="Y32" s="89"/>
      <c r="Z32" s="89"/>
    </row>
    <row r="33">
      <c r="A33" s="637">
        <v>46123.57313657407</v>
      </c>
      <c r="B33" s="636">
        <v>9715218.0</v>
      </c>
      <c r="C33" s="634" t="s">
        <v>233</v>
      </c>
      <c r="D33" s="636">
        <v>1.0</v>
      </c>
      <c r="E33" s="634" t="s">
        <v>2510</v>
      </c>
      <c r="F33" s="636">
        <v>110.0</v>
      </c>
      <c r="G33" s="89"/>
      <c r="H33" s="89"/>
      <c r="I33" s="89"/>
      <c r="J33" s="89"/>
      <c r="K33" s="89"/>
      <c r="L33" s="89"/>
      <c r="M33" s="89"/>
      <c r="N33" s="89"/>
      <c r="O33" s="89"/>
      <c r="P33" s="89"/>
      <c r="Q33" s="89"/>
      <c r="R33" s="89"/>
      <c r="S33" s="89"/>
      <c r="T33" s="89"/>
      <c r="U33" s="89"/>
      <c r="V33" s="89"/>
      <c r="W33" s="89"/>
      <c r="X33" s="89"/>
      <c r="Y33" s="89"/>
      <c r="Z33" s="89"/>
    </row>
    <row r="34">
      <c r="A34" s="637">
        <v>46123.594305555554</v>
      </c>
      <c r="B34" s="636">
        <v>9715964.0</v>
      </c>
      <c r="C34" s="634" t="s">
        <v>2001</v>
      </c>
      <c r="D34" s="636">
        <v>1.0</v>
      </c>
      <c r="E34" s="634" t="s">
        <v>2510</v>
      </c>
      <c r="F34" s="636">
        <v>150.0</v>
      </c>
      <c r="G34" s="89"/>
      <c r="H34" s="89"/>
      <c r="I34" s="89"/>
      <c r="J34" s="89"/>
      <c r="K34" s="89"/>
      <c r="L34" s="89"/>
      <c r="M34" s="89"/>
      <c r="N34" s="89"/>
      <c r="O34" s="89"/>
      <c r="P34" s="89"/>
      <c r="Q34" s="89"/>
      <c r="R34" s="89"/>
      <c r="S34" s="89"/>
      <c r="T34" s="89"/>
      <c r="U34" s="89"/>
      <c r="V34" s="89"/>
      <c r="W34" s="89"/>
      <c r="X34" s="89"/>
      <c r="Y34" s="89"/>
      <c r="Z34" s="89"/>
    </row>
    <row r="35">
      <c r="A35" s="637">
        <v>46124.43408564815</v>
      </c>
      <c r="B35" s="636">
        <v>9762846.0</v>
      </c>
      <c r="C35" s="634" t="s">
        <v>2514</v>
      </c>
      <c r="D35" s="636">
        <v>1.0</v>
      </c>
      <c r="E35" s="634" t="s">
        <v>2510</v>
      </c>
      <c r="F35" s="636">
        <v>120.0</v>
      </c>
      <c r="G35" s="89"/>
      <c r="H35" s="89"/>
      <c r="I35" s="89"/>
      <c r="J35" s="89"/>
      <c r="K35" s="89"/>
      <c r="L35" s="89"/>
      <c r="M35" s="89"/>
      <c r="N35" s="89"/>
      <c r="O35" s="89"/>
      <c r="P35" s="89"/>
      <c r="Q35" s="89"/>
      <c r="R35" s="89"/>
      <c r="S35" s="89"/>
      <c r="T35" s="89"/>
      <c r="U35" s="89"/>
      <c r="V35" s="89"/>
      <c r="W35" s="89"/>
      <c r="X35" s="89"/>
      <c r="Y35" s="89"/>
      <c r="Z35" s="89"/>
    </row>
    <row r="36">
      <c r="A36" s="637">
        <v>46124.43408564815</v>
      </c>
      <c r="B36" s="636">
        <v>9762846.0</v>
      </c>
      <c r="C36" s="634" t="s">
        <v>2524</v>
      </c>
      <c r="D36" s="636">
        <v>1.0</v>
      </c>
      <c r="E36" s="634" t="s">
        <v>2510</v>
      </c>
      <c r="F36" s="636">
        <v>90.0</v>
      </c>
      <c r="G36" s="89"/>
      <c r="H36" s="89"/>
      <c r="I36" s="89"/>
      <c r="J36" s="89"/>
      <c r="K36" s="89"/>
      <c r="L36" s="89"/>
      <c r="M36" s="89"/>
      <c r="N36" s="89"/>
      <c r="O36" s="89"/>
      <c r="P36" s="89"/>
      <c r="Q36" s="89"/>
      <c r="R36" s="89"/>
      <c r="S36" s="89"/>
      <c r="T36" s="89"/>
      <c r="U36" s="89"/>
      <c r="V36" s="89"/>
      <c r="W36" s="89"/>
      <c r="X36" s="89"/>
      <c r="Y36" s="89"/>
      <c r="Z36" s="89"/>
    </row>
    <row r="37">
      <c r="A37" s="637">
        <v>46124.43719907408</v>
      </c>
      <c r="B37" s="636">
        <v>9763113.0</v>
      </c>
      <c r="C37" s="634" t="s">
        <v>2029</v>
      </c>
      <c r="D37" s="636">
        <v>1.0</v>
      </c>
      <c r="E37" s="634" t="s">
        <v>2510</v>
      </c>
      <c r="F37" s="636">
        <v>90.0</v>
      </c>
      <c r="G37" s="89"/>
      <c r="H37" s="89"/>
      <c r="I37" s="89"/>
      <c r="J37" s="89"/>
      <c r="K37" s="89"/>
      <c r="L37" s="89"/>
      <c r="M37" s="89"/>
      <c r="N37" s="89"/>
      <c r="O37" s="89"/>
      <c r="P37" s="89"/>
      <c r="Q37" s="89"/>
      <c r="R37" s="89"/>
      <c r="S37" s="89"/>
      <c r="T37" s="89"/>
      <c r="U37" s="89"/>
      <c r="V37" s="89"/>
      <c r="W37" s="89"/>
      <c r="X37" s="89"/>
      <c r="Y37" s="89"/>
      <c r="Z37" s="89"/>
    </row>
    <row r="38">
      <c r="A38" s="637">
        <v>46124.480405092596</v>
      </c>
      <c r="B38" s="636">
        <v>9767442.0</v>
      </c>
      <c r="C38" s="634" t="s">
        <v>277</v>
      </c>
      <c r="D38" s="636">
        <v>1.0</v>
      </c>
      <c r="E38" s="634" t="s">
        <v>2510</v>
      </c>
      <c r="F38" s="636">
        <v>80.0</v>
      </c>
      <c r="G38" s="89"/>
      <c r="H38" s="89"/>
      <c r="I38" s="89"/>
      <c r="J38" s="89"/>
      <c r="K38" s="89"/>
      <c r="L38" s="89"/>
      <c r="M38" s="89"/>
      <c r="N38" s="89"/>
      <c r="O38" s="89"/>
      <c r="P38" s="89"/>
      <c r="Q38" s="89"/>
      <c r="R38" s="89"/>
      <c r="S38" s="89"/>
      <c r="T38" s="89"/>
      <c r="U38" s="89"/>
      <c r="V38" s="89"/>
      <c r="W38" s="89"/>
      <c r="X38" s="89"/>
      <c r="Y38" s="89"/>
      <c r="Z38" s="89"/>
    </row>
    <row r="39">
      <c r="A39" s="637">
        <v>46124.57884259259</v>
      </c>
      <c r="B39" s="636">
        <v>9773125.0</v>
      </c>
      <c r="C39" s="634" t="s">
        <v>2037</v>
      </c>
      <c r="D39" s="636">
        <v>1.0</v>
      </c>
      <c r="E39" s="634" t="s">
        <v>2510</v>
      </c>
      <c r="F39" s="636">
        <v>150.0</v>
      </c>
      <c r="G39" s="89"/>
      <c r="H39" s="89"/>
      <c r="I39" s="89"/>
      <c r="J39" s="89"/>
      <c r="K39" s="89"/>
      <c r="L39" s="89"/>
      <c r="M39" s="89"/>
      <c r="N39" s="89"/>
      <c r="O39" s="89"/>
      <c r="P39" s="89"/>
      <c r="Q39" s="89"/>
      <c r="R39" s="89"/>
      <c r="S39" s="89"/>
      <c r="T39" s="89"/>
      <c r="U39" s="89"/>
      <c r="V39" s="89"/>
      <c r="W39" s="89"/>
      <c r="X39" s="89"/>
      <c r="Y39" s="89"/>
      <c r="Z39" s="89"/>
    </row>
    <row r="40">
      <c r="A40" s="637">
        <v>46124.6353125</v>
      </c>
      <c r="B40" s="636">
        <v>9775008.0</v>
      </c>
      <c r="C40" s="634" t="s">
        <v>277</v>
      </c>
      <c r="D40" s="636">
        <v>1.0</v>
      </c>
      <c r="E40" s="634" t="s">
        <v>2511</v>
      </c>
      <c r="F40" s="636">
        <v>80.0</v>
      </c>
      <c r="G40" s="89"/>
      <c r="H40" s="89"/>
      <c r="I40" s="89"/>
      <c r="J40" s="89"/>
      <c r="K40" s="89"/>
      <c r="L40" s="89"/>
      <c r="M40" s="89"/>
      <c r="N40" s="89"/>
      <c r="O40" s="89"/>
      <c r="P40" s="89"/>
      <c r="Q40" s="89"/>
      <c r="R40" s="89"/>
      <c r="S40" s="89"/>
      <c r="T40" s="89"/>
      <c r="U40" s="89"/>
      <c r="V40" s="89"/>
      <c r="W40" s="89"/>
      <c r="X40" s="89"/>
      <c r="Y40" s="89"/>
      <c r="Z40" s="89"/>
    </row>
    <row r="41">
      <c r="A41" s="637">
        <v>46124.68256944444</v>
      </c>
      <c r="B41" s="636">
        <v>9776857.0</v>
      </c>
      <c r="C41" s="634" t="s">
        <v>193</v>
      </c>
      <c r="D41" s="636">
        <v>1.0</v>
      </c>
      <c r="E41" s="634" t="s">
        <v>2510</v>
      </c>
      <c r="F41" s="636">
        <v>120.0</v>
      </c>
      <c r="G41" s="89"/>
      <c r="H41" s="89"/>
      <c r="I41" s="89"/>
      <c r="J41" s="89"/>
      <c r="K41" s="89"/>
      <c r="L41" s="89"/>
      <c r="M41" s="89"/>
      <c r="N41" s="89"/>
      <c r="O41" s="89"/>
      <c r="P41" s="89"/>
      <c r="Q41" s="89"/>
      <c r="R41" s="89"/>
      <c r="S41" s="89"/>
      <c r="T41" s="89"/>
      <c r="U41" s="89"/>
      <c r="V41" s="89"/>
      <c r="W41" s="89"/>
      <c r="X41" s="89"/>
      <c r="Y41" s="89"/>
      <c r="Z41" s="89"/>
    </row>
    <row r="42">
      <c r="A42" s="637">
        <v>46129.47920138889</v>
      </c>
      <c r="B42" s="636">
        <v>9869027.0</v>
      </c>
      <c r="C42" s="634" t="s">
        <v>2525</v>
      </c>
      <c r="D42" s="636">
        <v>1.0</v>
      </c>
      <c r="E42" s="634" t="s">
        <v>2510</v>
      </c>
      <c r="F42" s="636">
        <v>80.0</v>
      </c>
      <c r="G42" s="89"/>
      <c r="H42" s="89"/>
      <c r="I42" s="89"/>
      <c r="J42" s="89"/>
      <c r="K42" s="89"/>
      <c r="L42" s="89"/>
      <c r="M42" s="89"/>
      <c r="N42" s="89"/>
      <c r="O42" s="89"/>
      <c r="P42" s="89"/>
      <c r="Q42" s="89"/>
      <c r="R42" s="89"/>
      <c r="S42" s="89"/>
      <c r="T42" s="89"/>
      <c r="U42" s="89"/>
      <c r="V42" s="89"/>
      <c r="W42" s="89"/>
      <c r="X42" s="89"/>
      <c r="Y42" s="89"/>
      <c r="Z42" s="89"/>
    </row>
    <row r="43">
      <c r="A43" s="637">
        <v>46130.50755787037</v>
      </c>
      <c r="B43" s="636">
        <v>9922503.0</v>
      </c>
      <c r="C43" s="634" t="s">
        <v>2519</v>
      </c>
      <c r="D43" s="636">
        <v>1.0</v>
      </c>
      <c r="E43" s="634" t="s">
        <v>2510</v>
      </c>
      <c r="F43" s="636">
        <v>150.0</v>
      </c>
      <c r="G43" s="89"/>
      <c r="H43" s="89"/>
      <c r="I43" s="89"/>
      <c r="J43" s="89"/>
      <c r="K43" s="89"/>
      <c r="L43" s="89"/>
      <c r="M43" s="89"/>
      <c r="N43" s="89"/>
      <c r="O43" s="89"/>
      <c r="P43" s="89"/>
      <c r="Q43" s="89"/>
      <c r="R43" s="89"/>
      <c r="S43" s="89"/>
      <c r="T43" s="89"/>
      <c r="U43" s="89"/>
      <c r="V43" s="89"/>
      <c r="W43" s="89"/>
      <c r="X43" s="89"/>
      <c r="Y43" s="89"/>
      <c r="Z43" s="89"/>
    </row>
    <row r="44">
      <c r="A44" s="637">
        <v>46130.53189814815</v>
      </c>
      <c r="B44" s="636">
        <v>9924026.0</v>
      </c>
      <c r="C44" s="634" t="s">
        <v>2526</v>
      </c>
      <c r="D44" s="636">
        <v>1.0</v>
      </c>
      <c r="E44" s="634" t="s">
        <v>2510</v>
      </c>
      <c r="F44" s="636">
        <v>80.0</v>
      </c>
      <c r="G44" s="89"/>
      <c r="H44" s="89"/>
      <c r="I44" s="89"/>
      <c r="J44" s="89"/>
      <c r="K44" s="89"/>
      <c r="L44" s="89"/>
      <c r="M44" s="89"/>
      <c r="N44" s="89"/>
      <c r="O44" s="89"/>
      <c r="P44" s="89"/>
      <c r="Q44" s="89"/>
      <c r="R44" s="89"/>
      <c r="S44" s="89"/>
      <c r="T44" s="89"/>
      <c r="U44" s="89"/>
      <c r="V44" s="89"/>
      <c r="W44" s="89"/>
      <c r="X44" s="89"/>
      <c r="Y44" s="89"/>
      <c r="Z44" s="89"/>
    </row>
    <row r="45">
      <c r="A45" s="637">
        <v>46130.53189814815</v>
      </c>
      <c r="B45" s="636">
        <v>9924026.0</v>
      </c>
      <c r="C45" s="634" t="s">
        <v>277</v>
      </c>
      <c r="D45" s="636">
        <v>1.0</v>
      </c>
      <c r="E45" s="634" t="s">
        <v>2510</v>
      </c>
      <c r="F45" s="636">
        <v>80.0</v>
      </c>
      <c r="G45" s="89"/>
      <c r="H45" s="89"/>
      <c r="I45" s="89"/>
      <c r="J45" s="89"/>
      <c r="K45" s="89"/>
      <c r="L45" s="89"/>
      <c r="M45" s="89"/>
      <c r="N45" s="89"/>
      <c r="O45" s="89"/>
      <c r="P45" s="89"/>
      <c r="Q45" s="89"/>
      <c r="R45" s="89"/>
      <c r="S45" s="89"/>
      <c r="T45" s="89"/>
      <c r="U45" s="89"/>
      <c r="V45" s="89"/>
      <c r="W45" s="89"/>
      <c r="X45" s="89"/>
      <c r="Y45" s="89"/>
      <c r="Z45" s="89"/>
    </row>
    <row r="46">
      <c r="A46" s="637">
        <v>46130.53189814815</v>
      </c>
      <c r="B46" s="636">
        <v>9924026.0</v>
      </c>
      <c r="C46" s="634" t="s">
        <v>2028</v>
      </c>
      <c r="D46" s="636">
        <v>1.0</v>
      </c>
      <c r="E46" s="634" t="s">
        <v>2510</v>
      </c>
      <c r="F46" s="636">
        <v>80.0</v>
      </c>
      <c r="G46" s="89"/>
      <c r="H46" s="89"/>
      <c r="I46" s="89"/>
      <c r="J46" s="89"/>
      <c r="K46" s="89"/>
      <c r="L46" s="89"/>
      <c r="M46" s="89"/>
      <c r="N46" s="89"/>
      <c r="O46" s="89"/>
      <c r="P46" s="89"/>
      <c r="Q46" s="89"/>
      <c r="R46" s="89"/>
      <c r="S46" s="89"/>
      <c r="T46" s="89"/>
      <c r="U46" s="89"/>
      <c r="V46" s="89"/>
      <c r="W46" s="89"/>
      <c r="X46" s="89"/>
      <c r="Y46" s="89"/>
      <c r="Z46" s="89"/>
    </row>
    <row r="47">
      <c r="A47" s="637">
        <v>46130.53189814815</v>
      </c>
      <c r="B47" s="636">
        <v>9924026.0</v>
      </c>
      <c r="C47" s="634" t="s">
        <v>2524</v>
      </c>
      <c r="D47" s="636">
        <v>1.0</v>
      </c>
      <c r="E47" s="634" t="s">
        <v>2510</v>
      </c>
      <c r="F47" s="636">
        <v>90.0</v>
      </c>
      <c r="G47" s="89"/>
      <c r="H47" s="89"/>
      <c r="I47" s="89"/>
      <c r="J47" s="89"/>
      <c r="K47" s="89"/>
      <c r="L47" s="89"/>
      <c r="M47" s="89"/>
      <c r="N47" s="89"/>
      <c r="O47" s="89"/>
      <c r="P47" s="89"/>
      <c r="Q47" s="89"/>
      <c r="R47" s="89"/>
      <c r="S47" s="89"/>
      <c r="T47" s="89"/>
      <c r="U47" s="89"/>
      <c r="V47" s="89"/>
      <c r="W47" s="89"/>
      <c r="X47" s="89"/>
      <c r="Y47" s="89"/>
      <c r="Z47" s="89"/>
    </row>
    <row r="48">
      <c r="A48" s="637">
        <v>46130.55226851852</v>
      </c>
      <c r="B48" s="636">
        <v>9924993.0</v>
      </c>
      <c r="C48" s="634" t="s">
        <v>2527</v>
      </c>
      <c r="D48" s="636">
        <v>1.0</v>
      </c>
      <c r="E48" s="634" t="s">
        <v>2510</v>
      </c>
      <c r="F48" s="636">
        <v>175.0</v>
      </c>
      <c r="G48" s="89"/>
      <c r="H48" s="89"/>
      <c r="I48" s="89"/>
      <c r="J48" s="89"/>
      <c r="K48" s="89"/>
      <c r="L48" s="89"/>
      <c r="M48" s="89"/>
      <c r="N48" s="89"/>
      <c r="O48" s="89"/>
      <c r="P48" s="89"/>
      <c r="Q48" s="89"/>
      <c r="R48" s="89"/>
      <c r="S48" s="89"/>
      <c r="T48" s="89"/>
      <c r="U48" s="89"/>
      <c r="V48" s="89"/>
      <c r="W48" s="89"/>
      <c r="X48" s="89"/>
      <c r="Y48" s="89"/>
      <c r="Z48" s="89"/>
    </row>
    <row r="49">
      <c r="A49" s="637">
        <v>46130.597025462965</v>
      </c>
      <c r="B49" s="636">
        <v>9927022.0</v>
      </c>
      <c r="C49" s="634" t="s">
        <v>2528</v>
      </c>
      <c r="D49" s="636">
        <v>1.0</v>
      </c>
      <c r="E49" s="634" t="s">
        <v>2510</v>
      </c>
      <c r="F49" s="636">
        <v>120.0</v>
      </c>
      <c r="G49" s="89"/>
      <c r="H49" s="89"/>
      <c r="I49" s="89"/>
      <c r="J49" s="89"/>
      <c r="K49" s="89"/>
      <c r="L49" s="89"/>
      <c r="M49" s="89"/>
      <c r="N49" s="89"/>
      <c r="O49" s="89"/>
      <c r="P49" s="89"/>
      <c r="Q49" s="89"/>
      <c r="R49" s="89"/>
      <c r="S49" s="89"/>
      <c r="T49" s="89"/>
      <c r="U49" s="89"/>
      <c r="V49" s="89"/>
      <c r="W49" s="89"/>
      <c r="X49" s="89"/>
      <c r="Y49" s="89"/>
      <c r="Z49" s="89"/>
    </row>
    <row r="50">
      <c r="A50" s="637">
        <v>46130.719363425924</v>
      </c>
      <c r="B50" s="636">
        <v>9938679.0</v>
      </c>
      <c r="C50" s="634" t="s">
        <v>2520</v>
      </c>
      <c r="D50" s="636">
        <v>1.0</v>
      </c>
      <c r="E50" s="634" t="s">
        <v>2510</v>
      </c>
      <c r="F50" s="636">
        <v>90.0</v>
      </c>
      <c r="G50" s="89"/>
      <c r="H50" s="89"/>
      <c r="I50" s="89"/>
      <c r="J50" s="89"/>
      <c r="K50" s="89"/>
      <c r="L50" s="89"/>
      <c r="M50" s="89"/>
      <c r="N50" s="89"/>
      <c r="O50" s="89"/>
      <c r="P50" s="89"/>
      <c r="Q50" s="89"/>
      <c r="R50" s="89"/>
      <c r="S50" s="89"/>
      <c r="T50" s="89"/>
      <c r="U50" s="89"/>
      <c r="V50" s="89"/>
      <c r="W50" s="89"/>
      <c r="X50" s="89"/>
      <c r="Y50" s="89"/>
      <c r="Z50" s="89"/>
    </row>
    <row r="51">
      <c r="A51" s="637">
        <v>46134.48402777778</v>
      </c>
      <c r="B51" s="636">
        <v>1.0094594E7</v>
      </c>
      <c r="C51" s="634" t="s">
        <v>2525</v>
      </c>
      <c r="D51" s="636">
        <v>1.0</v>
      </c>
      <c r="E51" s="634" t="s">
        <v>2510</v>
      </c>
      <c r="F51" s="636">
        <v>80.0</v>
      </c>
      <c r="G51" s="89"/>
      <c r="H51" s="89"/>
      <c r="I51" s="89"/>
      <c r="J51" s="89"/>
      <c r="K51" s="89"/>
      <c r="L51" s="89"/>
      <c r="M51" s="89"/>
      <c r="N51" s="89"/>
      <c r="O51" s="89"/>
      <c r="P51" s="89"/>
      <c r="Q51" s="89"/>
      <c r="R51" s="89"/>
      <c r="S51" s="89"/>
      <c r="T51" s="89"/>
      <c r="U51" s="89"/>
      <c r="V51" s="89"/>
      <c r="W51" s="89"/>
      <c r="X51" s="89"/>
      <c r="Y51" s="89"/>
      <c r="Z51" s="89"/>
    </row>
    <row r="52">
      <c r="A52" s="637">
        <v>46137.39392361111</v>
      </c>
      <c r="B52" s="636">
        <v>1.0190575E7</v>
      </c>
      <c r="C52" s="634" t="s">
        <v>2002</v>
      </c>
      <c r="D52" s="636">
        <v>1.0</v>
      </c>
      <c r="E52" s="634" t="s">
        <v>2510</v>
      </c>
      <c r="F52" s="636">
        <v>120.0</v>
      </c>
      <c r="G52" s="89"/>
      <c r="H52" s="89"/>
      <c r="I52" s="89"/>
      <c r="J52" s="89"/>
      <c r="K52" s="89"/>
      <c r="L52" s="89"/>
      <c r="M52" s="89"/>
      <c r="N52" s="89"/>
      <c r="O52" s="89"/>
      <c r="P52" s="89"/>
      <c r="Q52" s="89"/>
      <c r="R52" s="89"/>
      <c r="S52" s="89"/>
      <c r="T52" s="89"/>
      <c r="U52" s="89"/>
      <c r="V52" s="89"/>
      <c r="W52" s="89"/>
      <c r="X52" s="89"/>
      <c r="Y52" s="89"/>
      <c r="Z52" s="89"/>
    </row>
    <row r="53">
      <c r="A53" s="637">
        <v>46137.63893518518</v>
      </c>
      <c r="B53" s="636">
        <v>1.0208879E7</v>
      </c>
      <c r="C53" s="634" t="s">
        <v>193</v>
      </c>
      <c r="D53" s="636">
        <v>1.0</v>
      </c>
      <c r="E53" s="634" t="s">
        <v>2510</v>
      </c>
      <c r="F53" s="636">
        <v>120.0</v>
      </c>
      <c r="G53" s="89"/>
      <c r="H53" s="89"/>
      <c r="I53" s="89"/>
      <c r="J53" s="89"/>
      <c r="K53" s="89"/>
      <c r="L53" s="89"/>
      <c r="M53" s="89"/>
      <c r="N53" s="89"/>
      <c r="O53" s="89"/>
      <c r="P53" s="89"/>
      <c r="Q53" s="89"/>
      <c r="R53" s="89"/>
      <c r="S53" s="89"/>
      <c r="T53" s="89"/>
      <c r="U53" s="89"/>
      <c r="V53" s="89"/>
      <c r="W53" s="89"/>
      <c r="X53" s="89"/>
      <c r="Y53" s="89"/>
      <c r="Z53" s="89"/>
    </row>
    <row r="54">
      <c r="A54" s="637">
        <v>46141.57125</v>
      </c>
      <c r="B54" s="636">
        <v>1.0362119E7</v>
      </c>
      <c r="C54" s="634" t="s">
        <v>277</v>
      </c>
      <c r="D54" s="636">
        <v>1.0</v>
      </c>
      <c r="E54" s="634" t="s">
        <v>2510</v>
      </c>
      <c r="F54" s="636">
        <v>80.0</v>
      </c>
      <c r="G54" s="89"/>
      <c r="H54" s="89"/>
      <c r="I54" s="89"/>
      <c r="J54" s="89"/>
      <c r="K54" s="89"/>
      <c r="L54" s="89"/>
      <c r="M54" s="89"/>
      <c r="N54" s="89"/>
      <c r="O54" s="89"/>
      <c r="P54" s="89"/>
      <c r="Q54" s="89"/>
      <c r="R54" s="89"/>
      <c r="S54" s="89"/>
      <c r="T54" s="89"/>
      <c r="U54" s="89"/>
      <c r="V54" s="89"/>
      <c r="W54" s="89"/>
      <c r="X54" s="89"/>
      <c r="Y54" s="89"/>
      <c r="Z54" s="89"/>
    </row>
    <row r="55">
      <c r="A55" s="637">
        <v>46142.45900462963</v>
      </c>
      <c r="B55" s="636">
        <v>1.0377632E7</v>
      </c>
      <c r="C55" s="634" t="s">
        <v>2520</v>
      </c>
      <c r="D55" s="636">
        <v>1.0</v>
      </c>
      <c r="E55" s="634" t="s">
        <v>2510</v>
      </c>
      <c r="F55" s="636">
        <v>90.0</v>
      </c>
      <c r="G55" s="89"/>
      <c r="H55" s="89"/>
      <c r="I55" s="89"/>
      <c r="J55" s="89"/>
      <c r="K55" s="89"/>
      <c r="L55" s="89"/>
      <c r="M55" s="89"/>
      <c r="N55" s="89"/>
      <c r="O55" s="89"/>
      <c r="P55" s="89"/>
      <c r="Q55" s="89"/>
      <c r="R55" s="89"/>
      <c r="S55" s="89"/>
      <c r="T55" s="89"/>
      <c r="U55" s="89"/>
      <c r="V55" s="89"/>
      <c r="W55" s="89"/>
      <c r="X55" s="89"/>
      <c r="Y55" s="89"/>
      <c r="Z55" s="89"/>
    </row>
    <row r="56">
      <c r="A56" s="637">
        <v>46148.62679398148</v>
      </c>
      <c r="B56" s="636">
        <v>1.0604229E7</v>
      </c>
      <c r="C56" s="634" t="s">
        <v>2520</v>
      </c>
      <c r="D56" s="636">
        <v>1.0</v>
      </c>
      <c r="E56" s="634" t="s">
        <v>2510</v>
      </c>
      <c r="F56" s="636">
        <v>90.0</v>
      </c>
      <c r="G56" s="89"/>
      <c r="H56" s="89"/>
      <c r="I56" s="89"/>
      <c r="J56" s="89"/>
      <c r="K56" s="89"/>
      <c r="L56" s="89"/>
      <c r="M56" s="89"/>
      <c r="N56" s="89"/>
      <c r="O56" s="89"/>
      <c r="P56" s="89"/>
      <c r="Q56" s="89"/>
      <c r="R56" s="89"/>
      <c r="S56" s="89"/>
      <c r="T56" s="89"/>
      <c r="U56" s="89"/>
      <c r="V56" s="89"/>
      <c r="W56" s="89"/>
      <c r="X56" s="89"/>
      <c r="Y56" s="89"/>
      <c r="Z56" s="89"/>
    </row>
    <row r="57">
      <c r="A57" s="637">
        <v>46151.441516203704</v>
      </c>
      <c r="B57" s="636">
        <v>1.0687324E7</v>
      </c>
      <c r="C57" s="634" t="s">
        <v>2529</v>
      </c>
      <c r="D57" s="636">
        <v>1.0</v>
      </c>
      <c r="E57" s="634" t="s">
        <v>2510</v>
      </c>
      <c r="F57" s="636">
        <v>80.0</v>
      </c>
      <c r="G57" s="89"/>
      <c r="H57" s="89"/>
      <c r="I57" s="89"/>
      <c r="J57" s="89"/>
      <c r="K57" s="89"/>
      <c r="L57" s="89"/>
      <c r="M57" s="89"/>
      <c r="N57" s="89"/>
      <c r="O57" s="89"/>
      <c r="P57" s="89"/>
      <c r="Q57" s="89"/>
      <c r="R57" s="89"/>
      <c r="S57" s="89"/>
      <c r="T57" s="89"/>
      <c r="U57" s="89"/>
      <c r="V57" s="89"/>
      <c r="W57" s="89"/>
      <c r="X57" s="89"/>
      <c r="Y57" s="89"/>
      <c r="Z57" s="89"/>
    </row>
    <row r="58">
      <c r="A58" s="637">
        <v>46155.444699074076</v>
      </c>
      <c r="B58" s="636">
        <v>1.0813567E7</v>
      </c>
      <c r="C58" s="634" t="s">
        <v>2526</v>
      </c>
      <c r="D58" s="636">
        <v>1.0</v>
      </c>
      <c r="E58" s="634" t="s">
        <v>2510</v>
      </c>
      <c r="F58" s="636">
        <v>80.0</v>
      </c>
      <c r="G58" s="89"/>
      <c r="H58" s="89"/>
      <c r="I58" s="89"/>
      <c r="J58" s="89"/>
      <c r="K58" s="89"/>
      <c r="L58" s="89"/>
      <c r="M58" s="89"/>
      <c r="N58" s="89"/>
      <c r="O58" s="89"/>
      <c r="P58" s="89"/>
      <c r="Q58" s="89"/>
      <c r="R58" s="89"/>
      <c r="S58" s="89"/>
      <c r="T58" s="89"/>
      <c r="U58" s="89"/>
      <c r="V58" s="89"/>
      <c r="W58" s="89"/>
      <c r="X58" s="89"/>
      <c r="Y58" s="89"/>
      <c r="Z58" s="89"/>
    </row>
    <row r="59">
      <c r="A59" s="637">
        <v>46155.64229166666</v>
      </c>
      <c r="B59" s="636">
        <v>1.081932E7</v>
      </c>
      <c r="C59" s="634" t="s">
        <v>2011</v>
      </c>
      <c r="D59" s="636">
        <v>1.0</v>
      </c>
      <c r="E59" s="634" t="s">
        <v>2510</v>
      </c>
      <c r="F59" s="636">
        <v>170.0</v>
      </c>
      <c r="G59" s="89"/>
      <c r="H59" s="89"/>
      <c r="I59" s="89"/>
      <c r="J59" s="89"/>
      <c r="K59" s="89"/>
      <c r="L59" s="89"/>
      <c r="M59" s="89"/>
      <c r="N59" s="89"/>
      <c r="O59" s="89"/>
      <c r="P59" s="89"/>
      <c r="Q59" s="89"/>
      <c r="R59" s="89"/>
      <c r="S59" s="89"/>
      <c r="T59" s="89"/>
      <c r="U59" s="89"/>
      <c r="V59" s="89"/>
      <c r="W59" s="89"/>
      <c r="X59" s="89"/>
      <c r="Y59" s="89"/>
      <c r="Z59" s="89"/>
    </row>
    <row r="60">
      <c r="A60" s="637">
        <v>46156.69540509259</v>
      </c>
      <c r="B60" s="636">
        <v>1.0842613E7</v>
      </c>
      <c r="C60" s="634" t="s">
        <v>233</v>
      </c>
      <c r="D60" s="636">
        <v>1.0</v>
      </c>
      <c r="E60" s="634" t="s">
        <v>2510</v>
      </c>
      <c r="F60" s="636">
        <v>110.0</v>
      </c>
      <c r="G60" s="89"/>
      <c r="H60" s="89"/>
      <c r="I60" s="89"/>
      <c r="J60" s="89"/>
      <c r="K60" s="89"/>
      <c r="L60" s="89"/>
      <c r="M60" s="89"/>
      <c r="N60" s="89"/>
      <c r="O60" s="89"/>
      <c r="P60" s="89"/>
      <c r="Q60" s="89"/>
      <c r="R60" s="89"/>
      <c r="S60" s="89"/>
      <c r="T60" s="89"/>
      <c r="U60" s="89"/>
      <c r="V60" s="89"/>
      <c r="W60" s="89"/>
      <c r="X60" s="89"/>
      <c r="Y60" s="89"/>
      <c r="Z60" s="89"/>
    </row>
    <row r="61">
      <c r="A61" s="637">
        <v>46156.696076388886</v>
      </c>
      <c r="B61" s="636">
        <v>1.084264E7</v>
      </c>
      <c r="C61" s="634" t="s">
        <v>233</v>
      </c>
      <c r="D61" s="636">
        <v>1.0</v>
      </c>
      <c r="E61" s="634" t="s">
        <v>2510</v>
      </c>
      <c r="F61" s="636">
        <v>110.0</v>
      </c>
      <c r="G61" s="89"/>
      <c r="H61" s="89"/>
      <c r="I61" s="89"/>
      <c r="J61" s="89"/>
      <c r="K61" s="89"/>
      <c r="L61" s="89"/>
      <c r="M61" s="89"/>
      <c r="N61" s="89"/>
      <c r="O61" s="89"/>
      <c r="P61" s="89"/>
      <c r="Q61" s="89"/>
      <c r="R61" s="89"/>
      <c r="S61" s="89"/>
      <c r="T61" s="89"/>
      <c r="U61" s="89"/>
      <c r="V61" s="89"/>
      <c r="W61" s="89"/>
      <c r="X61" s="89"/>
      <c r="Y61" s="89"/>
      <c r="Z61" s="89"/>
    </row>
    <row r="62">
      <c r="A62" s="637">
        <v>46162.67089120371</v>
      </c>
      <c r="B62" s="636">
        <v>1.1065217E7</v>
      </c>
      <c r="C62" s="634" t="s">
        <v>9060</v>
      </c>
      <c r="D62" s="636">
        <v>1.0</v>
      </c>
      <c r="E62" s="634" t="s">
        <v>2510</v>
      </c>
      <c r="F62" s="636">
        <v>90.0</v>
      </c>
      <c r="G62" s="89"/>
      <c r="H62" s="89"/>
      <c r="I62" s="89"/>
      <c r="J62" s="89"/>
      <c r="K62" s="89"/>
      <c r="L62" s="89"/>
      <c r="M62" s="89"/>
      <c r="N62" s="89"/>
      <c r="O62" s="89"/>
      <c r="P62" s="89"/>
      <c r="Q62" s="89"/>
      <c r="R62" s="89"/>
      <c r="S62" s="89"/>
      <c r="T62" s="89"/>
      <c r="U62" s="89"/>
      <c r="V62" s="89"/>
      <c r="W62" s="89"/>
      <c r="X62" s="89"/>
      <c r="Y62" s="89"/>
      <c r="Z62" s="89"/>
    </row>
    <row r="63">
      <c r="A63" s="637">
        <v>46164.47515046296</v>
      </c>
      <c r="B63" s="636">
        <v>1.111222E7</v>
      </c>
      <c r="C63" s="634" t="s">
        <v>2530</v>
      </c>
      <c r="D63" s="636">
        <v>1.0</v>
      </c>
      <c r="E63" s="634" t="s">
        <v>2510</v>
      </c>
      <c r="F63" s="636">
        <v>120.0</v>
      </c>
      <c r="G63" s="89"/>
      <c r="H63" s="89"/>
      <c r="I63" s="89"/>
      <c r="J63" s="89"/>
      <c r="K63" s="89"/>
      <c r="L63" s="89"/>
      <c r="M63" s="89"/>
      <c r="N63" s="89"/>
      <c r="O63" s="89"/>
      <c r="P63" s="89"/>
      <c r="Q63" s="89"/>
      <c r="R63" s="89"/>
      <c r="S63" s="89"/>
      <c r="T63" s="89"/>
      <c r="U63" s="89"/>
      <c r="V63" s="89"/>
      <c r="W63" s="89"/>
      <c r="X63" s="89"/>
      <c r="Y63" s="89"/>
      <c r="Z63" s="89"/>
    </row>
    <row r="64">
      <c r="A64" s="637">
        <v>46164.661574074074</v>
      </c>
      <c r="B64" s="636">
        <v>1.1117651E7</v>
      </c>
      <c r="C64" s="634" t="s">
        <v>2526</v>
      </c>
      <c r="D64" s="636">
        <v>1.0</v>
      </c>
      <c r="E64" s="634" t="s">
        <v>2510</v>
      </c>
      <c r="F64" s="636">
        <v>80.0</v>
      </c>
      <c r="G64" s="89"/>
      <c r="H64" s="89"/>
      <c r="I64" s="89"/>
      <c r="J64" s="89"/>
      <c r="K64" s="89"/>
      <c r="L64" s="89"/>
      <c r="M64" s="89"/>
      <c r="N64" s="89"/>
      <c r="O64" s="89"/>
      <c r="P64" s="89"/>
      <c r="Q64" s="89"/>
      <c r="R64" s="89"/>
      <c r="S64" s="89"/>
      <c r="T64" s="89"/>
      <c r="U64" s="89"/>
      <c r="V64" s="89"/>
      <c r="W64" s="89"/>
      <c r="X64" s="89"/>
      <c r="Y64" s="89"/>
      <c r="Z64" s="89"/>
    </row>
    <row r="65">
      <c r="A65" s="637">
        <v>46164.685752314814</v>
      </c>
      <c r="B65" s="636">
        <v>1.111873E7</v>
      </c>
      <c r="C65" s="634" t="s">
        <v>2036</v>
      </c>
      <c r="D65" s="636">
        <v>1.0</v>
      </c>
      <c r="E65" s="634" t="s">
        <v>2510</v>
      </c>
      <c r="F65" s="636">
        <v>90.0</v>
      </c>
      <c r="G65" s="89"/>
      <c r="H65" s="89"/>
      <c r="I65" s="89"/>
      <c r="J65" s="89"/>
      <c r="K65" s="89"/>
      <c r="L65" s="89"/>
      <c r="M65" s="89"/>
      <c r="N65" s="89"/>
      <c r="O65" s="89"/>
      <c r="P65" s="89"/>
      <c r="Q65" s="89"/>
      <c r="R65" s="89"/>
      <c r="S65" s="89"/>
      <c r="T65" s="89"/>
      <c r="U65" s="89"/>
      <c r="V65" s="89"/>
      <c r="W65" s="89"/>
      <c r="X65" s="89"/>
      <c r="Y65" s="89"/>
      <c r="Z65" s="89"/>
    </row>
    <row r="66">
      <c r="A66" s="637">
        <v>46164.69900462963</v>
      </c>
      <c r="B66" s="636">
        <v>1.1119615E7</v>
      </c>
      <c r="C66" s="634" t="s">
        <v>2036</v>
      </c>
      <c r="D66" s="636">
        <v>1.0</v>
      </c>
      <c r="E66" s="634" t="s">
        <v>2510</v>
      </c>
      <c r="F66" s="636">
        <v>90.0</v>
      </c>
      <c r="G66" s="89"/>
      <c r="H66" s="89"/>
      <c r="I66" s="89"/>
      <c r="J66" s="89"/>
      <c r="K66" s="89"/>
      <c r="L66" s="89"/>
      <c r="M66" s="89"/>
      <c r="N66" s="89"/>
      <c r="O66" s="89"/>
      <c r="P66" s="89"/>
      <c r="Q66" s="89"/>
      <c r="R66" s="89"/>
      <c r="S66" s="89"/>
      <c r="T66" s="89"/>
      <c r="U66" s="89"/>
      <c r="V66" s="89"/>
      <c r="W66" s="89"/>
      <c r="X66" s="89"/>
      <c r="Y66" s="89"/>
      <c r="Z66" s="89"/>
    </row>
    <row r="67">
      <c r="A67" s="637">
        <v>46164.69976851852</v>
      </c>
      <c r="B67" s="636">
        <v>1.1119679E7</v>
      </c>
      <c r="C67" s="634" t="s">
        <v>167</v>
      </c>
      <c r="D67" s="636">
        <v>1.0</v>
      </c>
      <c r="E67" s="634" t="s">
        <v>2510</v>
      </c>
      <c r="F67" s="636">
        <v>150.0</v>
      </c>
      <c r="G67" s="89"/>
      <c r="H67" s="89"/>
      <c r="I67" s="89"/>
      <c r="J67" s="89"/>
      <c r="K67" s="89"/>
      <c r="L67" s="89"/>
      <c r="M67" s="89"/>
      <c r="N67" s="89"/>
      <c r="O67" s="89"/>
      <c r="P67" s="89"/>
      <c r="Q67" s="89"/>
      <c r="R67" s="89"/>
      <c r="S67" s="89"/>
      <c r="T67" s="89"/>
      <c r="U67" s="89"/>
      <c r="V67" s="89"/>
      <c r="W67" s="89"/>
      <c r="X67" s="89"/>
      <c r="Y67" s="89"/>
      <c r="Z67" s="89"/>
    </row>
    <row r="68">
      <c r="A68" s="637">
        <v>46165.48222222222</v>
      </c>
      <c r="B68" s="636">
        <v>1.1162147E7</v>
      </c>
      <c r="C68" s="634" t="s">
        <v>2529</v>
      </c>
      <c r="D68" s="636">
        <v>1.0</v>
      </c>
      <c r="E68" s="634" t="s">
        <v>2510</v>
      </c>
      <c r="F68" s="636">
        <v>80.0</v>
      </c>
      <c r="G68" s="89"/>
      <c r="H68" s="89"/>
      <c r="I68" s="89"/>
      <c r="J68" s="89"/>
      <c r="K68" s="89"/>
      <c r="L68" s="89"/>
      <c r="M68" s="89"/>
      <c r="N68" s="89"/>
      <c r="O68" s="89"/>
      <c r="P68" s="89"/>
      <c r="Q68" s="89"/>
      <c r="R68" s="89"/>
      <c r="S68" s="89"/>
      <c r="T68" s="89"/>
      <c r="U68" s="89"/>
      <c r="V68" s="89"/>
      <c r="W68" s="89"/>
      <c r="X68" s="89"/>
      <c r="Y68" s="89"/>
      <c r="Z68" s="89"/>
    </row>
    <row r="69">
      <c r="A69" s="637">
        <v>46165.50413194444</v>
      </c>
      <c r="B69" s="636">
        <v>1.1163746E7</v>
      </c>
      <c r="C69" s="2" t="s">
        <v>49</v>
      </c>
      <c r="D69" s="636">
        <v>1.0</v>
      </c>
      <c r="E69" s="634" t="s">
        <v>2510</v>
      </c>
      <c r="F69" s="636">
        <v>50.0</v>
      </c>
      <c r="G69" s="89"/>
      <c r="H69" s="89"/>
      <c r="I69" s="89"/>
      <c r="J69" s="89"/>
      <c r="K69" s="89"/>
      <c r="L69" s="89"/>
      <c r="M69" s="89"/>
      <c r="N69" s="89"/>
      <c r="O69" s="89"/>
      <c r="P69" s="89"/>
      <c r="Q69" s="89"/>
      <c r="R69" s="89"/>
      <c r="S69" s="89"/>
      <c r="T69" s="89"/>
      <c r="U69" s="89"/>
      <c r="V69" s="89"/>
      <c r="W69" s="89"/>
      <c r="X69" s="89"/>
      <c r="Y69" s="89"/>
      <c r="Z69" s="89"/>
    </row>
    <row r="70">
      <c r="A70" s="637">
        <v>46165.50413194444</v>
      </c>
      <c r="B70" s="636">
        <v>1.1163746E7</v>
      </c>
      <c r="C70" s="634" t="s">
        <v>312</v>
      </c>
      <c r="D70" s="636">
        <v>1.0</v>
      </c>
      <c r="E70" s="634" t="s">
        <v>2510</v>
      </c>
      <c r="F70" s="636">
        <v>50.0</v>
      </c>
      <c r="G70" s="89"/>
      <c r="H70" s="89"/>
      <c r="I70" s="89"/>
      <c r="J70" s="89"/>
      <c r="K70" s="89"/>
      <c r="L70" s="89"/>
      <c r="M70" s="89"/>
      <c r="N70" s="89"/>
      <c r="O70" s="89"/>
      <c r="P70" s="89"/>
      <c r="Q70" s="89"/>
      <c r="R70" s="89"/>
      <c r="S70" s="89"/>
      <c r="T70" s="89"/>
      <c r="U70" s="89"/>
      <c r="V70" s="89"/>
      <c r="W70" s="89"/>
      <c r="X70" s="89"/>
      <c r="Y70" s="89"/>
      <c r="Z70" s="89"/>
    </row>
    <row r="71">
      <c r="A71" s="637">
        <v>46165.60828703704</v>
      </c>
      <c r="B71" s="636">
        <v>1.116798E7</v>
      </c>
      <c r="C71" s="634" t="s">
        <v>314</v>
      </c>
      <c r="D71" s="636">
        <v>1.0</v>
      </c>
      <c r="E71" s="634" t="s">
        <v>2510</v>
      </c>
      <c r="F71" s="636">
        <v>50.0</v>
      </c>
      <c r="G71" s="89"/>
      <c r="H71" s="89"/>
      <c r="I71" s="89"/>
      <c r="J71" s="89"/>
      <c r="K71" s="89"/>
      <c r="L71" s="89"/>
      <c r="M71" s="89"/>
      <c r="N71" s="89"/>
      <c r="O71" s="89"/>
      <c r="P71" s="89"/>
      <c r="Q71" s="89"/>
      <c r="R71" s="89"/>
      <c r="S71" s="89"/>
      <c r="T71" s="89"/>
      <c r="U71" s="89"/>
      <c r="V71" s="89"/>
      <c r="W71" s="89"/>
      <c r="X71" s="89"/>
      <c r="Y71" s="89"/>
      <c r="Z71" s="89"/>
    </row>
    <row r="72">
      <c r="A72" s="637">
        <v>46165.6166087963</v>
      </c>
      <c r="B72" s="636">
        <v>1.1168335E7</v>
      </c>
      <c r="C72" s="634" t="s">
        <v>2036</v>
      </c>
      <c r="D72" s="636">
        <v>1.0</v>
      </c>
      <c r="E72" s="634" t="s">
        <v>2510</v>
      </c>
      <c r="F72" s="636">
        <v>90.0</v>
      </c>
      <c r="G72" s="89"/>
      <c r="H72" s="89"/>
      <c r="I72" s="89"/>
      <c r="J72" s="89"/>
      <c r="K72" s="89"/>
      <c r="L72" s="89"/>
      <c r="M72" s="89"/>
      <c r="N72" s="89"/>
      <c r="O72" s="89"/>
      <c r="P72" s="89"/>
      <c r="Q72" s="89"/>
      <c r="R72" s="89"/>
      <c r="S72" s="89"/>
      <c r="T72" s="89"/>
      <c r="U72" s="89"/>
      <c r="V72" s="89"/>
      <c r="W72" s="89"/>
      <c r="X72" s="89"/>
      <c r="Y72" s="89"/>
      <c r="Z72" s="89"/>
    </row>
    <row r="73">
      <c r="A73" s="637">
        <v>46165.64858796296</v>
      </c>
      <c r="B73" s="636">
        <v>1.1169994E7</v>
      </c>
      <c r="C73" s="634" t="s">
        <v>2531</v>
      </c>
      <c r="D73" s="636">
        <v>1.0</v>
      </c>
      <c r="E73" s="634" t="s">
        <v>2510</v>
      </c>
      <c r="F73" s="636">
        <v>170.0</v>
      </c>
      <c r="G73" s="89"/>
      <c r="H73" s="89"/>
      <c r="I73" s="89"/>
      <c r="J73" s="89"/>
      <c r="K73" s="89"/>
      <c r="L73" s="89"/>
      <c r="M73" s="89"/>
      <c r="N73" s="89"/>
      <c r="O73" s="89"/>
      <c r="P73" s="89"/>
      <c r="Q73" s="89"/>
      <c r="R73" s="89"/>
      <c r="S73" s="89"/>
      <c r="T73" s="89"/>
      <c r="U73" s="89"/>
      <c r="V73" s="89"/>
      <c r="W73" s="89"/>
      <c r="X73" s="89"/>
      <c r="Y73" s="89"/>
      <c r="Z73" s="89"/>
    </row>
    <row r="74">
      <c r="A74" s="637">
        <v>46165.68537037037</v>
      </c>
      <c r="B74" s="636">
        <v>1.1172786E7</v>
      </c>
      <c r="C74" s="634" t="s">
        <v>2060</v>
      </c>
      <c r="D74" s="636">
        <v>1.0</v>
      </c>
      <c r="E74" s="634" t="s">
        <v>2510</v>
      </c>
      <c r="F74" s="636">
        <v>65.0</v>
      </c>
      <c r="G74" s="89"/>
      <c r="H74" s="89"/>
      <c r="I74" s="89"/>
      <c r="J74" s="89"/>
      <c r="K74" s="89"/>
      <c r="L74" s="89"/>
      <c r="M74" s="89"/>
      <c r="N74" s="89"/>
      <c r="O74" s="89"/>
      <c r="P74" s="89"/>
      <c r="Q74" s="89"/>
      <c r="R74" s="89"/>
      <c r="S74" s="89"/>
      <c r="T74" s="89"/>
      <c r="U74" s="89"/>
      <c r="V74" s="89"/>
      <c r="W74" s="89"/>
      <c r="X74" s="89"/>
      <c r="Y74" s="89"/>
      <c r="Z74" s="89"/>
    </row>
    <row r="75">
      <c r="A75" s="637">
        <v>46165.69200231481</v>
      </c>
      <c r="B75" s="636">
        <v>1.1173486E7</v>
      </c>
      <c r="C75" s="634" t="s">
        <v>2532</v>
      </c>
      <c r="D75" s="636">
        <v>1.0</v>
      </c>
      <c r="E75" s="634" t="s">
        <v>2510</v>
      </c>
      <c r="F75" s="636">
        <v>80.0</v>
      </c>
      <c r="G75" s="89"/>
      <c r="H75" s="89"/>
      <c r="I75" s="89"/>
      <c r="J75" s="89"/>
      <c r="K75" s="89"/>
      <c r="L75" s="89"/>
      <c r="M75" s="89"/>
      <c r="N75" s="89"/>
      <c r="O75" s="89"/>
      <c r="P75" s="89"/>
      <c r="Q75" s="89"/>
      <c r="R75" s="89"/>
      <c r="S75" s="89"/>
      <c r="T75" s="89"/>
      <c r="U75" s="89"/>
      <c r="V75" s="89"/>
      <c r="W75" s="89"/>
      <c r="X75" s="89"/>
      <c r="Y75" s="89"/>
      <c r="Z75" s="89"/>
    </row>
    <row r="76">
      <c r="A76" s="637">
        <v>46165.69200231481</v>
      </c>
      <c r="B76" s="636">
        <v>1.1173486E7</v>
      </c>
      <c r="C76" s="634" t="s">
        <v>2036</v>
      </c>
      <c r="D76" s="636">
        <v>1.0</v>
      </c>
      <c r="E76" s="634" t="s">
        <v>2510</v>
      </c>
      <c r="F76" s="636">
        <v>90.0</v>
      </c>
      <c r="G76" s="89"/>
      <c r="H76" s="89"/>
      <c r="I76" s="89"/>
      <c r="J76" s="89"/>
      <c r="K76" s="89"/>
      <c r="L76" s="89"/>
      <c r="M76" s="89"/>
      <c r="N76" s="89"/>
      <c r="O76" s="89"/>
      <c r="P76" s="89"/>
      <c r="Q76" s="89"/>
      <c r="R76" s="89"/>
      <c r="S76" s="89"/>
      <c r="T76" s="89"/>
      <c r="U76" s="89"/>
      <c r="V76" s="89"/>
      <c r="W76" s="89"/>
      <c r="X76" s="89"/>
      <c r="Y76" s="89"/>
      <c r="Z76" s="89"/>
    </row>
    <row r="77">
      <c r="A77" s="637">
        <v>46165.69975694444</v>
      </c>
      <c r="B77" s="636">
        <v>1.1174467E7</v>
      </c>
      <c r="C77" s="2" t="s">
        <v>237</v>
      </c>
      <c r="D77" s="636">
        <v>1.0</v>
      </c>
      <c r="E77" s="634" t="s">
        <v>2510</v>
      </c>
      <c r="F77" s="636">
        <v>120.0</v>
      </c>
      <c r="G77" s="89"/>
      <c r="H77" s="89"/>
      <c r="I77" s="89"/>
      <c r="J77" s="89"/>
      <c r="K77" s="89"/>
      <c r="L77" s="89"/>
      <c r="M77" s="89"/>
      <c r="N77" s="89"/>
      <c r="O77" s="89"/>
      <c r="P77" s="89"/>
      <c r="Q77" s="89"/>
      <c r="R77" s="89"/>
      <c r="S77" s="89"/>
      <c r="T77" s="89"/>
      <c r="U77" s="89"/>
      <c r="V77" s="89"/>
      <c r="W77" s="89"/>
      <c r="X77" s="89"/>
      <c r="Y77" s="89"/>
      <c r="Z77" s="89"/>
    </row>
    <row r="78">
      <c r="A78" s="637">
        <v>46165.70741898148</v>
      </c>
      <c r="B78" s="636">
        <v>1.1175631E7</v>
      </c>
      <c r="C78" s="634" t="s">
        <v>2521</v>
      </c>
      <c r="D78" s="636">
        <v>1.0</v>
      </c>
      <c r="E78" s="634" t="s">
        <v>2510</v>
      </c>
      <c r="F78" s="636">
        <v>120.0</v>
      </c>
      <c r="G78" s="89"/>
      <c r="H78" s="89"/>
      <c r="I78" s="89"/>
      <c r="J78" s="89"/>
      <c r="K78" s="89"/>
      <c r="L78" s="89"/>
      <c r="M78" s="89"/>
      <c r="N78" s="89"/>
      <c r="O78" s="89"/>
      <c r="P78" s="89"/>
      <c r="Q78" s="89"/>
      <c r="R78" s="89"/>
      <c r="S78" s="89"/>
      <c r="T78" s="89"/>
      <c r="U78" s="89"/>
      <c r="V78" s="89"/>
      <c r="W78" s="89"/>
      <c r="X78" s="89"/>
      <c r="Y78" s="89"/>
      <c r="Z78" s="89"/>
    </row>
    <row r="79">
      <c r="A79" s="637">
        <v>46168.69564814815</v>
      </c>
      <c r="B79" s="636">
        <v>1.1315851E7</v>
      </c>
      <c r="C79" s="634" t="s">
        <v>2029</v>
      </c>
      <c r="D79" s="636">
        <v>1.0</v>
      </c>
      <c r="E79" s="634" t="s">
        <v>2510</v>
      </c>
      <c r="F79" s="636">
        <v>90.0</v>
      </c>
      <c r="G79" s="89"/>
      <c r="H79" s="89"/>
      <c r="I79" s="89"/>
      <c r="J79" s="89"/>
      <c r="K79" s="89"/>
      <c r="L79" s="89"/>
      <c r="M79" s="89"/>
      <c r="N79" s="89"/>
      <c r="O79" s="89"/>
      <c r="P79" s="89"/>
      <c r="Q79" s="89"/>
      <c r="R79" s="89"/>
      <c r="S79" s="89"/>
      <c r="T79" s="89"/>
      <c r="U79" s="89"/>
      <c r="V79" s="89"/>
      <c r="W79" s="89"/>
      <c r="X79" s="89"/>
      <c r="Y79" s="89"/>
      <c r="Z79" s="89"/>
    </row>
    <row r="80">
      <c r="A80" s="637">
        <v>46170.361030092594</v>
      </c>
      <c r="B80" s="636">
        <v>1.1358664E7</v>
      </c>
      <c r="C80" s="634" t="s">
        <v>2530</v>
      </c>
      <c r="D80" s="636">
        <v>1.0</v>
      </c>
      <c r="E80" s="634" t="s">
        <v>2510</v>
      </c>
      <c r="F80" s="636">
        <v>120.0</v>
      </c>
      <c r="G80" s="89"/>
      <c r="H80" s="89"/>
      <c r="I80" s="89"/>
      <c r="J80" s="89"/>
      <c r="K80" s="89"/>
      <c r="L80" s="89"/>
      <c r="M80" s="89"/>
      <c r="N80" s="89"/>
      <c r="O80" s="89"/>
      <c r="P80" s="89"/>
      <c r="Q80" s="89"/>
      <c r="R80" s="89"/>
      <c r="S80" s="89"/>
      <c r="T80" s="89"/>
      <c r="U80" s="89"/>
      <c r="V80" s="89"/>
      <c r="W80" s="89"/>
      <c r="X80" s="89"/>
      <c r="Y80" s="89"/>
      <c r="Z80" s="89"/>
    </row>
    <row r="81">
      <c r="A81" s="637">
        <v>46170.715949074074</v>
      </c>
      <c r="B81" s="636">
        <v>1.1372463E7</v>
      </c>
      <c r="C81" s="634" t="s">
        <v>2061</v>
      </c>
      <c r="D81" s="636">
        <v>1.0</v>
      </c>
      <c r="E81" s="634" t="s">
        <v>2510</v>
      </c>
      <c r="F81" s="636">
        <v>90.0</v>
      </c>
      <c r="G81" s="89"/>
      <c r="H81" s="89"/>
      <c r="I81" s="89"/>
      <c r="J81" s="89"/>
      <c r="K81" s="89"/>
      <c r="L81" s="89"/>
      <c r="M81" s="89"/>
      <c r="N81" s="89"/>
      <c r="O81" s="89"/>
      <c r="P81" s="89"/>
      <c r="Q81" s="89"/>
      <c r="R81" s="89"/>
      <c r="S81" s="89"/>
      <c r="T81" s="89"/>
      <c r="U81" s="89"/>
      <c r="V81" s="89"/>
      <c r="W81" s="89"/>
      <c r="X81" s="89"/>
      <c r="Y81" s="89"/>
      <c r="Z81" s="89"/>
    </row>
    <row r="82">
      <c r="A82" s="637">
        <v>46176.59799768519</v>
      </c>
      <c r="B82" s="636">
        <v>1.1624032E7</v>
      </c>
      <c r="C82" s="634" t="s">
        <v>2009</v>
      </c>
      <c r="D82" s="636">
        <v>1.0</v>
      </c>
      <c r="E82" s="634" t="s">
        <v>2510</v>
      </c>
      <c r="F82" s="636">
        <v>80.0</v>
      </c>
      <c r="G82" s="89"/>
      <c r="H82" s="89"/>
      <c r="I82" s="89"/>
      <c r="J82" s="89"/>
      <c r="K82" s="89"/>
      <c r="L82" s="89"/>
      <c r="M82" s="89"/>
      <c r="N82" s="89"/>
      <c r="O82" s="89"/>
      <c r="P82" s="89"/>
      <c r="Q82" s="89"/>
      <c r="R82" s="89"/>
      <c r="S82" s="89"/>
      <c r="T82" s="89"/>
      <c r="U82" s="89"/>
      <c r="V82" s="89"/>
      <c r="W82" s="89"/>
      <c r="X82" s="89"/>
      <c r="Y82" s="89"/>
      <c r="Z82" s="89"/>
    </row>
    <row r="83">
      <c r="A83" s="637">
        <v>46176.59799768519</v>
      </c>
      <c r="B83" s="636">
        <v>1.1624032E7</v>
      </c>
      <c r="C83" s="634" t="s">
        <v>2526</v>
      </c>
      <c r="D83" s="636">
        <v>1.0</v>
      </c>
      <c r="E83" s="634" t="s">
        <v>2510</v>
      </c>
      <c r="F83" s="636">
        <v>80.0</v>
      </c>
      <c r="G83" s="89"/>
      <c r="H83" s="89"/>
      <c r="I83" s="89"/>
      <c r="J83" s="89"/>
      <c r="K83" s="89"/>
      <c r="L83" s="89"/>
      <c r="M83" s="89"/>
      <c r="N83" s="89"/>
      <c r="O83" s="89"/>
      <c r="P83" s="89"/>
      <c r="Q83" s="89"/>
      <c r="R83" s="89"/>
      <c r="S83" s="89"/>
      <c r="T83" s="89"/>
      <c r="U83" s="89"/>
      <c r="V83" s="89"/>
      <c r="W83" s="89"/>
      <c r="X83" s="89"/>
      <c r="Y83" s="89"/>
      <c r="Z83" s="89"/>
    </row>
    <row r="84">
      <c r="A84" s="637">
        <v>46176.69747685185</v>
      </c>
      <c r="B84" s="636">
        <v>1.1626377E7</v>
      </c>
      <c r="C84" s="634" t="s">
        <v>289</v>
      </c>
      <c r="D84" s="636">
        <v>1.0</v>
      </c>
      <c r="E84" s="634" t="s">
        <v>2510</v>
      </c>
      <c r="F84" s="636">
        <v>120.0</v>
      </c>
      <c r="G84" s="89"/>
      <c r="H84" s="89"/>
      <c r="I84" s="89"/>
      <c r="J84" s="89"/>
      <c r="K84" s="89"/>
      <c r="L84" s="89"/>
      <c r="M84" s="89"/>
      <c r="N84" s="89"/>
      <c r="O84" s="89"/>
      <c r="P84" s="89"/>
      <c r="Q84" s="89"/>
      <c r="R84" s="89"/>
      <c r="S84" s="89"/>
      <c r="T84" s="89"/>
      <c r="U84" s="89"/>
      <c r="V84" s="89"/>
      <c r="W84" s="89"/>
      <c r="X84" s="89"/>
      <c r="Y84" s="89"/>
      <c r="Z84" s="89"/>
    </row>
    <row r="85">
      <c r="A85" s="637">
        <v>46176.700833333336</v>
      </c>
      <c r="B85" s="636">
        <v>1.162648E7</v>
      </c>
      <c r="C85" s="634" t="s">
        <v>207</v>
      </c>
      <c r="D85" s="636">
        <v>1.0</v>
      </c>
      <c r="E85" s="634" t="s">
        <v>2510</v>
      </c>
      <c r="F85" s="636">
        <v>120.0</v>
      </c>
      <c r="G85" s="89"/>
      <c r="H85" s="89"/>
      <c r="I85" s="89"/>
      <c r="J85" s="89"/>
      <c r="K85" s="89"/>
      <c r="L85" s="89"/>
      <c r="M85" s="89"/>
      <c r="N85" s="89"/>
      <c r="O85" s="89"/>
      <c r="P85" s="89"/>
      <c r="Q85" s="89"/>
      <c r="R85" s="89"/>
      <c r="S85" s="89"/>
      <c r="T85" s="89"/>
      <c r="U85" s="89"/>
      <c r="V85" s="89"/>
      <c r="W85" s="89"/>
      <c r="X85" s="89"/>
      <c r="Y85" s="89"/>
      <c r="Z85" s="89"/>
    </row>
    <row r="86">
      <c r="A86" s="637">
        <v>46176.708599537036</v>
      </c>
      <c r="B86" s="636">
        <v>1.16268E7</v>
      </c>
      <c r="C86" s="634" t="s">
        <v>302</v>
      </c>
      <c r="D86" s="636">
        <v>1.0</v>
      </c>
      <c r="E86" s="634" t="s">
        <v>2510</v>
      </c>
      <c r="F86" s="636">
        <v>80.0</v>
      </c>
      <c r="G86" s="89"/>
      <c r="H86" s="89"/>
      <c r="I86" s="89"/>
      <c r="J86" s="89"/>
      <c r="K86" s="89"/>
      <c r="L86" s="89"/>
      <c r="M86" s="89"/>
      <c r="N86" s="89"/>
      <c r="O86" s="89"/>
      <c r="P86" s="89"/>
      <c r="Q86" s="89"/>
      <c r="R86" s="89"/>
      <c r="S86" s="89"/>
      <c r="T86" s="89"/>
      <c r="U86" s="89"/>
      <c r="V86" s="89"/>
      <c r="W86" s="89"/>
      <c r="X86" s="89"/>
      <c r="Y86" s="89"/>
      <c r="Z86" s="89"/>
    </row>
    <row r="87">
      <c r="A87" s="637">
        <v>46176.71077546296</v>
      </c>
      <c r="B87" s="636">
        <v>1.1626904E7</v>
      </c>
      <c r="C87" s="634" t="s">
        <v>2533</v>
      </c>
      <c r="D87" s="636">
        <v>1.0</v>
      </c>
      <c r="E87" s="634" t="s">
        <v>2510</v>
      </c>
      <c r="F87" s="636">
        <v>80.0</v>
      </c>
      <c r="G87" s="89"/>
      <c r="H87" s="89"/>
      <c r="I87" s="89"/>
      <c r="J87" s="89"/>
      <c r="K87" s="89"/>
      <c r="L87" s="89"/>
      <c r="M87" s="89"/>
      <c r="N87" s="89"/>
      <c r="O87" s="89"/>
      <c r="P87" s="89"/>
      <c r="Q87" s="89"/>
      <c r="R87" s="89"/>
      <c r="S87" s="89"/>
      <c r="T87" s="89"/>
      <c r="U87" s="89"/>
      <c r="V87" s="89"/>
      <c r="W87" s="89"/>
      <c r="X87" s="89"/>
      <c r="Y87" s="89"/>
      <c r="Z87" s="89"/>
    </row>
    <row r="88">
      <c r="A88" s="637">
        <v>46176.71077546296</v>
      </c>
      <c r="B88" s="636">
        <v>1.1626904E7</v>
      </c>
      <c r="C88" s="634" t="s">
        <v>9061</v>
      </c>
      <c r="D88" s="636">
        <v>1.0</v>
      </c>
      <c r="E88" s="634" t="s">
        <v>2510</v>
      </c>
      <c r="F88" s="636">
        <v>80.0</v>
      </c>
      <c r="G88" s="89"/>
      <c r="H88" s="89"/>
      <c r="I88" s="89"/>
      <c r="J88" s="89"/>
      <c r="K88" s="89"/>
      <c r="L88" s="89"/>
      <c r="M88" s="89"/>
      <c r="N88" s="89"/>
      <c r="O88" s="89"/>
      <c r="P88" s="89"/>
      <c r="Q88" s="89"/>
      <c r="R88" s="89"/>
      <c r="S88" s="89"/>
      <c r="T88" s="89"/>
      <c r="U88" s="89"/>
      <c r="V88" s="89"/>
      <c r="W88" s="89"/>
      <c r="X88" s="89"/>
      <c r="Y88" s="89"/>
      <c r="Z88" s="89"/>
    </row>
    <row r="89">
      <c r="A89" s="637">
        <v>46176.71666666667</v>
      </c>
      <c r="B89" s="636">
        <v>1.1627146E7</v>
      </c>
      <c r="C89" s="634" t="s">
        <v>9061</v>
      </c>
      <c r="D89" s="636">
        <v>1.0</v>
      </c>
      <c r="E89" s="634" t="s">
        <v>2510</v>
      </c>
      <c r="F89" s="636">
        <v>80.0</v>
      </c>
      <c r="G89" s="89"/>
      <c r="H89" s="89"/>
      <c r="I89" s="89"/>
      <c r="J89" s="89"/>
      <c r="K89" s="89"/>
      <c r="L89" s="89"/>
      <c r="M89" s="89"/>
      <c r="N89" s="89"/>
      <c r="O89" s="89"/>
      <c r="P89" s="89"/>
      <c r="Q89" s="89"/>
      <c r="R89" s="89"/>
      <c r="S89" s="89"/>
      <c r="T89" s="89"/>
      <c r="U89" s="89"/>
      <c r="V89" s="89"/>
      <c r="W89" s="89"/>
      <c r="X89" s="89"/>
      <c r="Y89" s="89"/>
      <c r="Z89" s="89"/>
    </row>
    <row r="90">
      <c r="A90" s="637">
        <v>46176.72043981482</v>
      </c>
      <c r="B90" s="636">
        <v>1.1627332E7</v>
      </c>
      <c r="C90" s="634" t="s">
        <v>2534</v>
      </c>
      <c r="D90" s="636">
        <v>1.0</v>
      </c>
      <c r="E90" s="634" t="s">
        <v>2510</v>
      </c>
      <c r="F90" s="636">
        <v>80.0</v>
      </c>
      <c r="G90" s="89"/>
      <c r="H90" s="89"/>
      <c r="I90" s="89"/>
      <c r="J90" s="89"/>
      <c r="K90" s="89"/>
      <c r="L90" s="89"/>
      <c r="M90" s="89"/>
      <c r="N90" s="89"/>
      <c r="O90" s="89"/>
      <c r="P90" s="89"/>
      <c r="Q90" s="89"/>
      <c r="R90" s="89"/>
      <c r="S90" s="89"/>
      <c r="T90" s="89"/>
      <c r="U90" s="89"/>
      <c r="V90" s="89"/>
      <c r="W90" s="89"/>
      <c r="X90" s="89"/>
      <c r="Y90" s="89"/>
      <c r="Z90" s="89"/>
    </row>
    <row r="91">
      <c r="A91" s="637">
        <v>46176.77599537037</v>
      </c>
      <c r="B91" s="636">
        <v>1.1630551E7</v>
      </c>
      <c r="C91" s="634" t="s">
        <v>323</v>
      </c>
      <c r="D91" s="636">
        <v>1.0</v>
      </c>
      <c r="E91" s="634" t="s">
        <v>2510</v>
      </c>
      <c r="F91" s="636">
        <v>70.0</v>
      </c>
      <c r="G91" s="89"/>
      <c r="H91" s="89"/>
      <c r="I91" s="89"/>
      <c r="J91" s="89"/>
      <c r="K91" s="89"/>
      <c r="L91" s="89"/>
      <c r="M91" s="89"/>
      <c r="N91" s="89"/>
      <c r="O91" s="89"/>
      <c r="P91" s="89"/>
      <c r="Q91" s="89"/>
      <c r="R91" s="89"/>
      <c r="S91" s="89"/>
      <c r="T91" s="89"/>
      <c r="U91" s="89"/>
      <c r="V91" s="89"/>
      <c r="W91" s="89"/>
      <c r="X91" s="89"/>
      <c r="Y91" s="89"/>
      <c r="Z91" s="89"/>
    </row>
    <row r="92">
      <c r="A92" s="637">
        <v>46176.79996527778</v>
      </c>
      <c r="B92" s="636">
        <v>1.1631998E7</v>
      </c>
      <c r="C92" s="634" t="s">
        <v>356</v>
      </c>
      <c r="D92" s="636">
        <v>1.0</v>
      </c>
      <c r="E92" s="634" t="s">
        <v>2510</v>
      </c>
      <c r="F92" s="636">
        <v>18.0</v>
      </c>
      <c r="G92" s="89"/>
      <c r="H92" s="89"/>
      <c r="I92" s="89"/>
      <c r="J92" s="89"/>
      <c r="K92" s="89"/>
      <c r="L92" s="89"/>
      <c r="M92" s="89"/>
      <c r="N92" s="89"/>
      <c r="O92" s="89"/>
      <c r="P92" s="89"/>
      <c r="Q92" s="89"/>
      <c r="R92" s="89"/>
      <c r="S92" s="89"/>
      <c r="T92" s="89"/>
      <c r="U92" s="89"/>
      <c r="V92" s="89"/>
      <c r="W92" s="89"/>
      <c r="X92" s="89"/>
      <c r="Y92" s="89"/>
      <c r="Z92" s="89"/>
    </row>
    <row r="93">
      <c r="A93" s="637">
        <v>46176.821493055555</v>
      </c>
      <c r="B93" s="636">
        <v>1.1633098E7</v>
      </c>
      <c r="C93" s="634" t="s">
        <v>298</v>
      </c>
      <c r="D93" s="636">
        <v>1.0</v>
      </c>
      <c r="E93" s="634" t="s">
        <v>2510</v>
      </c>
      <c r="F93" s="636">
        <v>120.0</v>
      </c>
      <c r="G93" s="89"/>
      <c r="H93" s="89"/>
      <c r="I93" s="89"/>
      <c r="J93" s="89"/>
      <c r="K93" s="89"/>
      <c r="L93" s="89"/>
      <c r="M93" s="89"/>
      <c r="N93" s="89"/>
      <c r="O93" s="89"/>
      <c r="P93" s="89"/>
      <c r="Q93" s="89"/>
      <c r="R93" s="89"/>
      <c r="S93" s="89"/>
      <c r="T93" s="89"/>
      <c r="U93" s="89"/>
      <c r="V93" s="89"/>
      <c r="W93" s="89"/>
      <c r="X93" s="89"/>
      <c r="Y93" s="89"/>
      <c r="Z93" s="89"/>
    </row>
    <row r="94">
      <c r="A94" s="637">
        <v>46177.66962962963</v>
      </c>
      <c r="B94" s="636">
        <v>1.1651514E7</v>
      </c>
      <c r="C94" s="634" t="s">
        <v>302</v>
      </c>
      <c r="D94" s="636">
        <v>1.0</v>
      </c>
      <c r="E94" s="634" t="s">
        <v>2510</v>
      </c>
      <c r="F94" s="636">
        <v>80.0</v>
      </c>
      <c r="G94" s="89"/>
      <c r="H94" s="89"/>
      <c r="I94" s="89"/>
      <c r="J94" s="89"/>
      <c r="K94" s="89"/>
      <c r="L94" s="89"/>
      <c r="M94" s="89"/>
      <c r="N94" s="89"/>
      <c r="O94" s="89"/>
      <c r="P94" s="89"/>
      <c r="Q94" s="89"/>
      <c r="R94" s="89"/>
      <c r="S94" s="89"/>
      <c r="T94" s="89"/>
      <c r="U94" s="89"/>
      <c r="V94" s="89"/>
      <c r="W94" s="89"/>
      <c r="X94" s="89"/>
      <c r="Y94" s="89"/>
      <c r="Z94" s="89"/>
    </row>
    <row r="95">
      <c r="A95" s="637">
        <v>46178.63722222222</v>
      </c>
      <c r="B95" s="636">
        <v>1.167761E7</v>
      </c>
      <c r="C95" s="634" t="s">
        <v>2049</v>
      </c>
      <c r="D95" s="636">
        <v>1.0</v>
      </c>
      <c r="E95" s="634" t="s">
        <v>2510</v>
      </c>
      <c r="F95" s="636">
        <v>90.0</v>
      </c>
      <c r="G95" s="89"/>
      <c r="H95" s="89"/>
      <c r="I95" s="89"/>
      <c r="J95" s="89"/>
      <c r="K95" s="89"/>
      <c r="L95" s="89"/>
      <c r="M95" s="89"/>
      <c r="N95" s="89"/>
      <c r="O95" s="89"/>
      <c r="P95" s="89"/>
      <c r="Q95" s="89"/>
      <c r="R95" s="89"/>
      <c r="S95" s="89"/>
      <c r="T95" s="89"/>
      <c r="U95" s="89"/>
      <c r="V95" s="89"/>
      <c r="W95" s="89"/>
      <c r="X95" s="89"/>
      <c r="Y95" s="89"/>
      <c r="Z95" s="89"/>
    </row>
    <row r="96">
      <c r="A96" s="637">
        <v>46182.685844907406</v>
      </c>
      <c r="B96" s="636">
        <v>1.1857761E7</v>
      </c>
      <c r="C96" s="634" t="s">
        <v>300</v>
      </c>
      <c r="D96" s="636">
        <v>1.0</v>
      </c>
      <c r="E96" s="634" t="s">
        <v>2510</v>
      </c>
      <c r="F96" s="636">
        <v>120.0</v>
      </c>
      <c r="G96" s="89"/>
      <c r="H96" s="89"/>
      <c r="I96" s="89"/>
      <c r="J96" s="89"/>
      <c r="K96" s="89"/>
      <c r="L96" s="89"/>
      <c r="M96" s="89"/>
      <c r="N96" s="89"/>
      <c r="O96" s="89"/>
      <c r="P96" s="89"/>
      <c r="Q96" s="89"/>
      <c r="R96" s="89"/>
      <c r="S96" s="89"/>
      <c r="T96" s="89"/>
      <c r="U96" s="89"/>
      <c r="V96" s="89"/>
      <c r="W96" s="89"/>
      <c r="X96" s="89"/>
      <c r="Y96" s="89"/>
      <c r="Z96" s="89"/>
    </row>
    <row r="97">
      <c r="A97" s="637">
        <v>46182.68604166667</v>
      </c>
      <c r="B97" s="636">
        <v>1.1857766E7</v>
      </c>
      <c r="C97" s="634" t="s">
        <v>300</v>
      </c>
      <c r="D97" s="636">
        <v>1.0</v>
      </c>
      <c r="E97" s="634" t="s">
        <v>2510</v>
      </c>
      <c r="F97" s="636">
        <v>120.0</v>
      </c>
      <c r="G97" s="89"/>
      <c r="H97" s="89"/>
      <c r="I97" s="89"/>
      <c r="J97" s="89"/>
      <c r="K97" s="89"/>
      <c r="L97" s="89"/>
      <c r="M97" s="89"/>
      <c r="N97" s="89"/>
      <c r="O97" s="89"/>
      <c r="P97" s="89"/>
      <c r="Q97" s="89"/>
      <c r="R97" s="89"/>
      <c r="S97" s="89"/>
      <c r="T97" s="89"/>
      <c r="U97" s="89"/>
      <c r="V97" s="89"/>
      <c r="W97" s="89"/>
      <c r="X97" s="89"/>
      <c r="Y97" s="89"/>
      <c r="Z97" s="89"/>
    </row>
    <row r="98">
      <c r="A98" s="637">
        <v>46183.61584490741</v>
      </c>
      <c r="B98" s="636">
        <v>1.188021E7</v>
      </c>
      <c r="C98" s="634" t="s">
        <v>300</v>
      </c>
      <c r="D98" s="636">
        <v>1.0</v>
      </c>
      <c r="E98" s="634" t="s">
        <v>2510</v>
      </c>
      <c r="F98" s="636">
        <v>120.0</v>
      </c>
      <c r="G98" s="89"/>
      <c r="H98" s="89"/>
      <c r="I98" s="89"/>
      <c r="J98" s="89"/>
      <c r="K98" s="89"/>
      <c r="L98" s="89"/>
      <c r="M98" s="89"/>
      <c r="N98" s="89"/>
      <c r="O98" s="89"/>
      <c r="P98" s="89"/>
      <c r="Q98" s="89"/>
      <c r="R98" s="89"/>
      <c r="S98" s="89"/>
      <c r="T98" s="89"/>
      <c r="U98" s="89"/>
      <c r="V98" s="89"/>
      <c r="W98" s="89"/>
      <c r="X98" s="89"/>
      <c r="Y98" s="89"/>
      <c r="Z98" s="89"/>
    </row>
    <row r="99">
      <c r="A99" s="637">
        <v>46185.45725694444</v>
      </c>
      <c r="B99" s="636">
        <v>1.1947757E7</v>
      </c>
      <c r="C99" s="634" t="s">
        <v>49</v>
      </c>
      <c r="D99" s="636">
        <v>1.0</v>
      </c>
      <c r="E99" s="634" t="s">
        <v>2510</v>
      </c>
      <c r="F99" s="636">
        <v>50.0</v>
      </c>
      <c r="G99" s="89"/>
      <c r="H99" s="89"/>
      <c r="I99" s="89"/>
      <c r="J99" s="89"/>
      <c r="K99" s="89"/>
      <c r="L99" s="89"/>
      <c r="M99" s="89"/>
      <c r="N99" s="89"/>
      <c r="O99" s="89"/>
      <c r="P99" s="89"/>
      <c r="Q99" s="89"/>
      <c r="R99" s="89"/>
      <c r="S99" s="89"/>
      <c r="T99" s="89"/>
      <c r="U99" s="89"/>
      <c r="V99" s="89"/>
      <c r="W99" s="89"/>
      <c r="X99" s="89"/>
      <c r="Y99" s="89"/>
      <c r="Z99" s="89"/>
    </row>
    <row r="100">
      <c r="A100" s="637">
        <v>46185.459027777775</v>
      </c>
      <c r="B100" s="636">
        <v>1.1947855E7</v>
      </c>
      <c r="C100" s="634" t="s">
        <v>347</v>
      </c>
      <c r="D100" s="636">
        <v>1.0</v>
      </c>
      <c r="E100" s="634" t="s">
        <v>2510</v>
      </c>
      <c r="F100" s="636">
        <v>16.0</v>
      </c>
      <c r="G100" s="89"/>
      <c r="H100" s="89"/>
      <c r="I100" s="89"/>
      <c r="J100" s="89"/>
      <c r="K100" s="89"/>
      <c r="L100" s="89"/>
      <c r="M100" s="89"/>
      <c r="N100" s="89"/>
      <c r="O100" s="89"/>
      <c r="P100" s="89"/>
      <c r="Q100" s="89"/>
      <c r="R100" s="89"/>
      <c r="S100" s="89"/>
      <c r="T100" s="89"/>
      <c r="U100" s="89"/>
      <c r="V100" s="89"/>
      <c r="W100" s="89"/>
      <c r="X100" s="89"/>
      <c r="Y100" s="89"/>
      <c r="Z100" s="89"/>
    </row>
    <row r="101">
      <c r="A101" s="637">
        <v>46188.6540625</v>
      </c>
      <c r="B101" s="636">
        <v>1.2170006E7</v>
      </c>
      <c r="C101" s="634" t="s">
        <v>304</v>
      </c>
      <c r="D101" s="636">
        <v>1.0</v>
      </c>
      <c r="E101" s="634" t="s">
        <v>2511</v>
      </c>
      <c r="F101" s="636">
        <v>80.0</v>
      </c>
      <c r="G101" s="89"/>
      <c r="H101" s="89"/>
      <c r="I101" s="89"/>
      <c r="J101" s="89"/>
      <c r="K101" s="89"/>
      <c r="L101" s="89"/>
      <c r="M101" s="89"/>
      <c r="N101" s="89"/>
      <c r="O101" s="89"/>
      <c r="P101" s="89"/>
      <c r="Q101" s="89"/>
      <c r="R101" s="89"/>
      <c r="S101" s="89"/>
      <c r="T101" s="89"/>
      <c r="U101" s="89"/>
      <c r="V101" s="89"/>
      <c r="W101" s="89"/>
      <c r="X101" s="89"/>
      <c r="Y101" s="89"/>
      <c r="Z101" s="89"/>
    </row>
    <row r="102">
      <c r="A102" s="637">
        <v>46190.461377314816</v>
      </c>
      <c r="B102" s="636">
        <v>1.2218126E7</v>
      </c>
      <c r="C102" s="634" t="s">
        <v>2049</v>
      </c>
      <c r="D102" s="636">
        <v>1.0</v>
      </c>
      <c r="E102" s="634" t="s">
        <v>2510</v>
      </c>
      <c r="F102" s="636">
        <v>90.0</v>
      </c>
      <c r="G102" s="89"/>
      <c r="H102" s="89"/>
      <c r="I102" s="89"/>
      <c r="J102" s="89"/>
      <c r="K102" s="89"/>
      <c r="L102" s="89"/>
      <c r="M102" s="89"/>
      <c r="N102" s="89"/>
      <c r="O102" s="89"/>
      <c r="P102" s="89"/>
      <c r="Q102" s="89"/>
      <c r="R102" s="89"/>
      <c r="S102" s="89"/>
      <c r="T102" s="89"/>
      <c r="U102" s="89"/>
      <c r="V102" s="89"/>
      <c r="W102" s="89"/>
      <c r="X102" s="89"/>
      <c r="Y102" s="89"/>
      <c r="Z102" s="89"/>
    </row>
    <row r="103">
      <c r="A103" s="637">
        <v>46192.3978125</v>
      </c>
      <c r="B103" s="636">
        <v>1.2306985E7</v>
      </c>
      <c r="C103" s="634" t="s">
        <v>316</v>
      </c>
      <c r="D103" s="636">
        <v>1.0</v>
      </c>
      <c r="E103" s="634" t="s">
        <v>2510</v>
      </c>
      <c r="F103" s="636">
        <v>45.0</v>
      </c>
      <c r="G103" s="89"/>
      <c r="H103" s="89"/>
      <c r="I103" s="89"/>
      <c r="J103" s="89"/>
      <c r="K103" s="89"/>
      <c r="L103" s="89"/>
      <c r="M103" s="89"/>
      <c r="N103" s="89"/>
      <c r="O103" s="89"/>
      <c r="P103" s="89"/>
      <c r="Q103" s="89"/>
      <c r="R103" s="89"/>
      <c r="S103" s="89"/>
      <c r="T103" s="89"/>
      <c r="U103" s="89"/>
      <c r="V103" s="89"/>
      <c r="W103" s="89"/>
      <c r="X103" s="89"/>
      <c r="Y103" s="89"/>
      <c r="Z103" s="89"/>
    </row>
    <row r="104">
      <c r="A104" s="637">
        <v>46192.68450231481</v>
      </c>
      <c r="B104" s="636">
        <v>1.2316531E7</v>
      </c>
      <c r="C104" s="634" t="s">
        <v>300</v>
      </c>
      <c r="D104" s="636">
        <v>1.0</v>
      </c>
      <c r="E104" s="634" t="s">
        <v>2510</v>
      </c>
      <c r="F104" s="636">
        <v>120.0</v>
      </c>
      <c r="G104" s="89"/>
      <c r="H104" s="89"/>
      <c r="I104" s="89"/>
      <c r="J104" s="89"/>
      <c r="K104" s="89"/>
      <c r="L104" s="89"/>
      <c r="M104" s="89"/>
      <c r="N104" s="89"/>
      <c r="O104" s="89"/>
      <c r="P104" s="89"/>
      <c r="Q104" s="89"/>
      <c r="R104" s="89"/>
      <c r="S104" s="89"/>
      <c r="T104" s="89"/>
      <c r="U104" s="89"/>
      <c r="V104" s="89"/>
      <c r="W104" s="89"/>
      <c r="X104" s="89"/>
      <c r="Y104" s="89"/>
      <c r="Z104" s="89"/>
    </row>
    <row r="105">
      <c r="A105" s="637">
        <v>46192.703194444446</v>
      </c>
      <c r="B105" s="636">
        <v>1.2317526E7</v>
      </c>
      <c r="C105" s="634" t="s">
        <v>295</v>
      </c>
      <c r="D105" s="636">
        <v>1.0</v>
      </c>
      <c r="E105" s="634" t="s">
        <v>2510</v>
      </c>
      <c r="F105" s="636">
        <v>120.0</v>
      </c>
      <c r="G105" s="89"/>
      <c r="H105" s="89"/>
      <c r="I105" s="89"/>
      <c r="J105" s="89"/>
      <c r="K105" s="89"/>
      <c r="L105" s="89"/>
      <c r="M105" s="89"/>
      <c r="N105" s="89"/>
      <c r="O105" s="89"/>
      <c r="P105" s="89"/>
      <c r="Q105" s="89"/>
      <c r="R105" s="89"/>
      <c r="S105" s="89"/>
      <c r="T105" s="89"/>
      <c r="U105" s="89"/>
      <c r="V105" s="89"/>
      <c r="W105" s="89"/>
      <c r="X105" s="89"/>
      <c r="Y105" s="89"/>
      <c r="Z105" s="89"/>
    </row>
    <row r="106">
      <c r="A106" s="637">
        <v>46195.71665509259</v>
      </c>
      <c r="B106" s="636">
        <v>1.2488264E7</v>
      </c>
      <c r="C106" s="634" t="s">
        <v>2541</v>
      </c>
      <c r="D106" s="636">
        <v>1.0</v>
      </c>
      <c r="E106" s="634" t="s">
        <v>2510</v>
      </c>
      <c r="F106" s="636">
        <v>72.0</v>
      </c>
      <c r="G106" s="89"/>
      <c r="H106" s="89"/>
      <c r="I106" s="89"/>
      <c r="J106" s="89"/>
      <c r="K106" s="89"/>
      <c r="L106" s="89"/>
      <c r="M106" s="89"/>
      <c r="N106" s="89"/>
      <c r="O106" s="89"/>
      <c r="P106" s="89"/>
      <c r="Q106" s="89"/>
      <c r="R106" s="89"/>
      <c r="S106" s="89"/>
      <c r="T106" s="89"/>
      <c r="U106" s="89"/>
      <c r="V106" s="89"/>
      <c r="W106" s="89"/>
      <c r="X106" s="89"/>
      <c r="Y106" s="89"/>
      <c r="Z106" s="89"/>
    </row>
    <row r="107">
      <c r="A107" s="637">
        <v>46196.68329861111</v>
      </c>
      <c r="B107" s="636">
        <v>1.2513374E7</v>
      </c>
      <c r="C107" s="634" t="s">
        <v>448</v>
      </c>
      <c r="D107" s="636">
        <v>1.0</v>
      </c>
      <c r="E107" s="634" t="s">
        <v>2510</v>
      </c>
      <c r="F107" s="636">
        <v>14.0</v>
      </c>
      <c r="G107" s="89"/>
      <c r="H107" s="89"/>
      <c r="I107" s="89"/>
      <c r="J107" s="89"/>
      <c r="K107" s="89"/>
      <c r="L107" s="89"/>
      <c r="M107" s="89"/>
      <c r="N107" s="89"/>
      <c r="O107" s="89"/>
      <c r="P107" s="89"/>
      <c r="Q107" s="89"/>
      <c r="R107" s="89"/>
      <c r="S107" s="89"/>
      <c r="T107" s="89"/>
      <c r="U107" s="89"/>
      <c r="V107" s="89"/>
      <c r="W107" s="89"/>
      <c r="X107" s="89"/>
      <c r="Y107" s="89"/>
      <c r="Z107" s="89"/>
    </row>
    <row r="108">
      <c r="A108" s="637">
        <v>46196.68834490741</v>
      </c>
      <c r="B108" s="636">
        <v>1.2513697E7</v>
      </c>
      <c r="C108" s="634" t="s">
        <v>2049</v>
      </c>
      <c r="D108" s="636">
        <v>1.0</v>
      </c>
      <c r="E108" s="634" t="s">
        <v>2510</v>
      </c>
      <c r="F108" s="636">
        <v>90.0</v>
      </c>
      <c r="G108" s="89"/>
      <c r="H108" s="89"/>
      <c r="I108" s="89"/>
      <c r="J108" s="89"/>
      <c r="K108" s="89"/>
      <c r="L108" s="89"/>
      <c r="M108" s="89"/>
      <c r="N108" s="89"/>
      <c r="O108" s="89"/>
      <c r="P108" s="89"/>
      <c r="Q108" s="89"/>
      <c r="R108" s="89"/>
      <c r="S108" s="89"/>
      <c r="T108" s="89"/>
      <c r="U108" s="89"/>
      <c r="V108" s="89"/>
      <c r="W108" s="89"/>
      <c r="X108" s="89"/>
      <c r="Y108" s="89"/>
      <c r="Z108" s="89"/>
    </row>
    <row r="109">
      <c r="A109" s="637">
        <v>46196.711851851855</v>
      </c>
      <c r="B109" s="636">
        <v>1.2515528E7</v>
      </c>
      <c r="C109" s="634" t="s">
        <v>391</v>
      </c>
      <c r="D109" s="636">
        <v>1.0</v>
      </c>
      <c r="E109" s="634" t="s">
        <v>2510</v>
      </c>
      <c r="F109" s="636">
        <v>80.0</v>
      </c>
      <c r="G109" s="89"/>
      <c r="H109" s="89"/>
      <c r="I109" s="89"/>
      <c r="J109" s="89"/>
      <c r="K109" s="89"/>
      <c r="L109" s="89"/>
      <c r="M109" s="89"/>
      <c r="N109" s="89"/>
      <c r="O109" s="89"/>
      <c r="P109" s="89"/>
      <c r="Q109" s="89"/>
      <c r="R109" s="89"/>
      <c r="S109" s="89"/>
      <c r="T109" s="89"/>
      <c r="U109" s="89"/>
      <c r="V109" s="89"/>
      <c r="W109" s="89"/>
      <c r="X109" s="89"/>
      <c r="Y109" s="89"/>
      <c r="Z109" s="89"/>
    </row>
    <row r="110">
      <c r="A110" s="637">
        <v>46197.41462962963</v>
      </c>
      <c r="B110" s="636">
        <v>1.2551622E7</v>
      </c>
      <c r="C110" s="634" t="s">
        <v>305</v>
      </c>
      <c r="D110" s="636">
        <v>1.0</v>
      </c>
      <c r="E110" s="634" t="s">
        <v>2510</v>
      </c>
      <c r="F110" s="636">
        <v>80.0</v>
      </c>
      <c r="G110" s="89"/>
      <c r="H110" s="89"/>
      <c r="I110" s="89"/>
      <c r="J110" s="89"/>
      <c r="K110" s="89"/>
      <c r="L110" s="89"/>
      <c r="M110" s="89"/>
      <c r="N110" s="89"/>
      <c r="O110" s="89"/>
      <c r="P110" s="89"/>
      <c r="Q110" s="89"/>
      <c r="R110" s="89"/>
      <c r="S110" s="89"/>
      <c r="T110" s="89"/>
      <c r="U110" s="89"/>
      <c r="V110" s="89"/>
      <c r="W110" s="89"/>
      <c r="X110" s="89"/>
      <c r="Y110" s="89"/>
      <c r="Z110" s="89"/>
    </row>
    <row r="111">
      <c r="A111" s="637">
        <v>46197.41462962963</v>
      </c>
      <c r="B111" s="636">
        <v>1.2551622E7</v>
      </c>
      <c r="C111" s="634" t="s">
        <v>383</v>
      </c>
      <c r="D111" s="636">
        <v>1.0</v>
      </c>
      <c r="E111" s="634" t="s">
        <v>2510</v>
      </c>
      <c r="F111" s="636">
        <v>80.0</v>
      </c>
      <c r="G111" s="89"/>
      <c r="H111" s="89"/>
      <c r="I111" s="89"/>
      <c r="J111" s="89"/>
      <c r="K111" s="89"/>
      <c r="L111" s="89"/>
      <c r="M111" s="89"/>
      <c r="N111" s="89"/>
      <c r="O111" s="89"/>
      <c r="P111" s="89"/>
      <c r="Q111" s="89"/>
      <c r="R111" s="89"/>
      <c r="S111" s="89"/>
      <c r="T111" s="89"/>
      <c r="U111" s="89"/>
      <c r="V111" s="89"/>
      <c r="W111" s="89"/>
      <c r="X111" s="89"/>
      <c r="Y111" s="89"/>
      <c r="Z111" s="89"/>
    </row>
    <row r="112">
      <c r="A112" s="637">
        <v>46197.46611111111</v>
      </c>
      <c r="B112" s="636">
        <v>1.255413E7</v>
      </c>
      <c r="C112" s="634" t="s">
        <v>389</v>
      </c>
      <c r="D112" s="636">
        <v>1.0</v>
      </c>
      <c r="E112" s="634" t="s">
        <v>2510</v>
      </c>
      <c r="F112" s="636">
        <v>90.0</v>
      </c>
      <c r="G112" s="89"/>
      <c r="H112" s="89"/>
      <c r="I112" s="89"/>
      <c r="J112" s="89"/>
      <c r="K112" s="89"/>
      <c r="L112" s="89"/>
      <c r="M112" s="89"/>
      <c r="N112" s="89"/>
      <c r="O112" s="89"/>
      <c r="P112" s="89"/>
      <c r="Q112" s="89"/>
      <c r="R112" s="89"/>
      <c r="S112" s="89"/>
      <c r="T112" s="89"/>
      <c r="U112" s="89"/>
      <c r="V112" s="89"/>
      <c r="W112" s="89"/>
      <c r="X112" s="89"/>
      <c r="Y112" s="89"/>
      <c r="Z112" s="89"/>
    </row>
    <row r="113">
      <c r="A113" s="637">
        <v>46197.478541666664</v>
      </c>
      <c r="B113" s="636">
        <v>1.2555078E7</v>
      </c>
      <c r="C113" s="634" t="s">
        <v>2542</v>
      </c>
      <c r="D113" s="636">
        <v>1.0</v>
      </c>
      <c r="E113" s="634" t="s">
        <v>2510</v>
      </c>
      <c r="F113" s="636">
        <v>50.0</v>
      </c>
      <c r="G113" s="89"/>
      <c r="H113" s="89"/>
      <c r="I113" s="89"/>
      <c r="J113" s="89"/>
      <c r="K113" s="89"/>
      <c r="L113" s="89"/>
      <c r="M113" s="89"/>
      <c r="N113" s="89"/>
      <c r="O113" s="89"/>
      <c r="P113" s="89"/>
      <c r="Q113" s="89"/>
      <c r="R113" s="89"/>
      <c r="S113" s="89"/>
      <c r="T113" s="89"/>
      <c r="U113" s="89"/>
      <c r="V113" s="89"/>
      <c r="W113" s="89"/>
      <c r="X113" s="89"/>
      <c r="Y113" s="89"/>
      <c r="Z113" s="89"/>
    </row>
    <row r="114">
      <c r="A114" s="637">
        <v>46197.48063657407</v>
      </c>
      <c r="B114" s="636">
        <v>1.2555223E7</v>
      </c>
      <c r="C114" s="634" t="s">
        <v>291</v>
      </c>
      <c r="D114" s="636">
        <v>1.0</v>
      </c>
      <c r="E114" s="634" t="s">
        <v>2510</v>
      </c>
      <c r="F114" s="636">
        <v>96.0</v>
      </c>
      <c r="G114" s="89"/>
      <c r="H114" s="89"/>
      <c r="I114" s="89"/>
      <c r="J114" s="89"/>
      <c r="K114" s="89"/>
      <c r="L114" s="89"/>
      <c r="M114" s="89"/>
      <c r="N114" s="89"/>
      <c r="O114" s="89"/>
      <c r="P114" s="89"/>
      <c r="Q114" s="89"/>
      <c r="R114" s="89"/>
      <c r="S114" s="89"/>
      <c r="T114" s="89"/>
      <c r="U114" s="89"/>
      <c r="V114" s="89"/>
      <c r="W114" s="89"/>
      <c r="X114" s="89"/>
      <c r="Y114" s="89"/>
      <c r="Z114" s="89"/>
    </row>
    <row r="115">
      <c r="A115" s="637">
        <v>46197.49037037037</v>
      </c>
      <c r="B115" s="636">
        <v>1.2555898E7</v>
      </c>
      <c r="C115" s="634" t="s">
        <v>383</v>
      </c>
      <c r="D115" s="636">
        <v>1.0</v>
      </c>
      <c r="E115" s="634" t="s">
        <v>2510</v>
      </c>
      <c r="F115" s="636">
        <v>72.0</v>
      </c>
      <c r="G115" s="89"/>
      <c r="H115" s="89"/>
      <c r="I115" s="89"/>
      <c r="J115" s="89"/>
      <c r="K115" s="89"/>
      <c r="L115" s="89"/>
      <c r="M115" s="89"/>
      <c r="N115" s="89"/>
      <c r="O115" s="89"/>
      <c r="P115" s="89"/>
      <c r="Q115" s="89"/>
      <c r="R115" s="89"/>
      <c r="S115" s="89"/>
      <c r="T115" s="89"/>
      <c r="U115" s="89"/>
      <c r="V115" s="89"/>
      <c r="W115" s="89"/>
      <c r="X115" s="89"/>
      <c r="Y115" s="89"/>
      <c r="Z115" s="89"/>
    </row>
    <row r="116">
      <c r="A116" s="637">
        <v>46197.54547453704</v>
      </c>
      <c r="B116" s="636">
        <v>1.2558289E7</v>
      </c>
      <c r="C116" s="634" t="s">
        <v>2541</v>
      </c>
      <c r="D116" s="636">
        <v>1.0</v>
      </c>
      <c r="E116" s="634" t="s">
        <v>2510</v>
      </c>
      <c r="F116" s="636">
        <v>80.0</v>
      </c>
      <c r="G116" s="89"/>
      <c r="H116" s="89"/>
      <c r="I116" s="89"/>
      <c r="J116" s="89"/>
      <c r="K116" s="89"/>
      <c r="L116" s="89"/>
      <c r="M116" s="89"/>
      <c r="N116" s="89"/>
      <c r="O116" s="89"/>
      <c r="P116" s="89"/>
      <c r="Q116" s="89"/>
      <c r="R116" s="89"/>
      <c r="S116" s="89"/>
      <c r="T116" s="89"/>
      <c r="U116" s="89"/>
      <c r="V116" s="89"/>
      <c r="W116" s="89"/>
      <c r="X116" s="89"/>
      <c r="Y116" s="89"/>
      <c r="Z116" s="89"/>
    </row>
    <row r="117">
      <c r="A117" s="637">
        <v>46197.54547453704</v>
      </c>
      <c r="B117" s="636">
        <v>1.2558289E7</v>
      </c>
      <c r="C117" s="634" t="s">
        <v>2541</v>
      </c>
      <c r="D117" s="636">
        <v>1.0</v>
      </c>
      <c r="E117" s="634" t="s">
        <v>2510</v>
      </c>
      <c r="F117" s="636">
        <v>80.0</v>
      </c>
      <c r="G117" s="89"/>
      <c r="H117" s="89"/>
      <c r="I117" s="89"/>
      <c r="J117" s="89"/>
      <c r="K117" s="89"/>
      <c r="L117" s="89"/>
      <c r="M117" s="89"/>
      <c r="N117" s="89"/>
      <c r="O117" s="89"/>
      <c r="P117" s="89"/>
      <c r="Q117" s="89"/>
      <c r="R117" s="89"/>
      <c r="S117" s="89"/>
      <c r="T117" s="89"/>
      <c r="U117" s="89"/>
      <c r="V117" s="89"/>
      <c r="W117" s="89"/>
      <c r="X117" s="89"/>
      <c r="Y117" s="89"/>
      <c r="Z117" s="89"/>
    </row>
    <row r="118">
      <c r="A118" s="637">
        <v>46197.57336805556</v>
      </c>
      <c r="B118" s="636">
        <v>1.2559096E7</v>
      </c>
      <c r="C118" s="634" t="s">
        <v>387</v>
      </c>
      <c r="D118" s="636">
        <v>1.0</v>
      </c>
      <c r="E118" s="634" t="s">
        <v>2510</v>
      </c>
      <c r="F118" s="636">
        <v>90.0</v>
      </c>
      <c r="G118" s="89"/>
      <c r="H118" s="89"/>
      <c r="I118" s="89"/>
      <c r="J118" s="89"/>
      <c r="K118" s="89"/>
      <c r="L118" s="89"/>
      <c r="M118" s="89"/>
      <c r="N118" s="89"/>
      <c r="O118" s="89"/>
      <c r="P118" s="89"/>
      <c r="Q118" s="89"/>
      <c r="R118" s="89"/>
      <c r="S118" s="89"/>
      <c r="T118" s="89"/>
      <c r="U118" s="89"/>
      <c r="V118" s="89"/>
      <c r="W118" s="89"/>
      <c r="X118" s="89"/>
      <c r="Y118" s="89"/>
      <c r="Z118" s="89"/>
    </row>
    <row r="119">
      <c r="A119" s="637">
        <v>46198.467094907406</v>
      </c>
      <c r="B119" s="636">
        <v>1.2587076E7</v>
      </c>
      <c r="C119" s="634" t="s">
        <v>474</v>
      </c>
      <c r="D119" s="636">
        <v>1.0</v>
      </c>
      <c r="E119" s="634" t="s">
        <v>2510</v>
      </c>
      <c r="F119" s="636">
        <v>40.5</v>
      </c>
      <c r="G119" s="89"/>
      <c r="H119" s="89"/>
      <c r="I119" s="89"/>
      <c r="J119" s="89"/>
      <c r="K119" s="89"/>
      <c r="L119" s="89"/>
      <c r="M119" s="89"/>
      <c r="N119" s="89"/>
      <c r="O119" s="89"/>
      <c r="P119" s="89"/>
      <c r="Q119" s="89"/>
      <c r="R119" s="89"/>
      <c r="S119" s="89"/>
      <c r="T119" s="89"/>
      <c r="U119" s="89"/>
      <c r="V119" s="89"/>
      <c r="W119" s="89"/>
      <c r="X119" s="89"/>
      <c r="Y119" s="89"/>
      <c r="Z119" s="89"/>
    </row>
    <row r="120">
      <c r="A120" s="637">
        <v>46198.467094907406</v>
      </c>
      <c r="B120" s="636">
        <v>1.2587076E7</v>
      </c>
      <c r="C120" s="634" t="s">
        <v>662</v>
      </c>
      <c r="D120" s="636">
        <v>1.0</v>
      </c>
      <c r="E120" s="634" t="s">
        <v>2510</v>
      </c>
      <c r="F120" s="636">
        <v>45.0</v>
      </c>
      <c r="G120" s="89"/>
      <c r="H120" s="89"/>
      <c r="I120" s="89"/>
      <c r="J120" s="89"/>
      <c r="K120" s="89"/>
      <c r="L120" s="89"/>
      <c r="M120" s="89"/>
      <c r="N120" s="89"/>
      <c r="O120" s="89"/>
      <c r="P120" s="89"/>
      <c r="Q120" s="89"/>
      <c r="R120" s="89"/>
      <c r="S120" s="89"/>
      <c r="T120" s="89"/>
      <c r="U120" s="89"/>
      <c r="V120" s="89"/>
      <c r="W120" s="89"/>
      <c r="X120" s="89"/>
      <c r="Y120" s="89"/>
      <c r="Z120" s="89"/>
    </row>
    <row r="121">
      <c r="A121" s="637">
        <v>46198.47144675926</v>
      </c>
      <c r="B121" s="636">
        <v>1.2587415E7</v>
      </c>
      <c r="C121" s="634" t="s">
        <v>524</v>
      </c>
      <c r="D121" s="636">
        <v>1.0</v>
      </c>
      <c r="E121" s="634" t="s">
        <v>2510</v>
      </c>
      <c r="F121" s="636">
        <v>108.0</v>
      </c>
      <c r="G121" s="89"/>
      <c r="H121" s="89"/>
      <c r="I121" s="89"/>
      <c r="J121" s="89"/>
      <c r="K121" s="89"/>
      <c r="L121" s="89"/>
      <c r="M121" s="89"/>
      <c r="N121" s="89"/>
      <c r="O121" s="89"/>
      <c r="P121" s="89"/>
      <c r="Q121" s="89"/>
      <c r="R121" s="89"/>
      <c r="S121" s="89"/>
      <c r="T121" s="89"/>
      <c r="U121" s="89"/>
      <c r="V121" s="89"/>
      <c r="W121" s="89"/>
      <c r="X121" s="89"/>
      <c r="Y121" s="89"/>
      <c r="Z121" s="89"/>
    </row>
    <row r="122">
      <c r="A122" s="637">
        <v>46198.66439814815</v>
      </c>
      <c r="B122" s="636">
        <v>1.2593768E7</v>
      </c>
      <c r="C122" s="634" t="s">
        <v>4252</v>
      </c>
      <c r="D122" s="636">
        <v>1.0</v>
      </c>
      <c r="E122" s="634" t="s">
        <v>2510</v>
      </c>
      <c r="F122" s="636">
        <v>120.0</v>
      </c>
      <c r="G122" s="89"/>
      <c r="H122" s="89"/>
      <c r="I122" s="89"/>
      <c r="J122" s="89"/>
      <c r="K122" s="89"/>
      <c r="L122" s="89"/>
      <c r="M122" s="89"/>
      <c r="N122" s="89"/>
      <c r="O122" s="89"/>
      <c r="P122" s="89"/>
      <c r="Q122" s="89"/>
      <c r="R122" s="89"/>
      <c r="S122" s="89"/>
      <c r="T122" s="89"/>
      <c r="U122" s="89"/>
      <c r="V122" s="89"/>
      <c r="W122" s="89"/>
      <c r="X122" s="89"/>
      <c r="Y122" s="89"/>
      <c r="Z122" s="89"/>
    </row>
    <row r="123">
      <c r="A123" s="637">
        <v>46198.69112268519</v>
      </c>
      <c r="B123" s="636">
        <v>1.2594538E7</v>
      </c>
      <c r="C123" s="634" t="s">
        <v>712</v>
      </c>
      <c r="D123" s="636">
        <v>1.0</v>
      </c>
      <c r="E123" s="634" t="s">
        <v>2510</v>
      </c>
      <c r="F123" s="636">
        <v>50.0</v>
      </c>
      <c r="G123" s="89"/>
      <c r="H123" s="89"/>
      <c r="I123" s="89"/>
      <c r="J123" s="89"/>
      <c r="K123" s="89"/>
      <c r="L123" s="89"/>
      <c r="M123" s="89"/>
      <c r="N123" s="89"/>
      <c r="O123" s="89"/>
      <c r="P123" s="89"/>
      <c r="Q123" s="89"/>
      <c r="R123" s="89"/>
      <c r="S123" s="89"/>
      <c r="T123" s="89"/>
      <c r="U123" s="89"/>
      <c r="V123" s="89"/>
      <c r="W123" s="89"/>
      <c r="X123" s="89"/>
      <c r="Y123" s="89"/>
      <c r="Z123" s="89"/>
    </row>
    <row r="124">
      <c r="A124" s="637">
        <v>46198.69112268519</v>
      </c>
      <c r="B124" s="636">
        <v>1.2594538E7</v>
      </c>
      <c r="C124" s="634" t="s">
        <v>383</v>
      </c>
      <c r="D124" s="636">
        <v>1.0</v>
      </c>
      <c r="E124" s="634" t="s">
        <v>2510</v>
      </c>
      <c r="F124" s="636">
        <v>80.0</v>
      </c>
      <c r="G124" s="89"/>
      <c r="H124" s="89"/>
      <c r="I124" s="89"/>
      <c r="J124" s="89"/>
      <c r="K124" s="89"/>
      <c r="L124" s="89"/>
      <c r="M124" s="89"/>
      <c r="N124" s="89"/>
      <c r="O124" s="89"/>
      <c r="P124" s="89"/>
      <c r="Q124" s="89"/>
      <c r="R124" s="89"/>
      <c r="S124" s="89"/>
      <c r="T124" s="89"/>
      <c r="U124" s="89"/>
      <c r="V124" s="89"/>
      <c r="W124" s="89"/>
      <c r="X124" s="89"/>
      <c r="Y124" s="89"/>
      <c r="Z124" s="89"/>
    </row>
    <row r="125">
      <c r="A125" s="637">
        <v>46199.41930555556</v>
      </c>
      <c r="B125" s="636">
        <v>1.2621709E7</v>
      </c>
      <c r="C125" s="634" t="s">
        <v>389</v>
      </c>
      <c r="D125" s="636">
        <v>1.0</v>
      </c>
      <c r="E125" s="634" t="s">
        <v>2510</v>
      </c>
      <c r="F125" s="636">
        <v>90.0</v>
      </c>
      <c r="G125" s="89"/>
      <c r="H125" s="89"/>
      <c r="I125" s="89"/>
      <c r="J125" s="89"/>
      <c r="K125" s="89"/>
      <c r="L125" s="89"/>
      <c r="M125" s="89"/>
      <c r="N125" s="89"/>
      <c r="O125" s="89"/>
      <c r="P125" s="89"/>
      <c r="Q125" s="89"/>
      <c r="R125" s="89"/>
      <c r="S125" s="89"/>
      <c r="T125" s="89"/>
      <c r="U125" s="89"/>
      <c r="V125" s="89"/>
      <c r="W125" s="89"/>
      <c r="X125" s="89"/>
      <c r="Y125" s="89"/>
      <c r="Z125" s="89"/>
    </row>
    <row r="126">
      <c r="A126" s="637">
        <v>46199.483715277776</v>
      </c>
      <c r="B126" s="636">
        <v>1.2624488E7</v>
      </c>
      <c r="C126" s="634" t="s">
        <v>256</v>
      </c>
      <c r="D126" s="636">
        <v>1.0</v>
      </c>
      <c r="E126" s="634" t="s">
        <v>2510</v>
      </c>
      <c r="F126" s="636">
        <v>90.0</v>
      </c>
      <c r="G126" s="89"/>
      <c r="H126" s="89"/>
      <c r="I126" s="89"/>
      <c r="J126" s="89"/>
      <c r="K126" s="89"/>
      <c r="L126" s="89"/>
      <c r="M126" s="89"/>
      <c r="N126" s="89"/>
      <c r="O126" s="89"/>
      <c r="P126" s="89"/>
      <c r="Q126" s="89"/>
      <c r="R126" s="89"/>
      <c r="S126" s="89"/>
      <c r="T126" s="89"/>
      <c r="U126" s="89"/>
      <c r="V126" s="89"/>
      <c r="W126" s="89"/>
      <c r="X126" s="89"/>
      <c r="Y126" s="89"/>
      <c r="Z126" s="89"/>
    </row>
    <row r="127">
      <c r="A127" s="637">
        <v>46199.70505787037</v>
      </c>
      <c r="B127" s="636">
        <v>1.263079E7</v>
      </c>
      <c r="C127" s="634" t="s">
        <v>2514</v>
      </c>
      <c r="D127" s="636">
        <v>1.0</v>
      </c>
      <c r="E127" s="634" t="s">
        <v>2510</v>
      </c>
      <c r="F127" s="636">
        <v>120.0</v>
      </c>
      <c r="G127" s="89"/>
      <c r="H127" s="89"/>
      <c r="I127" s="89"/>
      <c r="J127" s="89"/>
      <c r="K127" s="89"/>
      <c r="L127" s="89"/>
      <c r="M127" s="89"/>
      <c r="N127" s="89"/>
      <c r="O127" s="89"/>
      <c r="P127" s="89"/>
      <c r="Q127" s="89"/>
      <c r="R127" s="89"/>
      <c r="S127" s="89"/>
      <c r="T127" s="89"/>
      <c r="U127" s="89"/>
      <c r="V127" s="89"/>
      <c r="W127" s="89"/>
      <c r="X127" s="89"/>
      <c r="Y127" s="89"/>
      <c r="Z127" s="89"/>
    </row>
    <row r="128">
      <c r="A128" s="637">
        <v>46199.71166666667</v>
      </c>
      <c r="B128" s="636">
        <v>1.2631136E7</v>
      </c>
      <c r="C128" s="634" t="s">
        <v>181</v>
      </c>
      <c r="D128" s="636">
        <v>1.0</v>
      </c>
      <c r="E128" s="634" t="s">
        <v>2510</v>
      </c>
      <c r="F128" s="636">
        <v>150.0</v>
      </c>
      <c r="G128" s="89"/>
      <c r="H128" s="89"/>
      <c r="I128" s="89"/>
      <c r="J128" s="89"/>
      <c r="K128" s="89"/>
      <c r="L128" s="89"/>
      <c r="M128" s="89"/>
      <c r="N128" s="89"/>
      <c r="O128" s="89"/>
      <c r="P128" s="89"/>
      <c r="Q128" s="89"/>
      <c r="R128" s="89"/>
      <c r="S128" s="89"/>
      <c r="T128" s="89"/>
      <c r="U128" s="89"/>
      <c r="V128" s="89"/>
      <c r="W128" s="89"/>
      <c r="X128" s="89"/>
      <c r="Y128" s="89"/>
      <c r="Z128" s="89"/>
    </row>
    <row r="129">
      <c r="A129" s="637">
        <v>46200.41372685185</v>
      </c>
      <c r="B129" s="636">
        <v>1.2666079E7</v>
      </c>
      <c r="C129" s="634" t="s">
        <v>756</v>
      </c>
      <c r="D129" s="636">
        <v>1.0</v>
      </c>
      <c r="E129" s="634" t="s">
        <v>2510</v>
      </c>
      <c r="F129" s="636">
        <v>18.0</v>
      </c>
      <c r="G129" s="89"/>
      <c r="H129" s="89"/>
      <c r="I129" s="89"/>
      <c r="J129" s="89"/>
      <c r="K129" s="89"/>
      <c r="L129" s="89"/>
      <c r="M129" s="89"/>
      <c r="N129" s="89"/>
      <c r="O129" s="89"/>
      <c r="P129" s="89"/>
      <c r="Q129" s="89"/>
      <c r="R129" s="89"/>
      <c r="S129" s="89"/>
      <c r="T129" s="89"/>
      <c r="U129" s="89"/>
      <c r="V129" s="89"/>
      <c r="W129" s="89"/>
      <c r="X129" s="89"/>
      <c r="Y129" s="89"/>
      <c r="Z129" s="89"/>
    </row>
    <row r="130">
      <c r="A130" s="637">
        <v>46201.42471064815</v>
      </c>
      <c r="B130" s="636">
        <v>1.2739253E7</v>
      </c>
      <c r="C130" s="634" t="s">
        <v>2029</v>
      </c>
      <c r="D130" s="636">
        <v>1.0</v>
      </c>
      <c r="E130" s="634" t="s">
        <v>2510</v>
      </c>
      <c r="F130" s="636">
        <v>90.0</v>
      </c>
      <c r="G130" s="89"/>
      <c r="H130" s="89"/>
      <c r="I130" s="89"/>
      <c r="J130" s="89"/>
      <c r="K130" s="89"/>
      <c r="L130" s="89"/>
      <c r="M130" s="89"/>
      <c r="N130" s="89"/>
      <c r="O130" s="89"/>
      <c r="P130" s="89"/>
      <c r="Q130" s="89"/>
      <c r="R130" s="89"/>
      <c r="S130" s="89"/>
      <c r="T130" s="89"/>
      <c r="U130" s="89"/>
      <c r="V130" s="89"/>
      <c r="W130" s="89"/>
      <c r="X130" s="89"/>
      <c r="Y130" s="89"/>
      <c r="Z130" s="89"/>
    </row>
    <row r="131">
      <c r="A131" s="637">
        <v>46201.63957175926</v>
      </c>
      <c r="B131" s="636">
        <v>1.2750008E7</v>
      </c>
      <c r="C131" s="634" t="s">
        <v>389</v>
      </c>
      <c r="D131" s="636">
        <v>1.0</v>
      </c>
      <c r="E131" s="634" t="s">
        <v>2510</v>
      </c>
      <c r="F131" s="636">
        <v>90.0</v>
      </c>
      <c r="G131" s="89"/>
      <c r="H131" s="89"/>
      <c r="I131" s="89"/>
      <c r="J131" s="89"/>
      <c r="K131" s="89"/>
      <c r="L131" s="89"/>
      <c r="M131" s="89"/>
      <c r="N131" s="89"/>
      <c r="O131" s="89"/>
      <c r="P131" s="89"/>
      <c r="Q131" s="89"/>
      <c r="R131" s="89"/>
      <c r="S131" s="89"/>
      <c r="T131" s="89"/>
      <c r="U131" s="89"/>
      <c r="V131" s="89"/>
      <c r="W131" s="89"/>
      <c r="X131" s="89"/>
      <c r="Y131" s="89"/>
      <c r="Z131" s="89"/>
    </row>
    <row r="132">
      <c r="A132" s="637">
        <v>46202.476331018515</v>
      </c>
      <c r="B132" s="636">
        <v>1.2779442E7</v>
      </c>
      <c r="C132" s="634" t="s">
        <v>595</v>
      </c>
      <c r="D132" s="636">
        <v>1.0</v>
      </c>
      <c r="E132" s="634" t="s">
        <v>2510</v>
      </c>
      <c r="F132" s="636">
        <v>108.0</v>
      </c>
      <c r="G132" s="89"/>
      <c r="H132" s="89"/>
      <c r="I132" s="89"/>
      <c r="J132" s="89"/>
      <c r="K132" s="89"/>
      <c r="L132" s="89"/>
      <c r="M132" s="89"/>
      <c r="N132" s="89"/>
      <c r="O132" s="89"/>
      <c r="P132" s="89"/>
      <c r="Q132" s="89"/>
      <c r="R132" s="89"/>
      <c r="S132" s="89"/>
      <c r="T132" s="89"/>
      <c r="U132" s="89"/>
      <c r="V132" s="89"/>
      <c r="W132" s="89"/>
      <c r="X132" s="89"/>
      <c r="Y132" s="89"/>
      <c r="Z132" s="89"/>
    </row>
    <row r="133">
      <c r="A133" s="637">
        <v>46203.39052083333</v>
      </c>
      <c r="B133" s="636">
        <v>1.2798369E7</v>
      </c>
      <c r="C133" s="634" t="s">
        <v>652</v>
      </c>
      <c r="D133" s="636">
        <v>1.0</v>
      </c>
      <c r="E133" s="634" t="s">
        <v>2511</v>
      </c>
      <c r="F133" s="636">
        <v>45.0</v>
      </c>
      <c r="G133" s="89"/>
      <c r="H133" s="89"/>
      <c r="I133" s="89"/>
      <c r="J133" s="89"/>
      <c r="K133" s="89"/>
      <c r="L133" s="89"/>
      <c r="M133" s="89"/>
      <c r="N133" s="89"/>
      <c r="O133" s="89"/>
      <c r="P133" s="89"/>
      <c r="Q133" s="89"/>
      <c r="R133" s="89"/>
      <c r="S133" s="89"/>
      <c r="T133" s="89"/>
      <c r="U133" s="89"/>
      <c r="V133" s="89"/>
      <c r="W133" s="89"/>
      <c r="X133" s="89"/>
      <c r="Y133" s="89"/>
      <c r="Z133" s="89"/>
    </row>
    <row r="134">
      <c r="A134" s="637">
        <v>46203.70212962963</v>
      </c>
      <c r="B134" s="636">
        <v>1.2808152E7</v>
      </c>
      <c r="C134" s="634" t="s">
        <v>302</v>
      </c>
      <c r="D134" s="636">
        <v>1.0</v>
      </c>
      <c r="E134" s="634" t="s">
        <v>2510</v>
      </c>
      <c r="F134" s="636">
        <v>72.0</v>
      </c>
      <c r="G134" s="89"/>
      <c r="H134" s="89"/>
      <c r="I134" s="89"/>
      <c r="J134" s="89"/>
      <c r="K134" s="89"/>
      <c r="L134" s="89"/>
      <c r="M134" s="89"/>
      <c r="N134" s="89"/>
      <c r="O134" s="89"/>
      <c r="P134" s="89"/>
      <c r="Q134" s="89"/>
      <c r="R134" s="89"/>
      <c r="S134" s="89"/>
      <c r="T134" s="89"/>
      <c r="U134" s="89"/>
      <c r="V134" s="89"/>
      <c r="W134" s="89"/>
      <c r="X134" s="89"/>
      <c r="Y134" s="89"/>
      <c r="Z134" s="89"/>
    </row>
    <row r="135">
      <c r="A135" s="637">
        <v>46203.72217592593</v>
      </c>
      <c r="B135" s="636">
        <v>1.2809141E7</v>
      </c>
      <c r="C135" s="634" t="s">
        <v>49</v>
      </c>
      <c r="D135" s="636">
        <v>1.0</v>
      </c>
      <c r="E135" s="634" t="s">
        <v>2510</v>
      </c>
      <c r="F135" s="636">
        <v>45.0</v>
      </c>
      <c r="G135" s="89"/>
      <c r="H135" s="89"/>
      <c r="I135" s="89"/>
      <c r="J135" s="89"/>
      <c r="K135" s="89"/>
      <c r="L135" s="89"/>
      <c r="M135" s="89"/>
      <c r="N135" s="89"/>
      <c r="O135" s="89"/>
      <c r="P135" s="89"/>
      <c r="Q135" s="89"/>
      <c r="R135" s="89"/>
      <c r="S135" s="89"/>
      <c r="T135" s="89"/>
      <c r="U135" s="89"/>
      <c r="V135" s="89"/>
      <c r="W135" s="89"/>
      <c r="X135" s="89"/>
      <c r="Y135" s="89"/>
      <c r="Z135" s="89"/>
    </row>
    <row r="136">
      <c r="A136" s="637">
        <v>46203.72754629629</v>
      </c>
      <c r="B136" s="636">
        <v>1.2809478E7</v>
      </c>
      <c r="C136" s="634" t="s">
        <v>256</v>
      </c>
      <c r="D136" s="636">
        <v>1.0</v>
      </c>
      <c r="E136" s="634" t="s">
        <v>2510</v>
      </c>
      <c r="F136" s="636">
        <v>90.0</v>
      </c>
      <c r="G136" s="89"/>
      <c r="H136" s="89"/>
      <c r="I136" s="89"/>
      <c r="J136" s="89"/>
      <c r="K136" s="89"/>
      <c r="L136" s="89"/>
      <c r="M136" s="89"/>
      <c r="N136" s="89"/>
      <c r="O136" s="89"/>
      <c r="P136" s="89"/>
      <c r="Q136" s="89"/>
      <c r="R136" s="89"/>
      <c r="S136" s="89"/>
      <c r="T136" s="89"/>
      <c r="U136" s="89"/>
      <c r="V136" s="89"/>
      <c r="W136" s="89"/>
      <c r="X136" s="89"/>
      <c r="Y136" s="89"/>
      <c r="Z136" s="89"/>
    </row>
    <row r="137">
      <c r="A137" s="637">
        <v>46204.69391203704</v>
      </c>
      <c r="B137" s="636">
        <v>1.2837287E7</v>
      </c>
      <c r="C137" s="634" t="s">
        <v>210</v>
      </c>
      <c r="D137" s="636">
        <v>1.0</v>
      </c>
      <c r="E137" s="634" t="s">
        <v>2510</v>
      </c>
      <c r="F137" s="636">
        <v>175.0</v>
      </c>
      <c r="G137" s="89"/>
      <c r="H137" s="89"/>
      <c r="I137" s="89"/>
      <c r="J137" s="89"/>
      <c r="K137" s="89"/>
      <c r="L137" s="89"/>
      <c r="M137" s="89"/>
      <c r="N137" s="89"/>
      <c r="O137" s="89"/>
      <c r="P137" s="89"/>
      <c r="Q137" s="89"/>
      <c r="R137" s="89"/>
      <c r="S137" s="89"/>
      <c r="T137" s="89"/>
      <c r="U137" s="89"/>
      <c r="V137" s="89"/>
      <c r="W137" s="89"/>
      <c r="X137" s="89"/>
      <c r="Y137" s="89"/>
      <c r="Z137" s="89"/>
    </row>
    <row r="138">
      <c r="A138" s="637">
        <v>46204.703518518516</v>
      </c>
      <c r="B138" s="636">
        <v>1.2837681E7</v>
      </c>
      <c r="C138" s="634" t="s">
        <v>256</v>
      </c>
      <c r="D138" s="636">
        <v>1.0</v>
      </c>
      <c r="E138" s="634" t="s">
        <v>2510</v>
      </c>
      <c r="F138" s="636">
        <v>90.0</v>
      </c>
      <c r="G138" s="89"/>
      <c r="H138" s="89"/>
      <c r="I138" s="89"/>
      <c r="J138" s="89"/>
      <c r="K138" s="89"/>
      <c r="L138" s="89"/>
      <c r="M138" s="89"/>
      <c r="N138" s="89"/>
      <c r="O138" s="89"/>
      <c r="P138" s="89"/>
      <c r="Q138" s="89"/>
      <c r="R138" s="89"/>
      <c r="S138" s="89"/>
      <c r="T138" s="89"/>
      <c r="U138" s="89"/>
      <c r="V138" s="89"/>
      <c r="W138" s="89"/>
      <c r="X138" s="89"/>
      <c r="Y138" s="89"/>
      <c r="Z138" s="89"/>
    </row>
    <row r="139">
      <c r="A139" s="637">
        <v>46205.695543981485</v>
      </c>
      <c r="B139" s="636">
        <v>1.2866146E7</v>
      </c>
      <c r="C139" s="634" t="s">
        <v>6961</v>
      </c>
      <c r="D139" s="636">
        <v>1.0</v>
      </c>
      <c r="E139" s="634" t="s">
        <v>2510</v>
      </c>
      <c r="F139" s="636">
        <v>175.0</v>
      </c>
      <c r="G139" s="89"/>
      <c r="H139" s="89"/>
      <c r="I139" s="89"/>
      <c r="J139" s="89"/>
      <c r="K139" s="89"/>
      <c r="L139" s="89"/>
      <c r="M139" s="89"/>
      <c r="N139" s="89"/>
      <c r="O139" s="89"/>
      <c r="P139" s="89"/>
      <c r="Q139" s="89"/>
      <c r="R139" s="89"/>
      <c r="S139" s="89"/>
      <c r="T139" s="89"/>
      <c r="U139" s="89"/>
      <c r="V139" s="89"/>
      <c r="W139" s="89"/>
      <c r="X139" s="89"/>
      <c r="Y139" s="89"/>
      <c r="Z139" s="89"/>
    </row>
    <row r="140">
      <c r="A140" s="637">
        <v>46205.6958912037</v>
      </c>
      <c r="B140" s="636">
        <v>1.286616E7</v>
      </c>
      <c r="C140" s="634" t="s">
        <v>677</v>
      </c>
      <c r="D140" s="636">
        <v>1.0</v>
      </c>
      <c r="E140" s="634" t="s">
        <v>2510</v>
      </c>
      <c r="F140" s="636">
        <v>70.0</v>
      </c>
      <c r="G140" s="89"/>
      <c r="H140" s="89"/>
      <c r="I140" s="89"/>
      <c r="J140" s="89"/>
      <c r="K140" s="89"/>
      <c r="L140" s="89"/>
      <c r="M140" s="89"/>
      <c r="N140" s="89"/>
      <c r="O140" s="89"/>
      <c r="P140" s="89"/>
      <c r="Q140" s="89"/>
      <c r="R140" s="89"/>
      <c r="S140" s="89"/>
      <c r="T140" s="89"/>
      <c r="U140" s="89"/>
      <c r="V140" s="89"/>
      <c r="W140" s="89"/>
      <c r="X140" s="89"/>
      <c r="Y140" s="89"/>
      <c r="Z140" s="89"/>
    </row>
    <row r="141">
      <c r="A141" s="637">
        <v>46205.72537037037</v>
      </c>
      <c r="B141" s="636">
        <v>1.2867915E7</v>
      </c>
      <c r="C141" s="634" t="s">
        <v>2543</v>
      </c>
      <c r="D141" s="636">
        <v>1.0</v>
      </c>
      <c r="E141" s="634" t="s">
        <v>2510</v>
      </c>
      <c r="F141" s="636">
        <v>90.0</v>
      </c>
      <c r="G141" s="89"/>
      <c r="H141" s="89"/>
      <c r="I141" s="89"/>
      <c r="J141" s="89"/>
      <c r="K141" s="89"/>
      <c r="L141" s="89"/>
      <c r="M141" s="89"/>
      <c r="N141" s="89"/>
      <c r="O141" s="89"/>
      <c r="P141" s="89"/>
      <c r="Q141" s="89"/>
      <c r="R141" s="89"/>
      <c r="S141" s="89"/>
      <c r="T141" s="89"/>
      <c r="U141" s="89"/>
      <c r="V141" s="89"/>
      <c r="W141" s="89"/>
      <c r="X141" s="89"/>
      <c r="Y141" s="89"/>
      <c r="Z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sheetData>
  <drawing r:id="rId1"/>
  <tableParts count="3">
    <tablePart r:id="rId5"/>
    <tablePart r:id="rId6"/>
    <tablePart r:id="rId7"/>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25"/>
    <col customWidth="1" min="2" max="2" width="18.13"/>
    <col customWidth="1" min="3" max="3" width="26.25"/>
  </cols>
  <sheetData>
    <row r="1">
      <c r="A1" s="640"/>
      <c r="B1" s="45"/>
      <c r="C1" s="45"/>
    </row>
    <row r="2">
      <c r="A2" s="641" t="s">
        <v>9062</v>
      </c>
      <c r="B2" s="642" t="s">
        <v>9063</v>
      </c>
      <c r="C2" s="642" t="s">
        <v>9064</v>
      </c>
    </row>
    <row r="3">
      <c r="A3" s="211" t="str">
        <f t="array" ref="A3">Iferror(VLOOKUP(#REF!,#REF!,2,false),"Non Mappato")</f>
        <v>Non Mappato</v>
      </c>
      <c r="B3" s="643" t="s">
        <v>1649</v>
      </c>
      <c r="C3" s="643"/>
    </row>
    <row r="4">
      <c r="A4" s="211"/>
      <c r="B4" s="643" t="s">
        <v>1650</v>
      </c>
      <c r="C4" s="643"/>
    </row>
    <row r="5">
      <c r="A5" s="211"/>
      <c r="B5" s="643" t="s">
        <v>1652</v>
      </c>
      <c r="C5" s="643" t="s">
        <v>1626</v>
      </c>
    </row>
    <row r="6">
      <c r="A6" s="211"/>
      <c r="B6" s="643" t="s">
        <v>1652</v>
      </c>
      <c r="C6" s="643" t="s">
        <v>1809</v>
      </c>
    </row>
    <row r="7">
      <c r="A7" s="211"/>
      <c r="B7" s="643" t="s">
        <v>1653</v>
      </c>
      <c r="C7" s="643" t="s">
        <v>1654</v>
      </c>
    </row>
    <row r="8">
      <c r="A8" s="211"/>
      <c r="B8" s="643" t="s">
        <v>1653</v>
      </c>
      <c r="C8" s="643" t="s">
        <v>1655</v>
      </c>
    </row>
    <row r="9">
      <c r="A9" s="211"/>
      <c r="B9" s="644" t="s">
        <v>1653</v>
      </c>
      <c r="C9" s="643" t="s">
        <v>9065</v>
      </c>
    </row>
    <row r="10">
      <c r="A10" s="211"/>
      <c r="B10" s="645" t="s">
        <v>1653</v>
      </c>
      <c r="C10" s="645" t="s">
        <v>1656</v>
      </c>
    </row>
    <row r="11">
      <c r="A11" s="211"/>
      <c r="B11" s="644" t="s">
        <v>1653</v>
      </c>
      <c r="C11" s="643" t="s">
        <v>1658</v>
      </c>
    </row>
    <row r="12">
      <c r="A12" s="646"/>
      <c r="B12" s="634" t="s">
        <v>1653</v>
      </c>
      <c r="C12" s="634" t="s">
        <v>9066</v>
      </c>
    </row>
    <row r="13">
      <c r="A13" s="211"/>
      <c r="B13" s="643" t="s">
        <v>1659</v>
      </c>
      <c r="C13" s="643"/>
    </row>
    <row r="14">
      <c r="A14" s="211"/>
      <c r="B14" s="643" t="s">
        <v>42</v>
      </c>
      <c r="C14" s="643"/>
    </row>
    <row r="15">
      <c r="A15" s="211"/>
      <c r="B15" s="643" t="s">
        <v>1687</v>
      </c>
      <c r="C15" s="643"/>
    </row>
    <row r="16">
      <c r="A16" s="211"/>
      <c r="B16" s="643" t="s">
        <v>1660</v>
      </c>
      <c r="C16" s="643" t="s">
        <v>1661</v>
      </c>
    </row>
    <row r="17">
      <c r="A17" s="211"/>
      <c r="B17" s="643" t="s">
        <v>1660</v>
      </c>
      <c r="C17" s="643" t="s">
        <v>1662</v>
      </c>
    </row>
    <row r="18">
      <c r="A18" s="211"/>
      <c r="B18" s="643" t="s">
        <v>1660</v>
      </c>
      <c r="C18" s="643" t="s">
        <v>1658</v>
      </c>
    </row>
    <row r="19">
      <c r="A19" s="211"/>
      <c r="B19" s="643" t="s">
        <v>1599</v>
      </c>
      <c r="C19" s="643"/>
    </row>
    <row r="20">
      <c r="A20" s="211"/>
      <c r="B20" s="45"/>
      <c r="C20" s="45"/>
    </row>
    <row r="21" ht="15.75" customHeight="1">
      <c r="A21" s="211"/>
      <c r="B21" s="45"/>
      <c r="C21" s="45"/>
    </row>
    <row r="22" ht="15.75" customHeight="1">
      <c r="A22" s="646"/>
      <c r="B22" s="45"/>
      <c r="C22" s="45"/>
    </row>
    <row r="23" ht="15.75" customHeight="1">
      <c r="A23" s="646"/>
      <c r="B23" s="45"/>
      <c r="C23" s="45"/>
    </row>
    <row r="24" ht="15.75" customHeight="1">
      <c r="A24" s="211"/>
      <c r="B24" s="45"/>
      <c r="C24" s="45"/>
    </row>
    <row r="25" ht="15.75" customHeight="1">
      <c r="A25" s="646"/>
      <c r="B25" s="45"/>
      <c r="C25" s="45"/>
    </row>
    <row r="26" ht="15.75" customHeight="1">
      <c r="A26" s="211"/>
      <c r="B26" s="45"/>
      <c r="C26" s="45"/>
    </row>
    <row r="27" ht="15.75" customHeight="1">
      <c r="A27" s="211"/>
      <c r="B27" s="45"/>
      <c r="C27" s="45"/>
    </row>
    <row r="28" ht="15.75" customHeight="1">
      <c r="A28" s="211"/>
      <c r="B28" s="45"/>
      <c r="C28" s="45"/>
    </row>
    <row r="29" ht="15.75" customHeight="1">
      <c r="A29" s="211"/>
      <c r="B29" s="45"/>
      <c r="C29" s="45"/>
    </row>
    <row r="30" ht="15.75" customHeight="1">
      <c r="A30" s="211"/>
      <c r="B30" s="45"/>
      <c r="C30" s="45"/>
    </row>
    <row r="31" ht="15.75" customHeight="1">
      <c r="A31" s="211"/>
      <c r="B31" s="45"/>
      <c r="C31" s="45"/>
    </row>
    <row r="32" ht="15.75" customHeight="1">
      <c r="A32" s="211"/>
      <c r="B32" s="45"/>
      <c r="C32" s="45"/>
    </row>
    <row r="33" ht="15.75" customHeight="1">
      <c r="A33" s="211"/>
      <c r="B33" s="45"/>
      <c r="C33" s="45"/>
    </row>
    <row r="34" ht="15.75" customHeight="1">
      <c r="A34" s="646"/>
      <c r="B34" s="45"/>
      <c r="C34" s="45"/>
    </row>
    <row r="35" ht="15.75" customHeight="1">
      <c r="A35" s="211"/>
      <c r="B35" s="45"/>
      <c r="C35" s="45"/>
    </row>
    <row r="36" ht="15.75" customHeight="1">
      <c r="A36" s="211"/>
      <c r="B36" s="45"/>
      <c r="C36" s="45"/>
    </row>
    <row r="37" ht="15.75" customHeight="1">
      <c r="A37" s="646"/>
      <c r="B37" s="45"/>
      <c r="C37" s="45"/>
    </row>
    <row r="38" ht="15.75" customHeight="1">
      <c r="A38" s="211"/>
      <c r="B38" s="45"/>
      <c r="C38" s="45"/>
    </row>
    <row r="39" ht="15.75" customHeight="1">
      <c r="A39" s="646"/>
      <c r="B39" s="45"/>
      <c r="C39" s="45"/>
    </row>
    <row r="40" ht="15.75" customHeight="1">
      <c r="A40" s="211"/>
      <c r="B40" s="45"/>
      <c r="C40" s="45"/>
    </row>
    <row r="41" ht="15.75" customHeight="1">
      <c r="A41" s="211"/>
      <c r="B41" s="45"/>
      <c r="C41" s="45"/>
    </row>
    <row r="42" ht="15.75" customHeight="1">
      <c r="A42" s="211"/>
      <c r="B42" s="45"/>
      <c r="C42" s="45"/>
    </row>
    <row r="43" ht="15.75" customHeight="1">
      <c r="A43" s="211"/>
      <c r="B43" s="45"/>
      <c r="C43" s="45"/>
    </row>
    <row r="44" ht="15.75" customHeight="1">
      <c r="A44" s="211"/>
      <c r="B44" s="45"/>
      <c r="C44" s="45"/>
    </row>
    <row r="45" ht="15.75" customHeight="1">
      <c r="A45" s="211"/>
      <c r="B45" s="45"/>
      <c r="C45" s="45"/>
    </row>
    <row r="46" ht="15.75" customHeight="1">
      <c r="A46" s="211"/>
      <c r="B46" s="45"/>
      <c r="C46" s="45"/>
    </row>
    <row r="47" ht="15.75" customHeight="1">
      <c r="A47" s="646"/>
      <c r="B47" s="45"/>
      <c r="C47" s="45"/>
    </row>
    <row r="48" ht="15.75" customHeight="1">
      <c r="A48" s="211"/>
      <c r="B48" s="45"/>
      <c r="C48" s="45"/>
    </row>
    <row r="49" ht="15.75" customHeight="1">
      <c r="A49" s="211"/>
      <c r="B49" s="45"/>
      <c r="C49" s="45"/>
    </row>
    <row r="50" ht="15.75" customHeight="1">
      <c r="A50" s="211"/>
      <c r="B50" s="45"/>
      <c r="C50" s="45"/>
    </row>
    <row r="51" ht="15.75" customHeight="1">
      <c r="A51" s="211"/>
      <c r="B51" s="45"/>
      <c r="C51" s="45"/>
    </row>
    <row r="52" ht="15.75" customHeight="1">
      <c r="A52" s="644"/>
      <c r="B52" s="45"/>
      <c r="C52" s="45"/>
    </row>
    <row r="53" ht="15.75" customHeight="1">
      <c r="A53" s="644"/>
      <c r="B53" s="45"/>
      <c r="C53" s="45"/>
    </row>
    <row r="54" ht="15.75" customHeight="1">
      <c r="A54" s="211"/>
      <c r="B54" s="45"/>
      <c r="C54" s="45"/>
    </row>
    <row r="55" ht="15.75" customHeight="1">
      <c r="A55" s="644"/>
      <c r="B55" s="45"/>
      <c r="C55" s="45"/>
    </row>
    <row r="56" ht="15.75" customHeight="1">
      <c r="A56" s="211"/>
      <c r="B56" s="45"/>
      <c r="C56" s="45"/>
    </row>
    <row r="57" ht="15.75" customHeight="1">
      <c r="A57" s="644"/>
      <c r="B57" s="45"/>
      <c r="C57" s="45"/>
    </row>
    <row r="58" ht="15.75" customHeight="1">
      <c r="A58" s="644"/>
      <c r="B58" s="45"/>
      <c r="C58" s="45"/>
    </row>
    <row r="59" ht="15.75" customHeight="1">
      <c r="A59" s="211"/>
      <c r="B59" s="45"/>
      <c r="C59" s="45"/>
    </row>
    <row r="60" ht="15.75" customHeight="1">
      <c r="A60" s="211"/>
      <c r="B60" s="45"/>
      <c r="C60" s="45"/>
    </row>
    <row r="61" ht="15.75" customHeight="1">
      <c r="A61" s="644"/>
      <c r="B61" s="45"/>
      <c r="C61" s="45"/>
    </row>
    <row r="62" ht="15.75" customHeight="1">
      <c r="A62" s="644"/>
      <c r="B62" s="45"/>
      <c r="C62" s="45"/>
    </row>
    <row r="63" ht="15.75" customHeight="1">
      <c r="A63" s="211"/>
      <c r="B63" s="45"/>
      <c r="C63" s="45"/>
    </row>
    <row r="64" ht="15.75" customHeight="1">
      <c r="A64" s="644"/>
      <c r="B64" s="45"/>
      <c r="C64" s="45"/>
    </row>
    <row r="65" ht="15.75" customHeight="1">
      <c r="A65" s="211"/>
      <c r="B65" s="45"/>
      <c r="C65" s="45"/>
    </row>
    <row r="66" ht="15.75" customHeight="1">
      <c r="A66" s="211"/>
      <c r="B66" s="45"/>
      <c r="C66" s="45"/>
    </row>
    <row r="67" ht="15.75" customHeight="1">
      <c r="A67" s="211"/>
      <c r="B67" s="45"/>
      <c r="C67" s="45"/>
    </row>
    <row r="68" ht="15.75" customHeight="1">
      <c r="A68" s="211"/>
      <c r="B68" s="45"/>
      <c r="C68" s="45"/>
    </row>
    <row r="69" ht="15.75" customHeight="1">
      <c r="A69" s="211"/>
      <c r="B69" s="45"/>
      <c r="C69" s="45"/>
    </row>
    <row r="70" ht="15.75" customHeight="1">
      <c r="A70" s="646"/>
      <c r="B70" s="45"/>
      <c r="C70" s="45"/>
    </row>
    <row r="71" ht="15.75" customHeight="1">
      <c r="A71" s="211"/>
      <c r="B71" s="45"/>
      <c r="C71" s="45"/>
    </row>
    <row r="72" ht="15.75" customHeight="1">
      <c r="A72" s="211"/>
      <c r="B72" s="45"/>
      <c r="C72" s="45"/>
    </row>
    <row r="73" ht="15.75" customHeight="1">
      <c r="A73" s="211"/>
      <c r="B73" s="45"/>
      <c r="C73" s="45"/>
    </row>
    <row r="74" ht="15.75" customHeight="1">
      <c r="A74" s="211"/>
      <c r="B74" s="45"/>
      <c r="C74" s="45"/>
    </row>
    <row r="75" ht="15.75" customHeight="1">
      <c r="A75" s="211"/>
      <c r="B75" s="45"/>
      <c r="C75" s="45"/>
    </row>
    <row r="76" ht="15.75" customHeight="1">
      <c r="A76" s="211"/>
      <c r="B76" s="45"/>
      <c r="C76" s="45"/>
    </row>
    <row r="77" ht="15.75" customHeight="1">
      <c r="A77" s="211"/>
      <c r="B77" s="45"/>
      <c r="C77" s="45"/>
    </row>
    <row r="78" ht="15.75" customHeight="1">
      <c r="A78" s="211"/>
      <c r="B78" s="45"/>
      <c r="C78" s="45"/>
    </row>
    <row r="79" ht="15.75" customHeight="1">
      <c r="A79" s="211"/>
      <c r="B79" s="45"/>
      <c r="C79" s="45"/>
    </row>
    <row r="80" ht="15.75" customHeight="1">
      <c r="A80" s="211"/>
      <c r="B80" s="45"/>
      <c r="C80" s="45"/>
    </row>
    <row r="81" ht="15.75" customHeight="1">
      <c r="A81" s="211"/>
      <c r="B81" s="45"/>
      <c r="C81" s="45"/>
    </row>
    <row r="82" ht="15.75" customHeight="1">
      <c r="A82" s="211"/>
      <c r="B82" s="45"/>
      <c r="C82" s="45"/>
    </row>
    <row r="83" ht="15.75" customHeight="1">
      <c r="A83" s="211"/>
      <c r="B83" s="45"/>
      <c r="C83" s="45"/>
    </row>
    <row r="84" ht="15.75" customHeight="1">
      <c r="A84" s="644"/>
      <c r="B84" s="45"/>
      <c r="C84" s="45"/>
    </row>
    <row r="85" ht="15.75" customHeight="1">
      <c r="A85" s="644"/>
      <c r="B85" s="45"/>
      <c r="C85" s="45"/>
    </row>
    <row r="86" ht="15.75" customHeight="1">
      <c r="A86" s="644"/>
      <c r="B86" s="45"/>
      <c r="C86" s="45"/>
    </row>
    <row r="87" ht="15.75" customHeight="1">
      <c r="A87" s="644"/>
      <c r="B87" s="45"/>
      <c r="C87" s="45"/>
    </row>
    <row r="88" ht="15.75" customHeight="1">
      <c r="A88" s="644"/>
      <c r="B88" s="45"/>
      <c r="C88" s="45"/>
    </row>
    <row r="89" ht="15.75" customHeight="1">
      <c r="A89" s="644"/>
      <c r="B89" s="45"/>
      <c r="C89" s="45"/>
    </row>
    <row r="90" ht="15.75" customHeight="1">
      <c r="A90" s="644"/>
      <c r="B90" s="45"/>
      <c r="C90" s="45"/>
    </row>
    <row r="91" ht="15.75" customHeight="1">
      <c r="A91" s="644"/>
      <c r="B91" s="45"/>
      <c r="C91" s="45"/>
    </row>
    <row r="92" ht="15.75" customHeight="1">
      <c r="A92" s="644"/>
      <c r="B92" s="45"/>
      <c r="C92" s="45"/>
    </row>
    <row r="93" ht="15.75" customHeight="1">
      <c r="A93" s="644"/>
      <c r="B93" s="45"/>
      <c r="C93" s="45"/>
    </row>
    <row r="94" ht="15.75" customHeight="1">
      <c r="A94" s="644"/>
      <c r="B94" s="45"/>
      <c r="C94" s="45"/>
    </row>
    <row r="95" ht="15.75" customHeight="1">
      <c r="A95" s="644"/>
      <c r="B95" s="45"/>
      <c r="C95" s="45"/>
    </row>
    <row r="96" ht="15.75" customHeight="1">
      <c r="A96" s="211"/>
      <c r="B96" s="45"/>
      <c r="C96" s="45"/>
    </row>
    <row r="97" ht="15.75" customHeight="1">
      <c r="A97" s="211"/>
      <c r="B97" s="45"/>
      <c r="C97" s="45"/>
    </row>
    <row r="98" ht="15.75" customHeight="1">
      <c r="A98" s="211"/>
      <c r="B98" s="45"/>
      <c r="C98" s="45"/>
    </row>
    <row r="99" ht="15.75" customHeight="1">
      <c r="A99" s="644"/>
      <c r="B99" s="45"/>
      <c r="C99" s="45"/>
    </row>
    <row r="100" ht="15.75" customHeight="1">
      <c r="A100" s="644"/>
      <c r="B100" s="45"/>
      <c r="C100" s="45"/>
    </row>
    <row r="101" ht="15.75" customHeight="1">
      <c r="A101" s="644"/>
      <c r="B101" s="45"/>
      <c r="C101" s="45"/>
    </row>
    <row r="102" ht="15.75" customHeight="1">
      <c r="A102" s="211"/>
      <c r="B102" s="45"/>
      <c r="C102" s="45"/>
    </row>
    <row r="103" ht="15.75" customHeight="1">
      <c r="A103" s="211"/>
      <c r="B103" s="45"/>
      <c r="C103" s="45"/>
    </row>
    <row r="104" ht="15.75" customHeight="1">
      <c r="A104" s="211"/>
      <c r="B104" s="45"/>
      <c r="C104" s="45"/>
    </row>
    <row r="105" ht="15.75" customHeight="1">
      <c r="A105" s="211"/>
      <c r="B105" s="45"/>
      <c r="C105" s="45"/>
    </row>
    <row r="106" ht="15.75" customHeight="1">
      <c r="A106" s="211"/>
      <c r="B106" s="45"/>
      <c r="C106" s="45"/>
    </row>
    <row r="107" ht="15.75" customHeight="1">
      <c r="A107" s="211"/>
      <c r="B107" s="45"/>
      <c r="C107" s="45"/>
    </row>
    <row r="108" ht="15.75" customHeight="1">
      <c r="A108" s="211"/>
      <c r="B108" s="45"/>
      <c r="C108" s="45"/>
    </row>
    <row r="109" ht="15.75" customHeight="1">
      <c r="A109" s="211"/>
      <c r="B109" s="45"/>
      <c r="C109" s="45"/>
    </row>
    <row r="110" ht="15.75" customHeight="1">
      <c r="A110" s="211"/>
      <c r="B110" s="45"/>
      <c r="C110" s="45"/>
    </row>
    <row r="111" ht="15.75" customHeight="1">
      <c r="A111" s="211"/>
      <c r="B111" s="45"/>
      <c r="C111" s="45"/>
    </row>
    <row r="112" ht="15.75" customHeight="1">
      <c r="A112" s="211"/>
      <c r="B112" s="45"/>
      <c r="C112" s="45"/>
    </row>
    <row r="113" ht="15.75" customHeight="1">
      <c r="A113" s="211"/>
      <c r="B113" s="45"/>
      <c r="C113" s="45"/>
    </row>
    <row r="114" ht="15.75" customHeight="1">
      <c r="A114" s="211"/>
      <c r="B114" s="45"/>
      <c r="C114" s="45"/>
    </row>
    <row r="115" ht="15.75" customHeight="1">
      <c r="A115" s="211"/>
      <c r="B115" s="45"/>
      <c r="C115" s="45"/>
    </row>
    <row r="116" ht="15.75" customHeight="1">
      <c r="A116" s="211"/>
      <c r="B116" s="45"/>
      <c r="C116" s="45"/>
    </row>
    <row r="117" ht="15.75" customHeight="1">
      <c r="A117" s="211"/>
      <c r="B117" s="45"/>
      <c r="C117" s="45"/>
    </row>
    <row r="118" ht="15.75" customHeight="1">
      <c r="A118" s="211"/>
      <c r="B118" s="45"/>
      <c r="C118" s="45"/>
    </row>
    <row r="119" ht="15.75" customHeight="1">
      <c r="A119" s="211"/>
      <c r="B119" s="45"/>
      <c r="C119" s="45"/>
    </row>
    <row r="120" ht="15.75" customHeight="1">
      <c r="A120" s="211"/>
      <c r="B120" s="45"/>
      <c r="C120" s="45"/>
    </row>
    <row r="121" ht="15.75" customHeight="1">
      <c r="A121" s="211"/>
      <c r="B121" s="45"/>
      <c r="C121" s="45"/>
    </row>
    <row r="122" ht="15.75" customHeight="1">
      <c r="A122" s="644"/>
      <c r="B122" s="45"/>
      <c r="C122" s="45"/>
    </row>
    <row r="123" ht="15.75" customHeight="1">
      <c r="A123" s="644"/>
      <c r="B123" s="45"/>
      <c r="C123" s="45"/>
    </row>
    <row r="124" ht="15.75" customHeight="1">
      <c r="A124" s="644"/>
      <c r="B124" s="45"/>
      <c r="C124" s="45"/>
    </row>
    <row r="125" ht="15.75" customHeight="1">
      <c r="A125" s="644"/>
      <c r="B125" s="45"/>
      <c r="C125" s="45"/>
    </row>
    <row r="126" ht="15.75" customHeight="1">
      <c r="A126" s="644"/>
      <c r="B126" s="45"/>
      <c r="C126" s="45"/>
    </row>
    <row r="127" ht="15.75" customHeight="1">
      <c r="A127" s="644"/>
      <c r="B127" s="45"/>
      <c r="C127" s="45"/>
    </row>
    <row r="128" ht="15.75" customHeight="1">
      <c r="A128" s="646"/>
      <c r="B128" s="45"/>
      <c r="C128" s="45"/>
    </row>
    <row r="129" ht="15.75" customHeight="1">
      <c r="A129" s="646"/>
      <c r="B129" s="45"/>
      <c r="C129" s="45"/>
    </row>
    <row r="130" ht="15.75" customHeight="1">
      <c r="A130" s="646"/>
      <c r="B130" s="45"/>
      <c r="C130" s="45"/>
    </row>
    <row r="131" ht="15.75" customHeight="1">
      <c r="A131" s="644"/>
      <c r="B131" s="45"/>
      <c r="C131" s="45"/>
    </row>
    <row r="132" ht="15.75" customHeight="1">
      <c r="A132" s="644"/>
      <c r="B132" s="45"/>
      <c r="C132" s="45"/>
    </row>
    <row r="133" ht="15.75" customHeight="1">
      <c r="A133" s="644"/>
      <c r="B133" s="45"/>
      <c r="C133" s="45"/>
    </row>
    <row r="134" ht="15.75" customHeight="1">
      <c r="A134" s="644"/>
      <c r="B134" s="45"/>
      <c r="C134" s="45"/>
    </row>
    <row r="135" ht="15.75" customHeight="1">
      <c r="A135" s="644"/>
      <c r="B135" s="45"/>
      <c r="C135" s="45"/>
    </row>
    <row r="136" ht="15.75" customHeight="1">
      <c r="A136" s="644"/>
      <c r="B136" s="45"/>
      <c r="C136" s="45"/>
    </row>
    <row r="137" ht="15.75" customHeight="1">
      <c r="A137" s="644"/>
      <c r="B137" s="45"/>
      <c r="C137" s="45"/>
    </row>
    <row r="138" ht="15.75" customHeight="1">
      <c r="A138" s="644"/>
      <c r="B138" s="45"/>
      <c r="C138" s="45"/>
    </row>
    <row r="139" ht="15.75" customHeight="1">
      <c r="A139" s="211"/>
      <c r="B139" s="45"/>
      <c r="C139" s="45"/>
    </row>
    <row r="140" ht="15.75" customHeight="1">
      <c r="A140" s="211"/>
      <c r="B140" s="45"/>
      <c r="C140" s="45"/>
    </row>
    <row r="141" ht="15.75" customHeight="1">
      <c r="A141" s="644"/>
      <c r="B141" s="45"/>
      <c r="C141" s="45"/>
    </row>
    <row r="142" ht="15.75" customHeight="1">
      <c r="A142" s="644"/>
      <c r="B142" s="45"/>
      <c r="C142" s="45"/>
    </row>
    <row r="143" ht="15.75" customHeight="1">
      <c r="A143" s="644"/>
      <c r="B143" s="45"/>
      <c r="C143" s="45"/>
    </row>
    <row r="144" ht="15.75" customHeight="1">
      <c r="A144" s="644"/>
      <c r="B144" s="45"/>
      <c r="C144" s="45"/>
    </row>
    <row r="145" ht="15.75" customHeight="1">
      <c r="A145" s="644"/>
      <c r="B145" s="45"/>
      <c r="C145" s="45"/>
    </row>
    <row r="146" ht="15.75" customHeight="1">
      <c r="A146" s="644"/>
      <c r="B146" s="45"/>
      <c r="C146" s="45"/>
    </row>
    <row r="147" ht="15.75" customHeight="1">
      <c r="A147" s="644"/>
      <c r="B147" s="45"/>
      <c r="C147" s="45"/>
    </row>
    <row r="148" ht="15.75" customHeight="1">
      <c r="A148" s="644"/>
      <c r="B148" s="45"/>
      <c r="C148" s="45"/>
    </row>
    <row r="149" ht="15.75" customHeight="1">
      <c r="A149" s="644"/>
      <c r="B149" s="45"/>
      <c r="C149" s="45"/>
    </row>
    <row r="150" ht="15.75" customHeight="1">
      <c r="A150" s="644"/>
      <c r="B150" s="45"/>
      <c r="C150" s="45"/>
    </row>
    <row r="151" ht="15.75" customHeight="1">
      <c r="A151" s="644"/>
      <c r="B151" s="45"/>
      <c r="C151" s="45"/>
    </row>
    <row r="152" ht="15.75" customHeight="1">
      <c r="A152" s="644"/>
      <c r="B152" s="45"/>
      <c r="C152" s="45"/>
    </row>
    <row r="153" ht="15.75" customHeight="1">
      <c r="A153" s="644"/>
      <c r="B153" s="45"/>
      <c r="C153" s="45"/>
    </row>
    <row r="154" ht="15.75" customHeight="1">
      <c r="A154" s="644"/>
      <c r="B154" s="45"/>
      <c r="C154" s="45"/>
    </row>
    <row r="155" ht="15.75" customHeight="1">
      <c r="A155" s="644"/>
      <c r="B155" s="45"/>
      <c r="C155" s="45"/>
    </row>
    <row r="156" ht="15.75" customHeight="1">
      <c r="A156" s="647"/>
      <c r="B156" s="45"/>
      <c r="C156" s="45"/>
    </row>
    <row r="157" ht="15.75" customHeight="1">
      <c r="A157" s="647"/>
      <c r="B157" s="45"/>
      <c r="C157" s="45"/>
    </row>
    <row r="158" ht="15.75" customHeight="1">
      <c r="A158" s="647"/>
      <c r="B158" s="45"/>
      <c r="C158" s="45"/>
    </row>
    <row r="159" ht="15.75" customHeight="1">
      <c r="A159" s="647"/>
      <c r="B159" s="45"/>
      <c r="C159" s="45"/>
    </row>
    <row r="160" ht="15.75" customHeight="1">
      <c r="A160" s="647"/>
      <c r="B160" s="45"/>
      <c r="C160" s="45"/>
    </row>
    <row r="161" ht="15.75" customHeight="1">
      <c r="A161" s="647"/>
      <c r="B161" s="45"/>
      <c r="C161" s="45"/>
    </row>
    <row r="162" ht="15.75" customHeight="1">
      <c r="A162" s="647"/>
      <c r="B162" s="45"/>
      <c r="C162" s="45"/>
    </row>
    <row r="163" ht="15.75" customHeight="1">
      <c r="A163" s="647"/>
      <c r="B163" s="45"/>
      <c r="C163" s="45"/>
    </row>
    <row r="164" ht="15.75" customHeight="1">
      <c r="A164" s="647"/>
      <c r="B164" s="45"/>
      <c r="C164" s="45"/>
    </row>
    <row r="165" ht="15.75" customHeight="1">
      <c r="A165" s="647"/>
      <c r="B165" s="45"/>
      <c r="C165" s="45"/>
    </row>
    <row r="166" ht="15.75" customHeight="1">
      <c r="A166" s="647"/>
      <c r="B166" s="45"/>
      <c r="C166" s="45"/>
    </row>
    <row r="167" ht="15.75" customHeight="1">
      <c r="A167" s="647"/>
      <c r="B167" s="45"/>
      <c r="C167" s="45"/>
    </row>
    <row r="168" ht="15.75" customHeight="1">
      <c r="A168" s="647"/>
      <c r="B168" s="45"/>
      <c r="C168" s="45"/>
    </row>
    <row r="169" ht="15.75" customHeight="1">
      <c r="A169" s="647"/>
      <c r="B169" s="45"/>
      <c r="C169" s="45"/>
    </row>
    <row r="170" ht="15.75" customHeight="1">
      <c r="A170" s="647"/>
      <c r="B170" s="45"/>
      <c r="C170" s="45"/>
    </row>
    <row r="171" ht="15.75" customHeight="1">
      <c r="A171" s="647"/>
      <c r="B171" s="45"/>
      <c r="C171" s="45"/>
    </row>
    <row r="172" ht="15.75" customHeight="1">
      <c r="A172" s="647"/>
      <c r="B172" s="45"/>
      <c r="C172" s="45"/>
    </row>
    <row r="173" ht="15.75" customHeight="1">
      <c r="A173" s="647"/>
      <c r="B173" s="45"/>
      <c r="C173" s="45"/>
    </row>
    <row r="174" ht="15.75" customHeight="1">
      <c r="A174" s="647"/>
      <c r="B174" s="45"/>
      <c r="C174" s="45"/>
    </row>
    <row r="175" ht="15.75" customHeight="1">
      <c r="A175" s="647"/>
      <c r="B175" s="45"/>
      <c r="C175" s="45"/>
    </row>
    <row r="176" ht="15.75" customHeight="1">
      <c r="A176" s="647"/>
      <c r="B176" s="45"/>
      <c r="C176" s="45"/>
    </row>
    <row r="177" ht="15.75" customHeight="1">
      <c r="A177" s="647"/>
      <c r="B177" s="45"/>
      <c r="C177" s="45"/>
    </row>
    <row r="178" ht="15.75" customHeight="1">
      <c r="A178" s="647"/>
      <c r="B178" s="45"/>
      <c r="C178" s="45"/>
    </row>
    <row r="179" ht="15.75" customHeight="1">
      <c r="A179" s="647"/>
      <c r="B179" s="45"/>
      <c r="C179" s="45"/>
    </row>
    <row r="180" ht="15.75" customHeight="1">
      <c r="A180" s="647"/>
      <c r="B180" s="45"/>
      <c r="C180" s="45"/>
    </row>
    <row r="181" ht="15.75" customHeight="1">
      <c r="A181" s="647"/>
      <c r="B181" s="45"/>
      <c r="C181" s="45"/>
    </row>
    <row r="182" ht="15.75" customHeight="1">
      <c r="A182" s="647"/>
      <c r="B182" s="45"/>
      <c r="C182" s="45"/>
    </row>
    <row r="183" ht="15.75" customHeight="1">
      <c r="A183" s="647"/>
      <c r="B183" s="45"/>
      <c r="C183" s="45"/>
    </row>
    <row r="184" ht="15.75" customHeight="1">
      <c r="A184" s="647"/>
      <c r="B184" s="45"/>
      <c r="C184" s="45"/>
    </row>
    <row r="185" ht="15.75" customHeight="1">
      <c r="A185" s="647"/>
      <c r="B185" s="45"/>
      <c r="C185" s="45"/>
    </row>
    <row r="186" ht="15.75" customHeight="1">
      <c r="A186" s="647"/>
      <c r="B186" s="45"/>
      <c r="C186" s="45"/>
    </row>
    <row r="187" ht="15.75" customHeight="1">
      <c r="A187" s="647"/>
      <c r="B187" s="45"/>
      <c r="C187" s="45"/>
    </row>
    <row r="188" ht="15.75" customHeight="1">
      <c r="A188" s="647"/>
      <c r="B188" s="45"/>
      <c r="C188" s="45"/>
    </row>
    <row r="189" ht="15.75" customHeight="1">
      <c r="A189" s="647"/>
      <c r="B189" s="45"/>
      <c r="C189" s="45"/>
    </row>
    <row r="190" ht="15.75" customHeight="1">
      <c r="A190" s="647"/>
      <c r="B190" s="45"/>
      <c r="C190" s="45"/>
    </row>
    <row r="191" ht="15.75" customHeight="1">
      <c r="A191" s="647"/>
      <c r="B191" s="45"/>
      <c r="C191" s="45"/>
    </row>
    <row r="192" ht="15.75" customHeight="1">
      <c r="A192" s="647"/>
      <c r="B192" s="45"/>
      <c r="C192" s="45"/>
    </row>
    <row r="193" ht="15.75" customHeight="1">
      <c r="A193" s="647"/>
      <c r="B193" s="45"/>
      <c r="C193" s="45"/>
    </row>
    <row r="194" ht="15.75" customHeight="1">
      <c r="A194" s="647"/>
      <c r="B194" s="45"/>
      <c r="C194" s="45"/>
    </row>
    <row r="195" ht="15.75" customHeight="1">
      <c r="A195" s="647"/>
      <c r="B195" s="45"/>
      <c r="C195" s="45"/>
    </row>
    <row r="196" ht="15.75" customHeight="1">
      <c r="A196" s="647"/>
      <c r="B196" s="45"/>
      <c r="C196" s="45"/>
    </row>
    <row r="197" ht="15.75" customHeight="1">
      <c r="A197" s="647"/>
      <c r="B197" s="45"/>
      <c r="C197" s="45"/>
    </row>
    <row r="198" ht="15.75" customHeight="1">
      <c r="A198" s="647"/>
      <c r="B198" s="45"/>
      <c r="C198" s="45"/>
    </row>
    <row r="199" ht="15.75" customHeight="1">
      <c r="A199" s="647"/>
      <c r="B199" s="45"/>
      <c r="C199" s="45"/>
    </row>
    <row r="200" ht="15.75" customHeight="1">
      <c r="A200" s="647"/>
      <c r="B200" s="45"/>
      <c r="C200" s="45"/>
    </row>
    <row r="201" ht="15.75" customHeight="1">
      <c r="A201" s="647"/>
      <c r="B201" s="45"/>
      <c r="C201" s="45"/>
    </row>
    <row r="202" ht="15.75" customHeight="1">
      <c r="A202" s="647"/>
      <c r="B202" s="45"/>
      <c r="C202" s="45"/>
    </row>
    <row r="203" ht="15.75" customHeight="1">
      <c r="A203" s="647"/>
      <c r="B203" s="45"/>
      <c r="C203" s="45"/>
    </row>
    <row r="204" ht="15.75" customHeight="1">
      <c r="A204" s="648"/>
      <c r="B204" s="45"/>
      <c r="C204" s="45"/>
    </row>
    <row r="205" ht="15.75" customHeight="1">
      <c r="A205" s="89"/>
      <c r="B205" s="45"/>
      <c r="C205" s="45"/>
    </row>
    <row r="206" ht="15.75" customHeight="1">
      <c r="A206" s="89"/>
      <c r="B206" s="45"/>
      <c r="C206" s="45"/>
    </row>
    <row r="207" ht="15.75" customHeight="1">
      <c r="A207" s="89"/>
      <c r="B207" s="45"/>
      <c r="C207" s="45"/>
    </row>
    <row r="208" ht="15.75" customHeight="1">
      <c r="A208" s="89"/>
      <c r="B208" s="45"/>
      <c r="C208" s="45"/>
    </row>
    <row r="209" ht="15.75" customHeight="1">
      <c r="A209" s="89"/>
      <c r="B209" s="45"/>
      <c r="C209" s="45"/>
    </row>
    <row r="210" ht="15.75" customHeight="1">
      <c r="A210" s="89"/>
      <c r="B210" s="45"/>
      <c r="C210" s="45"/>
    </row>
    <row r="211" ht="15.75" customHeight="1">
      <c r="A211" s="89"/>
      <c r="B211" s="45"/>
      <c r="C211" s="45"/>
    </row>
    <row r="212" ht="15.75" customHeight="1">
      <c r="A212" s="89"/>
      <c r="B212" s="45"/>
      <c r="C212" s="45"/>
    </row>
    <row r="213" ht="15.75" customHeight="1">
      <c r="A213" s="89"/>
      <c r="B213" s="45"/>
      <c r="C213" s="45"/>
    </row>
    <row r="214" ht="15.75" customHeight="1">
      <c r="A214" s="89"/>
      <c r="B214" s="45"/>
      <c r="C214" s="45"/>
    </row>
    <row r="215" ht="15.75" customHeight="1">
      <c r="A215" s="89"/>
      <c r="B215" s="45"/>
      <c r="C215" s="45"/>
    </row>
    <row r="216" ht="15.75" customHeight="1">
      <c r="A216" s="89"/>
      <c r="B216" s="45"/>
      <c r="C216" s="45"/>
    </row>
    <row r="217" ht="15.75" customHeight="1">
      <c r="A217" s="89"/>
      <c r="B217" s="45"/>
      <c r="C217" s="45"/>
    </row>
    <row r="218" ht="15.75" customHeight="1">
      <c r="A218" s="649"/>
      <c r="B218" s="45"/>
      <c r="C218" s="45"/>
    </row>
    <row r="219" ht="15.75" customHeight="1">
      <c r="A219" s="649"/>
      <c r="B219" s="45"/>
      <c r="C219" s="45"/>
    </row>
    <row r="220" ht="15.75" customHeight="1">
      <c r="A220" s="649"/>
      <c r="B220" s="45"/>
      <c r="C220" s="45"/>
    </row>
    <row r="221" ht="15.75" customHeight="1">
      <c r="A221" s="649"/>
      <c r="B221" s="45"/>
      <c r="C221" s="45"/>
    </row>
    <row r="222" ht="15.75" customHeight="1">
      <c r="A222" s="649"/>
      <c r="B222" s="45"/>
      <c r="C222" s="45"/>
    </row>
    <row r="223" ht="15.75" customHeight="1">
      <c r="A223" s="649"/>
      <c r="B223" s="45"/>
      <c r="C223" s="45"/>
    </row>
    <row r="224" ht="15.75" customHeight="1">
      <c r="A224" s="649"/>
      <c r="B224" s="45"/>
      <c r="C224" s="45"/>
    </row>
    <row r="225" ht="15.75" customHeight="1">
      <c r="A225" s="649"/>
      <c r="B225" s="45"/>
      <c r="C225" s="45"/>
    </row>
    <row r="226" ht="15.75" customHeight="1">
      <c r="A226" s="649"/>
      <c r="B226" s="45"/>
      <c r="C226" s="45"/>
    </row>
    <row r="227" ht="15.75" customHeight="1">
      <c r="A227" s="649"/>
      <c r="B227" s="45"/>
      <c r="C227" s="45"/>
    </row>
    <row r="228" ht="15.75" customHeight="1">
      <c r="A228" s="649"/>
      <c r="B228" s="45"/>
      <c r="C228" s="45"/>
    </row>
    <row r="229" ht="15.75" customHeight="1">
      <c r="A229" s="649"/>
      <c r="B229" s="45"/>
      <c r="C229" s="45"/>
    </row>
    <row r="230" ht="15.75" customHeight="1">
      <c r="A230" s="649"/>
      <c r="B230" s="45"/>
      <c r="C230" s="45"/>
    </row>
    <row r="231" ht="15.75" customHeight="1">
      <c r="A231" s="649"/>
      <c r="B231" s="45"/>
      <c r="C231" s="45"/>
    </row>
    <row r="232" ht="15.75" customHeight="1">
      <c r="A232" s="649"/>
      <c r="B232" s="45"/>
      <c r="C232" s="45"/>
    </row>
    <row r="233" ht="15.75" customHeight="1">
      <c r="A233" s="649"/>
      <c r="B233" s="45"/>
      <c r="C233" s="45"/>
    </row>
    <row r="234" ht="15.75" customHeight="1">
      <c r="A234" s="649"/>
      <c r="B234" s="45"/>
      <c r="C234" s="45"/>
    </row>
    <row r="235" ht="15.75" customHeight="1">
      <c r="A235" s="649"/>
      <c r="B235" s="45"/>
      <c r="C235" s="45"/>
    </row>
    <row r="236" ht="15.75" customHeight="1">
      <c r="A236" s="649"/>
      <c r="B236" s="45"/>
      <c r="C236" s="45"/>
    </row>
    <row r="237" ht="15.75" customHeight="1">
      <c r="A237" s="649"/>
      <c r="B237" s="45"/>
      <c r="C237" s="45"/>
    </row>
    <row r="238" ht="15.75" customHeight="1">
      <c r="A238" s="649"/>
      <c r="B238" s="45"/>
      <c r="C238" s="45"/>
    </row>
    <row r="239" ht="15.75" customHeight="1">
      <c r="A239" s="649"/>
      <c r="B239" s="45"/>
      <c r="C239" s="45"/>
    </row>
    <row r="240" ht="15.75" customHeight="1">
      <c r="A240" s="649"/>
      <c r="B240" s="45"/>
      <c r="C240" s="45"/>
    </row>
    <row r="241" ht="15.75" customHeight="1">
      <c r="A241" s="649"/>
      <c r="B241" s="45"/>
      <c r="C241" s="45"/>
    </row>
    <row r="242" ht="15.75" customHeight="1">
      <c r="A242" s="649"/>
      <c r="B242" s="45"/>
      <c r="C242" s="45"/>
    </row>
    <row r="243" ht="15.75" customHeight="1">
      <c r="A243" s="649"/>
      <c r="B243" s="45"/>
      <c r="C243" s="45"/>
    </row>
    <row r="244" ht="15.75" customHeight="1">
      <c r="A244" s="649"/>
      <c r="B244" s="45"/>
      <c r="C244" s="45"/>
    </row>
    <row r="245" ht="15.75" customHeight="1">
      <c r="A245" s="649"/>
      <c r="B245" s="45"/>
      <c r="C245" s="45"/>
    </row>
    <row r="246" ht="15.75" customHeight="1">
      <c r="A246" s="649"/>
      <c r="B246" s="45"/>
      <c r="C246" s="45"/>
    </row>
    <row r="247" ht="15.75" customHeight="1">
      <c r="A247" s="649"/>
      <c r="B247" s="89"/>
      <c r="C247" s="89"/>
    </row>
    <row r="248" ht="15.75" customHeight="1">
      <c r="A248" s="649"/>
      <c r="B248" s="89"/>
      <c r="C248" s="89"/>
    </row>
    <row r="249" ht="15.75" customHeight="1">
      <c r="A249" s="649"/>
      <c r="B249" s="89"/>
      <c r="C249" s="89"/>
    </row>
    <row r="250" ht="15.75" customHeight="1">
      <c r="A250" s="649"/>
      <c r="B250" s="89"/>
      <c r="C250" s="89"/>
    </row>
    <row r="251" ht="15.75" customHeight="1">
      <c r="A251" s="649"/>
      <c r="B251" s="89"/>
      <c r="C251" s="89"/>
    </row>
    <row r="252" ht="15.75" customHeight="1">
      <c r="A252" s="649"/>
      <c r="B252" s="89"/>
      <c r="C252" s="89"/>
    </row>
    <row r="253" ht="15.75" customHeight="1">
      <c r="A253" s="649"/>
      <c r="B253" s="89"/>
      <c r="C253" s="89"/>
    </row>
    <row r="254" ht="15.75" customHeight="1">
      <c r="A254" s="649"/>
      <c r="B254" s="89"/>
      <c r="C254" s="89"/>
    </row>
    <row r="255" ht="15.75" customHeight="1">
      <c r="A255" s="649"/>
      <c r="B255" s="89"/>
      <c r="C255" s="89"/>
    </row>
    <row r="256" ht="15.75" customHeight="1">
      <c r="A256" s="649"/>
      <c r="B256" s="89"/>
      <c r="C256" s="89"/>
    </row>
    <row r="257" ht="15.75" customHeight="1">
      <c r="A257" s="649"/>
      <c r="B257" s="89"/>
      <c r="C257" s="89"/>
    </row>
    <row r="258" ht="15.75" customHeight="1">
      <c r="A258" s="649"/>
      <c r="B258" s="89"/>
      <c r="C258" s="89"/>
    </row>
    <row r="259" ht="15.75" customHeight="1">
      <c r="A259" s="649"/>
      <c r="B259" s="89"/>
      <c r="C259" s="89"/>
    </row>
    <row r="260" ht="15.75" customHeight="1">
      <c r="A260" s="649"/>
      <c r="B260" s="89"/>
      <c r="C260" s="89"/>
    </row>
    <row r="261" ht="15.75" customHeight="1">
      <c r="A261" s="649"/>
      <c r="B261" s="89"/>
      <c r="C261" s="89"/>
    </row>
    <row r="262" ht="15.75" customHeight="1">
      <c r="A262" s="649"/>
      <c r="B262" s="89"/>
      <c r="C262" s="89"/>
    </row>
    <row r="263" ht="15.75" customHeight="1">
      <c r="A263" s="649"/>
      <c r="B263" s="89"/>
      <c r="C263" s="89"/>
    </row>
    <row r="264" ht="15.75" customHeight="1">
      <c r="A264" s="649"/>
      <c r="B264" s="89"/>
      <c r="C264" s="89"/>
    </row>
    <row r="265" ht="15.75" customHeight="1">
      <c r="A265" s="649"/>
      <c r="B265" s="89"/>
      <c r="C265" s="89"/>
    </row>
    <row r="266" ht="15.75" customHeight="1">
      <c r="A266" s="649"/>
      <c r="B266" s="89"/>
      <c r="C266" s="89"/>
    </row>
    <row r="267" ht="15.75" customHeight="1">
      <c r="A267" s="649"/>
      <c r="B267" s="89"/>
      <c r="C267" s="89"/>
    </row>
    <row r="268" ht="15.75" customHeight="1">
      <c r="A268" s="649"/>
      <c r="B268" s="89"/>
      <c r="C268" s="89"/>
    </row>
    <row r="269" ht="15.75" customHeight="1">
      <c r="A269" s="649"/>
      <c r="B269" s="89"/>
      <c r="C269" s="89"/>
    </row>
    <row r="270" ht="15.75" customHeight="1">
      <c r="A270" s="649"/>
      <c r="B270" s="89"/>
      <c r="C270" s="89"/>
    </row>
    <row r="271" ht="15.75" customHeight="1">
      <c r="A271" s="649"/>
      <c r="B271" s="89"/>
      <c r="C271" s="89"/>
    </row>
    <row r="272" ht="15.75" customHeight="1">
      <c r="A272" s="649"/>
      <c r="B272" s="89"/>
      <c r="C272" s="89"/>
    </row>
    <row r="273" ht="15.75" customHeight="1">
      <c r="A273" s="649"/>
      <c r="B273" s="89"/>
      <c r="C273" s="89"/>
    </row>
    <row r="274" ht="15.75" customHeight="1">
      <c r="A274" s="649"/>
      <c r="B274" s="89"/>
      <c r="C274" s="89"/>
    </row>
    <row r="275" ht="15.75" customHeight="1">
      <c r="A275" s="649"/>
      <c r="B275" s="89"/>
      <c r="C275" s="89"/>
    </row>
    <row r="276" ht="15.75" customHeight="1">
      <c r="A276" s="649"/>
      <c r="B276" s="89"/>
      <c r="C276" s="89"/>
    </row>
    <row r="277" ht="15.75" customHeight="1">
      <c r="A277" s="649"/>
      <c r="B277" s="89"/>
      <c r="C277" s="89"/>
    </row>
    <row r="278" ht="15.75" customHeight="1">
      <c r="A278" s="649"/>
      <c r="B278" s="89"/>
      <c r="C278" s="89"/>
    </row>
    <row r="279" ht="15.75" customHeight="1">
      <c r="A279" s="649"/>
      <c r="B279" s="89"/>
      <c r="C279" s="89"/>
    </row>
    <row r="280" ht="15.75" customHeight="1">
      <c r="A280" s="649"/>
      <c r="B280" s="89"/>
      <c r="C280" s="89"/>
    </row>
    <row r="281" ht="15.75" customHeight="1">
      <c r="A281" s="649"/>
      <c r="B281" s="89"/>
      <c r="C281" s="89"/>
    </row>
    <row r="282" ht="15.75" customHeight="1">
      <c r="A282" s="649"/>
      <c r="B282" s="89"/>
      <c r="C282" s="89"/>
    </row>
    <row r="283" ht="15.75" customHeight="1">
      <c r="A283" s="649"/>
      <c r="B283" s="89"/>
      <c r="C283" s="89"/>
    </row>
    <row r="284" ht="15.75" customHeight="1">
      <c r="A284" s="649"/>
      <c r="B284" s="89"/>
      <c r="C284" s="89"/>
    </row>
    <row r="285" ht="15.75" customHeight="1">
      <c r="A285" s="649"/>
      <c r="B285" s="89"/>
      <c r="C285" s="89"/>
    </row>
    <row r="286" ht="15.75" customHeight="1">
      <c r="A286" s="649"/>
      <c r="B286" s="89"/>
      <c r="C286" s="89"/>
    </row>
    <row r="287" ht="15.75" customHeight="1">
      <c r="A287" s="649"/>
      <c r="B287" s="89"/>
      <c r="C287" s="89"/>
    </row>
    <row r="288" ht="15.75" customHeight="1">
      <c r="A288" s="649"/>
      <c r="B288" s="89"/>
      <c r="C288" s="89"/>
    </row>
    <row r="289" ht="15.75" customHeight="1">
      <c r="A289" s="649"/>
      <c r="B289" s="89"/>
      <c r="C289" s="89"/>
    </row>
    <row r="290" ht="15.75" customHeight="1">
      <c r="A290" s="649"/>
      <c r="B290" s="89"/>
      <c r="C290" s="89"/>
    </row>
    <row r="291" ht="15.75" customHeight="1">
      <c r="A291" s="649"/>
      <c r="B291" s="89"/>
      <c r="C291" s="89"/>
    </row>
    <row r="292" ht="15.75" customHeight="1">
      <c r="A292" s="649"/>
      <c r="B292" s="89"/>
      <c r="C292" s="89"/>
    </row>
    <row r="293" ht="15.75" customHeight="1">
      <c r="A293" s="649"/>
      <c r="B293" s="89"/>
      <c r="C293" s="89"/>
    </row>
    <row r="294" ht="15.75" customHeight="1">
      <c r="A294" s="649"/>
      <c r="B294" s="89"/>
      <c r="C294" s="89"/>
    </row>
    <row r="295" ht="15.75" customHeight="1">
      <c r="A295" s="649"/>
      <c r="B295" s="89"/>
      <c r="C295" s="89"/>
    </row>
    <row r="296" ht="15.75" customHeight="1">
      <c r="A296" s="649"/>
      <c r="B296" s="89"/>
      <c r="C296" s="89"/>
    </row>
    <row r="297" ht="15.75" customHeight="1">
      <c r="A297" s="649"/>
      <c r="B297" s="89"/>
      <c r="C297" s="89"/>
    </row>
    <row r="298" ht="15.75" customHeight="1">
      <c r="A298" s="649"/>
      <c r="B298" s="89"/>
      <c r="C298" s="89"/>
    </row>
    <row r="299" ht="15.75" customHeight="1">
      <c r="A299" s="649"/>
      <c r="B299" s="89"/>
      <c r="C299" s="89"/>
    </row>
    <row r="300" ht="15.75" customHeight="1">
      <c r="A300" s="649"/>
      <c r="B300" s="89"/>
      <c r="C300" s="89"/>
    </row>
    <row r="301" ht="15.75" customHeight="1">
      <c r="A301" s="649"/>
      <c r="B301" s="89"/>
      <c r="C301" s="89"/>
    </row>
    <row r="302" ht="15.75" customHeight="1">
      <c r="A302" s="649"/>
      <c r="B302" s="89"/>
      <c r="C302" s="89"/>
    </row>
    <row r="303" ht="15.75" customHeight="1">
      <c r="A303" s="649"/>
      <c r="B303" s="89"/>
      <c r="C303" s="89"/>
    </row>
    <row r="304" ht="15.75" customHeight="1">
      <c r="A304" s="649"/>
      <c r="B304" s="89"/>
      <c r="C304" s="89"/>
    </row>
    <row r="305" ht="15.75" customHeight="1">
      <c r="A305" s="649"/>
      <c r="B305" s="89"/>
      <c r="C305" s="89"/>
    </row>
    <row r="306" ht="15.75" customHeight="1">
      <c r="A306" s="649"/>
      <c r="B306" s="89"/>
      <c r="C306" s="89"/>
    </row>
    <row r="307" ht="15.75" customHeight="1">
      <c r="A307" s="649"/>
      <c r="B307" s="89"/>
      <c r="C307" s="89"/>
    </row>
    <row r="308" ht="15.75" customHeight="1">
      <c r="A308" s="649"/>
      <c r="B308" s="89"/>
      <c r="C308" s="89"/>
    </row>
    <row r="309" ht="15.75" customHeight="1">
      <c r="A309" s="649"/>
      <c r="B309" s="89"/>
      <c r="C309" s="89"/>
    </row>
    <row r="310" ht="15.75" customHeight="1">
      <c r="A310" s="649"/>
      <c r="B310" s="89"/>
      <c r="C310" s="89"/>
    </row>
    <row r="311" ht="15.75" customHeight="1">
      <c r="A311" s="649"/>
      <c r="B311" s="89"/>
      <c r="C311" s="89"/>
    </row>
    <row r="312" ht="15.75" customHeight="1">
      <c r="A312" s="649"/>
      <c r="B312" s="89"/>
      <c r="C312" s="89"/>
    </row>
    <row r="313" ht="15.75" customHeight="1">
      <c r="A313" s="649"/>
      <c r="B313" s="89"/>
      <c r="C313" s="89"/>
    </row>
    <row r="314" ht="15.75" customHeight="1">
      <c r="A314" s="649"/>
      <c r="B314" s="89"/>
      <c r="C314" s="89"/>
    </row>
    <row r="315" ht="15.75" customHeight="1">
      <c r="A315" s="649"/>
      <c r="B315" s="89"/>
      <c r="C315" s="89"/>
    </row>
    <row r="316" ht="15.75" customHeight="1">
      <c r="A316" s="649"/>
      <c r="B316" s="89"/>
      <c r="C316" s="89"/>
    </row>
    <row r="317" ht="15.75" customHeight="1">
      <c r="A317" s="649"/>
      <c r="B317" s="89"/>
      <c r="C317" s="89"/>
    </row>
    <row r="318" ht="15.75" customHeight="1">
      <c r="A318" s="649"/>
      <c r="B318" s="89"/>
      <c r="C318" s="89"/>
    </row>
    <row r="319" ht="15.75" customHeight="1">
      <c r="A319" s="649"/>
      <c r="B319" s="89"/>
      <c r="C319" s="89"/>
    </row>
    <row r="320" ht="15.75" customHeight="1">
      <c r="A320" s="649"/>
      <c r="B320" s="89"/>
      <c r="C320" s="89"/>
    </row>
    <row r="321" ht="15.75" customHeight="1">
      <c r="A321" s="649"/>
      <c r="B321" s="89"/>
      <c r="C321" s="89"/>
    </row>
    <row r="322" ht="15.75" customHeight="1">
      <c r="A322" s="649"/>
      <c r="B322" s="89"/>
      <c r="C322" s="89"/>
    </row>
    <row r="323" ht="15.75" customHeight="1">
      <c r="A323" s="649"/>
      <c r="B323" s="89"/>
      <c r="C323" s="89"/>
    </row>
    <row r="324" ht="15.75" customHeight="1">
      <c r="A324" s="649"/>
      <c r="B324" s="89"/>
      <c r="C324" s="89"/>
    </row>
    <row r="325" ht="15.75" customHeight="1">
      <c r="A325" s="649"/>
      <c r="B325" s="89"/>
      <c r="C325" s="89"/>
    </row>
    <row r="326" ht="15.75" customHeight="1">
      <c r="A326" s="649"/>
      <c r="B326" s="89"/>
      <c r="C326" s="89"/>
    </row>
    <row r="327" ht="15.75" customHeight="1">
      <c r="A327" s="649"/>
      <c r="B327" s="89"/>
      <c r="C327" s="89"/>
    </row>
    <row r="328" ht="15.75" customHeight="1">
      <c r="A328" s="649"/>
      <c r="B328" s="89"/>
      <c r="C328" s="89"/>
    </row>
    <row r="329" ht="15.75" customHeight="1">
      <c r="A329" s="649"/>
      <c r="B329" s="89"/>
      <c r="C329" s="89"/>
    </row>
    <row r="330" ht="15.75" customHeight="1">
      <c r="A330" s="649"/>
      <c r="B330" s="89"/>
      <c r="C330" s="89"/>
    </row>
    <row r="331" ht="15.75" customHeight="1">
      <c r="A331" s="649"/>
      <c r="B331" s="89"/>
      <c r="C331" s="89"/>
    </row>
    <row r="332" ht="15.75" customHeight="1">
      <c r="A332" s="649"/>
      <c r="B332" s="89"/>
      <c r="C332" s="89"/>
    </row>
    <row r="333" ht="15.75" customHeight="1">
      <c r="A333" s="649"/>
      <c r="B333" s="89"/>
      <c r="C333" s="89"/>
    </row>
    <row r="334" ht="15.75" customHeight="1">
      <c r="A334" s="649"/>
      <c r="B334" s="89"/>
      <c r="C334" s="89"/>
    </row>
    <row r="335" ht="15.75" customHeight="1">
      <c r="A335" s="649"/>
      <c r="B335" s="89"/>
      <c r="C335" s="89"/>
    </row>
    <row r="336" ht="15.75" customHeight="1">
      <c r="A336" s="649"/>
      <c r="B336" s="89"/>
      <c r="C336" s="89"/>
    </row>
    <row r="337" ht="15.75" customHeight="1">
      <c r="A337" s="649"/>
      <c r="B337" s="89"/>
      <c r="C337" s="89"/>
    </row>
    <row r="338" ht="15.75" customHeight="1">
      <c r="A338" s="649"/>
      <c r="B338" s="89"/>
      <c r="C338" s="89"/>
    </row>
    <row r="339" ht="15.75" customHeight="1">
      <c r="A339" s="649"/>
      <c r="B339" s="89"/>
      <c r="C339" s="89"/>
    </row>
    <row r="340" ht="15.75" customHeight="1">
      <c r="A340" s="649"/>
      <c r="B340" s="89"/>
      <c r="C340" s="89"/>
    </row>
    <row r="341" ht="15.75" customHeight="1">
      <c r="A341" s="649"/>
      <c r="B341" s="89"/>
      <c r="C341" s="89"/>
    </row>
    <row r="342" ht="15.75" customHeight="1">
      <c r="A342" s="649"/>
      <c r="B342" s="89"/>
      <c r="C342" s="89"/>
    </row>
    <row r="343" ht="15.75" customHeight="1">
      <c r="A343" s="649"/>
      <c r="B343" s="89"/>
      <c r="C343" s="89"/>
    </row>
    <row r="344" ht="15.75" customHeight="1">
      <c r="A344" s="649"/>
      <c r="B344" s="89"/>
      <c r="C344" s="89"/>
    </row>
    <row r="345" ht="15.75" customHeight="1">
      <c r="A345" s="649"/>
      <c r="B345" s="89"/>
      <c r="C345" s="89"/>
    </row>
    <row r="346" ht="15.75" customHeight="1">
      <c r="A346" s="649"/>
      <c r="B346" s="89"/>
      <c r="C346" s="89"/>
    </row>
    <row r="347" ht="15.75" customHeight="1">
      <c r="A347" s="649"/>
      <c r="B347" s="89"/>
      <c r="C347" s="89"/>
    </row>
    <row r="348" ht="15.75" customHeight="1">
      <c r="A348" s="649"/>
      <c r="B348" s="89"/>
      <c r="C348" s="89"/>
    </row>
    <row r="349" ht="15.75" customHeight="1">
      <c r="A349" s="649"/>
      <c r="B349" s="89"/>
      <c r="C349" s="89"/>
    </row>
    <row r="350" ht="15.75" customHeight="1">
      <c r="A350" s="649"/>
      <c r="B350" s="89"/>
      <c r="C350" s="89"/>
    </row>
    <row r="351" ht="15.75" customHeight="1">
      <c r="A351" s="649"/>
      <c r="B351" s="89"/>
      <c r="C351" s="89"/>
    </row>
    <row r="352" ht="15.75" customHeight="1">
      <c r="A352" s="649"/>
      <c r="B352" s="89"/>
      <c r="C352" s="89"/>
    </row>
    <row r="353" ht="15.75" customHeight="1">
      <c r="A353" s="649"/>
      <c r="B353" s="89"/>
      <c r="C353" s="89"/>
    </row>
    <row r="354" ht="15.75" customHeight="1">
      <c r="A354" s="649"/>
      <c r="B354" s="89"/>
      <c r="C354" s="89"/>
    </row>
    <row r="355" ht="15.75" customHeight="1">
      <c r="A355" s="649"/>
      <c r="B355" s="89"/>
      <c r="C355" s="89"/>
    </row>
    <row r="356" ht="15.75" customHeight="1">
      <c r="A356" s="649"/>
      <c r="B356" s="89"/>
      <c r="C356" s="89"/>
    </row>
    <row r="357" ht="15.75" customHeight="1">
      <c r="A357" s="649"/>
      <c r="B357" s="89"/>
      <c r="C357" s="89"/>
    </row>
    <row r="358" ht="15.75" customHeight="1">
      <c r="A358" s="649"/>
      <c r="B358" s="89"/>
      <c r="C358" s="89"/>
    </row>
    <row r="359" ht="15.75" customHeight="1">
      <c r="A359" s="649"/>
      <c r="B359" s="89"/>
      <c r="C359" s="89"/>
    </row>
    <row r="360" ht="15.75" customHeight="1">
      <c r="A360" s="649"/>
      <c r="B360" s="89"/>
      <c r="C360" s="89"/>
    </row>
    <row r="361" ht="15.75" customHeight="1">
      <c r="A361" s="649"/>
      <c r="B361" s="89"/>
      <c r="C361" s="89"/>
    </row>
    <row r="362" ht="15.75" customHeight="1">
      <c r="A362" s="649"/>
      <c r="B362" s="89"/>
      <c r="C362" s="89"/>
    </row>
    <row r="363" ht="15.75" customHeight="1">
      <c r="A363" s="649"/>
      <c r="B363" s="89"/>
      <c r="C363" s="89"/>
    </row>
    <row r="364" ht="15.75" customHeight="1">
      <c r="A364" s="649"/>
      <c r="B364" s="89"/>
      <c r="C364" s="89"/>
    </row>
    <row r="365" ht="15.75" customHeight="1">
      <c r="A365" s="649"/>
      <c r="B365" s="89"/>
      <c r="C365" s="89"/>
    </row>
    <row r="366" ht="15.75" customHeight="1">
      <c r="A366" s="649"/>
      <c r="B366" s="89"/>
      <c r="C366" s="89"/>
    </row>
    <row r="367" ht="15.75" customHeight="1">
      <c r="A367" s="649"/>
      <c r="B367" s="89"/>
      <c r="C367" s="89"/>
    </row>
    <row r="368" ht="15.75" customHeight="1">
      <c r="A368" s="649"/>
      <c r="B368" s="89"/>
      <c r="C368" s="89"/>
    </row>
    <row r="369" ht="15.75" customHeight="1">
      <c r="A369" s="649"/>
      <c r="B369" s="89"/>
      <c r="C369" s="89"/>
    </row>
    <row r="370" ht="15.75" customHeight="1">
      <c r="A370" s="649"/>
      <c r="B370" s="89"/>
      <c r="C370" s="89"/>
    </row>
    <row r="371" ht="15.75" customHeight="1">
      <c r="A371" s="649"/>
      <c r="B371" s="89"/>
      <c r="C371" s="89"/>
    </row>
    <row r="372" ht="15.75" customHeight="1">
      <c r="A372" s="649"/>
      <c r="B372" s="89"/>
      <c r="C372" s="89"/>
    </row>
    <row r="373" ht="15.75" customHeight="1">
      <c r="A373" s="649"/>
      <c r="B373" s="89"/>
      <c r="C373" s="89"/>
    </row>
    <row r="374" ht="15.75" customHeight="1">
      <c r="A374" s="649"/>
      <c r="B374" s="89"/>
      <c r="C374" s="89"/>
    </row>
    <row r="375" ht="15.75" customHeight="1">
      <c r="A375" s="649"/>
      <c r="B375" s="89"/>
      <c r="C375" s="89"/>
    </row>
    <row r="376" ht="15.75" customHeight="1">
      <c r="A376" s="649"/>
      <c r="B376" s="89"/>
      <c r="C376" s="89"/>
    </row>
    <row r="377" ht="15.75" customHeight="1">
      <c r="A377" s="649"/>
      <c r="B377" s="89"/>
      <c r="C377" s="89"/>
    </row>
    <row r="378" ht="15.75" customHeight="1">
      <c r="A378" s="649"/>
      <c r="B378" s="89"/>
      <c r="C378" s="89"/>
    </row>
    <row r="379" ht="15.75" customHeight="1">
      <c r="A379" s="649"/>
      <c r="B379" s="89"/>
      <c r="C379" s="89"/>
    </row>
    <row r="380" ht="15.75" customHeight="1">
      <c r="A380" s="649"/>
      <c r="B380" s="89"/>
      <c r="C380" s="89"/>
    </row>
    <row r="381" ht="15.75" customHeight="1">
      <c r="A381" s="649"/>
      <c r="B381" s="89"/>
      <c r="C381" s="89"/>
    </row>
    <row r="382" ht="15.75" customHeight="1">
      <c r="A382" s="649"/>
      <c r="B382" s="89"/>
      <c r="C382" s="89"/>
    </row>
    <row r="383" ht="15.75" customHeight="1">
      <c r="A383" s="649"/>
      <c r="B383" s="89"/>
      <c r="C383" s="89"/>
    </row>
    <row r="384" ht="15.75" customHeight="1">
      <c r="A384" s="649"/>
      <c r="B384" s="89"/>
      <c r="C384" s="89"/>
    </row>
    <row r="385" ht="15.75" customHeight="1">
      <c r="A385" s="649"/>
      <c r="B385" s="89"/>
      <c r="C385" s="89"/>
    </row>
    <row r="386" ht="15.75" customHeight="1">
      <c r="A386" s="649"/>
      <c r="B386" s="89"/>
      <c r="C386" s="89"/>
    </row>
    <row r="387" ht="15.75" customHeight="1">
      <c r="A387" s="649"/>
      <c r="B387" s="89"/>
      <c r="C387" s="89"/>
    </row>
    <row r="388" ht="15.75" customHeight="1">
      <c r="A388" s="649"/>
      <c r="B388" s="89"/>
      <c r="C388" s="89"/>
    </row>
    <row r="389" ht="15.75" customHeight="1">
      <c r="A389" s="649"/>
      <c r="B389" s="89"/>
      <c r="C389" s="89"/>
    </row>
    <row r="390" ht="15.75" customHeight="1">
      <c r="A390" s="649"/>
      <c r="B390" s="89"/>
      <c r="C390" s="89"/>
    </row>
    <row r="391" ht="15.75" customHeight="1">
      <c r="A391" s="649"/>
      <c r="B391" s="89"/>
      <c r="C391" s="89"/>
    </row>
    <row r="392" ht="15.75" customHeight="1">
      <c r="A392" s="649"/>
      <c r="B392" s="89"/>
      <c r="C392" s="89"/>
    </row>
    <row r="393" ht="15.75" customHeight="1">
      <c r="A393" s="649"/>
      <c r="B393" s="89"/>
      <c r="C393" s="89"/>
    </row>
    <row r="394" ht="15.75" customHeight="1">
      <c r="A394" s="649"/>
      <c r="B394" s="89"/>
      <c r="C394" s="89"/>
    </row>
    <row r="395" ht="15.75" customHeight="1">
      <c r="A395" s="649"/>
      <c r="B395" s="89"/>
      <c r="C395" s="89"/>
    </row>
    <row r="396" ht="15.75" customHeight="1">
      <c r="A396" s="649"/>
      <c r="B396" s="89"/>
      <c r="C396" s="89"/>
    </row>
    <row r="397" ht="15.75" customHeight="1">
      <c r="A397" s="649"/>
      <c r="B397" s="89"/>
      <c r="C397" s="89"/>
    </row>
    <row r="398" ht="15.75" customHeight="1">
      <c r="A398" s="649"/>
      <c r="B398" s="89"/>
      <c r="C398" s="89"/>
    </row>
    <row r="399" ht="15.75" customHeight="1">
      <c r="A399" s="649"/>
      <c r="B399" s="89"/>
      <c r="C399" s="89"/>
    </row>
    <row r="400" ht="15.75" customHeight="1">
      <c r="A400" s="649"/>
      <c r="B400" s="89"/>
      <c r="C400" s="89"/>
    </row>
    <row r="401" ht="15.75" customHeight="1">
      <c r="A401" s="649"/>
      <c r="B401" s="89"/>
      <c r="C401" s="89"/>
    </row>
    <row r="402" ht="15.75" customHeight="1">
      <c r="A402" s="649"/>
      <c r="B402" s="89"/>
      <c r="C402" s="89"/>
    </row>
    <row r="403" ht="15.75" customHeight="1">
      <c r="A403" s="649"/>
      <c r="B403" s="89"/>
      <c r="C403" s="89"/>
    </row>
    <row r="404" ht="15.75" customHeight="1">
      <c r="A404" s="649"/>
      <c r="B404" s="89"/>
      <c r="C404" s="89"/>
    </row>
    <row r="405" ht="15.75" customHeight="1">
      <c r="A405" s="649"/>
      <c r="B405" s="89"/>
      <c r="C405" s="89"/>
    </row>
    <row r="406" ht="15.75" customHeight="1">
      <c r="A406" s="649"/>
      <c r="B406" s="89"/>
      <c r="C406" s="89"/>
    </row>
    <row r="407" ht="15.75" customHeight="1">
      <c r="A407" s="649"/>
      <c r="B407" s="89"/>
      <c r="C407" s="89"/>
    </row>
    <row r="408" ht="15.75" customHeight="1">
      <c r="A408" s="649"/>
      <c r="B408" s="89"/>
      <c r="C408" s="89"/>
    </row>
    <row r="409" ht="15.75" customHeight="1">
      <c r="A409" s="649"/>
      <c r="B409" s="89"/>
      <c r="C409" s="89"/>
    </row>
    <row r="410" ht="15.75" customHeight="1">
      <c r="A410" s="649"/>
      <c r="B410" s="89"/>
      <c r="C410" s="89"/>
    </row>
    <row r="411" ht="15.75" customHeight="1">
      <c r="A411" s="649"/>
      <c r="B411" s="89"/>
      <c r="C411" s="89"/>
    </row>
    <row r="412" ht="15.75" customHeight="1">
      <c r="A412" s="649"/>
      <c r="B412" s="89"/>
      <c r="C412" s="89"/>
    </row>
    <row r="413" ht="15.75" customHeight="1">
      <c r="A413" s="649"/>
      <c r="B413" s="89"/>
      <c r="C413" s="89"/>
    </row>
    <row r="414" ht="15.75" customHeight="1">
      <c r="A414" s="649"/>
      <c r="B414" s="89"/>
      <c r="C414" s="89"/>
    </row>
    <row r="415" ht="15.75" customHeight="1">
      <c r="A415" s="649"/>
      <c r="B415" s="89"/>
      <c r="C415" s="89"/>
    </row>
    <row r="416" ht="15.75" customHeight="1">
      <c r="A416" s="649"/>
      <c r="B416" s="89"/>
      <c r="C416" s="89"/>
    </row>
    <row r="417" ht="15.75" customHeight="1">
      <c r="A417" s="649"/>
      <c r="B417" s="89"/>
      <c r="C417" s="89"/>
    </row>
    <row r="418" ht="15.75" customHeight="1">
      <c r="A418" s="649"/>
      <c r="B418" s="89"/>
      <c r="C418" s="89"/>
    </row>
    <row r="419" ht="15.75" customHeight="1">
      <c r="A419" s="649"/>
      <c r="B419" s="89"/>
      <c r="C419" s="89"/>
    </row>
    <row r="420" ht="15.75" customHeight="1">
      <c r="A420" s="649"/>
      <c r="B420" s="89"/>
      <c r="C420" s="89"/>
    </row>
    <row r="421" ht="15.75" customHeight="1">
      <c r="A421" s="649"/>
      <c r="B421" s="89"/>
      <c r="C421" s="89"/>
    </row>
    <row r="422" ht="15.75" customHeight="1">
      <c r="A422" s="649"/>
      <c r="B422" s="89"/>
      <c r="C422" s="89"/>
    </row>
    <row r="423" ht="15.75" customHeight="1">
      <c r="A423" s="649"/>
      <c r="B423" s="89"/>
      <c r="C423" s="89"/>
    </row>
    <row r="424" ht="15.75" customHeight="1">
      <c r="A424" s="649"/>
      <c r="B424" s="89"/>
      <c r="C424" s="89"/>
    </row>
    <row r="425" ht="15.75" customHeight="1">
      <c r="A425" s="649"/>
      <c r="B425" s="89"/>
      <c r="C425" s="89"/>
    </row>
    <row r="426" ht="15.75" customHeight="1">
      <c r="A426" s="649"/>
      <c r="B426" s="89"/>
      <c r="C426" s="89"/>
    </row>
    <row r="427" ht="15.75" customHeight="1">
      <c r="A427" s="649"/>
      <c r="B427" s="89"/>
      <c r="C427" s="89"/>
    </row>
    <row r="428" ht="15.75" customHeight="1">
      <c r="A428" s="649"/>
      <c r="B428" s="89"/>
      <c r="C428" s="89"/>
    </row>
    <row r="429" ht="15.75" customHeight="1">
      <c r="A429" s="649"/>
      <c r="B429" s="89"/>
      <c r="C429" s="89"/>
    </row>
    <row r="430" ht="15.75" customHeight="1">
      <c r="A430" s="649"/>
      <c r="B430" s="89"/>
      <c r="C430" s="89"/>
    </row>
    <row r="431" ht="15.75" customHeight="1">
      <c r="A431" s="649"/>
      <c r="B431" s="89"/>
      <c r="C431" s="89"/>
    </row>
    <row r="432" ht="15.75" customHeight="1">
      <c r="A432" s="649"/>
      <c r="B432" s="89"/>
      <c r="C432" s="89"/>
    </row>
    <row r="433" ht="15.75" customHeight="1">
      <c r="A433" s="649"/>
      <c r="B433" s="89"/>
      <c r="C433" s="89"/>
    </row>
    <row r="434" ht="15.75" customHeight="1">
      <c r="A434" s="649"/>
      <c r="B434" s="89"/>
      <c r="C434" s="89"/>
    </row>
    <row r="435" ht="15.75" customHeight="1">
      <c r="A435" s="649"/>
      <c r="B435" s="89"/>
      <c r="C435" s="89"/>
    </row>
    <row r="436" ht="15.75" customHeight="1">
      <c r="A436" s="649"/>
      <c r="B436" s="89"/>
      <c r="C436" s="89"/>
    </row>
    <row r="437" ht="15.75" customHeight="1">
      <c r="A437" s="649"/>
      <c r="B437" s="89"/>
      <c r="C437" s="89"/>
    </row>
    <row r="438" ht="15.75" customHeight="1">
      <c r="A438" s="649"/>
      <c r="B438" s="89"/>
      <c r="C438" s="89"/>
    </row>
    <row r="439" ht="15.75" customHeight="1">
      <c r="A439" s="649"/>
      <c r="B439" s="89"/>
      <c r="C439" s="89"/>
    </row>
    <row r="440" ht="15.75" customHeight="1">
      <c r="A440" s="649"/>
      <c r="B440" s="89"/>
      <c r="C440" s="89"/>
    </row>
    <row r="441" ht="15.75" customHeight="1">
      <c r="A441" s="649"/>
      <c r="B441" s="89"/>
      <c r="C441" s="89"/>
    </row>
    <row r="442" ht="15.75" customHeight="1">
      <c r="A442" s="649"/>
      <c r="B442" s="89"/>
      <c r="C442" s="89"/>
    </row>
    <row r="443" ht="15.75" customHeight="1">
      <c r="A443" s="649"/>
      <c r="B443" s="89"/>
      <c r="C443" s="89"/>
    </row>
    <row r="444" ht="15.75" customHeight="1">
      <c r="A444" s="649"/>
      <c r="B444" s="89"/>
      <c r="C444" s="89"/>
    </row>
    <row r="445" ht="15.75" customHeight="1">
      <c r="A445" s="649"/>
      <c r="B445" s="89"/>
      <c r="C445" s="89"/>
    </row>
    <row r="446" ht="15.75" customHeight="1">
      <c r="A446" s="649"/>
      <c r="B446" s="89"/>
      <c r="C446" s="89"/>
    </row>
    <row r="447" ht="15.75" customHeight="1">
      <c r="A447" s="649"/>
      <c r="B447" s="89"/>
      <c r="C447" s="89"/>
    </row>
    <row r="448" ht="15.75" customHeight="1">
      <c r="A448" s="649"/>
      <c r="B448" s="89"/>
      <c r="C448" s="89"/>
    </row>
    <row r="449" ht="15.75" customHeight="1">
      <c r="A449" s="649"/>
      <c r="B449" s="89"/>
      <c r="C449" s="89"/>
    </row>
    <row r="450" ht="15.75" customHeight="1">
      <c r="A450" s="649"/>
      <c r="B450" s="89"/>
      <c r="C450" s="89"/>
    </row>
    <row r="451" ht="15.75" customHeight="1">
      <c r="A451" s="649"/>
      <c r="B451" s="89"/>
      <c r="C451" s="89"/>
    </row>
    <row r="452" ht="15.75" customHeight="1">
      <c r="A452" s="649"/>
      <c r="B452" s="89"/>
      <c r="C452" s="89"/>
    </row>
    <row r="453" ht="15.75" customHeight="1">
      <c r="A453" s="649"/>
      <c r="B453" s="89"/>
      <c r="C453" s="89"/>
    </row>
    <row r="454" ht="15.75" customHeight="1">
      <c r="A454" s="649"/>
      <c r="B454" s="89"/>
      <c r="C454" s="89"/>
    </row>
    <row r="455" ht="15.75" customHeight="1">
      <c r="A455" s="649"/>
      <c r="B455" s="89"/>
      <c r="C455" s="89"/>
    </row>
    <row r="456" ht="15.75" customHeight="1">
      <c r="A456" s="649"/>
      <c r="B456" s="89"/>
      <c r="C456" s="89"/>
    </row>
    <row r="457" ht="15.75" customHeight="1">
      <c r="A457" s="649"/>
      <c r="B457" s="89"/>
      <c r="C457" s="89"/>
    </row>
    <row r="458" ht="15.75" customHeight="1">
      <c r="A458" s="649"/>
      <c r="B458" s="89"/>
      <c r="C458" s="89"/>
    </row>
    <row r="459" ht="15.75" customHeight="1">
      <c r="A459" s="649"/>
      <c r="B459" s="89"/>
      <c r="C459" s="89"/>
    </row>
    <row r="460" ht="15.75" customHeight="1">
      <c r="A460" s="649"/>
      <c r="B460" s="89"/>
      <c r="C460" s="89"/>
    </row>
    <row r="461" ht="15.75" customHeight="1">
      <c r="A461" s="649"/>
      <c r="B461" s="89"/>
      <c r="C461" s="89"/>
    </row>
    <row r="462" ht="15.75" customHeight="1">
      <c r="A462" s="649"/>
      <c r="B462" s="89"/>
      <c r="C462" s="89"/>
    </row>
    <row r="463" ht="15.75" customHeight="1">
      <c r="A463" s="649"/>
      <c r="B463" s="89"/>
      <c r="C463" s="89"/>
    </row>
    <row r="464" ht="15.75" customHeight="1">
      <c r="A464" s="649"/>
      <c r="B464" s="89"/>
      <c r="C464" s="89"/>
    </row>
    <row r="465" ht="15.75" customHeight="1">
      <c r="A465" s="649"/>
      <c r="B465" s="89"/>
      <c r="C465" s="89"/>
    </row>
    <row r="466" ht="15.75" customHeight="1">
      <c r="A466" s="649"/>
      <c r="B466" s="89"/>
      <c r="C466" s="89"/>
    </row>
    <row r="467" ht="15.75" customHeight="1">
      <c r="A467" s="649"/>
      <c r="B467" s="89"/>
      <c r="C467" s="89"/>
    </row>
    <row r="468" ht="15.75" customHeight="1">
      <c r="A468" s="649"/>
      <c r="B468" s="89"/>
      <c r="C468" s="89"/>
    </row>
    <row r="469" ht="15.75" customHeight="1">
      <c r="A469" s="649"/>
      <c r="B469" s="89"/>
      <c r="C469" s="89"/>
    </row>
    <row r="470" ht="15.75" customHeight="1">
      <c r="A470" s="649"/>
      <c r="B470" s="89"/>
      <c r="C470" s="89"/>
    </row>
    <row r="471" ht="15.75" customHeight="1">
      <c r="A471" s="649"/>
      <c r="B471" s="89"/>
      <c r="C471" s="89"/>
    </row>
    <row r="472" ht="15.75" customHeight="1">
      <c r="A472" s="649"/>
      <c r="B472" s="89"/>
      <c r="C472" s="89"/>
    </row>
    <row r="473" ht="15.75" customHeight="1">
      <c r="A473" s="649"/>
      <c r="B473" s="89"/>
      <c r="C473" s="89"/>
    </row>
    <row r="474" ht="15.75" customHeight="1">
      <c r="A474" s="649"/>
      <c r="B474" s="89"/>
      <c r="C474" s="89"/>
    </row>
    <row r="475" ht="15.75" customHeight="1">
      <c r="A475" s="649"/>
      <c r="B475" s="89"/>
      <c r="C475" s="89"/>
    </row>
    <row r="476" ht="15.75" customHeight="1">
      <c r="A476" s="649"/>
      <c r="B476" s="89"/>
      <c r="C476" s="89"/>
    </row>
    <row r="477" ht="15.75" customHeight="1">
      <c r="A477" s="649"/>
      <c r="B477" s="89"/>
      <c r="C477" s="89"/>
    </row>
    <row r="478" ht="15.75" customHeight="1">
      <c r="A478" s="649"/>
      <c r="B478" s="89"/>
      <c r="C478" s="89"/>
    </row>
    <row r="479" ht="15.75" customHeight="1">
      <c r="A479" s="649"/>
      <c r="B479" s="89"/>
      <c r="C479" s="89"/>
    </row>
    <row r="480" ht="15.75" customHeight="1">
      <c r="A480" s="649"/>
      <c r="B480" s="89"/>
      <c r="C480" s="89"/>
    </row>
    <row r="481" ht="15.75" customHeight="1">
      <c r="A481" s="649"/>
      <c r="B481" s="89"/>
      <c r="C481" s="89"/>
    </row>
    <row r="482" ht="15.75" customHeight="1">
      <c r="A482" s="649"/>
      <c r="B482" s="89"/>
      <c r="C482" s="89"/>
    </row>
    <row r="483" ht="15.75" customHeight="1">
      <c r="A483" s="649"/>
      <c r="B483" s="89"/>
      <c r="C483" s="89"/>
    </row>
    <row r="484" ht="15.75" customHeight="1">
      <c r="A484" s="649"/>
      <c r="B484" s="89"/>
      <c r="C484" s="89"/>
    </row>
    <row r="485" ht="15.75" customHeight="1">
      <c r="A485" s="649"/>
      <c r="B485" s="89"/>
      <c r="C485" s="89"/>
    </row>
    <row r="486" ht="15.75" customHeight="1">
      <c r="A486" s="649"/>
      <c r="B486" s="89"/>
      <c r="C486" s="89"/>
    </row>
    <row r="487" ht="15.75" customHeight="1">
      <c r="A487" s="649"/>
      <c r="B487" s="89"/>
      <c r="C487" s="89"/>
    </row>
    <row r="488" ht="15.75" customHeight="1">
      <c r="A488" s="649"/>
      <c r="B488" s="89"/>
      <c r="C488" s="89"/>
    </row>
    <row r="489" ht="15.75" customHeight="1">
      <c r="A489" s="649"/>
      <c r="B489" s="89"/>
      <c r="C489" s="89"/>
    </row>
    <row r="490" ht="15.75" customHeight="1">
      <c r="A490" s="649"/>
      <c r="B490" s="89"/>
      <c r="C490" s="89"/>
    </row>
    <row r="491" ht="15.75" customHeight="1">
      <c r="A491" s="649"/>
      <c r="B491" s="89"/>
      <c r="C491" s="89"/>
    </row>
    <row r="492" ht="15.75" customHeight="1">
      <c r="A492" s="649"/>
      <c r="B492" s="89"/>
      <c r="C492" s="89"/>
    </row>
    <row r="493" ht="15.75" customHeight="1">
      <c r="A493" s="649"/>
      <c r="B493" s="89"/>
      <c r="C493" s="89"/>
    </row>
    <row r="494" ht="15.75" customHeight="1">
      <c r="A494" s="649"/>
      <c r="B494" s="89"/>
      <c r="C494" s="89"/>
    </row>
    <row r="495" ht="15.75" customHeight="1">
      <c r="A495" s="649"/>
      <c r="B495" s="89"/>
      <c r="C495" s="89"/>
    </row>
    <row r="496" ht="15.75" customHeight="1">
      <c r="A496" s="649"/>
      <c r="B496" s="89"/>
      <c r="C496" s="89"/>
    </row>
    <row r="497" ht="15.75" customHeight="1">
      <c r="A497" s="649"/>
      <c r="B497" s="89"/>
      <c r="C497" s="89"/>
    </row>
    <row r="498" ht="15.75" customHeight="1">
      <c r="A498" s="649"/>
      <c r="B498" s="89"/>
      <c r="C498" s="89"/>
    </row>
    <row r="499" ht="15.75" customHeight="1">
      <c r="A499" s="649"/>
      <c r="B499" s="89"/>
      <c r="C499" s="89"/>
    </row>
    <row r="500" ht="15.75" customHeight="1">
      <c r="A500" s="649"/>
      <c r="B500" s="89"/>
      <c r="C500" s="89"/>
    </row>
    <row r="501" ht="15.75" customHeight="1">
      <c r="A501" s="649"/>
      <c r="B501" s="89"/>
      <c r="C501" s="89"/>
    </row>
    <row r="502" ht="15.75" customHeight="1">
      <c r="A502" s="649"/>
      <c r="B502" s="89"/>
      <c r="C502" s="89"/>
    </row>
    <row r="503" ht="15.75" customHeight="1">
      <c r="A503" s="649"/>
      <c r="B503" s="89"/>
      <c r="C503" s="89"/>
    </row>
    <row r="504" ht="15.75" customHeight="1">
      <c r="A504" s="649"/>
      <c r="B504" s="89"/>
      <c r="C504" s="89"/>
    </row>
    <row r="505" ht="15.75" customHeight="1">
      <c r="A505" s="649"/>
      <c r="B505" s="89"/>
      <c r="C505" s="89"/>
    </row>
    <row r="506" ht="15.75" customHeight="1">
      <c r="A506" s="649"/>
      <c r="B506" s="89"/>
      <c r="C506" s="89"/>
    </row>
    <row r="507" ht="15.75" customHeight="1">
      <c r="A507" s="649"/>
      <c r="B507" s="89"/>
      <c r="C507" s="89"/>
    </row>
    <row r="508" ht="15.75" customHeight="1">
      <c r="A508" s="649"/>
      <c r="B508" s="89"/>
      <c r="C508" s="89"/>
    </row>
    <row r="509" ht="15.75" customHeight="1">
      <c r="A509" s="649"/>
      <c r="B509" s="89"/>
      <c r="C509" s="89"/>
    </row>
    <row r="510" ht="15.75" customHeight="1">
      <c r="A510" s="649"/>
      <c r="B510" s="89"/>
      <c r="C510" s="89"/>
    </row>
    <row r="511" ht="15.75" customHeight="1">
      <c r="A511" s="649"/>
      <c r="B511" s="89"/>
      <c r="C511" s="89"/>
    </row>
    <row r="512" ht="15.75" customHeight="1">
      <c r="A512" s="649"/>
      <c r="B512" s="89"/>
      <c r="C512" s="89"/>
    </row>
    <row r="513" ht="15.75" customHeight="1">
      <c r="A513" s="649"/>
      <c r="B513" s="89"/>
      <c r="C513" s="89"/>
    </row>
    <row r="514" ht="15.75" customHeight="1">
      <c r="A514" s="649"/>
      <c r="B514" s="89"/>
      <c r="C514" s="89"/>
    </row>
    <row r="515" ht="15.75" customHeight="1">
      <c r="A515" s="649"/>
      <c r="B515" s="89"/>
      <c r="C515" s="89"/>
    </row>
    <row r="516" ht="15.75" customHeight="1">
      <c r="A516" s="649"/>
      <c r="B516" s="89"/>
      <c r="C516" s="89"/>
    </row>
    <row r="517" ht="15.75" customHeight="1">
      <c r="A517" s="649"/>
      <c r="B517" s="89"/>
      <c r="C517" s="89"/>
    </row>
    <row r="518" ht="15.75" customHeight="1">
      <c r="A518" s="649"/>
      <c r="B518" s="89"/>
      <c r="C518" s="89"/>
    </row>
    <row r="519" ht="15.75" customHeight="1">
      <c r="A519" s="649"/>
      <c r="B519" s="89"/>
      <c r="C519" s="89"/>
    </row>
    <row r="520" ht="15.75" customHeight="1">
      <c r="A520" s="649"/>
      <c r="B520" s="89"/>
      <c r="C520" s="89"/>
    </row>
    <row r="521" ht="15.75" customHeight="1">
      <c r="A521" s="649"/>
      <c r="B521" s="89"/>
      <c r="C521" s="89"/>
    </row>
    <row r="522" ht="15.75" customHeight="1">
      <c r="A522" s="649"/>
      <c r="B522" s="89"/>
      <c r="C522" s="89"/>
    </row>
    <row r="523" ht="15.75" customHeight="1">
      <c r="A523" s="649"/>
      <c r="B523" s="89"/>
      <c r="C523" s="89"/>
    </row>
    <row r="524" ht="15.75" customHeight="1">
      <c r="A524" s="649"/>
      <c r="B524" s="89"/>
      <c r="C524" s="89"/>
    </row>
    <row r="525" ht="15.75" customHeight="1">
      <c r="A525" s="649"/>
      <c r="B525" s="89"/>
      <c r="C525" s="89"/>
    </row>
    <row r="526" ht="15.75" customHeight="1">
      <c r="A526" s="649"/>
      <c r="B526" s="89"/>
      <c r="C526" s="89"/>
    </row>
    <row r="527" ht="15.75" customHeight="1">
      <c r="A527" s="649"/>
      <c r="B527" s="89"/>
      <c r="C527" s="89"/>
    </row>
    <row r="528" ht="15.75" customHeight="1">
      <c r="A528" s="649"/>
      <c r="B528" s="89"/>
      <c r="C528" s="89"/>
    </row>
    <row r="529" ht="15.75" customHeight="1">
      <c r="A529" s="649"/>
      <c r="B529" s="89"/>
      <c r="C529" s="89"/>
    </row>
    <row r="530" ht="15.75" customHeight="1">
      <c r="A530" s="649"/>
      <c r="B530" s="89"/>
      <c r="C530" s="89"/>
    </row>
    <row r="531" ht="15.75" customHeight="1">
      <c r="A531" s="649"/>
      <c r="B531" s="89"/>
      <c r="C531" s="89"/>
    </row>
    <row r="532" ht="15.75" customHeight="1">
      <c r="A532" s="649"/>
      <c r="B532" s="89"/>
      <c r="C532" s="89"/>
    </row>
    <row r="533" ht="15.75" customHeight="1">
      <c r="A533" s="649"/>
      <c r="B533" s="89"/>
      <c r="C533" s="89"/>
    </row>
    <row r="534" ht="15.75" customHeight="1">
      <c r="A534" s="649"/>
      <c r="B534" s="89"/>
      <c r="C534" s="89"/>
    </row>
    <row r="535" ht="15.75" customHeight="1">
      <c r="A535" s="649"/>
      <c r="B535" s="89"/>
      <c r="C535" s="89"/>
    </row>
    <row r="536" ht="15.75" customHeight="1">
      <c r="A536" s="649"/>
      <c r="B536" s="89"/>
      <c r="C536" s="89"/>
    </row>
    <row r="537" ht="15.75" customHeight="1">
      <c r="A537" s="649"/>
      <c r="B537" s="89"/>
      <c r="C537" s="89"/>
    </row>
    <row r="538" ht="15.75" customHeight="1">
      <c r="A538" s="649"/>
      <c r="B538" s="89"/>
      <c r="C538" s="89"/>
    </row>
    <row r="539" ht="15.75" customHeight="1">
      <c r="A539" s="649"/>
      <c r="B539" s="89"/>
      <c r="C539" s="89"/>
    </row>
    <row r="540" ht="15.75" customHeight="1">
      <c r="A540" s="649"/>
      <c r="B540" s="89"/>
      <c r="C540" s="89"/>
    </row>
    <row r="541" ht="15.75" customHeight="1">
      <c r="A541" s="649"/>
      <c r="B541" s="89"/>
      <c r="C541" s="89"/>
    </row>
    <row r="542" ht="15.75" customHeight="1">
      <c r="A542" s="649"/>
      <c r="B542" s="89"/>
      <c r="C542" s="89"/>
    </row>
    <row r="543" ht="15.75" customHeight="1">
      <c r="A543" s="649"/>
      <c r="B543" s="89"/>
      <c r="C543" s="89"/>
    </row>
    <row r="544" ht="15.75" customHeight="1">
      <c r="A544" s="649"/>
      <c r="B544" s="89"/>
      <c r="C544" s="89"/>
    </row>
    <row r="545" ht="15.75" customHeight="1">
      <c r="A545" s="649"/>
      <c r="B545" s="89"/>
      <c r="C545" s="89"/>
    </row>
    <row r="546" ht="15.75" customHeight="1">
      <c r="A546" s="649"/>
      <c r="B546" s="89"/>
      <c r="C546" s="89"/>
    </row>
    <row r="547" ht="15.75" customHeight="1">
      <c r="A547" s="649"/>
      <c r="B547" s="89"/>
      <c r="C547" s="89"/>
    </row>
    <row r="548" ht="15.75" customHeight="1">
      <c r="A548" s="649"/>
      <c r="B548" s="89"/>
      <c r="C548" s="89"/>
    </row>
    <row r="549" ht="15.75" customHeight="1">
      <c r="A549" s="649"/>
      <c r="B549" s="89"/>
      <c r="C549" s="89"/>
    </row>
    <row r="550" ht="15.75" customHeight="1">
      <c r="A550" s="649"/>
      <c r="B550" s="89"/>
      <c r="C550" s="89"/>
    </row>
    <row r="551" ht="15.75" customHeight="1">
      <c r="A551" s="649"/>
      <c r="B551" s="89"/>
      <c r="C551" s="89"/>
    </row>
    <row r="552" ht="15.75" customHeight="1">
      <c r="A552" s="649"/>
      <c r="B552" s="89"/>
      <c r="C552" s="89"/>
    </row>
    <row r="553" ht="15.75" customHeight="1">
      <c r="A553" s="649"/>
      <c r="B553" s="89"/>
      <c r="C553" s="89"/>
    </row>
    <row r="554" ht="15.75" customHeight="1">
      <c r="A554" s="649"/>
      <c r="B554" s="89"/>
      <c r="C554" s="89"/>
    </row>
    <row r="555" ht="15.75" customHeight="1">
      <c r="A555" s="649"/>
      <c r="B555" s="89"/>
      <c r="C555" s="89"/>
    </row>
    <row r="556" ht="15.75" customHeight="1">
      <c r="A556" s="649"/>
      <c r="B556" s="89"/>
      <c r="C556" s="89"/>
    </row>
    <row r="557" ht="15.75" customHeight="1">
      <c r="A557" s="649"/>
      <c r="B557" s="89"/>
      <c r="C557" s="89"/>
    </row>
    <row r="558" ht="15.75" customHeight="1">
      <c r="A558" s="649"/>
      <c r="B558" s="89"/>
      <c r="C558" s="89"/>
    </row>
    <row r="559" ht="15.75" customHeight="1">
      <c r="A559" s="649"/>
      <c r="B559" s="89"/>
      <c r="C559" s="89"/>
    </row>
    <row r="560" ht="15.75" customHeight="1">
      <c r="A560" s="649"/>
      <c r="B560" s="89"/>
      <c r="C560" s="89"/>
    </row>
    <row r="561" ht="15.75" customHeight="1">
      <c r="A561" s="649"/>
      <c r="B561" s="89"/>
      <c r="C561" s="89"/>
    </row>
    <row r="562" ht="15.75" customHeight="1">
      <c r="A562" s="649"/>
      <c r="B562" s="89"/>
      <c r="C562" s="89"/>
    </row>
    <row r="563" ht="15.75" customHeight="1">
      <c r="A563" s="649"/>
      <c r="B563" s="89"/>
      <c r="C563" s="89"/>
    </row>
    <row r="564" ht="15.75" customHeight="1">
      <c r="A564" s="649"/>
      <c r="B564" s="89"/>
      <c r="C564" s="89"/>
    </row>
    <row r="565" ht="15.75" customHeight="1">
      <c r="A565" s="649"/>
      <c r="B565" s="89"/>
      <c r="C565" s="89"/>
    </row>
    <row r="566" ht="15.75" customHeight="1">
      <c r="A566" s="649"/>
      <c r="B566" s="89"/>
      <c r="C566" s="89"/>
    </row>
    <row r="567" ht="15.75" customHeight="1">
      <c r="A567" s="649"/>
      <c r="B567" s="89"/>
      <c r="C567" s="89"/>
    </row>
    <row r="568" ht="15.75" customHeight="1">
      <c r="A568" s="649"/>
      <c r="B568" s="89"/>
      <c r="C568" s="89"/>
    </row>
    <row r="569" ht="15.75" customHeight="1">
      <c r="A569" s="649"/>
      <c r="B569" s="89"/>
      <c r="C569" s="89"/>
    </row>
    <row r="570" ht="15.75" customHeight="1">
      <c r="A570" s="649"/>
      <c r="B570" s="89"/>
      <c r="C570" s="89"/>
    </row>
    <row r="571" ht="15.75" customHeight="1">
      <c r="A571" s="649"/>
      <c r="B571" s="89"/>
      <c r="C571" s="89"/>
    </row>
    <row r="572" ht="15.75" customHeight="1">
      <c r="A572" s="649"/>
      <c r="B572" s="89"/>
      <c r="C572" s="89"/>
    </row>
    <row r="573" ht="15.75" customHeight="1">
      <c r="A573" s="649"/>
      <c r="B573" s="89"/>
      <c r="C573" s="89"/>
    </row>
    <row r="574" ht="15.75" customHeight="1">
      <c r="A574" s="649"/>
      <c r="B574" s="89"/>
      <c r="C574" s="89"/>
    </row>
    <row r="575" ht="15.75" customHeight="1">
      <c r="A575" s="649"/>
      <c r="B575" s="89"/>
      <c r="C575" s="89"/>
    </row>
    <row r="576" ht="15.75" customHeight="1">
      <c r="A576" s="649"/>
      <c r="B576" s="89"/>
      <c r="C576" s="89"/>
    </row>
    <row r="577" ht="15.75" customHeight="1">
      <c r="A577" s="649"/>
      <c r="B577" s="89"/>
      <c r="C577" s="89"/>
    </row>
    <row r="578" ht="15.75" customHeight="1">
      <c r="A578" s="649"/>
      <c r="B578" s="89"/>
      <c r="C578" s="89"/>
    </row>
    <row r="579" ht="15.75" customHeight="1">
      <c r="A579" s="649"/>
      <c r="B579" s="89"/>
      <c r="C579" s="89"/>
    </row>
    <row r="580" ht="15.75" customHeight="1">
      <c r="A580" s="649"/>
      <c r="B580" s="89"/>
      <c r="C580" s="89"/>
    </row>
    <row r="581" ht="15.75" customHeight="1">
      <c r="A581" s="649"/>
      <c r="B581" s="89"/>
      <c r="C581" s="89"/>
    </row>
    <row r="582" ht="15.75" customHeight="1">
      <c r="A582" s="649"/>
      <c r="B582" s="89"/>
      <c r="C582" s="89"/>
    </row>
    <row r="583" ht="15.75" customHeight="1">
      <c r="A583" s="649"/>
      <c r="B583" s="89"/>
      <c r="C583" s="89"/>
    </row>
    <row r="584" ht="15.75" customHeight="1">
      <c r="A584" s="649"/>
      <c r="B584" s="89"/>
      <c r="C584" s="89"/>
    </row>
    <row r="585" ht="15.75" customHeight="1">
      <c r="A585" s="649"/>
      <c r="B585" s="89"/>
      <c r="C585" s="89"/>
    </row>
    <row r="586" ht="15.75" customHeight="1">
      <c r="A586" s="649"/>
      <c r="B586" s="89"/>
      <c r="C586" s="89"/>
    </row>
    <row r="587" ht="15.75" customHeight="1">
      <c r="A587" s="649"/>
      <c r="B587" s="89"/>
      <c r="C587" s="89"/>
    </row>
    <row r="588" ht="15.75" customHeight="1">
      <c r="A588" s="649"/>
      <c r="B588" s="89"/>
      <c r="C588" s="89"/>
    </row>
    <row r="589" ht="15.75" customHeight="1">
      <c r="A589" s="649"/>
      <c r="B589" s="89"/>
      <c r="C589" s="89"/>
    </row>
    <row r="590" ht="15.75" customHeight="1">
      <c r="A590" s="649"/>
      <c r="B590" s="89"/>
      <c r="C590" s="89"/>
    </row>
    <row r="591" ht="15.75" customHeight="1">
      <c r="A591" s="649"/>
      <c r="B591" s="89"/>
      <c r="C591" s="89"/>
    </row>
    <row r="592" ht="15.75" customHeight="1">
      <c r="A592" s="649"/>
      <c r="B592" s="89"/>
      <c r="C592" s="89"/>
    </row>
    <row r="593" ht="15.75" customHeight="1">
      <c r="A593" s="649"/>
      <c r="B593" s="89"/>
      <c r="C593" s="89"/>
    </row>
    <row r="594" ht="15.75" customHeight="1">
      <c r="A594" s="649"/>
      <c r="B594" s="89"/>
      <c r="C594" s="89"/>
    </row>
    <row r="595" ht="15.75" customHeight="1">
      <c r="A595" s="649"/>
      <c r="B595" s="89"/>
      <c r="C595" s="89"/>
    </row>
    <row r="596" ht="15.75" customHeight="1">
      <c r="A596" s="649"/>
      <c r="B596" s="89"/>
      <c r="C596" s="89"/>
    </row>
    <row r="597" ht="15.75" customHeight="1">
      <c r="A597" s="649"/>
      <c r="B597" s="89"/>
      <c r="C597" s="89"/>
    </row>
    <row r="598" ht="15.75" customHeight="1">
      <c r="A598" s="649"/>
      <c r="B598" s="89"/>
      <c r="C598" s="89"/>
    </row>
    <row r="599" ht="15.75" customHeight="1">
      <c r="A599" s="649"/>
      <c r="B599" s="89"/>
      <c r="C599" s="89"/>
    </row>
    <row r="600" ht="15.75" customHeight="1">
      <c r="A600" s="649"/>
      <c r="B600" s="89"/>
      <c r="C600" s="89"/>
    </row>
    <row r="601" ht="15.75" customHeight="1">
      <c r="A601" s="649"/>
      <c r="B601" s="89"/>
      <c r="C601" s="89"/>
    </row>
    <row r="602" ht="15.75" customHeight="1">
      <c r="A602" s="649"/>
      <c r="B602" s="89"/>
      <c r="C602" s="89"/>
    </row>
    <row r="603" ht="15.75" customHeight="1">
      <c r="A603" s="649"/>
      <c r="B603" s="89"/>
      <c r="C603" s="89"/>
    </row>
    <row r="604" ht="15.75" customHeight="1">
      <c r="A604" s="649"/>
      <c r="B604" s="89"/>
      <c r="C604" s="89"/>
    </row>
    <row r="605" ht="15.75" customHeight="1">
      <c r="A605" s="649"/>
      <c r="B605" s="89"/>
      <c r="C605" s="89"/>
    </row>
    <row r="606" ht="15.75" customHeight="1">
      <c r="A606" s="649"/>
      <c r="B606" s="89"/>
      <c r="C606" s="89"/>
    </row>
    <row r="607" ht="15.75" customHeight="1">
      <c r="A607" s="649"/>
      <c r="B607" s="89"/>
      <c r="C607" s="89"/>
    </row>
    <row r="608" ht="15.75" customHeight="1">
      <c r="A608" s="649"/>
      <c r="B608" s="89"/>
      <c r="C608" s="89"/>
    </row>
    <row r="609" ht="15.75" customHeight="1">
      <c r="A609" s="649"/>
      <c r="B609" s="89"/>
      <c r="C609" s="89"/>
    </row>
    <row r="610" ht="15.75" customHeight="1">
      <c r="A610" s="649"/>
      <c r="B610" s="89"/>
      <c r="C610" s="89"/>
    </row>
    <row r="611" ht="15.75" customHeight="1">
      <c r="A611" s="649"/>
      <c r="B611" s="89"/>
      <c r="C611" s="89"/>
    </row>
    <row r="612" ht="15.75" customHeight="1">
      <c r="A612" s="649"/>
      <c r="B612" s="89"/>
      <c r="C612" s="89"/>
    </row>
    <row r="613" ht="15.75" customHeight="1">
      <c r="A613" s="649"/>
      <c r="B613" s="89"/>
      <c r="C613" s="89"/>
    </row>
    <row r="614" ht="15.75" customHeight="1">
      <c r="A614" s="649"/>
      <c r="B614" s="89"/>
      <c r="C614" s="89"/>
    </row>
    <row r="615" ht="15.75" customHeight="1">
      <c r="A615" s="649"/>
      <c r="B615" s="89"/>
      <c r="C615" s="89"/>
    </row>
    <row r="616" ht="15.75" customHeight="1">
      <c r="A616" s="649"/>
      <c r="B616" s="89"/>
      <c r="C616" s="89"/>
    </row>
    <row r="617" ht="15.75" customHeight="1">
      <c r="A617" s="649"/>
      <c r="B617" s="89"/>
      <c r="C617" s="89"/>
    </row>
    <row r="618" ht="15.75" customHeight="1">
      <c r="A618" s="649"/>
      <c r="B618" s="89"/>
      <c r="C618" s="89"/>
    </row>
    <row r="619" ht="15.75" customHeight="1">
      <c r="A619" s="649"/>
      <c r="B619" s="89"/>
      <c r="C619" s="89"/>
    </row>
    <row r="620" ht="15.75" customHeight="1">
      <c r="A620" s="649"/>
      <c r="B620" s="89"/>
      <c r="C620" s="89"/>
    </row>
    <row r="621" ht="15.75" customHeight="1">
      <c r="A621" s="649"/>
      <c r="B621" s="89"/>
      <c r="C621" s="89"/>
    </row>
    <row r="622" ht="15.75" customHeight="1">
      <c r="A622" s="649"/>
      <c r="B622" s="89"/>
      <c r="C622" s="89"/>
    </row>
    <row r="623" ht="15.75" customHeight="1">
      <c r="A623" s="649"/>
      <c r="B623" s="89"/>
      <c r="C623" s="89"/>
    </row>
    <row r="624" ht="15.75" customHeight="1">
      <c r="A624" s="649"/>
      <c r="B624" s="89"/>
      <c r="C624" s="89"/>
    </row>
    <row r="625" ht="15.75" customHeight="1">
      <c r="A625" s="649"/>
      <c r="B625" s="89"/>
      <c r="C625" s="89"/>
    </row>
    <row r="626" ht="15.75" customHeight="1">
      <c r="A626" s="649"/>
      <c r="B626" s="89"/>
      <c r="C626" s="89"/>
    </row>
    <row r="627" ht="15.75" customHeight="1">
      <c r="A627" s="649"/>
      <c r="B627" s="89"/>
      <c r="C627" s="89"/>
    </row>
    <row r="628" ht="15.75" customHeight="1">
      <c r="A628" s="649"/>
      <c r="B628" s="89"/>
      <c r="C628" s="89"/>
    </row>
    <row r="629" ht="15.75" customHeight="1">
      <c r="A629" s="649"/>
      <c r="B629" s="89"/>
      <c r="C629" s="89"/>
    </row>
    <row r="630" ht="15.75" customHeight="1">
      <c r="A630" s="649"/>
      <c r="B630" s="89"/>
      <c r="C630" s="89"/>
    </row>
    <row r="631" ht="15.75" customHeight="1">
      <c r="A631" s="649"/>
      <c r="B631" s="89"/>
      <c r="C631" s="89"/>
    </row>
    <row r="632" ht="15.75" customHeight="1">
      <c r="A632" s="649"/>
      <c r="B632" s="89"/>
      <c r="C632" s="89"/>
    </row>
    <row r="633" ht="15.75" customHeight="1">
      <c r="A633" s="649"/>
      <c r="B633" s="89"/>
      <c r="C633" s="89"/>
    </row>
    <row r="634" ht="15.75" customHeight="1">
      <c r="A634" s="649"/>
      <c r="B634" s="89"/>
      <c r="C634" s="89"/>
    </row>
    <row r="635" ht="15.75" customHeight="1">
      <c r="A635" s="649"/>
      <c r="B635" s="89"/>
      <c r="C635" s="89"/>
    </row>
    <row r="636" ht="15.75" customHeight="1">
      <c r="A636" s="649"/>
      <c r="B636" s="89"/>
      <c r="C636" s="89"/>
    </row>
    <row r="637" ht="15.75" customHeight="1">
      <c r="A637" s="649"/>
      <c r="B637" s="89"/>
      <c r="C637" s="89"/>
    </row>
    <row r="638" ht="15.75" customHeight="1">
      <c r="A638" s="649"/>
      <c r="B638" s="89"/>
      <c r="C638" s="89"/>
    </row>
    <row r="639" ht="15.75" customHeight="1">
      <c r="A639" s="649"/>
      <c r="B639" s="89"/>
      <c r="C639" s="89"/>
    </row>
    <row r="640" ht="15.75" customHeight="1">
      <c r="A640" s="649"/>
      <c r="B640" s="89"/>
      <c r="C640" s="89"/>
    </row>
    <row r="641" ht="15.75" customHeight="1">
      <c r="A641" s="649"/>
      <c r="B641" s="89"/>
      <c r="C641" s="89"/>
    </row>
    <row r="642" ht="15.75" customHeight="1">
      <c r="A642" s="649"/>
      <c r="B642" s="89"/>
      <c r="C642" s="89"/>
    </row>
    <row r="643" ht="15.75" customHeight="1">
      <c r="A643" s="649"/>
      <c r="B643" s="89"/>
      <c r="C643" s="89"/>
    </row>
    <row r="644" ht="15.75" customHeight="1">
      <c r="A644" s="649"/>
      <c r="B644" s="89"/>
      <c r="C644" s="89"/>
    </row>
    <row r="645" ht="15.75" customHeight="1">
      <c r="A645" s="649"/>
      <c r="B645" s="89"/>
      <c r="C645" s="89"/>
    </row>
    <row r="646" ht="15.75" customHeight="1">
      <c r="A646" s="649"/>
      <c r="B646" s="89"/>
      <c r="C646" s="89"/>
    </row>
    <row r="647" ht="15.75" customHeight="1">
      <c r="A647" s="649"/>
      <c r="B647" s="89"/>
      <c r="C647" s="89"/>
    </row>
    <row r="648" ht="15.75" customHeight="1">
      <c r="A648" s="649"/>
      <c r="B648" s="89"/>
      <c r="C648" s="89"/>
    </row>
    <row r="649" ht="15.75" customHeight="1">
      <c r="A649" s="649"/>
      <c r="B649" s="89"/>
      <c r="C649" s="89"/>
    </row>
    <row r="650" ht="15.75" customHeight="1">
      <c r="A650" s="649"/>
      <c r="B650" s="89"/>
      <c r="C650" s="89"/>
    </row>
    <row r="651" ht="15.75" customHeight="1">
      <c r="A651" s="649"/>
      <c r="B651" s="89"/>
      <c r="C651" s="89"/>
    </row>
    <row r="652" ht="15.75" customHeight="1">
      <c r="A652" s="649"/>
      <c r="B652" s="89"/>
      <c r="C652" s="89"/>
    </row>
    <row r="653" ht="15.75" customHeight="1">
      <c r="A653" s="649"/>
      <c r="B653" s="89"/>
      <c r="C653" s="89"/>
    </row>
    <row r="654" ht="15.75" customHeight="1">
      <c r="A654" s="649"/>
      <c r="B654" s="89"/>
      <c r="C654" s="89"/>
    </row>
    <row r="655" ht="15.75" customHeight="1">
      <c r="A655" s="649"/>
      <c r="B655" s="89"/>
      <c r="C655" s="89"/>
    </row>
    <row r="656" ht="15.75" customHeight="1">
      <c r="A656" s="649"/>
      <c r="B656" s="89"/>
      <c r="C656" s="89"/>
    </row>
    <row r="657" ht="15.75" customHeight="1">
      <c r="A657" s="649"/>
      <c r="B657" s="89"/>
      <c r="C657" s="89"/>
    </row>
    <row r="658" ht="15.75" customHeight="1">
      <c r="A658" s="649"/>
      <c r="B658" s="89"/>
      <c r="C658" s="89"/>
    </row>
    <row r="659" ht="15.75" customHeight="1">
      <c r="A659" s="649"/>
      <c r="B659" s="89"/>
      <c r="C659" s="89"/>
    </row>
    <row r="660" ht="15.75" customHeight="1">
      <c r="A660" s="649"/>
      <c r="B660" s="89"/>
      <c r="C660" s="89"/>
    </row>
    <row r="661" ht="15.75" customHeight="1">
      <c r="A661" s="649"/>
      <c r="B661" s="89"/>
      <c r="C661" s="89"/>
    </row>
    <row r="662" ht="15.75" customHeight="1">
      <c r="A662" s="649"/>
      <c r="B662" s="89"/>
      <c r="C662" s="89"/>
    </row>
    <row r="663" ht="15.75" customHeight="1">
      <c r="A663" s="649"/>
      <c r="B663" s="89"/>
      <c r="C663" s="89"/>
    </row>
    <row r="664" ht="15.75" customHeight="1">
      <c r="A664" s="649"/>
      <c r="B664" s="89"/>
      <c r="C664" s="89"/>
    </row>
    <row r="665" ht="15.75" customHeight="1">
      <c r="A665" s="649"/>
      <c r="B665" s="89"/>
      <c r="C665" s="89"/>
    </row>
    <row r="666" ht="15.75" customHeight="1">
      <c r="A666" s="649"/>
      <c r="B666" s="89"/>
      <c r="C666" s="89"/>
    </row>
    <row r="667" ht="15.75" customHeight="1">
      <c r="A667" s="649"/>
      <c r="B667" s="89"/>
      <c r="C667" s="89"/>
    </row>
    <row r="668" ht="15.75" customHeight="1">
      <c r="A668" s="649"/>
      <c r="B668" s="89"/>
      <c r="C668" s="89"/>
    </row>
    <row r="669" ht="15.75" customHeight="1">
      <c r="A669" s="649"/>
      <c r="B669" s="89"/>
      <c r="C669" s="89"/>
    </row>
    <row r="670" ht="15.75" customHeight="1">
      <c r="A670" s="649"/>
      <c r="B670" s="89"/>
      <c r="C670" s="89"/>
    </row>
    <row r="671" ht="15.75" customHeight="1">
      <c r="A671" s="649"/>
      <c r="B671" s="89"/>
      <c r="C671" s="89"/>
    </row>
    <row r="672" ht="15.75" customHeight="1">
      <c r="A672" s="649"/>
      <c r="B672" s="89"/>
      <c r="C672" s="89"/>
    </row>
    <row r="673" ht="15.75" customHeight="1">
      <c r="A673" s="649"/>
      <c r="B673" s="89"/>
      <c r="C673" s="89"/>
    </row>
    <row r="674" ht="15.75" customHeight="1">
      <c r="A674" s="649"/>
      <c r="B674" s="89"/>
      <c r="C674" s="89"/>
    </row>
    <row r="675" ht="15.75" customHeight="1">
      <c r="A675" s="649"/>
      <c r="B675" s="89"/>
      <c r="C675" s="89"/>
    </row>
    <row r="676" ht="15.75" customHeight="1">
      <c r="A676" s="649"/>
      <c r="B676" s="89"/>
      <c r="C676" s="89"/>
    </row>
    <row r="677" ht="15.75" customHeight="1">
      <c r="A677" s="649"/>
      <c r="B677" s="89"/>
      <c r="C677" s="89"/>
    </row>
    <row r="678" ht="15.75" customHeight="1">
      <c r="A678" s="649"/>
      <c r="B678" s="89"/>
      <c r="C678" s="89"/>
    </row>
    <row r="679" ht="15.75" customHeight="1">
      <c r="A679" s="649"/>
      <c r="B679" s="89"/>
      <c r="C679" s="89"/>
    </row>
    <row r="680" ht="15.75" customHeight="1">
      <c r="A680" s="649"/>
      <c r="B680" s="89"/>
      <c r="C680" s="89"/>
    </row>
    <row r="681" ht="15.75" customHeight="1">
      <c r="A681" s="649"/>
      <c r="B681" s="89"/>
      <c r="C681" s="89"/>
    </row>
    <row r="682" ht="15.75" customHeight="1">
      <c r="A682" s="649"/>
      <c r="B682" s="89"/>
      <c r="C682" s="89"/>
    </row>
    <row r="683" ht="15.75" customHeight="1">
      <c r="A683" s="649"/>
      <c r="B683" s="89"/>
      <c r="C683" s="89"/>
    </row>
    <row r="684" ht="15.75" customHeight="1">
      <c r="A684" s="649"/>
      <c r="B684" s="89"/>
      <c r="C684" s="89"/>
    </row>
    <row r="685" ht="15.75" customHeight="1">
      <c r="A685" s="649"/>
      <c r="B685" s="89"/>
      <c r="C685" s="89"/>
    </row>
    <row r="686" ht="15.75" customHeight="1">
      <c r="A686" s="649"/>
      <c r="B686" s="89"/>
      <c r="C686" s="89"/>
    </row>
    <row r="687" ht="15.75" customHeight="1">
      <c r="A687" s="649"/>
      <c r="B687" s="89"/>
      <c r="C687" s="89"/>
    </row>
    <row r="688" ht="15.75" customHeight="1">
      <c r="A688" s="649"/>
      <c r="B688" s="89"/>
      <c r="C688" s="89"/>
    </row>
    <row r="689" ht="15.75" customHeight="1">
      <c r="A689" s="649"/>
      <c r="B689" s="89"/>
      <c r="C689" s="89"/>
    </row>
    <row r="690" ht="15.75" customHeight="1">
      <c r="A690" s="649"/>
      <c r="B690" s="89"/>
      <c r="C690" s="89"/>
    </row>
    <row r="691" ht="15.75" customHeight="1">
      <c r="A691" s="649"/>
      <c r="B691" s="89"/>
      <c r="C691" s="89"/>
    </row>
    <row r="692" ht="15.75" customHeight="1">
      <c r="A692" s="649"/>
      <c r="B692" s="89"/>
      <c r="C692" s="89"/>
    </row>
    <row r="693" ht="15.75" customHeight="1">
      <c r="A693" s="649"/>
      <c r="B693" s="89"/>
      <c r="C693" s="89"/>
    </row>
    <row r="694" ht="15.75" customHeight="1">
      <c r="A694" s="649"/>
      <c r="B694" s="89"/>
      <c r="C694" s="89"/>
    </row>
    <row r="695" ht="15.75" customHeight="1">
      <c r="A695" s="649"/>
      <c r="B695" s="89"/>
      <c r="C695" s="89"/>
    </row>
    <row r="696" ht="15.75" customHeight="1">
      <c r="A696" s="649"/>
      <c r="B696" s="89"/>
      <c r="C696" s="89"/>
    </row>
    <row r="697" ht="15.75" customHeight="1">
      <c r="A697" s="649"/>
      <c r="B697" s="89"/>
      <c r="C697" s="89"/>
    </row>
    <row r="698" ht="15.75" customHeight="1">
      <c r="A698" s="649"/>
      <c r="B698" s="89"/>
      <c r="C698" s="89"/>
    </row>
    <row r="699" ht="15.75" customHeight="1">
      <c r="A699" s="649"/>
      <c r="B699" s="89"/>
      <c r="C699" s="89"/>
    </row>
    <row r="700" ht="15.75" customHeight="1">
      <c r="A700" s="649"/>
      <c r="B700" s="89"/>
      <c r="C700" s="89"/>
    </row>
    <row r="701" ht="15.75" customHeight="1">
      <c r="A701" s="649"/>
      <c r="B701" s="89"/>
      <c r="C701" s="89"/>
    </row>
    <row r="702" ht="15.75" customHeight="1">
      <c r="A702" s="649"/>
      <c r="B702" s="89"/>
      <c r="C702" s="89"/>
    </row>
    <row r="703" ht="15.75" customHeight="1">
      <c r="A703" s="649"/>
      <c r="B703" s="89"/>
      <c r="C703" s="89"/>
    </row>
    <row r="704" ht="15.75" customHeight="1">
      <c r="A704" s="649"/>
      <c r="B704" s="89"/>
      <c r="C704" s="89"/>
    </row>
    <row r="705" ht="15.75" customHeight="1">
      <c r="A705" s="649"/>
      <c r="B705" s="89"/>
      <c r="C705" s="89"/>
    </row>
    <row r="706" ht="15.75" customHeight="1">
      <c r="A706" s="649"/>
      <c r="B706" s="89"/>
      <c r="C706" s="89"/>
    </row>
    <row r="707" ht="15.75" customHeight="1">
      <c r="A707" s="649"/>
      <c r="B707" s="89"/>
      <c r="C707" s="89"/>
    </row>
    <row r="708" ht="15.75" customHeight="1">
      <c r="A708" s="649"/>
      <c r="B708" s="89"/>
      <c r="C708" s="89"/>
    </row>
    <row r="709" ht="15.75" customHeight="1">
      <c r="A709" s="649"/>
      <c r="B709" s="89"/>
      <c r="C709" s="89"/>
    </row>
    <row r="710" ht="15.75" customHeight="1">
      <c r="A710" s="649"/>
      <c r="B710" s="89"/>
      <c r="C710" s="89"/>
    </row>
    <row r="711" ht="15.75" customHeight="1">
      <c r="A711" s="649"/>
      <c r="B711" s="89"/>
      <c r="C711" s="89"/>
    </row>
    <row r="712" ht="15.75" customHeight="1">
      <c r="A712" s="649"/>
      <c r="B712" s="89"/>
      <c r="C712" s="89"/>
    </row>
    <row r="713" ht="15.75" customHeight="1">
      <c r="A713" s="649"/>
      <c r="B713" s="89"/>
      <c r="C713" s="89"/>
    </row>
    <row r="714" ht="15.75" customHeight="1">
      <c r="A714" s="649"/>
      <c r="B714" s="89"/>
      <c r="C714" s="89"/>
    </row>
    <row r="715" ht="15.75" customHeight="1">
      <c r="A715" s="649"/>
      <c r="B715" s="89"/>
      <c r="C715" s="89"/>
    </row>
    <row r="716" ht="15.75" customHeight="1">
      <c r="A716" s="649"/>
      <c r="B716" s="89"/>
      <c r="C716" s="89"/>
    </row>
    <row r="717" ht="15.75" customHeight="1">
      <c r="A717" s="649"/>
      <c r="B717" s="89"/>
      <c r="C717" s="89"/>
    </row>
    <row r="718" ht="15.75" customHeight="1">
      <c r="A718" s="649"/>
      <c r="B718" s="89"/>
      <c r="C718" s="89"/>
    </row>
    <row r="719" ht="15.75" customHeight="1">
      <c r="A719" s="649"/>
      <c r="B719" s="89"/>
      <c r="C719" s="89"/>
    </row>
    <row r="720" ht="15.75" customHeight="1">
      <c r="A720" s="649"/>
      <c r="B720" s="89"/>
      <c r="C720" s="89"/>
    </row>
    <row r="721" ht="15.75" customHeight="1">
      <c r="A721" s="649"/>
      <c r="B721" s="89"/>
      <c r="C721" s="89"/>
    </row>
    <row r="722" ht="15.75" customHeight="1">
      <c r="A722" s="649"/>
      <c r="B722" s="89"/>
      <c r="C722" s="89"/>
    </row>
    <row r="723" ht="15.75" customHeight="1">
      <c r="A723" s="649"/>
      <c r="B723" s="89"/>
      <c r="C723" s="89"/>
    </row>
    <row r="724" ht="15.75" customHeight="1">
      <c r="A724" s="649"/>
      <c r="B724" s="89"/>
      <c r="C724" s="89"/>
    </row>
    <row r="725" ht="15.75" customHeight="1">
      <c r="A725" s="649"/>
      <c r="B725" s="89"/>
      <c r="C725" s="89"/>
    </row>
    <row r="726" ht="15.75" customHeight="1">
      <c r="A726" s="649"/>
      <c r="B726" s="89"/>
      <c r="C726" s="89"/>
    </row>
    <row r="727" ht="15.75" customHeight="1">
      <c r="A727" s="649"/>
      <c r="B727" s="89"/>
      <c r="C727" s="89"/>
    </row>
    <row r="728" ht="15.75" customHeight="1">
      <c r="A728" s="649"/>
      <c r="B728" s="89"/>
      <c r="C728" s="89"/>
    </row>
    <row r="729" ht="15.75" customHeight="1">
      <c r="A729" s="649"/>
      <c r="B729" s="89"/>
      <c r="C729" s="89"/>
    </row>
    <row r="730" ht="15.75" customHeight="1">
      <c r="A730" s="649"/>
      <c r="B730" s="89"/>
      <c r="C730" s="89"/>
    </row>
    <row r="731" ht="15.75" customHeight="1">
      <c r="A731" s="649"/>
      <c r="B731" s="89"/>
      <c r="C731" s="89"/>
    </row>
    <row r="732" ht="15.75" customHeight="1">
      <c r="A732" s="649"/>
      <c r="B732" s="89"/>
      <c r="C732" s="89"/>
    </row>
    <row r="733" ht="15.75" customHeight="1">
      <c r="A733" s="649"/>
      <c r="B733" s="89"/>
      <c r="C733" s="89"/>
    </row>
    <row r="734" ht="15.75" customHeight="1">
      <c r="A734" s="649"/>
      <c r="B734" s="89"/>
      <c r="C734" s="89"/>
    </row>
    <row r="735" ht="15.75" customHeight="1">
      <c r="A735" s="649"/>
      <c r="B735" s="89"/>
      <c r="C735" s="89"/>
    </row>
    <row r="736" ht="15.75" customHeight="1">
      <c r="A736" s="649"/>
      <c r="B736" s="89"/>
      <c r="C736" s="89"/>
    </row>
    <row r="737" ht="15.75" customHeight="1">
      <c r="A737" s="649"/>
      <c r="B737" s="89"/>
      <c r="C737" s="89"/>
    </row>
    <row r="738" ht="15.75" customHeight="1">
      <c r="A738" s="649"/>
      <c r="B738" s="89"/>
      <c r="C738" s="89"/>
    </row>
    <row r="739" ht="15.75" customHeight="1">
      <c r="A739" s="649"/>
      <c r="B739" s="89"/>
      <c r="C739" s="89"/>
    </row>
    <row r="740" ht="15.75" customHeight="1">
      <c r="A740" s="649"/>
      <c r="B740" s="89"/>
      <c r="C740" s="89"/>
    </row>
    <row r="741" ht="15.75" customHeight="1">
      <c r="A741" s="649"/>
      <c r="B741" s="89"/>
      <c r="C741" s="89"/>
    </row>
    <row r="742" ht="15.75" customHeight="1">
      <c r="A742" s="649"/>
      <c r="B742" s="89"/>
      <c r="C742" s="89"/>
    </row>
    <row r="743" ht="15.75" customHeight="1">
      <c r="A743" s="649"/>
      <c r="B743" s="89"/>
      <c r="C743" s="89"/>
    </row>
    <row r="744" ht="15.75" customHeight="1">
      <c r="A744" s="649"/>
      <c r="B744" s="89"/>
      <c r="C744" s="89"/>
    </row>
    <row r="745" ht="15.75" customHeight="1">
      <c r="A745" s="649"/>
      <c r="B745" s="89"/>
      <c r="C745" s="89"/>
    </row>
    <row r="746" ht="15.75" customHeight="1">
      <c r="A746" s="649"/>
      <c r="B746" s="89"/>
      <c r="C746" s="89"/>
    </row>
    <row r="747" ht="15.75" customHeight="1">
      <c r="A747" s="649"/>
      <c r="B747" s="89"/>
      <c r="C747" s="89"/>
    </row>
    <row r="748" ht="15.75" customHeight="1">
      <c r="A748" s="649"/>
      <c r="B748" s="89"/>
      <c r="C748" s="89"/>
    </row>
    <row r="749" ht="15.75" customHeight="1">
      <c r="A749" s="649"/>
      <c r="B749" s="89"/>
      <c r="C749" s="89"/>
    </row>
    <row r="750" ht="15.75" customHeight="1">
      <c r="A750" s="649"/>
      <c r="B750" s="89"/>
      <c r="C750" s="89"/>
    </row>
    <row r="751" ht="15.75" customHeight="1">
      <c r="A751" s="649"/>
      <c r="B751" s="89"/>
      <c r="C751" s="89"/>
    </row>
    <row r="752" ht="15.75" customHeight="1">
      <c r="A752" s="649"/>
      <c r="B752" s="89"/>
      <c r="C752" s="89"/>
    </row>
    <row r="753" ht="15.75" customHeight="1">
      <c r="A753" s="649"/>
      <c r="B753" s="89"/>
      <c r="C753" s="89"/>
    </row>
    <row r="754" ht="15.75" customHeight="1">
      <c r="A754" s="649"/>
      <c r="B754" s="89"/>
      <c r="C754" s="89"/>
    </row>
    <row r="755" ht="15.75" customHeight="1">
      <c r="A755" s="649"/>
      <c r="B755" s="89"/>
      <c r="C755" s="89"/>
    </row>
    <row r="756" ht="15.75" customHeight="1">
      <c r="A756" s="649"/>
      <c r="B756" s="89"/>
      <c r="C756" s="89"/>
    </row>
    <row r="757" ht="15.75" customHeight="1">
      <c r="A757" s="649"/>
      <c r="B757" s="89"/>
      <c r="C757" s="89"/>
    </row>
    <row r="758" ht="15.75" customHeight="1">
      <c r="A758" s="649"/>
      <c r="B758" s="89"/>
      <c r="C758" s="89"/>
    </row>
    <row r="759" ht="15.75" customHeight="1">
      <c r="A759" s="649"/>
      <c r="B759" s="89"/>
      <c r="C759" s="89"/>
    </row>
    <row r="760" ht="15.75" customHeight="1">
      <c r="A760" s="649"/>
      <c r="B760" s="89"/>
      <c r="C760" s="89"/>
    </row>
    <row r="761" ht="15.75" customHeight="1">
      <c r="A761" s="649"/>
      <c r="B761" s="89"/>
      <c r="C761" s="89"/>
    </row>
    <row r="762" ht="15.75" customHeight="1">
      <c r="A762" s="649"/>
      <c r="B762" s="89"/>
      <c r="C762" s="89"/>
    </row>
    <row r="763" ht="15.75" customHeight="1">
      <c r="A763" s="649"/>
      <c r="B763" s="89"/>
      <c r="C763" s="89"/>
    </row>
    <row r="764" ht="15.75" customHeight="1">
      <c r="A764" s="649"/>
      <c r="B764" s="89"/>
      <c r="C764" s="89"/>
    </row>
    <row r="765" ht="15.75" customHeight="1">
      <c r="A765" s="649"/>
      <c r="B765" s="89"/>
      <c r="C765" s="89"/>
    </row>
    <row r="766" ht="15.75" customHeight="1">
      <c r="A766" s="649"/>
      <c r="B766" s="89"/>
      <c r="C766" s="89"/>
    </row>
    <row r="767" ht="15.75" customHeight="1">
      <c r="A767" s="649"/>
      <c r="B767" s="89"/>
      <c r="C767" s="89"/>
    </row>
    <row r="768" ht="15.75" customHeight="1">
      <c r="A768" s="649"/>
      <c r="B768" s="89"/>
      <c r="C768" s="89"/>
    </row>
    <row r="769" ht="15.75" customHeight="1">
      <c r="A769" s="649"/>
      <c r="B769" s="89"/>
      <c r="C769" s="89"/>
    </row>
    <row r="770" ht="15.75" customHeight="1">
      <c r="A770" s="649"/>
      <c r="B770" s="89"/>
      <c r="C770" s="89"/>
    </row>
    <row r="771" ht="15.75" customHeight="1">
      <c r="A771" s="649"/>
      <c r="B771" s="89"/>
      <c r="C771" s="89"/>
    </row>
    <row r="772" ht="15.75" customHeight="1">
      <c r="A772" s="649"/>
      <c r="B772" s="89"/>
      <c r="C772" s="89"/>
    </row>
    <row r="773" ht="15.75" customHeight="1">
      <c r="A773" s="649"/>
      <c r="B773" s="89"/>
      <c r="C773" s="89"/>
    </row>
    <row r="774" ht="15.75" customHeight="1">
      <c r="A774" s="649"/>
      <c r="B774" s="89"/>
      <c r="C774" s="89"/>
    </row>
    <row r="775" ht="15.75" customHeight="1">
      <c r="A775" s="649"/>
      <c r="B775" s="89"/>
      <c r="C775" s="89"/>
    </row>
    <row r="776" ht="15.75" customHeight="1">
      <c r="A776" s="649"/>
      <c r="B776" s="89"/>
      <c r="C776" s="89"/>
    </row>
    <row r="777" ht="15.75" customHeight="1">
      <c r="A777" s="649"/>
      <c r="B777" s="89"/>
      <c r="C777" s="89"/>
    </row>
    <row r="778" ht="15.75" customHeight="1">
      <c r="A778" s="649"/>
      <c r="B778" s="89"/>
      <c r="C778" s="89"/>
    </row>
    <row r="779" ht="15.75" customHeight="1">
      <c r="A779" s="649"/>
      <c r="B779" s="89"/>
      <c r="C779" s="89"/>
    </row>
    <row r="780" ht="15.75" customHeight="1">
      <c r="A780" s="649"/>
      <c r="B780" s="89"/>
      <c r="C780" s="89"/>
    </row>
    <row r="781" ht="15.75" customHeight="1">
      <c r="A781" s="649"/>
      <c r="B781" s="89"/>
      <c r="C781" s="89"/>
    </row>
    <row r="782" ht="15.75" customHeight="1">
      <c r="A782" s="649"/>
      <c r="B782" s="89"/>
      <c r="C782" s="89"/>
    </row>
    <row r="783" ht="15.75" customHeight="1">
      <c r="A783" s="649"/>
      <c r="B783" s="89"/>
      <c r="C783" s="89"/>
    </row>
    <row r="784" ht="15.75" customHeight="1">
      <c r="A784" s="649"/>
      <c r="B784" s="89"/>
      <c r="C784" s="89"/>
    </row>
    <row r="785" ht="15.75" customHeight="1">
      <c r="A785" s="649"/>
      <c r="B785" s="89"/>
      <c r="C785" s="89"/>
    </row>
    <row r="786" ht="15.75" customHeight="1">
      <c r="A786" s="649"/>
      <c r="B786" s="89"/>
      <c r="C786" s="89"/>
    </row>
    <row r="787" ht="15.75" customHeight="1">
      <c r="A787" s="649"/>
      <c r="B787" s="89"/>
      <c r="C787" s="89"/>
    </row>
    <row r="788" ht="15.75" customHeight="1">
      <c r="A788" s="649"/>
      <c r="B788" s="89"/>
      <c r="C788" s="89"/>
    </row>
    <row r="789" ht="15.75" customHeight="1">
      <c r="A789" s="649"/>
      <c r="B789" s="89"/>
      <c r="C789" s="89"/>
    </row>
    <row r="790" ht="15.75" customHeight="1">
      <c r="A790" s="649"/>
      <c r="B790" s="89"/>
      <c r="C790" s="89"/>
    </row>
    <row r="791" ht="15.75" customHeight="1">
      <c r="A791" s="649"/>
      <c r="B791" s="89"/>
      <c r="C791" s="89"/>
    </row>
    <row r="792" ht="15.75" customHeight="1">
      <c r="A792" s="649"/>
      <c r="B792" s="89"/>
      <c r="C792" s="89"/>
    </row>
    <row r="793" ht="15.75" customHeight="1">
      <c r="A793" s="649"/>
      <c r="B793" s="89"/>
      <c r="C793" s="89"/>
    </row>
    <row r="794" ht="15.75" customHeight="1">
      <c r="A794" s="649"/>
      <c r="B794" s="89"/>
      <c r="C794" s="89"/>
    </row>
    <row r="795" ht="15.75" customHeight="1">
      <c r="A795" s="649"/>
      <c r="B795" s="89"/>
      <c r="C795" s="89"/>
    </row>
    <row r="796" ht="15.75" customHeight="1">
      <c r="A796" s="649"/>
      <c r="B796" s="89"/>
      <c r="C796" s="89"/>
    </row>
    <row r="797" ht="15.75" customHeight="1">
      <c r="A797" s="649"/>
      <c r="B797" s="89"/>
      <c r="C797" s="89"/>
    </row>
    <row r="798" ht="15.75" customHeight="1">
      <c r="A798" s="649"/>
      <c r="B798" s="89"/>
      <c r="C798" s="89"/>
    </row>
    <row r="799" ht="15.75" customHeight="1">
      <c r="A799" s="649"/>
      <c r="B799" s="89"/>
      <c r="C799" s="89"/>
    </row>
    <row r="800" ht="15.75" customHeight="1">
      <c r="A800" s="649"/>
      <c r="B800" s="89"/>
      <c r="C800" s="89"/>
    </row>
    <row r="801" ht="15.75" customHeight="1">
      <c r="A801" s="649"/>
      <c r="B801" s="89"/>
      <c r="C801" s="89"/>
    </row>
    <row r="802" ht="15.75" customHeight="1">
      <c r="A802" s="649"/>
      <c r="B802" s="89"/>
      <c r="C802" s="89"/>
    </row>
    <row r="803" ht="15.75" customHeight="1">
      <c r="A803" s="649"/>
      <c r="B803" s="89"/>
      <c r="C803" s="89"/>
    </row>
    <row r="804" ht="15.75" customHeight="1">
      <c r="A804" s="649"/>
      <c r="B804" s="89"/>
      <c r="C804" s="89"/>
    </row>
    <row r="805" ht="15.75" customHeight="1">
      <c r="A805" s="649"/>
      <c r="B805" s="89"/>
      <c r="C805" s="89"/>
    </row>
    <row r="806" ht="15.75" customHeight="1">
      <c r="A806" s="649"/>
      <c r="B806" s="89"/>
      <c r="C806" s="89"/>
    </row>
    <row r="807" ht="15.75" customHeight="1">
      <c r="A807" s="649"/>
      <c r="B807" s="89"/>
      <c r="C807" s="89"/>
    </row>
    <row r="808" ht="15.75" customHeight="1">
      <c r="A808" s="649"/>
      <c r="B808" s="89"/>
      <c r="C808" s="89"/>
    </row>
    <row r="809" ht="15.75" customHeight="1">
      <c r="A809" s="649"/>
      <c r="B809" s="89"/>
      <c r="C809" s="89"/>
    </row>
    <row r="810" ht="15.75" customHeight="1">
      <c r="A810" s="649"/>
      <c r="B810" s="89"/>
      <c r="C810" s="89"/>
    </row>
    <row r="811" ht="15.75" customHeight="1">
      <c r="A811" s="649"/>
      <c r="B811" s="89"/>
      <c r="C811" s="89"/>
    </row>
    <row r="812" ht="15.75" customHeight="1">
      <c r="A812" s="649"/>
      <c r="B812" s="89"/>
      <c r="C812" s="89"/>
    </row>
    <row r="813" ht="15.75" customHeight="1">
      <c r="A813" s="649"/>
      <c r="B813" s="89"/>
      <c r="C813" s="89"/>
    </row>
    <row r="814" ht="15.75" customHeight="1">
      <c r="A814" s="649"/>
      <c r="B814" s="89"/>
      <c r="C814" s="89"/>
    </row>
    <row r="815" ht="15.75" customHeight="1">
      <c r="A815" s="649"/>
      <c r="B815" s="89"/>
      <c r="C815" s="89"/>
    </row>
    <row r="816" ht="15.75" customHeight="1">
      <c r="A816" s="649"/>
      <c r="B816" s="89"/>
      <c r="C816" s="89"/>
    </row>
    <row r="817" ht="15.75" customHeight="1">
      <c r="A817" s="649"/>
      <c r="B817" s="89"/>
      <c r="C817" s="89"/>
    </row>
    <row r="818" ht="15.75" customHeight="1">
      <c r="A818" s="649"/>
      <c r="B818" s="89"/>
      <c r="C818" s="89"/>
    </row>
    <row r="819" ht="15.75" customHeight="1">
      <c r="A819" s="649"/>
      <c r="B819" s="89"/>
      <c r="C819" s="89"/>
    </row>
    <row r="820" ht="15.75" customHeight="1">
      <c r="A820" s="649"/>
      <c r="B820" s="89"/>
      <c r="C820" s="89"/>
    </row>
    <row r="821" ht="15.75" customHeight="1">
      <c r="A821" s="649"/>
      <c r="B821" s="89"/>
      <c r="C821" s="89"/>
    </row>
    <row r="822" ht="15.75" customHeight="1">
      <c r="A822" s="649"/>
      <c r="B822" s="89"/>
      <c r="C822" s="89"/>
    </row>
    <row r="823" ht="15.75" customHeight="1">
      <c r="A823" s="649"/>
      <c r="B823" s="89"/>
      <c r="C823" s="89"/>
    </row>
    <row r="824" ht="15.75" customHeight="1">
      <c r="A824" s="649"/>
      <c r="B824" s="89"/>
      <c r="C824" s="89"/>
    </row>
    <row r="825" ht="15.75" customHeight="1">
      <c r="A825" s="649"/>
      <c r="B825" s="89"/>
      <c r="C825" s="89"/>
    </row>
    <row r="826" ht="15.75" customHeight="1">
      <c r="A826" s="649"/>
      <c r="B826" s="89"/>
      <c r="C826" s="89"/>
    </row>
    <row r="827" ht="15.75" customHeight="1">
      <c r="A827" s="649"/>
      <c r="B827" s="89"/>
      <c r="C827" s="89"/>
    </row>
    <row r="828" ht="15.75" customHeight="1">
      <c r="A828" s="649"/>
      <c r="B828" s="89"/>
      <c r="C828" s="89"/>
    </row>
    <row r="829" ht="15.75" customHeight="1">
      <c r="A829" s="649"/>
      <c r="B829" s="89"/>
      <c r="C829" s="89"/>
    </row>
    <row r="830" ht="15.75" customHeight="1">
      <c r="A830" s="649"/>
      <c r="B830" s="89"/>
      <c r="C830" s="89"/>
    </row>
    <row r="831" ht="15.75" customHeight="1">
      <c r="A831" s="649"/>
      <c r="B831" s="89"/>
      <c r="C831" s="89"/>
    </row>
    <row r="832" ht="15.75" customHeight="1">
      <c r="A832" s="649"/>
      <c r="B832" s="89"/>
      <c r="C832" s="89"/>
    </row>
    <row r="833" ht="15.75" customHeight="1">
      <c r="A833" s="649"/>
      <c r="B833" s="89"/>
      <c r="C833" s="89"/>
    </row>
    <row r="834" ht="15.75" customHeight="1">
      <c r="A834" s="649"/>
      <c r="B834" s="89"/>
      <c r="C834" s="89"/>
    </row>
    <row r="835" ht="15.75" customHeight="1">
      <c r="A835" s="649"/>
      <c r="B835" s="89"/>
      <c r="C835" s="89"/>
    </row>
    <row r="836" ht="15.75" customHeight="1">
      <c r="A836" s="649"/>
      <c r="B836" s="89"/>
      <c r="C836" s="89"/>
    </row>
    <row r="837" ht="15.75" customHeight="1">
      <c r="A837" s="649"/>
      <c r="B837" s="89"/>
      <c r="C837" s="89"/>
    </row>
    <row r="838" ht="15.75" customHeight="1">
      <c r="A838" s="649"/>
      <c r="B838" s="89"/>
      <c r="C838" s="89"/>
    </row>
    <row r="839" ht="15.75" customHeight="1">
      <c r="A839" s="649"/>
      <c r="B839" s="89"/>
      <c r="C839" s="89"/>
    </row>
    <row r="840" ht="15.75" customHeight="1">
      <c r="A840" s="649"/>
      <c r="B840" s="89"/>
      <c r="C840" s="89"/>
    </row>
    <row r="841" ht="15.75" customHeight="1">
      <c r="A841" s="649"/>
      <c r="B841" s="89"/>
      <c r="C841" s="89"/>
    </row>
    <row r="842" ht="15.75" customHeight="1">
      <c r="A842" s="649"/>
      <c r="B842" s="89"/>
      <c r="C842" s="89"/>
    </row>
    <row r="843" ht="15.75" customHeight="1">
      <c r="A843" s="649"/>
      <c r="B843" s="89"/>
      <c r="C843" s="89"/>
    </row>
    <row r="844" ht="15.75" customHeight="1">
      <c r="A844" s="649"/>
      <c r="B844" s="89"/>
      <c r="C844" s="89"/>
    </row>
    <row r="845" ht="15.75" customHeight="1">
      <c r="A845" s="649"/>
      <c r="B845" s="89"/>
      <c r="C845" s="89"/>
    </row>
    <row r="846" ht="15.75" customHeight="1">
      <c r="A846" s="649"/>
      <c r="B846" s="89"/>
      <c r="C846" s="89"/>
    </row>
    <row r="847" ht="15.75" customHeight="1">
      <c r="A847" s="649"/>
      <c r="B847" s="89"/>
      <c r="C847" s="89"/>
    </row>
    <row r="848" ht="15.75" customHeight="1">
      <c r="A848" s="649"/>
      <c r="B848" s="89"/>
      <c r="C848" s="89"/>
    </row>
    <row r="849" ht="15.75" customHeight="1">
      <c r="A849" s="649"/>
      <c r="B849" s="89"/>
      <c r="C849" s="89"/>
    </row>
    <row r="850" ht="15.75" customHeight="1">
      <c r="A850" s="649"/>
      <c r="B850" s="89"/>
      <c r="C850" s="89"/>
    </row>
    <row r="851" ht="15.75" customHeight="1">
      <c r="A851" s="649"/>
      <c r="B851" s="89"/>
      <c r="C851" s="89"/>
    </row>
    <row r="852" ht="15.75" customHeight="1">
      <c r="A852" s="649"/>
      <c r="B852" s="89"/>
      <c r="C852" s="89"/>
    </row>
    <row r="853" ht="15.75" customHeight="1">
      <c r="A853" s="649"/>
      <c r="B853" s="89"/>
      <c r="C853" s="89"/>
    </row>
    <row r="854" ht="15.75" customHeight="1">
      <c r="A854" s="649"/>
      <c r="B854" s="89"/>
      <c r="C854" s="89"/>
    </row>
    <row r="855" ht="15.75" customHeight="1">
      <c r="A855" s="649"/>
      <c r="B855" s="89"/>
      <c r="C855" s="89"/>
    </row>
    <row r="856" ht="15.75" customHeight="1">
      <c r="A856" s="649"/>
      <c r="B856" s="89"/>
      <c r="C856" s="89"/>
    </row>
    <row r="857" ht="15.75" customHeight="1">
      <c r="A857" s="649"/>
      <c r="B857" s="89"/>
      <c r="C857" s="89"/>
    </row>
    <row r="858" ht="15.75" customHeight="1">
      <c r="A858" s="649"/>
      <c r="B858" s="89"/>
      <c r="C858" s="89"/>
    </row>
    <row r="859" ht="15.75" customHeight="1">
      <c r="A859" s="649"/>
      <c r="B859" s="89"/>
      <c r="C859" s="89"/>
    </row>
    <row r="860" ht="15.75" customHeight="1">
      <c r="A860" s="649"/>
      <c r="B860" s="89"/>
      <c r="C860" s="89"/>
    </row>
    <row r="861" ht="15.75" customHeight="1">
      <c r="A861" s="649"/>
      <c r="B861" s="89"/>
      <c r="C861" s="89"/>
    </row>
    <row r="862" ht="15.75" customHeight="1">
      <c r="A862" s="649"/>
      <c r="B862" s="89"/>
      <c r="C862" s="89"/>
    </row>
    <row r="863" ht="15.75" customHeight="1">
      <c r="A863" s="649"/>
      <c r="B863" s="89"/>
      <c r="C863" s="89"/>
    </row>
    <row r="864" ht="15.75" customHeight="1">
      <c r="A864" s="649"/>
      <c r="B864" s="89"/>
      <c r="C864" s="89"/>
    </row>
    <row r="865" ht="15.75" customHeight="1">
      <c r="A865" s="649"/>
      <c r="B865" s="89"/>
      <c r="C865" s="89"/>
    </row>
    <row r="866" ht="15.75" customHeight="1">
      <c r="A866" s="649"/>
      <c r="B866" s="89"/>
      <c r="C866" s="89"/>
    </row>
    <row r="867" ht="15.75" customHeight="1">
      <c r="A867" s="649"/>
      <c r="B867" s="89"/>
      <c r="C867" s="89"/>
    </row>
    <row r="868" ht="15.75" customHeight="1">
      <c r="A868" s="649"/>
      <c r="B868" s="89"/>
      <c r="C868" s="89"/>
    </row>
    <row r="869" ht="15.75" customHeight="1">
      <c r="A869" s="649"/>
      <c r="B869" s="89"/>
      <c r="C869" s="89"/>
    </row>
    <row r="870" ht="15.75" customHeight="1">
      <c r="A870" s="649"/>
      <c r="B870" s="89"/>
      <c r="C870" s="89"/>
    </row>
    <row r="871" ht="15.75" customHeight="1">
      <c r="A871" s="649"/>
      <c r="B871" s="89"/>
      <c r="C871" s="89"/>
    </row>
    <row r="872" ht="15.75" customHeight="1">
      <c r="A872" s="649"/>
      <c r="B872" s="89"/>
      <c r="C872" s="89"/>
    </row>
    <row r="873" ht="15.75" customHeight="1">
      <c r="A873" s="649"/>
      <c r="B873" s="89"/>
      <c r="C873" s="89"/>
    </row>
    <row r="874" ht="15.75" customHeight="1">
      <c r="A874" s="649"/>
      <c r="B874" s="89"/>
      <c r="C874" s="89"/>
    </row>
    <row r="875" ht="15.75" customHeight="1">
      <c r="A875" s="649"/>
      <c r="B875" s="89"/>
      <c r="C875" s="89"/>
    </row>
    <row r="876" ht="15.75" customHeight="1">
      <c r="A876" s="649"/>
      <c r="B876" s="89"/>
      <c r="C876" s="89"/>
    </row>
    <row r="877" ht="15.75" customHeight="1">
      <c r="A877" s="649"/>
      <c r="B877" s="89"/>
      <c r="C877" s="89"/>
    </row>
    <row r="878" ht="15.75" customHeight="1">
      <c r="A878" s="649"/>
      <c r="B878" s="89"/>
      <c r="C878" s="89"/>
    </row>
    <row r="879" ht="15.75" customHeight="1">
      <c r="A879" s="649"/>
      <c r="B879" s="89"/>
      <c r="C879" s="89"/>
    </row>
    <row r="880" ht="15.75" customHeight="1">
      <c r="A880" s="649"/>
      <c r="B880" s="89"/>
      <c r="C880" s="89"/>
    </row>
    <row r="881" ht="15.75" customHeight="1">
      <c r="A881" s="649"/>
      <c r="B881" s="89"/>
      <c r="C881" s="89"/>
    </row>
    <row r="882" ht="15.75" customHeight="1">
      <c r="A882" s="649"/>
      <c r="B882" s="89"/>
      <c r="C882" s="89"/>
    </row>
    <row r="883" ht="15.75" customHeight="1">
      <c r="A883" s="649"/>
      <c r="B883" s="89"/>
      <c r="C883" s="89"/>
    </row>
    <row r="884" ht="15.75" customHeight="1">
      <c r="A884" s="649"/>
      <c r="B884" s="89"/>
      <c r="C884" s="89"/>
    </row>
    <row r="885" ht="15.75" customHeight="1">
      <c r="A885" s="649"/>
      <c r="B885" s="89"/>
      <c r="C885" s="89"/>
    </row>
    <row r="886" ht="15.75" customHeight="1">
      <c r="A886" s="649"/>
      <c r="B886" s="89"/>
      <c r="C886" s="89"/>
    </row>
    <row r="887" ht="15.75" customHeight="1">
      <c r="A887" s="649"/>
      <c r="B887" s="89"/>
      <c r="C887" s="89"/>
    </row>
    <row r="888" ht="15.75" customHeight="1">
      <c r="A888" s="649"/>
      <c r="B888" s="89"/>
      <c r="C888" s="89"/>
    </row>
    <row r="889" ht="15.75" customHeight="1">
      <c r="A889" s="649"/>
      <c r="B889" s="89"/>
      <c r="C889" s="89"/>
    </row>
    <row r="890" ht="15.75" customHeight="1">
      <c r="A890" s="649"/>
      <c r="B890" s="89"/>
      <c r="C890" s="89"/>
    </row>
    <row r="891" ht="15.75" customHeight="1">
      <c r="A891" s="649"/>
      <c r="B891" s="89"/>
      <c r="C891" s="89"/>
    </row>
    <row r="892" ht="15.75" customHeight="1">
      <c r="A892" s="649"/>
      <c r="B892" s="89"/>
      <c r="C892" s="89"/>
    </row>
    <row r="893" ht="15.75" customHeight="1">
      <c r="A893" s="649"/>
      <c r="B893" s="89"/>
      <c r="C893" s="89"/>
    </row>
    <row r="894" ht="15.75" customHeight="1">
      <c r="A894" s="649"/>
      <c r="B894" s="89"/>
      <c r="C894" s="89"/>
    </row>
    <row r="895" ht="15.75" customHeight="1">
      <c r="A895" s="649"/>
      <c r="B895" s="89"/>
      <c r="C895" s="89"/>
    </row>
    <row r="896" ht="15.75" customHeight="1">
      <c r="A896" s="649"/>
      <c r="B896" s="89"/>
      <c r="C896" s="89"/>
    </row>
    <row r="897" ht="15.75" customHeight="1">
      <c r="A897" s="649"/>
      <c r="B897" s="89"/>
      <c r="C897" s="89"/>
    </row>
    <row r="898" ht="15.75" customHeight="1">
      <c r="A898" s="649"/>
      <c r="B898" s="89"/>
      <c r="C898" s="89"/>
    </row>
    <row r="899" ht="15.75" customHeight="1">
      <c r="A899" s="649"/>
      <c r="B899" s="89"/>
      <c r="C899" s="89"/>
    </row>
    <row r="900" ht="15.75" customHeight="1">
      <c r="A900" s="649"/>
      <c r="B900" s="89"/>
      <c r="C900" s="89"/>
    </row>
    <row r="901" ht="15.75" customHeight="1">
      <c r="A901" s="649"/>
      <c r="B901" s="89"/>
      <c r="C901" s="89"/>
    </row>
    <row r="902" ht="15.75" customHeight="1">
      <c r="A902" s="649"/>
      <c r="B902" s="89"/>
      <c r="C902" s="89"/>
    </row>
    <row r="903" ht="15.75" customHeight="1">
      <c r="A903" s="649"/>
      <c r="B903" s="89"/>
      <c r="C903" s="89"/>
    </row>
    <row r="904" ht="15.75" customHeight="1">
      <c r="A904" s="649"/>
      <c r="B904" s="89"/>
      <c r="C904" s="89"/>
    </row>
    <row r="905" ht="15.75" customHeight="1">
      <c r="A905" s="649"/>
      <c r="B905" s="89"/>
      <c r="C905" s="89"/>
    </row>
    <row r="906" ht="15.75" customHeight="1">
      <c r="A906" s="649"/>
      <c r="B906" s="89"/>
      <c r="C906" s="89"/>
    </row>
    <row r="907" ht="15.75" customHeight="1">
      <c r="A907" s="649"/>
      <c r="B907" s="89"/>
      <c r="C907" s="89"/>
    </row>
    <row r="908" ht="15.75" customHeight="1">
      <c r="A908" s="649"/>
      <c r="B908" s="89"/>
      <c r="C908" s="89"/>
    </row>
    <row r="909" ht="15.75" customHeight="1">
      <c r="A909" s="649"/>
      <c r="B909" s="89"/>
      <c r="C909" s="89"/>
    </row>
    <row r="910" ht="15.75" customHeight="1">
      <c r="A910" s="649"/>
      <c r="B910" s="89"/>
      <c r="C910" s="89"/>
    </row>
    <row r="911" ht="15.75" customHeight="1">
      <c r="A911" s="649"/>
      <c r="B911" s="89"/>
      <c r="C911" s="89"/>
    </row>
    <row r="912" ht="15.75" customHeight="1">
      <c r="A912" s="649"/>
      <c r="B912" s="89"/>
      <c r="C912" s="89"/>
    </row>
    <row r="913" ht="15.75" customHeight="1">
      <c r="A913" s="649"/>
      <c r="B913" s="89"/>
      <c r="C913" s="89"/>
    </row>
    <row r="914" ht="15.75" customHeight="1">
      <c r="A914" s="649"/>
      <c r="B914" s="89"/>
      <c r="C914" s="89"/>
    </row>
    <row r="915" ht="15.75" customHeight="1">
      <c r="A915" s="649"/>
      <c r="B915" s="89"/>
      <c r="C915" s="89"/>
    </row>
    <row r="916" ht="15.75" customHeight="1">
      <c r="A916" s="649"/>
      <c r="B916" s="89"/>
      <c r="C916" s="89"/>
    </row>
    <row r="917" ht="15.75" customHeight="1">
      <c r="A917" s="649"/>
      <c r="B917" s="89"/>
      <c r="C917" s="89"/>
    </row>
    <row r="918" ht="15.75" customHeight="1">
      <c r="A918" s="649"/>
      <c r="B918" s="89"/>
      <c r="C918" s="89"/>
    </row>
    <row r="919" ht="15.75" customHeight="1">
      <c r="A919" s="649"/>
      <c r="B919" s="89"/>
      <c r="C919" s="89"/>
    </row>
    <row r="920" ht="15.75" customHeight="1">
      <c r="A920" s="649"/>
      <c r="B920" s="89"/>
      <c r="C920" s="89"/>
    </row>
    <row r="921" ht="15.75" customHeight="1">
      <c r="A921" s="649"/>
      <c r="B921" s="89"/>
      <c r="C921" s="89"/>
    </row>
    <row r="922" ht="15.75" customHeight="1">
      <c r="A922" s="649"/>
      <c r="B922" s="89"/>
      <c r="C922" s="89"/>
    </row>
    <row r="923" ht="15.75" customHeight="1">
      <c r="A923" s="649"/>
      <c r="B923" s="89"/>
      <c r="C923" s="89"/>
    </row>
    <row r="924" ht="15.75" customHeight="1">
      <c r="A924" s="649"/>
      <c r="B924" s="89"/>
      <c r="C924" s="89"/>
    </row>
    <row r="925" ht="15.75" customHeight="1">
      <c r="A925" s="649"/>
      <c r="B925" s="89"/>
      <c r="C925" s="89"/>
    </row>
    <row r="926" ht="15.75" customHeight="1">
      <c r="A926" s="649"/>
      <c r="B926" s="89"/>
      <c r="C926" s="89"/>
    </row>
    <row r="927" ht="15.75" customHeight="1">
      <c r="A927" s="649"/>
      <c r="B927" s="89"/>
      <c r="C927" s="89"/>
    </row>
    <row r="928" ht="15.75" customHeight="1">
      <c r="A928" s="649"/>
      <c r="B928" s="89"/>
      <c r="C928" s="89"/>
    </row>
    <row r="929" ht="15.75" customHeight="1">
      <c r="A929" s="649"/>
      <c r="B929" s="89"/>
      <c r="C929" s="89"/>
    </row>
    <row r="930" ht="15.75" customHeight="1">
      <c r="A930" s="649"/>
      <c r="B930" s="89"/>
      <c r="C930" s="89"/>
    </row>
    <row r="931" ht="15.75" customHeight="1">
      <c r="A931" s="649"/>
      <c r="B931" s="89"/>
      <c r="C931" s="89"/>
    </row>
    <row r="932" ht="15.75" customHeight="1">
      <c r="A932" s="649"/>
      <c r="B932" s="89"/>
      <c r="C932" s="89"/>
    </row>
    <row r="933" ht="15.75" customHeight="1">
      <c r="A933" s="649"/>
      <c r="B933" s="89"/>
      <c r="C933" s="89"/>
    </row>
    <row r="934" ht="15.75" customHeight="1">
      <c r="A934" s="649"/>
      <c r="B934" s="89"/>
      <c r="C934" s="89"/>
    </row>
    <row r="935" ht="15.75" customHeight="1">
      <c r="A935" s="649"/>
      <c r="B935" s="89"/>
      <c r="C935" s="89"/>
    </row>
    <row r="936" ht="15.75" customHeight="1">
      <c r="A936" s="649"/>
      <c r="B936" s="89"/>
      <c r="C936" s="89"/>
    </row>
    <row r="937" ht="15.75" customHeight="1">
      <c r="A937" s="649"/>
      <c r="B937" s="89"/>
      <c r="C937" s="89"/>
    </row>
    <row r="938" ht="15.75" customHeight="1">
      <c r="A938" s="649"/>
      <c r="B938" s="89"/>
      <c r="C938" s="89"/>
    </row>
    <row r="939" ht="15.75" customHeight="1">
      <c r="A939" s="649"/>
      <c r="B939" s="89"/>
      <c r="C939" s="89"/>
    </row>
    <row r="940" ht="15.75" customHeight="1">
      <c r="A940" s="649"/>
      <c r="B940" s="89"/>
      <c r="C940" s="89"/>
    </row>
    <row r="941" ht="15.75" customHeight="1">
      <c r="A941" s="649"/>
      <c r="B941" s="89"/>
      <c r="C941" s="89"/>
    </row>
    <row r="942" ht="15.75" customHeight="1">
      <c r="A942" s="649"/>
      <c r="B942" s="89"/>
      <c r="C942" s="89"/>
    </row>
    <row r="943" ht="15.75" customHeight="1">
      <c r="A943" s="649"/>
      <c r="B943" s="89"/>
      <c r="C943" s="89"/>
    </row>
    <row r="944" ht="15.75" customHeight="1">
      <c r="A944" s="649"/>
      <c r="B944" s="89"/>
      <c r="C944" s="89"/>
    </row>
    <row r="945" ht="15.75" customHeight="1">
      <c r="A945" s="649"/>
      <c r="B945" s="89"/>
      <c r="C945" s="89"/>
    </row>
    <row r="946" ht="15.75" customHeight="1">
      <c r="A946" s="649"/>
      <c r="B946" s="89"/>
      <c r="C946" s="89"/>
    </row>
    <row r="947" ht="15.75" customHeight="1">
      <c r="A947" s="649"/>
      <c r="B947" s="89"/>
      <c r="C947" s="89"/>
    </row>
    <row r="948" ht="15.75" customHeight="1">
      <c r="A948" s="649"/>
      <c r="B948" s="89"/>
      <c r="C948" s="89"/>
    </row>
    <row r="949" ht="15.75" customHeight="1">
      <c r="A949" s="649"/>
      <c r="B949" s="89"/>
      <c r="C949" s="89"/>
    </row>
    <row r="950" ht="15.75" customHeight="1">
      <c r="A950" s="649"/>
      <c r="B950" s="89"/>
      <c r="C950" s="89"/>
    </row>
    <row r="951" ht="15.75" customHeight="1">
      <c r="A951" s="649"/>
      <c r="B951" s="89"/>
      <c r="C951" s="89"/>
    </row>
    <row r="952" ht="15.75" customHeight="1">
      <c r="A952" s="649"/>
      <c r="B952" s="89"/>
      <c r="C952" s="89"/>
    </row>
    <row r="953" ht="15.75" customHeight="1">
      <c r="A953" s="649"/>
      <c r="B953" s="89"/>
      <c r="C953" s="89"/>
    </row>
    <row r="954" ht="15.75" customHeight="1">
      <c r="A954" s="649"/>
      <c r="B954" s="89"/>
      <c r="C954" s="89"/>
    </row>
    <row r="955" ht="15.75" customHeight="1">
      <c r="A955" s="649"/>
      <c r="B955" s="89"/>
      <c r="C955" s="89"/>
    </row>
    <row r="956" ht="15.75" customHeight="1">
      <c r="A956" s="649"/>
      <c r="B956" s="89"/>
      <c r="C956" s="89"/>
    </row>
    <row r="957" ht="15.75" customHeight="1">
      <c r="A957" s="649"/>
      <c r="B957" s="89"/>
      <c r="C957" s="89"/>
    </row>
    <row r="958" ht="15.75" customHeight="1">
      <c r="A958" s="649"/>
      <c r="B958" s="89"/>
      <c r="C958" s="89"/>
    </row>
    <row r="959" ht="15.75" customHeight="1">
      <c r="A959" s="649"/>
      <c r="B959" s="89"/>
      <c r="C959" s="89"/>
    </row>
    <row r="960" ht="15.75" customHeight="1">
      <c r="A960" s="649"/>
      <c r="B960" s="89"/>
      <c r="C960" s="89"/>
    </row>
    <row r="961" ht="15.75" customHeight="1">
      <c r="A961" s="649"/>
      <c r="B961" s="89"/>
      <c r="C961" s="89"/>
    </row>
    <row r="962" ht="15.75" customHeight="1">
      <c r="A962" s="649"/>
      <c r="B962" s="89"/>
      <c r="C962" s="89"/>
    </row>
    <row r="963" ht="15.75" customHeight="1">
      <c r="A963" s="649"/>
      <c r="B963" s="89"/>
      <c r="C963" s="89"/>
    </row>
    <row r="964" ht="15.75" customHeight="1">
      <c r="A964" s="649"/>
      <c r="B964" s="89"/>
      <c r="C964" s="89"/>
    </row>
    <row r="965" ht="15.75" customHeight="1">
      <c r="A965" s="649"/>
      <c r="B965" s="89"/>
      <c r="C965" s="89"/>
    </row>
    <row r="966" ht="15.75" customHeight="1">
      <c r="A966" s="649"/>
      <c r="B966" s="89"/>
      <c r="C966" s="89"/>
    </row>
    <row r="967" ht="15.75" customHeight="1">
      <c r="A967" s="649"/>
      <c r="B967" s="89"/>
      <c r="C967" s="89"/>
    </row>
    <row r="968" ht="15.75" customHeight="1">
      <c r="A968" s="649"/>
      <c r="B968" s="89"/>
      <c r="C968" s="89"/>
    </row>
    <row r="969" ht="15.75" customHeight="1">
      <c r="A969" s="649"/>
      <c r="B969" s="89"/>
      <c r="C969" s="89"/>
    </row>
    <row r="970" ht="15.75" customHeight="1">
      <c r="A970" s="649"/>
      <c r="B970" s="89"/>
      <c r="C970" s="89"/>
    </row>
    <row r="971" ht="15.75" customHeight="1">
      <c r="A971" s="649"/>
      <c r="B971" s="89"/>
      <c r="C971" s="89"/>
    </row>
    <row r="972" ht="15.75" customHeight="1">
      <c r="A972" s="649"/>
      <c r="B972" s="89"/>
      <c r="C972" s="89"/>
    </row>
    <row r="973" ht="15.75" customHeight="1">
      <c r="A973" s="649"/>
      <c r="B973" s="89"/>
      <c r="C973" s="89"/>
    </row>
    <row r="974" ht="15.75" customHeight="1">
      <c r="A974" s="649"/>
      <c r="B974" s="89"/>
      <c r="C974" s="89"/>
    </row>
    <row r="975" ht="15.75" customHeight="1">
      <c r="A975" s="649"/>
      <c r="B975" s="89"/>
      <c r="C975" s="89"/>
    </row>
    <row r="976" ht="15.75" customHeight="1">
      <c r="A976" s="649"/>
      <c r="B976" s="89"/>
      <c r="C976" s="89"/>
    </row>
    <row r="977" ht="15.75" customHeight="1">
      <c r="A977" s="649"/>
      <c r="B977" s="89"/>
      <c r="C977" s="89"/>
    </row>
    <row r="978" ht="15.75" customHeight="1">
      <c r="A978" s="649"/>
      <c r="B978" s="89"/>
      <c r="C978" s="89"/>
    </row>
    <row r="979" ht="15.75" customHeight="1">
      <c r="A979" s="649"/>
      <c r="B979" s="89"/>
      <c r="C979" s="89"/>
    </row>
    <row r="980" ht="15.75" customHeight="1">
      <c r="A980" s="649"/>
      <c r="B980" s="89"/>
      <c r="C980" s="89"/>
    </row>
    <row r="981" ht="15.75" customHeight="1">
      <c r="A981" s="649"/>
      <c r="B981" s="89"/>
      <c r="C981" s="89"/>
    </row>
    <row r="982" ht="15.75" customHeight="1">
      <c r="A982" s="649"/>
      <c r="B982" s="89"/>
      <c r="C982" s="89"/>
    </row>
    <row r="983" ht="15.75" customHeight="1">
      <c r="A983" s="649"/>
      <c r="B983" s="89"/>
      <c r="C983" s="89"/>
    </row>
    <row r="984" ht="15.75" customHeight="1">
      <c r="A984" s="649"/>
      <c r="B984" s="89"/>
      <c r="C984" s="89"/>
    </row>
    <row r="985" ht="15.75" customHeight="1">
      <c r="A985" s="649"/>
      <c r="B985" s="89"/>
      <c r="C985" s="89"/>
    </row>
    <row r="986" ht="15.75" customHeight="1">
      <c r="A986" s="649"/>
      <c r="B986" s="89"/>
      <c r="C986" s="89"/>
    </row>
    <row r="987" ht="15.75" customHeight="1">
      <c r="A987" s="649"/>
      <c r="B987" s="89"/>
      <c r="C987" s="89"/>
    </row>
    <row r="988" ht="15.75" customHeight="1">
      <c r="A988" s="649"/>
      <c r="B988" s="89"/>
      <c r="C988" s="89"/>
    </row>
    <row r="989" ht="15.75" customHeight="1">
      <c r="A989" s="649"/>
      <c r="B989" s="89"/>
      <c r="C989" s="89"/>
    </row>
    <row r="990" ht="15.75" customHeight="1">
      <c r="A990" s="649"/>
      <c r="B990" s="89"/>
      <c r="C990" s="89"/>
    </row>
    <row r="991" ht="15.75" customHeight="1">
      <c r="A991" s="649"/>
      <c r="B991" s="89"/>
      <c r="C991" s="89"/>
    </row>
    <row r="992" ht="15.75" customHeight="1">
      <c r="A992" s="649"/>
      <c r="B992" s="89"/>
      <c r="C992" s="89"/>
    </row>
    <row r="993" ht="15.75" customHeight="1">
      <c r="A993" s="649"/>
      <c r="B993" s="89"/>
      <c r="C993" s="89"/>
    </row>
    <row r="994" ht="15.75" customHeight="1">
      <c r="A994" s="649"/>
      <c r="B994" s="89"/>
      <c r="C994" s="89"/>
    </row>
    <row r="995" ht="15.75" customHeight="1">
      <c r="A995" s="649"/>
      <c r="B995" s="89"/>
      <c r="C995" s="89"/>
    </row>
    <row r="996" ht="15.75" customHeight="1">
      <c r="A996" s="649"/>
      <c r="B996" s="89"/>
      <c r="C996" s="89"/>
    </row>
    <row r="997">
      <c r="A997" s="649"/>
      <c r="B997" s="89"/>
      <c r="C997" s="89"/>
    </row>
    <row r="998">
      <c r="A998" s="649"/>
      <c r="B998" s="89"/>
      <c r="C998" s="89"/>
    </row>
    <row r="999">
      <c r="A999" s="649"/>
      <c r="B999" s="89"/>
      <c r="C999" s="89"/>
    </row>
    <row r="1000">
      <c r="A1000" s="649"/>
      <c r="B1000" s="89"/>
      <c r="C1000" s="89"/>
    </row>
  </sheetData>
  <printOptions/>
  <pageMargins bottom="0.75" footer="0.0" header="0.0" left="0.7" right="0.7" top="0.75"/>
  <pageSetup orientation="landscape"/>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88"/>
  </cols>
  <sheetData>
    <row r="1">
      <c r="A1" s="2" t="s">
        <v>87</v>
      </c>
      <c r="B1" s="2" t="s">
        <v>9067</v>
      </c>
      <c r="C1" s="2" t="s">
        <v>9068</v>
      </c>
      <c r="D1" s="2" t="s">
        <v>9069</v>
      </c>
      <c r="E1" s="2" t="s">
        <v>9070</v>
      </c>
      <c r="F1" s="2" t="s">
        <v>9071</v>
      </c>
    </row>
    <row r="2">
      <c r="A2" s="8">
        <v>46083.34538506945</v>
      </c>
      <c r="B2" s="2" t="s">
        <v>9072</v>
      </c>
      <c r="F2" s="2" t="s">
        <v>9073</v>
      </c>
    </row>
    <row r="3">
      <c r="A3" s="8">
        <v>46083.345592638885</v>
      </c>
      <c r="B3" s="2" t="s">
        <v>9074</v>
      </c>
      <c r="C3" s="4">
        <v>999999.0</v>
      </c>
      <c r="D3" s="2" t="b">
        <v>1</v>
      </c>
      <c r="E3" s="2" t="b">
        <v>1</v>
      </c>
      <c r="F3" s="2" t="s">
        <v>9075</v>
      </c>
    </row>
    <row r="4">
      <c r="A4" s="8">
        <v>46083.35056366898</v>
      </c>
      <c r="B4" s="2" t="s">
        <v>9072</v>
      </c>
      <c r="F4" s="2" t="s">
        <v>9073</v>
      </c>
    </row>
    <row r="5">
      <c r="A5" s="8">
        <v>46083.35062003472</v>
      </c>
      <c r="B5" s="2" t="s">
        <v>9074</v>
      </c>
      <c r="C5" s="4">
        <v>999999.0</v>
      </c>
      <c r="D5" s="2" t="b">
        <v>1</v>
      </c>
      <c r="E5" s="2" t="b">
        <v>1</v>
      </c>
      <c r="F5" s="2" t="s">
        <v>9075</v>
      </c>
    </row>
    <row r="6">
      <c r="A6" s="8">
        <v>46083.35092697917</v>
      </c>
      <c r="B6" s="2" t="s">
        <v>9074</v>
      </c>
      <c r="C6" s="4">
        <v>12.0</v>
      </c>
      <c r="D6" s="2" t="b">
        <v>1</v>
      </c>
      <c r="E6" s="2" t="b">
        <v>1</v>
      </c>
      <c r="F6" s="2" t="s">
        <v>9076</v>
      </c>
    </row>
    <row r="7">
      <c r="A7" s="8">
        <v>46084.46856893519</v>
      </c>
      <c r="B7" s="2" t="s">
        <v>9077</v>
      </c>
      <c r="C7" s="4">
        <v>8824353.0</v>
      </c>
      <c r="D7" s="2" t="b">
        <v>1</v>
      </c>
      <c r="E7" s="2" t="b">
        <v>1</v>
      </c>
      <c r="F7" s="2" t="s">
        <v>9078</v>
      </c>
    </row>
    <row r="8">
      <c r="A8" s="8">
        <v>46084.46861935185</v>
      </c>
      <c r="B8" s="2" t="s">
        <v>9074</v>
      </c>
      <c r="C8" s="4">
        <v>8824353.0</v>
      </c>
      <c r="D8" s="2" t="b">
        <v>1</v>
      </c>
      <c r="E8" s="2" t="b">
        <v>1</v>
      </c>
      <c r="F8" s="2" t="s">
        <v>9079</v>
      </c>
    </row>
    <row r="9">
      <c r="A9" s="8">
        <v>46084.52074709491</v>
      </c>
      <c r="B9" s="2" t="s">
        <v>9077</v>
      </c>
      <c r="C9" s="4">
        <v>8825705.0</v>
      </c>
      <c r="D9" s="2" t="b">
        <v>1</v>
      </c>
      <c r="E9" s="2" t="b">
        <v>1</v>
      </c>
      <c r="F9" s="2" t="s">
        <v>9080</v>
      </c>
    </row>
    <row r="10">
      <c r="A10" s="8">
        <v>46084.52080342593</v>
      </c>
      <c r="B10" s="2" t="s">
        <v>9074</v>
      </c>
      <c r="C10" s="4">
        <v>8825705.0</v>
      </c>
      <c r="D10" s="2" t="b">
        <v>1</v>
      </c>
      <c r="E10" s="2" t="b">
        <v>1</v>
      </c>
      <c r="F10" s="2" t="s">
        <v>9081</v>
      </c>
    </row>
    <row r="11">
      <c r="A11" s="8">
        <v>46084.537952094906</v>
      </c>
      <c r="B11" s="2" t="s">
        <v>9077</v>
      </c>
      <c r="C11" s="4">
        <v>8826051.0</v>
      </c>
      <c r="D11" s="2" t="b">
        <v>1</v>
      </c>
      <c r="E11" s="2" t="b">
        <v>1</v>
      </c>
      <c r="F11" s="2" t="s">
        <v>9082</v>
      </c>
    </row>
    <row r="12">
      <c r="A12" s="8">
        <v>46084.537986145835</v>
      </c>
      <c r="B12" s="2" t="s">
        <v>9074</v>
      </c>
      <c r="C12" s="4">
        <v>8826051.0</v>
      </c>
      <c r="D12" s="2" t="b">
        <v>1</v>
      </c>
      <c r="E12" s="2" t="b">
        <v>1</v>
      </c>
      <c r="F12" s="2" t="s">
        <v>9083</v>
      </c>
    </row>
    <row r="13">
      <c r="A13" s="8">
        <v>46084.54001625</v>
      </c>
      <c r="B13" s="2" t="s">
        <v>9077</v>
      </c>
      <c r="C13" s="4">
        <v>8826090.0</v>
      </c>
      <c r="D13" s="2" t="b">
        <v>1</v>
      </c>
      <c r="E13" s="2" t="b">
        <v>1</v>
      </c>
      <c r="F13" s="2" t="s">
        <v>9084</v>
      </c>
    </row>
    <row r="14">
      <c r="A14" s="8">
        <v>46084.5400428588</v>
      </c>
      <c r="B14" s="2" t="s">
        <v>9074</v>
      </c>
      <c r="C14" s="4">
        <v>8826090.0</v>
      </c>
      <c r="D14" s="2" t="b">
        <v>1</v>
      </c>
      <c r="E14" s="2" t="b">
        <v>1</v>
      </c>
      <c r="F14" s="2" t="s">
        <v>9085</v>
      </c>
    </row>
    <row r="15">
      <c r="A15" s="8">
        <v>46084.54791017361</v>
      </c>
      <c r="B15" s="2" t="s">
        <v>9077</v>
      </c>
      <c r="C15" s="4">
        <v>8826245.0</v>
      </c>
      <c r="D15" s="2" t="b">
        <v>1</v>
      </c>
      <c r="E15" s="2" t="b">
        <v>1</v>
      </c>
      <c r="F15" s="2" t="s">
        <v>9086</v>
      </c>
    </row>
    <row r="16">
      <c r="A16" s="8">
        <v>46084.54796577546</v>
      </c>
      <c r="B16" s="2" t="s">
        <v>9074</v>
      </c>
      <c r="C16" s="4">
        <v>8826245.0</v>
      </c>
      <c r="D16" s="2" t="b">
        <v>1</v>
      </c>
      <c r="E16" s="2" t="b">
        <v>1</v>
      </c>
      <c r="F16" s="2" t="s">
        <v>9087</v>
      </c>
    </row>
    <row r="17">
      <c r="A17" s="8">
        <v>46084.5809621875</v>
      </c>
      <c r="B17" s="2" t="s">
        <v>9077</v>
      </c>
      <c r="C17" s="4">
        <v>8827060.0</v>
      </c>
      <c r="D17" s="2" t="b">
        <v>1</v>
      </c>
      <c r="E17" s="2" t="b">
        <v>1</v>
      </c>
      <c r="F17" s="2" t="s">
        <v>9088</v>
      </c>
    </row>
    <row r="18">
      <c r="A18" s="8">
        <v>46084.580971076386</v>
      </c>
      <c r="B18" s="2" t="s">
        <v>9089</v>
      </c>
      <c r="C18" s="4">
        <v>8827060.0</v>
      </c>
      <c r="D18" s="2" t="b">
        <v>1</v>
      </c>
      <c r="E18" s="2" t="b">
        <v>1</v>
      </c>
      <c r="F18" s="2" t="s">
        <v>9090</v>
      </c>
    </row>
    <row r="19">
      <c r="A19" s="8">
        <v>46084.581029444445</v>
      </c>
      <c r="B19" s="2" t="s">
        <v>9074</v>
      </c>
      <c r="C19" s="4">
        <v>8827060.0</v>
      </c>
      <c r="D19" s="2" t="b">
        <v>1</v>
      </c>
      <c r="E19" s="2" t="b">
        <v>1</v>
      </c>
      <c r="F19" s="2" t="s">
        <v>9091</v>
      </c>
    </row>
    <row r="20">
      <c r="A20" s="8">
        <v>46084.58105065972</v>
      </c>
      <c r="B20" s="2" t="s">
        <v>9089</v>
      </c>
      <c r="C20" s="4">
        <v>8827060.0</v>
      </c>
      <c r="D20" s="2" t="b">
        <v>1</v>
      </c>
      <c r="E20" s="2" t="b">
        <v>1</v>
      </c>
      <c r="F20" s="2" t="s">
        <v>9090</v>
      </c>
    </row>
    <row r="21">
      <c r="A21" s="8">
        <v>46094.62831260417</v>
      </c>
      <c r="B21" s="2" t="s">
        <v>9077</v>
      </c>
      <c r="C21" s="4">
        <v>9022980.0</v>
      </c>
      <c r="D21" s="2" t="b">
        <v>1</v>
      </c>
      <c r="E21" s="2" t="b">
        <v>1</v>
      </c>
      <c r="F21" s="2" t="s">
        <v>9092</v>
      </c>
    </row>
    <row r="22">
      <c r="A22" s="8">
        <v>46094.62832670139</v>
      </c>
      <c r="B22" s="2" t="s">
        <v>9089</v>
      </c>
      <c r="C22" s="4">
        <v>9022980.0</v>
      </c>
      <c r="D22" s="2" t="b">
        <v>1</v>
      </c>
      <c r="E22" s="2" t="b">
        <v>1</v>
      </c>
      <c r="F22" s="2" t="s">
        <v>9093</v>
      </c>
    </row>
    <row r="23">
      <c r="A23" s="8">
        <v>46094.628355567125</v>
      </c>
      <c r="B23" s="2" t="s">
        <v>9074</v>
      </c>
      <c r="C23" s="4">
        <v>9022980.0</v>
      </c>
      <c r="D23" s="2" t="b">
        <v>1</v>
      </c>
      <c r="E23" s="2" t="b">
        <v>1</v>
      </c>
      <c r="F23" s="2" t="s">
        <v>9094</v>
      </c>
    </row>
    <row r="24">
      <c r="A24" s="8">
        <v>46094.62837523148</v>
      </c>
      <c r="B24" s="2" t="s">
        <v>9089</v>
      </c>
      <c r="C24" s="4">
        <v>9022980.0</v>
      </c>
      <c r="D24" s="2" t="b">
        <v>1</v>
      </c>
      <c r="E24" s="2" t="b">
        <v>1</v>
      </c>
      <c r="F24" s="2" t="s">
        <v>9093</v>
      </c>
    </row>
    <row r="25">
      <c r="A25" s="8">
        <v>46109.16022585648</v>
      </c>
      <c r="B25" s="2" t="s">
        <v>9077</v>
      </c>
      <c r="C25" s="4">
        <v>9356014.0</v>
      </c>
      <c r="D25" s="2" t="b">
        <v>1</v>
      </c>
      <c r="E25" s="2" t="b">
        <v>1</v>
      </c>
      <c r="F25" s="2" t="s">
        <v>9095</v>
      </c>
    </row>
    <row r="26">
      <c r="A26" s="8">
        <v>46109.16022535879</v>
      </c>
      <c r="B26" s="2" t="s">
        <v>9077</v>
      </c>
      <c r="C26" s="4">
        <v>9356014.0</v>
      </c>
      <c r="D26" s="2" t="b">
        <v>1</v>
      </c>
      <c r="E26" s="2" t="b">
        <v>1</v>
      </c>
      <c r="F26" s="2" t="s">
        <v>9096</v>
      </c>
    </row>
    <row r="27">
      <c r="A27" s="8">
        <v>46109.16023393518</v>
      </c>
      <c r="B27" s="2" t="s">
        <v>9089</v>
      </c>
      <c r="C27" s="4">
        <v>9356014.0</v>
      </c>
      <c r="D27" s="2" t="b">
        <v>1</v>
      </c>
      <c r="E27" s="2" t="b">
        <v>1</v>
      </c>
      <c r="F27" s="2" t="s">
        <v>9097</v>
      </c>
    </row>
    <row r="28">
      <c r="A28" s="8">
        <v>46109.160234236115</v>
      </c>
      <c r="B28" s="2" t="s">
        <v>9089</v>
      </c>
      <c r="C28" s="4">
        <v>9356014.0</v>
      </c>
      <c r="D28" s="2" t="b">
        <v>1</v>
      </c>
      <c r="E28" s="2" t="b">
        <v>1</v>
      </c>
      <c r="F28" s="2" t="s">
        <v>9097</v>
      </c>
    </row>
    <row r="29">
      <c r="A29" s="8">
        <v>46109.16028672454</v>
      </c>
      <c r="B29" s="2" t="s">
        <v>9074</v>
      </c>
      <c r="C29" s="4">
        <v>9356014.0</v>
      </c>
      <c r="D29" s="2" t="b">
        <v>1</v>
      </c>
      <c r="E29" s="2" t="b">
        <v>1</v>
      </c>
      <c r="F29" s="2" t="s">
        <v>9098</v>
      </c>
    </row>
    <row r="30">
      <c r="A30" s="8">
        <v>46109.160304791665</v>
      </c>
      <c r="B30" s="2" t="s">
        <v>9089</v>
      </c>
      <c r="C30" s="4">
        <v>9356014.0</v>
      </c>
      <c r="D30" s="2" t="b">
        <v>1</v>
      </c>
      <c r="E30" s="2" t="b">
        <v>1</v>
      </c>
      <c r="F30" s="2" t="s">
        <v>9097</v>
      </c>
    </row>
    <row r="31">
      <c r="A31" s="8">
        <v>46109.16107219907</v>
      </c>
      <c r="B31" s="2" t="s">
        <v>9077</v>
      </c>
      <c r="C31" s="4">
        <v>9356054.0</v>
      </c>
      <c r="D31" s="2" t="b">
        <v>1</v>
      </c>
      <c r="E31" s="2" t="b">
        <v>1</v>
      </c>
      <c r="F31" s="2" t="s">
        <v>9099</v>
      </c>
    </row>
    <row r="32">
      <c r="A32" s="8">
        <v>46109.16108921297</v>
      </c>
      <c r="B32" s="2" t="s">
        <v>9100</v>
      </c>
      <c r="C32" s="4">
        <v>9356054.0</v>
      </c>
      <c r="D32" s="2" t="b">
        <v>1</v>
      </c>
      <c r="E32" s="2" t="b">
        <v>1</v>
      </c>
      <c r="F32" s="2" t="s">
        <v>9101</v>
      </c>
    </row>
    <row r="33">
      <c r="A33" s="8">
        <v>46109.161105057865</v>
      </c>
      <c r="B33" s="2" t="s">
        <v>9077</v>
      </c>
      <c r="C33" s="4">
        <v>9356054.0</v>
      </c>
      <c r="D33" s="2" t="b">
        <v>1</v>
      </c>
      <c r="E33" s="2" t="b">
        <v>1</v>
      </c>
      <c r="F33" s="2" t="s">
        <v>9102</v>
      </c>
    </row>
    <row r="34">
      <c r="A34" s="8">
        <v>46109.1611140625</v>
      </c>
      <c r="B34" s="2" t="s">
        <v>9100</v>
      </c>
      <c r="C34" s="4">
        <v>9356054.0</v>
      </c>
      <c r="D34" s="2" t="b">
        <v>1</v>
      </c>
      <c r="E34" s="2" t="b">
        <v>1</v>
      </c>
      <c r="F34" s="2" t="s">
        <v>9101</v>
      </c>
    </row>
    <row r="35">
      <c r="A35" s="8">
        <v>46109.16113472222</v>
      </c>
      <c r="B35" s="2" t="s">
        <v>9074</v>
      </c>
      <c r="C35" s="4">
        <v>9356054.0</v>
      </c>
      <c r="D35" s="2" t="b">
        <v>1</v>
      </c>
      <c r="E35" s="2" t="b">
        <v>1</v>
      </c>
      <c r="F35" s="2" t="s">
        <v>9103</v>
      </c>
    </row>
    <row r="36">
      <c r="A36" s="8">
        <v>46109.16114211806</v>
      </c>
      <c r="B36" s="2" t="s">
        <v>9100</v>
      </c>
      <c r="C36" s="4">
        <v>9356054.0</v>
      </c>
      <c r="D36" s="2" t="b">
        <v>1</v>
      </c>
      <c r="E36" s="2" t="b">
        <v>1</v>
      </c>
      <c r="F36" s="2" t="s">
        <v>9101</v>
      </c>
    </row>
    <row r="37">
      <c r="A37" s="8">
        <v>46109.16313061342</v>
      </c>
      <c r="B37" s="2" t="s">
        <v>9077</v>
      </c>
      <c r="C37" s="4">
        <v>9356152.0</v>
      </c>
      <c r="D37" s="2" t="b">
        <v>1</v>
      </c>
      <c r="E37" s="2" t="b">
        <v>1</v>
      </c>
      <c r="F37" s="2" t="s">
        <v>9104</v>
      </c>
    </row>
    <row r="38">
      <c r="A38" s="8">
        <v>46109.16313765047</v>
      </c>
      <c r="B38" s="2" t="s">
        <v>9077</v>
      </c>
      <c r="C38" s="4">
        <v>9356152.0</v>
      </c>
      <c r="D38" s="2" t="b">
        <v>1</v>
      </c>
      <c r="E38" s="2" t="b">
        <v>1</v>
      </c>
      <c r="F38" s="2" t="s">
        <v>9105</v>
      </c>
    </row>
    <row r="39">
      <c r="A39" s="8">
        <v>46109.163138993055</v>
      </c>
      <c r="B39" s="2" t="s">
        <v>9089</v>
      </c>
      <c r="C39" s="4">
        <v>9356152.0</v>
      </c>
      <c r="D39" s="2" t="b">
        <v>1</v>
      </c>
      <c r="E39" s="2" t="b">
        <v>1</v>
      </c>
      <c r="F39" s="2" t="s">
        <v>9106</v>
      </c>
    </row>
    <row r="40">
      <c r="A40" s="8">
        <v>46109.163146817125</v>
      </c>
      <c r="B40" s="2" t="s">
        <v>9089</v>
      </c>
      <c r="C40" s="4">
        <v>9356152.0</v>
      </c>
      <c r="D40" s="2" t="b">
        <v>1</v>
      </c>
      <c r="E40" s="2" t="b">
        <v>1</v>
      </c>
      <c r="F40" s="2" t="s">
        <v>9106</v>
      </c>
    </row>
    <row r="41">
      <c r="A41" s="8">
        <v>46109.16318534722</v>
      </c>
      <c r="B41" s="2" t="s">
        <v>9074</v>
      </c>
      <c r="C41" s="4">
        <v>9356152.0</v>
      </c>
      <c r="D41" s="2" t="b">
        <v>1</v>
      </c>
      <c r="E41" s="2" t="b">
        <v>1</v>
      </c>
      <c r="F41" s="2" t="s">
        <v>9107</v>
      </c>
    </row>
    <row r="42">
      <c r="A42" s="8">
        <v>46109.16319431713</v>
      </c>
      <c r="B42" s="2" t="s">
        <v>9089</v>
      </c>
      <c r="C42" s="4">
        <v>9356152.0</v>
      </c>
      <c r="D42" s="2" t="b">
        <v>1</v>
      </c>
      <c r="E42" s="2" t="b">
        <v>1</v>
      </c>
      <c r="F42" s="2" t="s">
        <v>9106</v>
      </c>
    </row>
    <row r="43">
      <c r="A43" s="8">
        <v>46109.18843116898</v>
      </c>
      <c r="B43" s="2" t="s">
        <v>9077</v>
      </c>
      <c r="C43" s="4">
        <v>9357384.0</v>
      </c>
      <c r="D43" s="2" t="b">
        <v>1</v>
      </c>
      <c r="E43" s="2" t="b">
        <v>1</v>
      </c>
      <c r="F43" s="2" t="s">
        <v>9108</v>
      </c>
    </row>
    <row r="44">
      <c r="A44" s="8">
        <v>46109.18843412037</v>
      </c>
      <c r="B44" s="2" t="s">
        <v>9077</v>
      </c>
      <c r="C44" s="4">
        <v>9357384.0</v>
      </c>
      <c r="D44" s="2" t="b">
        <v>1</v>
      </c>
      <c r="E44" s="2" t="b">
        <v>1</v>
      </c>
      <c r="F44" s="2" t="s">
        <v>9109</v>
      </c>
    </row>
    <row r="45">
      <c r="A45" s="8">
        <v>46109.188438599536</v>
      </c>
      <c r="B45" s="2" t="s">
        <v>9100</v>
      </c>
      <c r="C45" s="4">
        <v>9357384.0</v>
      </c>
      <c r="D45" s="2" t="b">
        <v>1</v>
      </c>
      <c r="E45" s="2" t="b">
        <v>1</v>
      </c>
      <c r="F45" s="2" t="s">
        <v>9110</v>
      </c>
    </row>
    <row r="46">
      <c r="A46" s="8">
        <v>46109.18843893518</v>
      </c>
      <c r="B46" s="2" t="s">
        <v>9100</v>
      </c>
      <c r="C46" s="4">
        <v>9357384.0</v>
      </c>
      <c r="D46" s="2" t="b">
        <v>1</v>
      </c>
      <c r="E46" s="2" t="b">
        <v>1</v>
      </c>
      <c r="F46" s="2" t="s">
        <v>9110</v>
      </c>
    </row>
    <row r="47">
      <c r="A47" s="8">
        <v>46109.188467175925</v>
      </c>
      <c r="B47" s="2" t="s">
        <v>9074</v>
      </c>
      <c r="C47" s="4">
        <v>9357384.0</v>
      </c>
      <c r="D47" s="2" t="b">
        <v>1</v>
      </c>
      <c r="E47" s="2" t="b">
        <v>1</v>
      </c>
      <c r="F47" s="2" t="s">
        <v>9111</v>
      </c>
    </row>
    <row r="48">
      <c r="A48" s="8">
        <v>46109.18847545139</v>
      </c>
      <c r="B48" s="2" t="s">
        <v>9100</v>
      </c>
      <c r="C48" s="4">
        <v>9357384.0</v>
      </c>
      <c r="D48" s="2" t="b">
        <v>1</v>
      </c>
      <c r="E48" s="2" t="b">
        <v>1</v>
      </c>
      <c r="F48" s="2" t="s">
        <v>9110</v>
      </c>
    </row>
    <row r="49">
      <c r="A49" s="8">
        <v>46109.19007054398</v>
      </c>
      <c r="B49" s="2" t="s">
        <v>9077</v>
      </c>
      <c r="C49" s="4">
        <v>9357493.0</v>
      </c>
      <c r="D49" s="2" t="b">
        <v>1</v>
      </c>
      <c r="E49" s="2" t="b">
        <v>1</v>
      </c>
      <c r="F49" s="2" t="s">
        <v>9112</v>
      </c>
    </row>
    <row r="50">
      <c r="A50" s="8">
        <v>46109.190075289356</v>
      </c>
      <c r="B50" s="2" t="s">
        <v>9077</v>
      </c>
      <c r="C50" s="4">
        <v>9357493.0</v>
      </c>
      <c r="D50" s="2" t="b">
        <v>1</v>
      </c>
      <c r="E50" s="2" t="b">
        <v>1</v>
      </c>
      <c r="F50" s="2" t="s">
        <v>9113</v>
      </c>
    </row>
    <row r="51">
      <c r="A51" s="8">
        <v>46109.19007615741</v>
      </c>
      <c r="B51" s="2" t="s">
        <v>9089</v>
      </c>
      <c r="C51" s="4">
        <v>9357493.0</v>
      </c>
      <c r="D51" s="2" t="b">
        <v>1</v>
      </c>
      <c r="E51" s="2" t="b">
        <v>1</v>
      </c>
      <c r="F51" s="2" t="s">
        <v>9114</v>
      </c>
    </row>
    <row r="52">
      <c r="A52" s="8">
        <v>46109.19008170139</v>
      </c>
      <c r="B52" s="2" t="s">
        <v>9089</v>
      </c>
      <c r="C52" s="4">
        <v>9357493.0</v>
      </c>
      <c r="D52" s="2" t="b">
        <v>1</v>
      </c>
      <c r="E52" s="2" t="b">
        <v>1</v>
      </c>
      <c r="F52" s="2" t="s">
        <v>9114</v>
      </c>
    </row>
    <row r="53">
      <c r="A53" s="8">
        <v>46109.19012315972</v>
      </c>
      <c r="B53" s="2" t="s">
        <v>9074</v>
      </c>
      <c r="C53" s="4">
        <v>9357493.0</v>
      </c>
      <c r="D53" s="2" t="b">
        <v>1</v>
      </c>
      <c r="E53" s="2" t="b">
        <v>1</v>
      </c>
      <c r="F53" s="2" t="s">
        <v>9115</v>
      </c>
    </row>
    <row r="54">
      <c r="A54" s="8">
        <v>46109.190134131946</v>
      </c>
      <c r="B54" s="2" t="s">
        <v>9089</v>
      </c>
      <c r="C54" s="4">
        <v>9357493.0</v>
      </c>
      <c r="D54" s="2" t="b">
        <v>1</v>
      </c>
      <c r="E54" s="2" t="b">
        <v>1</v>
      </c>
      <c r="F54" s="2" t="s">
        <v>9114</v>
      </c>
    </row>
    <row r="55">
      <c r="A55" s="8">
        <v>46109.27829165509</v>
      </c>
      <c r="B55" s="2" t="s">
        <v>9077</v>
      </c>
      <c r="C55" s="4">
        <v>9363340.0</v>
      </c>
      <c r="D55" s="2" t="b">
        <v>1</v>
      </c>
      <c r="E55" s="2" t="b">
        <v>1</v>
      </c>
      <c r="F55" s="2" t="s">
        <v>9116</v>
      </c>
    </row>
    <row r="56">
      <c r="A56" s="8">
        <v>46109.27829243055</v>
      </c>
      <c r="B56" s="2" t="s">
        <v>9077</v>
      </c>
      <c r="C56" s="4">
        <v>9363340.0</v>
      </c>
      <c r="D56" s="2" t="b">
        <v>1</v>
      </c>
      <c r="E56" s="2" t="b">
        <v>1</v>
      </c>
      <c r="F56" s="2" t="s">
        <v>9117</v>
      </c>
    </row>
    <row r="57">
      <c r="A57" s="8">
        <v>46109.27833673611</v>
      </c>
      <c r="B57" s="2" t="s">
        <v>9074</v>
      </c>
      <c r="C57" s="4">
        <v>9363340.0</v>
      </c>
      <c r="D57" s="2" t="b">
        <v>1</v>
      </c>
      <c r="E57" s="2" t="b">
        <v>1</v>
      </c>
      <c r="F57" s="2" t="s">
        <v>9118</v>
      </c>
    </row>
    <row r="58">
      <c r="A58" s="8">
        <v>46109.285543923615</v>
      </c>
      <c r="B58" s="2" t="s">
        <v>9077</v>
      </c>
      <c r="C58" s="4">
        <v>9363601.0</v>
      </c>
      <c r="D58" s="2" t="b">
        <v>1</v>
      </c>
      <c r="E58" s="2" t="b">
        <v>1</v>
      </c>
      <c r="F58" s="2" t="s">
        <v>9119</v>
      </c>
    </row>
    <row r="59">
      <c r="A59" s="8">
        <v>46109.28554430556</v>
      </c>
      <c r="B59" s="2" t="s">
        <v>9077</v>
      </c>
      <c r="C59" s="4">
        <v>9363601.0</v>
      </c>
      <c r="D59" s="2" t="b">
        <v>1</v>
      </c>
      <c r="E59" s="2" t="b">
        <v>1</v>
      </c>
      <c r="F59" s="2" t="s">
        <v>9120</v>
      </c>
    </row>
    <row r="60">
      <c r="A60" s="8">
        <v>46109.28558054398</v>
      </c>
      <c r="B60" s="2" t="s">
        <v>9074</v>
      </c>
      <c r="C60" s="4">
        <v>9363601.0</v>
      </c>
      <c r="D60" s="2" t="b">
        <v>1</v>
      </c>
      <c r="E60" s="2" t="b">
        <v>1</v>
      </c>
      <c r="F60" s="2" t="s">
        <v>9121</v>
      </c>
    </row>
    <row r="61">
      <c r="A61" s="8">
        <v>46109.38357060185</v>
      </c>
      <c r="B61" s="2" t="s">
        <v>9077</v>
      </c>
      <c r="C61" s="4">
        <v>9366714.0</v>
      </c>
      <c r="D61" s="2" t="b">
        <v>1</v>
      </c>
      <c r="E61" s="2" t="b">
        <v>1</v>
      </c>
      <c r="F61" s="2" t="s">
        <v>9122</v>
      </c>
    </row>
    <row r="62">
      <c r="A62" s="8">
        <v>46109.38358395833</v>
      </c>
      <c r="B62" s="2" t="s">
        <v>9077</v>
      </c>
      <c r="C62" s="4">
        <v>9366714.0</v>
      </c>
      <c r="D62" s="2" t="b">
        <v>1</v>
      </c>
      <c r="E62" s="2" t="b">
        <v>1</v>
      </c>
      <c r="F62" s="2" t="s">
        <v>9123</v>
      </c>
    </row>
    <row r="63">
      <c r="A63" s="8">
        <v>46109.38359366899</v>
      </c>
      <c r="B63" s="2" t="s">
        <v>9089</v>
      </c>
      <c r="C63" s="4">
        <v>9366714.0</v>
      </c>
      <c r="D63" s="2" t="b">
        <v>1</v>
      </c>
      <c r="E63" s="2" t="b">
        <v>1</v>
      </c>
      <c r="F63" s="2" t="s">
        <v>9114</v>
      </c>
    </row>
    <row r="64">
      <c r="A64" s="8">
        <v>46109.38360111111</v>
      </c>
      <c r="B64" s="2" t="s">
        <v>9089</v>
      </c>
      <c r="C64" s="4">
        <v>9366714.0</v>
      </c>
      <c r="D64" s="2" t="b">
        <v>1</v>
      </c>
      <c r="E64" s="2" t="b">
        <v>1</v>
      </c>
      <c r="F64" s="2" t="s">
        <v>9114</v>
      </c>
    </row>
    <row r="65">
      <c r="A65" s="8">
        <v>46109.38361510416</v>
      </c>
      <c r="B65" s="2" t="s">
        <v>9074</v>
      </c>
      <c r="C65" s="4">
        <v>9366714.0</v>
      </c>
      <c r="D65" s="2" t="b">
        <v>1</v>
      </c>
      <c r="E65" s="2" t="b">
        <v>1</v>
      </c>
      <c r="F65" s="2" t="s">
        <v>9124</v>
      </c>
    </row>
    <row r="66">
      <c r="A66" s="8">
        <v>46109.38363078704</v>
      </c>
      <c r="B66" s="2" t="s">
        <v>9089</v>
      </c>
      <c r="C66" s="4">
        <v>9366714.0</v>
      </c>
      <c r="D66" s="2" t="b">
        <v>1</v>
      </c>
      <c r="E66" s="2" t="b">
        <v>1</v>
      </c>
      <c r="F66" s="2" t="s">
        <v>9114</v>
      </c>
    </row>
    <row r="67">
      <c r="A67" s="8">
        <v>46109.3870980787</v>
      </c>
      <c r="B67" s="2" t="s">
        <v>9077</v>
      </c>
      <c r="C67" s="4">
        <v>9366847.0</v>
      </c>
      <c r="D67" s="2" t="b">
        <v>1</v>
      </c>
      <c r="E67" s="2" t="b">
        <v>1</v>
      </c>
      <c r="F67" s="2" t="s">
        <v>9125</v>
      </c>
    </row>
    <row r="68">
      <c r="A68" s="8">
        <v>46109.38710112269</v>
      </c>
      <c r="B68" s="2" t="s">
        <v>9077</v>
      </c>
      <c r="C68" s="4">
        <v>9366847.0</v>
      </c>
      <c r="D68" s="2" t="b">
        <v>1</v>
      </c>
      <c r="E68" s="2" t="b">
        <v>1</v>
      </c>
      <c r="F68" s="2" t="s">
        <v>9126</v>
      </c>
    </row>
    <row r="69">
      <c r="A69" s="8">
        <v>46109.38710431713</v>
      </c>
      <c r="B69" s="2" t="s">
        <v>9089</v>
      </c>
      <c r="C69" s="4">
        <v>9366847.0</v>
      </c>
      <c r="D69" s="2" t="b">
        <v>1</v>
      </c>
      <c r="E69" s="2" t="b">
        <v>1</v>
      </c>
      <c r="F69" s="2" t="s">
        <v>9127</v>
      </c>
    </row>
    <row r="70">
      <c r="A70" s="8">
        <v>46109.38711241898</v>
      </c>
      <c r="B70" s="2" t="s">
        <v>9089</v>
      </c>
      <c r="C70" s="4">
        <v>9366847.0</v>
      </c>
      <c r="D70" s="2" t="b">
        <v>1</v>
      </c>
      <c r="E70" s="2" t="b">
        <v>1</v>
      </c>
      <c r="F70" s="2" t="s">
        <v>9127</v>
      </c>
    </row>
    <row r="71">
      <c r="A71" s="8">
        <v>46109.38713534722</v>
      </c>
      <c r="B71" s="2" t="s">
        <v>9074</v>
      </c>
      <c r="C71" s="4">
        <v>9366847.0</v>
      </c>
      <c r="D71" s="2" t="b">
        <v>1</v>
      </c>
      <c r="E71" s="2" t="b">
        <v>1</v>
      </c>
      <c r="F71" s="2" t="s">
        <v>9128</v>
      </c>
    </row>
    <row r="72">
      <c r="A72" s="8">
        <v>46109.387153310185</v>
      </c>
      <c r="B72" s="2" t="s">
        <v>9089</v>
      </c>
      <c r="C72" s="4">
        <v>9366847.0</v>
      </c>
      <c r="D72" s="2" t="b">
        <v>1</v>
      </c>
      <c r="E72" s="2" t="b">
        <v>1</v>
      </c>
      <c r="F72" s="2" t="s">
        <v>9127</v>
      </c>
    </row>
    <row r="73">
      <c r="A73" s="8">
        <v>46109.42122608796</v>
      </c>
      <c r="B73" s="2" t="s">
        <v>9077</v>
      </c>
      <c r="C73" s="4">
        <v>9368628.0</v>
      </c>
      <c r="D73" s="2" t="b">
        <v>1</v>
      </c>
      <c r="E73" s="2" t="b">
        <v>1</v>
      </c>
      <c r="F73" s="2" t="s">
        <v>9129</v>
      </c>
    </row>
    <row r="74">
      <c r="A74" s="8">
        <v>46109.42123603009</v>
      </c>
      <c r="B74" s="2" t="s">
        <v>9089</v>
      </c>
      <c r="C74" s="4">
        <v>9368628.0</v>
      </c>
      <c r="D74" s="2" t="b">
        <v>1</v>
      </c>
      <c r="E74" s="2" t="b">
        <v>1</v>
      </c>
      <c r="F74" s="2" t="s">
        <v>9130</v>
      </c>
    </row>
    <row r="75">
      <c r="A75" s="8">
        <v>46109.42122319444</v>
      </c>
      <c r="B75" s="2" t="s">
        <v>9077</v>
      </c>
      <c r="C75" s="4">
        <v>9368628.0</v>
      </c>
      <c r="D75" s="2" t="b">
        <v>1</v>
      </c>
      <c r="E75" s="2" t="b">
        <v>1</v>
      </c>
      <c r="F75" s="2" t="s">
        <v>9131</v>
      </c>
    </row>
    <row r="76">
      <c r="A76" s="8">
        <v>46109.42125719908</v>
      </c>
      <c r="B76" s="2" t="s">
        <v>9089</v>
      </c>
      <c r="C76" s="4">
        <v>9368628.0</v>
      </c>
      <c r="D76" s="2" t="b">
        <v>1</v>
      </c>
      <c r="E76" s="2" t="b">
        <v>1</v>
      </c>
      <c r="F76" s="2" t="s">
        <v>9130</v>
      </c>
    </row>
    <row r="77">
      <c r="A77" s="8">
        <v>46109.42127762732</v>
      </c>
      <c r="B77" s="2" t="s">
        <v>9074</v>
      </c>
      <c r="C77" s="4">
        <v>9368628.0</v>
      </c>
      <c r="D77" s="2" t="b">
        <v>1</v>
      </c>
      <c r="E77" s="2" t="b">
        <v>1</v>
      </c>
      <c r="F77" s="2" t="s">
        <v>9132</v>
      </c>
    </row>
    <row r="78">
      <c r="A78" s="8">
        <v>46109.42131194445</v>
      </c>
      <c r="B78" s="2" t="s">
        <v>9089</v>
      </c>
      <c r="C78" s="4">
        <v>9368628.0</v>
      </c>
      <c r="D78" s="2" t="b">
        <v>1</v>
      </c>
      <c r="E78" s="2" t="b">
        <v>1</v>
      </c>
      <c r="F78" s="2" t="s">
        <v>9130</v>
      </c>
    </row>
    <row r="79">
      <c r="A79" s="8">
        <v>46109.4451419213</v>
      </c>
      <c r="B79" s="2" t="s">
        <v>9077</v>
      </c>
      <c r="C79" s="4">
        <v>9370191.0</v>
      </c>
      <c r="D79" s="2" t="b">
        <v>1</v>
      </c>
      <c r="E79" s="2" t="b">
        <v>1</v>
      </c>
      <c r="F79" s="2" t="s">
        <v>9133</v>
      </c>
    </row>
    <row r="80">
      <c r="A80" s="8">
        <v>46109.44515357639</v>
      </c>
      <c r="B80" s="2" t="s">
        <v>9089</v>
      </c>
      <c r="C80" s="4">
        <v>9370191.0</v>
      </c>
      <c r="D80" s="2" t="b">
        <v>1</v>
      </c>
      <c r="E80" s="2" t="b">
        <v>1</v>
      </c>
      <c r="F80" s="2" t="s">
        <v>9134</v>
      </c>
    </row>
    <row r="81">
      <c r="A81" s="8">
        <v>46109.44517071759</v>
      </c>
      <c r="B81" s="2" t="s">
        <v>9074</v>
      </c>
      <c r="C81" s="4">
        <v>9370191.0</v>
      </c>
      <c r="D81" s="2" t="b">
        <v>1</v>
      </c>
      <c r="E81" s="2" t="b">
        <v>1</v>
      </c>
      <c r="F81" s="2" t="s">
        <v>9135</v>
      </c>
    </row>
    <row r="82">
      <c r="A82" s="8">
        <v>46109.44518258102</v>
      </c>
      <c r="B82" s="2" t="s">
        <v>9089</v>
      </c>
      <c r="C82" s="4">
        <v>9370191.0</v>
      </c>
      <c r="D82" s="2" t="b">
        <v>1</v>
      </c>
      <c r="E82" s="2" t="b">
        <v>1</v>
      </c>
      <c r="F82" s="2" t="s">
        <v>9134</v>
      </c>
    </row>
    <row r="83">
      <c r="A83" s="8">
        <v>46119.098570393515</v>
      </c>
      <c r="B83" s="2" t="s">
        <v>9077</v>
      </c>
      <c r="C83" s="4">
        <v>9621299.0</v>
      </c>
      <c r="D83" s="2" t="b">
        <v>1</v>
      </c>
      <c r="E83" s="2" t="b">
        <v>1</v>
      </c>
      <c r="F83" s="2" t="s">
        <v>9136</v>
      </c>
    </row>
    <row r="84">
      <c r="A84" s="8">
        <v>46119.09858012732</v>
      </c>
      <c r="B84" s="2" t="s">
        <v>9089</v>
      </c>
      <c r="C84" s="4">
        <v>9621299.0</v>
      </c>
      <c r="D84" s="2" t="b">
        <v>1</v>
      </c>
      <c r="E84" s="2" t="b">
        <v>1</v>
      </c>
      <c r="F84" s="2" t="s">
        <v>9097</v>
      </c>
    </row>
    <row r="85">
      <c r="A85" s="8">
        <v>46119.09858096065</v>
      </c>
      <c r="B85" s="2" t="s">
        <v>9077</v>
      </c>
      <c r="C85" s="4">
        <v>9621299.0</v>
      </c>
      <c r="D85" s="2" t="b">
        <v>1</v>
      </c>
      <c r="E85" s="2" t="b">
        <v>1</v>
      </c>
      <c r="F85" s="2" t="s">
        <v>9137</v>
      </c>
    </row>
    <row r="86">
      <c r="A86" s="8">
        <v>46119.09859126157</v>
      </c>
      <c r="B86" s="2" t="s">
        <v>9089</v>
      </c>
      <c r="C86" s="4">
        <v>9621299.0</v>
      </c>
      <c r="D86" s="2" t="b">
        <v>1</v>
      </c>
      <c r="E86" s="2" t="b">
        <v>1</v>
      </c>
      <c r="F86" s="2" t="s">
        <v>9097</v>
      </c>
    </row>
    <row r="87">
      <c r="A87" s="8">
        <v>46119.098624756945</v>
      </c>
      <c r="B87" s="2" t="s">
        <v>9074</v>
      </c>
      <c r="C87" s="4">
        <v>9621299.0</v>
      </c>
      <c r="D87" s="2" t="b">
        <v>1</v>
      </c>
      <c r="E87" s="2" t="b">
        <v>1</v>
      </c>
      <c r="F87" s="2" t="s">
        <v>9138</v>
      </c>
    </row>
    <row r="88">
      <c r="A88" s="8">
        <v>46119.098635428236</v>
      </c>
      <c r="B88" s="2" t="s">
        <v>9089</v>
      </c>
      <c r="C88" s="4">
        <v>9621299.0</v>
      </c>
      <c r="D88" s="2" t="b">
        <v>1</v>
      </c>
      <c r="E88" s="2" t="b">
        <v>1</v>
      </c>
      <c r="F88" s="2" t="s">
        <v>9097</v>
      </c>
    </row>
    <row r="89">
      <c r="A89" s="8">
        <v>46120.47760219907</v>
      </c>
      <c r="B89" s="2" t="s">
        <v>9077</v>
      </c>
      <c r="C89" s="4">
        <v>9645088.0</v>
      </c>
      <c r="D89" s="2" t="b">
        <v>1</v>
      </c>
      <c r="E89" s="2" t="b">
        <v>1</v>
      </c>
      <c r="F89" s="2" t="s">
        <v>9139</v>
      </c>
    </row>
    <row r="90">
      <c r="A90" s="8">
        <v>46120.47760929399</v>
      </c>
      <c r="B90" s="2" t="s">
        <v>9089</v>
      </c>
      <c r="C90" s="4">
        <v>9645088.0</v>
      </c>
      <c r="D90" s="2" t="b">
        <v>1</v>
      </c>
      <c r="E90" s="2" t="b">
        <v>1</v>
      </c>
      <c r="F90" s="2" t="s">
        <v>9140</v>
      </c>
    </row>
    <row r="91">
      <c r="A91" s="8">
        <v>46120.47762771991</v>
      </c>
      <c r="B91" s="2" t="s">
        <v>9077</v>
      </c>
      <c r="C91" s="4">
        <v>9645088.0</v>
      </c>
      <c r="D91" s="2" t="b">
        <v>1</v>
      </c>
      <c r="E91" s="2" t="b">
        <v>1</v>
      </c>
      <c r="F91" s="2" t="s">
        <v>9141</v>
      </c>
    </row>
    <row r="92">
      <c r="A92" s="8">
        <v>46120.477640173616</v>
      </c>
      <c r="B92" s="2" t="s">
        <v>9089</v>
      </c>
      <c r="C92" s="4">
        <v>9645088.0</v>
      </c>
      <c r="D92" s="2" t="b">
        <v>1</v>
      </c>
      <c r="E92" s="2" t="b">
        <v>1</v>
      </c>
      <c r="F92" s="2" t="s">
        <v>9140</v>
      </c>
    </row>
    <row r="93">
      <c r="A93" s="8">
        <v>46120.47767393518</v>
      </c>
      <c r="B93" s="2" t="s">
        <v>9074</v>
      </c>
      <c r="C93" s="4">
        <v>9645088.0</v>
      </c>
      <c r="D93" s="2" t="b">
        <v>1</v>
      </c>
      <c r="E93" s="2" t="b">
        <v>1</v>
      </c>
      <c r="F93" s="2" t="s">
        <v>9142</v>
      </c>
    </row>
    <row r="94">
      <c r="A94" s="8">
        <v>46120.47768444444</v>
      </c>
      <c r="B94" s="2" t="s">
        <v>9089</v>
      </c>
      <c r="C94" s="4">
        <v>9645088.0</v>
      </c>
      <c r="D94" s="2" t="b">
        <v>1</v>
      </c>
      <c r="E94" s="2" t="b">
        <v>1</v>
      </c>
      <c r="F94" s="2" t="s">
        <v>9140</v>
      </c>
    </row>
    <row r="95">
      <c r="A95" s="8">
        <v>46120.47818017361</v>
      </c>
      <c r="B95" s="2" t="s">
        <v>9077</v>
      </c>
      <c r="C95" s="4">
        <v>9645109.0</v>
      </c>
      <c r="D95" s="2" t="b">
        <v>1</v>
      </c>
      <c r="E95" s="2" t="b">
        <v>1</v>
      </c>
      <c r="F95" s="2" t="s">
        <v>9143</v>
      </c>
    </row>
    <row r="96">
      <c r="A96" s="8">
        <v>46120.4781865625</v>
      </c>
      <c r="B96" s="2" t="s">
        <v>9077</v>
      </c>
      <c r="C96" s="4">
        <v>9645109.0</v>
      </c>
      <c r="D96" s="2" t="b">
        <v>1</v>
      </c>
      <c r="E96" s="2" t="b">
        <v>1</v>
      </c>
      <c r="F96" s="2" t="s">
        <v>9144</v>
      </c>
    </row>
    <row r="97">
      <c r="A97" s="8">
        <v>46120.4781956713</v>
      </c>
      <c r="B97" s="2" t="s">
        <v>9089</v>
      </c>
      <c r="C97" s="4">
        <v>9645109.0</v>
      </c>
      <c r="D97" s="2" t="b">
        <v>1</v>
      </c>
      <c r="E97" s="2" t="b">
        <v>1</v>
      </c>
      <c r="F97" s="2" t="s">
        <v>9145</v>
      </c>
    </row>
    <row r="98">
      <c r="A98" s="8">
        <v>46120.478198819445</v>
      </c>
      <c r="B98" s="2" t="s">
        <v>9089</v>
      </c>
      <c r="C98" s="4">
        <v>9645109.0</v>
      </c>
      <c r="D98" s="2" t="b">
        <v>1</v>
      </c>
      <c r="E98" s="2" t="b">
        <v>1</v>
      </c>
      <c r="F98" s="2" t="s">
        <v>9145</v>
      </c>
    </row>
    <row r="99">
      <c r="A99" s="8">
        <v>46120.47822297453</v>
      </c>
      <c r="B99" s="2" t="s">
        <v>9074</v>
      </c>
      <c r="C99" s="4">
        <v>9645109.0</v>
      </c>
      <c r="D99" s="2" t="b">
        <v>1</v>
      </c>
      <c r="E99" s="2" t="b">
        <v>1</v>
      </c>
      <c r="F99" s="2" t="s">
        <v>9146</v>
      </c>
    </row>
    <row r="100">
      <c r="A100" s="8">
        <v>46120.478240428245</v>
      </c>
      <c r="B100" s="2" t="s">
        <v>9089</v>
      </c>
      <c r="C100" s="4">
        <v>9645109.0</v>
      </c>
      <c r="D100" s="2" t="b">
        <v>1</v>
      </c>
      <c r="E100" s="2" t="b">
        <v>1</v>
      </c>
      <c r="F100" s="2" t="s">
        <v>9145</v>
      </c>
    </row>
    <row r="101">
      <c r="A101" s="8">
        <v>46120.479389942135</v>
      </c>
      <c r="B101" s="2" t="s">
        <v>9077</v>
      </c>
      <c r="C101" s="4">
        <v>9645146.0</v>
      </c>
      <c r="D101" s="2" t="b">
        <v>1</v>
      </c>
      <c r="E101" s="2" t="b">
        <v>1</v>
      </c>
      <c r="F101" s="2" t="s">
        <v>9147</v>
      </c>
    </row>
    <row r="102">
      <c r="A102" s="8">
        <v>46120.47939760417</v>
      </c>
      <c r="B102" s="2" t="s">
        <v>9089</v>
      </c>
      <c r="C102" s="4">
        <v>9645146.0</v>
      </c>
      <c r="D102" s="2" t="b">
        <v>1</v>
      </c>
      <c r="E102" s="2" t="b">
        <v>1</v>
      </c>
      <c r="F102" s="2" t="s">
        <v>9148</v>
      </c>
    </row>
    <row r="103">
      <c r="A103" s="8">
        <v>46120.47939886574</v>
      </c>
      <c r="B103" s="2" t="s">
        <v>9077</v>
      </c>
      <c r="C103" s="4">
        <v>9645146.0</v>
      </c>
      <c r="D103" s="2" t="b">
        <v>1</v>
      </c>
      <c r="E103" s="2" t="b">
        <v>1</v>
      </c>
      <c r="F103" s="2" t="s">
        <v>9149</v>
      </c>
    </row>
    <row r="104">
      <c r="A104" s="8">
        <v>46120.47940497685</v>
      </c>
      <c r="B104" s="2" t="s">
        <v>9089</v>
      </c>
      <c r="C104" s="4">
        <v>9645146.0</v>
      </c>
      <c r="D104" s="2" t="b">
        <v>1</v>
      </c>
      <c r="E104" s="2" t="b">
        <v>1</v>
      </c>
      <c r="F104" s="2" t="s">
        <v>9148</v>
      </c>
    </row>
    <row r="105">
      <c r="A105" s="8">
        <v>46120.47942855324</v>
      </c>
      <c r="B105" s="2" t="s">
        <v>9074</v>
      </c>
      <c r="C105" s="4">
        <v>9645146.0</v>
      </c>
      <c r="D105" s="2" t="b">
        <v>1</v>
      </c>
      <c r="E105" s="2" t="b">
        <v>1</v>
      </c>
      <c r="F105" s="2" t="s">
        <v>9150</v>
      </c>
    </row>
    <row r="106">
      <c r="A106" s="8">
        <v>46120.47945402778</v>
      </c>
      <c r="B106" s="2" t="s">
        <v>9089</v>
      </c>
      <c r="C106" s="4">
        <v>9645146.0</v>
      </c>
      <c r="D106" s="2" t="b">
        <v>1</v>
      </c>
      <c r="E106" s="2" t="b">
        <v>1</v>
      </c>
      <c r="F106" s="2" t="s">
        <v>9148</v>
      </c>
    </row>
    <row r="107">
      <c r="A107" s="8">
        <v>46120.48095751157</v>
      </c>
      <c r="B107" s="2" t="s">
        <v>9077</v>
      </c>
      <c r="C107" s="4">
        <v>9645209.0</v>
      </c>
      <c r="D107" s="2" t="b">
        <v>1</v>
      </c>
      <c r="E107" s="2" t="b">
        <v>1</v>
      </c>
      <c r="F107" s="2" t="s">
        <v>9151</v>
      </c>
    </row>
    <row r="108">
      <c r="A108" s="8">
        <v>46120.48096163194</v>
      </c>
      <c r="B108" s="2" t="s">
        <v>9077</v>
      </c>
      <c r="C108" s="4">
        <v>9645209.0</v>
      </c>
      <c r="D108" s="2" t="b">
        <v>1</v>
      </c>
      <c r="E108" s="2" t="b">
        <v>1</v>
      </c>
      <c r="F108" s="2" t="s">
        <v>9152</v>
      </c>
    </row>
    <row r="109">
      <c r="A109" s="8">
        <v>46120.480996087965</v>
      </c>
      <c r="B109" s="2" t="s">
        <v>9074</v>
      </c>
      <c r="C109" s="4">
        <v>9645209.0</v>
      </c>
      <c r="D109" s="2" t="b">
        <v>1</v>
      </c>
      <c r="E109" s="2" t="b">
        <v>1</v>
      </c>
      <c r="F109" s="2" t="s">
        <v>9153</v>
      </c>
    </row>
    <row r="110">
      <c r="A110" s="8">
        <v>46121.33023528935</v>
      </c>
      <c r="B110" s="2" t="s">
        <v>9077</v>
      </c>
      <c r="C110" s="4">
        <v>9658460.0</v>
      </c>
      <c r="D110" s="2" t="b">
        <v>1</v>
      </c>
      <c r="E110" s="2" t="b">
        <v>1</v>
      </c>
      <c r="F110" s="2" t="s">
        <v>9154</v>
      </c>
    </row>
    <row r="111">
      <c r="A111" s="8">
        <v>46121.33024299769</v>
      </c>
      <c r="B111" s="2" t="s">
        <v>9089</v>
      </c>
      <c r="C111" s="4">
        <v>9658460.0</v>
      </c>
      <c r="D111" s="2" t="b">
        <v>1</v>
      </c>
      <c r="E111" s="2" t="b">
        <v>1</v>
      </c>
      <c r="F111" s="2" t="s">
        <v>9155</v>
      </c>
    </row>
    <row r="112">
      <c r="A112" s="8">
        <v>46121.33026739584</v>
      </c>
      <c r="B112" s="2" t="s">
        <v>9077</v>
      </c>
      <c r="C112" s="4">
        <v>9658460.0</v>
      </c>
      <c r="D112" s="2" t="b">
        <v>1</v>
      </c>
      <c r="E112" s="2" t="b">
        <v>1</v>
      </c>
      <c r="F112" s="2" t="s">
        <v>9156</v>
      </c>
    </row>
    <row r="113">
      <c r="A113" s="8">
        <v>46121.330287766206</v>
      </c>
      <c r="B113" s="2" t="s">
        <v>9089</v>
      </c>
      <c r="C113" s="4">
        <v>9658460.0</v>
      </c>
      <c r="D113" s="2" t="b">
        <v>1</v>
      </c>
      <c r="E113" s="2" t="b">
        <v>1</v>
      </c>
      <c r="F113" s="2" t="s">
        <v>9155</v>
      </c>
    </row>
    <row r="114">
      <c r="A114" s="8">
        <v>46121.33030887731</v>
      </c>
      <c r="B114" s="2" t="s">
        <v>9074</v>
      </c>
      <c r="C114" s="4">
        <v>9658460.0</v>
      </c>
      <c r="D114" s="2" t="b">
        <v>1</v>
      </c>
      <c r="E114" s="2" t="b">
        <v>1</v>
      </c>
      <c r="F114" s="2" t="s">
        <v>9157</v>
      </c>
    </row>
    <row r="115">
      <c r="A115" s="8">
        <v>46121.33032155092</v>
      </c>
      <c r="B115" s="2" t="s">
        <v>9089</v>
      </c>
      <c r="C115" s="4">
        <v>9658460.0</v>
      </c>
      <c r="D115" s="2" t="b">
        <v>1</v>
      </c>
      <c r="E115" s="2" t="b">
        <v>1</v>
      </c>
      <c r="F115" s="2" t="s">
        <v>9155</v>
      </c>
    </row>
    <row r="116">
      <c r="A116" s="8">
        <v>46121.35788318287</v>
      </c>
      <c r="B116" s="2" t="s">
        <v>9077</v>
      </c>
      <c r="C116" s="4">
        <v>9658908.0</v>
      </c>
      <c r="D116" s="2" t="b">
        <v>1</v>
      </c>
      <c r="E116" s="2" t="b">
        <v>1</v>
      </c>
      <c r="F116" s="2" t="s">
        <v>9158</v>
      </c>
    </row>
    <row r="117">
      <c r="A117" s="8">
        <v>46121.35789289352</v>
      </c>
      <c r="B117" s="2" t="s">
        <v>9077</v>
      </c>
      <c r="C117" s="4">
        <v>9658908.0</v>
      </c>
      <c r="D117" s="2" t="b">
        <v>1</v>
      </c>
      <c r="E117" s="2" t="b">
        <v>1</v>
      </c>
      <c r="F117" s="2" t="s">
        <v>9159</v>
      </c>
    </row>
    <row r="118">
      <c r="A118" s="8">
        <v>46121.35796221065</v>
      </c>
      <c r="B118" s="2" t="s">
        <v>9074</v>
      </c>
      <c r="C118" s="4">
        <v>9658908.0</v>
      </c>
      <c r="D118" s="2" t="b">
        <v>1</v>
      </c>
      <c r="E118" s="2" t="b">
        <v>1</v>
      </c>
      <c r="F118" s="2" t="s">
        <v>9160</v>
      </c>
    </row>
    <row r="119">
      <c r="A119" s="8">
        <v>46122.219340787036</v>
      </c>
      <c r="B119" s="2" t="s">
        <v>9077</v>
      </c>
      <c r="C119" s="4">
        <v>9675821.0</v>
      </c>
      <c r="D119" s="2" t="b">
        <v>1</v>
      </c>
      <c r="E119" s="2" t="b">
        <v>1</v>
      </c>
      <c r="F119" s="2" t="s">
        <v>9161</v>
      </c>
    </row>
    <row r="120">
      <c r="A120" s="8">
        <v>46122.21933892361</v>
      </c>
      <c r="B120" s="2" t="s">
        <v>9077</v>
      </c>
      <c r="C120" s="4">
        <v>9675821.0</v>
      </c>
      <c r="D120" s="2" t="b">
        <v>1</v>
      </c>
      <c r="E120" s="2" t="b">
        <v>1</v>
      </c>
      <c r="F120" s="2" t="s">
        <v>9162</v>
      </c>
    </row>
    <row r="121">
      <c r="A121" s="8">
        <v>46122.219391018516</v>
      </c>
      <c r="B121" s="2" t="s">
        <v>9074</v>
      </c>
      <c r="C121" s="4">
        <v>9675821.0</v>
      </c>
      <c r="D121" s="2" t="b">
        <v>1</v>
      </c>
      <c r="E121" s="2" t="b">
        <v>1</v>
      </c>
      <c r="F121" s="2" t="s">
        <v>9163</v>
      </c>
    </row>
    <row r="122">
      <c r="A122" s="8">
        <v>46122.25344859954</v>
      </c>
      <c r="B122" s="2" t="s">
        <v>9077</v>
      </c>
      <c r="C122" s="4">
        <v>9676638.0</v>
      </c>
      <c r="D122" s="2" t="b">
        <v>1</v>
      </c>
      <c r="E122" s="2" t="b">
        <v>1</v>
      </c>
      <c r="F122" s="2" t="s">
        <v>9164</v>
      </c>
    </row>
    <row r="123">
      <c r="A123" s="8">
        <v>46122.253456446764</v>
      </c>
      <c r="B123" s="2" t="s">
        <v>9077</v>
      </c>
      <c r="C123" s="4">
        <v>9676638.0</v>
      </c>
      <c r="D123" s="2" t="b">
        <v>1</v>
      </c>
      <c r="E123" s="2" t="b">
        <v>1</v>
      </c>
      <c r="F123" s="2" t="s">
        <v>9165</v>
      </c>
    </row>
    <row r="124">
      <c r="A124" s="8">
        <v>46122.253463761575</v>
      </c>
      <c r="B124" s="2" t="s">
        <v>9089</v>
      </c>
      <c r="C124" s="4">
        <v>9676638.0</v>
      </c>
      <c r="D124" s="2" t="b">
        <v>1</v>
      </c>
      <c r="E124" s="2" t="b">
        <v>1</v>
      </c>
      <c r="F124" s="2" t="s">
        <v>9155</v>
      </c>
    </row>
    <row r="125">
      <c r="A125" s="8">
        <v>46122.25346472222</v>
      </c>
      <c r="B125" s="2" t="s">
        <v>9089</v>
      </c>
      <c r="C125" s="4">
        <v>9676638.0</v>
      </c>
      <c r="D125" s="2" t="b">
        <v>1</v>
      </c>
      <c r="E125" s="2" t="b">
        <v>1</v>
      </c>
      <c r="F125" s="2" t="s">
        <v>9155</v>
      </c>
    </row>
    <row r="126">
      <c r="A126" s="8">
        <v>46122.25349732639</v>
      </c>
      <c r="B126" s="2" t="s">
        <v>9074</v>
      </c>
      <c r="C126" s="4">
        <v>9676638.0</v>
      </c>
      <c r="D126" s="2" t="b">
        <v>1</v>
      </c>
      <c r="E126" s="2" t="b">
        <v>1</v>
      </c>
      <c r="F126" s="2" t="s">
        <v>9166</v>
      </c>
    </row>
    <row r="127">
      <c r="A127" s="8">
        <v>46122.25350653935</v>
      </c>
      <c r="B127" s="2" t="s">
        <v>9089</v>
      </c>
      <c r="C127" s="4">
        <v>9676638.0</v>
      </c>
      <c r="D127" s="2" t="b">
        <v>1</v>
      </c>
      <c r="E127" s="2" t="b">
        <v>1</v>
      </c>
      <c r="F127" s="2" t="s">
        <v>9155</v>
      </c>
    </row>
    <row r="128">
      <c r="A128" s="8">
        <v>46122.262188946755</v>
      </c>
      <c r="B128" s="2" t="s">
        <v>9077</v>
      </c>
      <c r="C128" s="4">
        <v>9676768.0</v>
      </c>
      <c r="D128" s="2" t="b">
        <v>1</v>
      </c>
      <c r="E128" s="2" t="b">
        <v>1</v>
      </c>
      <c r="F128" s="2" t="s">
        <v>9167</v>
      </c>
    </row>
    <row r="129">
      <c r="A129" s="8">
        <v>46122.262200694444</v>
      </c>
      <c r="B129" s="2" t="s">
        <v>9089</v>
      </c>
      <c r="C129" s="4">
        <v>9676768.0</v>
      </c>
      <c r="D129" s="2" t="b">
        <v>1</v>
      </c>
      <c r="E129" s="2" t="b">
        <v>1</v>
      </c>
      <c r="F129" s="2" t="s">
        <v>9168</v>
      </c>
    </row>
    <row r="130">
      <c r="A130" s="8">
        <v>46122.26220462963</v>
      </c>
      <c r="B130" s="2" t="s">
        <v>9077</v>
      </c>
      <c r="C130" s="4">
        <v>9676768.0</v>
      </c>
      <c r="D130" s="2" t="b">
        <v>1</v>
      </c>
      <c r="E130" s="2" t="b">
        <v>1</v>
      </c>
      <c r="F130" s="2" t="s">
        <v>9169</v>
      </c>
    </row>
    <row r="131">
      <c r="A131" s="8">
        <v>46122.2622190625</v>
      </c>
      <c r="B131" s="2" t="s">
        <v>9089</v>
      </c>
      <c r="C131" s="4">
        <v>9676768.0</v>
      </c>
      <c r="D131" s="2" t="b">
        <v>1</v>
      </c>
      <c r="E131" s="2" t="b">
        <v>1</v>
      </c>
      <c r="F131" s="2" t="s">
        <v>9168</v>
      </c>
    </row>
    <row r="132">
      <c r="A132" s="8">
        <v>46122.26224182871</v>
      </c>
      <c r="B132" s="2" t="s">
        <v>9074</v>
      </c>
      <c r="C132" s="4">
        <v>9676768.0</v>
      </c>
      <c r="D132" s="2" t="b">
        <v>1</v>
      </c>
      <c r="E132" s="2" t="b">
        <v>1</v>
      </c>
      <c r="F132" s="2" t="s">
        <v>9170</v>
      </c>
    </row>
    <row r="133">
      <c r="A133" s="8">
        <v>46122.26225083333</v>
      </c>
      <c r="B133" s="2" t="s">
        <v>9089</v>
      </c>
      <c r="C133" s="4">
        <v>9676768.0</v>
      </c>
      <c r="D133" s="2" t="b">
        <v>1</v>
      </c>
      <c r="E133" s="2" t="b">
        <v>1</v>
      </c>
      <c r="F133" s="2" t="s">
        <v>9168</v>
      </c>
    </row>
    <row r="134">
      <c r="A134" s="8">
        <v>46123.18334280093</v>
      </c>
      <c r="B134" s="2" t="s">
        <v>9077</v>
      </c>
      <c r="C134" s="4">
        <v>9710035.0</v>
      </c>
      <c r="D134" s="2" t="b">
        <v>1</v>
      </c>
      <c r="E134" s="2" t="b">
        <v>1</v>
      </c>
      <c r="F134" s="2" t="s">
        <v>9171</v>
      </c>
    </row>
    <row r="135">
      <c r="A135" s="8">
        <v>46123.1833652662</v>
      </c>
      <c r="B135" s="2" t="s">
        <v>9077</v>
      </c>
      <c r="C135" s="4">
        <v>9710035.0</v>
      </c>
      <c r="D135" s="2" t="b">
        <v>1</v>
      </c>
      <c r="E135" s="2" t="b">
        <v>1</v>
      </c>
      <c r="F135" s="2" t="s">
        <v>9172</v>
      </c>
    </row>
    <row r="136">
      <c r="A136" s="8">
        <v>46123.183418437504</v>
      </c>
      <c r="B136" s="2" t="s">
        <v>9074</v>
      </c>
      <c r="C136" s="4">
        <v>9710035.0</v>
      </c>
      <c r="D136" s="2" t="b">
        <v>1</v>
      </c>
      <c r="E136" s="2" t="b">
        <v>1</v>
      </c>
      <c r="F136" s="2" t="s">
        <v>9173</v>
      </c>
    </row>
    <row r="137">
      <c r="A137" s="8">
        <v>46123.22102092592</v>
      </c>
      <c r="B137" s="2" t="s">
        <v>9077</v>
      </c>
      <c r="C137" s="4">
        <v>9712742.0</v>
      </c>
      <c r="D137" s="2" t="b">
        <v>1</v>
      </c>
      <c r="E137" s="2" t="b">
        <v>1</v>
      </c>
      <c r="F137" s="2" t="s">
        <v>9174</v>
      </c>
    </row>
    <row r="138">
      <c r="A138" s="8">
        <v>46123.22102111111</v>
      </c>
      <c r="B138" s="2" t="s">
        <v>9077</v>
      </c>
      <c r="C138" s="4">
        <v>9712742.0</v>
      </c>
      <c r="D138" s="2" t="b">
        <v>1</v>
      </c>
      <c r="E138" s="2" t="b">
        <v>1</v>
      </c>
      <c r="F138" s="2" t="s">
        <v>9175</v>
      </c>
    </row>
    <row r="139">
      <c r="A139" s="8">
        <v>46123.22102880787</v>
      </c>
      <c r="B139" s="2" t="s">
        <v>9089</v>
      </c>
      <c r="C139" s="4">
        <v>9712742.0</v>
      </c>
      <c r="D139" s="2" t="b">
        <v>1</v>
      </c>
      <c r="E139" s="2" t="b">
        <v>1</v>
      </c>
      <c r="F139" s="2" t="s">
        <v>9176</v>
      </c>
    </row>
    <row r="140">
      <c r="A140" s="8">
        <v>46123.22104038195</v>
      </c>
      <c r="B140" s="2" t="s">
        <v>9089</v>
      </c>
      <c r="C140" s="4">
        <v>9712742.0</v>
      </c>
      <c r="D140" s="2" t="b">
        <v>1</v>
      </c>
      <c r="E140" s="2" t="b">
        <v>1</v>
      </c>
      <c r="F140" s="2" t="s">
        <v>9176</v>
      </c>
    </row>
    <row r="141">
      <c r="A141" s="8">
        <v>46123.221055347225</v>
      </c>
      <c r="B141" s="2" t="s">
        <v>9074</v>
      </c>
      <c r="C141" s="4">
        <v>9712742.0</v>
      </c>
      <c r="D141" s="2" t="b">
        <v>1</v>
      </c>
      <c r="E141" s="2" t="b">
        <v>1</v>
      </c>
      <c r="F141" s="2" t="s">
        <v>9177</v>
      </c>
    </row>
    <row r="142">
      <c r="A142" s="8">
        <v>46123.22108471065</v>
      </c>
      <c r="B142" s="2" t="s">
        <v>9089</v>
      </c>
      <c r="C142" s="4">
        <v>9712742.0</v>
      </c>
      <c r="D142" s="2" t="b">
        <v>1</v>
      </c>
      <c r="E142" s="2" t="b">
        <v>1</v>
      </c>
      <c r="F142" s="2" t="s">
        <v>9176</v>
      </c>
    </row>
    <row r="143">
      <c r="A143" s="8">
        <v>46123.248884050925</v>
      </c>
      <c r="B143" s="2" t="s">
        <v>9077</v>
      </c>
      <c r="C143" s="4">
        <v>9713965.0</v>
      </c>
      <c r="D143" s="2" t="b">
        <v>1</v>
      </c>
      <c r="E143" s="2" t="b">
        <v>1</v>
      </c>
      <c r="F143" s="2" t="s">
        <v>9178</v>
      </c>
    </row>
    <row r="144">
      <c r="A144" s="8">
        <v>46123.248884375</v>
      </c>
      <c r="B144" s="2" t="s">
        <v>9077</v>
      </c>
      <c r="C144" s="4">
        <v>9713965.0</v>
      </c>
      <c r="D144" s="2" t="b">
        <v>1</v>
      </c>
      <c r="E144" s="2" t="b">
        <v>1</v>
      </c>
      <c r="F144" s="2" t="s">
        <v>9179</v>
      </c>
    </row>
    <row r="145">
      <c r="A145" s="8">
        <v>46123.24889479167</v>
      </c>
      <c r="B145" s="2" t="s">
        <v>9089</v>
      </c>
      <c r="C145" s="4">
        <v>9713965.0</v>
      </c>
      <c r="D145" s="2" t="b">
        <v>1</v>
      </c>
      <c r="E145" s="2" t="b">
        <v>1</v>
      </c>
      <c r="F145" s="2" t="s">
        <v>9180</v>
      </c>
    </row>
    <row r="146">
      <c r="A146" s="8">
        <v>46123.2489115625</v>
      </c>
      <c r="B146" s="2" t="s">
        <v>9089</v>
      </c>
      <c r="C146" s="4">
        <v>9713965.0</v>
      </c>
      <c r="D146" s="2" t="b">
        <v>1</v>
      </c>
      <c r="E146" s="2" t="b">
        <v>1</v>
      </c>
      <c r="F146" s="2" t="s">
        <v>9180</v>
      </c>
    </row>
    <row r="147">
      <c r="A147" s="8">
        <v>46123.24892457176</v>
      </c>
      <c r="B147" s="2" t="s">
        <v>9074</v>
      </c>
      <c r="C147" s="4">
        <v>9713965.0</v>
      </c>
      <c r="D147" s="2" t="b">
        <v>1</v>
      </c>
      <c r="E147" s="2" t="b">
        <v>1</v>
      </c>
      <c r="F147" s="2" t="s">
        <v>9181</v>
      </c>
    </row>
    <row r="148">
      <c r="A148" s="8">
        <v>46123.248940833335</v>
      </c>
      <c r="B148" s="2" t="s">
        <v>9089</v>
      </c>
      <c r="C148" s="4">
        <v>9713965.0</v>
      </c>
      <c r="D148" s="2" t="b">
        <v>1</v>
      </c>
      <c r="E148" s="2" t="b">
        <v>1</v>
      </c>
      <c r="F148" s="2" t="s">
        <v>9180</v>
      </c>
    </row>
    <row r="149">
      <c r="A149" s="8">
        <v>46123.28162311343</v>
      </c>
      <c r="B149" s="2" t="s">
        <v>9077</v>
      </c>
      <c r="C149" s="4">
        <v>9715218.0</v>
      </c>
      <c r="D149" s="2" t="b">
        <v>1</v>
      </c>
      <c r="E149" s="2" t="b">
        <v>1</v>
      </c>
      <c r="F149" s="2" t="s">
        <v>9182</v>
      </c>
    </row>
    <row r="150">
      <c r="A150" s="8">
        <v>46123.28166533565</v>
      </c>
      <c r="B150" s="2" t="s">
        <v>9074</v>
      </c>
      <c r="C150" s="4">
        <v>9715218.0</v>
      </c>
      <c r="D150" s="2" t="b">
        <v>1</v>
      </c>
      <c r="E150" s="2" t="b">
        <v>1</v>
      </c>
      <c r="F150" s="2" t="s">
        <v>9183</v>
      </c>
    </row>
    <row r="151">
      <c r="A151" s="8">
        <v>46123.28166623843</v>
      </c>
      <c r="B151" s="2" t="s">
        <v>9089</v>
      </c>
      <c r="C151" s="4">
        <v>9715218.0</v>
      </c>
      <c r="D151" s="2" t="b">
        <v>1</v>
      </c>
      <c r="E151" s="2" t="b">
        <v>1</v>
      </c>
      <c r="F151" s="2" t="s">
        <v>9184</v>
      </c>
    </row>
    <row r="152">
      <c r="A152" s="8">
        <v>46123.28168476852</v>
      </c>
      <c r="B152" s="2" t="s">
        <v>9089</v>
      </c>
      <c r="C152" s="4">
        <v>9715218.0</v>
      </c>
      <c r="D152" s="2" t="b">
        <v>1</v>
      </c>
      <c r="E152" s="2" t="b">
        <v>1</v>
      </c>
      <c r="F152" s="2" t="s">
        <v>9184</v>
      </c>
    </row>
    <row r="153">
      <c r="A153" s="8">
        <v>46123.28169570601</v>
      </c>
      <c r="B153" s="2" t="s">
        <v>9089</v>
      </c>
      <c r="C153" s="4">
        <v>9715218.0</v>
      </c>
      <c r="D153" s="2" t="b">
        <v>1</v>
      </c>
      <c r="E153" s="2" t="b">
        <v>1</v>
      </c>
      <c r="F153" s="2" t="s">
        <v>9184</v>
      </c>
    </row>
    <row r="154">
      <c r="A154" s="8">
        <v>46123.3027609375</v>
      </c>
      <c r="B154" s="2" t="s">
        <v>9077</v>
      </c>
      <c r="C154" s="4">
        <v>9715964.0</v>
      </c>
      <c r="D154" s="2" t="b">
        <v>1</v>
      </c>
      <c r="E154" s="2" t="b">
        <v>1</v>
      </c>
      <c r="F154" s="2" t="s">
        <v>9185</v>
      </c>
    </row>
    <row r="155">
      <c r="A155" s="8">
        <v>46123.30276103009</v>
      </c>
      <c r="B155" s="2" t="s">
        <v>9077</v>
      </c>
      <c r="C155" s="4">
        <v>9715964.0</v>
      </c>
      <c r="D155" s="2" t="b">
        <v>1</v>
      </c>
      <c r="E155" s="2" t="b">
        <v>1</v>
      </c>
      <c r="F155" s="2" t="s">
        <v>9186</v>
      </c>
    </row>
    <row r="156">
      <c r="A156" s="8">
        <v>46123.30277149305</v>
      </c>
      <c r="B156" s="2" t="s">
        <v>9089</v>
      </c>
      <c r="C156" s="4">
        <v>9715964.0</v>
      </c>
      <c r="D156" s="2" t="b">
        <v>1</v>
      </c>
      <c r="E156" s="2" t="b">
        <v>1</v>
      </c>
      <c r="F156" s="2" t="s">
        <v>9187</v>
      </c>
    </row>
    <row r="157">
      <c r="A157" s="8">
        <v>46123.302786643515</v>
      </c>
      <c r="B157" s="2" t="s">
        <v>9089</v>
      </c>
      <c r="C157" s="4">
        <v>9715964.0</v>
      </c>
      <c r="D157" s="2" t="b">
        <v>1</v>
      </c>
      <c r="E157" s="2" t="b">
        <v>1</v>
      </c>
      <c r="F157" s="2" t="s">
        <v>9187</v>
      </c>
    </row>
    <row r="158">
      <c r="A158" s="8">
        <v>46123.30282894676</v>
      </c>
      <c r="B158" s="2" t="s">
        <v>9074</v>
      </c>
      <c r="C158" s="4">
        <v>9715964.0</v>
      </c>
      <c r="D158" s="2" t="b">
        <v>1</v>
      </c>
      <c r="E158" s="2" t="b">
        <v>1</v>
      </c>
      <c r="F158" s="2" t="s">
        <v>9188</v>
      </c>
    </row>
    <row r="159">
      <c r="A159" s="8">
        <v>46123.302848252315</v>
      </c>
      <c r="B159" s="2" t="s">
        <v>9089</v>
      </c>
      <c r="C159" s="4">
        <v>9715964.0</v>
      </c>
      <c r="D159" s="2" t="b">
        <v>1</v>
      </c>
      <c r="E159" s="2" t="b">
        <v>1</v>
      </c>
      <c r="F159" s="2" t="s">
        <v>9187</v>
      </c>
    </row>
    <row r="160">
      <c r="A160" s="8">
        <v>46124.14255596064</v>
      </c>
      <c r="B160" s="2" t="s">
        <v>9077</v>
      </c>
      <c r="C160" s="4">
        <v>9762846.0</v>
      </c>
      <c r="D160" s="2" t="b">
        <v>1</v>
      </c>
      <c r="E160" s="2" t="b">
        <v>1</v>
      </c>
      <c r="F160" s="2" t="s">
        <v>9189</v>
      </c>
    </row>
    <row r="161">
      <c r="A161" s="8">
        <v>46124.142556493054</v>
      </c>
      <c r="B161" s="2" t="s">
        <v>9077</v>
      </c>
      <c r="C161" s="4">
        <v>9762846.0</v>
      </c>
      <c r="D161" s="2" t="b">
        <v>1</v>
      </c>
      <c r="E161" s="2" t="b">
        <v>1</v>
      </c>
      <c r="F161" s="2" t="s">
        <v>9190</v>
      </c>
    </row>
    <row r="162">
      <c r="A162" s="8">
        <v>46124.1425641088</v>
      </c>
      <c r="B162" s="2" t="s">
        <v>9089</v>
      </c>
      <c r="C162" s="4">
        <v>9762846.0</v>
      </c>
      <c r="D162" s="2" t="b">
        <v>1</v>
      </c>
      <c r="E162" s="2" t="b">
        <v>1</v>
      </c>
      <c r="F162" s="2" t="s">
        <v>9191</v>
      </c>
    </row>
    <row r="163">
      <c r="A163" s="8">
        <v>46124.14258478009</v>
      </c>
      <c r="B163" s="2" t="s">
        <v>9089</v>
      </c>
      <c r="C163" s="4">
        <v>9762846.0</v>
      </c>
      <c r="D163" s="2" t="b">
        <v>1</v>
      </c>
      <c r="E163" s="2" t="b">
        <v>1</v>
      </c>
      <c r="F163" s="2" t="s">
        <v>9191</v>
      </c>
    </row>
    <row r="164">
      <c r="A164" s="8">
        <v>46124.14260295139</v>
      </c>
      <c r="B164" s="2" t="s">
        <v>9074</v>
      </c>
      <c r="C164" s="4">
        <v>9762846.0</v>
      </c>
      <c r="D164" s="2" t="b">
        <v>1</v>
      </c>
      <c r="E164" s="2" t="b">
        <v>1</v>
      </c>
      <c r="F164" s="2" t="s">
        <v>9192</v>
      </c>
    </row>
    <row r="165">
      <c r="A165" s="8">
        <v>46124.14261809028</v>
      </c>
      <c r="B165" s="2" t="s">
        <v>9089</v>
      </c>
      <c r="C165" s="4">
        <v>9762846.0</v>
      </c>
      <c r="D165" s="2" t="b">
        <v>1</v>
      </c>
      <c r="E165" s="2" t="b">
        <v>1</v>
      </c>
      <c r="F165" s="2" t="s">
        <v>9191</v>
      </c>
    </row>
    <row r="166">
      <c r="A166" s="8">
        <v>46124.14586971064</v>
      </c>
      <c r="B166" s="2" t="s">
        <v>9077</v>
      </c>
      <c r="C166" s="4">
        <v>9763113.0</v>
      </c>
      <c r="D166" s="2" t="b">
        <v>1</v>
      </c>
      <c r="E166" s="2" t="b">
        <v>1</v>
      </c>
      <c r="F166" s="2" t="s">
        <v>9193</v>
      </c>
    </row>
    <row r="167">
      <c r="A167" s="8">
        <v>46124.145872037036</v>
      </c>
      <c r="B167" s="2" t="s">
        <v>9077</v>
      </c>
      <c r="C167" s="4">
        <v>9763113.0</v>
      </c>
      <c r="D167" s="2" t="b">
        <v>1</v>
      </c>
      <c r="E167" s="2" t="b">
        <v>1</v>
      </c>
      <c r="F167" s="2" t="s">
        <v>9194</v>
      </c>
    </row>
    <row r="168">
      <c r="A168" s="8">
        <v>46124.14587616899</v>
      </c>
      <c r="B168" s="2" t="s">
        <v>9089</v>
      </c>
      <c r="C168" s="4">
        <v>9763113.0</v>
      </c>
      <c r="D168" s="2" t="b">
        <v>1</v>
      </c>
      <c r="E168" s="2" t="b">
        <v>1</v>
      </c>
      <c r="F168" s="2" t="s">
        <v>9195</v>
      </c>
    </row>
    <row r="169">
      <c r="A169" s="8">
        <v>46124.14588145833</v>
      </c>
      <c r="B169" s="2" t="s">
        <v>9089</v>
      </c>
      <c r="C169" s="4">
        <v>9763113.0</v>
      </c>
      <c r="D169" s="2" t="b">
        <v>1</v>
      </c>
      <c r="E169" s="2" t="b">
        <v>1</v>
      </c>
      <c r="F169" s="2" t="s">
        <v>9195</v>
      </c>
    </row>
    <row r="170">
      <c r="A170" s="8">
        <v>46124.14591357639</v>
      </c>
      <c r="B170" s="2" t="s">
        <v>9074</v>
      </c>
      <c r="C170" s="4">
        <v>9763113.0</v>
      </c>
      <c r="D170" s="2" t="b">
        <v>1</v>
      </c>
      <c r="E170" s="2" t="b">
        <v>1</v>
      </c>
      <c r="F170" s="2" t="s">
        <v>9196</v>
      </c>
    </row>
    <row r="171">
      <c r="A171" s="8">
        <v>46124.14592306713</v>
      </c>
      <c r="B171" s="2" t="s">
        <v>9089</v>
      </c>
      <c r="C171" s="4">
        <v>9763113.0</v>
      </c>
      <c r="D171" s="2" t="b">
        <v>1</v>
      </c>
      <c r="E171" s="2" t="b">
        <v>1</v>
      </c>
      <c r="F171" s="2" t="s">
        <v>9195</v>
      </c>
    </row>
    <row r="172">
      <c r="A172" s="8">
        <v>46124.18894828703</v>
      </c>
      <c r="B172" s="2" t="s">
        <v>9077</v>
      </c>
      <c r="C172" s="4">
        <v>9767442.0</v>
      </c>
      <c r="D172" s="2" t="b">
        <v>1</v>
      </c>
      <c r="E172" s="2" t="b">
        <v>1</v>
      </c>
      <c r="F172" s="2" t="s">
        <v>9197</v>
      </c>
    </row>
    <row r="173">
      <c r="A173" s="8">
        <v>46124.18894861111</v>
      </c>
      <c r="B173" s="2" t="s">
        <v>9077</v>
      </c>
      <c r="C173" s="4">
        <v>9767442.0</v>
      </c>
      <c r="D173" s="2" t="b">
        <v>1</v>
      </c>
      <c r="E173" s="2" t="b">
        <v>1</v>
      </c>
      <c r="F173" s="2" t="s">
        <v>9198</v>
      </c>
    </row>
    <row r="174">
      <c r="A174" s="8">
        <v>46124.188986064815</v>
      </c>
      <c r="B174" s="2" t="s">
        <v>9074</v>
      </c>
      <c r="C174" s="4">
        <v>9767442.0</v>
      </c>
      <c r="D174" s="2" t="b">
        <v>1</v>
      </c>
      <c r="E174" s="2" t="b">
        <v>1</v>
      </c>
      <c r="F174" s="2" t="s">
        <v>9199</v>
      </c>
    </row>
    <row r="175">
      <c r="A175" s="8">
        <v>46124.28736677083</v>
      </c>
      <c r="B175" s="2" t="s">
        <v>9077</v>
      </c>
      <c r="C175" s="4">
        <v>9773125.0</v>
      </c>
      <c r="D175" s="2" t="b">
        <v>1</v>
      </c>
      <c r="E175" s="2" t="b">
        <v>1</v>
      </c>
      <c r="F175" s="2" t="s">
        <v>9200</v>
      </c>
    </row>
    <row r="176">
      <c r="A176" s="8">
        <v>46124.28737480324</v>
      </c>
      <c r="B176" s="2" t="s">
        <v>9077</v>
      </c>
      <c r="C176" s="4">
        <v>9773125.0</v>
      </c>
      <c r="D176" s="2" t="b">
        <v>1</v>
      </c>
      <c r="E176" s="2" t="b">
        <v>1</v>
      </c>
      <c r="F176" s="2" t="s">
        <v>9201</v>
      </c>
    </row>
    <row r="177">
      <c r="A177" s="8">
        <v>46124.28742049768</v>
      </c>
      <c r="B177" s="2" t="s">
        <v>9074</v>
      </c>
      <c r="C177" s="4">
        <v>9773125.0</v>
      </c>
      <c r="D177" s="2" t="b">
        <v>1</v>
      </c>
      <c r="E177" s="2" t="b">
        <v>1</v>
      </c>
      <c r="F177" s="2" t="s">
        <v>9202</v>
      </c>
    </row>
    <row r="178">
      <c r="A178" s="8">
        <v>46124.343716435185</v>
      </c>
      <c r="B178" s="2" t="s">
        <v>9077</v>
      </c>
      <c r="C178" s="4">
        <v>9775008.0</v>
      </c>
      <c r="D178" s="2" t="b">
        <v>1</v>
      </c>
      <c r="E178" s="2" t="b">
        <v>1</v>
      </c>
      <c r="F178" s="2" t="s">
        <v>9203</v>
      </c>
    </row>
    <row r="179">
      <c r="A179" s="8">
        <v>46124.343745081016</v>
      </c>
      <c r="B179" s="2" t="s">
        <v>9074</v>
      </c>
      <c r="C179" s="4">
        <v>9775008.0</v>
      </c>
      <c r="D179" s="2" t="b">
        <v>1</v>
      </c>
      <c r="E179" s="2" t="b">
        <v>1</v>
      </c>
      <c r="F179" s="2" t="s">
        <v>9204</v>
      </c>
    </row>
    <row r="180">
      <c r="A180" s="8">
        <v>46124.391069942125</v>
      </c>
      <c r="B180" s="2" t="s">
        <v>9077</v>
      </c>
      <c r="C180" s="4">
        <v>9776857.0</v>
      </c>
      <c r="D180" s="2" t="b">
        <v>1</v>
      </c>
      <c r="E180" s="2" t="b">
        <v>1</v>
      </c>
      <c r="F180" s="2" t="s">
        <v>9205</v>
      </c>
    </row>
    <row r="181">
      <c r="A181" s="8">
        <v>46124.39107005787</v>
      </c>
      <c r="B181" s="2" t="s">
        <v>9077</v>
      </c>
      <c r="C181" s="4">
        <v>9776857.0</v>
      </c>
      <c r="D181" s="2" t="b">
        <v>1</v>
      </c>
      <c r="E181" s="2" t="b">
        <v>1</v>
      </c>
      <c r="F181" s="2" t="s">
        <v>9206</v>
      </c>
    </row>
    <row r="182">
      <c r="A182" s="8">
        <v>46124.39110679398</v>
      </c>
      <c r="B182" s="2" t="s">
        <v>9074</v>
      </c>
      <c r="C182" s="4">
        <v>9776857.0</v>
      </c>
      <c r="D182" s="2" t="b">
        <v>1</v>
      </c>
      <c r="E182" s="2" t="b">
        <v>1</v>
      </c>
      <c r="F182" s="2" t="s">
        <v>9207</v>
      </c>
    </row>
    <row r="183">
      <c r="A183" s="8">
        <v>46129.18789796296</v>
      </c>
      <c r="B183" s="2" t="s">
        <v>9077</v>
      </c>
      <c r="C183" s="4">
        <v>9869027.0</v>
      </c>
      <c r="D183" s="2" t="b">
        <v>1</v>
      </c>
      <c r="E183" s="2" t="b">
        <v>1</v>
      </c>
      <c r="F183" s="2" t="s">
        <v>9208</v>
      </c>
    </row>
    <row r="184">
      <c r="A184" s="8">
        <v>46129.18792408565</v>
      </c>
      <c r="B184" s="2" t="s">
        <v>9077</v>
      </c>
      <c r="C184" s="4">
        <v>9869027.0</v>
      </c>
      <c r="D184" s="2" t="b">
        <v>1</v>
      </c>
      <c r="E184" s="2" t="b">
        <v>1</v>
      </c>
      <c r="F184" s="2" t="s">
        <v>9209</v>
      </c>
    </row>
    <row r="185">
      <c r="A185" s="8">
        <v>46129.1879590625</v>
      </c>
      <c r="B185" s="2" t="s">
        <v>9074</v>
      </c>
      <c r="C185" s="4">
        <v>9869027.0</v>
      </c>
      <c r="D185" s="2" t="b">
        <v>1</v>
      </c>
      <c r="E185" s="2" t="b">
        <v>1</v>
      </c>
      <c r="F185" s="2" t="s">
        <v>9210</v>
      </c>
    </row>
    <row r="186">
      <c r="A186" s="8">
        <v>46130.2162378588</v>
      </c>
      <c r="B186" s="2" t="s">
        <v>9077</v>
      </c>
      <c r="C186" s="4">
        <v>9922503.0</v>
      </c>
      <c r="D186" s="2" t="b">
        <v>1</v>
      </c>
      <c r="E186" s="2" t="b">
        <v>1</v>
      </c>
      <c r="F186" s="2" t="s">
        <v>9211</v>
      </c>
    </row>
    <row r="187">
      <c r="A187" s="8">
        <v>46130.21624232639</v>
      </c>
      <c r="B187" s="2" t="s">
        <v>9077</v>
      </c>
      <c r="C187" s="4">
        <v>9922503.0</v>
      </c>
      <c r="D187" s="2" t="b">
        <v>1</v>
      </c>
      <c r="E187" s="2" t="b">
        <v>1</v>
      </c>
      <c r="F187" s="2" t="s">
        <v>9212</v>
      </c>
    </row>
    <row r="188">
      <c r="A188" s="8">
        <v>46130.21628122685</v>
      </c>
      <c r="B188" s="2" t="s">
        <v>9074</v>
      </c>
      <c r="C188" s="4">
        <v>9922503.0</v>
      </c>
      <c r="D188" s="2" t="b">
        <v>1</v>
      </c>
      <c r="E188" s="2" t="b">
        <v>1</v>
      </c>
      <c r="F188" s="2" t="s">
        <v>9213</v>
      </c>
    </row>
    <row r="189">
      <c r="A189" s="8">
        <v>46130.240481562505</v>
      </c>
      <c r="B189" s="2" t="s">
        <v>9077</v>
      </c>
      <c r="C189" s="4">
        <v>9924026.0</v>
      </c>
      <c r="D189" s="2" t="b">
        <v>1</v>
      </c>
      <c r="E189" s="2" t="b">
        <v>1</v>
      </c>
      <c r="F189" s="2" t="s">
        <v>9214</v>
      </c>
    </row>
    <row r="190">
      <c r="A190" s="8">
        <v>46130.24048168982</v>
      </c>
      <c r="B190" s="2" t="s">
        <v>9077</v>
      </c>
      <c r="C190" s="4">
        <v>9924026.0</v>
      </c>
      <c r="D190" s="2" t="b">
        <v>1</v>
      </c>
      <c r="E190" s="2" t="b">
        <v>1</v>
      </c>
      <c r="F190" s="2" t="s">
        <v>9215</v>
      </c>
    </row>
    <row r="191">
      <c r="A191" s="8">
        <v>46130.24049258102</v>
      </c>
      <c r="B191" s="2" t="s">
        <v>9089</v>
      </c>
      <c r="C191" s="4">
        <v>9924026.0</v>
      </c>
      <c r="D191" s="2" t="b">
        <v>1</v>
      </c>
      <c r="E191" s="2" t="b">
        <v>1</v>
      </c>
      <c r="F191" s="2" t="s">
        <v>9216</v>
      </c>
    </row>
    <row r="192">
      <c r="A192" s="8">
        <v>46130.240508310184</v>
      </c>
      <c r="B192" s="2" t="s">
        <v>9089</v>
      </c>
      <c r="C192" s="4">
        <v>9924026.0</v>
      </c>
      <c r="D192" s="2" t="b">
        <v>1</v>
      </c>
      <c r="E192" s="2" t="b">
        <v>1</v>
      </c>
      <c r="F192" s="2" t="s">
        <v>9216</v>
      </c>
    </row>
    <row r="193">
      <c r="A193" s="8">
        <v>46130.240526168986</v>
      </c>
      <c r="B193" s="2" t="s">
        <v>9074</v>
      </c>
      <c r="C193" s="4">
        <v>9924026.0</v>
      </c>
      <c r="D193" s="2" t="b">
        <v>1</v>
      </c>
      <c r="E193" s="2" t="b">
        <v>1</v>
      </c>
      <c r="F193" s="2" t="s">
        <v>9217</v>
      </c>
    </row>
    <row r="194">
      <c r="A194" s="8">
        <v>46130.240567002314</v>
      </c>
      <c r="B194" s="2" t="s">
        <v>9089</v>
      </c>
      <c r="C194" s="4">
        <v>9924026.0</v>
      </c>
      <c r="D194" s="2" t="b">
        <v>1</v>
      </c>
      <c r="E194" s="2" t="b">
        <v>1</v>
      </c>
      <c r="F194" s="2" t="s">
        <v>9216</v>
      </c>
    </row>
    <row r="195">
      <c r="A195" s="8">
        <v>46130.26072859953</v>
      </c>
      <c r="B195" s="2" t="s">
        <v>9077</v>
      </c>
      <c r="C195" s="4">
        <v>9924993.0</v>
      </c>
      <c r="D195" s="2" t="b">
        <v>1</v>
      </c>
      <c r="E195" s="2" t="b">
        <v>1</v>
      </c>
      <c r="F195" s="2" t="s">
        <v>9218</v>
      </c>
    </row>
    <row r="196">
      <c r="A196" s="8">
        <v>46130.260729490736</v>
      </c>
      <c r="B196" s="2" t="s">
        <v>9077</v>
      </c>
      <c r="C196" s="4">
        <v>9924993.0</v>
      </c>
      <c r="D196" s="2" t="b">
        <v>1</v>
      </c>
      <c r="E196" s="2" t="b">
        <v>1</v>
      </c>
      <c r="F196" s="2" t="s">
        <v>9219</v>
      </c>
    </row>
    <row r="197">
      <c r="A197" s="8">
        <v>46130.26073751158</v>
      </c>
      <c r="B197" s="2" t="s">
        <v>9089</v>
      </c>
      <c r="C197" s="4">
        <v>9924993.0</v>
      </c>
      <c r="D197" s="2" t="b">
        <v>1</v>
      </c>
      <c r="E197" s="2" t="b">
        <v>1</v>
      </c>
      <c r="F197" s="2" t="s">
        <v>9220</v>
      </c>
    </row>
    <row r="198">
      <c r="A198" s="8">
        <v>46130.26076009259</v>
      </c>
      <c r="B198" s="2" t="s">
        <v>9089</v>
      </c>
      <c r="C198" s="4">
        <v>9924993.0</v>
      </c>
      <c r="D198" s="2" t="b">
        <v>1</v>
      </c>
      <c r="E198" s="2" t="b">
        <v>1</v>
      </c>
      <c r="F198" s="2" t="s">
        <v>9220</v>
      </c>
    </row>
    <row r="199">
      <c r="A199" s="8">
        <v>46130.26077440972</v>
      </c>
      <c r="B199" s="2" t="s">
        <v>9074</v>
      </c>
      <c r="C199" s="4">
        <v>9924993.0</v>
      </c>
      <c r="D199" s="2" t="b">
        <v>1</v>
      </c>
      <c r="E199" s="2" t="b">
        <v>1</v>
      </c>
      <c r="F199" s="2" t="s">
        <v>9221</v>
      </c>
    </row>
    <row r="200">
      <c r="A200" s="8">
        <v>46130.26079064815</v>
      </c>
      <c r="B200" s="2" t="s">
        <v>9089</v>
      </c>
      <c r="C200" s="4">
        <v>9924993.0</v>
      </c>
      <c r="D200" s="2" t="b">
        <v>1</v>
      </c>
      <c r="E200" s="2" t="b">
        <v>1</v>
      </c>
      <c r="F200" s="2" t="s">
        <v>9220</v>
      </c>
    </row>
    <row r="201">
      <c r="A201" s="8">
        <v>46130.30563826389</v>
      </c>
      <c r="B201" s="2" t="s">
        <v>9077</v>
      </c>
      <c r="C201" s="4">
        <v>9927022.0</v>
      </c>
      <c r="D201" s="2" t="b">
        <v>1</v>
      </c>
      <c r="E201" s="2" t="b">
        <v>1</v>
      </c>
      <c r="F201" s="2" t="s">
        <v>9222</v>
      </c>
    </row>
    <row r="202">
      <c r="A202" s="8">
        <v>46130.305641122686</v>
      </c>
      <c r="B202" s="2" t="s">
        <v>9077</v>
      </c>
      <c r="C202" s="4">
        <v>9927022.0</v>
      </c>
      <c r="D202" s="2" t="b">
        <v>1</v>
      </c>
      <c r="E202" s="2" t="b">
        <v>1</v>
      </c>
      <c r="F202" s="2" t="s">
        <v>9223</v>
      </c>
    </row>
    <row r="203">
      <c r="A203" s="8">
        <v>46130.30569688657</v>
      </c>
      <c r="B203" s="2" t="s">
        <v>9074</v>
      </c>
      <c r="C203" s="4">
        <v>9927022.0</v>
      </c>
      <c r="D203" s="2" t="b">
        <v>1</v>
      </c>
      <c r="E203" s="2" t="b">
        <v>1</v>
      </c>
      <c r="F203" s="2" t="s">
        <v>9224</v>
      </c>
    </row>
    <row r="204">
      <c r="A204" s="8">
        <v>46130.42787917824</v>
      </c>
      <c r="B204" s="2" t="s">
        <v>9077</v>
      </c>
      <c r="C204" s="4">
        <v>9938679.0</v>
      </c>
      <c r="D204" s="2" t="b">
        <v>1</v>
      </c>
      <c r="E204" s="2" t="b">
        <v>1</v>
      </c>
      <c r="F204" s="2" t="s">
        <v>9225</v>
      </c>
    </row>
    <row r="205">
      <c r="A205" s="8">
        <v>46130.42787932871</v>
      </c>
      <c r="B205" s="2" t="s">
        <v>9077</v>
      </c>
      <c r="C205" s="4">
        <v>9938679.0</v>
      </c>
      <c r="D205" s="2" t="b">
        <v>1</v>
      </c>
      <c r="E205" s="2" t="b">
        <v>1</v>
      </c>
      <c r="F205" s="2" t="s">
        <v>9226</v>
      </c>
    </row>
    <row r="206">
      <c r="A206" s="8">
        <v>46130.42788827546</v>
      </c>
      <c r="B206" s="2" t="s">
        <v>9089</v>
      </c>
      <c r="C206" s="4">
        <v>9938679.0</v>
      </c>
      <c r="D206" s="2" t="b">
        <v>1</v>
      </c>
      <c r="E206" s="2" t="b">
        <v>1</v>
      </c>
      <c r="F206" s="2" t="s">
        <v>9227</v>
      </c>
    </row>
    <row r="207">
      <c r="A207" s="8">
        <v>46130.42789872685</v>
      </c>
      <c r="B207" s="2" t="s">
        <v>9089</v>
      </c>
      <c r="C207" s="4">
        <v>9938679.0</v>
      </c>
      <c r="D207" s="2" t="b">
        <v>1</v>
      </c>
      <c r="E207" s="2" t="b">
        <v>1</v>
      </c>
      <c r="F207" s="2" t="s">
        <v>9227</v>
      </c>
    </row>
    <row r="208">
      <c r="A208" s="8">
        <v>46130.42792325231</v>
      </c>
      <c r="B208" s="2" t="s">
        <v>9074</v>
      </c>
      <c r="C208" s="4">
        <v>9938679.0</v>
      </c>
      <c r="D208" s="2" t="b">
        <v>1</v>
      </c>
      <c r="E208" s="2" t="b">
        <v>1</v>
      </c>
      <c r="F208" s="2" t="s">
        <v>9228</v>
      </c>
    </row>
    <row r="209">
      <c r="A209" s="8">
        <v>46130.427940023146</v>
      </c>
      <c r="B209" s="2" t="s">
        <v>9089</v>
      </c>
      <c r="C209" s="4">
        <v>9938679.0</v>
      </c>
      <c r="D209" s="2" t="b">
        <v>1</v>
      </c>
      <c r="E209" s="2" t="b">
        <v>1</v>
      </c>
      <c r="F209" s="2" t="s">
        <v>9227</v>
      </c>
    </row>
    <row r="210">
      <c r="A210" s="8">
        <v>46134.19246070602</v>
      </c>
      <c r="B210" s="2" t="s">
        <v>9077</v>
      </c>
      <c r="C210" s="4">
        <v>1.0094594E7</v>
      </c>
      <c r="D210" s="2" t="b">
        <v>1</v>
      </c>
      <c r="E210" s="2" t="b">
        <v>1</v>
      </c>
      <c r="F210" s="2" t="s">
        <v>9229</v>
      </c>
    </row>
    <row r="211">
      <c r="A211" s="8">
        <v>46134.192465</v>
      </c>
      <c r="B211" s="2" t="s">
        <v>9077</v>
      </c>
      <c r="C211" s="4">
        <v>1.0094594E7</v>
      </c>
      <c r="D211" s="2" t="b">
        <v>1</v>
      </c>
      <c r="E211" s="2" t="b">
        <v>1</v>
      </c>
      <c r="F211" s="2" t="s">
        <v>9230</v>
      </c>
    </row>
    <row r="212">
      <c r="A212" s="8">
        <v>46134.192495763884</v>
      </c>
      <c r="B212" s="2" t="s">
        <v>9074</v>
      </c>
      <c r="C212" s="4">
        <v>1.0094594E7</v>
      </c>
      <c r="D212" s="2" t="b">
        <v>1</v>
      </c>
      <c r="E212" s="2" t="b">
        <v>1</v>
      </c>
      <c r="F212" s="2" t="s">
        <v>9231</v>
      </c>
    </row>
    <row r="213">
      <c r="A213" s="8">
        <v>46137.10248943287</v>
      </c>
      <c r="B213" s="2" t="s">
        <v>9077</v>
      </c>
      <c r="C213" s="4">
        <v>1.0190575E7</v>
      </c>
      <c r="D213" s="2" t="b">
        <v>1</v>
      </c>
      <c r="E213" s="2" t="b">
        <v>1</v>
      </c>
      <c r="F213" s="2" t="s">
        <v>9232</v>
      </c>
    </row>
    <row r="214">
      <c r="A214" s="8">
        <v>46137.102489826386</v>
      </c>
      <c r="B214" s="2" t="s">
        <v>9077</v>
      </c>
      <c r="C214" s="4">
        <v>1.0190575E7</v>
      </c>
      <c r="D214" s="2" t="b">
        <v>1</v>
      </c>
      <c r="E214" s="2" t="b">
        <v>1</v>
      </c>
      <c r="F214" s="2" t="s">
        <v>9233</v>
      </c>
    </row>
    <row r="215">
      <c r="A215" s="8">
        <v>46137.10249921297</v>
      </c>
      <c r="B215" s="2" t="s">
        <v>9089</v>
      </c>
      <c r="C215" s="4">
        <v>1.0190575E7</v>
      </c>
      <c r="D215" s="2" t="b">
        <v>1</v>
      </c>
      <c r="E215" s="2" t="b">
        <v>1</v>
      </c>
      <c r="F215" s="2" t="s">
        <v>9234</v>
      </c>
    </row>
    <row r="216">
      <c r="A216" s="8">
        <v>46137.10249979167</v>
      </c>
      <c r="B216" s="2" t="s">
        <v>9089</v>
      </c>
      <c r="C216" s="4">
        <v>1.0190575E7</v>
      </c>
      <c r="D216" s="2" t="b">
        <v>1</v>
      </c>
      <c r="E216" s="2" t="b">
        <v>1</v>
      </c>
      <c r="F216" s="2" t="s">
        <v>9234</v>
      </c>
    </row>
    <row r="217">
      <c r="A217" s="8">
        <v>46137.10253377315</v>
      </c>
      <c r="B217" s="2" t="s">
        <v>9074</v>
      </c>
      <c r="C217" s="4">
        <v>1.0190575E7</v>
      </c>
      <c r="D217" s="2" t="b">
        <v>1</v>
      </c>
      <c r="E217" s="2" t="b">
        <v>1</v>
      </c>
      <c r="F217" s="2" t="s">
        <v>9235</v>
      </c>
    </row>
    <row r="218">
      <c r="A218" s="8">
        <v>46137.10254295139</v>
      </c>
      <c r="B218" s="2" t="s">
        <v>9089</v>
      </c>
      <c r="C218" s="4">
        <v>1.0190575E7</v>
      </c>
      <c r="D218" s="2" t="b">
        <v>1</v>
      </c>
      <c r="E218" s="2" t="b">
        <v>1</v>
      </c>
      <c r="F218" s="2" t="s">
        <v>9234</v>
      </c>
    </row>
    <row r="219">
      <c r="A219" s="8">
        <v>46137.347531817126</v>
      </c>
      <c r="B219" s="2" t="s">
        <v>9077</v>
      </c>
      <c r="C219" s="4">
        <v>1.0208879E7</v>
      </c>
      <c r="D219" s="2" t="b">
        <v>1</v>
      </c>
      <c r="E219" s="2" t="b">
        <v>1</v>
      </c>
      <c r="F219" s="2" t="s">
        <v>9236</v>
      </c>
    </row>
    <row r="220">
      <c r="A220" s="8">
        <v>46137.347531956024</v>
      </c>
      <c r="B220" s="2" t="s">
        <v>9077</v>
      </c>
      <c r="C220" s="4">
        <v>1.0208879E7</v>
      </c>
      <c r="D220" s="2" t="b">
        <v>1</v>
      </c>
      <c r="E220" s="2" t="b">
        <v>1</v>
      </c>
      <c r="F220" s="2" t="s">
        <v>9237</v>
      </c>
    </row>
    <row r="221">
      <c r="A221" s="8">
        <v>46137.347578807865</v>
      </c>
      <c r="B221" s="2" t="s">
        <v>9074</v>
      </c>
      <c r="C221" s="4">
        <v>1.0208879E7</v>
      </c>
      <c r="D221" s="2" t="b">
        <v>1</v>
      </c>
      <c r="E221" s="2" t="b">
        <v>1</v>
      </c>
      <c r="F221" s="2" t="s">
        <v>9238</v>
      </c>
    </row>
    <row r="222">
      <c r="A222" s="8">
        <v>46141.27992707176</v>
      </c>
      <c r="B222" s="2" t="s">
        <v>9077</v>
      </c>
      <c r="C222" s="4">
        <v>1.0362119E7</v>
      </c>
      <c r="D222" s="2" t="b">
        <v>1</v>
      </c>
      <c r="E222" s="2" t="b">
        <v>1</v>
      </c>
      <c r="F222" s="2" t="s">
        <v>9239</v>
      </c>
    </row>
    <row r="223">
      <c r="A223" s="8">
        <v>46141.27994908565</v>
      </c>
      <c r="B223" s="2" t="s">
        <v>9077</v>
      </c>
      <c r="C223" s="4">
        <v>1.0362119E7</v>
      </c>
      <c r="D223" s="2" t="b">
        <v>1</v>
      </c>
      <c r="E223" s="2" t="b">
        <v>1</v>
      </c>
      <c r="F223" s="2" t="s">
        <v>9240</v>
      </c>
    </row>
    <row r="224">
      <c r="A224" s="8">
        <v>46141.28001239583</v>
      </c>
      <c r="B224" s="2" t="s">
        <v>9074</v>
      </c>
      <c r="C224" s="4">
        <v>1.0362119E7</v>
      </c>
      <c r="D224" s="2" t="b">
        <v>1</v>
      </c>
      <c r="E224" s="2" t="b">
        <v>1</v>
      </c>
      <c r="F224" s="2" t="s">
        <v>9241</v>
      </c>
    </row>
    <row r="225">
      <c r="A225" s="8">
        <v>46142.16781436343</v>
      </c>
      <c r="B225" s="2" t="s">
        <v>9077</v>
      </c>
      <c r="C225" s="4">
        <v>1.0377632E7</v>
      </c>
      <c r="D225" s="2" t="b">
        <v>1</v>
      </c>
      <c r="E225" s="2" t="b">
        <v>1</v>
      </c>
      <c r="F225" s="2" t="s">
        <v>9242</v>
      </c>
    </row>
    <row r="226">
      <c r="A226" s="8">
        <v>46142.167815231485</v>
      </c>
      <c r="B226" s="2" t="s">
        <v>9077</v>
      </c>
      <c r="C226" s="4">
        <v>1.0377632E7</v>
      </c>
      <c r="D226" s="2" t="b">
        <v>1</v>
      </c>
      <c r="E226" s="2" t="b">
        <v>1</v>
      </c>
      <c r="F226" s="2" t="s">
        <v>9243</v>
      </c>
    </row>
    <row r="227">
      <c r="A227" s="8">
        <v>46142.16782188657</v>
      </c>
      <c r="B227" s="2" t="s">
        <v>9089</v>
      </c>
      <c r="C227" s="4">
        <v>1.0377632E7</v>
      </c>
      <c r="D227" s="2" t="b">
        <v>1</v>
      </c>
      <c r="E227" s="2" t="b">
        <v>1</v>
      </c>
      <c r="F227" s="2" t="s">
        <v>9244</v>
      </c>
    </row>
    <row r="228">
      <c r="A228" s="8">
        <v>46142.167838912035</v>
      </c>
      <c r="B228" s="2" t="s">
        <v>9089</v>
      </c>
      <c r="C228" s="4">
        <v>1.0377632E7</v>
      </c>
      <c r="D228" s="2" t="b">
        <v>1</v>
      </c>
      <c r="E228" s="2" t="b">
        <v>1</v>
      </c>
      <c r="F228" s="2" t="s">
        <v>9244</v>
      </c>
    </row>
    <row r="229">
      <c r="A229" s="8">
        <v>46142.16787988426</v>
      </c>
      <c r="B229" s="2" t="s">
        <v>9074</v>
      </c>
      <c r="C229" s="4">
        <v>1.0377632E7</v>
      </c>
      <c r="D229" s="2" t="b">
        <v>1</v>
      </c>
      <c r="E229" s="2" t="b">
        <v>1</v>
      </c>
      <c r="F229" s="2" t="s">
        <v>9245</v>
      </c>
    </row>
    <row r="230">
      <c r="A230" s="8">
        <v>46142.167895833336</v>
      </c>
      <c r="B230" s="2" t="s">
        <v>9089</v>
      </c>
      <c r="C230" s="4">
        <v>1.0377632E7</v>
      </c>
      <c r="D230" s="2" t="b">
        <v>1</v>
      </c>
      <c r="E230" s="2" t="b">
        <v>1</v>
      </c>
      <c r="F230" s="2" t="s">
        <v>9244</v>
      </c>
    </row>
    <row r="231">
      <c r="A231" s="8">
        <v>46148.335405474536</v>
      </c>
      <c r="B231" s="2" t="s">
        <v>9077</v>
      </c>
      <c r="C231" s="4">
        <v>1.0604229E7</v>
      </c>
      <c r="D231" s="2" t="b">
        <v>1</v>
      </c>
      <c r="E231" s="2" t="b">
        <v>1</v>
      </c>
      <c r="F231" s="2" t="s">
        <v>9246</v>
      </c>
    </row>
    <row r="232">
      <c r="A232" s="8">
        <v>46148.33541480324</v>
      </c>
      <c r="B232" s="2" t="s">
        <v>9089</v>
      </c>
      <c r="C232" s="4">
        <v>1.0604229E7</v>
      </c>
      <c r="D232" s="2" t="b">
        <v>1</v>
      </c>
      <c r="E232" s="2" t="b">
        <v>1</v>
      </c>
      <c r="F232" s="2" t="s">
        <v>9244</v>
      </c>
    </row>
    <row r="233">
      <c r="A233" s="8">
        <v>46148.33543332176</v>
      </c>
      <c r="B233" s="2" t="s">
        <v>9077</v>
      </c>
      <c r="C233" s="4">
        <v>1.0604229E7</v>
      </c>
      <c r="D233" s="2" t="b">
        <v>1</v>
      </c>
      <c r="E233" s="2" t="b">
        <v>1</v>
      </c>
      <c r="F233" s="2" t="s">
        <v>9247</v>
      </c>
    </row>
    <row r="234">
      <c r="A234" s="8">
        <v>46148.335440254625</v>
      </c>
      <c r="B234" s="2" t="s">
        <v>9089</v>
      </c>
      <c r="C234" s="4">
        <v>1.0604229E7</v>
      </c>
      <c r="D234" s="2" t="b">
        <v>1</v>
      </c>
      <c r="E234" s="2" t="b">
        <v>1</v>
      </c>
      <c r="F234" s="2" t="s">
        <v>9244</v>
      </c>
    </row>
    <row r="235">
      <c r="A235" s="8">
        <v>46148.33547090278</v>
      </c>
      <c r="B235" s="2" t="s">
        <v>9074</v>
      </c>
      <c r="C235" s="4">
        <v>1.0604229E7</v>
      </c>
      <c r="D235" s="2" t="b">
        <v>1</v>
      </c>
      <c r="E235" s="2" t="b">
        <v>1</v>
      </c>
      <c r="F235" s="2" t="s">
        <v>9248</v>
      </c>
    </row>
    <row r="236">
      <c r="A236" s="8">
        <v>46148.33548232639</v>
      </c>
      <c r="B236" s="2" t="s">
        <v>9089</v>
      </c>
      <c r="C236" s="4">
        <v>1.0604229E7</v>
      </c>
      <c r="D236" s="2" t="b">
        <v>1</v>
      </c>
      <c r="E236" s="2" t="b">
        <v>1</v>
      </c>
      <c r="F236" s="2" t="s">
        <v>9244</v>
      </c>
    </row>
    <row r="237">
      <c r="A237" s="8">
        <v>46151.150256493056</v>
      </c>
      <c r="B237" s="2" t="s">
        <v>9077</v>
      </c>
      <c r="C237" s="4">
        <v>1.0687324E7</v>
      </c>
      <c r="D237" s="2" t="b">
        <v>1</v>
      </c>
      <c r="E237" s="2" t="b">
        <v>1</v>
      </c>
      <c r="F237" s="2" t="s">
        <v>9249</v>
      </c>
    </row>
    <row r="238">
      <c r="A238" s="8">
        <v>46151.15026119213</v>
      </c>
      <c r="B238" s="2" t="s">
        <v>9077</v>
      </c>
      <c r="C238" s="4">
        <v>1.0687324E7</v>
      </c>
      <c r="D238" s="2" t="b">
        <v>1</v>
      </c>
      <c r="E238" s="2" t="b">
        <v>1</v>
      </c>
      <c r="F238" s="2" t="s">
        <v>9250</v>
      </c>
    </row>
    <row r="239">
      <c r="A239" s="8">
        <v>46151.150269328704</v>
      </c>
      <c r="B239" s="2" t="s">
        <v>9089</v>
      </c>
      <c r="C239" s="4">
        <v>1.0687324E7</v>
      </c>
      <c r="D239" s="2" t="b">
        <v>1</v>
      </c>
      <c r="E239" s="2" t="b">
        <v>1</v>
      </c>
      <c r="F239" s="2" t="s">
        <v>9251</v>
      </c>
    </row>
    <row r="240">
      <c r="A240" s="8">
        <v>46151.150269687496</v>
      </c>
      <c r="B240" s="2" t="s">
        <v>9089</v>
      </c>
      <c r="C240" s="4">
        <v>1.0687324E7</v>
      </c>
      <c r="D240" s="2" t="b">
        <v>1</v>
      </c>
      <c r="E240" s="2" t="b">
        <v>1</v>
      </c>
      <c r="F240" s="2" t="s">
        <v>9251</v>
      </c>
    </row>
    <row r="241">
      <c r="A241" s="8">
        <v>46151.15030177083</v>
      </c>
      <c r="B241" s="2" t="s">
        <v>9074</v>
      </c>
      <c r="C241" s="4">
        <v>1.0687324E7</v>
      </c>
      <c r="D241" s="2" t="b">
        <v>1</v>
      </c>
      <c r="E241" s="2" t="b">
        <v>1</v>
      </c>
      <c r="F241" s="2" t="s">
        <v>9252</v>
      </c>
    </row>
    <row r="242">
      <c r="A242" s="8">
        <v>46151.150319016204</v>
      </c>
      <c r="B242" s="2" t="s">
        <v>9089</v>
      </c>
      <c r="C242" s="4">
        <v>1.0687324E7</v>
      </c>
      <c r="D242" s="2" t="b">
        <v>1</v>
      </c>
      <c r="E242" s="2" t="b">
        <v>1</v>
      </c>
      <c r="F242" s="2" t="s">
        <v>9251</v>
      </c>
    </row>
    <row r="243">
      <c r="A243" s="8">
        <v>46155.153309166664</v>
      </c>
      <c r="B243" s="2" t="s">
        <v>9077</v>
      </c>
      <c r="C243" s="4">
        <v>1.0813567E7</v>
      </c>
      <c r="D243" s="2" t="b">
        <v>1</v>
      </c>
      <c r="E243" s="2" t="b">
        <v>1</v>
      </c>
      <c r="F243" s="2" t="s">
        <v>9253</v>
      </c>
    </row>
    <row r="244">
      <c r="A244" s="8">
        <v>46155.1533103588</v>
      </c>
      <c r="B244" s="2" t="s">
        <v>9077</v>
      </c>
      <c r="C244" s="4">
        <v>1.0813567E7</v>
      </c>
      <c r="D244" s="2" t="b">
        <v>1</v>
      </c>
      <c r="E244" s="2" t="b">
        <v>1</v>
      </c>
      <c r="F244" s="2" t="s">
        <v>9254</v>
      </c>
    </row>
    <row r="245">
      <c r="A245" s="8">
        <v>46155.153317557866</v>
      </c>
      <c r="B245" s="2" t="s">
        <v>9089</v>
      </c>
      <c r="C245" s="4">
        <v>1.0813567E7</v>
      </c>
      <c r="D245" s="2" t="b">
        <v>1</v>
      </c>
      <c r="E245" s="2" t="b">
        <v>1</v>
      </c>
      <c r="F245" s="2" t="s">
        <v>9255</v>
      </c>
    </row>
    <row r="246">
      <c r="A246" s="8">
        <v>46155.15331875</v>
      </c>
      <c r="B246" s="2" t="s">
        <v>9089</v>
      </c>
      <c r="C246" s="4">
        <v>1.0813567E7</v>
      </c>
      <c r="D246" s="2" t="b">
        <v>1</v>
      </c>
      <c r="E246" s="2" t="b">
        <v>1</v>
      </c>
      <c r="F246" s="2" t="s">
        <v>9255</v>
      </c>
    </row>
    <row r="247">
      <c r="A247" s="8">
        <v>46155.15335883102</v>
      </c>
      <c r="B247" s="2" t="s">
        <v>9074</v>
      </c>
      <c r="C247" s="4">
        <v>1.0813567E7</v>
      </c>
      <c r="D247" s="2" t="b">
        <v>1</v>
      </c>
      <c r="E247" s="2" t="b">
        <v>1</v>
      </c>
      <c r="F247" s="2" t="s">
        <v>9256</v>
      </c>
    </row>
    <row r="248">
      <c r="A248" s="8">
        <v>46155.15336841435</v>
      </c>
      <c r="B248" s="2" t="s">
        <v>9089</v>
      </c>
      <c r="C248" s="4">
        <v>1.0813567E7</v>
      </c>
      <c r="D248" s="2" t="b">
        <v>1</v>
      </c>
      <c r="E248" s="2" t="b">
        <v>1</v>
      </c>
      <c r="F248" s="2" t="s">
        <v>9255</v>
      </c>
    </row>
    <row r="249">
      <c r="A249" s="8">
        <v>46155.3512699537</v>
      </c>
      <c r="B249" s="2" t="s">
        <v>9077</v>
      </c>
      <c r="C249" s="4">
        <v>1.081932E7</v>
      </c>
      <c r="D249" s="2" t="b">
        <v>1</v>
      </c>
      <c r="E249" s="2" t="b">
        <v>1</v>
      </c>
      <c r="F249" s="2" t="s">
        <v>9257</v>
      </c>
    </row>
    <row r="250">
      <c r="A250" s="8">
        <v>46155.35130206018</v>
      </c>
      <c r="B250" s="2" t="s">
        <v>9089</v>
      </c>
      <c r="C250" s="4">
        <v>1.081932E7</v>
      </c>
      <c r="D250" s="2" t="b">
        <v>1</v>
      </c>
      <c r="E250" s="2" t="b">
        <v>1</v>
      </c>
      <c r="F250" s="2" t="s">
        <v>9258</v>
      </c>
    </row>
    <row r="251">
      <c r="A251" s="8">
        <v>46155.35130701389</v>
      </c>
      <c r="B251" s="2" t="s">
        <v>9077</v>
      </c>
      <c r="C251" s="4">
        <v>1.081932E7</v>
      </c>
      <c r="D251" s="2" t="b">
        <v>1</v>
      </c>
      <c r="E251" s="2" t="b">
        <v>1</v>
      </c>
      <c r="F251" s="2" t="s">
        <v>9259</v>
      </c>
    </row>
    <row r="252">
      <c r="A252" s="8">
        <v>46155.35131543981</v>
      </c>
      <c r="B252" s="2" t="s">
        <v>9089</v>
      </c>
      <c r="C252" s="4">
        <v>1.081932E7</v>
      </c>
      <c r="D252" s="2" t="b">
        <v>1</v>
      </c>
      <c r="E252" s="2" t="b">
        <v>1</v>
      </c>
      <c r="F252" s="2" t="s">
        <v>9258</v>
      </c>
    </row>
    <row r="253">
      <c r="A253" s="8">
        <v>46155.351347592594</v>
      </c>
      <c r="B253" s="2" t="s">
        <v>9074</v>
      </c>
      <c r="C253" s="4">
        <v>1.081932E7</v>
      </c>
      <c r="D253" s="2" t="b">
        <v>1</v>
      </c>
      <c r="E253" s="2" t="b">
        <v>1</v>
      </c>
      <c r="F253" s="2" t="s">
        <v>9260</v>
      </c>
    </row>
    <row r="254">
      <c r="A254" s="8">
        <v>46155.351362002315</v>
      </c>
      <c r="B254" s="2" t="s">
        <v>9089</v>
      </c>
      <c r="C254" s="4">
        <v>1.081932E7</v>
      </c>
      <c r="D254" s="2" t="b">
        <v>1</v>
      </c>
      <c r="E254" s="2" t="b">
        <v>1</v>
      </c>
      <c r="F254" s="2" t="s">
        <v>9258</v>
      </c>
    </row>
    <row r="255">
      <c r="A255" s="8">
        <v>46156.404414756944</v>
      </c>
      <c r="B255" s="2" t="s">
        <v>9077</v>
      </c>
      <c r="C255" s="4">
        <v>1.0842613E7</v>
      </c>
      <c r="D255" s="2" t="b">
        <v>1</v>
      </c>
      <c r="E255" s="2" t="b">
        <v>1</v>
      </c>
      <c r="F255" s="2" t="s">
        <v>9261</v>
      </c>
    </row>
    <row r="256">
      <c r="A256" s="8">
        <v>46156.40441516203</v>
      </c>
      <c r="B256" s="2" t="s">
        <v>9077</v>
      </c>
      <c r="C256" s="4">
        <v>1.0842613E7</v>
      </c>
      <c r="D256" s="2" t="b">
        <v>1</v>
      </c>
      <c r="E256" s="2" t="b">
        <v>1</v>
      </c>
      <c r="F256" s="2" t="s">
        <v>9262</v>
      </c>
    </row>
    <row r="257">
      <c r="A257" s="8">
        <v>46156.40442739583</v>
      </c>
      <c r="B257" s="2" t="s">
        <v>9089</v>
      </c>
      <c r="C257" s="4">
        <v>1.0842613E7</v>
      </c>
      <c r="D257" s="2" t="b">
        <v>1</v>
      </c>
      <c r="E257" s="2" t="b">
        <v>1</v>
      </c>
      <c r="F257" s="2" t="s">
        <v>9263</v>
      </c>
    </row>
    <row r="258">
      <c r="A258" s="8">
        <v>46156.404428842594</v>
      </c>
      <c r="B258" s="2" t="s">
        <v>9089</v>
      </c>
      <c r="C258" s="4">
        <v>1.0842613E7</v>
      </c>
      <c r="D258" s="2" t="b">
        <v>1</v>
      </c>
      <c r="E258" s="2" t="b">
        <v>1</v>
      </c>
      <c r="F258" s="2" t="s">
        <v>9263</v>
      </c>
    </row>
    <row r="259">
      <c r="A259" s="8">
        <v>46156.40446208333</v>
      </c>
      <c r="B259" s="2" t="s">
        <v>9074</v>
      </c>
      <c r="C259" s="4">
        <v>1.0842613E7</v>
      </c>
      <c r="D259" s="2" t="b">
        <v>1</v>
      </c>
      <c r="E259" s="2" t="b">
        <v>1</v>
      </c>
      <c r="F259" s="2" t="s">
        <v>9264</v>
      </c>
    </row>
    <row r="260">
      <c r="A260" s="8">
        <v>46156.40448462963</v>
      </c>
      <c r="B260" s="2" t="s">
        <v>9089</v>
      </c>
      <c r="C260" s="4">
        <v>1.0842613E7</v>
      </c>
      <c r="D260" s="2" t="b">
        <v>1</v>
      </c>
      <c r="E260" s="2" t="b">
        <v>1</v>
      </c>
      <c r="F260" s="2" t="s">
        <v>9263</v>
      </c>
    </row>
    <row r="261">
      <c r="A261" s="8">
        <v>46156.40459569445</v>
      </c>
      <c r="B261" s="2" t="s">
        <v>9077</v>
      </c>
      <c r="C261" s="4">
        <v>1.084264E7</v>
      </c>
      <c r="D261" s="2" t="b">
        <v>1</v>
      </c>
      <c r="E261" s="2" t="b">
        <v>1</v>
      </c>
      <c r="F261" s="2" t="s">
        <v>9265</v>
      </c>
    </row>
    <row r="262">
      <c r="A262" s="8">
        <v>46156.40459883102</v>
      </c>
      <c r="B262" s="2" t="s">
        <v>9077</v>
      </c>
      <c r="C262" s="4">
        <v>1.084264E7</v>
      </c>
      <c r="D262" s="2" t="b">
        <v>1</v>
      </c>
      <c r="E262" s="2" t="b">
        <v>1</v>
      </c>
      <c r="F262" s="2" t="s">
        <v>9266</v>
      </c>
    </row>
    <row r="263">
      <c r="A263" s="8">
        <v>46156.40460675926</v>
      </c>
      <c r="B263" s="2" t="s">
        <v>9089</v>
      </c>
      <c r="C263" s="4">
        <v>1.084264E7</v>
      </c>
      <c r="D263" s="2" t="b">
        <v>1</v>
      </c>
      <c r="E263" s="2" t="b">
        <v>1</v>
      </c>
      <c r="F263" s="2" t="s">
        <v>9263</v>
      </c>
    </row>
    <row r="264">
      <c r="A264" s="8">
        <v>46156.40461052083</v>
      </c>
      <c r="B264" s="2" t="s">
        <v>9089</v>
      </c>
      <c r="C264" s="4">
        <v>1.084264E7</v>
      </c>
      <c r="D264" s="2" t="b">
        <v>1</v>
      </c>
      <c r="E264" s="2" t="b">
        <v>1</v>
      </c>
      <c r="F264" s="2" t="s">
        <v>9263</v>
      </c>
    </row>
    <row r="265">
      <c r="A265" s="8">
        <v>46156.40463771991</v>
      </c>
      <c r="B265" s="2" t="s">
        <v>9074</v>
      </c>
      <c r="C265" s="4">
        <v>1.084264E7</v>
      </c>
      <c r="D265" s="2" t="b">
        <v>1</v>
      </c>
      <c r="E265" s="2" t="b">
        <v>1</v>
      </c>
      <c r="F265" s="2" t="s">
        <v>9267</v>
      </c>
    </row>
    <row r="266">
      <c r="A266" s="8">
        <v>46156.404657708335</v>
      </c>
      <c r="B266" s="2" t="s">
        <v>9089</v>
      </c>
      <c r="C266" s="4">
        <v>1.084264E7</v>
      </c>
      <c r="D266" s="2" t="b">
        <v>1</v>
      </c>
      <c r="E266" s="2" t="b">
        <v>1</v>
      </c>
      <c r="F266" s="2" t="s">
        <v>9263</v>
      </c>
    </row>
    <row r="267">
      <c r="A267" s="8">
        <v>46162.379538912035</v>
      </c>
      <c r="B267" s="2" t="s">
        <v>9077</v>
      </c>
      <c r="C267" s="4">
        <v>1.1065217E7</v>
      </c>
      <c r="D267" s="2" t="b">
        <v>1</v>
      </c>
      <c r="E267" s="2" t="b">
        <v>1</v>
      </c>
      <c r="F267" s="2" t="s">
        <v>9268</v>
      </c>
    </row>
    <row r="268">
      <c r="A268" s="8">
        <v>46162.379537326386</v>
      </c>
      <c r="B268" s="2" t="s">
        <v>9077</v>
      </c>
      <c r="C268" s="4">
        <v>1.1065217E7</v>
      </c>
      <c r="D268" s="2" t="b">
        <v>1</v>
      </c>
      <c r="E268" s="2" t="b">
        <v>1</v>
      </c>
      <c r="F268" s="2" t="s">
        <v>9269</v>
      </c>
    </row>
    <row r="269">
      <c r="A269" s="8">
        <v>46162.37956120371</v>
      </c>
      <c r="B269" s="2" t="s">
        <v>9089</v>
      </c>
      <c r="C269" s="4">
        <v>1.1065217E7</v>
      </c>
      <c r="D269" s="2" t="b">
        <v>1</v>
      </c>
      <c r="E269" s="2" t="b">
        <v>1</v>
      </c>
      <c r="F269" s="2" t="s">
        <v>9270</v>
      </c>
    </row>
    <row r="270">
      <c r="A270" s="8">
        <v>46162.37956295139</v>
      </c>
      <c r="B270" s="2" t="s">
        <v>9089</v>
      </c>
      <c r="C270" s="4">
        <v>1.1065217E7</v>
      </c>
      <c r="D270" s="2" t="b">
        <v>1</v>
      </c>
      <c r="E270" s="2" t="b">
        <v>1</v>
      </c>
      <c r="F270" s="2" t="s">
        <v>9270</v>
      </c>
    </row>
    <row r="271">
      <c r="A271" s="8">
        <v>46162.379591006946</v>
      </c>
      <c r="B271" s="2" t="s">
        <v>9074</v>
      </c>
      <c r="C271" s="4">
        <v>1.1065217E7</v>
      </c>
      <c r="D271" s="2" t="b">
        <v>1</v>
      </c>
      <c r="E271" s="2" t="b">
        <v>1</v>
      </c>
      <c r="F271" s="2" t="s">
        <v>9271</v>
      </c>
    </row>
    <row r="272">
      <c r="A272" s="8">
        <v>46162.379615451384</v>
      </c>
      <c r="B272" s="2" t="s">
        <v>9089</v>
      </c>
      <c r="C272" s="4">
        <v>1.1065217E7</v>
      </c>
      <c r="D272" s="2" t="b">
        <v>1</v>
      </c>
      <c r="E272" s="2" t="b">
        <v>1</v>
      </c>
      <c r="F272" s="2" t="s">
        <v>9270</v>
      </c>
    </row>
    <row r="273">
      <c r="A273" s="8">
        <v>46164.183856574076</v>
      </c>
      <c r="B273" s="2" t="s">
        <v>9077</v>
      </c>
      <c r="C273" s="4">
        <v>1.111222E7</v>
      </c>
      <c r="D273" s="2" t="b">
        <v>1</v>
      </c>
      <c r="E273" s="2" t="b">
        <v>1</v>
      </c>
      <c r="F273" s="2" t="s">
        <v>9272</v>
      </c>
    </row>
    <row r="274">
      <c r="A274" s="8">
        <v>46164.183856793985</v>
      </c>
      <c r="B274" s="2" t="s">
        <v>9077</v>
      </c>
      <c r="C274" s="4">
        <v>1.111222E7</v>
      </c>
      <c r="D274" s="2" t="b">
        <v>1</v>
      </c>
      <c r="E274" s="2" t="b">
        <v>1</v>
      </c>
      <c r="F274" s="2" t="s">
        <v>9273</v>
      </c>
    </row>
    <row r="275">
      <c r="A275" s="8">
        <v>46164.1838737037</v>
      </c>
      <c r="B275" s="2" t="s">
        <v>9089</v>
      </c>
      <c r="C275" s="4">
        <v>1.111222E7</v>
      </c>
      <c r="D275" s="2" t="b">
        <v>1</v>
      </c>
      <c r="E275" s="2" t="b">
        <v>1</v>
      </c>
      <c r="F275" s="2" t="s">
        <v>9274</v>
      </c>
    </row>
    <row r="276">
      <c r="A276" s="8">
        <v>46164.18388082176</v>
      </c>
      <c r="B276" s="2" t="s">
        <v>9089</v>
      </c>
      <c r="C276" s="4">
        <v>1.111222E7</v>
      </c>
      <c r="D276" s="2" t="b">
        <v>1</v>
      </c>
      <c r="E276" s="2" t="b">
        <v>1</v>
      </c>
      <c r="F276" s="2" t="s">
        <v>9274</v>
      </c>
    </row>
    <row r="277">
      <c r="A277" s="8">
        <v>46164.18390496528</v>
      </c>
      <c r="B277" s="2" t="s">
        <v>9074</v>
      </c>
      <c r="C277" s="4">
        <v>1.111222E7</v>
      </c>
      <c r="D277" s="2" t="b">
        <v>1</v>
      </c>
      <c r="E277" s="2" t="b">
        <v>1</v>
      </c>
      <c r="F277" s="2" t="s">
        <v>9275</v>
      </c>
    </row>
    <row r="278">
      <c r="A278" s="8">
        <v>46164.183914849535</v>
      </c>
      <c r="B278" s="2" t="s">
        <v>9089</v>
      </c>
      <c r="C278" s="4">
        <v>1.111222E7</v>
      </c>
      <c r="D278" s="2" t="b">
        <v>1</v>
      </c>
      <c r="E278" s="2" t="b">
        <v>1</v>
      </c>
      <c r="F278" s="2" t="s">
        <v>9274</v>
      </c>
    </row>
    <row r="279">
      <c r="A279" s="8">
        <v>46164.3701414699</v>
      </c>
      <c r="B279" s="2" t="s">
        <v>9077</v>
      </c>
      <c r="C279" s="4">
        <v>1.1117651E7</v>
      </c>
      <c r="D279" s="2" t="b">
        <v>1</v>
      </c>
      <c r="E279" s="2" t="b">
        <v>1</v>
      </c>
      <c r="F279" s="2" t="s">
        <v>9276</v>
      </c>
    </row>
    <row r="280">
      <c r="A280" s="8">
        <v>46164.37014131944</v>
      </c>
      <c r="B280" s="2" t="s">
        <v>9077</v>
      </c>
      <c r="C280" s="4">
        <v>1.1117651E7</v>
      </c>
      <c r="D280" s="2" t="b">
        <v>1</v>
      </c>
      <c r="E280" s="2" t="b">
        <v>1</v>
      </c>
      <c r="F280" s="2" t="s">
        <v>9277</v>
      </c>
    </row>
    <row r="281">
      <c r="A281" s="8">
        <v>46164.37014960648</v>
      </c>
      <c r="B281" s="2" t="s">
        <v>9089</v>
      </c>
      <c r="C281" s="4">
        <v>1.1117651E7</v>
      </c>
      <c r="D281" s="2" t="b">
        <v>1</v>
      </c>
      <c r="E281" s="2" t="b">
        <v>1</v>
      </c>
      <c r="F281" s="2" t="s">
        <v>9278</v>
      </c>
    </row>
    <row r="282">
      <c r="A282" s="8">
        <v>46164.37016219908</v>
      </c>
      <c r="B282" s="2" t="s">
        <v>9089</v>
      </c>
      <c r="C282" s="4">
        <v>1.1117651E7</v>
      </c>
      <c r="D282" s="2" t="b">
        <v>1</v>
      </c>
      <c r="E282" s="2" t="b">
        <v>1</v>
      </c>
      <c r="F282" s="2" t="s">
        <v>9278</v>
      </c>
    </row>
    <row r="283">
      <c r="A283" s="8">
        <v>46164.37018820602</v>
      </c>
      <c r="B283" s="2" t="s">
        <v>9074</v>
      </c>
      <c r="C283" s="4">
        <v>1.1117651E7</v>
      </c>
      <c r="D283" s="2" t="b">
        <v>1</v>
      </c>
      <c r="E283" s="2" t="b">
        <v>1</v>
      </c>
      <c r="F283" s="2" t="s">
        <v>9279</v>
      </c>
    </row>
    <row r="284">
      <c r="A284" s="8">
        <v>46164.37020965278</v>
      </c>
      <c r="B284" s="2" t="s">
        <v>9089</v>
      </c>
      <c r="C284" s="4">
        <v>1.1117651E7</v>
      </c>
      <c r="D284" s="2" t="b">
        <v>1</v>
      </c>
      <c r="E284" s="2" t="b">
        <v>1</v>
      </c>
      <c r="F284" s="2" t="s">
        <v>9278</v>
      </c>
    </row>
    <row r="285">
      <c r="A285" s="8">
        <v>46164.39426810185</v>
      </c>
      <c r="B285" s="2" t="s">
        <v>9077</v>
      </c>
      <c r="C285" s="4">
        <v>1.111873E7</v>
      </c>
      <c r="D285" s="2" t="b">
        <v>1</v>
      </c>
      <c r="E285" s="2" t="b">
        <v>1</v>
      </c>
      <c r="F285" s="2" t="s">
        <v>9280</v>
      </c>
    </row>
    <row r="286">
      <c r="A286" s="8">
        <v>46164.394268379634</v>
      </c>
      <c r="B286" s="2" t="s">
        <v>9077</v>
      </c>
      <c r="C286" s="4">
        <v>1.111873E7</v>
      </c>
      <c r="D286" s="2" t="b">
        <v>1</v>
      </c>
      <c r="E286" s="2" t="b">
        <v>1</v>
      </c>
      <c r="F286" s="2" t="s">
        <v>9281</v>
      </c>
    </row>
    <row r="287">
      <c r="A287" s="8">
        <v>46164.39427898148</v>
      </c>
      <c r="B287" s="2" t="s">
        <v>9089</v>
      </c>
      <c r="C287" s="4">
        <v>1.111873E7</v>
      </c>
      <c r="D287" s="2" t="b">
        <v>1</v>
      </c>
      <c r="E287" s="2" t="b">
        <v>1</v>
      </c>
      <c r="F287" s="2" t="s">
        <v>9282</v>
      </c>
    </row>
    <row r="288">
      <c r="A288" s="8">
        <v>46164.39427990741</v>
      </c>
      <c r="B288" s="2" t="s">
        <v>9089</v>
      </c>
      <c r="C288" s="4">
        <v>1.111873E7</v>
      </c>
      <c r="D288" s="2" t="b">
        <v>1</v>
      </c>
      <c r="E288" s="2" t="b">
        <v>1</v>
      </c>
      <c r="F288" s="2" t="s">
        <v>9282</v>
      </c>
    </row>
    <row r="289">
      <c r="A289" s="8">
        <v>46164.394308773146</v>
      </c>
      <c r="B289" s="2" t="s">
        <v>9074</v>
      </c>
      <c r="C289" s="4">
        <v>1.111873E7</v>
      </c>
      <c r="D289" s="2" t="b">
        <v>1</v>
      </c>
      <c r="E289" s="2" t="b">
        <v>1</v>
      </c>
      <c r="F289" s="2" t="s">
        <v>9283</v>
      </c>
    </row>
    <row r="290">
      <c r="A290" s="8">
        <v>46164.3943184838</v>
      </c>
      <c r="B290" s="2" t="s">
        <v>9089</v>
      </c>
      <c r="C290" s="4">
        <v>1.111873E7</v>
      </c>
      <c r="D290" s="2" t="b">
        <v>1</v>
      </c>
      <c r="E290" s="2" t="b">
        <v>1</v>
      </c>
      <c r="F290" s="2" t="s">
        <v>9282</v>
      </c>
    </row>
    <row r="291">
      <c r="A291" s="8">
        <v>46164.407573159726</v>
      </c>
      <c r="B291" s="2" t="s">
        <v>9077</v>
      </c>
      <c r="C291" s="4">
        <v>1.1119615E7</v>
      </c>
      <c r="D291" s="2" t="b">
        <v>1</v>
      </c>
      <c r="E291" s="2" t="b">
        <v>1</v>
      </c>
      <c r="F291" s="2" t="s">
        <v>9284</v>
      </c>
    </row>
    <row r="292">
      <c r="A292" s="8">
        <v>46164.40757408565</v>
      </c>
      <c r="B292" s="2" t="s">
        <v>9077</v>
      </c>
      <c r="C292" s="4">
        <v>1.1119615E7</v>
      </c>
      <c r="D292" s="2" t="b">
        <v>1</v>
      </c>
      <c r="E292" s="2" t="b">
        <v>1</v>
      </c>
      <c r="F292" s="2" t="s">
        <v>9285</v>
      </c>
    </row>
    <row r="293">
      <c r="A293" s="8">
        <v>46164.40758284723</v>
      </c>
      <c r="B293" s="2" t="s">
        <v>9089</v>
      </c>
      <c r="C293" s="4">
        <v>1.1119615E7</v>
      </c>
      <c r="D293" s="2" t="b">
        <v>1</v>
      </c>
      <c r="E293" s="2" t="b">
        <v>1</v>
      </c>
      <c r="F293" s="2" t="s">
        <v>9282</v>
      </c>
    </row>
    <row r="294">
      <c r="A294" s="8">
        <v>46164.40758328704</v>
      </c>
      <c r="B294" s="2" t="s">
        <v>9089</v>
      </c>
      <c r="C294" s="4">
        <v>1.1119615E7</v>
      </c>
      <c r="D294" s="2" t="b">
        <v>1</v>
      </c>
      <c r="E294" s="2" t="b">
        <v>1</v>
      </c>
      <c r="F294" s="2" t="s">
        <v>9282</v>
      </c>
    </row>
    <row r="295">
      <c r="A295" s="8">
        <v>46164.40760983796</v>
      </c>
      <c r="B295" s="2" t="s">
        <v>9074</v>
      </c>
      <c r="C295" s="4">
        <v>1.1119615E7</v>
      </c>
      <c r="D295" s="2" t="b">
        <v>1</v>
      </c>
      <c r="E295" s="2" t="b">
        <v>1</v>
      </c>
      <c r="F295" s="2" t="s">
        <v>9286</v>
      </c>
    </row>
    <row r="296">
      <c r="A296" s="8">
        <v>46164.40762283565</v>
      </c>
      <c r="B296" s="2" t="s">
        <v>9089</v>
      </c>
      <c r="C296" s="4">
        <v>1.1119615E7</v>
      </c>
      <c r="D296" s="2" t="b">
        <v>1</v>
      </c>
      <c r="E296" s="2" t="b">
        <v>1</v>
      </c>
      <c r="F296" s="2" t="s">
        <v>9282</v>
      </c>
    </row>
    <row r="297">
      <c r="A297" s="8">
        <v>46164.40821546296</v>
      </c>
      <c r="B297" s="2" t="s">
        <v>9077</v>
      </c>
      <c r="C297" s="4">
        <v>1.1119679E7</v>
      </c>
      <c r="D297" s="2" t="b">
        <v>1</v>
      </c>
      <c r="E297" s="2" t="b">
        <v>1</v>
      </c>
      <c r="F297" s="2" t="s">
        <v>9287</v>
      </c>
    </row>
    <row r="298">
      <c r="A298" s="8">
        <v>46164.40821671297</v>
      </c>
      <c r="B298" s="2" t="s">
        <v>9077</v>
      </c>
      <c r="C298" s="4">
        <v>1.1119679E7</v>
      </c>
      <c r="D298" s="2" t="b">
        <v>1</v>
      </c>
      <c r="E298" s="2" t="b">
        <v>1</v>
      </c>
      <c r="F298" s="2" t="s">
        <v>9288</v>
      </c>
    </row>
    <row r="299">
      <c r="A299" s="8">
        <v>46164.40822650463</v>
      </c>
      <c r="B299" s="2" t="s">
        <v>9089</v>
      </c>
      <c r="C299" s="4">
        <v>1.1119679E7</v>
      </c>
      <c r="D299" s="2" t="b">
        <v>1</v>
      </c>
      <c r="E299" s="2" t="b">
        <v>1</v>
      </c>
      <c r="F299" s="2" t="s">
        <v>9289</v>
      </c>
    </row>
    <row r="300">
      <c r="A300" s="8">
        <v>46164.408234305556</v>
      </c>
      <c r="B300" s="2" t="s">
        <v>9089</v>
      </c>
      <c r="C300" s="4">
        <v>1.1119679E7</v>
      </c>
      <c r="D300" s="2" t="b">
        <v>1</v>
      </c>
      <c r="E300" s="2" t="b">
        <v>1</v>
      </c>
      <c r="F300" s="2" t="s">
        <v>9289</v>
      </c>
    </row>
    <row r="301">
      <c r="A301" s="8">
        <v>46164.40826589121</v>
      </c>
      <c r="B301" s="2" t="s">
        <v>9074</v>
      </c>
      <c r="C301" s="4">
        <v>1.1119679E7</v>
      </c>
      <c r="D301" s="2" t="b">
        <v>1</v>
      </c>
      <c r="E301" s="2" t="b">
        <v>1</v>
      </c>
      <c r="F301" s="2" t="s">
        <v>9290</v>
      </c>
    </row>
    <row r="302">
      <c r="A302" s="8">
        <v>46164.40827646991</v>
      </c>
      <c r="B302" s="2" t="s">
        <v>9089</v>
      </c>
      <c r="C302" s="4">
        <v>1.1119679E7</v>
      </c>
      <c r="D302" s="2" t="b">
        <v>1</v>
      </c>
      <c r="E302" s="2" t="b">
        <v>1</v>
      </c>
      <c r="F302" s="2" t="s">
        <v>9289</v>
      </c>
    </row>
    <row r="303">
      <c r="A303" s="8">
        <v>46165.19079368055</v>
      </c>
      <c r="B303" s="2" t="s">
        <v>9077</v>
      </c>
      <c r="C303" s="4">
        <v>1.1162147E7</v>
      </c>
      <c r="D303" s="2" t="b">
        <v>1</v>
      </c>
      <c r="E303" s="2" t="b">
        <v>1</v>
      </c>
      <c r="F303" s="2" t="s">
        <v>9291</v>
      </c>
    </row>
    <row r="304">
      <c r="A304" s="8">
        <v>46165.19080635416</v>
      </c>
      <c r="B304" s="2" t="s">
        <v>9089</v>
      </c>
      <c r="C304" s="4">
        <v>1.1162147E7</v>
      </c>
      <c r="D304" s="2" t="b">
        <v>1</v>
      </c>
      <c r="E304" s="2" t="b">
        <v>1</v>
      </c>
      <c r="F304" s="2" t="s">
        <v>9292</v>
      </c>
    </row>
    <row r="305">
      <c r="A305" s="8">
        <v>46165.190811886576</v>
      </c>
      <c r="B305" s="2" t="s">
        <v>9077</v>
      </c>
      <c r="C305" s="4">
        <v>1.1162147E7</v>
      </c>
      <c r="D305" s="2" t="b">
        <v>1</v>
      </c>
      <c r="E305" s="2" t="b">
        <v>1</v>
      </c>
      <c r="F305" s="2" t="s">
        <v>9293</v>
      </c>
    </row>
    <row r="306">
      <c r="A306" s="8">
        <v>46165.19082831018</v>
      </c>
      <c r="B306" s="2" t="s">
        <v>9089</v>
      </c>
      <c r="C306" s="4">
        <v>1.1162147E7</v>
      </c>
      <c r="D306" s="2" t="b">
        <v>1</v>
      </c>
      <c r="E306" s="2" t="b">
        <v>1</v>
      </c>
      <c r="F306" s="2" t="s">
        <v>9292</v>
      </c>
    </row>
    <row r="307">
      <c r="A307" s="8">
        <v>46165.19085475695</v>
      </c>
      <c r="B307" s="2" t="s">
        <v>9074</v>
      </c>
      <c r="C307" s="4">
        <v>1.1162147E7</v>
      </c>
      <c r="D307" s="2" t="b">
        <v>1</v>
      </c>
      <c r="E307" s="2" t="b">
        <v>1</v>
      </c>
      <c r="F307" s="2" t="s">
        <v>9294</v>
      </c>
    </row>
    <row r="308">
      <c r="A308" s="8">
        <v>46165.19088202546</v>
      </c>
      <c r="B308" s="2" t="s">
        <v>9089</v>
      </c>
      <c r="C308" s="4">
        <v>1.1162147E7</v>
      </c>
      <c r="D308" s="2" t="b">
        <v>1</v>
      </c>
      <c r="E308" s="2" t="b">
        <v>1</v>
      </c>
      <c r="F308" s="2" t="s">
        <v>9292</v>
      </c>
    </row>
    <row r="309">
      <c r="A309" s="8">
        <v>46165.2126008912</v>
      </c>
      <c r="B309" s="2" t="s">
        <v>9077</v>
      </c>
      <c r="C309" s="4">
        <v>1.1163746E7</v>
      </c>
      <c r="D309" s="2" t="b">
        <v>1</v>
      </c>
      <c r="E309" s="2" t="b">
        <v>1</v>
      </c>
      <c r="F309" s="2" t="s">
        <v>9295</v>
      </c>
    </row>
    <row r="310">
      <c r="A310" s="8">
        <v>46165.21260190972</v>
      </c>
      <c r="B310" s="2" t="s">
        <v>9077</v>
      </c>
      <c r="C310" s="4">
        <v>1.1163746E7</v>
      </c>
      <c r="D310" s="2" t="b">
        <v>1</v>
      </c>
      <c r="E310" s="2" t="b">
        <v>1</v>
      </c>
      <c r="F310" s="2" t="s">
        <v>9296</v>
      </c>
    </row>
    <row r="311">
      <c r="A311" s="8">
        <v>46165.2126153125</v>
      </c>
      <c r="B311" s="2" t="s">
        <v>9089</v>
      </c>
      <c r="C311" s="4">
        <v>1.1163746E7</v>
      </c>
      <c r="D311" s="2" t="b">
        <v>1</v>
      </c>
      <c r="E311" s="2" t="b">
        <v>1</v>
      </c>
      <c r="F311" s="2" t="s">
        <v>9297</v>
      </c>
    </row>
    <row r="312">
      <c r="A312" s="8">
        <v>46165.212617337966</v>
      </c>
      <c r="B312" s="2" t="s">
        <v>9089</v>
      </c>
      <c r="C312" s="4">
        <v>1.1163746E7</v>
      </c>
      <c r="D312" s="2" t="b">
        <v>1</v>
      </c>
      <c r="E312" s="2" t="b">
        <v>1</v>
      </c>
      <c r="F312" s="2" t="s">
        <v>9297</v>
      </c>
    </row>
    <row r="313">
      <c r="A313" s="8">
        <v>46165.21265884259</v>
      </c>
      <c r="B313" s="2" t="s">
        <v>9074</v>
      </c>
      <c r="C313" s="4">
        <v>1.1163746E7</v>
      </c>
      <c r="D313" s="2" t="b">
        <v>1</v>
      </c>
      <c r="E313" s="2" t="b">
        <v>1</v>
      </c>
      <c r="F313" s="2" t="s">
        <v>9298</v>
      </c>
    </row>
    <row r="314">
      <c r="A314" s="8">
        <v>46165.21267068287</v>
      </c>
      <c r="B314" s="2" t="s">
        <v>9089</v>
      </c>
      <c r="C314" s="4">
        <v>1.1163746E7</v>
      </c>
      <c r="D314" s="2" t="b">
        <v>1</v>
      </c>
      <c r="E314" s="2" t="b">
        <v>1</v>
      </c>
      <c r="F314" s="2" t="s">
        <v>9297</v>
      </c>
    </row>
    <row r="315">
      <c r="A315" s="8">
        <v>46165.31679606481</v>
      </c>
      <c r="B315" s="2" t="s">
        <v>9077</v>
      </c>
      <c r="C315" s="4">
        <v>1.116798E7</v>
      </c>
      <c r="D315" s="2" t="b">
        <v>1</v>
      </c>
      <c r="E315" s="2" t="b">
        <v>1</v>
      </c>
      <c r="F315" s="2" t="s">
        <v>9299</v>
      </c>
    </row>
    <row r="316">
      <c r="A316" s="8">
        <v>46165.316806250004</v>
      </c>
      <c r="B316" s="2" t="s">
        <v>9077</v>
      </c>
      <c r="C316" s="4">
        <v>1.116798E7</v>
      </c>
      <c r="D316" s="2" t="b">
        <v>1</v>
      </c>
      <c r="E316" s="2" t="b">
        <v>1</v>
      </c>
      <c r="F316" s="2" t="s">
        <v>9300</v>
      </c>
    </row>
    <row r="317">
      <c r="A317" s="8">
        <v>46165.31682097222</v>
      </c>
      <c r="B317" s="2" t="s">
        <v>9089</v>
      </c>
      <c r="C317" s="4">
        <v>1.116798E7</v>
      </c>
      <c r="D317" s="2" t="b">
        <v>1</v>
      </c>
      <c r="E317" s="2" t="b">
        <v>1</v>
      </c>
      <c r="F317" s="2" t="s">
        <v>9301</v>
      </c>
    </row>
    <row r="318">
      <c r="A318" s="8">
        <v>46165.31682521991</v>
      </c>
      <c r="B318" s="2" t="s">
        <v>9089</v>
      </c>
      <c r="C318" s="4">
        <v>1.116798E7</v>
      </c>
      <c r="D318" s="2" t="b">
        <v>1</v>
      </c>
      <c r="E318" s="2" t="b">
        <v>1</v>
      </c>
      <c r="F318" s="2" t="s">
        <v>9301</v>
      </c>
    </row>
    <row r="319">
      <c r="A319" s="8">
        <v>46165.3168496412</v>
      </c>
      <c r="B319" s="2" t="s">
        <v>9074</v>
      </c>
      <c r="C319" s="4">
        <v>1.116798E7</v>
      </c>
      <c r="D319" s="2" t="b">
        <v>1</v>
      </c>
      <c r="E319" s="2" t="b">
        <v>1</v>
      </c>
      <c r="F319" s="2" t="s">
        <v>9302</v>
      </c>
    </row>
    <row r="320">
      <c r="A320" s="8">
        <v>46165.316859976854</v>
      </c>
      <c r="B320" s="2" t="s">
        <v>9089</v>
      </c>
      <c r="C320" s="4">
        <v>1.116798E7</v>
      </c>
      <c r="D320" s="2" t="b">
        <v>1</v>
      </c>
      <c r="E320" s="2" t="b">
        <v>1</v>
      </c>
      <c r="F320" s="2" t="s">
        <v>9301</v>
      </c>
    </row>
    <row r="321">
      <c r="A321" s="8">
        <v>46165.32547141204</v>
      </c>
      <c r="B321" s="2" t="s">
        <v>9077</v>
      </c>
      <c r="C321" s="4">
        <v>1.1168335E7</v>
      </c>
      <c r="D321" s="2" t="b">
        <v>1</v>
      </c>
      <c r="E321" s="2" t="b">
        <v>1</v>
      </c>
      <c r="F321" s="2" t="s">
        <v>9303</v>
      </c>
    </row>
    <row r="322">
      <c r="A322" s="8">
        <v>46165.325471585646</v>
      </c>
      <c r="B322" s="2" t="s">
        <v>9077</v>
      </c>
      <c r="C322" s="4">
        <v>1.1168335E7</v>
      </c>
      <c r="D322" s="2" t="b">
        <v>1</v>
      </c>
      <c r="E322" s="2" t="b">
        <v>1</v>
      </c>
      <c r="F322" s="2" t="s">
        <v>9304</v>
      </c>
    </row>
    <row r="323">
      <c r="A323" s="8">
        <v>46165.325491041665</v>
      </c>
      <c r="B323" s="2" t="s">
        <v>9089</v>
      </c>
      <c r="C323" s="4">
        <v>1.1168335E7</v>
      </c>
      <c r="D323" s="2" t="b">
        <v>1</v>
      </c>
      <c r="E323" s="2" t="b">
        <v>1</v>
      </c>
      <c r="F323" s="2" t="s">
        <v>9305</v>
      </c>
    </row>
    <row r="324">
      <c r="A324" s="8">
        <v>46165.32549846065</v>
      </c>
      <c r="B324" s="2" t="s">
        <v>9089</v>
      </c>
      <c r="C324" s="4">
        <v>1.1168335E7</v>
      </c>
      <c r="D324" s="2" t="b">
        <v>1</v>
      </c>
      <c r="E324" s="2" t="b">
        <v>1</v>
      </c>
      <c r="F324" s="2" t="s">
        <v>9305</v>
      </c>
    </row>
    <row r="325">
      <c r="A325" s="8">
        <v>46165.325509953705</v>
      </c>
      <c r="B325" s="2" t="s">
        <v>9074</v>
      </c>
      <c r="C325" s="4">
        <v>1.1168335E7</v>
      </c>
      <c r="D325" s="2" t="b">
        <v>1</v>
      </c>
      <c r="E325" s="2" t="b">
        <v>1</v>
      </c>
      <c r="F325" s="2" t="s">
        <v>9306</v>
      </c>
    </row>
    <row r="326">
      <c r="A326" s="8">
        <v>46165.325524942135</v>
      </c>
      <c r="B326" s="2" t="s">
        <v>9089</v>
      </c>
      <c r="C326" s="4">
        <v>1.1168335E7</v>
      </c>
      <c r="D326" s="2" t="b">
        <v>1</v>
      </c>
      <c r="E326" s="2" t="b">
        <v>1</v>
      </c>
      <c r="F326" s="2" t="s">
        <v>9305</v>
      </c>
    </row>
    <row r="327">
      <c r="A327" s="8">
        <v>46165.35715548611</v>
      </c>
      <c r="B327" s="2" t="s">
        <v>9077</v>
      </c>
      <c r="C327" s="4">
        <v>1.1169994E7</v>
      </c>
      <c r="D327" s="2" t="b">
        <v>1</v>
      </c>
      <c r="E327" s="2" t="b">
        <v>1</v>
      </c>
      <c r="F327" s="2" t="s">
        <v>9307</v>
      </c>
    </row>
    <row r="328">
      <c r="A328" s="8">
        <v>46165.35715625</v>
      </c>
      <c r="B328" s="2" t="s">
        <v>9077</v>
      </c>
      <c r="C328" s="4">
        <v>1.1169994E7</v>
      </c>
      <c r="D328" s="2" t="b">
        <v>1</v>
      </c>
      <c r="E328" s="2" t="b">
        <v>1</v>
      </c>
      <c r="F328" s="2" t="s">
        <v>9308</v>
      </c>
    </row>
    <row r="329">
      <c r="A329" s="8">
        <v>46165.357165023146</v>
      </c>
      <c r="B329" s="2" t="s">
        <v>9089</v>
      </c>
      <c r="C329" s="4">
        <v>1.1169994E7</v>
      </c>
      <c r="D329" s="2" t="b">
        <v>1</v>
      </c>
      <c r="E329" s="2" t="b">
        <v>1</v>
      </c>
      <c r="F329" s="2" t="s">
        <v>9309</v>
      </c>
    </row>
    <row r="330">
      <c r="A330" s="8">
        <v>46165.35716526621</v>
      </c>
      <c r="B330" s="2" t="s">
        <v>9089</v>
      </c>
      <c r="C330" s="4">
        <v>1.1169994E7</v>
      </c>
      <c r="D330" s="2" t="b">
        <v>1</v>
      </c>
      <c r="E330" s="2" t="b">
        <v>1</v>
      </c>
      <c r="F330" s="2" t="s">
        <v>9309</v>
      </c>
    </row>
    <row r="331">
      <c r="A331" s="8">
        <v>46165.3572153125</v>
      </c>
      <c r="B331" s="2" t="s">
        <v>9074</v>
      </c>
      <c r="C331" s="4">
        <v>1.1169994E7</v>
      </c>
      <c r="D331" s="2" t="b">
        <v>1</v>
      </c>
      <c r="E331" s="2" t="b">
        <v>1</v>
      </c>
      <c r="F331" s="2" t="s">
        <v>9310</v>
      </c>
    </row>
    <row r="332">
      <c r="A332" s="8">
        <v>46165.35722851852</v>
      </c>
      <c r="B332" s="2" t="s">
        <v>9089</v>
      </c>
      <c r="C332" s="4">
        <v>1.1169994E7</v>
      </c>
      <c r="D332" s="2" t="b">
        <v>1</v>
      </c>
      <c r="E332" s="2" t="b">
        <v>1</v>
      </c>
      <c r="F332" s="2" t="s">
        <v>9309</v>
      </c>
    </row>
    <row r="333">
      <c r="A333" s="8">
        <v>46165.39391824074</v>
      </c>
      <c r="B333" s="2" t="s">
        <v>9077</v>
      </c>
      <c r="C333" s="4">
        <v>1.1172786E7</v>
      </c>
      <c r="D333" s="2" t="b">
        <v>1</v>
      </c>
      <c r="E333" s="2" t="b">
        <v>1</v>
      </c>
      <c r="F333" s="2" t="s">
        <v>9311</v>
      </c>
    </row>
    <row r="334">
      <c r="A334" s="8">
        <v>46165.39393143519</v>
      </c>
      <c r="B334" s="2" t="s">
        <v>9077</v>
      </c>
      <c r="C334" s="4">
        <v>1.1172786E7</v>
      </c>
      <c r="D334" s="2" t="b">
        <v>1</v>
      </c>
      <c r="E334" s="2" t="b">
        <v>1</v>
      </c>
      <c r="F334" s="2" t="s">
        <v>9312</v>
      </c>
    </row>
    <row r="335">
      <c r="A335" s="8">
        <v>46165.3939430787</v>
      </c>
      <c r="B335" s="2" t="s">
        <v>9089</v>
      </c>
      <c r="C335" s="4">
        <v>1.1172786E7</v>
      </c>
      <c r="D335" s="2" t="b">
        <v>1</v>
      </c>
      <c r="E335" s="2" t="b">
        <v>1</v>
      </c>
      <c r="F335" s="2" t="s">
        <v>9313</v>
      </c>
    </row>
    <row r="336">
      <c r="A336" s="8">
        <v>46165.393947233795</v>
      </c>
      <c r="B336" s="2" t="s">
        <v>9089</v>
      </c>
      <c r="C336" s="4">
        <v>1.1172786E7</v>
      </c>
      <c r="D336" s="2" t="b">
        <v>1</v>
      </c>
      <c r="E336" s="2" t="b">
        <v>1</v>
      </c>
      <c r="F336" s="2" t="s">
        <v>9313</v>
      </c>
    </row>
    <row r="337">
      <c r="A337" s="8">
        <v>46165.39398219908</v>
      </c>
      <c r="B337" s="2" t="s">
        <v>9074</v>
      </c>
      <c r="C337" s="4">
        <v>1.1172786E7</v>
      </c>
      <c r="D337" s="2" t="b">
        <v>1</v>
      </c>
      <c r="E337" s="2" t="b">
        <v>1</v>
      </c>
      <c r="F337" s="2" t="s">
        <v>9314</v>
      </c>
    </row>
    <row r="338">
      <c r="A338" s="8">
        <v>46165.394001458335</v>
      </c>
      <c r="B338" s="2" t="s">
        <v>9089</v>
      </c>
      <c r="C338" s="4">
        <v>1.1172786E7</v>
      </c>
      <c r="D338" s="2" t="b">
        <v>1</v>
      </c>
      <c r="E338" s="2" t="b">
        <v>1</v>
      </c>
      <c r="F338" s="2" t="s">
        <v>9313</v>
      </c>
    </row>
    <row r="339">
      <c r="A339" s="8">
        <v>46165.40068046296</v>
      </c>
      <c r="B339" s="2" t="s">
        <v>9077</v>
      </c>
      <c r="C339" s="4">
        <v>1.1173486E7</v>
      </c>
      <c r="D339" s="2" t="b">
        <v>1</v>
      </c>
      <c r="E339" s="2" t="b">
        <v>1</v>
      </c>
      <c r="F339" s="2" t="s">
        <v>9315</v>
      </c>
    </row>
    <row r="340">
      <c r="A340" s="8">
        <v>46165.400680520834</v>
      </c>
      <c r="B340" s="2" t="s">
        <v>9077</v>
      </c>
      <c r="C340" s="4">
        <v>1.1173486E7</v>
      </c>
      <c r="D340" s="2" t="b">
        <v>1</v>
      </c>
      <c r="E340" s="2" t="b">
        <v>1</v>
      </c>
      <c r="F340" s="2" t="s">
        <v>9316</v>
      </c>
    </row>
    <row r="341">
      <c r="A341" s="8">
        <v>46165.40069027778</v>
      </c>
      <c r="B341" s="2" t="s">
        <v>9089</v>
      </c>
      <c r="C341" s="4">
        <v>1.1173486E7</v>
      </c>
      <c r="D341" s="2" t="b">
        <v>1</v>
      </c>
      <c r="E341" s="2" t="b">
        <v>1</v>
      </c>
      <c r="F341" s="2" t="s">
        <v>9317</v>
      </c>
    </row>
    <row r="342">
      <c r="A342" s="8">
        <v>46165.400706782406</v>
      </c>
      <c r="B342" s="2" t="s">
        <v>9089</v>
      </c>
      <c r="C342" s="4">
        <v>1.1173486E7</v>
      </c>
      <c r="D342" s="2" t="b">
        <v>1</v>
      </c>
      <c r="E342" s="2" t="b">
        <v>1</v>
      </c>
      <c r="F342" s="2" t="s">
        <v>9317</v>
      </c>
    </row>
    <row r="343">
      <c r="A343" s="8">
        <v>46165.400726817126</v>
      </c>
      <c r="B343" s="2" t="s">
        <v>9074</v>
      </c>
      <c r="C343" s="4">
        <v>1.1173486E7</v>
      </c>
      <c r="D343" s="2" t="b">
        <v>1</v>
      </c>
      <c r="E343" s="2" t="b">
        <v>1</v>
      </c>
      <c r="F343" s="2" t="s">
        <v>9318</v>
      </c>
    </row>
    <row r="344">
      <c r="A344" s="8">
        <v>46165.400753553244</v>
      </c>
      <c r="B344" s="2" t="s">
        <v>9089</v>
      </c>
      <c r="C344" s="4">
        <v>1.1173486E7</v>
      </c>
      <c r="D344" s="2" t="b">
        <v>1</v>
      </c>
      <c r="E344" s="2" t="b">
        <v>1</v>
      </c>
      <c r="F344" s="2" t="s">
        <v>9317</v>
      </c>
    </row>
    <row r="345">
      <c r="A345" s="8">
        <v>46165.40817681713</v>
      </c>
      <c r="B345" s="2" t="s">
        <v>9077</v>
      </c>
      <c r="C345" s="4">
        <v>1.1174467E7</v>
      </c>
      <c r="D345" s="2" t="b">
        <v>1</v>
      </c>
      <c r="E345" s="2" t="b">
        <v>1</v>
      </c>
      <c r="F345" s="2" t="s">
        <v>9319</v>
      </c>
    </row>
    <row r="346">
      <c r="A346" s="8">
        <v>46165.40817744213</v>
      </c>
      <c r="B346" s="2" t="s">
        <v>9077</v>
      </c>
      <c r="C346" s="4">
        <v>1.1174467E7</v>
      </c>
      <c r="D346" s="2" t="b">
        <v>1</v>
      </c>
      <c r="E346" s="2" t="b">
        <v>1</v>
      </c>
      <c r="F346" s="2" t="s">
        <v>9320</v>
      </c>
    </row>
    <row r="347">
      <c r="A347" s="8">
        <v>46165.40819055555</v>
      </c>
      <c r="B347" s="2" t="s">
        <v>9089</v>
      </c>
      <c r="C347" s="4">
        <v>1.1174467E7</v>
      </c>
      <c r="D347" s="2" t="b">
        <v>1</v>
      </c>
      <c r="E347" s="2" t="b">
        <v>1</v>
      </c>
      <c r="F347" s="2" t="s">
        <v>9321</v>
      </c>
    </row>
    <row r="348">
      <c r="A348" s="8">
        <v>46165.40819155093</v>
      </c>
      <c r="B348" s="2" t="s">
        <v>9089</v>
      </c>
      <c r="C348" s="4">
        <v>1.1174467E7</v>
      </c>
      <c r="D348" s="2" t="b">
        <v>1</v>
      </c>
      <c r="E348" s="2" t="b">
        <v>1</v>
      </c>
      <c r="F348" s="2" t="s">
        <v>9321</v>
      </c>
    </row>
    <row r="349">
      <c r="A349" s="8">
        <v>46165.40822829861</v>
      </c>
      <c r="B349" s="2" t="s">
        <v>9074</v>
      </c>
      <c r="C349" s="4">
        <v>1.1174467E7</v>
      </c>
      <c r="D349" s="2" t="b">
        <v>1</v>
      </c>
      <c r="E349" s="2" t="b">
        <v>1</v>
      </c>
      <c r="F349" s="2" t="s">
        <v>9322</v>
      </c>
    </row>
    <row r="350">
      <c r="A350" s="8">
        <v>46165.408236759264</v>
      </c>
      <c r="B350" s="2" t="s">
        <v>9089</v>
      </c>
      <c r="C350" s="4">
        <v>1.1174467E7</v>
      </c>
      <c r="D350" s="2" t="b">
        <v>1</v>
      </c>
      <c r="E350" s="2" t="b">
        <v>1</v>
      </c>
      <c r="F350" s="2" t="s">
        <v>9321</v>
      </c>
    </row>
    <row r="351">
      <c r="A351" s="8">
        <v>46165.41589697917</v>
      </c>
      <c r="B351" s="2" t="s">
        <v>9077</v>
      </c>
      <c r="C351" s="4">
        <v>1.1175631E7</v>
      </c>
      <c r="D351" s="2" t="b">
        <v>1</v>
      </c>
      <c r="E351" s="2" t="b">
        <v>1</v>
      </c>
      <c r="F351" s="2" t="s">
        <v>9323</v>
      </c>
    </row>
    <row r="352">
      <c r="A352" s="8">
        <v>46165.415897604165</v>
      </c>
      <c r="B352" s="2" t="s">
        <v>9077</v>
      </c>
      <c r="C352" s="4">
        <v>1.1175631E7</v>
      </c>
      <c r="D352" s="2" t="b">
        <v>1</v>
      </c>
      <c r="E352" s="2" t="b">
        <v>1</v>
      </c>
      <c r="F352" s="2" t="s">
        <v>9324</v>
      </c>
    </row>
    <row r="353">
      <c r="A353" s="8">
        <v>46165.415906678245</v>
      </c>
      <c r="B353" s="2" t="s">
        <v>9089</v>
      </c>
      <c r="C353" s="4">
        <v>1.1175631E7</v>
      </c>
      <c r="D353" s="2" t="b">
        <v>1</v>
      </c>
      <c r="E353" s="2" t="b">
        <v>1</v>
      </c>
      <c r="F353" s="2" t="s">
        <v>9325</v>
      </c>
    </row>
    <row r="354">
      <c r="A354" s="8">
        <v>46165.41592339121</v>
      </c>
      <c r="B354" s="2" t="s">
        <v>9089</v>
      </c>
      <c r="C354" s="4">
        <v>1.1175631E7</v>
      </c>
      <c r="D354" s="2" t="b">
        <v>1</v>
      </c>
      <c r="E354" s="2" t="b">
        <v>1</v>
      </c>
      <c r="F354" s="2" t="s">
        <v>9325</v>
      </c>
    </row>
    <row r="355">
      <c r="A355" s="8">
        <v>46165.41593112268</v>
      </c>
      <c r="B355" s="2" t="s">
        <v>9074</v>
      </c>
      <c r="C355" s="4">
        <v>1.1175631E7</v>
      </c>
      <c r="D355" s="2" t="b">
        <v>1</v>
      </c>
      <c r="E355" s="2" t="b">
        <v>1</v>
      </c>
      <c r="F355" s="2" t="s">
        <v>9326</v>
      </c>
    </row>
    <row r="356">
      <c r="A356" s="8">
        <v>46165.415949918985</v>
      </c>
      <c r="B356" s="2" t="s">
        <v>9089</v>
      </c>
      <c r="C356" s="4">
        <v>1.1175631E7</v>
      </c>
      <c r="D356" s="2" t="b">
        <v>1</v>
      </c>
      <c r="E356" s="2" t="b">
        <v>1</v>
      </c>
      <c r="F356" s="2" t="s">
        <v>9325</v>
      </c>
    </row>
    <row r="357">
      <c r="A357" s="8">
        <v>46168.40429052083</v>
      </c>
      <c r="B357" s="2" t="s">
        <v>9077</v>
      </c>
      <c r="C357" s="4">
        <v>1.1315851E7</v>
      </c>
      <c r="D357" s="2" t="b">
        <v>1</v>
      </c>
      <c r="E357" s="2" t="b">
        <v>1</v>
      </c>
      <c r="F357" s="2" t="s">
        <v>9327</v>
      </c>
    </row>
    <row r="358">
      <c r="A358" s="8">
        <v>46168.404290983795</v>
      </c>
      <c r="B358" s="2" t="s">
        <v>9077</v>
      </c>
      <c r="C358" s="4">
        <v>1.1315851E7</v>
      </c>
      <c r="D358" s="2" t="b">
        <v>1</v>
      </c>
      <c r="E358" s="2" t="b">
        <v>1</v>
      </c>
      <c r="F358" s="2" t="s">
        <v>9328</v>
      </c>
    </row>
    <row r="359">
      <c r="A359" s="8">
        <v>46168.404301585644</v>
      </c>
      <c r="B359" s="2" t="s">
        <v>9089</v>
      </c>
      <c r="C359" s="4">
        <v>1.1315851E7</v>
      </c>
      <c r="D359" s="2" t="b">
        <v>1</v>
      </c>
      <c r="E359" s="2" t="b">
        <v>1</v>
      </c>
      <c r="F359" s="2" t="s">
        <v>9329</v>
      </c>
    </row>
    <row r="360">
      <c r="A360" s="8">
        <v>46168.40431729167</v>
      </c>
      <c r="B360" s="2" t="s">
        <v>9089</v>
      </c>
      <c r="C360" s="4">
        <v>1.1315851E7</v>
      </c>
      <c r="D360" s="2" t="b">
        <v>1</v>
      </c>
      <c r="E360" s="2" t="b">
        <v>1</v>
      </c>
      <c r="F360" s="2" t="s">
        <v>9329</v>
      </c>
    </row>
    <row r="361">
      <c r="A361" s="8">
        <v>46168.40434085648</v>
      </c>
      <c r="B361" s="2" t="s">
        <v>9074</v>
      </c>
      <c r="C361" s="4">
        <v>1.1315851E7</v>
      </c>
      <c r="D361" s="2" t="b">
        <v>1</v>
      </c>
      <c r="E361" s="2" t="b">
        <v>1</v>
      </c>
      <c r="F361" s="2" t="s">
        <v>9330</v>
      </c>
    </row>
    <row r="362">
      <c r="A362" s="8">
        <v>46168.40435185185</v>
      </c>
      <c r="B362" s="2" t="s">
        <v>9089</v>
      </c>
      <c r="C362" s="4">
        <v>1.1315851E7</v>
      </c>
      <c r="D362" s="2" t="b">
        <v>1</v>
      </c>
      <c r="E362" s="2" t="b">
        <v>1</v>
      </c>
      <c r="F362" s="2" t="s">
        <v>9329</v>
      </c>
    </row>
    <row r="363">
      <c r="A363" s="8">
        <v>46170.06993456019</v>
      </c>
      <c r="B363" s="2" t="s">
        <v>9077</v>
      </c>
      <c r="C363" s="4">
        <v>1.1358664E7</v>
      </c>
      <c r="D363" s="2" t="b">
        <v>1</v>
      </c>
      <c r="E363" s="2" t="b">
        <v>1</v>
      </c>
      <c r="F363" s="2" t="s">
        <v>9331</v>
      </c>
    </row>
    <row r="364">
      <c r="A364" s="8">
        <v>46170.069934479165</v>
      </c>
      <c r="B364" s="2" t="s">
        <v>9077</v>
      </c>
      <c r="C364" s="4">
        <v>1.1358664E7</v>
      </c>
      <c r="D364" s="2" t="b">
        <v>1</v>
      </c>
      <c r="E364" s="2" t="b">
        <v>1</v>
      </c>
      <c r="F364" s="2" t="s">
        <v>9332</v>
      </c>
    </row>
    <row r="365">
      <c r="A365" s="8">
        <v>46170.06997532408</v>
      </c>
      <c r="B365" s="2" t="s">
        <v>9074</v>
      </c>
      <c r="C365" s="4">
        <v>1.1358664E7</v>
      </c>
      <c r="D365" s="2" t="b">
        <v>1</v>
      </c>
      <c r="E365" s="2" t="b">
        <v>1</v>
      </c>
      <c r="F365" s="2" t="s">
        <v>9333</v>
      </c>
    </row>
    <row r="366">
      <c r="A366" s="8">
        <v>46170.42509297453</v>
      </c>
      <c r="B366" s="2" t="s">
        <v>9077</v>
      </c>
      <c r="C366" s="4">
        <v>1.1372463E7</v>
      </c>
      <c r="D366" s="2" t="b">
        <v>1</v>
      </c>
      <c r="E366" s="2" t="b">
        <v>1</v>
      </c>
      <c r="F366" s="2" t="s">
        <v>9334</v>
      </c>
    </row>
    <row r="367">
      <c r="A367" s="8">
        <v>46170.42510166667</v>
      </c>
      <c r="B367" s="2" t="s">
        <v>9089</v>
      </c>
      <c r="C367" s="4">
        <v>1.1372463E7</v>
      </c>
      <c r="D367" s="2" t="b">
        <v>1</v>
      </c>
      <c r="E367" s="2" t="b">
        <v>1</v>
      </c>
      <c r="F367" s="2" t="s">
        <v>9335</v>
      </c>
    </row>
    <row r="368">
      <c r="A368" s="8">
        <v>46170.425119050924</v>
      </c>
      <c r="B368" s="2" t="s">
        <v>9077</v>
      </c>
      <c r="C368" s="4">
        <v>1.1372463E7</v>
      </c>
      <c r="D368" s="2" t="b">
        <v>1</v>
      </c>
      <c r="E368" s="2" t="b">
        <v>1</v>
      </c>
      <c r="F368" s="2" t="s">
        <v>9336</v>
      </c>
    </row>
    <row r="369">
      <c r="A369" s="8">
        <v>46170.425129027775</v>
      </c>
      <c r="B369" s="2" t="s">
        <v>9089</v>
      </c>
      <c r="C369" s="4">
        <v>1.1372463E7</v>
      </c>
      <c r="D369" s="2" t="b">
        <v>1</v>
      </c>
      <c r="E369" s="2" t="b">
        <v>1</v>
      </c>
      <c r="F369" s="2" t="s">
        <v>9335</v>
      </c>
    </row>
    <row r="370">
      <c r="A370" s="8">
        <v>46170.42515351852</v>
      </c>
      <c r="B370" s="2" t="s">
        <v>9074</v>
      </c>
      <c r="C370" s="4">
        <v>1.1372463E7</v>
      </c>
      <c r="D370" s="2" t="b">
        <v>1</v>
      </c>
      <c r="E370" s="2" t="b">
        <v>1</v>
      </c>
      <c r="F370" s="2" t="s">
        <v>9337</v>
      </c>
    </row>
    <row r="371">
      <c r="A371" s="8">
        <v>46170.42516413194</v>
      </c>
      <c r="B371" s="2" t="s">
        <v>9089</v>
      </c>
      <c r="C371" s="4">
        <v>1.1372463E7</v>
      </c>
      <c r="D371" s="2" t="b">
        <v>1</v>
      </c>
      <c r="E371" s="2" t="b">
        <v>1</v>
      </c>
      <c r="F371" s="2" t="s">
        <v>9335</v>
      </c>
    </row>
    <row r="372">
      <c r="A372" s="8">
        <v>46176.306524942134</v>
      </c>
      <c r="B372" s="2" t="s">
        <v>9077</v>
      </c>
      <c r="C372" s="4">
        <v>1.1624032E7</v>
      </c>
      <c r="D372" s="2" t="b">
        <v>1</v>
      </c>
      <c r="E372" s="2" t="b">
        <v>1</v>
      </c>
      <c r="F372" s="2" t="s">
        <v>9338</v>
      </c>
    </row>
    <row r="373">
      <c r="A373" s="8">
        <v>46176.30652521991</v>
      </c>
      <c r="B373" s="2" t="s">
        <v>9077</v>
      </c>
      <c r="C373" s="4">
        <v>1.1624032E7</v>
      </c>
      <c r="D373" s="2" t="b">
        <v>1</v>
      </c>
      <c r="E373" s="2" t="b">
        <v>1</v>
      </c>
      <c r="F373" s="2" t="s">
        <v>9339</v>
      </c>
    </row>
    <row r="374">
      <c r="A374" s="8">
        <v>46176.30653625</v>
      </c>
      <c r="B374" s="2" t="s">
        <v>9089</v>
      </c>
      <c r="C374" s="4">
        <v>1.1624032E7</v>
      </c>
      <c r="D374" s="2" t="b">
        <v>1</v>
      </c>
      <c r="E374" s="2" t="b">
        <v>1</v>
      </c>
      <c r="F374" s="2" t="s">
        <v>9340</v>
      </c>
    </row>
    <row r="375">
      <c r="A375" s="8">
        <v>46176.306551435184</v>
      </c>
      <c r="B375" s="2" t="s">
        <v>9089</v>
      </c>
      <c r="C375" s="4">
        <v>1.1624032E7</v>
      </c>
      <c r="D375" s="2" t="b">
        <v>1</v>
      </c>
      <c r="E375" s="2" t="b">
        <v>1</v>
      </c>
      <c r="F375" s="2" t="s">
        <v>9340</v>
      </c>
    </row>
    <row r="376">
      <c r="A376" s="8">
        <v>46176.30657354167</v>
      </c>
      <c r="B376" s="2" t="s">
        <v>9074</v>
      </c>
      <c r="C376" s="4">
        <v>1.1624032E7</v>
      </c>
      <c r="D376" s="2" t="b">
        <v>1</v>
      </c>
      <c r="E376" s="2" t="b">
        <v>1</v>
      </c>
      <c r="F376" s="2" t="s">
        <v>9341</v>
      </c>
    </row>
    <row r="377">
      <c r="A377" s="8">
        <v>46176.30660644676</v>
      </c>
      <c r="B377" s="2" t="s">
        <v>9089</v>
      </c>
      <c r="C377" s="4">
        <v>1.1624032E7</v>
      </c>
      <c r="D377" s="2" t="b">
        <v>1</v>
      </c>
      <c r="E377" s="2" t="b">
        <v>1</v>
      </c>
      <c r="F377" s="2" t="s">
        <v>9340</v>
      </c>
    </row>
    <row r="378">
      <c r="A378" s="8">
        <v>46176.40592993055</v>
      </c>
      <c r="B378" s="2" t="s">
        <v>9077</v>
      </c>
      <c r="C378" s="4">
        <v>1.1626377E7</v>
      </c>
      <c r="D378" s="2" t="b">
        <v>1</v>
      </c>
      <c r="E378" s="2" t="b">
        <v>1</v>
      </c>
      <c r="F378" s="2" t="s">
        <v>9342</v>
      </c>
    </row>
    <row r="379">
      <c r="A379" s="8">
        <v>46176.40594283565</v>
      </c>
      <c r="B379" s="2" t="s">
        <v>9077</v>
      </c>
      <c r="C379" s="4">
        <v>1.1626377E7</v>
      </c>
      <c r="D379" s="2" t="b">
        <v>1</v>
      </c>
      <c r="E379" s="2" t="b">
        <v>1</v>
      </c>
      <c r="F379" s="2" t="s">
        <v>9343</v>
      </c>
    </row>
    <row r="380">
      <c r="A380" s="8">
        <v>46176.405985219906</v>
      </c>
      <c r="B380" s="2" t="s">
        <v>9074</v>
      </c>
      <c r="C380" s="4">
        <v>1.1626377E7</v>
      </c>
      <c r="D380" s="2" t="b">
        <v>1</v>
      </c>
      <c r="E380" s="2" t="b">
        <v>1</v>
      </c>
      <c r="F380" s="2" t="s">
        <v>9344</v>
      </c>
    </row>
    <row r="381">
      <c r="A381" s="8">
        <v>46176.4092721412</v>
      </c>
      <c r="B381" s="2" t="s">
        <v>9077</v>
      </c>
      <c r="C381" s="4">
        <v>1.162648E7</v>
      </c>
      <c r="D381" s="2" t="b">
        <v>1</v>
      </c>
      <c r="E381" s="2" t="b">
        <v>1</v>
      </c>
      <c r="F381" s="2" t="s">
        <v>9345</v>
      </c>
    </row>
    <row r="382">
      <c r="A382" s="8">
        <v>46176.409272997684</v>
      </c>
      <c r="B382" s="2" t="s">
        <v>9077</v>
      </c>
      <c r="C382" s="4">
        <v>1.162648E7</v>
      </c>
      <c r="D382" s="2" t="b">
        <v>1</v>
      </c>
      <c r="E382" s="2" t="b">
        <v>1</v>
      </c>
      <c r="F382" s="2" t="s">
        <v>9346</v>
      </c>
    </row>
    <row r="383">
      <c r="A383" s="8">
        <v>46176.409302685184</v>
      </c>
      <c r="B383" s="2" t="s">
        <v>9074</v>
      </c>
      <c r="C383" s="4">
        <v>1.162648E7</v>
      </c>
      <c r="D383" s="2" t="b">
        <v>1</v>
      </c>
      <c r="E383" s="2" t="b">
        <v>1</v>
      </c>
      <c r="F383" s="2" t="s">
        <v>9347</v>
      </c>
    </row>
    <row r="384">
      <c r="A384" s="8">
        <v>46176.41707494213</v>
      </c>
      <c r="B384" s="2" t="s">
        <v>9077</v>
      </c>
      <c r="C384" s="4">
        <v>1.16268E7</v>
      </c>
      <c r="D384" s="2" t="b">
        <v>1</v>
      </c>
      <c r="E384" s="2" t="b">
        <v>1</v>
      </c>
      <c r="F384" s="2" t="s">
        <v>9348</v>
      </c>
    </row>
    <row r="385">
      <c r="A385" s="8">
        <v>46176.41707520833</v>
      </c>
      <c r="B385" s="2" t="s">
        <v>9077</v>
      </c>
      <c r="C385" s="4">
        <v>1.16268E7</v>
      </c>
      <c r="D385" s="2" t="b">
        <v>1</v>
      </c>
      <c r="E385" s="2" t="b">
        <v>1</v>
      </c>
      <c r="F385" s="2" t="s">
        <v>9349</v>
      </c>
    </row>
    <row r="386">
      <c r="A386" s="8">
        <v>46176.41711689815</v>
      </c>
      <c r="B386" s="2" t="s">
        <v>9074</v>
      </c>
      <c r="C386" s="4">
        <v>1.16268E7</v>
      </c>
      <c r="D386" s="2" t="b">
        <v>1</v>
      </c>
      <c r="E386" s="2" t="b">
        <v>1</v>
      </c>
      <c r="F386" s="2" t="s">
        <v>9350</v>
      </c>
    </row>
    <row r="387">
      <c r="A387" s="8">
        <v>46176.419446875</v>
      </c>
      <c r="B387" s="2" t="s">
        <v>9077</v>
      </c>
      <c r="C387" s="4">
        <v>1.1626904E7</v>
      </c>
      <c r="D387" s="2" t="b">
        <v>1</v>
      </c>
      <c r="E387" s="2" t="b">
        <v>1</v>
      </c>
      <c r="F387" s="2" t="s">
        <v>9351</v>
      </c>
    </row>
    <row r="388">
      <c r="A388" s="8">
        <v>46176.41945086805</v>
      </c>
      <c r="B388" s="2" t="s">
        <v>9077</v>
      </c>
      <c r="C388" s="4">
        <v>1.1626904E7</v>
      </c>
      <c r="D388" s="2" t="b">
        <v>1</v>
      </c>
      <c r="E388" s="2" t="b">
        <v>1</v>
      </c>
      <c r="F388" s="2" t="s">
        <v>9352</v>
      </c>
    </row>
    <row r="389">
      <c r="A389" s="8">
        <v>46176.419456724536</v>
      </c>
      <c r="B389" s="2" t="s">
        <v>9089</v>
      </c>
      <c r="C389" s="4">
        <v>1.1626904E7</v>
      </c>
      <c r="D389" s="2" t="b">
        <v>1</v>
      </c>
      <c r="E389" s="2" t="b">
        <v>1</v>
      </c>
      <c r="F389" s="2" t="s">
        <v>9353</v>
      </c>
    </row>
    <row r="390">
      <c r="A390" s="8">
        <v>46176.41946440972</v>
      </c>
      <c r="B390" s="2" t="s">
        <v>9089</v>
      </c>
      <c r="C390" s="4">
        <v>1.1626904E7</v>
      </c>
      <c r="D390" s="2" t="b">
        <v>1</v>
      </c>
      <c r="E390" s="2" t="b">
        <v>1</v>
      </c>
      <c r="F390" s="2" t="s">
        <v>9353</v>
      </c>
    </row>
    <row r="391">
      <c r="A391" s="8">
        <v>46176.41949269676</v>
      </c>
      <c r="B391" s="2" t="s">
        <v>9074</v>
      </c>
      <c r="C391" s="4">
        <v>1.1626904E7</v>
      </c>
      <c r="D391" s="2" t="b">
        <v>1</v>
      </c>
      <c r="E391" s="2" t="b">
        <v>1</v>
      </c>
      <c r="F391" s="2" t="s">
        <v>9354</v>
      </c>
    </row>
    <row r="392">
      <c r="A392" s="8">
        <v>46176.41950771991</v>
      </c>
      <c r="B392" s="2" t="s">
        <v>9089</v>
      </c>
      <c r="C392" s="4">
        <v>1.1626904E7</v>
      </c>
      <c r="D392" s="2" t="b">
        <v>1</v>
      </c>
      <c r="E392" s="2" t="b">
        <v>1</v>
      </c>
      <c r="F392" s="2" t="s">
        <v>9353</v>
      </c>
    </row>
    <row r="393">
      <c r="A393" s="8">
        <v>46176.425105497685</v>
      </c>
      <c r="B393" s="2" t="s">
        <v>9077</v>
      </c>
      <c r="C393" s="4">
        <v>1.1627146E7</v>
      </c>
      <c r="D393" s="2" t="b">
        <v>1</v>
      </c>
      <c r="E393" s="2" t="b">
        <v>1</v>
      </c>
      <c r="F393" s="2" t="s">
        <v>9355</v>
      </c>
    </row>
    <row r="394">
      <c r="A394" s="8">
        <v>46176.42510649306</v>
      </c>
      <c r="B394" s="2" t="s">
        <v>9077</v>
      </c>
      <c r="C394" s="4">
        <v>1.1627146E7</v>
      </c>
      <c r="D394" s="2" t="b">
        <v>1</v>
      </c>
      <c r="E394" s="2" t="b">
        <v>1</v>
      </c>
      <c r="F394" s="2" t="s">
        <v>9356</v>
      </c>
    </row>
    <row r="395">
      <c r="A395" s="8">
        <v>46176.42511748843</v>
      </c>
      <c r="B395" s="2" t="s">
        <v>9089</v>
      </c>
      <c r="C395" s="4">
        <v>1.1627146E7</v>
      </c>
      <c r="D395" s="2" t="b">
        <v>1</v>
      </c>
      <c r="E395" s="2" t="b">
        <v>1</v>
      </c>
      <c r="F395" s="2" t="s">
        <v>9357</v>
      </c>
    </row>
    <row r="396">
      <c r="A396" s="8">
        <v>46176.42512479167</v>
      </c>
      <c r="B396" s="2" t="s">
        <v>9089</v>
      </c>
      <c r="C396" s="4">
        <v>1.1627146E7</v>
      </c>
      <c r="D396" s="2" t="b">
        <v>1</v>
      </c>
      <c r="E396" s="2" t="b">
        <v>1</v>
      </c>
      <c r="F396" s="2" t="s">
        <v>9357</v>
      </c>
    </row>
    <row r="397">
      <c r="A397" s="8">
        <v>46176.42514998843</v>
      </c>
      <c r="B397" s="2" t="s">
        <v>9074</v>
      </c>
      <c r="C397" s="4">
        <v>1.1627146E7</v>
      </c>
      <c r="D397" s="2" t="b">
        <v>1</v>
      </c>
      <c r="E397" s="2" t="b">
        <v>1</v>
      </c>
      <c r="F397" s="2" t="s">
        <v>9358</v>
      </c>
    </row>
    <row r="398">
      <c r="A398" s="8">
        <v>46176.42516983797</v>
      </c>
      <c r="B398" s="2" t="s">
        <v>9089</v>
      </c>
      <c r="C398" s="4">
        <v>1.1627146E7</v>
      </c>
      <c r="D398" s="2" t="b">
        <v>1</v>
      </c>
      <c r="E398" s="2" t="b">
        <v>1</v>
      </c>
      <c r="F398" s="2" t="s">
        <v>9357</v>
      </c>
    </row>
    <row r="399">
      <c r="A399" s="8">
        <v>46176.42887351852</v>
      </c>
      <c r="B399" s="2" t="s">
        <v>9077</v>
      </c>
      <c r="C399" s="4">
        <v>1.1627332E7</v>
      </c>
      <c r="D399" s="2" t="b">
        <v>1</v>
      </c>
      <c r="E399" s="2" t="b">
        <v>1</v>
      </c>
      <c r="F399" s="2" t="s">
        <v>9359</v>
      </c>
    </row>
    <row r="400">
      <c r="A400" s="8">
        <v>46176.42887645833</v>
      </c>
      <c r="B400" s="2" t="s">
        <v>9077</v>
      </c>
      <c r="C400" s="4">
        <v>1.1627332E7</v>
      </c>
      <c r="D400" s="2" t="b">
        <v>1</v>
      </c>
      <c r="E400" s="2" t="b">
        <v>1</v>
      </c>
      <c r="F400" s="2" t="s">
        <v>9360</v>
      </c>
    </row>
    <row r="401">
      <c r="A401" s="8">
        <v>46176.42890946759</v>
      </c>
      <c r="B401" s="2" t="s">
        <v>9074</v>
      </c>
      <c r="C401" s="4">
        <v>1.1627332E7</v>
      </c>
      <c r="D401" s="2" t="b">
        <v>1</v>
      </c>
      <c r="E401" s="2" t="b">
        <v>1</v>
      </c>
      <c r="F401" s="2" t="s">
        <v>9361</v>
      </c>
    </row>
    <row r="402">
      <c r="A402" s="8">
        <v>46176.4844404051</v>
      </c>
      <c r="B402" s="2" t="s">
        <v>9077</v>
      </c>
      <c r="C402" s="4">
        <v>1.1630551E7</v>
      </c>
      <c r="D402" s="2" t="b">
        <v>1</v>
      </c>
      <c r="E402" s="2" t="b">
        <v>1</v>
      </c>
      <c r="F402" s="2" t="s">
        <v>9362</v>
      </c>
    </row>
    <row r="403">
      <c r="A403" s="8">
        <v>46176.48445159722</v>
      </c>
      <c r="B403" s="2" t="s">
        <v>9089</v>
      </c>
      <c r="C403" s="4">
        <v>1.1630551E7</v>
      </c>
      <c r="D403" s="2" t="b">
        <v>1</v>
      </c>
      <c r="E403" s="2" t="b">
        <v>1</v>
      </c>
      <c r="F403" s="2" t="s">
        <v>9363</v>
      </c>
    </row>
    <row r="404">
      <c r="A404" s="8">
        <v>46176.48446689815</v>
      </c>
      <c r="B404" s="2" t="s">
        <v>9077</v>
      </c>
      <c r="C404" s="4">
        <v>1.1630551E7</v>
      </c>
      <c r="D404" s="2" t="b">
        <v>1</v>
      </c>
      <c r="E404" s="2" t="b">
        <v>1</v>
      </c>
      <c r="F404" s="2" t="s">
        <v>9364</v>
      </c>
    </row>
    <row r="405">
      <c r="A405" s="8">
        <v>46176.484474375</v>
      </c>
      <c r="B405" s="2" t="s">
        <v>9089</v>
      </c>
      <c r="C405" s="4">
        <v>1.1630551E7</v>
      </c>
      <c r="D405" s="2" t="b">
        <v>1</v>
      </c>
      <c r="E405" s="2" t="b">
        <v>1</v>
      </c>
      <c r="F405" s="2" t="s">
        <v>9363</v>
      </c>
    </row>
    <row r="406">
      <c r="A406" s="8">
        <v>46176.48450340278</v>
      </c>
      <c r="B406" s="2" t="s">
        <v>9074</v>
      </c>
      <c r="C406" s="4">
        <v>1.1630551E7</v>
      </c>
      <c r="D406" s="2" t="b">
        <v>1</v>
      </c>
      <c r="E406" s="2" t="b">
        <v>1</v>
      </c>
      <c r="F406" s="2" t="s">
        <v>9365</v>
      </c>
    </row>
    <row r="407">
      <c r="A407" s="8">
        <v>46176.484521805556</v>
      </c>
      <c r="B407" s="2" t="s">
        <v>9089</v>
      </c>
      <c r="C407" s="4">
        <v>1.1630551E7</v>
      </c>
      <c r="D407" s="2" t="b">
        <v>1</v>
      </c>
      <c r="E407" s="2" t="b">
        <v>1</v>
      </c>
      <c r="F407" s="2" t="s">
        <v>9363</v>
      </c>
    </row>
    <row r="408">
      <c r="A408" s="8">
        <v>46176.50839607639</v>
      </c>
      <c r="B408" s="2" t="s">
        <v>9077</v>
      </c>
      <c r="C408" s="4">
        <v>1.1631998E7</v>
      </c>
      <c r="D408" s="2" t="b">
        <v>1</v>
      </c>
      <c r="E408" s="2" t="b">
        <v>1</v>
      </c>
      <c r="F408" s="2" t="s">
        <v>9366</v>
      </c>
    </row>
    <row r="409">
      <c r="A409" s="8">
        <v>46176.508399178245</v>
      </c>
      <c r="B409" s="2" t="s">
        <v>9077</v>
      </c>
      <c r="C409" s="4">
        <v>1.1631998E7</v>
      </c>
      <c r="D409" s="2" t="b">
        <v>1</v>
      </c>
      <c r="E409" s="2" t="b">
        <v>1</v>
      </c>
      <c r="F409" s="2" t="s">
        <v>9367</v>
      </c>
    </row>
    <row r="410">
      <c r="A410" s="8">
        <v>46176.508407870366</v>
      </c>
      <c r="B410" s="2" t="s">
        <v>9089</v>
      </c>
      <c r="C410" s="4">
        <v>1.1631998E7</v>
      </c>
      <c r="D410" s="2" t="b">
        <v>1</v>
      </c>
      <c r="E410" s="2" t="b">
        <v>1</v>
      </c>
      <c r="F410" s="2" t="s">
        <v>9368</v>
      </c>
    </row>
    <row r="411">
      <c r="A411" s="8">
        <v>46176.508404699074</v>
      </c>
      <c r="B411" s="2" t="s">
        <v>9089</v>
      </c>
      <c r="C411" s="4">
        <v>1.1631998E7</v>
      </c>
      <c r="D411" s="2" t="b">
        <v>1</v>
      </c>
      <c r="E411" s="2" t="b">
        <v>1</v>
      </c>
      <c r="F411" s="2" t="s">
        <v>9368</v>
      </c>
    </row>
    <row r="412">
      <c r="A412" s="8">
        <v>46176.5084394213</v>
      </c>
      <c r="B412" s="2" t="s">
        <v>9074</v>
      </c>
      <c r="C412" s="4">
        <v>1.1631998E7</v>
      </c>
      <c r="D412" s="2" t="b">
        <v>1</v>
      </c>
      <c r="E412" s="2" t="b">
        <v>1</v>
      </c>
      <c r="F412" s="2" t="s">
        <v>9369</v>
      </c>
    </row>
    <row r="413">
      <c r="A413" s="8">
        <v>46176.5084494676</v>
      </c>
      <c r="B413" s="2" t="s">
        <v>9089</v>
      </c>
      <c r="C413" s="4">
        <v>1.1631998E7</v>
      </c>
      <c r="D413" s="2" t="b">
        <v>1</v>
      </c>
      <c r="E413" s="2" t="b">
        <v>1</v>
      </c>
      <c r="F413" s="2" t="s">
        <v>9368</v>
      </c>
    </row>
    <row r="414">
      <c r="A414" s="8">
        <v>46176.529991944444</v>
      </c>
      <c r="B414" s="2" t="s">
        <v>9077</v>
      </c>
      <c r="C414" s="4">
        <v>1.1633098E7</v>
      </c>
      <c r="D414" s="2" t="b">
        <v>1</v>
      </c>
      <c r="E414" s="2" t="b">
        <v>1</v>
      </c>
      <c r="F414" s="2" t="s">
        <v>9370</v>
      </c>
    </row>
    <row r="415">
      <c r="A415" s="8">
        <v>46176.5300116088</v>
      </c>
      <c r="B415" s="2" t="s">
        <v>9077</v>
      </c>
      <c r="C415" s="4">
        <v>1.1633098E7</v>
      </c>
      <c r="D415" s="2" t="b">
        <v>1</v>
      </c>
      <c r="E415" s="2" t="b">
        <v>1</v>
      </c>
      <c r="F415" s="2" t="s">
        <v>9371</v>
      </c>
    </row>
    <row r="416">
      <c r="A416" s="8">
        <v>46176.53005930556</v>
      </c>
      <c r="B416" s="2" t="s">
        <v>9074</v>
      </c>
      <c r="C416" s="4">
        <v>1.1633098E7</v>
      </c>
      <c r="D416" s="2" t="b">
        <v>1</v>
      </c>
      <c r="E416" s="2" t="b">
        <v>1</v>
      </c>
      <c r="F416" s="2" t="s">
        <v>9372</v>
      </c>
    </row>
    <row r="417">
      <c r="A417" s="8">
        <v>46177.37827782407</v>
      </c>
      <c r="B417" s="2" t="s">
        <v>9077</v>
      </c>
      <c r="C417" s="4">
        <v>1.1651514E7</v>
      </c>
      <c r="D417" s="2" t="b">
        <v>1</v>
      </c>
      <c r="E417" s="2" t="b">
        <v>1</v>
      </c>
      <c r="F417" s="2" t="s">
        <v>9373</v>
      </c>
    </row>
    <row r="418">
      <c r="A418" s="8">
        <v>46177.37828079861</v>
      </c>
      <c r="B418" s="2" t="s">
        <v>9077</v>
      </c>
      <c r="C418" s="4">
        <v>1.1651514E7</v>
      </c>
      <c r="D418" s="2" t="b">
        <v>1</v>
      </c>
      <c r="E418" s="2" t="b">
        <v>1</v>
      </c>
      <c r="F418" s="2" t="s">
        <v>9374</v>
      </c>
    </row>
    <row r="419">
      <c r="A419" s="8">
        <v>46177.37831377315</v>
      </c>
      <c r="B419" s="2" t="s">
        <v>9074</v>
      </c>
      <c r="C419" s="4">
        <v>1.1651514E7</v>
      </c>
      <c r="D419" s="2" t="b">
        <v>1</v>
      </c>
      <c r="E419" s="2" t="b">
        <v>1</v>
      </c>
      <c r="F419" s="2" t="s">
        <v>9375</v>
      </c>
    </row>
    <row r="420">
      <c r="A420" s="8">
        <v>46178.34632135417</v>
      </c>
      <c r="B420" s="2" t="s">
        <v>9077</v>
      </c>
      <c r="C420" s="4">
        <v>1.167761E7</v>
      </c>
      <c r="D420" s="2" t="b">
        <v>1</v>
      </c>
      <c r="E420" s="2" t="b">
        <v>1</v>
      </c>
      <c r="F420" s="2" t="s">
        <v>9376</v>
      </c>
    </row>
    <row r="421">
      <c r="A421" s="8">
        <v>46178.34634444445</v>
      </c>
      <c r="B421" s="2" t="s">
        <v>9077</v>
      </c>
      <c r="C421" s="4">
        <v>1.167761E7</v>
      </c>
      <c r="D421" s="2" t="b">
        <v>1</v>
      </c>
      <c r="E421" s="2" t="b">
        <v>1</v>
      </c>
      <c r="F421" s="2" t="s">
        <v>9377</v>
      </c>
    </row>
    <row r="422">
      <c r="A422" s="8">
        <v>46178.34638069445</v>
      </c>
      <c r="B422" s="2" t="s">
        <v>9074</v>
      </c>
      <c r="C422" s="4">
        <v>1.167761E7</v>
      </c>
      <c r="D422" s="2" t="b">
        <v>1</v>
      </c>
      <c r="E422" s="2" t="b">
        <v>1</v>
      </c>
      <c r="F422" s="2" t="s">
        <v>9378</v>
      </c>
    </row>
    <row r="423">
      <c r="A423" s="8">
        <v>46182.394345416666</v>
      </c>
      <c r="B423" s="2" t="s">
        <v>9077</v>
      </c>
      <c r="C423" s="4">
        <v>1.1857761E7</v>
      </c>
      <c r="D423" s="2" t="b">
        <v>1</v>
      </c>
      <c r="E423" s="2" t="b">
        <v>1</v>
      </c>
      <c r="F423" s="2" t="s">
        <v>9379</v>
      </c>
    </row>
    <row r="424">
      <c r="A424" s="8">
        <v>46182.394354606484</v>
      </c>
      <c r="B424" s="2" t="s">
        <v>9077</v>
      </c>
      <c r="C424" s="4">
        <v>1.1857761E7</v>
      </c>
      <c r="D424" s="2" t="b">
        <v>1</v>
      </c>
      <c r="E424" s="2" t="b">
        <v>1</v>
      </c>
      <c r="F424" s="2" t="s">
        <v>9380</v>
      </c>
    </row>
    <row r="425">
      <c r="A425" s="8">
        <v>46182.3943713426</v>
      </c>
      <c r="B425" s="2" t="s">
        <v>9089</v>
      </c>
      <c r="C425" s="4">
        <v>1.1857761E7</v>
      </c>
      <c r="D425" s="2" t="b">
        <v>1</v>
      </c>
      <c r="E425" s="2" t="b">
        <v>1</v>
      </c>
      <c r="F425" s="2" t="s">
        <v>9381</v>
      </c>
    </row>
    <row r="426">
      <c r="A426" s="8">
        <v>46182.39438516204</v>
      </c>
      <c r="B426" s="2" t="s">
        <v>9089</v>
      </c>
      <c r="C426" s="4">
        <v>1.1857761E7</v>
      </c>
      <c r="D426" s="2" t="b">
        <v>1</v>
      </c>
      <c r="E426" s="2" t="b">
        <v>1</v>
      </c>
      <c r="F426" s="2" t="s">
        <v>9381</v>
      </c>
    </row>
    <row r="427">
      <c r="A427" s="8">
        <v>46182.39441146991</v>
      </c>
      <c r="B427" s="2" t="s">
        <v>9074</v>
      </c>
      <c r="C427" s="4">
        <v>1.1857761E7</v>
      </c>
      <c r="D427" s="2" t="b">
        <v>1</v>
      </c>
      <c r="E427" s="2" t="b">
        <v>1</v>
      </c>
      <c r="F427" s="2" t="s">
        <v>9382</v>
      </c>
    </row>
    <row r="428">
      <c r="A428" s="8">
        <v>46182.39442886574</v>
      </c>
      <c r="B428" s="2" t="s">
        <v>9089</v>
      </c>
      <c r="C428" s="4">
        <v>1.1857761E7</v>
      </c>
      <c r="D428" s="2" t="b">
        <v>1</v>
      </c>
      <c r="E428" s="2" t="b">
        <v>1</v>
      </c>
      <c r="F428" s="2" t="s">
        <v>9381</v>
      </c>
    </row>
    <row r="429">
      <c r="A429" s="8">
        <v>46182.39447399306</v>
      </c>
      <c r="B429" s="2" t="s">
        <v>9077</v>
      </c>
      <c r="C429" s="4">
        <v>1.1857766E7</v>
      </c>
      <c r="D429" s="2" t="b">
        <v>1</v>
      </c>
      <c r="E429" s="2" t="b">
        <v>1</v>
      </c>
      <c r="F429" s="2" t="s">
        <v>9383</v>
      </c>
    </row>
    <row r="430">
      <c r="A430" s="8">
        <v>46182.39447505787</v>
      </c>
      <c r="B430" s="2" t="s">
        <v>9077</v>
      </c>
      <c r="C430" s="4">
        <v>1.1857766E7</v>
      </c>
      <c r="D430" s="2" t="b">
        <v>1</v>
      </c>
      <c r="E430" s="2" t="b">
        <v>1</v>
      </c>
      <c r="F430" s="2" t="s">
        <v>9384</v>
      </c>
    </row>
    <row r="431">
      <c r="A431" s="8">
        <v>46182.39448195602</v>
      </c>
      <c r="B431" s="2" t="s">
        <v>9089</v>
      </c>
      <c r="C431" s="4">
        <v>1.1857766E7</v>
      </c>
      <c r="D431" s="2" t="b">
        <v>1</v>
      </c>
      <c r="E431" s="2" t="b">
        <v>1</v>
      </c>
      <c r="F431" s="2" t="s">
        <v>9381</v>
      </c>
    </row>
    <row r="432">
      <c r="A432" s="8">
        <v>46182.39450016204</v>
      </c>
      <c r="B432" s="2" t="s">
        <v>9089</v>
      </c>
      <c r="C432" s="4">
        <v>1.1857766E7</v>
      </c>
      <c r="D432" s="2" t="b">
        <v>1</v>
      </c>
      <c r="E432" s="2" t="b">
        <v>1</v>
      </c>
      <c r="F432" s="2" t="s">
        <v>9381</v>
      </c>
    </row>
    <row r="433">
      <c r="A433" s="8">
        <v>46182.39451359954</v>
      </c>
      <c r="B433" s="2" t="s">
        <v>9074</v>
      </c>
      <c r="C433" s="4">
        <v>1.1857766E7</v>
      </c>
      <c r="D433" s="2" t="b">
        <v>1</v>
      </c>
      <c r="E433" s="2" t="b">
        <v>1</v>
      </c>
      <c r="F433" s="2" t="s">
        <v>9385</v>
      </c>
    </row>
    <row r="434">
      <c r="A434" s="8">
        <v>46182.394534085644</v>
      </c>
      <c r="B434" s="2" t="s">
        <v>9089</v>
      </c>
      <c r="C434" s="4">
        <v>1.1857766E7</v>
      </c>
      <c r="D434" s="2" t="b">
        <v>1</v>
      </c>
      <c r="E434" s="2" t="b">
        <v>1</v>
      </c>
      <c r="F434" s="2" t="s">
        <v>9381</v>
      </c>
    </row>
    <row r="435">
      <c r="A435" s="8">
        <v>46183.32441190972</v>
      </c>
      <c r="B435" s="2" t="s">
        <v>9077</v>
      </c>
      <c r="C435" s="4">
        <v>1.188021E7</v>
      </c>
      <c r="D435" s="2" t="b">
        <v>1</v>
      </c>
      <c r="E435" s="2" t="b">
        <v>1</v>
      </c>
      <c r="F435" s="2" t="s">
        <v>9386</v>
      </c>
    </row>
    <row r="436">
      <c r="A436" s="8">
        <v>46183.32442484953</v>
      </c>
      <c r="B436" s="2" t="s">
        <v>9077</v>
      </c>
      <c r="C436" s="4">
        <v>1.188021E7</v>
      </c>
      <c r="D436" s="2" t="b">
        <v>1</v>
      </c>
      <c r="E436" s="2" t="b">
        <v>1</v>
      </c>
      <c r="F436" s="2" t="s">
        <v>9387</v>
      </c>
    </row>
    <row r="437">
      <c r="A437" s="8">
        <v>46183.32447260417</v>
      </c>
      <c r="B437" s="2" t="s">
        <v>9074</v>
      </c>
      <c r="C437" s="4">
        <v>1.188021E7</v>
      </c>
      <c r="D437" s="2" t="b">
        <v>1</v>
      </c>
      <c r="E437" s="2" t="b">
        <v>1</v>
      </c>
      <c r="F437" s="2" t="s">
        <v>9388</v>
      </c>
    </row>
    <row r="438">
      <c r="A438" s="8">
        <v>46185.16579236111</v>
      </c>
      <c r="B438" s="2" t="s">
        <v>9077</v>
      </c>
      <c r="C438" s="4">
        <v>1.1947757E7</v>
      </c>
      <c r="D438" s="2" t="b">
        <v>1</v>
      </c>
      <c r="E438" s="2" t="b">
        <v>1</v>
      </c>
      <c r="F438" s="2" t="s">
        <v>9389</v>
      </c>
    </row>
    <row r="439">
      <c r="A439" s="8">
        <v>46185.1657982176</v>
      </c>
      <c r="B439" s="2" t="s">
        <v>9077</v>
      </c>
      <c r="C439" s="4">
        <v>1.1947757E7</v>
      </c>
      <c r="D439" s="2" t="b">
        <v>1</v>
      </c>
      <c r="E439" s="2" t="b">
        <v>1</v>
      </c>
      <c r="F439" s="2" t="s">
        <v>9390</v>
      </c>
    </row>
    <row r="440">
      <c r="A440" s="8">
        <v>46185.16583966435</v>
      </c>
      <c r="B440" s="2" t="s">
        <v>9074</v>
      </c>
      <c r="C440" s="4">
        <v>1.1947757E7</v>
      </c>
      <c r="D440" s="2" t="b">
        <v>1</v>
      </c>
      <c r="E440" s="2" t="b">
        <v>1</v>
      </c>
      <c r="F440" s="2" t="s">
        <v>9391</v>
      </c>
    </row>
    <row r="441">
      <c r="A441" s="8">
        <v>46185.16754329861</v>
      </c>
      <c r="B441" s="2" t="s">
        <v>9077</v>
      </c>
      <c r="C441" s="4">
        <v>1.1947855E7</v>
      </c>
      <c r="D441" s="2" t="b">
        <v>1</v>
      </c>
      <c r="E441" s="2" t="b">
        <v>1</v>
      </c>
      <c r="F441" s="2" t="s">
        <v>9392</v>
      </c>
    </row>
    <row r="442">
      <c r="A442" s="8">
        <v>46185.16755068287</v>
      </c>
      <c r="B442" s="2" t="s">
        <v>9077</v>
      </c>
      <c r="C442" s="4">
        <v>1.1947855E7</v>
      </c>
      <c r="D442" s="2" t="b">
        <v>1</v>
      </c>
      <c r="E442" s="2" t="b">
        <v>1</v>
      </c>
      <c r="F442" s="2" t="s">
        <v>9393</v>
      </c>
    </row>
    <row r="443">
      <c r="A443" s="8">
        <v>46185.167583981485</v>
      </c>
      <c r="B443" s="2" t="s">
        <v>9074</v>
      </c>
      <c r="C443" s="4">
        <v>1.1947855E7</v>
      </c>
      <c r="D443" s="2" t="b">
        <v>1</v>
      </c>
      <c r="E443" s="2" t="b">
        <v>1</v>
      </c>
      <c r="F443" s="2" t="s">
        <v>9394</v>
      </c>
    </row>
    <row r="444">
      <c r="A444" s="8">
        <v>46188.36244196759</v>
      </c>
      <c r="B444" s="2" t="s">
        <v>9077</v>
      </c>
      <c r="C444" s="4">
        <v>1.2170006E7</v>
      </c>
      <c r="D444" s="2" t="b">
        <v>1</v>
      </c>
      <c r="E444" s="2" t="b">
        <v>1</v>
      </c>
      <c r="F444" s="2" t="s">
        <v>9395</v>
      </c>
    </row>
    <row r="445">
      <c r="A445" s="8">
        <v>46188.36248894676</v>
      </c>
      <c r="B445" s="2" t="s">
        <v>9074</v>
      </c>
      <c r="C445" s="4">
        <v>1.2170006E7</v>
      </c>
      <c r="D445" s="2" t="b">
        <v>1</v>
      </c>
      <c r="E445" s="2" t="b">
        <v>1</v>
      </c>
      <c r="F445" s="2" t="s">
        <v>9396</v>
      </c>
    </row>
    <row r="446">
      <c r="A446" s="8">
        <v>46190.1702259375</v>
      </c>
      <c r="B446" s="2" t="s">
        <v>9077</v>
      </c>
      <c r="C446" s="4">
        <v>1.2218126E7</v>
      </c>
      <c r="D446" s="2" t="b">
        <v>1</v>
      </c>
      <c r="E446" s="2" t="b">
        <v>1</v>
      </c>
      <c r="F446" s="2" t="s">
        <v>9397</v>
      </c>
    </row>
    <row r="447">
      <c r="A447" s="8">
        <v>46190.17022695602</v>
      </c>
      <c r="B447" s="2" t="s">
        <v>9077</v>
      </c>
      <c r="C447" s="4">
        <v>1.2218126E7</v>
      </c>
      <c r="D447" s="2" t="b">
        <v>1</v>
      </c>
      <c r="E447" s="2" t="b">
        <v>1</v>
      </c>
      <c r="F447" s="2" t="s">
        <v>9398</v>
      </c>
    </row>
    <row r="448">
      <c r="A448" s="8">
        <v>46190.17023524306</v>
      </c>
      <c r="B448" s="2" t="s">
        <v>9089</v>
      </c>
      <c r="C448" s="4">
        <v>1.2218126E7</v>
      </c>
      <c r="D448" s="2" t="b">
        <v>1</v>
      </c>
      <c r="E448" s="2" t="b">
        <v>1</v>
      </c>
      <c r="F448" s="2" t="s">
        <v>9399</v>
      </c>
    </row>
    <row r="449">
      <c r="A449" s="8">
        <v>46190.17026054398</v>
      </c>
      <c r="B449" s="2" t="s">
        <v>9089</v>
      </c>
      <c r="C449" s="4">
        <v>1.2218126E7</v>
      </c>
      <c r="D449" s="2" t="b">
        <v>1</v>
      </c>
      <c r="E449" s="2" t="b">
        <v>1</v>
      </c>
      <c r="F449" s="2" t="s">
        <v>9399</v>
      </c>
    </row>
    <row r="450">
      <c r="A450" s="8">
        <v>46190.170281493054</v>
      </c>
      <c r="B450" s="2" t="s">
        <v>9074</v>
      </c>
      <c r="C450" s="4">
        <v>1.2218126E7</v>
      </c>
      <c r="D450" s="2" t="b">
        <v>1</v>
      </c>
      <c r="E450" s="2" t="b">
        <v>1</v>
      </c>
      <c r="F450" s="2" t="s">
        <v>9400</v>
      </c>
    </row>
    <row r="451">
      <c r="A451" s="8">
        <v>46190.17029915509</v>
      </c>
      <c r="B451" s="2" t="s">
        <v>9089</v>
      </c>
      <c r="C451" s="4">
        <v>1.2218126E7</v>
      </c>
      <c r="D451" s="2" t="b">
        <v>1</v>
      </c>
      <c r="E451" s="2" t="b">
        <v>1</v>
      </c>
      <c r="F451" s="2" t="s">
        <v>9399</v>
      </c>
    </row>
    <row r="452">
      <c r="A452" s="8">
        <v>46192.106402060184</v>
      </c>
      <c r="B452" s="2" t="s">
        <v>9077</v>
      </c>
      <c r="C452" s="4">
        <v>1.2306985E7</v>
      </c>
      <c r="D452" s="2" t="b">
        <v>1</v>
      </c>
      <c r="E452" s="2" t="b">
        <v>1</v>
      </c>
      <c r="F452" s="2" t="s">
        <v>9401</v>
      </c>
    </row>
    <row r="453">
      <c r="A453" s="8">
        <v>46192.10640253472</v>
      </c>
      <c r="B453" s="2" t="s">
        <v>9077</v>
      </c>
      <c r="C453" s="4">
        <v>1.2306985E7</v>
      </c>
      <c r="D453" s="2" t="b">
        <v>1</v>
      </c>
      <c r="E453" s="2" t="b">
        <v>1</v>
      </c>
      <c r="F453" s="2" t="s">
        <v>9402</v>
      </c>
    </row>
    <row r="454">
      <c r="A454" s="8">
        <v>46192.1064515162</v>
      </c>
      <c r="B454" s="2" t="s">
        <v>9074</v>
      </c>
      <c r="C454" s="4">
        <v>1.2306985E7</v>
      </c>
      <c r="D454" s="2" t="b">
        <v>1</v>
      </c>
      <c r="E454" s="2" t="b">
        <v>1</v>
      </c>
      <c r="F454" s="2" t="s">
        <v>9403</v>
      </c>
    </row>
    <row r="455">
      <c r="A455" s="8">
        <v>46192.39305641204</v>
      </c>
      <c r="B455" s="2" t="s">
        <v>9077</v>
      </c>
      <c r="C455" s="4">
        <v>1.2316531E7</v>
      </c>
      <c r="D455" s="2" t="b">
        <v>1</v>
      </c>
      <c r="E455" s="2" t="b">
        <v>1</v>
      </c>
      <c r="F455" s="2" t="s">
        <v>9404</v>
      </c>
    </row>
    <row r="456">
      <c r="A456" s="8">
        <v>46192.393058912035</v>
      </c>
      <c r="B456" s="2" t="s">
        <v>9077</v>
      </c>
      <c r="C456" s="4">
        <v>1.2316531E7</v>
      </c>
      <c r="D456" s="2" t="b">
        <v>1</v>
      </c>
      <c r="E456" s="2" t="b">
        <v>1</v>
      </c>
      <c r="F456" s="2" t="s">
        <v>9405</v>
      </c>
    </row>
    <row r="457">
      <c r="A457" s="8">
        <v>46192.39310291667</v>
      </c>
      <c r="B457" s="2" t="s">
        <v>9074</v>
      </c>
      <c r="C457" s="4">
        <v>1.2316531E7</v>
      </c>
      <c r="D457" s="2" t="b">
        <v>1</v>
      </c>
      <c r="E457" s="2" t="b">
        <v>1</v>
      </c>
      <c r="F457" s="2" t="s">
        <v>9406</v>
      </c>
    </row>
    <row r="458">
      <c r="A458" s="8">
        <v>46192.4116575463</v>
      </c>
      <c r="B458" s="2" t="s">
        <v>9077</v>
      </c>
      <c r="C458" s="4">
        <v>1.2317526E7</v>
      </c>
      <c r="D458" s="2" t="b">
        <v>1</v>
      </c>
      <c r="E458" s="2" t="b">
        <v>1</v>
      </c>
      <c r="F458" s="2" t="s">
        <v>9407</v>
      </c>
    </row>
    <row r="459">
      <c r="A459" s="8">
        <v>46192.41165546296</v>
      </c>
      <c r="B459" s="2" t="s">
        <v>9077</v>
      </c>
      <c r="C459" s="4">
        <v>1.2317526E7</v>
      </c>
      <c r="D459" s="2" t="b">
        <v>1</v>
      </c>
      <c r="E459" s="2" t="b">
        <v>1</v>
      </c>
      <c r="F459" s="2" t="s">
        <v>9408</v>
      </c>
    </row>
    <row r="460">
      <c r="A460" s="8">
        <v>46192.411706238425</v>
      </c>
      <c r="B460" s="2" t="s">
        <v>9074</v>
      </c>
      <c r="C460" s="4">
        <v>1.2317526E7</v>
      </c>
      <c r="D460" s="2" t="b">
        <v>1</v>
      </c>
      <c r="E460" s="2" t="b">
        <v>1</v>
      </c>
      <c r="F460" s="2" t="s">
        <v>9409</v>
      </c>
    </row>
    <row r="461">
      <c r="A461" s="8">
        <v>46195.425235393515</v>
      </c>
      <c r="B461" s="2" t="s">
        <v>9077</v>
      </c>
      <c r="C461" s="4">
        <v>1.2488264E7</v>
      </c>
      <c r="D461" s="2" t="b">
        <v>1</v>
      </c>
      <c r="E461" s="2" t="b">
        <v>1</v>
      </c>
      <c r="F461" s="2" t="s">
        <v>9410</v>
      </c>
    </row>
    <row r="462">
      <c r="A462" s="8">
        <v>46195.42524311342</v>
      </c>
      <c r="B462" s="2" t="s">
        <v>9077</v>
      </c>
      <c r="C462" s="4">
        <v>1.2488264E7</v>
      </c>
      <c r="D462" s="2" t="b">
        <v>1</v>
      </c>
      <c r="E462" s="2" t="b">
        <v>1</v>
      </c>
      <c r="F462" s="2" t="s">
        <v>9411</v>
      </c>
    </row>
    <row r="463">
      <c r="A463" s="8">
        <v>46195.42525685186</v>
      </c>
      <c r="B463" s="2" t="s">
        <v>9089</v>
      </c>
      <c r="C463" s="4">
        <v>1.2488264E7</v>
      </c>
      <c r="D463" s="2" t="b">
        <v>1</v>
      </c>
      <c r="E463" s="2" t="b">
        <v>1</v>
      </c>
      <c r="F463" s="2" t="s">
        <v>9412</v>
      </c>
    </row>
    <row r="464">
      <c r="A464" s="8">
        <v>46195.425261979166</v>
      </c>
      <c r="B464" s="2" t="s">
        <v>9089</v>
      </c>
      <c r="C464" s="4">
        <v>1.2488264E7</v>
      </c>
      <c r="D464" s="2" t="b">
        <v>1</v>
      </c>
      <c r="E464" s="2" t="b">
        <v>1</v>
      </c>
      <c r="F464" s="2" t="s">
        <v>9412</v>
      </c>
    </row>
    <row r="465">
      <c r="A465" s="8">
        <v>46195.42530574074</v>
      </c>
      <c r="B465" s="2" t="s">
        <v>9074</v>
      </c>
      <c r="C465" s="4">
        <v>1.2488264E7</v>
      </c>
      <c r="D465" s="2" t="b">
        <v>1</v>
      </c>
      <c r="E465" s="2" t="b">
        <v>1</v>
      </c>
      <c r="F465" s="2" t="s">
        <v>9413</v>
      </c>
    </row>
    <row r="466">
      <c r="A466" s="8">
        <v>46195.425318842594</v>
      </c>
      <c r="B466" s="2" t="s">
        <v>9089</v>
      </c>
      <c r="C466" s="4">
        <v>1.2488264E7</v>
      </c>
      <c r="D466" s="2" t="b">
        <v>1</v>
      </c>
      <c r="E466" s="2" t="b">
        <v>1</v>
      </c>
      <c r="F466" s="2" t="s">
        <v>9412</v>
      </c>
    </row>
    <row r="467">
      <c r="A467" s="8">
        <v>46196.39180208334</v>
      </c>
      <c r="B467" s="2" t="s">
        <v>9077</v>
      </c>
      <c r="C467" s="4">
        <v>1.2513374E7</v>
      </c>
      <c r="D467" s="2" t="b">
        <v>1</v>
      </c>
      <c r="E467" s="2" t="b">
        <v>1</v>
      </c>
      <c r="F467" s="2" t="s">
        <v>9414</v>
      </c>
    </row>
    <row r="468">
      <c r="A468" s="8">
        <v>46196.391802314814</v>
      </c>
      <c r="B468" s="2" t="s">
        <v>9077</v>
      </c>
      <c r="C468" s="4">
        <v>1.2513374E7</v>
      </c>
      <c r="D468" s="2" t="b">
        <v>1</v>
      </c>
      <c r="E468" s="2" t="b">
        <v>1</v>
      </c>
      <c r="F468" s="2" t="s">
        <v>9415</v>
      </c>
    </row>
    <row r="469">
      <c r="A469" s="8">
        <v>46196.391847673614</v>
      </c>
      <c r="B469" s="2" t="s">
        <v>9074</v>
      </c>
      <c r="C469" s="4">
        <v>1.2513374E7</v>
      </c>
      <c r="D469" s="2" t="b">
        <v>1</v>
      </c>
      <c r="E469" s="2" t="b">
        <v>1</v>
      </c>
      <c r="F469" s="2" t="s">
        <v>9416</v>
      </c>
    </row>
    <row r="470">
      <c r="A470" s="8">
        <v>46196.396864594906</v>
      </c>
      <c r="B470" s="2" t="s">
        <v>9077</v>
      </c>
      <c r="C470" s="4">
        <v>1.2513697E7</v>
      </c>
      <c r="D470" s="2" t="b">
        <v>1</v>
      </c>
      <c r="E470" s="2" t="b">
        <v>1</v>
      </c>
      <c r="F470" s="2" t="s">
        <v>9417</v>
      </c>
    </row>
    <row r="471">
      <c r="A471" s="8">
        <v>46196.39686525463</v>
      </c>
      <c r="B471" s="2" t="s">
        <v>9077</v>
      </c>
      <c r="C471" s="4">
        <v>1.2513697E7</v>
      </c>
      <c r="D471" s="2" t="b">
        <v>1</v>
      </c>
      <c r="E471" s="2" t="b">
        <v>1</v>
      </c>
      <c r="F471" s="2" t="s">
        <v>9418</v>
      </c>
    </row>
    <row r="472">
      <c r="A472" s="8">
        <v>46196.39687302083</v>
      </c>
      <c r="B472" s="2" t="s">
        <v>9089</v>
      </c>
      <c r="C472" s="4">
        <v>1.2513697E7</v>
      </c>
      <c r="D472" s="2" t="b">
        <v>1</v>
      </c>
      <c r="E472" s="2" t="b">
        <v>1</v>
      </c>
      <c r="F472" s="2" t="s">
        <v>9419</v>
      </c>
    </row>
    <row r="473">
      <c r="A473" s="8">
        <v>46196.39688946759</v>
      </c>
      <c r="B473" s="2" t="s">
        <v>9089</v>
      </c>
      <c r="C473" s="4">
        <v>1.2513697E7</v>
      </c>
      <c r="D473" s="2" t="b">
        <v>1</v>
      </c>
      <c r="E473" s="2" t="b">
        <v>1</v>
      </c>
      <c r="F473" s="2" t="s">
        <v>9419</v>
      </c>
    </row>
    <row r="474">
      <c r="A474" s="8">
        <v>46196.39692138889</v>
      </c>
      <c r="B474" s="2" t="s">
        <v>9074</v>
      </c>
      <c r="C474" s="4">
        <v>1.2513697E7</v>
      </c>
      <c r="D474" s="2" t="b">
        <v>1</v>
      </c>
      <c r="E474" s="2" t="b">
        <v>1</v>
      </c>
      <c r="F474" s="2" t="s">
        <v>9420</v>
      </c>
    </row>
    <row r="475">
      <c r="A475" s="8">
        <v>46196.39694175926</v>
      </c>
      <c r="B475" s="2" t="s">
        <v>9089</v>
      </c>
      <c r="C475" s="4">
        <v>1.2513697E7</v>
      </c>
      <c r="D475" s="2" t="b">
        <v>1</v>
      </c>
      <c r="E475" s="2" t="b">
        <v>1</v>
      </c>
      <c r="F475" s="2" t="s">
        <v>9419</v>
      </c>
    </row>
    <row r="476">
      <c r="A476" s="8">
        <v>46196.420319467594</v>
      </c>
      <c r="B476" s="2" t="s">
        <v>9077</v>
      </c>
      <c r="C476" s="4">
        <v>1.2515528E7</v>
      </c>
      <c r="D476" s="2" t="b">
        <v>1</v>
      </c>
      <c r="E476" s="2" t="b">
        <v>1</v>
      </c>
      <c r="F476" s="2" t="s">
        <v>9421</v>
      </c>
    </row>
    <row r="477">
      <c r="A477" s="8">
        <v>46196.420319675926</v>
      </c>
      <c r="B477" s="2" t="s">
        <v>9077</v>
      </c>
      <c r="C477" s="4">
        <v>1.2515528E7</v>
      </c>
      <c r="D477" s="2" t="b">
        <v>1</v>
      </c>
      <c r="E477" s="2" t="b">
        <v>1</v>
      </c>
      <c r="F477" s="2" t="s">
        <v>9422</v>
      </c>
    </row>
    <row r="478">
      <c r="A478" s="8">
        <v>46196.4203627199</v>
      </c>
      <c r="B478" s="2" t="s">
        <v>9074</v>
      </c>
      <c r="C478" s="4">
        <v>1.2515528E7</v>
      </c>
      <c r="D478" s="2" t="b">
        <v>1</v>
      </c>
      <c r="E478" s="2" t="b">
        <v>1</v>
      </c>
      <c r="F478" s="2" t="s">
        <v>9423</v>
      </c>
    </row>
    <row r="479">
      <c r="A479" s="8">
        <v>46197.123230613426</v>
      </c>
      <c r="B479" s="2" t="s">
        <v>9077</v>
      </c>
      <c r="C479" s="4">
        <v>1.2551622E7</v>
      </c>
      <c r="D479" s="2" t="b">
        <v>1</v>
      </c>
      <c r="E479" s="2" t="b">
        <v>1</v>
      </c>
      <c r="F479" s="2" t="s">
        <v>9424</v>
      </c>
    </row>
    <row r="480">
      <c r="A480" s="8">
        <v>46197.12324707176</v>
      </c>
      <c r="B480" s="2" t="s">
        <v>9077</v>
      </c>
      <c r="C480" s="4">
        <v>1.2551622E7</v>
      </c>
      <c r="D480" s="2" t="b">
        <v>1</v>
      </c>
      <c r="E480" s="2" t="b">
        <v>1</v>
      </c>
      <c r="F480" s="2" t="s">
        <v>9425</v>
      </c>
    </row>
    <row r="481">
      <c r="A481" s="8">
        <v>46197.12329935185</v>
      </c>
      <c r="B481" s="2" t="s">
        <v>9074</v>
      </c>
      <c r="C481" s="4">
        <v>1.2551622E7</v>
      </c>
      <c r="D481" s="2" t="b">
        <v>1</v>
      </c>
      <c r="E481" s="2" t="b">
        <v>1</v>
      </c>
      <c r="F481" s="2" t="s">
        <v>9426</v>
      </c>
    </row>
    <row r="482">
      <c r="A482" s="8">
        <v>46197.17457666667</v>
      </c>
      <c r="B482" s="2" t="s">
        <v>9077</v>
      </c>
      <c r="C482" s="4">
        <v>1.255413E7</v>
      </c>
      <c r="D482" s="2" t="b">
        <v>1</v>
      </c>
      <c r="E482" s="2" t="b">
        <v>1</v>
      </c>
      <c r="F482" s="2" t="s">
        <v>9427</v>
      </c>
    </row>
    <row r="483">
      <c r="A483" s="8">
        <v>46197.17457793982</v>
      </c>
      <c r="B483" s="2" t="s">
        <v>9077</v>
      </c>
      <c r="C483" s="4">
        <v>1.255413E7</v>
      </c>
      <c r="D483" s="2" t="b">
        <v>1</v>
      </c>
      <c r="E483" s="2" t="b">
        <v>1</v>
      </c>
      <c r="F483" s="2" t="s">
        <v>9428</v>
      </c>
    </row>
    <row r="484">
      <c r="A484" s="8">
        <v>46197.174622499995</v>
      </c>
      <c r="B484" s="2" t="s">
        <v>9074</v>
      </c>
      <c r="C484" s="4">
        <v>1.255413E7</v>
      </c>
      <c r="D484" s="2" t="b">
        <v>1</v>
      </c>
      <c r="E484" s="2" t="b">
        <v>1</v>
      </c>
      <c r="F484" s="2" t="s">
        <v>9429</v>
      </c>
    </row>
    <row r="485">
      <c r="A485" s="8">
        <v>46197.18700521991</v>
      </c>
      <c r="B485" s="2" t="s">
        <v>9077</v>
      </c>
      <c r="C485" s="4">
        <v>1.2555078E7</v>
      </c>
      <c r="D485" s="2" t="b">
        <v>1</v>
      </c>
      <c r="E485" s="2" t="b">
        <v>1</v>
      </c>
      <c r="F485" s="2" t="s">
        <v>9430</v>
      </c>
    </row>
    <row r="486">
      <c r="A486" s="8">
        <v>46197.187011608796</v>
      </c>
      <c r="B486" s="2" t="s">
        <v>9089</v>
      </c>
      <c r="C486" s="4">
        <v>1.2555078E7</v>
      </c>
      <c r="D486" s="2" t="b">
        <v>1</v>
      </c>
      <c r="E486" s="2" t="b">
        <v>1</v>
      </c>
      <c r="F486" s="2" t="s">
        <v>9431</v>
      </c>
    </row>
    <row r="487">
      <c r="A487" s="8">
        <v>46197.18701130787</v>
      </c>
      <c r="B487" s="2" t="s">
        <v>9077</v>
      </c>
      <c r="C487" s="4">
        <v>1.2555078E7</v>
      </c>
      <c r="D487" s="2" t="b">
        <v>1</v>
      </c>
      <c r="E487" s="2" t="b">
        <v>1</v>
      </c>
      <c r="F487" s="2" t="s">
        <v>9432</v>
      </c>
    </row>
    <row r="488">
      <c r="A488" s="8">
        <v>46197.18703424769</v>
      </c>
      <c r="B488" s="2" t="s">
        <v>9089</v>
      </c>
      <c r="C488" s="4">
        <v>1.2555078E7</v>
      </c>
      <c r="D488" s="2" t="b">
        <v>1</v>
      </c>
      <c r="E488" s="2" t="b">
        <v>1</v>
      </c>
      <c r="F488" s="2" t="s">
        <v>9431</v>
      </c>
    </row>
    <row r="489">
      <c r="A489" s="8">
        <v>46197.18705846065</v>
      </c>
      <c r="B489" s="2" t="s">
        <v>9074</v>
      </c>
      <c r="C489" s="4">
        <v>1.2555078E7</v>
      </c>
      <c r="D489" s="2" t="b">
        <v>1</v>
      </c>
      <c r="E489" s="2" t="b">
        <v>1</v>
      </c>
      <c r="F489" s="2" t="s">
        <v>9433</v>
      </c>
    </row>
    <row r="490">
      <c r="A490" s="8">
        <v>46197.18707056713</v>
      </c>
      <c r="B490" s="2" t="s">
        <v>9089</v>
      </c>
      <c r="C490" s="4">
        <v>1.2555078E7</v>
      </c>
      <c r="D490" s="2" t="b">
        <v>1</v>
      </c>
      <c r="E490" s="2" t="b">
        <v>1</v>
      </c>
      <c r="F490" s="2" t="s">
        <v>9431</v>
      </c>
    </row>
    <row r="491">
      <c r="A491" s="8">
        <v>46197.1895912037</v>
      </c>
      <c r="B491" s="2" t="s">
        <v>9077</v>
      </c>
      <c r="C491" s="4">
        <v>1.2555223E7</v>
      </c>
      <c r="D491" s="2" t="b">
        <v>1</v>
      </c>
      <c r="E491" s="2" t="b">
        <v>1</v>
      </c>
      <c r="F491" s="2" t="s">
        <v>9434</v>
      </c>
    </row>
    <row r="492">
      <c r="A492" s="8">
        <v>46197.18959511574</v>
      </c>
      <c r="B492" s="2" t="s">
        <v>9077</v>
      </c>
      <c r="C492" s="4">
        <v>1.2555223E7</v>
      </c>
      <c r="D492" s="2" t="b">
        <v>1</v>
      </c>
      <c r="E492" s="2" t="b">
        <v>1</v>
      </c>
      <c r="F492" s="2" t="s">
        <v>9435</v>
      </c>
    </row>
    <row r="493">
      <c r="A493" s="8">
        <v>46197.18962554398</v>
      </c>
      <c r="B493" s="2" t="s">
        <v>9074</v>
      </c>
      <c r="C493" s="4">
        <v>1.2555223E7</v>
      </c>
      <c r="D493" s="2" t="b">
        <v>1</v>
      </c>
      <c r="E493" s="2" t="b">
        <v>1</v>
      </c>
      <c r="F493" s="2" t="s">
        <v>9436</v>
      </c>
    </row>
    <row r="494">
      <c r="A494" s="8">
        <v>46197.198788634254</v>
      </c>
      <c r="B494" s="2" t="s">
        <v>9077</v>
      </c>
      <c r="C494" s="4">
        <v>1.2555898E7</v>
      </c>
      <c r="D494" s="2" t="b">
        <v>1</v>
      </c>
      <c r="E494" s="2" t="b">
        <v>1</v>
      </c>
      <c r="F494" s="2" t="s">
        <v>9437</v>
      </c>
    </row>
    <row r="495">
      <c r="A495" s="8">
        <v>46197.198789999995</v>
      </c>
      <c r="B495" s="2" t="s">
        <v>9077</v>
      </c>
      <c r="C495" s="4">
        <v>1.2555898E7</v>
      </c>
      <c r="D495" s="2" t="b">
        <v>1</v>
      </c>
      <c r="E495" s="2" t="b">
        <v>1</v>
      </c>
      <c r="F495" s="2" t="s">
        <v>9438</v>
      </c>
    </row>
    <row r="496">
      <c r="A496" s="8">
        <v>46197.19882384259</v>
      </c>
      <c r="B496" s="2" t="s">
        <v>9074</v>
      </c>
      <c r="C496" s="4">
        <v>1.2555898E7</v>
      </c>
      <c r="D496" s="2" t="b">
        <v>1</v>
      </c>
      <c r="E496" s="2" t="b">
        <v>1</v>
      </c>
      <c r="F496" s="2" t="s">
        <v>9439</v>
      </c>
    </row>
    <row r="497">
      <c r="A497" s="8">
        <v>46197.25414278935</v>
      </c>
      <c r="B497" s="2" t="s">
        <v>9077</v>
      </c>
      <c r="C497" s="4">
        <v>1.2558289E7</v>
      </c>
      <c r="D497" s="2" t="b">
        <v>1</v>
      </c>
      <c r="E497" s="2" t="b">
        <v>1</v>
      </c>
      <c r="F497" s="2" t="s">
        <v>9440</v>
      </c>
    </row>
    <row r="498">
      <c r="A498" s="8">
        <v>46197.25415165509</v>
      </c>
      <c r="B498" s="2" t="s">
        <v>9089</v>
      </c>
      <c r="C498" s="4">
        <v>1.2558289E7</v>
      </c>
      <c r="D498" s="2" t="b">
        <v>1</v>
      </c>
      <c r="E498" s="2" t="b">
        <v>1</v>
      </c>
      <c r="F498" s="2" t="s">
        <v>9441</v>
      </c>
    </row>
    <row r="499">
      <c r="A499" s="8">
        <v>46197.254154780094</v>
      </c>
      <c r="B499" s="2" t="s">
        <v>9077</v>
      </c>
      <c r="C499" s="4">
        <v>1.2558289E7</v>
      </c>
      <c r="D499" s="2" t="b">
        <v>1</v>
      </c>
      <c r="E499" s="2" t="b">
        <v>1</v>
      </c>
      <c r="F499" s="2" t="s">
        <v>9442</v>
      </c>
    </row>
    <row r="500">
      <c r="A500" s="8">
        <v>46197.25417739584</v>
      </c>
      <c r="B500" s="2" t="s">
        <v>9074</v>
      </c>
      <c r="C500" s="4">
        <v>1.2558289E7</v>
      </c>
      <c r="D500" s="2" t="b">
        <v>1</v>
      </c>
      <c r="E500" s="2" t="b">
        <v>1</v>
      </c>
      <c r="F500" s="2" t="s">
        <v>9443</v>
      </c>
    </row>
    <row r="501">
      <c r="A501" s="8">
        <v>46197.25418552083</v>
      </c>
      <c r="B501" s="2" t="s">
        <v>9089</v>
      </c>
      <c r="C501" s="4">
        <v>1.2558289E7</v>
      </c>
      <c r="D501" s="2" t="b">
        <v>1</v>
      </c>
      <c r="E501" s="2" t="b">
        <v>1</v>
      </c>
      <c r="F501" s="2" t="s">
        <v>9441</v>
      </c>
    </row>
    <row r="502">
      <c r="A502" s="8">
        <v>46197.2541981713</v>
      </c>
      <c r="B502" s="2" t="s">
        <v>9089</v>
      </c>
      <c r="C502" s="4">
        <v>1.2558289E7</v>
      </c>
      <c r="D502" s="2" t="b">
        <v>1</v>
      </c>
      <c r="E502" s="2" t="b">
        <v>1</v>
      </c>
      <c r="F502" s="2" t="s">
        <v>9441</v>
      </c>
    </row>
    <row r="503">
      <c r="A503" s="8">
        <v>46197.28219326389</v>
      </c>
      <c r="B503" s="2" t="s">
        <v>9077</v>
      </c>
      <c r="C503" s="4">
        <v>1.2559096E7</v>
      </c>
      <c r="D503" s="2" t="b">
        <v>1</v>
      </c>
      <c r="E503" s="2" t="b">
        <v>1</v>
      </c>
      <c r="F503" s="2" t="s">
        <v>9444</v>
      </c>
    </row>
    <row r="504">
      <c r="A504" s="8">
        <v>46197.28219731482</v>
      </c>
      <c r="B504" s="2" t="s">
        <v>9077</v>
      </c>
      <c r="C504" s="4">
        <v>1.2559096E7</v>
      </c>
      <c r="D504" s="2" t="b">
        <v>1</v>
      </c>
      <c r="E504" s="2" t="b">
        <v>1</v>
      </c>
      <c r="F504" s="2" t="s">
        <v>9445</v>
      </c>
    </row>
    <row r="505">
      <c r="A505" s="8">
        <v>46197.28222854166</v>
      </c>
      <c r="B505" s="2" t="s">
        <v>9074</v>
      </c>
      <c r="C505" s="4">
        <v>1.2559096E7</v>
      </c>
      <c r="D505" s="2" t="b">
        <v>1</v>
      </c>
      <c r="E505" s="2" t="b">
        <v>1</v>
      </c>
      <c r="F505" s="2" t="s">
        <v>9446</v>
      </c>
    </row>
    <row r="506">
      <c r="A506" s="8">
        <v>46198.175625069445</v>
      </c>
      <c r="B506" s="2" t="s">
        <v>9077</v>
      </c>
      <c r="C506" s="4">
        <v>1.2587076E7</v>
      </c>
      <c r="D506" s="2" t="b">
        <v>1</v>
      </c>
      <c r="E506" s="2" t="b">
        <v>1</v>
      </c>
      <c r="F506" s="2" t="s">
        <v>9447</v>
      </c>
    </row>
    <row r="507">
      <c r="A507" s="8">
        <v>46198.17562519676</v>
      </c>
      <c r="B507" s="2" t="s">
        <v>9077</v>
      </c>
      <c r="C507" s="4">
        <v>1.2587076E7</v>
      </c>
      <c r="D507" s="2" t="b">
        <v>1</v>
      </c>
      <c r="E507" s="2" t="b">
        <v>1</v>
      </c>
      <c r="F507" s="2" t="s">
        <v>9448</v>
      </c>
    </row>
    <row r="508">
      <c r="A508" s="8">
        <v>46198.17563278935</v>
      </c>
      <c r="B508" s="2" t="s">
        <v>9089</v>
      </c>
      <c r="C508" s="4">
        <v>1.2587076E7</v>
      </c>
      <c r="D508" s="2" t="b">
        <v>1</v>
      </c>
      <c r="E508" s="2" t="b">
        <v>1</v>
      </c>
      <c r="F508" s="2" t="s">
        <v>9449</v>
      </c>
    </row>
    <row r="509">
      <c r="A509" s="8">
        <v>46198.17563327546</v>
      </c>
      <c r="B509" s="2" t="s">
        <v>9089</v>
      </c>
      <c r="C509" s="4">
        <v>1.2587076E7</v>
      </c>
      <c r="D509" s="2" t="b">
        <v>1</v>
      </c>
      <c r="E509" s="2" t="b">
        <v>1</v>
      </c>
      <c r="F509" s="2" t="s">
        <v>9449</v>
      </c>
    </row>
    <row r="510">
      <c r="A510" s="8">
        <v>46198.17568719907</v>
      </c>
      <c r="B510" s="2" t="s">
        <v>9074</v>
      </c>
      <c r="C510" s="4">
        <v>1.2587076E7</v>
      </c>
      <c r="D510" s="2" t="b">
        <v>1</v>
      </c>
      <c r="E510" s="2" t="b">
        <v>1</v>
      </c>
      <c r="F510" s="2" t="s">
        <v>9450</v>
      </c>
    </row>
    <row r="511">
      <c r="A511" s="8">
        <v>46198.175703506946</v>
      </c>
      <c r="B511" s="2" t="s">
        <v>9089</v>
      </c>
      <c r="C511" s="4">
        <v>1.2587076E7</v>
      </c>
      <c r="D511" s="2" t="b">
        <v>1</v>
      </c>
      <c r="E511" s="2" t="b">
        <v>1</v>
      </c>
      <c r="F511" s="2" t="s">
        <v>9449</v>
      </c>
    </row>
    <row r="512">
      <c r="A512" s="8">
        <v>46198.17987305556</v>
      </c>
      <c r="B512" s="2" t="s">
        <v>9077</v>
      </c>
      <c r="C512" s="4">
        <v>1.2587415E7</v>
      </c>
      <c r="D512" s="2" t="b">
        <v>1</v>
      </c>
      <c r="E512" s="2" t="b">
        <v>1</v>
      </c>
      <c r="F512" s="2" t="s">
        <v>9451</v>
      </c>
    </row>
    <row r="513">
      <c r="A513" s="8">
        <v>46198.17987875</v>
      </c>
      <c r="B513" s="2" t="s">
        <v>9089</v>
      </c>
      <c r="C513" s="4">
        <v>1.2587415E7</v>
      </c>
      <c r="D513" s="2" t="b">
        <v>1</v>
      </c>
      <c r="E513" s="2" t="b">
        <v>1</v>
      </c>
      <c r="F513" s="2" t="s">
        <v>9452</v>
      </c>
    </row>
    <row r="514">
      <c r="A514" s="8">
        <v>46198.17990141203</v>
      </c>
      <c r="B514" s="2" t="s">
        <v>9077</v>
      </c>
      <c r="C514" s="4">
        <v>1.2587415E7</v>
      </c>
      <c r="D514" s="2" t="b">
        <v>1</v>
      </c>
      <c r="E514" s="2" t="b">
        <v>1</v>
      </c>
      <c r="F514" s="2" t="s">
        <v>9453</v>
      </c>
    </row>
    <row r="515">
      <c r="A515" s="8">
        <v>46198.179911018524</v>
      </c>
      <c r="B515" s="2" t="s">
        <v>9089</v>
      </c>
      <c r="C515" s="4">
        <v>1.2587415E7</v>
      </c>
      <c r="D515" s="2" t="b">
        <v>1</v>
      </c>
      <c r="E515" s="2" t="b">
        <v>1</v>
      </c>
      <c r="F515" s="2" t="s">
        <v>9452</v>
      </c>
    </row>
    <row r="516">
      <c r="A516" s="8">
        <v>46198.17992915509</v>
      </c>
      <c r="B516" s="2" t="s">
        <v>9074</v>
      </c>
      <c r="C516" s="4">
        <v>1.2587415E7</v>
      </c>
      <c r="D516" s="2" t="b">
        <v>1</v>
      </c>
      <c r="E516" s="2" t="b">
        <v>1</v>
      </c>
      <c r="F516" s="2" t="s">
        <v>9454</v>
      </c>
    </row>
    <row r="517">
      <c r="A517" s="8">
        <v>46198.179943807874</v>
      </c>
      <c r="B517" s="2" t="s">
        <v>9089</v>
      </c>
      <c r="C517" s="4">
        <v>1.2587415E7</v>
      </c>
      <c r="D517" s="2" t="b">
        <v>1</v>
      </c>
      <c r="E517" s="2" t="b">
        <v>1</v>
      </c>
      <c r="F517" s="2" t="s">
        <v>9452</v>
      </c>
    </row>
    <row r="518">
      <c r="A518" s="8">
        <v>46198.3746316551</v>
      </c>
      <c r="B518" s="2" t="s">
        <v>9077</v>
      </c>
      <c r="C518" s="4">
        <v>1.2593768E7</v>
      </c>
      <c r="D518" s="2" t="b">
        <v>1</v>
      </c>
      <c r="E518" s="2" t="b">
        <v>1</v>
      </c>
      <c r="F518" s="2" t="s">
        <v>9455</v>
      </c>
    </row>
    <row r="519">
      <c r="A519" s="8">
        <v>46198.3746419213</v>
      </c>
      <c r="B519" s="2" t="s">
        <v>9089</v>
      </c>
      <c r="C519" s="4">
        <v>1.2593768E7</v>
      </c>
      <c r="D519" s="2" t="b">
        <v>1</v>
      </c>
      <c r="E519" s="2" t="b">
        <v>1</v>
      </c>
      <c r="F519" s="2" t="s">
        <v>9456</v>
      </c>
    </row>
    <row r="520">
      <c r="A520" s="8">
        <v>46198.37465542824</v>
      </c>
      <c r="B520" s="2" t="s">
        <v>9077</v>
      </c>
      <c r="C520" s="4">
        <v>1.2593768E7</v>
      </c>
      <c r="D520" s="2" t="b">
        <v>1</v>
      </c>
      <c r="E520" s="2" t="b">
        <v>1</v>
      </c>
      <c r="F520" s="2" t="s">
        <v>9457</v>
      </c>
    </row>
    <row r="521">
      <c r="A521" s="8">
        <v>46198.374663703704</v>
      </c>
      <c r="B521" s="2" t="s">
        <v>9089</v>
      </c>
      <c r="C521" s="4">
        <v>1.2593768E7</v>
      </c>
      <c r="D521" s="2" t="b">
        <v>1</v>
      </c>
      <c r="E521" s="2" t="b">
        <v>1</v>
      </c>
      <c r="F521" s="2" t="s">
        <v>9456</v>
      </c>
    </row>
    <row r="522">
      <c r="A522" s="8">
        <v>46198.37470408565</v>
      </c>
      <c r="B522" s="2" t="s">
        <v>9074</v>
      </c>
      <c r="C522" s="4">
        <v>1.2593768E7</v>
      </c>
      <c r="D522" s="2" t="b">
        <v>1</v>
      </c>
      <c r="E522" s="2" t="b">
        <v>1</v>
      </c>
      <c r="F522" s="2" t="s">
        <v>9458</v>
      </c>
    </row>
    <row r="523">
      <c r="A523" s="8">
        <v>46198.37471700231</v>
      </c>
      <c r="B523" s="2" t="s">
        <v>9089</v>
      </c>
      <c r="C523" s="4">
        <v>1.2593768E7</v>
      </c>
      <c r="D523" s="2" t="b">
        <v>1</v>
      </c>
      <c r="E523" s="2" t="b">
        <v>1</v>
      </c>
      <c r="F523" s="2" t="s">
        <v>9456</v>
      </c>
    </row>
    <row r="524">
      <c r="A524" s="8">
        <v>46198.39987684028</v>
      </c>
      <c r="B524" s="2" t="s">
        <v>9077</v>
      </c>
      <c r="C524" s="4">
        <v>1.2594538E7</v>
      </c>
      <c r="D524" s="2" t="b">
        <v>1</v>
      </c>
      <c r="E524" s="2" t="b">
        <v>1</v>
      </c>
      <c r="F524" s="2" t="s">
        <v>9459</v>
      </c>
    </row>
    <row r="525">
      <c r="A525" s="8">
        <v>46198.39987655093</v>
      </c>
      <c r="B525" s="2" t="s">
        <v>9077</v>
      </c>
      <c r="C525" s="4">
        <v>1.2594538E7</v>
      </c>
      <c r="D525" s="2" t="b">
        <v>1</v>
      </c>
      <c r="E525" s="2" t="b">
        <v>1</v>
      </c>
      <c r="F525" s="2" t="s">
        <v>9460</v>
      </c>
    </row>
    <row r="526">
      <c r="A526" s="8">
        <v>46198.399887164356</v>
      </c>
      <c r="B526" s="2" t="s">
        <v>9089</v>
      </c>
      <c r="C526" s="4">
        <v>1.2594538E7</v>
      </c>
      <c r="D526" s="2" t="b">
        <v>1</v>
      </c>
      <c r="E526" s="2" t="b">
        <v>1</v>
      </c>
      <c r="F526" s="2" t="s">
        <v>9461</v>
      </c>
    </row>
    <row r="527">
      <c r="A527" s="8">
        <v>46198.39990773148</v>
      </c>
      <c r="B527" s="2" t="s">
        <v>9089</v>
      </c>
      <c r="C527" s="4">
        <v>1.2594538E7</v>
      </c>
      <c r="D527" s="2" t="b">
        <v>1</v>
      </c>
      <c r="E527" s="2" t="b">
        <v>1</v>
      </c>
      <c r="F527" s="2" t="s">
        <v>9461</v>
      </c>
    </row>
    <row r="528">
      <c r="A528" s="8">
        <v>46198.39992783565</v>
      </c>
      <c r="B528" s="2" t="s">
        <v>9074</v>
      </c>
      <c r="C528" s="4">
        <v>1.2594538E7</v>
      </c>
      <c r="D528" s="2" t="b">
        <v>1</v>
      </c>
      <c r="E528" s="2" t="b">
        <v>1</v>
      </c>
      <c r="F528" s="2" t="s">
        <v>9462</v>
      </c>
    </row>
    <row r="529">
      <c r="A529" s="8">
        <v>46198.399954849534</v>
      </c>
      <c r="B529" s="2" t="s">
        <v>9089</v>
      </c>
      <c r="C529" s="4">
        <v>1.2594538E7</v>
      </c>
      <c r="D529" s="2" t="b">
        <v>1</v>
      </c>
      <c r="E529" s="2" t="b">
        <v>1</v>
      </c>
      <c r="F529" s="2" t="s">
        <v>9461</v>
      </c>
    </row>
    <row r="530">
      <c r="A530" s="8">
        <v>46199.12785020833</v>
      </c>
      <c r="B530" s="2" t="s">
        <v>9077</v>
      </c>
      <c r="C530" s="4">
        <v>1.2621709E7</v>
      </c>
      <c r="D530" s="2" t="b">
        <v>1</v>
      </c>
      <c r="E530" s="2" t="b">
        <v>1</v>
      </c>
      <c r="F530" s="2" t="s">
        <v>9463</v>
      </c>
    </row>
    <row r="531">
      <c r="A531" s="8">
        <v>46199.12785355324</v>
      </c>
      <c r="B531" s="2" t="s">
        <v>9077</v>
      </c>
      <c r="C531" s="4">
        <v>1.2621709E7</v>
      </c>
      <c r="D531" s="2" t="b">
        <v>1</v>
      </c>
      <c r="E531" s="2" t="b">
        <v>1</v>
      </c>
      <c r="F531" s="2" t="s">
        <v>9464</v>
      </c>
    </row>
    <row r="532">
      <c r="A532" s="8">
        <v>46199.12790402777</v>
      </c>
      <c r="B532" s="2" t="s">
        <v>9074</v>
      </c>
      <c r="C532" s="4">
        <v>1.2621709E7</v>
      </c>
      <c r="D532" s="2" t="b">
        <v>1</v>
      </c>
      <c r="E532" s="2" t="b">
        <v>1</v>
      </c>
      <c r="F532" s="2" t="s">
        <v>9465</v>
      </c>
    </row>
    <row r="533">
      <c r="A533" s="8">
        <v>46199.19220625</v>
      </c>
      <c r="B533" s="2" t="s">
        <v>9077</v>
      </c>
      <c r="C533" s="4">
        <v>1.2624488E7</v>
      </c>
      <c r="D533" s="2" t="b">
        <v>1</v>
      </c>
      <c r="E533" s="2" t="b">
        <v>1</v>
      </c>
      <c r="F533" s="2" t="s">
        <v>9466</v>
      </c>
    </row>
    <row r="534">
      <c r="A534" s="8">
        <v>46199.19220884259</v>
      </c>
      <c r="B534" s="2" t="s">
        <v>9077</v>
      </c>
      <c r="C534" s="4">
        <v>1.2624488E7</v>
      </c>
      <c r="D534" s="2" t="b">
        <v>1</v>
      </c>
      <c r="E534" s="2" t="b">
        <v>1</v>
      </c>
      <c r="F534" s="2" t="s">
        <v>9467</v>
      </c>
    </row>
    <row r="535">
      <c r="A535" s="8">
        <v>46199.19225516204</v>
      </c>
      <c r="B535" s="2" t="s">
        <v>9074</v>
      </c>
      <c r="C535" s="4">
        <v>1.2624488E7</v>
      </c>
      <c r="D535" s="2" t="b">
        <v>1</v>
      </c>
      <c r="E535" s="2" t="b">
        <v>1</v>
      </c>
      <c r="F535" s="2" t="s">
        <v>9468</v>
      </c>
    </row>
    <row r="536">
      <c r="A536" s="8">
        <v>46199.41353346065</v>
      </c>
      <c r="B536" s="2" t="s">
        <v>9077</v>
      </c>
      <c r="C536" s="4">
        <v>1.263079E7</v>
      </c>
      <c r="D536" s="2" t="b">
        <v>1</v>
      </c>
      <c r="E536" s="2" t="b">
        <v>1</v>
      </c>
      <c r="F536" s="2" t="s">
        <v>9469</v>
      </c>
    </row>
    <row r="537">
      <c r="A537" s="8">
        <v>46199.41354126157</v>
      </c>
      <c r="B537" s="2" t="s">
        <v>9089</v>
      </c>
      <c r="C537" s="4">
        <v>1.263079E7</v>
      </c>
      <c r="D537" s="2" t="b">
        <v>1</v>
      </c>
      <c r="E537" s="2" t="b">
        <v>1</v>
      </c>
      <c r="F537" s="2" t="s">
        <v>9470</v>
      </c>
    </row>
    <row r="538">
      <c r="A538" s="8">
        <v>46199.41355693287</v>
      </c>
      <c r="B538" s="2" t="s">
        <v>9077</v>
      </c>
      <c r="C538" s="4">
        <v>1.263079E7</v>
      </c>
      <c r="D538" s="2" t="b">
        <v>1</v>
      </c>
      <c r="E538" s="2" t="b">
        <v>1</v>
      </c>
      <c r="F538" s="2" t="s">
        <v>9471</v>
      </c>
    </row>
    <row r="539">
      <c r="A539" s="8">
        <v>46199.4135727199</v>
      </c>
      <c r="B539" s="2" t="s">
        <v>9089</v>
      </c>
      <c r="C539" s="4">
        <v>1.263079E7</v>
      </c>
      <c r="D539" s="2" t="b">
        <v>1</v>
      </c>
      <c r="E539" s="2" t="b">
        <v>1</v>
      </c>
      <c r="F539" s="2" t="s">
        <v>9470</v>
      </c>
    </row>
    <row r="540">
      <c r="A540" s="8">
        <v>46199.413597314815</v>
      </c>
      <c r="B540" s="2" t="s">
        <v>9074</v>
      </c>
      <c r="C540" s="4">
        <v>1.263079E7</v>
      </c>
      <c r="D540" s="2" t="b">
        <v>1</v>
      </c>
      <c r="E540" s="2" t="b">
        <v>1</v>
      </c>
      <c r="F540" s="2" t="s">
        <v>9472</v>
      </c>
    </row>
    <row r="541">
      <c r="A541" s="8">
        <v>46199.41360778935</v>
      </c>
      <c r="B541" s="2" t="s">
        <v>9089</v>
      </c>
      <c r="C541" s="4">
        <v>1.263079E7</v>
      </c>
      <c r="D541" s="2" t="b">
        <v>1</v>
      </c>
      <c r="E541" s="2" t="b">
        <v>1</v>
      </c>
      <c r="F541" s="2" t="s">
        <v>9470</v>
      </c>
    </row>
    <row r="542">
      <c r="A542" s="8">
        <v>46199.42011814815</v>
      </c>
      <c r="B542" s="2" t="s">
        <v>9077</v>
      </c>
      <c r="C542" s="4">
        <v>1.2631136E7</v>
      </c>
      <c r="D542" s="2" t="b">
        <v>1</v>
      </c>
      <c r="E542" s="2" t="b">
        <v>1</v>
      </c>
      <c r="F542" s="2" t="s">
        <v>9473</v>
      </c>
    </row>
    <row r="543">
      <c r="A543" s="8">
        <v>46199.420121724535</v>
      </c>
      <c r="B543" s="2" t="s">
        <v>9077</v>
      </c>
      <c r="C543" s="4">
        <v>1.2631136E7</v>
      </c>
      <c r="D543" s="2" t="b">
        <v>1</v>
      </c>
      <c r="E543" s="2" t="b">
        <v>1</v>
      </c>
      <c r="F543" s="2" t="s">
        <v>9474</v>
      </c>
    </row>
    <row r="544">
      <c r="A544" s="8">
        <v>46199.42015935185</v>
      </c>
      <c r="B544" s="2" t="s">
        <v>9074</v>
      </c>
      <c r="C544" s="4">
        <v>1.2631136E7</v>
      </c>
      <c r="D544" s="2" t="b">
        <v>1</v>
      </c>
      <c r="E544" s="2" t="b">
        <v>1</v>
      </c>
      <c r="F544" s="2" t="s">
        <v>9475</v>
      </c>
    </row>
    <row r="545">
      <c r="A545" s="8">
        <v>46200.12220840278</v>
      </c>
      <c r="B545" s="2" t="s">
        <v>9077</v>
      </c>
      <c r="C545" s="4">
        <v>1.2666079E7</v>
      </c>
      <c r="D545" s="2" t="b">
        <v>1</v>
      </c>
      <c r="E545" s="2" t="b">
        <v>1</v>
      </c>
      <c r="F545" s="2" t="s">
        <v>9476</v>
      </c>
    </row>
    <row r="546">
      <c r="A546" s="8">
        <v>46200.12221611111</v>
      </c>
      <c r="B546" s="2" t="s">
        <v>9089</v>
      </c>
      <c r="C546" s="4">
        <v>1.2666079E7</v>
      </c>
      <c r="D546" s="2" t="b">
        <v>1</v>
      </c>
      <c r="E546" s="2" t="b">
        <v>1</v>
      </c>
      <c r="F546" s="2" t="s">
        <v>9477</v>
      </c>
    </row>
    <row r="547">
      <c r="A547" s="8">
        <v>46200.12223262731</v>
      </c>
      <c r="B547" s="2" t="s">
        <v>9077</v>
      </c>
      <c r="C547" s="4">
        <v>1.2666079E7</v>
      </c>
      <c r="D547" s="2" t="b">
        <v>1</v>
      </c>
      <c r="E547" s="2" t="b">
        <v>1</v>
      </c>
      <c r="F547" s="2" t="s">
        <v>9478</v>
      </c>
    </row>
    <row r="548">
      <c r="A548" s="8">
        <v>46200.12224341436</v>
      </c>
      <c r="B548" s="2" t="s">
        <v>9089</v>
      </c>
      <c r="C548" s="4">
        <v>1.2666079E7</v>
      </c>
      <c r="D548" s="2" t="b">
        <v>1</v>
      </c>
      <c r="E548" s="2" t="b">
        <v>1</v>
      </c>
      <c r="F548" s="2" t="s">
        <v>9477</v>
      </c>
    </row>
    <row r="549">
      <c r="A549" s="8">
        <v>46200.1222706713</v>
      </c>
      <c r="B549" s="2" t="s">
        <v>9074</v>
      </c>
      <c r="C549" s="4">
        <v>1.2666079E7</v>
      </c>
      <c r="D549" s="2" t="b">
        <v>1</v>
      </c>
      <c r="E549" s="2" t="b">
        <v>1</v>
      </c>
      <c r="F549" s="2" t="s">
        <v>9479</v>
      </c>
    </row>
    <row r="550">
      <c r="A550" s="8">
        <v>46200.12227934028</v>
      </c>
      <c r="B550" s="2" t="s">
        <v>9089</v>
      </c>
      <c r="C550" s="4">
        <v>1.2666079E7</v>
      </c>
      <c r="D550" s="2" t="b">
        <v>1</v>
      </c>
      <c r="E550" s="2" t="b">
        <v>1</v>
      </c>
      <c r="F550" s="2" t="s">
        <v>9477</v>
      </c>
    </row>
    <row r="551">
      <c r="A551" s="8">
        <v>46201.13321436342</v>
      </c>
      <c r="B551" s="2" t="s">
        <v>9077</v>
      </c>
      <c r="C551" s="4">
        <v>1.2739253E7</v>
      </c>
      <c r="D551" s="2" t="b">
        <v>1</v>
      </c>
      <c r="E551" s="2" t="b">
        <v>1</v>
      </c>
      <c r="F551" s="2" t="s">
        <v>9480</v>
      </c>
    </row>
    <row r="552">
      <c r="A552" s="8">
        <v>46201.133214456015</v>
      </c>
      <c r="B552" s="2" t="s">
        <v>9077</v>
      </c>
      <c r="C552" s="4">
        <v>1.2739253E7</v>
      </c>
      <c r="D552" s="2" t="b">
        <v>1</v>
      </c>
      <c r="E552" s="2" t="b">
        <v>1</v>
      </c>
      <c r="F552" s="2" t="s">
        <v>9481</v>
      </c>
    </row>
    <row r="553">
      <c r="A553" s="8">
        <v>46201.13322777778</v>
      </c>
      <c r="B553" s="2" t="s">
        <v>9089</v>
      </c>
      <c r="C553" s="4">
        <v>1.2739253E7</v>
      </c>
      <c r="D553" s="2" t="b">
        <v>1</v>
      </c>
      <c r="E553" s="2" t="b">
        <v>1</v>
      </c>
      <c r="F553" s="2" t="s">
        <v>9482</v>
      </c>
    </row>
    <row r="554">
      <c r="A554" s="8">
        <v>46201.13323699074</v>
      </c>
      <c r="B554" s="2" t="s">
        <v>9089</v>
      </c>
      <c r="C554" s="4">
        <v>1.2739253E7</v>
      </c>
      <c r="D554" s="2" t="b">
        <v>1</v>
      </c>
      <c r="E554" s="2" t="b">
        <v>1</v>
      </c>
      <c r="F554" s="2" t="s">
        <v>9482</v>
      </c>
    </row>
    <row r="555">
      <c r="A555" s="8">
        <v>46201.13327695602</v>
      </c>
      <c r="B555" s="2" t="s">
        <v>9074</v>
      </c>
      <c r="C555" s="4">
        <v>1.2739253E7</v>
      </c>
      <c r="D555" s="2" t="b">
        <v>1</v>
      </c>
      <c r="E555" s="2" t="b">
        <v>1</v>
      </c>
      <c r="F555" s="2" t="s">
        <v>9483</v>
      </c>
    </row>
    <row r="556">
      <c r="A556" s="8">
        <v>46201.13329091435</v>
      </c>
      <c r="B556" s="2" t="s">
        <v>9089</v>
      </c>
      <c r="C556" s="4">
        <v>1.2739253E7</v>
      </c>
      <c r="D556" s="2" t="b">
        <v>1</v>
      </c>
      <c r="E556" s="2" t="b">
        <v>1</v>
      </c>
      <c r="F556" s="2" t="s">
        <v>9482</v>
      </c>
    </row>
    <row r="557">
      <c r="A557" s="8">
        <v>46201.34807857639</v>
      </c>
      <c r="B557" s="2" t="s">
        <v>9077</v>
      </c>
      <c r="C557" s="4">
        <v>1.2750008E7</v>
      </c>
      <c r="D557" s="2" t="b">
        <v>1</v>
      </c>
      <c r="E557" s="2" t="b">
        <v>1</v>
      </c>
      <c r="F557" s="2" t="s">
        <v>9484</v>
      </c>
    </row>
    <row r="558">
      <c r="A558" s="8">
        <v>46201.34809133102</v>
      </c>
      <c r="B558" s="2" t="s">
        <v>9077</v>
      </c>
      <c r="C558" s="4">
        <v>1.2750008E7</v>
      </c>
      <c r="D558" s="2" t="b">
        <v>1</v>
      </c>
      <c r="E558" s="2" t="b">
        <v>1</v>
      </c>
      <c r="F558" s="2" t="s">
        <v>9485</v>
      </c>
    </row>
    <row r="559">
      <c r="A559" s="8">
        <v>46201.34813244213</v>
      </c>
      <c r="B559" s="2" t="s">
        <v>9074</v>
      </c>
      <c r="C559" s="4">
        <v>1.2750008E7</v>
      </c>
      <c r="D559" s="2" t="b">
        <v>1</v>
      </c>
      <c r="E559" s="2" t="b">
        <v>1</v>
      </c>
      <c r="F559" s="2" t="s">
        <v>9486</v>
      </c>
    </row>
    <row r="560">
      <c r="A560" s="8">
        <v>46202.18484972222</v>
      </c>
      <c r="B560" s="2" t="s">
        <v>9077</v>
      </c>
      <c r="C560" s="4">
        <v>1.2779442E7</v>
      </c>
      <c r="D560" s="2" t="b">
        <v>1</v>
      </c>
      <c r="E560" s="2" t="b">
        <v>1</v>
      </c>
      <c r="F560" s="2" t="s">
        <v>9487</v>
      </c>
    </row>
    <row r="561">
      <c r="A561" s="8">
        <v>46202.18485185185</v>
      </c>
      <c r="B561" s="2" t="s">
        <v>9077</v>
      </c>
      <c r="C561" s="4">
        <v>1.2779442E7</v>
      </c>
      <c r="D561" s="2" t="b">
        <v>1</v>
      </c>
      <c r="E561" s="2" t="b">
        <v>1</v>
      </c>
      <c r="F561" s="2" t="s">
        <v>9488</v>
      </c>
    </row>
    <row r="562">
      <c r="A562" s="8">
        <v>46202.184859733796</v>
      </c>
      <c r="B562" s="2" t="s">
        <v>9089</v>
      </c>
      <c r="C562" s="4">
        <v>1.2779442E7</v>
      </c>
      <c r="D562" s="2" t="b">
        <v>1</v>
      </c>
      <c r="E562" s="2" t="b">
        <v>1</v>
      </c>
      <c r="F562" s="2" t="s">
        <v>9489</v>
      </c>
    </row>
    <row r="563">
      <c r="A563" s="8">
        <v>46202.18486025463</v>
      </c>
      <c r="B563" s="2" t="s">
        <v>9089</v>
      </c>
      <c r="C563" s="4">
        <v>1.2779442E7</v>
      </c>
      <c r="D563" s="2" t="b">
        <v>1</v>
      </c>
      <c r="E563" s="2" t="b">
        <v>1</v>
      </c>
      <c r="F563" s="2" t="s">
        <v>9489</v>
      </c>
    </row>
    <row r="564">
      <c r="A564" s="8">
        <v>46202.18490040509</v>
      </c>
      <c r="B564" s="2" t="s">
        <v>9074</v>
      </c>
      <c r="C564" s="4">
        <v>1.2779442E7</v>
      </c>
      <c r="D564" s="2" t="b">
        <v>1</v>
      </c>
      <c r="E564" s="2" t="b">
        <v>1</v>
      </c>
      <c r="F564" s="2" t="s">
        <v>9490</v>
      </c>
    </row>
    <row r="565">
      <c r="A565" s="8">
        <v>46202.184912129625</v>
      </c>
      <c r="B565" s="2" t="s">
        <v>9089</v>
      </c>
      <c r="C565" s="4">
        <v>1.2779442E7</v>
      </c>
      <c r="D565" s="2" t="b">
        <v>1</v>
      </c>
      <c r="E565" s="2" t="b">
        <v>1</v>
      </c>
      <c r="F565" s="2" t="s">
        <v>9489</v>
      </c>
    </row>
    <row r="566">
      <c r="A566" s="8">
        <v>46203.09889840278</v>
      </c>
      <c r="B566" s="2" t="s">
        <v>9077</v>
      </c>
      <c r="C566" s="4">
        <v>1.2798369E7</v>
      </c>
      <c r="D566" s="2" t="b">
        <v>1</v>
      </c>
      <c r="E566" s="2" t="b">
        <v>1</v>
      </c>
      <c r="F566" s="2" t="s">
        <v>9491</v>
      </c>
    </row>
    <row r="567">
      <c r="A567" s="8">
        <v>46203.09890751158</v>
      </c>
      <c r="B567" s="2" t="s">
        <v>9089</v>
      </c>
      <c r="C567" s="4">
        <v>1.2798369E7</v>
      </c>
      <c r="D567" s="2" t="b">
        <v>1</v>
      </c>
      <c r="E567" s="2" t="b">
        <v>1</v>
      </c>
      <c r="F567" s="2" t="s">
        <v>9492</v>
      </c>
    </row>
    <row r="568">
      <c r="A568" s="8">
        <v>46203.09894820602</v>
      </c>
      <c r="B568" s="2" t="s">
        <v>9074</v>
      </c>
      <c r="C568" s="4">
        <v>1.2798369E7</v>
      </c>
      <c r="D568" s="2" t="b">
        <v>1</v>
      </c>
      <c r="E568" s="2" t="b">
        <v>1</v>
      </c>
      <c r="F568" s="2" t="s">
        <v>9493</v>
      </c>
    </row>
    <row r="569">
      <c r="A569" s="8">
        <v>46203.098958726856</v>
      </c>
      <c r="B569" s="2" t="s">
        <v>9089</v>
      </c>
      <c r="C569" s="4">
        <v>1.2798369E7</v>
      </c>
      <c r="D569" s="2" t="b">
        <v>1</v>
      </c>
      <c r="E569" s="2" t="b">
        <v>1</v>
      </c>
      <c r="F569" s="2" t="s">
        <v>9492</v>
      </c>
    </row>
    <row r="570">
      <c r="A570" s="8">
        <v>46203.41088420139</v>
      </c>
      <c r="B570" s="2" t="s">
        <v>9077</v>
      </c>
      <c r="C570" s="4">
        <v>1.2808152E7</v>
      </c>
      <c r="D570" s="2" t="b">
        <v>1</v>
      </c>
      <c r="E570" s="2" t="b">
        <v>1</v>
      </c>
      <c r="F570" s="2" t="s">
        <v>9494</v>
      </c>
    </row>
    <row r="571">
      <c r="A571" s="8">
        <v>46203.41088980324</v>
      </c>
      <c r="B571" s="2" t="s">
        <v>9077</v>
      </c>
      <c r="C571" s="4">
        <v>1.2808152E7</v>
      </c>
      <c r="D571" s="2" t="b">
        <v>1</v>
      </c>
      <c r="E571" s="2" t="b">
        <v>1</v>
      </c>
      <c r="F571" s="2" t="s">
        <v>9495</v>
      </c>
    </row>
    <row r="572">
      <c r="A572" s="8">
        <v>46203.41094428241</v>
      </c>
      <c r="B572" s="2" t="s">
        <v>9074</v>
      </c>
      <c r="C572" s="4">
        <v>1.2808152E7</v>
      </c>
      <c r="D572" s="2" t="b">
        <v>1</v>
      </c>
      <c r="E572" s="2" t="b">
        <v>1</v>
      </c>
      <c r="F572" s="2" t="s">
        <v>9496</v>
      </c>
    </row>
    <row r="573">
      <c r="A573" s="8">
        <v>46203.43066392362</v>
      </c>
      <c r="B573" s="2" t="s">
        <v>9077</v>
      </c>
      <c r="C573" s="4">
        <v>1.2809141E7</v>
      </c>
      <c r="D573" s="2" t="b">
        <v>1</v>
      </c>
      <c r="E573" s="2" t="b">
        <v>1</v>
      </c>
      <c r="F573" s="2" t="s">
        <v>9497</v>
      </c>
    </row>
    <row r="574">
      <c r="A574" s="8">
        <v>46203.43066459491</v>
      </c>
      <c r="B574" s="2" t="s">
        <v>9077</v>
      </c>
      <c r="C574" s="4">
        <v>1.2809141E7</v>
      </c>
      <c r="D574" s="2" t="b">
        <v>1</v>
      </c>
      <c r="E574" s="2" t="b">
        <v>1</v>
      </c>
      <c r="F574" s="2" t="s">
        <v>9498</v>
      </c>
    </row>
    <row r="575">
      <c r="A575" s="8">
        <v>46203.4307212037</v>
      </c>
      <c r="B575" s="2" t="s">
        <v>9074</v>
      </c>
      <c r="C575" s="4">
        <v>1.2809141E7</v>
      </c>
      <c r="D575" s="2" t="b">
        <v>1</v>
      </c>
      <c r="E575" s="2" t="b">
        <v>1</v>
      </c>
      <c r="F575" s="2" t="s">
        <v>9499</v>
      </c>
    </row>
    <row r="576">
      <c r="A576" s="8">
        <v>46203.43597582176</v>
      </c>
      <c r="B576" s="2" t="s">
        <v>9077</v>
      </c>
      <c r="C576" s="4">
        <v>1.2809478E7</v>
      </c>
      <c r="D576" s="2" t="b">
        <v>1</v>
      </c>
      <c r="E576" s="2" t="b">
        <v>1</v>
      </c>
      <c r="F576" s="2" t="s">
        <v>9500</v>
      </c>
    </row>
    <row r="577">
      <c r="A577" s="8">
        <v>46203.4360356713</v>
      </c>
      <c r="B577" s="2" t="s">
        <v>9074</v>
      </c>
      <c r="C577" s="4">
        <v>1.2809478E7</v>
      </c>
      <c r="D577" s="2" t="b">
        <v>1</v>
      </c>
      <c r="E577" s="2" t="b">
        <v>1</v>
      </c>
      <c r="F577" s="2" t="s">
        <v>9501</v>
      </c>
    </row>
    <row r="578">
      <c r="A578" s="8">
        <v>46203.43606104166</v>
      </c>
      <c r="B578" s="2" t="s">
        <v>9077</v>
      </c>
      <c r="C578" s="4">
        <v>1.2809478E7</v>
      </c>
      <c r="D578" s="2" t="b">
        <v>1</v>
      </c>
      <c r="E578" s="2" t="b">
        <v>1</v>
      </c>
      <c r="F578" s="2" t="s">
        <v>9502</v>
      </c>
    </row>
    <row r="579">
      <c r="A579" s="8">
        <v>46204.402561469906</v>
      </c>
      <c r="B579" s="2" t="s">
        <v>9077</v>
      </c>
      <c r="C579" s="4">
        <v>1.2837287E7</v>
      </c>
      <c r="D579" s="2" t="b">
        <v>1</v>
      </c>
      <c r="E579" s="2" t="b">
        <v>1</v>
      </c>
      <c r="F579" s="2" t="s">
        <v>9503</v>
      </c>
    </row>
    <row r="580">
      <c r="A580" s="8">
        <v>46204.40261655093</v>
      </c>
      <c r="B580" s="2" t="s">
        <v>9077</v>
      </c>
      <c r="C580" s="4">
        <v>1.2837287E7</v>
      </c>
      <c r="D580" s="2" t="b">
        <v>1</v>
      </c>
      <c r="E580" s="2" t="b">
        <v>1</v>
      </c>
      <c r="F580" s="2" t="s">
        <v>9504</v>
      </c>
    </row>
    <row r="581">
      <c r="A581" s="8">
        <v>46204.40265399306</v>
      </c>
      <c r="B581" s="2" t="s">
        <v>9074</v>
      </c>
      <c r="C581" s="4">
        <v>1.2837287E7</v>
      </c>
      <c r="D581" s="2" t="b">
        <v>1</v>
      </c>
      <c r="E581" s="2" t="b">
        <v>1</v>
      </c>
      <c r="F581" s="2" t="s">
        <v>9505</v>
      </c>
    </row>
    <row r="582">
      <c r="A582" s="8">
        <v>46204.41212540509</v>
      </c>
      <c r="B582" s="2" t="s">
        <v>9077</v>
      </c>
      <c r="C582" s="4">
        <v>1.2837681E7</v>
      </c>
      <c r="D582" s="2" t="b">
        <v>1</v>
      </c>
      <c r="E582" s="2" t="b">
        <v>1</v>
      </c>
      <c r="F582" s="2" t="s">
        <v>9506</v>
      </c>
    </row>
    <row r="583">
      <c r="A583" s="8">
        <v>46204.41217674769</v>
      </c>
      <c r="B583" s="2" t="s">
        <v>9074</v>
      </c>
      <c r="C583" s="4">
        <v>1.2837681E7</v>
      </c>
      <c r="D583" s="2" t="b">
        <v>1</v>
      </c>
      <c r="E583" s="2" t="b">
        <v>1</v>
      </c>
      <c r="F583" s="2" t="s">
        <v>9507</v>
      </c>
    </row>
    <row r="584">
      <c r="A584" s="8">
        <v>46205.40407030092</v>
      </c>
      <c r="B584" s="2" t="s">
        <v>9077</v>
      </c>
      <c r="C584" s="4">
        <v>1.2866146E7</v>
      </c>
      <c r="D584" s="2" t="b">
        <v>1</v>
      </c>
      <c r="E584" s="2" t="b">
        <v>1</v>
      </c>
      <c r="F584" s="2" t="s">
        <v>9508</v>
      </c>
    </row>
    <row r="585">
      <c r="A585" s="8">
        <v>46205.40408030093</v>
      </c>
      <c r="B585" s="2" t="s">
        <v>9089</v>
      </c>
      <c r="C585" s="4">
        <v>1.2866146E7</v>
      </c>
      <c r="D585" s="2" t="b">
        <v>1</v>
      </c>
      <c r="E585" s="2" t="b">
        <v>1</v>
      </c>
      <c r="F585" s="2" t="s">
        <v>9509</v>
      </c>
    </row>
    <row r="586">
      <c r="A586" s="8">
        <v>46205.404098969906</v>
      </c>
      <c r="B586" s="2" t="s">
        <v>9077</v>
      </c>
      <c r="C586" s="4">
        <v>1.2866146E7</v>
      </c>
      <c r="D586" s="2" t="b">
        <v>1</v>
      </c>
      <c r="E586" s="2" t="b">
        <v>1</v>
      </c>
      <c r="F586" s="2" t="s">
        <v>9510</v>
      </c>
    </row>
    <row r="587">
      <c r="A587" s="8">
        <v>46205.404109849536</v>
      </c>
      <c r="B587" s="2" t="s">
        <v>9089</v>
      </c>
      <c r="C587" s="4">
        <v>1.2866146E7</v>
      </c>
      <c r="D587" s="2" t="b">
        <v>1</v>
      </c>
      <c r="E587" s="2" t="b">
        <v>1</v>
      </c>
      <c r="F587" s="2" t="s">
        <v>9509</v>
      </c>
    </row>
    <row r="588">
      <c r="A588" s="8">
        <v>46205.404136921294</v>
      </c>
      <c r="B588" s="2" t="s">
        <v>9074</v>
      </c>
      <c r="C588" s="4">
        <v>1.2866146E7</v>
      </c>
      <c r="D588" s="2" t="b">
        <v>1</v>
      </c>
      <c r="E588" s="2" t="b">
        <v>1</v>
      </c>
      <c r="F588" s="2" t="s">
        <v>9511</v>
      </c>
    </row>
    <row r="589">
      <c r="A589" s="8">
        <v>46205.404146898145</v>
      </c>
      <c r="B589" s="2" t="s">
        <v>9089</v>
      </c>
      <c r="C589" s="4">
        <v>1.2866146E7</v>
      </c>
      <c r="D589" s="2" t="b">
        <v>1</v>
      </c>
      <c r="E589" s="2" t="b">
        <v>1</v>
      </c>
      <c r="F589" s="2" t="s">
        <v>9509</v>
      </c>
    </row>
    <row r="590">
      <c r="A590" s="8">
        <v>46205.40443646991</v>
      </c>
      <c r="B590" s="2" t="s">
        <v>9077</v>
      </c>
      <c r="C590" s="4">
        <v>1.286616E7</v>
      </c>
      <c r="D590" s="2" t="b">
        <v>1</v>
      </c>
      <c r="E590" s="2" t="b">
        <v>1</v>
      </c>
      <c r="F590" s="2" t="s">
        <v>9512</v>
      </c>
    </row>
    <row r="591">
      <c r="A591" s="8">
        <v>46205.404437199075</v>
      </c>
      <c r="B591" s="2" t="s">
        <v>9077</v>
      </c>
      <c r="C591" s="4">
        <v>1.286616E7</v>
      </c>
      <c r="D591" s="2" t="b">
        <v>1</v>
      </c>
      <c r="E591" s="2" t="b">
        <v>1</v>
      </c>
      <c r="F591" s="2" t="s">
        <v>9513</v>
      </c>
    </row>
    <row r="592">
      <c r="A592" s="8">
        <v>46205.40444627315</v>
      </c>
      <c r="B592" s="2" t="s">
        <v>9089</v>
      </c>
      <c r="C592" s="4">
        <v>1.286616E7</v>
      </c>
      <c r="D592" s="2" t="b">
        <v>1</v>
      </c>
      <c r="E592" s="2" t="b">
        <v>1</v>
      </c>
      <c r="F592" s="2" t="s">
        <v>9514</v>
      </c>
    </row>
    <row r="593">
      <c r="A593" s="8">
        <v>46205.404453634255</v>
      </c>
      <c r="B593" s="2" t="s">
        <v>9089</v>
      </c>
      <c r="C593" s="4">
        <v>1.286616E7</v>
      </c>
      <c r="D593" s="2" t="b">
        <v>1</v>
      </c>
      <c r="E593" s="2" t="b">
        <v>1</v>
      </c>
      <c r="F593" s="2" t="s">
        <v>9514</v>
      </c>
    </row>
    <row r="594">
      <c r="A594" s="8">
        <v>46205.40449502315</v>
      </c>
      <c r="B594" s="2" t="s">
        <v>9074</v>
      </c>
      <c r="C594" s="4">
        <v>1.286616E7</v>
      </c>
      <c r="D594" s="2" t="b">
        <v>1</v>
      </c>
      <c r="E594" s="2" t="b">
        <v>1</v>
      </c>
      <c r="F594" s="2" t="s">
        <v>9515</v>
      </c>
    </row>
    <row r="595">
      <c r="A595" s="8">
        <v>46205.40451170139</v>
      </c>
      <c r="B595" s="2" t="s">
        <v>9089</v>
      </c>
      <c r="C595" s="4">
        <v>1.286616E7</v>
      </c>
      <c r="D595" s="2" t="b">
        <v>1</v>
      </c>
      <c r="E595" s="2" t="b">
        <v>1</v>
      </c>
      <c r="F595" s="2" t="s">
        <v>9514</v>
      </c>
    </row>
    <row r="596">
      <c r="A596" s="8">
        <v>46205.43381349537</v>
      </c>
      <c r="B596" s="2" t="s">
        <v>9077</v>
      </c>
      <c r="C596" s="4">
        <v>1.2867915E7</v>
      </c>
      <c r="D596" s="2" t="b">
        <v>1</v>
      </c>
      <c r="E596" s="2" t="b">
        <v>1</v>
      </c>
      <c r="F596" s="2" t="s">
        <v>9516</v>
      </c>
    </row>
    <row r="597">
      <c r="A597" s="8">
        <v>46205.433813298616</v>
      </c>
      <c r="B597" s="2" t="s">
        <v>9077</v>
      </c>
      <c r="C597" s="4">
        <v>1.2867915E7</v>
      </c>
      <c r="D597" s="2" t="b">
        <v>1</v>
      </c>
      <c r="E597" s="2" t="b">
        <v>1</v>
      </c>
      <c r="F597" s="2" t="s">
        <v>9517</v>
      </c>
    </row>
    <row r="598">
      <c r="A598" s="8">
        <v>46205.43382443287</v>
      </c>
      <c r="B598" s="2" t="s">
        <v>9089</v>
      </c>
      <c r="C598" s="4">
        <v>1.2867915E7</v>
      </c>
      <c r="D598" s="2" t="b">
        <v>1</v>
      </c>
      <c r="E598" s="2" t="b">
        <v>1</v>
      </c>
      <c r="F598" s="2" t="s">
        <v>9518</v>
      </c>
    </row>
    <row r="599">
      <c r="A599" s="8">
        <v>46205.43384</v>
      </c>
      <c r="B599" s="2" t="s">
        <v>9089</v>
      </c>
      <c r="C599" s="4">
        <v>1.2867915E7</v>
      </c>
      <c r="D599" s="2" t="b">
        <v>1</v>
      </c>
      <c r="E599" s="2" t="b">
        <v>1</v>
      </c>
      <c r="F599" s="2" t="s">
        <v>9518</v>
      </c>
    </row>
    <row r="600">
      <c r="A600" s="8">
        <v>46205.43386767361</v>
      </c>
      <c r="B600" s="2" t="s">
        <v>9074</v>
      </c>
      <c r="C600" s="4">
        <v>1.2867915E7</v>
      </c>
      <c r="D600" s="2" t="b">
        <v>1</v>
      </c>
      <c r="E600" s="2" t="b">
        <v>1</v>
      </c>
      <c r="F600" s="2" t="s">
        <v>9519</v>
      </c>
    </row>
    <row r="601">
      <c r="A601" s="8">
        <v>46205.43389400463</v>
      </c>
      <c r="B601" s="2" t="s">
        <v>9089</v>
      </c>
      <c r="C601" s="4">
        <v>1.2867915E7</v>
      </c>
      <c r="D601" s="2" t="b">
        <v>1</v>
      </c>
      <c r="E601" s="2" t="b">
        <v>1</v>
      </c>
      <c r="F601" s="2" t="s">
        <v>9518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8" t="s">
        <v>9520</v>
      </c>
      <c r="B1" s="18" t="s">
        <v>9521</v>
      </c>
      <c r="C1" s="18" t="s">
        <v>9522</v>
      </c>
      <c r="D1" s="18" t="s">
        <v>9523</v>
      </c>
      <c r="E1" s="18" t="s">
        <v>9524</v>
      </c>
      <c r="F1" s="18" t="s">
        <v>9525</v>
      </c>
    </row>
    <row r="2">
      <c r="A2" s="18">
        <v>1.0</v>
      </c>
      <c r="B2" s="18" t="s">
        <v>9526</v>
      </c>
      <c r="C2" s="18" t="s">
        <v>9527</v>
      </c>
      <c r="D2" s="18" t="s">
        <v>9528</v>
      </c>
      <c r="E2" s="18" t="s">
        <v>9529</v>
      </c>
      <c r="F2" s="18">
        <v>1.0</v>
      </c>
    </row>
    <row r="3">
      <c r="A3" s="18">
        <v>2.0</v>
      </c>
      <c r="B3" s="18" t="s">
        <v>9530</v>
      </c>
      <c r="C3" s="18" t="s">
        <v>9531</v>
      </c>
      <c r="D3" s="18" t="s">
        <v>9532</v>
      </c>
      <c r="E3" s="18" t="s">
        <v>9533</v>
      </c>
      <c r="F3" s="18">
        <v>2.0</v>
      </c>
    </row>
    <row r="4">
      <c r="A4" s="18">
        <v>3.0</v>
      </c>
      <c r="B4" s="18" t="s">
        <v>9534</v>
      </c>
      <c r="C4" s="18" t="s">
        <v>9535</v>
      </c>
      <c r="D4" s="18" t="s">
        <v>9536</v>
      </c>
      <c r="E4" s="18" t="s">
        <v>9537</v>
      </c>
      <c r="F4" s="18">
        <v>3.0</v>
      </c>
    </row>
    <row r="5">
      <c r="A5" s="18">
        <v>4.0</v>
      </c>
      <c r="B5" s="18" t="s">
        <v>9538</v>
      </c>
      <c r="C5" s="18" t="s">
        <v>9539</v>
      </c>
      <c r="D5" s="18" t="s">
        <v>9540</v>
      </c>
      <c r="E5" s="18" t="s">
        <v>9541</v>
      </c>
      <c r="F5" s="18">
        <v>4.0</v>
      </c>
    </row>
    <row r="6">
      <c r="A6" s="18">
        <v>5.0</v>
      </c>
      <c r="B6" s="18" t="s">
        <v>9542</v>
      </c>
      <c r="C6" s="18" t="s">
        <v>9543</v>
      </c>
      <c r="D6" s="18" t="s">
        <v>9544</v>
      </c>
      <c r="E6" s="18" t="s">
        <v>9545</v>
      </c>
      <c r="F6" s="18">
        <v>5.0</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25"/>
    <col customWidth="1" min="2" max="2" width="14.88"/>
    <col customWidth="1" min="3" max="3" width="15.25"/>
    <col customWidth="1" min="6" max="6" width="16.25"/>
    <col customWidth="1" min="7" max="7" width="18.75"/>
    <col customWidth="1" min="8" max="8" width="15.75"/>
    <col customWidth="1" min="10" max="10" width="18.5"/>
    <col customWidth="1" min="11" max="11" width="16.75"/>
  </cols>
  <sheetData>
    <row r="1" ht="22.5" customHeight="1">
      <c r="A1" s="623" t="s">
        <v>9546</v>
      </c>
      <c r="B1" s="623" t="s">
        <v>9547</v>
      </c>
      <c r="C1" s="623" t="s">
        <v>1600</v>
      </c>
      <c r="D1" s="623" t="s">
        <v>2070</v>
      </c>
      <c r="E1" s="623" t="s">
        <v>2071</v>
      </c>
      <c r="F1" s="623" t="s">
        <v>2073</v>
      </c>
      <c r="G1" s="623" t="s">
        <v>9548</v>
      </c>
      <c r="H1" s="623" t="s">
        <v>8799</v>
      </c>
      <c r="I1" s="623" t="s">
        <v>428</v>
      </c>
      <c r="J1" s="623" t="s">
        <v>8791</v>
      </c>
      <c r="K1" s="623" t="s">
        <v>9549</v>
      </c>
      <c r="L1" s="626"/>
      <c r="M1" s="626"/>
      <c r="N1" s="626"/>
      <c r="O1" s="626"/>
      <c r="P1" s="626"/>
      <c r="Q1" s="626"/>
      <c r="R1" s="626"/>
      <c r="S1" s="626"/>
      <c r="T1" s="626"/>
      <c r="U1" s="626"/>
      <c r="V1" s="626"/>
      <c r="W1" s="626"/>
      <c r="X1" s="626"/>
      <c r="Y1" s="626"/>
      <c r="Z1" s="626"/>
      <c r="AA1" s="626"/>
      <c r="AB1" s="626"/>
    </row>
    <row r="2" ht="22.5" customHeight="1">
      <c r="A2" s="227" t="str">
        <f>IFERROR(__xludf.DUMMYFUNCTION("UNIQUE(FILTER(ACQUISTI!B2:B1000, ACQUISTI!D2:D1000=""Materia Prima""))"),"LISCIO_ROSSO")</f>
        <v>LISCIO_ROSSO</v>
      </c>
      <c r="B2" s="125"/>
      <c r="C2" s="650" t="str">
        <f t="array" ref="C2:C1000">IF(ISBLANK(A2:A1000),,XLOOKUP(A2:A1000, ACQUISTI!B:B, ACQUISTI!D:D))</f>
        <v>Materia Prima</v>
      </c>
      <c r="D2" s="650" t="str">
        <f t="array" ref="D2:D1000">IF(ISBLANK(A2:A1000),,XLOOKUP(A2:A1000, ACQUISTI!B:B, ACQUISTI!E:E))</f>
        <v>PELLE</v>
      </c>
      <c r="E2" s="650" t="str">
        <f t="array" ref="E2:E1000">IF(ISBLANK($A$2:$A1000),,XLOOKUP($A$2:$A1000, ACQUISTI!$B:$B, ACQUISTI!F:F))</f>
        <v>LISCIO</v>
      </c>
      <c r="F2" s="650" t="str">
        <f t="array" ref="F2:F1000">IF(ISBLANK($A$2:$A1000),,XLOOKUP($A$2:$A1000, ACQUISTI!$B:$B, ACQUISTI!I:I))</f>
        <v>Metri Quadrati</v>
      </c>
      <c r="G2" s="651">
        <f t="array" ref="G2:G1000">IF(ISBLANK($A$2:$A1000),,XLOOKUP($A$2:$A1000, ACQUISTI!$B:$B, ACQUISTI!J:J))</f>
        <v>16</v>
      </c>
      <c r="H2" s="125">
        <f t="shared" ref="H2:H47" si="1">J2*G2</f>
        <v>62.4</v>
      </c>
      <c r="I2" s="125"/>
      <c r="J2" s="125">
        <f>SUMPRODUCT((ACQUISTI!$D$2:$D1132="Materia Prima")*(ACQUISTI!$B$2:$B1132=A2)*ACQUISTI!$H$2:$H1132)</f>
        <v>3.9</v>
      </c>
      <c r="K2" s="125"/>
      <c r="L2" s="89"/>
      <c r="M2" s="89"/>
      <c r="N2" s="89"/>
      <c r="O2" s="89"/>
      <c r="P2" s="89"/>
      <c r="Q2" s="89"/>
      <c r="R2" s="89"/>
      <c r="S2" s="89"/>
      <c r="T2" s="89"/>
      <c r="U2" s="89"/>
      <c r="V2" s="89"/>
      <c r="W2" s="89"/>
      <c r="X2" s="89"/>
      <c r="Y2" s="89"/>
      <c r="Z2" s="89"/>
      <c r="AA2" s="89"/>
      <c r="AB2" s="89"/>
    </row>
    <row r="3" ht="22.5" customHeight="1">
      <c r="A3" s="227" t="str">
        <f>IFERROR(__xludf.DUMMYFUNCTION("""COMPUTED_VALUE"""),"NAPPA_ROSSA")</f>
        <v>NAPPA_ROSSA</v>
      </c>
      <c r="B3" s="125"/>
      <c r="C3" s="652" t="s">
        <v>2102</v>
      </c>
      <c r="D3" s="652" t="s">
        <v>2103</v>
      </c>
      <c r="E3" s="652" t="s">
        <v>2110</v>
      </c>
      <c r="F3" s="125" t="s">
        <v>2106</v>
      </c>
      <c r="G3" s="628">
        <v>10.0</v>
      </c>
      <c r="H3" s="125">
        <f t="shared" si="1"/>
        <v>56</v>
      </c>
      <c r="I3" s="125"/>
      <c r="J3" s="125">
        <f>SUMPRODUCT((ACQUISTI!$D$2:$D1133="Materia Prima")*(ACQUISTI!$B$2:$B1133=A3)*ACQUISTI!$H$2:$H1133)</f>
        <v>5.6</v>
      </c>
      <c r="K3" s="125"/>
      <c r="L3" s="89"/>
      <c r="M3" s="89"/>
      <c r="N3" s="89"/>
      <c r="O3" s="89"/>
      <c r="P3" s="89"/>
      <c r="Q3" s="89"/>
      <c r="R3" s="89"/>
      <c r="S3" s="89"/>
      <c r="T3" s="89"/>
      <c r="U3" s="89"/>
      <c r="V3" s="89"/>
      <c r="W3" s="89"/>
      <c r="X3" s="89"/>
      <c r="Y3" s="89"/>
      <c r="Z3" s="89"/>
      <c r="AA3" s="89"/>
      <c r="AB3" s="89"/>
    </row>
    <row r="4" ht="22.5" customHeight="1">
      <c r="A4" s="227" t="str">
        <f>IFERROR(__xludf.DUMMYFUNCTION("""COMPUTED_VALUE"""),"NAPPA_BURRO")</f>
        <v>NAPPA_BURRO</v>
      </c>
      <c r="B4" s="125"/>
      <c r="C4" s="125" t="s">
        <v>2102</v>
      </c>
      <c r="D4" s="125" t="s">
        <v>2103</v>
      </c>
      <c r="E4" s="125" t="s">
        <v>2110</v>
      </c>
      <c r="F4" s="125" t="s">
        <v>2106</v>
      </c>
      <c r="G4" s="628"/>
      <c r="H4" s="125">
        <f t="shared" si="1"/>
        <v>0</v>
      </c>
      <c r="I4" s="125"/>
      <c r="J4" s="125">
        <f>SUMPRODUCT((ACQUISTI!$D$2:$D1134="Materia Prima")*(ACQUISTI!$B$2:$B1134=A4)*ACQUISTI!$H$2:$H1134)</f>
        <v>5.41</v>
      </c>
      <c r="K4" s="125"/>
      <c r="L4" s="89"/>
      <c r="M4" s="89"/>
      <c r="N4" s="89"/>
      <c r="O4" s="89"/>
      <c r="P4" s="89"/>
      <c r="Q4" s="89"/>
      <c r="R4" s="89"/>
      <c r="S4" s="89"/>
      <c r="T4" s="89"/>
      <c r="U4" s="89"/>
      <c r="V4" s="89"/>
      <c r="W4" s="89"/>
      <c r="X4" s="89"/>
      <c r="Y4" s="89"/>
      <c r="Z4" s="89"/>
      <c r="AA4" s="89"/>
      <c r="AB4" s="89"/>
    </row>
    <row r="5" ht="22.5" customHeight="1">
      <c r="A5" s="227" t="str">
        <f>IFERROR(__xludf.DUMMYFUNCTION("""COMPUTED_VALUE"""),"NAPPA_VERDE_MELA")</f>
        <v>NAPPA_VERDE_MELA</v>
      </c>
      <c r="B5" s="125"/>
      <c r="C5" s="125" t="s">
        <v>2102</v>
      </c>
      <c r="D5" s="125" t="s">
        <v>2103</v>
      </c>
      <c r="E5" s="125" t="s">
        <v>2110</v>
      </c>
      <c r="F5" s="125" t="s">
        <v>2106</v>
      </c>
      <c r="G5" s="628">
        <v>10.0</v>
      </c>
      <c r="H5" s="125">
        <f t="shared" si="1"/>
        <v>167.9</v>
      </c>
      <c r="I5" s="125"/>
      <c r="J5" s="125">
        <f>SUMPRODUCT((ACQUISTI!$D$2:$D1135="Materia Prima")*(ACQUISTI!$B$2:$B1135=A5)*ACQUISTI!$H$2:$H1135)</f>
        <v>16.79</v>
      </c>
      <c r="K5" s="125"/>
      <c r="L5" s="89"/>
      <c r="M5" s="89"/>
      <c r="N5" s="89"/>
      <c r="O5" s="89"/>
      <c r="P5" s="89"/>
      <c r="Q5" s="89"/>
      <c r="R5" s="89"/>
      <c r="S5" s="89"/>
      <c r="T5" s="89"/>
      <c r="U5" s="89"/>
      <c r="V5" s="89"/>
      <c r="W5" s="89"/>
      <c r="X5" s="89"/>
      <c r="Y5" s="89"/>
      <c r="Z5" s="89"/>
      <c r="AA5" s="89"/>
      <c r="AB5" s="89"/>
    </row>
    <row r="6" ht="22.5" customHeight="1">
      <c r="A6" s="227" t="str">
        <f>IFERROR(__xludf.DUMMYFUNCTION("""COMPUTED_VALUE"""),"NAPPA_BORDEAUX")</f>
        <v>NAPPA_BORDEAUX</v>
      </c>
      <c r="B6" s="125"/>
      <c r="C6" s="125" t="s">
        <v>2102</v>
      </c>
      <c r="D6" s="125" t="s">
        <v>2103</v>
      </c>
      <c r="E6" s="125" t="s">
        <v>2110</v>
      </c>
      <c r="F6" s="125" t="s">
        <v>2106</v>
      </c>
      <c r="G6" s="628">
        <v>10.0</v>
      </c>
      <c r="H6" s="125">
        <f t="shared" si="1"/>
        <v>23.1</v>
      </c>
      <c r="I6" s="125"/>
      <c r="J6" s="125">
        <f>SUMPRODUCT((ACQUISTI!$D$2:$D1136="Materia Prima")*(ACQUISTI!$B$2:$B1136=A6)*ACQUISTI!$H$2:$H1136)</f>
        <v>2.31</v>
      </c>
      <c r="K6" s="125"/>
      <c r="L6" s="89"/>
      <c r="M6" s="89"/>
      <c r="N6" s="89"/>
      <c r="O6" s="89"/>
      <c r="P6" s="89"/>
      <c r="Q6" s="89"/>
      <c r="R6" s="89"/>
      <c r="S6" s="89"/>
      <c r="T6" s="89"/>
      <c r="U6" s="89"/>
      <c r="V6" s="89"/>
      <c r="W6" s="89"/>
      <c r="X6" s="89"/>
      <c r="Y6" s="89"/>
      <c r="Z6" s="89"/>
      <c r="AA6" s="89"/>
      <c r="AB6" s="89"/>
    </row>
    <row r="7" ht="22.5" customHeight="1">
      <c r="A7" s="227" t="str">
        <f>IFERROR(__xludf.DUMMYFUNCTION("""COMPUTED_VALUE"""),"NAPPA_ROSSO_SCURO")</f>
        <v>NAPPA_ROSSO_SCURO</v>
      </c>
      <c r="B7" s="125"/>
      <c r="C7" s="125" t="s">
        <v>2102</v>
      </c>
      <c r="D7" s="125" t="s">
        <v>2103</v>
      </c>
      <c r="E7" s="125" t="s">
        <v>2110</v>
      </c>
      <c r="F7" s="125" t="s">
        <v>2106</v>
      </c>
      <c r="G7" s="628">
        <v>10.0</v>
      </c>
      <c r="H7" s="125">
        <f t="shared" si="1"/>
        <v>103.3</v>
      </c>
      <c r="I7" s="125"/>
      <c r="J7" s="125">
        <f>SUMPRODUCT((ACQUISTI!$D$2:$D1137="Materia Prima")*(ACQUISTI!$B$2:$B1137=A7)*ACQUISTI!$H$2:$H1137)</f>
        <v>10.33</v>
      </c>
      <c r="K7" s="125"/>
      <c r="L7" s="89"/>
      <c r="M7" s="89"/>
      <c r="N7" s="89"/>
      <c r="O7" s="89"/>
      <c r="P7" s="89"/>
      <c r="Q7" s="89"/>
      <c r="R7" s="89"/>
      <c r="S7" s="89"/>
      <c r="T7" s="89"/>
      <c r="U7" s="89"/>
      <c r="V7" s="89"/>
      <c r="W7" s="89"/>
      <c r="X7" s="89"/>
      <c r="Y7" s="89"/>
      <c r="Z7" s="89"/>
      <c r="AA7" s="89"/>
      <c r="AB7" s="89"/>
    </row>
    <row r="8" ht="22.5" customHeight="1">
      <c r="A8" s="227" t="str">
        <f>IFERROR(__xludf.DUMMYFUNCTION("""COMPUTED_VALUE"""),"COCCO_ROSSO")</f>
        <v>COCCO_ROSSO</v>
      </c>
      <c r="B8" s="125"/>
      <c r="C8" s="125" t="s">
        <v>2102</v>
      </c>
      <c r="D8" s="125" t="s">
        <v>2103</v>
      </c>
      <c r="E8" s="125" t="s">
        <v>2127</v>
      </c>
      <c r="F8" s="125" t="s">
        <v>2106</v>
      </c>
      <c r="G8" s="628">
        <v>10.0</v>
      </c>
      <c r="H8" s="125">
        <f t="shared" si="1"/>
        <v>20.4</v>
      </c>
      <c r="I8" s="125"/>
      <c r="J8" s="125">
        <f>SUMPRODUCT((ACQUISTI!$D$2:$D1138="Materia Prima")*(ACQUISTI!$B$2:$B1138=A8)*ACQUISTI!$H$2:$H1138)</f>
        <v>2.04</v>
      </c>
      <c r="K8" s="125"/>
      <c r="L8" s="89"/>
      <c r="M8" s="89"/>
      <c r="N8" s="89"/>
      <c r="O8" s="89"/>
      <c r="P8" s="89"/>
      <c r="Q8" s="89"/>
      <c r="R8" s="89"/>
      <c r="S8" s="89"/>
      <c r="T8" s="89"/>
      <c r="U8" s="89"/>
      <c r="V8" s="89"/>
      <c r="W8" s="89"/>
      <c r="X8" s="89"/>
      <c r="Y8" s="89"/>
      <c r="Z8" s="89"/>
      <c r="AA8" s="89"/>
      <c r="AB8" s="89"/>
    </row>
    <row r="9" ht="22.5" customHeight="1">
      <c r="A9" s="227" t="str">
        <f>IFERROR(__xludf.DUMMYFUNCTION("""COMPUTED_VALUE"""),"COCCO_BURRO")</f>
        <v>COCCO_BURRO</v>
      </c>
      <c r="B9" s="125"/>
      <c r="C9" s="125" t="s">
        <v>2102</v>
      </c>
      <c r="D9" s="125" t="s">
        <v>2103</v>
      </c>
      <c r="E9" s="125" t="s">
        <v>2127</v>
      </c>
      <c r="F9" s="125" t="s">
        <v>2106</v>
      </c>
      <c r="G9" s="628"/>
      <c r="H9" s="125">
        <f t="shared" si="1"/>
        <v>0</v>
      </c>
      <c r="I9" s="125"/>
      <c r="J9" s="125">
        <f>SUMPRODUCT((ACQUISTI!$D$2:$D1139="Materia Prima")*(ACQUISTI!$B$2:$B1139=A9)*ACQUISTI!$H$2:$H1139)</f>
        <v>8.17</v>
      </c>
      <c r="K9" s="125"/>
      <c r="L9" s="89"/>
      <c r="M9" s="89"/>
      <c r="N9" s="89"/>
      <c r="O9" s="89"/>
      <c r="P9" s="89"/>
      <c r="Q9" s="89"/>
      <c r="R9" s="89"/>
      <c r="S9" s="89"/>
      <c r="T9" s="89"/>
      <c r="U9" s="89"/>
      <c r="V9" s="89"/>
      <c r="W9" s="89"/>
      <c r="X9" s="89"/>
      <c r="Y9" s="89"/>
      <c r="Z9" s="89"/>
      <c r="AA9" s="89"/>
      <c r="AB9" s="89"/>
    </row>
    <row r="10" ht="22.5" customHeight="1">
      <c r="A10" s="227" t="str">
        <f>IFERROR(__xludf.DUMMYFUNCTION("""COMPUTED_VALUE"""),"COCCO_VIOLA")</f>
        <v>COCCO_VIOLA</v>
      </c>
      <c r="B10" s="125"/>
      <c r="C10" s="125" t="s">
        <v>2102</v>
      </c>
      <c r="D10" s="125" t="s">
        <v>2103</v>
      </c>
      <c r="E10" s="125" t="s">
        <v>2127</v>
      </c>
      <c r="F10" s="125" t="s">
        <v>2106</v>
      </c>
      <c r="G10" s="628"/>
      <c r="H10" s="125">
        <f t="shared" si="1"/>
        <v>0</v>
      </c>
      <c r="I10" s="125"/>
      <c r="J10" s="125">
        <f>SUMPRODUCT((ACQUISTI!$D$2:$D1140="Materia Prima")*(ACQUISTI!$B$2:$B1140=A10)*ACQUISTI!$H$2:$H1140)</f>
        <v>6.9</v>
      </c>
      <c r="K10" s="125"/>
      <c r="L10" s="89"/>
      <c r="M10" s="89"/>
      <c r="N10" s="89"/>
      <c r="O10" s="89"/>
      <c r="P10" s="89"/>
      <c r="Q10" s="89"/>
      <c r="R10" s="89"/>
      <c r="S10" s="89"/>
      <c r="T10" s="89"/>
      <c r="U10" s="89"/>
      <c r="V10" s="89"/>
      <c r="W10" s="89"/>
      <c r="X10" s="89"/>
      <c r="Y10" s="89"/>
      <c r="Z10" s="89"/>
      <c r="AA10" s="89"/>
      <c r="AB10" s="89"/>
    </row>
    <row r="11" ht="22.5" customHeight="1">
      <c r="A11" s="227" t="str">
        <f>IFERROR(__xludf.DUMMYFUNCTION("""COMPUTED_VALUE"""),"COCCO_ARANCIO")</f>
        <v>COCCO_ARANCIO</v>
      </c>
      <c r="B11" s="125"/>
      <c r="C11" s="125" t="s">
        <v>2102</v>
      </c>
      <c r="D11" s="125" t="s">
        <v>2103</v>
      </c>
      <c r="E11" s="125" t="s">
        <v>2127</v>
      </c>
      <c r="F11" s="125" t="s">
        <v>2106</v>
      </c>
      <c r="G11" s="628">
        <v>10.0</v>
      </c>
      <c r="H11" s="125">
        <f t="shared" si="1"/>
        <v>0</v>
      </c>
      <c r="I11" s="125"/>
      <c r="J11" s="125">
        <f>SUMPRODUCT((ACQUISTI!$D$2:$D1141="Materia Prima")*(ACQUISTI!$B$2:$B1141=A11)*ACQUISTI!$H$2:$H1141)</f>
        <v>0</v>
      </c>
      <c r="K11" s="125"/>
      <c r="L11" s="89"/>
      <c r="M11" s="89"/>
      <c r="N11" s="89"/>
      <c r="O11" s="89"/>
      <c r="P11" s="89"/>
      <c r="Q11" s="89"/>
      <c r="R11" s="89"/>
      <c r="S11" s="89"/>
      <c r="T11" s="89"/>
      <c r="U11" s="89"/>
      <c r="V11" s="89"/>
      <c r="W11" s="89"/>
      <c r="X11" s="89"/>
      <c r="Y11" s="89"/>
      <c r="Z11" s="89"/>
      <c r="AA11" s="89"/>
      <c r="AB11" s="89"/>
    </row>
    <row r="12" ht="22.5" customHeight="1">
      <c r="A12" s="227" t="str">
        <f>IFERROR(__xludf.DUMMYFUNCTION("""COMPUTED_VALUE"""),"COCCO_VERDE")</f>
        <v>COCCO_VERDE</v>
      </c>
      <c r="B12" s="125"/>
      <c r="C12" s="125" t="s">
        <v>2102</v>
      </c>
      <c r="D12" s="125" t="s">
        <v>2103</v>
      </c>
      <c r="E12" s="125" t="s">
        <v>2127</v>
      </c>
      <c r="F12" s="125" t="s">
        <v>2106</v>
      </c>
      <c r="G12" s="628">
        <v>10.0</v>
      </c>
      <c r="H12" s="125">
        <f t="shared" si="1"/>
        <v>194.7</v>
      </c>
      <c r="I12" s="125"/>
      <c r="J12" s="125">
        <f>SUMPRODUCT((ACQUISTI!$D$2:$D1142="Materia Prima")*(ACQUISTI!$B$2:$B1142=A12)*ACQUISTI!$H$2:$H1142)</f>
        <v>19.47</v>
      </c>
      <c r="K12" s="125"/>
      <c r="L12" s="89"/>
      <c r="M12" s="89"/>
      <c r="N12" s="89"/>
      <c r="O12" s="89"/>
      <c r="P12" s="89"/>
      <c r="Q12" s="89"/>
      <c r="R12" s="89"/>
      <c r="S12" s="89"/>
      <c r="T12" s="89"/>
      <c r="U12" s="89"/>
      <c r="V12" s="89"/>
      <c r="W12" s="89"/>
      <c r="X12" s="89"/>
      <c r="Y12" s="89"/>
      <c r="Z12" s="89"/>
      <c r="AA12" s="89"/>
      <c r="AB12" s="89"/>
    </row>
    <row r="13" ht="22.5" customHeight="1">
      <c r="A13" s="227" t="str">
        <f>IFERROR(__xludf.DUMMYFUNCTION("""COMPUTED_VALUE"""),"COCCO_MILITARE")</f>
        <v>COCCO_MILITARE</v>
      </c>
      <c r="B13" s="125"/>
      <c r="C13" s="125" t="s">
        <v>2102</v>
      </c>
      <c r="D13" s="125" t="s">
        <v>2103</v>
      </c>
      <c r="E13" s="125" t="s">
        <v>2127</v>
      </c>
      <c r="F13" s="125" t="s">
        <v>2106</v>
      </c>
      <c r="G13" s="628">
        <v>10.0</v>
      </c>
      <c r="H13" s="125">
        <f t="shared" si="1"/>
        <v>172.7</v>
      </c>
      <c r="I13" s="125"/>
      <c r="J13" s="125">
        <f>SUMPRODUCT((ACQUISTI!$D$2:$D1143="Materia Prima")*(ACQUISTI!$B$2:$B1143=A13)*ACQUISTI!$H$2:$H1143)</f>
        <v>17.27</v>
      </c>
      <c r="K13" s="125"/>
      <c r="L13" s="89"/>
      <c r="M13" s="89"/>
      <c r="N13" s="89"/>
      <c r="O13" s="89"/>
      <c r="P13" s="89"/>
      <c r="Q13" s="89"/>
      <c r="R13" s="89"/>
      <c r="S13" s="89"/>
      <c r="T13" s="89"/>
      <c r="U13" s="89"/>
      <c r="V13" s="89"/>
      <c r="W13" s="89"/>
      <c r="X13" s="89"/>
      <c r="Y13" s="89"/>
      <c r="Z13" s="89"/>
      <c r="AA13" s="89"/>
      <c r="AB13" s="89"/>
    </row>
    <row r="14" ht="22.5" customHeight="1">
      <c r="A14" s="227" t="str">
        <f>IFERROR(__xludf.DUMMYFUNCTION("""COMPUTED_VALUE"""),"COCCO_ROSA")</f>
        <v>COCCO_ROSA</v>
      </c>
      <c r="B14" s="125"/>
      <c r="C14" s="125" t="s">
        <v>2102</v>
      </c>
      <c r="D14" s="125" t="s">
        <v>2103</v>
      </c>
      <c r="E14" s="125" t="s">
        <v>2127</v>
      </c>
      <c r="F14" s="125" t="s">
        <v>2106</v>
      </c>
      <c r="G14" s="628">
        <v>10.0</v>
      </c>
      <c r="H14" s="125">
        <f t="shared" si="1"/>
        <v>85.5</v>
      </c>
      <c r="I14" s="125"/>
      <c r="J14" s="125">
        <f>SUMPRODUCT((ACQUISTI!$D$2:$D1144="Materia Prima")*(ACQUISTI!$B$2:$B1144=A14)*ACQUISTI!$H$2:$H1144)</f>
        <v>8.55</v>
      </c>
      <c r="K14" s="125"/>
      <c r="L14" s="89"/>
      <c r="M14" s="89"/>
      <c r="N14" s="89"/>
      <c r="O14" s="89"/>
      <c r="P14" s="89"/>
      <c r="Q14" s="89"/>
      <c r="R14" s="89"/>
      <c r="S14" s="89"/>
      <c r="T14" s="89"/>
      <c r="U14" s="89"/>
      <c r="V14" s="89"/>
      <c r="W14" s="89"/>
      <c r="X14" s="89"/>
      <c r="Y14" s="89"/>
      <c r="Z14" s="89"/>
      <c r="AA14" s="89"/>
      <c r="AB14" s="89"/>
    </row>
    <row r="15" ht="22.5" customHeight="1">
      <c r="A15" s="227" t="str">
        <f>IFERROR(__xludf.DUMMYFUNCTION("""COMPUTED_VALUE"""),"COCCO_BLACK")</f>
        <v>COCCO_BLACK</v>
      </c>
      <c r="B15" s="125"/>
      <c r="C15" s="125" t="s">
        <v>2102</v>
      </c>
      <c r="D15" s="125" t="s">
        <v>2103</v>
      </c>
      <c r="E15" s="125" t="s">
        <v>2127</v>
      </c>
      <c r="F15" s="125" t="s">
        <v>2106</v>
      </c>
      <c r="G15" s="628">
        <v>10.0</v>
      </c>
      <c r="H15" s="125">
        <f t="shared" si="1"/>
        <v>201.5</v>
      </c>
      <c r="I15" s="125"/>
      <c r="J15" s="125">
        <f>SUMPRODUCT((ACQUISTI!$D$2:$D1145="Materia Prima")*(ACQUISTI!$B$2:$B1145=A15)*ACQUISTI!$H$2:$H1145)</f>
        <v>20.15</v>
      </c>
      <c r="K15" s="125"/>
      <c r="L15" s="89"/>
      <c r="M15" s="89"/>
      <c r="N15" s="89"/>
      <c r="O15" s="89"/>
      <c r="P15" s="89"/>
      <c r="Q15" s="89"/>
      <c r="R15" s="89"/>
      <c r="S15" s="89"/>
      <c r="T15" s="89"/>
      <c r="U15" s="89"/>
      <c r="V15" s="89"/>
      <c r="W15" s="89"/>
      <c r="X15" s="89"/>
      <c r="Y15" s="89"/>
      <c r="Z15" s="89"/>
      <c r="AA15" s="89"/>
      <c r="AB15" s="89"/>
    </row>
    <row r="16" ht="22.5" customHeight="1">
      <c r="A16" s="227" t="str">
        <f>IFERROR(__xludf.DUMMYFUNCTION("""COMPUTED_VALUE"""),"CAVALLINO_ASTRACAN_BLACK")</f>
        <v>CAVALLINO_ASTRACAN_BLACK</v>
      </c>
      <c r="B16" s="125"/>
      <c r="C16" s="125" t="s">
        <v>2102</v>
      </c>
      <c r="D16" s="125" t="s">
        <v>2103</v>
      </c>
      <c r="E16" s="125" t="s">
        <v>2149</v>
      </c>
      <c r="F16" s="125" t="s">
        <v>2106</v>
      </c>
      <c r="G16" s="628">
        <v>25.0</v>
      </c>
      <c r="H16" s="125">
        <f t="shared" si="1"/>
        <v>28.25</v>
      </c>
      <c r="I16" s="125"/>
      <c r="J16" s="125">
        <f>SUMPRODUCT((ACQUISTI!$D$2:$D1146="Materia Prima")*(ACQUISTI!$B$2:$B1146=A16)*ACQUISTI!$H$2:$H1146)</f>
        <v>1.13</v>
      </c>
      <c r="K16" s="125"/>
      <c r="L16" s="89"/>
      <c r="M16" s="89"/>
      <c r="N16" s="89"/>
      <c r="O16" s="89"/>
      <c r="P16" s="89"/>
      <c r="Q16" s="89"/>
      <c r="R16" s="89"/>
      <c r="S16" s="89"/>
      <c r="T16" s="89"/>
      <c r="U16" s="89"/>
      <c r="V16" s="89"/>
      <c r="W16" s="89"/>
      <c r="X16" s="89"/>
      <c r="Y16" s="89"/>
      <c r="Z16" s="89"/>
      <c r="AA16" s="89"/>
      <c r="AB16" s="89"/>
    </row>
    <row r="17" ht="22.5" customHeight="1">
      <c r="A17" s="227" t="str">
        <f>IFERROR(__xludf.DUMMYFUNCTION("""COMPUTED_VALUE"""),"CAVALLINO_LEOPARDO")</f>
        <v>CAVALLINO_LEOPARDO</v>
      </c>
      <c r="B17" s="125"/>
      <c r="C17" s="125" t="s">
        <v>2102</v>
      </c>
      <c r="D17" s="125" t="s">
        <v>2103</v>
      </c>
      <c r="E17" s="125" t="s">
        <v>2149</v>
      </c>
      <c r="F17" s="125" t="s">
        <v>2106</v>
      </c>
      <c r="G17" s="628">
        <v>25.0</v>
      </c>
      <c r="H17" s="125">
        <f t="shared" si="1"/>
        <v>139.75</v>
      </c>
      <c r="I17" s="125"/>
      <c r="J17" s="125">
        <f>SUMPRODUCT((ACQUISTI!$D$2:$D1147="Materia Prima")*(ACQUISTI!$B$2:$B1147=A17)*ACQUISTI!$H$2:$H1147)</f>
        <v>5.59</v>
      </c>
      <c r="K17" s="125"/>
      <c r="L17" s="89"/>
      <c r="M17" s="89"/>
      <c r="N17" s="89"/>
      <c r="O17" s="89"/>
      <c r="P17" s="89"/>
      <c r="Q17" s="89"/>
      <c r="R17" s="89"/>
      <c r="S17" s="89"/>
      <c r="T17" s="89"/>
      <c r="U17" s="89"/>
      <c r="V17" s="89"/>
      <c r="W17" s="89"/>
      <c r="X17" s="89"/>
      <c r="Y17" s="89"/>
      <c r="Z17" s="89"/>
      <c r="AA17" s="89"/>
      <c r="AB17" s="89"/>
    </row>
    <row r="18" ht="22.5" customHeight="1">
      <c r="A18" s="227" t="str">
        <f>IFERROR(__xludf.DUMMYFUNCTION("""COMPUTED_VALUE"""),"CAVALLINO_VERDE_KAKI")</f>
        <v>CAVALLINO_VERDE_KAKI</v>
      </c>
      <c r="B18" s="125"/>
      <c r="C18" s="125" t="s">
        <v>2102</v>
      </c>
      <c r="D18" s="125" t="s">
        <v>2103</v>
      </c>
      <c r="E18" s="125" t="s">
        <v>2149</v>
      </c>
      <c r="F18" s="125" t="s">
        <v>2106</v>
      </c>
      <c r="G18" s="628">
        <v>25.0</v>
      </c>
      <c r="H18" s="125">
        <f t="shared" si="1"/>
        <v>36.75</v>
      </c>
      <c r="I18" s="125"/>
      <c r="J18" s="125">
        <f>SUMPRODUCT((ACQUISTI!$D$2:$D1148="Materia Prima")*(ACQUISTI!$B$2:$B1148=A18)*ACQUISTI!$H$2:$H1148)</f>
        <v>1.47</v>
      </c>
      <c r="K18" s="125"/>
      <c r="L18" s="89"/>
      <c r="M18" s="89"/>
      <c r="N18" s="89"/>
      <c r="O18" s="89"/>
      <c r="P18" s="89"/>
      <c r="Q18" s="89"/>
      <c r="R18" s="89"/>
      <c r="S18" s="89"/>
      <c r="T18" s="89"/>
      <c r="U18" s="89"/>
      <c r="V18" s="89"/>
      <c r="W18" s="89"/>
      <c r="X18" s="89"/>
      <c r="Y18" s="89"/>
      <c r="Z18" s="89"/>
      <c r="AA18" s="89"/>
      <c r="AB18" s="89"/>
    </row>
    <row r="19" ht="22.5" customHeight="1">
      <c r="A19" s="227" t="str">
        <f>IFERROR(__xludf.DUMMYFUNCTION("""COMPUTED_VALUE"""),"CAVALLINO_ZEBRA_VERED")</f>
        <v>CAVALLINO_ZEBRA_VERED</v>
      </c>
      <c r="B19" s="125"/>
      <c r="C19" s="125" t="s">
        <v>2102</v>
      </c>
      <c r="D19" s="125" t="s">
        <v>2103</v>
      </c>
      <c r="E19" s="125" t="s">
        <v>2149</v>
      </c>
      <c r="F19" s="125" t="s">
        <v>2106</v>
      </c>
      <c r="G19" s="628">
        <v>25.0</v>
      </c>
      <c r="H19" s="125">
        <f t="shared" si="1"/>
        <v>145.25</v>
      </c>
      <c r="I19" s="125"/>
      <c r="J19" s="125">
        <f>SUMPRODUCT((ACQUISTI!$D$2:$D1149="Materia Prima")*(ACQUISTI!$B$2:$B1149=A19)*ACQUISTI!$H$2:$H1149)</f>
        <v>5.81</v>
      </c>
      <c r="K19" s="125"/>
      <c r="L19" s="89"/>
      <c r="M19" s="89"/>
      <c r="N19" s="89"/>
      <c r="O19" s="89"/>
      <c r="P19" s="89"/>
      <c r="Q19" s="89"/>
      <c r="R19" s="89"/>
      <c r="S19" s="89"/>
      <c r="T19" s="89"/>
      <c r="U19" s="89"/>
      <c r="V19" s="89"/>
      <c r="W19" s="89"/>
      <c r="X19" s="89"/>
      <c r="Y19" s="89"/>
      <c r="Z19" s="89"/>
      <c r="AA19" s="89"/>
      <c r="AB19" s="89"/>
    </row>
    <row r="20" ht="22.5" customHeight="1">
      <c r="A20" s="227" t="str">
        <f>IFERROR(__xludf.DUMMYFUNCTION("""COMPUTED_VALUE"""),"CAVALLINO_BLACK")</f>
        <v>CAVALLINO_BLACK</v>
      </c>
      <c r="B20" s="125"/>
      <c r="C20" s="125" t="s">
        <v>2102</v>
      </c>
      <c r="D20" s="125" t="s">
        <v>2103</v>
      </c>
      <c r="E20" s="125" t="s">
        <v>2149</v>
      </c>
      <c r="F20" s="125" t="s">
        <v>1621</v>
      </c>
      <c r="G20" s="628">
        <v>25.0</v>
      </c>
      <c r="H20" s="125">
        <f t="shared" si="1"/>
        <v>75</v>
      </c>
      <c r="I20" s="125"/>
      <c r="J20" s="125">
        <f>SUMPRODUCT((ACQUISTI!$D$2:$D1150="Materia Prima")*(ACQUISTI!$B$2:$B1150=A20)*ACQUISTI!$H$2:$H1150)</f>
        <v>3</v>
      </c>
      <c r="K20" s="125"/>
      <c r="L20" s="89"/>
      <c r="M20" s="89"/>
      <c r="N20" s="89"/>
      <c r="O20" s="89"/>
      <c r="P20" s="89"/>
      <c r="Q20" s="89"/>
      <c r="R20" s="89"/>
      <c r="S20" s="89"/>
      <c r="T20" s="89"/>
      <c r="U20" s="89"/>
      <c r="V20" s="89"/>
      <c r="W20" s="89"/>
      <c r="X20" s="89"/>
      <c r="Y20" s="89"/>
      <c r="Z20" s="89"/>
      <c r="AA20" s="89"/>
      <c r="AB20" s="89"/>
    </row>
    <row r="21" ht="22.5" customHeight="1">
      <c r="A21" s="227" t="str">
        <f>IFERROR(__xludf.DUMMYFUNCTION("""COMPUTED_VALUE"""),"CAVALLINO_MARRONE")</f>
        <v>CAVALLINO_MARRONE</v>
      </c>
      <c r="B21" s="125"/>
      <c r="C21" s="125" t="s">
        <v>2102</v>
      </c>
      <c r="D21" s="125" t="s">
        <v>2103</v>
      </c>
      <c r="E21" s="125" t="s">
        <v>2149</v>
      </c>
      <c r="F21" s="125" t="s">
        <v>1621</v>
      </c>
      <c r="G21" s="628">
        <v>25.0</v>
      </c>
      <c r="H21" s="125">
        <f t="shared" si="1"/>
        <v>75</v>
      </c>
      <c r="I21" s="125"/>
      <c r="J21" s="125">
        <f>SUMPRODUCT((ACQUISTI!$D$2:$D1151="Materia Prima")*(ACQUISTI!$B$2:$B1151=A21)*ACQUISTI!$H$2:$H1151)</f>
        <v>3</v>
      </c>
      <c r="K21" s="125"/>
      <c r="L21" s="89"/>
      <c r="M21" s="89"/>
      <c r="N21" s="89"/>
      <c r="O21" s="89"/>
      <c r="P21" s="89"/>
      <c r="Q21" s="89"/>
      <c r="R21" s="89"/>
      <c r="S21" s="89"/>
      <c r="T21" s="89"/>
      <c r="U21" s="89"/>
      <c r="V21" s="89"/>
      <c r="W21" s="89"/>
      <c r="X21" s="89"/>
      <c r="Y21" s="89"/>
      <c r="Z21" s="89"/>
      <c r="AA21" s="89"/>
      <c r="AB21" s="89"/>
    </row>
    <row r="22" ht="22.5" customHeight="1">
      <c r="A22" s="227" t="str">
        <f>IFERROR(__xludf.DUMMYFUNCTION("""COMPUTED_VALUE"""),"CAVALLINO_MARRONE_SCURO")</f>
        <v>CAVALLINO_MARRONE_SCURO</v>
      </c>
      <c r="B22" s="125"/>
      <c r="C22" s="125" t="s">
        <v>2102</v>
      </c>
      <c r="D22" s="125" t="s">
        <v>2103</v>
      </c>
      <c r="E22" s="125" t="s">
        <v>2149</v>
      </c>
      <c r="F22" s="125" t="s">
        <v>1621</v>
      </c>
      <c r="G22" s="628">
        <v>25.0</v>
      </c>
      <c r="H22" s="125">
        <f t="shared" si="1"/>
        <v>25</v>
      </c>
      <c r="I22" s="125"/>
      <c r="J22" s="125">
        <f>SUMPRODUCT((ACQUISTI!$D$2:$D1152="Materia Prima")*(ACQUISTI!$B$2:$B1152=A22)*ACQUISTI!$H$2:$H1152)</f>
        <v>1</v>
      </c>
      <c r="K22" s="125"/>
      <c r="L22" s="89"/>
      <c r="M22" s="89"/>
      <c r="N22" s="89"/>
      <c r="O22" s="89"/>
      <c r="P22" s="89"/>
      <c r="Q22" s="89"/>
      <c r="R22" s="89"/>
      <c r="S22" s="89"/>
      <c r="T22" s="89"/>
      <c r="U22" s="89"/>
      <c r="V22" s="89"/>
      <c r="W22" s="89"/>
      <c r="X22" s="89"/>
      <c r="Y22" s="89"/>
      <c r="Z22" s="89"/>
      <c r="AA22" s="89"/>
      <c r="AB22" s="89"/>
    </row>
    <row r="23" ht="22.5" customHeight="1">
      <c r="A23" s="227" t="str">
        <f>IFERROR(__xludf.DUMMYFUNCTION("""COMPUTED_VALUE"""),"CAVALLINO_POIS")</f>
        <v>CAVALLINO_POIS</v>
      </c>
      <c r="B23" s="125"/>
      <c r="C23" s="125" t="s">
        <v>2102</v>
      </c>
      <c r="D23" s="125" t="s">
        <v>2103</v>
      </c>
      <c r="E23" s="125" t="s">
        <v>2149</v>
      </c>
      <c r="F23" s="125" t="s">
        <v>1621</v>
      </c>
      <c r="G23" s="628">
        <v>25.0</v>
      </c>
      <c r="H23" s="125">
        <f t="shared" si="1"/>
        <v>25</v>
      </c>
      <c r="I23" s="125"/>
      <c r="J23" s="125">
        <f>SUMPRODUCT((ACQUISTI!$D$2:$D1153="Materia Prima")*(ACQUISTI!$B$2:$B1153=A23)*ACQUISTI!$H$2:$H1153)</f>
        <v>1</v>
      </c>
      <c r="K23" s="125"/>
      <c r="L23" s="89"/>
      <c r="M23" s="89"/>
      <c r="N23" s="89"/>
      <c r="O23" s="89"/>
      <c r="P23" s="89"/>
      <c r="Q23" s="89"/>
      <c r="R23" s="89"/>
      <c r="S23" s="89"/>
      <c r="T23" s="89"/>
      <c r="U23" s="89"/>
      <c r="V23" s="89"/>
      <c r="W23" s="89"/>
      <c r="X23" s="89"/>
      <c r="Y23" s="89"/>
      <c r="Z23" s="89"/>
      <c r="AA23" s="89"/>
      <c r="AB23" s="89"/>
    </row>
    <row r="24" ht="22.5" customHeight="1">
      <c r="A24" s="227" t="str">
        <f>IFERROR(__xludf.DUMMYFUNCTION("""COMPUTED_VALUE"""),"CAVALLINO_GIRAFFA")</f>
        <v>CAVALLINO_GIRAFFA</v>
      </c>
      <c r="B24" s="125"/>
      <c r="C24" s="125" t="s">
        <v>2102</v>
      </c>
      <c r="D24" s="125" t="s">
        <v>2103</v>
      </c>
      <c r="E24" s="125" t="s">
        <v>2149</v>
      </c>
      <c r="F24" s="125" t="s">
        <v>1621</v>
      </c>
      <c r="G24" s="628">
        <v>25.0</v>
      </c>
      <c r="H24" s="125">
        <f t="shared" si="1"/>
        <v>25</v>
      </c>
      <c r="I24" s="125"/>
      <c r="J24" s="125">
        <f>SUMPRODUCT((ACQUISTI!$D$2:$D1154="Materia Prima")*(ACQUISTI!$B$2:$B1154=A24)*ACQUISTI!$H$2:$H1154)</f>
        <v>1</v>
      </c>
      <c r="K24" s="125"/>
      <c r="L24" s="89"/>
      <c r="M24" s="89"/>
      <c r="N24" s="89"/>
      <c r="O24" s="89"/>
      <c r="P24" s="89"/>
      <c r="Q24" s="89"/>
      <c r="R24" s="89"/>
      <c r="S24" s="89"/>
      <c r="T24" s="89"/>
      <c r="U24" s="89"/>
      <c r="V24" s="89"/>
      <c r="W24" s="89"/>
      <c r="X24" s="89"/>
      <c r="Y24" s="89"/>
      <c r="Z24" s="89"/>
      <c r="AA24" s="89"/>
      <c r="AB24" s="89"/>
    </row>
    <row r="25" ht="22.5" customHeight="1">
      <c r="A25" s="227" t="str">
        <f>IFERROR(__xludf.DUMMYFUNCTION("""COMPUTED_VALUE"""),"CAVALLINO_COCCO_NERO")</f>
        <v>CAVALLINO_COCCO_NERO</v>
      </c>
      <c r="B25" s="125"/>
      <c r="C25" s="125" t="s">
        <v>2102</v>
      </c>
      <c r="D25" s="125" t="s">
        <v>2103</v>
      </c>
      <c r="E25" s="125" t="s">
        <v>2149</v>
      </c>
      <c r="F25" s="125" t="s">
        <v>1621</v>
      </c>
      <c r="G25" s="628">
        <v>25.0</v>
      </c>
      <c r="H25" s="125">
        <f t="shared" si="1"/>
        <v>25</v>
      </c>
      <c r="I25" s="125"/>
      <c r="J25" s="125">
        <f>SUMPRODUCT((ACQUISTI!$D$2:$D1155="Materia Prima")*(ACQUISTI!$B$2:$B1155=A25)*ACQUISTI!$H$2:$H1155)</f>
        <v>1</v>
      </c>
      <c r="K25" s="125"/>
      <c r="L25" s="89"/>
      <c r="M25" s="89"/>
      <c r="N25" s="89"/>
      <c r="O25" s="89"/>
      <c r="P25" s="89"/>
      <c r="Q25" s="89"/>
      <c r="R25" s="89"/>
      <c r="S25" s="89"/>
      <c r="T25" s="89"/>
      <c r="U25" s="89"/>
      <c r="V25" s="89"/>
      <c r="W25" s="89"/>
      <c r="X25" s="89"/>
      <c r="Y25" s="89"/>
      <c r="Z25" s="89"/>
      <c r="AA25" s="89"/>
      <c r="AB25" s="89"/>
    </row>
    <row r="26" ht="22.5" customHeight="1">
      <c r="A26" s="227" t="str">
        <f>IFERROR(__xludf.DUMMYFUNCTION("""COMPUTED_VALUE"""),"CAVALLINO_BORDEAUX")</f>
        <v>CAVALLINO_BORDEAUX</v>
      </c>
      <c r="B26" s="125"/>
      <c r="C26" s="125" t="s">
        <v>2102</v>
      </c>
      <c r="D26" s="125" t="s">
        <v>2103</v>
      </c>
      <c r="E26" s="125" t="s">
        <v>2149</v>
      </c>
      <c r="F26" s="125" t="s">
        <v>1621</v>
      </c>
      <c r="G26" s="628">
        <v>25.0</v>
      </c>
      <c r="H26" s="125">
        <f t="shared" si="1"/>
        <v>25</v>
      </c>
      <c r="I26" s="125"/>
      <c r="J26" s="125">
        <f>SUMPRODUCT((ACQUISTI!$D$2:$D1156="Materia Prima")*(ACQUISTI!$B$2:$B1156=A26)*ACQUISTI!$H$2:$H1156)</f>
        <v>1</v>
      </c>
      <c r="K26" s="125"/>
      <c r="L26" s="89"/>
      <c r="M26" s="89"/>
      <c r="N26" s="89"/>
      <c r="O26" s="89"/>
      <c r="P26" s="89"/>
      <c r="Q26" s="89"/>
      <c r="R26" s="89"/>
      <c r="S26" s="89"/>
      <c r="T26" s="89"/>
      <c r="U26" s="89"/>
      <c r="V26" s="89"/>
      <c r="W26" s="89"/>
      <c r="X26" s="89"/>
      <c r="Y26" s="89"/>
      <c r="Z26" s="89"/>
      <c r="AA26" s="89"/>
      <c r="AB26" s="89"/>
    </row>
    <row r="27" ht="22.5" customHeight="1">
      <c r="A27" s="227" t="str">
        <f>IFERROR(__xludf.DUMMYFUNCTION("""COMPUTED_VALUE"""),"SUEDE_SENAPE")</f>
        <v>SUEDE_SENAPE</v>
      </c>
      <c r="B27" s="125"/>
      <c r="C27" s="125" t="s">
        <v>2102</v>
      </c>
      <c r="D27" s="125" t="s">
        <v>2103</v>
      </c>
      <c r="E27" s="125" t="s">
        <v>2180</v>
      </c>
      <c r="F27" s="125" t="s">
        <v>2106</v>
      </c>
      <c r="G27" s="628">
        <v>10.0</v>
      </c>
      <c r="H27" s="125">
        <f t="shared" si="1"/>
        <v>17.4</v>
      </c>
      <c r="I27" s="125"/>
      <c r="J27" s="125">
        <f>SUMPRODUCT((ACQUISTI!$D$2:$D1157="Materia Prima")*(ACQUISTI!$B$2:$B1157=A27)*ACQUISTI!$H$2:$H1157)</f>
        <v>1.74</v>
      </c>
      <c r="K27" s="125"/>
      <c r="L27" s="89"/>
      <c r="M27" s="89"/>
      <c r="N27" s="89"/>
      <c r="O27" s="89"/>
      <c r="P27" s="89"/>
      <c r="Q27" s="89"/>
      <c r="R27" s="89"/>
      <c r="S27" s="89"/>
      <c r="T27" s="89"/>
      <c r="U27" s="89"/>
      <c r="V27" s="89"/>
      <c r="W27" s="89"/>
      <c r="X27" s="89"/>
      <c r="Y27" s="89"/>
      <c r="Z27" s="89"/>
      <c r="AA27" s="89"/>
      <c r="AB27" s="89"/>
    </row>
    <row r="28" ht="22.5" customHeight="1">
      <c r="A28" s="227" t="str">
        <f>IFERROR(__xludf.DUMMYFUNCTION("""COMPUTED_VALUE"""),"SUEDE_VERDE_ACQUA")</f>
        <v>SUEDE_VERDE_ACQUA</v>
      </c>
      <c r="B28" s="125"/>
      <c r="C28" s="125" t="s">
        <v>2102</v>
      </c>
      <c r="D28" s="125" t="s">
        <v>2103</v>
      </c>
      <c r="E28" s="125" t="s">
        <v>2180</v>
      </c>
      <c r="F28" s="125" t="s">
        <v>2106</v>
      </c>
      <c r="G28" s="628">
        <v>10.0</v>
      </c>
      <c r="H28" s="125">
        <f t="shared" si="1"/>
        <v>34.2</v>
      </c>
      <c r="I28" s="125"/>
      <c r="J28" s="125">
        <f>SUMPRODUCT((ACQUISTI!$D$2:$D1158="Materia Prima")*(ACQUISTI!$B$2:$B1158=A28)*ACQUISTI!$H$2:$H1158)</f>
        <v>3.42</v>
      </c>
      <c r="K28" s="125"/>
      <c r="L28" s="89"/>
      <c r="M28" s="89"/>
      <c r="N28" s="89"/>
      <c r="O28" s="89"/>
      <c r="P28" s="89"/>
      <c r="Q28" s="89"/>
      <c r="R28" s="89"/>
      <c r="S28" s="89"/>
      <c r="T28" s="89"/>
      <c r="U28" s="89"/>
      <c r="V28" s="89"/>
      <c r="W28" s="89"/>
      <c r="X28" s="89"/>
      <c r="Y28" s="89"/>
      <c r="Z28" s="89"/>
      <c r="AA28" s="89"/>
      <c r="AB28" s="89"/>
    </row>
    <row r="29" ht="22.5" customHeight="1">
      <c r="A29" s="227" t="str">
        <f>IFERROR(__xludf.DUMMYFUNCTION("""COMPUTED_VALUE"""),"SUEDE_AZZURRO")</f>
        <v>SUEDE_AZZURRO</v>
      </c>
      <c r="B29" s="125"/>
      <c r="C29" s="125" t="s">
        <v>2102</v>
      </c>
      <c r="D29" s="125" t="s">
        <v>2103</v>
      </c>
      <c r="E29" s="125" t="s">
        <v>2180</v>
      </c>
      <c r="F29" s="125" t="s">
        <v>2106</v>
      </c>
      <c r="G29" s="628">
        <v>10.0</v>
      </c>
      <c r="H29" s="125">
        <f t="shared" si="1"/>
        <v>80</v>
      </c>
      <c r="I29" s="125"/>
      <c r="J29" s="125">
        <f>SUMPRODUCT((ACQUISTI!$D$2:$D1159="Materia Prima")*(ACQUISTI!$B$2:$B1159=A29)*ACQUISTI!$H$2:$H1159)</f>
        <v>8</v>
      </c>
      <c r="K29" s="125"/>
      <c r="L29" s="89"/>
      <c r="M29" s="89"/>
      <c r="N29" s="89"/>
      <c r="O29" s="89"/>
      <c r="P29" s="89"/>
      <c r="Q29" s="89"/>
      <c r="R29" s="89"/>
      <c r="S29" s="89"/>
      <c r="T29" s="89"/>
      <c r="U29" s="89"/>
      <c r="V29" s="89"/>
      <c r="W29" s="89"/>
      <c r="X29" s="89"/>
      <c r="Y29" s="89"/>
      <c r="Z29" s="89"/>
      <c r="AA29" s="89"/>
      <c r="AB29" s="89"/>
    </row>
    <row r="30" ht="22.5" customHeight="1">
      <c r="A30" s="227" t="str">
        <f>IFERROR(__xludf.DUMMYFUNCTION("""COMPUTED_VALUE"""),"SUEDE_VERDE_BOTTIGLIA")</f>
        <v>SUEDE_VERDE_BOTTIGLIA</v>
      </c>
      <c r="B30" s="125"/>
      <c r="C30" s="125" t="s">
        <v>2102</v>
      </c>
      <c r="D30" s="125" t="s">
        <v>2103</v>
      </c>
      <c r="E30" s="125" t="s">
        <v>2180</v>
      </c>
      <c r="F30" s="125" t="s">
        <v>2106</v>
      </c>
      <c r="G30" s="628">
        <v>10.0</v>
      </c>
      <c r="H30" s="125">
        <f t="shared" si="1"/>
        <v>76.8</v>
      </c>
      <c r="I30" s="125"/>
      <c r="J30" s="125">
        <f>SUMPRODUCT((ACQUISTI!$D$2:$D1160="Materia Prima")*(ACQUISTI!$B$2:$B1160=A30)*ACQUISTI!$H$2:$H1160)</f>
        <v>7.68</v>
      </c>
      <c r="K30" s="125"/>
      <c r="L30" s="89"/>
      <c r="M30" s="89"/>
      <c r="N30" s="89"/>
      <c r="O30" s="89"/>
      <c r="P30" s="89"/>
      <c r="Q30" s="89"/>
      <c r="R30" s="89"/>
      <c r="S30" s="89"/>
      <c r="T30" s="89"/>
      <c r="U30" s="89"/>
      <c r="V30" s="89"/>
      <c r="W30" s="89"/>
      <c r="X30" s="89"/>
      <c r="Y30" s="89"/>
      <c r="Z30" s="89"/>
      <c r="AA30" s="89"/>
      <c r="AB30" s="89"/>
    </row>
    <row r="31" ht="22.5" customHeight="1">
      <c r="A31" s="227" t="str">
        <f>IFERROR(__xludf.DUMMYFUNCTION("""COMPUTED_VALUE"""),"Fodera_Cotone_BURRO")</f>
        <v>Fodera_Cotone_BURRO</v>
      </c>
      <c r="B31" s="125"/>
      <c r="C31" s="125" t="s">
        <v>2102</v>
      </c>
      <c r="D31" s="125" t="s">
        <v>2206</v>
      </c>
      <c r="E31" s="125" t="s">
        <v>2207</v>
      </c>
      <c r="F31" s="125" t="s">
        <v>2208</v>
      </c>
      <c r="G31" s="628">
        <v>7.0</v>
      </c>
      <c r="H31" s="125">
        <f t="shared" si="1"/>
        <v>7</v>
      </c>
      <c r="I31" s="125"/>
      <c r="J31" s="125">
        <f>SUMPRODUCT((ACQUISTI!$D$2:$D1161="Materia Prima")*(ACQUISTI!$B$2:$B1161=A31)*ACQUISTI!$H$2:$H1161)</f>
        <v>1</v>
      </c>
      <c r="K31" s="125"/>
      <c r="L31" s="89"/>
      <c r="M31" s="89"/>
      <c r="N31" s="89"/>
      <c r="O31" s="89"/>
      <c r="P31" s="89"/>
      <c r="Q31" s="89"/>
      <c r="R31" s="89"/>
      <c r="S31" s="89"/>
      <c r="T31" s="89"/>
      <c r="U31" s="89"/>
      <c r="V31" s="89"/>
      <c r="W31" s="89"/>
      <c r="X31" s="89"/>
      <c r="Y31" s="89"/>
      <c r="Z31" s="89"/>
      <c r="AA31" s="89"/>
      <c r="AB31" s="89"/>
    </row>
    <row r="32" ht="22.5" customHeight="1">
      <c r="A32" s="227" t="str">
        <f>IFERROR(__xludf.DUMMYFUNCTION("""COMPUTED_VALUE"""),"Fodera_Cotone_AZZURRO")</f>
        <v>Fodera_Cotone_AZZURRO</v>
      </c>
      <c r="B32" s="125"/>
      <c r="C32" s="125" t="s">
        <v>2102</v>
      </c>
      <c r="D32" s="125" t="s">
        <v>2214</v>
      </c>
      <c r="E32" s="125" t="s">
        <v>2207</v>
      </c>
      <c r="F32" s="125" t="s">
        <v>2208</v>
      </c>
      <c r="G32" s="628">
        <v>7.0</v>
      </c>
      <c r="H32" s="125">
        <f t="shared" si="1"/>
        <v>28</v>
      </c>
      <c r="I32" s="125"/>
      <c r="J32" s="125">
        <f>SUMPRODUCT((ACQUISTI!$D$2:$D1162="Materia Prima")*(ACQUISTI!$B$2:$B1162=A32)*ACQUISTI!$H$2:$H1162)</f>
        <v>4</v>
      </c>
      <c r="K32" s="125"/>
      <c r="L32" s="89"/>
      <c r="M32" s="89"/>
      <c r="N32" s="89"/>
      <c r="O32" s="89"/>
      <c r="P32" s="89"/>
      <c r="Q32" s="89"/>
      <c r="R32" s="89"/>
      <c r="S32" s="89"/>
      <c r="T32" s="89"/>
      <c r="U32" s="89"/>
      <c r="V32" s="89"/>
      <c r="W32" s="89"/>
      <c r="X32" s="89"/>
      <c r="Y32" s="89"/>
      <c r="Z32" s="89"/>
      <c r="AA32" s="89"/>
      <c r="AB32" s="89"/>
    </row>
    <row r="33" ht="22.5" customHeight="1">
      <c r="A33" s="227" t="str">
        <f>IFERROR(__xludf.DUMMYFUNCTION("""COMPUTED_VALUE"""),"Fodera_Cotone_VERDE_ACQUA")</f>
        <v>Fodera_Cotone_VERDE_ACQUA</v>
      </c>
      <c r="B33" s="125"/>
      <c r="C33" s="125" t="s">
        <v>2102</v>
      </c>
      <c r="D33" s="125" t="s">
        <v>2214</v>
      </c>
      <c r="E33" s="125" t="s">
        <v>2207</v>
      </c>
      <c r="F33" s="125" t="s">
        <v>2208</v>
      </c>
      <c r="G33" s="628">
        <v>7.0</v>
      </c>
      <c r="H33" s="125">
        <f t="shared" si="1"/>
        <v>28</v>
      </c>
      <c r="I33" s="125"/>
      <c r="J33" s="125">
        <f>SUMPRODUCT((ACQUISTI!$D$2:$D1163="Materia Prima")*(ACQUISTI!$B$2:$B1163=A33)*ACQUISTI!$H$2:$H1163)</f>
        <v>4</v>
      </c>
      <c r="K33" s="125"/>
      <c r="L33" s="89"/>
      <c r="M33" s="89"/>
      <c r="N33" s="89"/>
      <c r="O33" s="89"/>
      <c r="P33" s="89"/>
      <c r="Q33" s="89"/>
      <c r="R33" s="89"/>
      <c r="S33" s="89"/>
      <c r="T33" s="89"/>
      <c r="U33" s="89"/>
      <c r="V33" s="89"/>
      <c r="W33" s="89"/>
      <c r="X33" s="89"/>
      <c r="Y33" s="89"/>
      <c r="Z33" s="89"/>
      <c r="AA33" s="89"/>
      <c r="AB33" s="89"/>
    </row>
    <row r="34" ht="22.5" customHeight="1">
      <c r="A34" s="227" t="str">
        <f>IFERROR(__xludf.DUMMYFUNCTION("""COMPUTED_VALUE"""),"Fodera_Cotone_ROSA_CIPRIA")</f>
        <v>Fodera_Cotone_ROSA_CIPRIA</v>
      </c>
      <c r="B34" s="125"/>
      <c r="C34" s="125" t="s">
        <v>2102</v>
      </c>
      <c r="D34" s="125" t="s">
        <v>2214</v>
      </c>
      <c r="E34" s="125" t="s">
        <v>2207</v>
      </c>
      <c r="F34" s="125" t="s">
        <v>2208</v>
      </c>
      <c r="G34" s="628">
        <v>7.0</v>
      </c>
      <c r="H34" s="125">
        <f t="shared" si="1"/>
        <v>28</v>
      </c>
      <c r="I34" s="125"/>
      <c r="J34" s="125">
        <f>SUMPRODUCT((ACQUISTI!$D$2:$D1164="Materia Prima")*(ACQUISTI!$B$2:$B1164=A34)*ACQUISTI!$H$2:$H1164)</f>
        <v>4</v>
      </c>
      <c r="K34" s="125"/>
      <c r="L34" s="89"/>
      <c r="M34" s="89"/>
      <c r="N34" s="89"/>
      <c r="O34" s="89"/>
      <c r="P34" s="89"/>
      <c r="Q34" s="89"/>
      <c r="R34" s="89"/>
      <c r="S34" s="89"/>
      <c r="T34" s="89"/>
      <c r="U34" s="89"/>
      <c r="V34" s="89"/>
      <c r="W34" s="89"/>
      <c r="X34" s="89"/>
      <c r="Y34" s="89"/>
      <c r="Z34" s="89"/>
      <c r="AA34" s="89"/>
      <c r="AB34" s="89"/>
    </row>
    <row r="35" ht="22.5" customHeight="1">
      <c r="A35" s="227" t="str">
        <f>IFERROR(__xludf.DUMMYFUNCTION("""COMPUTED_VALUE"""),"Fodera_Cotone_GRIGRIO_TOPO")</f>
        <v>Fodera_Cotone_GRIGRIO_TOPO</v>
      </c>
      <c r="B35" s="125"/>
      <c r="C35" s="125" t="s">
        <v>2102</v>
      </c>
      <c r="D35" s="125" t="s">
        <v>2082</v>
      </c>
      <c r="E35" s="125" t="s">
        <v>2207</v>
      </c>
      <c r="F35" s="125" t="s">
        <v>2208</v>
      </c>
      <c r="G35" s="628">
        <v>7.0</v>
      </c>
      <c r="H35" s="125">
        <f t="shared" si="1"/>
        <v>21</v>
      </c>
      <c r="I35" s="125"/>
      <c r="J35" s="125">
        <f>SUMPRODUCT((ACQUISTI!$D$2:$D1165="Materia Prima")*(ACQUISTI!$B$2:$B1165=A35)*ACQUISTI!$H$2:$H1165)</f>
        <v>3</v>
      </c>
      <c r="K35" s="125"/>
      <c r="L35" s="89"/>
      <c r="M35" s="89"/>
      <c r="N35" s="89"/>
      <c r="O35" s="89"/>
      <c r="P35" s="89"/>
      <c r="Q35" s="89"/>
      <c r="R35" s="89"/>
      <c r="S35" s="89"/>
      <c r="T35" s="89"/>
      <c r="U35" s="89"/>
      <c r="V35" s="89"/>
      <c r="W35" s="89"/>
      <c r="X35" s="89"/>
      <c r="Y35" s="89"/>
      <c r="Z35" s="89"/>
      <c r="AA35" s="89"/>
      <c r="AB35" s="89"/>
    </row>
    <row r="36" ht="22.5" customHeight="1">
      <c r="A36" s="227" t="str">
        <f>IFERROR(__xludf.DUMMYFUNCTION("""COMPUTED_VALUE"""),"Fodera_Cotone_GRIGIO_PERLA")</f>
        <v>Fodera_Cotone_GRIGIO_PERLA</v>
      </c>
      <c r="B36" s="125"/>
      <c r="C36" s="125" t="s">
        <v>2102</v>
      </c>
      <c r="D36" s="125" t="s">
        <v>2214</v>
      </c>
      <c r="E36" s="125" t="s">
        <v>2207</v>
      </c>
      <c r="F36" s="125" t="s">
        <v>2208</v>
      </c>
      <c r="G36" s="628">
        <v>7.0</v>
      </c>
      <c r="H36" s="125">
        <f t="shared" si="1"/>
        <v>14</v>
      </c>
      <c r="I36" s="125"/>
      <c r="J36" s="125">
        <f>SUMPRODUCT((ACQUISTI!$D$2:$D1166="Materia Prima")*(ACQUISTI!$B$2:$B1166=A36)*ACQUISTI!$H$2:$H1166)</f>
        <v>2</v>
      </c>
      <c r="K36" s="125"/>
      <c r="L36" s="89"/>
      <c r="M36" s="89"/>
      <c r="N36" s="89"/>
      <c r="O36" s="89"/>
      <c r="P36" s="89"/>
      <c r="Q36" s="89"/>
      <c r="R36" s="89"/>
      <c r="S36" s="89"/>
      <c r="T36" s="89"/>
      <c r="U36" s="89"/>
      <c r="V36" s="89"/>
      <c r="W36" s="89"/>
      <c r="X36" s="89"/>
      <c r="Y36" s="89"/>
      <c r="Z36" s="89"/>
      <c r="AA36" s="89"/>
      <c r="AB36" s="89"/>
    </row>
    <row r="37" ht="22.5" customHeight="1">
      <c r="A37" s="227" t="str">
        <f>IFERROR(__xludf.DUMMYFUNCTION("""COMPUTED_VALUE"""),"Fodera_Cotone_BLU_NOTTE")</f>
        <v>Fodera_Cotone_BLU_NOTTE</v>
      </c>
      <c r="B37" s="125"/>
      <c r="C37" s="125" t="s">
        <v>2102</v>
      </c>
      <c r="D37" s="125" t="s">
        <v>2102</v>
      </c>
      <c r="E37" s="125" t="s">
        <v>2207</v>
      </c>
      <c r="F37" s="125" t="s">
        <v>2208</v>
      </c>
      <c r="G37" s="628">
        <v>7.0</v>
      </c>
      <c r="H37" s="125">
        <f t="shared" si="1"/>
        <v>7</v>
      </c>
      <c r="I37" s="125"/>
      <c r="J37" s="125">
        <f>SUMPRODUCT((ACQUISTI!$D$2:$D1167="Materia Prima")*(ACQUISTI!$B$2:$B1167=A37)*ACQUISTI!$H$2:$H1167)</f>
        <v>1</v>
      </c>
      <c r="K37" s="125"/>
      <c r="L37" s="89"/>
      <c r="M37" s="89"/>
      <c r="N37" s="89"/>
      <c r="O37" s="89"/>
      <c r="P37" s="89"/>
      <c r="Q37" s="89"/>
      <c r="R37" s="89"/>
      <c r="S37" s="89"/>
      <c r="T37" s="89"/>
      <c r="U37" s="89"/>
      <c r="V37" s="89"/>
      <c r="W37" s="89"/>
      <c r="X37" s="89"/>
      <c r="Y37" s="89"/>
      <c r="Z37" s="89"/>
      <c r="AA37" s="89"/>
      <c r="AB37" s="89"/>
    </row>
    <row r="38" ht="22.5" customHeight="1">
      <c r="A38" s="227" t="str">
        <f>IFERROR(__xludf.DUMMYFUNCTION("""COMPUTED_VALUE"""),"Fodera_Poliseta_ROSA_CIPRIA")</f>
        <v>Fodera_Poliseta_ROSA_CIPRIA</v>
      </c>
      <c r="B38" s="125"/>
      <c r="C38" s="125" t="s">
        <v>2102</v>
      </c>
      <c r="D38" s="125" t="s">
        <v>2214</v>
      </c>
      <c r="E38" s="125" t="s">
        <v>2231</v>
      </c>
      <c r="F38" s="125" t="s">
        <v>2208</v>
      </c>
      <c r="G38" s="628">
        <v>21.0</v>
      </c>
      <c r="H38" s="125">
        <f t="shared" si="1"/>
        <v>21</v>
      </c>
      <c r="I38" s="125"/>
      <c r="J38" s="125">
        <f>SUMPRODUCT((ACQUISTI!$D$2:$D1168="Materia Prima")*(ACQUISTI!$B$2:$B1168=A38)*ACQUISTI!$H$2:$H1168)</f>
        <v>1</v>
      </c>
      <c r="K38" s="125"/>
      <c r="L38" s="89"/>
      <c r="M38" s="89"/>
      <c r="N38" s="89"/>
      <c r="O38" s="89"/>
      <c r="P38" s="89"/>
      <c r="Q38" s="89"/>
      <c r="R38" s="89"/>
      <c r="S38" s="89"/>
      <c r="T38" s="89"/>
      <c r="U38" s="89"/>
      <c r="V38" s="89"/>
      <c r="W38" s="89"/>
      <c r="X38" s="89"/>
      <c r="Y38" s="89"/>
      <c r="Z38" s="89"/>
      <c r="AA38" s="89"/>
      <c r="AB38" s="89"/>
    </row>
    <row r="39" ht="22.5" customHeight="1">
      <c r="A39" s="653" t="str">
        <f>IFERROR(__xludf.DUMMYFUNCTION("""COMPUTED_VALUE"""),"Fodera_Poliseta_VERDE_ACQUA")</f>
        <v>Fodera_Poliseta_VERDE_ACQUA</v>
      </c>
      <c r="B39" s="627"/>
      <c r="C39" s="627" t="s">
        <v>2102</v>
      </c>
      <c r="D39" s="627" t="s">
        <v>2214</v>
      </c>
      <c r="E39" s="627" t="s">
        <v>2231</v>
      </c>
      <c r="F39" s="627" t="s">
        <v>2208</v>
      </c>
      <c r="G39" s="654">
        <v>21.0</v>
      </c>
      <c r="H39" s="627">
        <f t="shared" si="1"/>
        <v>21</v>
      </c>
      <c r="I39" s="627"/>
      <c r="J39" s="125">
        <f>SUMPRODUCT((ACQUISTI!$D$2:$D1169="Materia Prima")*(ACQUISTI!$B$2:$B1169=A39)*ACQUISTI!$H$2:$H1169)</f>
        <v>1</v>
      </c>
      <c r="K39" s="627"/>
      <c r="L39" s="89"/>
      <c r="M39" s="89"/>
      <c r="N39" s="89"/>
      <c r="O39" s="89"/>
      <c r="P39" s="89"/>
      <c r="Q39" s="89"/>
      <c r="R39" s="89"/>
      <c r="S39" s="89"/>
      <c r="T39" s="89"/>
      <c r="U39" s="89"/>
      <c r="V39" s="89"/>
      <c r="W39" s="89"/>
      <c r="X39" s="89"/>
      <c r="Y39" s="89"/>
      <c r="Z39" s="89"/>
      <c r="AA39" s="89"/>
      <c r="AB39" s="89"/>
    </row>
    <row r="40" ht="22.5" customHeight="1">
      <c r="A40" s="653" t="str">
        <f>IFERROR(__xludf.DUMMYFUNCTION("""COMPUTED_VALUE"""),"Cordini_4000_Beige_11")</f>
        <v>Cordini_4000_Beige_11</v>
      </c>
      <c r="B40" s="627"/>
      <c r="C40" s="627" t="s">
        <v>2102</v>
      </c>
      <c r="D40" s="627" t="s">
        <v>2238</v>
      </c>
      <c r="E40" s="627" t="s">
        <v>2239</v>
      </c>
      <c r="F40" s="627" t="s">
        <v>2208</v>
      </c>
      <c r="G40" s="654">
        <v>0.25</v>
      </c>
      <c r="H40" s="627">
        <f t="shared" si="1"/>
        <v>62.5</v>
      </c>
      <c r="I40" s="627"/>
      <c r="J40" s="125">
        <f>SUMPRODUCT((ACQUISTI!$D$2:$D1170="Materia Prima")*(ACQUISTI!$B$2:$B1170=A40)*ACQUISTI!$H$2:$H1170)</f>
        <v>250</v>
      </c>
      <c r="K40" s="627"/>
      <c r="L40" s="89"/>
      <c r="M40" s="89"/>
      <c r="N40" s="89"/>
      <c r="O40" s="89"/>
      <c r="P40" s="89"/>
      <c r="Q40" s="89"/>
      <c r="R40" s="89"/>
      <c r="S40" s="89"/>
      <c r="T40" s="89"/>
      <c r="U40" s="89"/>
      <c r="V40" s="89"/>
      <c r="W40" s="89"/>
      <c r="X40" s="89"/>
      <c r="Y40" s="89"/>
      <c r="Z40" s="89"/>
      <c r="AA40" s="89"/>
      <c r="AB40" s="89"/>
    </row>
    <row r="41" ht="22.5" customHeight="1">
      <c r="A41" s="653" t="str">
        <f>IFERROR(__xludf.DUMMYFUNCTION("""COMPUTED_VALUE"""),"Cordini_4000_Turchese_95")</f>
        <v>Cordini_4000_Turchese_95</v>
      </c>
      <c r="B41" s="627"/>
      <c r="C41" s="627" t="s">
        <v>2102</v>
      </c>
      <c r="D41" s="627" t="s">
        <v>2238</v>
      </c>
      <c r="E41" s="627" t="s">
        <v>2239</v>
      </c>
      <c r="F41" s="627" t="s">
        <v>2208</v>
      </c>
      <c r="G41" s="654">
        <v>0.25</v>
      </c>
      <c r="H41" s="627">
        <f t="shared" si="1"/>
        <v>12.5</v>
      </c>
      <c r="I41" s="627"/>
      <c r="J41" s="125">
        <f>SUMPRODUCT((ACQUISTI!$D$2:$D1171="Materia Prima")*(ACQUISTI!$B$2:$B1171=A41)*ACQUISTI!$H$2:$H1171)</f>
        <v>50</v>
      </c>
      <c r="K41" s="627"/>
      <c r="L41" s="89"/>
      <c r="M41" s="89"/>
      <c r="N41" s="89"/>
      <c r="O41" s="89"/>
      <c r="P41" s="89"/>
      <c r="Q41" s="89"/>
      <c r="R41" s="89"/>
      <c r="S41" s="89"/>
      <c r="T41" s="89"/>
      <c r="U41" s="89"/>
      <c r="V41" s="89"/>
      <c r="W41" s="89"/>
      <c r="X41" s="89"/>
      <c r="Y41" s="89"/>
      <c r="Z41" s="89"/>
      <c r="AA41" s="89"/>
      <c r="AB41" s="89"/>
    </row>
    <row r="42" ht="22.5" customHeight="1">
      <c r="A42" s="653" t="str">
        <f>IFERROR(__xludf.DUMMYFUNCTION("""COMPUTED_VALUE"""),"Cordini_4000_Verde_Chiaro_11")</f>
        <v>Cordini_4000_Verde_Chiaro_11</v>
      </c>
      <c r="B42" s="627"/>
      <c r="C42" s="627" t="s">
        <v>2102</v>
      </c>
      <c r="D42" s="627" t="s">
        <v>2238</v>
      </c>
      <c r="E42" s="627" t="s">
        <v>2239</v>
      </c>
      <c r="F42" s="627" t="s">
        <v>2208</v>
      </c>
      <c r="G42" s="654">
        <v>0.25</v>
      </c>
      <c r="H42" s="627">
        <f t="shared" si="1"/>
        <v>25</v>
      </c>
      <c r="I42" s="627"/>
      <c r="J42" s="125">
        <f>SUMPRODUCT((ACQUISTI!$D$2:$D1172="Materia Prima")*(ACQUISTI!$B$2:$B1172=A42)*ACQUISTI!$H$2:$H1172)</f>
        <v>100</v>
      </c>
      <c r="K42" s="627"/>
      <c r="L42" s="89"/>
      <c r="M42" s="89"/>
      <c r="N42" s="89"/>
      <c r="O42" s="89"/>
      <c r="P42" s="89"/>
      <c r="Q42" s="89"/>
      <c r="R42" s="89"/>
      <c r="S42" s="89"/>
      <c r="T42" s="89"/>
      <c r="U42" s="89"/>
      <c r="V42" s="89"/>
      <c r="W42" s="89"/>
      <c r="X42" s="89"/>
      <c r="Y42" s="89"/>
      <c r="Z42" s="89"/>
      <c r="AA42" s="89"/>
      <c r="AB42" s="89"/>
    </row>
    <row r="43" ht="22.5" customHeight="1">
      <c r="A43" s="653" t="str">
        <f>IFERROR(__xludf.DUMMYFUNCTION("""COMPUTED_VALUE"""),"Cordini_4000_Rosa_Cipria_23")</f>
        <v>Cordini_4000_Rosa_Cipria_23</v>
      </c>
      <c r="B43" s="627"/>
      <c r="C43" s="627" t="s">
        <v>2102</v>
      </c>
      <c r="D43" s="627" t="s">
        <v>2238</v>
      </c>
      <c r="E43" s="627" t="s">
        <v>2239</v>
      </c>
      <c r="F43" s="627" t="s">
        <v>2208</v>
      </c>
      <c r="G43" s="654">
        <v>0.25</v>
      </c>
      <c r="H43" s="627">
        <f t="shared" si="1"/>
        <v>25</v>
      </c>
      <c r="I43" s="627"/>
      <c r="J43" s="125">
        <f>SUMPRODUCT((ACQUISTI!$D$2:$D1173="Materia Prima")*(ACQUISTI!$B$2:$B1173=A43)*ACQUISTI!$H$2:$H1173)</f>
        <v>100</v>
      </c>
      <c r="K43" s="627"/>
      <c r="L43" s="89"/>
      <c r="M43" s="89"/>
      <c r="N43" s="89"/>
      <c r="O43" s="89"/>
      <c r="P43" s="89"/>
      <c r="Q43" s="89"/>
      <c r="R43" s="89"/>
      <c r="S43" s="89"/>
      <c r="T43" s="89"/>
      <c r="U43" s="89"/>
      <c r="V43" s="89"/>
      <c r="W43" s="89"/>
      <c r="X43" s="89"/>
      <c r="Y43" s="89"/>
      <c r="Z43" s="89"/>
      <c r="AA43" s="89"/>
      <c r="AB43" s="89"/>
    </row>
    <row r="44" ht="22.5" customHeight="1">
      <c r="A44" s="653" t="str">
        <f>IFERROR(__xludf.DUMMYFUNCTION("""COMPUTED_VALUE"""),"Cordini_4000_Ruggine_36")</f>
        <v>Cordini_4000_Ruggine_36</v>
      </c>
      <c r="B44" s="627"/>
      <c r="C44" s="627" t="s">
        <v>2102</v>
      </c>
      <c r="D44" s="627" t="s">
        <v>2238</v>
      </c>
      <c r="E44" s="627" t="s">
        <v>2239</v>
      </c>
      <c r="F44" s="627" t="s">
        <v>2208</v>
      </c>
      <c r="G44" s="654">
        <v>0.25</v>
      </c>
      <c r="H44" s="627">
        <f t="shared" si="1"/>
        <v>25</v>
      </c>
      <c r="I44" s="627"/>
      <c r="J44" s="125">
        <f>SUMPRODUCT((ACQUISTI!$D$2:$D1174="Materia Prima")*(ACQUISTI!$B$2:$B1174=A44)*ACQUISTI!$H$2:$H1174)</f>
        <v>100</v>
      </c>
      <c r="K44" s="627"/>
      <c r="L44" s="89"/>
      <c r="M44" s="89"/>
      <c r="N44" s="89"/>
      <c r="O44" s="89"/>
      <c r="P44" s="89"/>
      <c r="Q44" s="89"/>
      <c r="R44" s="89"/>
      <c r="S44" s="89"/>
      <c r="T44" s="89"/>
      <c r="U44" s="89"/>
      <c r="V44" s="89"/>
      <c r="W44" s="89"/>
      <c r="X44" s="89"/>
      <c r="Y44" s="89"/>
      <c r="Z44" s="89"/>
      <c r="AA44" s="89"/>
      <c r="AB44" s="89"/>
    </row>
    <row r="45" ht="22.5" customHeight="1">
      <c r="A45" s="653" t="str">
        <f>IFERROR(__xludf.DUMMYFUNCTION("""COMPUTED_VALUE"""),"Cordini_4000_Grigio_Topo_29")</f>
        <v>Cordini_4000_Grigio_Topo_29</v>
      </c>
      <c r="B45" s="627"/>
      <c r="C45" s="627" t="s">
        <v>2102</v>
      </c>
      <c r="D45" s="627" t="s">
        <v>2238</v>
      </c>
      <c r="E45" s="627" t="s">
        <v>2239</v>
      </c>
      <c r="F45" s="627" t="s">
        <v>2208</v>
      </c>
      <c r="G45" s="654">
        <v>0.25</v>
      </c>
      <c r="H45" s="627">
        <f t="shared" si="1"/>
        <v>25</v>
      </c>
      <c r="I45" s="627"/>
      <c r="J45" s="125">
        <f>SUMPRODUCT((ACQUISTI!$D$2:$D1175="Materia Prima")*(ACQUISTI!$B$2:$B1175=A45)*ACQUISTI!$H$2:$H1175)</f>
        <v>100</v>
      </c>
      <c r="K45" s="627"/>
      <c r="L45" s="89"/>
      <c r="M45" s="89"/>
      <c r="N45" s="89"/>
      <c r="O45" s="89"/>
      <c r="P45" s="89"/>
      <c r="Q45" s="89"/>
      <c r="R45" s="89"/>
      <c r="S45" s="89"/>
      <c r="T45" s="89"/>
      <c r="U45" s="89"/>
      <c r="V45" s="89"/>
      <c r="W45" s="89"/>
      <c r="X45" s="89"/>
      <c r="Y45" s="89"/>
      <c r="Z45" s="89"/>
      <c r="AA45" s="89"/>
      <c r="AB45" s="89"/>
    </row>
    <row r="46" ht="22.5" customHeight="1">
      <c r="A46" s="653" t="str">
        <f>IFERROR(__xludf.DUMMYFUNCTION("""COMPUTED_VALUE"""),"Cordini_4000_Fucsia_40")</f>
        <v>Cordini_4000_Fucsia_40</v>
      </c>
      <c r="B46" s="627"/>
      <c r="C46" s="627" t="s">
        <v>2102</v>
      </c>
      <c r="D46" s="627" t="s">
        <v>2238</v>
      </c>
      <c r="E46" s="627" t="s">
        <v>2239</v>
      </c>
      <c r="F46" s="627" t="s">
        <v>2208</v>
      </c>
      <c r="G46" s="654">
        <v>0.25</v>
      </c>
      <c r="H46" s="627">
        <f t="shared" si="1"/>
        <v>25</v>
      </c>
      <c r="I46" s="627"/>
      <c r="J46" s="125">
        <f>SUMPRODUCT((ACQUISTI!$D$2:$D1176="Materia Prima")*(ACQUISTI!$B$2:$B1176=A46)*ACQUISTI!$H$2:$H1176)</f>
        <v>100</v>
      </c>
      <c r="K46" s="627"/>
      <c r="L46" s="89"/>
      <c r="M46" s="89"/>
      <c r="N46" s="89"/>
      <c r="O46" s="89"/>
      <c r="P46" s="89"/>
      <c r="Q46" s="89"/>
      <c r="R46" s="89"/>
      <c r="S46" s="89"/>
      <c r="T46" s="89"/>
      <c r="U46" s="89"/>
      <c r="V46" s="89"/>
      <c r="W46" s="89"/>
      <c r="X46" s="89"/>
      <c r="Y46" s="89"/>
      <c r="Z46" s="89"/>
      <c r="AA46" s="89"/>
      <c r="AB46" s="89"/>
    </row>
    <row r="47" ht="22.5" customHeight="1">
      <c r="A47" s="653" t="str">
        <f>IFERROR(__xludf.DUMMYFUNCTION("""COMPUTED_VALUE"""),"Cordini_4000_Rosa_Antico_07")</f>
        <v>Cordini_4000_Rosa_Antico_07</v>
      </c>
      <c r="B47" s="627"/>
      <c r="C47" s="627" t="s">
        <v>2102</v>
      </c>
      <c r="D47" s="627" t="s">
        <v>2238</v>
      </c>
      <c r="E47" s="627" t="s">
        <v>2239</v>
      </c>
      <c r="F47" s="627" t="s">
        <v>2208</v>
      </c>
      <c r="G47" s="654">
        <v>0.25</v>
      </c>
      <c r="H47" s="627">
        <f t="shared" si="1"/>
        <v>18.75</v>
      </c>
      <c r="I47" s="627"/>
      <c r="J47" s="125">
        <f>SUMPRODUCT((ACQUISTI!$D$2:$D1177="Materia Prima")*(ACQUISTI!$B$2:$B1177=A47)*ACQUISTI!$H$2:$H1177)</f>
        <v>75</v>
      </c>
      <c r="K47" s="627"/>
      <c r="L47" s="89"/>
      <c r="M47" s="89"/>
      <c r="N47" s="89"/>
      <c r="O47" s="89"/>
      <c r="P47" s="89"/>
      <c r="Q47" s="89"/>
      <c r="R47" s="89"/>
      <c r="S47" s="89"/>
      <c r="T47" s="89"/>
      <c r="U47" s="89"/>
      <c r="V47" s="89"/>
      <c r="W47" s="89"/>
      <c r="X47" s="89"/>
      <c r="Y47" s="89"/>
      <c r="Z47" s="89"/>
      <c r="AA47" s="89"/>
      <c r="AB47" s="89"/>
    </row>
    <row r="48">
      <c r="A48" s="655" t="str">
        <f>IFERROR(__xludf.DUMMYFUNCTION("""COMPUTED_VALUE"""),"Cordini_4000_Blu_50")</f>
        <v>Cordini_4000_Blu_50</v>
      </c>
      <c r="B48" s="89"/>
      <c r="C48" s="89" t="s">
        <v>2102</v>
      </c>
      <c r="D48" s="89" t="s">
        <v>2238</v>
      </c>
      <c r="E48" s="89" t="s">
        <v>2239</v>
      </c>
      <c r="F48" s="89" t="s">
        <v>2208</v>
      </c>
      <c r="G48" s="89">
        <v>0.25</v>
      </c>
      <c r="H48" s="89"/>
      <c r="I48" s="89"/>
      <c r="J48" s="89"/>
      <c r="K48" s="89"/>
      <c r="L48" s="89"/>
      <c r="M48" s="89"/>
      <c r="N48" s="89"/>
      <c r="O48" s="89"/>
      <c r="P48" s="89"/>
      <c r="Q48" s="89"/>
      <c r="R48" s="89"/>
      <c r="S48" s="89"/>
      <c r="T48" s="89"/>
      <c r="U48" s="89"/>
      <c r="V48" s="89"/>
      <c r="W48" s="89"/>
      <c r="X48" s="89"/>
      <c r="Y48" s="89"/>
      <c r="Z48" s="89"/>
      <c r="AA48" s="89"/>
      <c r="AB48" s="89"/>
    </row>
    <row r="49">
      <c r="A49" s="655" t="str">
        <f>IFERROR(__xludf.DUMMYFUNCTION("""COMPUTED_VALUE"""),"Cordini_4000_Verde_Militare_41")</f>
        <v>Cordini_4000_Verde_Militare_41</v>
      </c>
      <c r="B49" s="89"/>
      <c r="C49" s="89" t="s">
        <v>2102</v>
      </c>
      <c r="D49" s="89" t="s">
        <v>2238</v>
      </c>
      <c r="E49" s="89" t="s">
        <v>2239</v>
      </c>
      <c r="F49" s="89" t="s">
        <v>2208</v>
      </c>
      <c r="G49" s="89">
        <v>0.25</v>
      </c>
      <c r="H49" s="89"/>
      <c r="I49" s="89"/>
      <c r="J49" s="89"/>
      <c r="K49" s="89"/>
      <c r="L49" s="89"/>
      <c r="M49" s="89"/>
      <c r="N49" s="89"/>
      <c r="O49" s="89"/>
      <c r="P49" s="89"/>
      <c r="Q49" s="89"/>
      <c r="R49" s="89"/>
      <c r="S49" s="89"/>
      <c r="T49" s="89"/>
      <c r="U49" s="89"/>
      <c r="V49" s="89"/>
      <c r="W49" s="89"/>
      <c r="X49" s="89"/>
      <c r="Y49" s="89"/>
      <c r="Z49" s="89"/>
      <c r="AA49" s="89"/>
      <c r="AB49" s="89"/>
    </row>
    <row r="50">
      <c r="A50" s="655" t="str">
        <f>IFERROR(__xludf.DUMMYFUNCTION("""COMPUTED_VALUE"""),"Cordini_4000_Blu_Scuro_25")</f>
        <v>Cordini_4000_Blu_Scuro_25</v>
      </c>
      <c r="B50" s="89"/>
      <c r="C50" s="89" t="s">
        <v>2102</v>
      </c>
      <c r="D50" s="89" t="s">
        <v>2238</v>
      </c>
      <c r="E50" s="89" t="s">
        <v>2239</v>
      </c>
      <c r="F50" s="89" t="s">
        <v>2208</v>
      </c>
      <c r="G50" s="89">
        <v>0.25</v>
      </c>
      <c r="H50" s="89"/>
      <c r="I50" s="89"/>
      <c r="J50" s="89"/>
      <c r="K50" s="89"/>
      <c r="L50" s="89"/>
      <c r="M50" s="89"/>
      <c r="N50" s="89"/>
      <c r="O50" s="89"/>
      <c r="P50" s="89"/>
      <c r="Q50" s="89"/>
      <c r="R50" s="89"/>
      <c r="S50" s="89"/>
      <c r="T50" s="89"/>
      <c r="U50" s="89"/>
      <c r="V50" s="89"/>
      <c r="W50" s="89"/>
      <c r="X50" s="89"/>
      <c r="Y50" s="89"/>
      <c r="Z50" s="89"/>
      <c r="AA50" s="89"/>
      <c r="AB50" s="89"/>
    </row>
    <row r="51">
      <c r="A51" s="655" t="str">
        <f>IFERROR(__xludf.DUMMYFUNCTION("""COMPUTED_VALUE"""),"Cordini_4000_Marrone_Cioccolato_24")</f>
        <v>Cordini_4000_Marrone_Cioccolato_24</v>
      </c>
      <c r="B51" s="89"/>
      <c r="C51" s="89" t="s">
        <v>2102</v>
      </c>
      <c r="D51" s="89" t="s">
        <v>2238</v>
      </c>
      <c r="E51" s="89" t="s">
        <v>2239</v>
      </c>
      <c r="F51" s="89" t="s">
        <v>2208</v>
      </c>
      <c r="G51" s="89">
        <v>0.25</v>
      </c>
      <c r="H51" s="89"/>
      <c r="I51" s="89"/>
      <c r="J51" s="89"/>
      <c r="K51" s="89"/>
      <c r="L51" s="89"/>
      <c r="M51" s="89"/>
      <c r="N51" s="89"/>
      <c r="O51" s="89"/>
      <c r="P51" s="89"/>
      <c r="Q51" s="89"/>
      <c r="R51" s="89"/>
      <c r="S51" s="89"/>
      <c r="T51" s="89"/>
      <c r="U51" s="89"/>
      <c r="V51" s="89"/>
      <c r="W51" s="89"/>
      <c r="X51" s="89"/>
      <c r="Y51" s="89"/>
      <c r="Z51" s="89"/>
      <c r="AA51" s="89"/>
      <c r="AB51" s="89"/>
    </row>
    <row r="52">
      <c r="A52" s="89" t="str">
        <f>IFERROR(__xludf.DUMMYFUNCTION("""COMPUTED_VALUE"""),"Fodera_Poliseta_Bianca")</f>
        <v>Fodera_Poliseta_Bianca</v>
      </c>
      <c r="B52" s="89"/>
      <c r="C52" s="89" t="s">
        <v>2102</v>
      </c>
      <c r="D52" s="89" t="s">
        <v>2214</v>
      </c>
      <c r="E52" s="89" t="s">
        <v>2231</v>
      </c>
      <c r="F52" s="89" t="s">
        <v>2208</v>
      </c>
      <c r="G52" s="89">
        <v>21.0</v>
      </c>
      <c r="H52" s="89"/>
      <c r="I52" s="89"/>
      <c r="J52" s="89"/>
      <c r="K52" s="89"/>
      <c r="L52" s="89"/>
      <c r="M52" s="89"/>
      <c r="N52" s="89"/>
      <c r="O52" s="89"/>
      <c r="P52" s="89"/>
      <c r="Q52" s="89"/>
      <c r="R52" s="89"/>
      <c r="S52" s="89"/>
      <c r="T52" s="89"/>
      <c r="U52" s="89"/>
      <c r="V52" s="89"/>
      <c r="W52" s="89"/>
      <c r="X52" s="89"/>
      <c r="Y52" s="89"/>
      <c r="Z52" s="89"/>
      <c r="AA52" s="89"/>
      <c r="AB52" s="89"/>
    </row>
    <row r="53">
      <c r="A53" s="89" t="str">
        <f>IFERROR(__xludf.DUMMYFUNCTION("""COMPUTED_VALUE"""),"Tessuto_Organza_Embroidery_White")</f>
        <v>Tessuto_Organza_Embroidery_White</v>
      </c>
      <c r="B53" s="89"/>
      <c r="C53" s="89" t="s">
        <v>2102</v>
      </c>
      <c r="D53" s="89" t="s">
        <v>2444</v>
      </c>
      <c r="E53" s="89" t="s">
        <v>2445</v>
      </c>
      <c r="F53" s="89" t="s">
        <v>2208</v>
      </c>
      <c r="G53" s="89">
        <v>18.0</v>
      </c>
      <c r="H53" s="89"/>
      <c r="I53" s="89"/>
      <c r="J53" s="89"/>
      <c r="K53" s="89"/>
      <c r="L53" s="89"/>
      <c r="M53" s="89"/>
      <c r="N53" s="89"/>
      <c r="O53" s="89"/>
      <c r="P53" s="89"/>
      <c r="Q53" s="89"/>
      <c r="R53" s="89"/>
      <c r="S53" s="89"/>
      <c r="T53" s="89"/>
      <c r="U53" s="89"/>
      <c r="V53" s="89"/>
      <c r="W53" s="89"/>
      <c r="X53" s="89"/>
      <c r="Y53" s="89"/>
      <c r="Z53" s="89"/>
      <c r="AA53" s="89"/>
      <c r="AB53" s="89"/>
    </row>
    <row r="54">
      <c r="A54" s="89" t="str">
        <f>IFERROR(__xludf.DUMMYFUNCTION("""COMPUTED_VALUE"""),"Fodera_Poliseta_Prugna")</f>
        <v>Fodera_Poliseta_Prugna</v>
      </c>
      <c r="B54" s="89"/>
      <c r="C54" s="89" t="s">
        <v>2102</v>
      </c>
      <c r="D54" s="89" t="s">
        <v>2214</v>
      </c>
      <c r="E54" s="89" t="s">
        <v>2231</v>
      </c>
      <c r="F54" s="89" t="s">
        <v>2208</v>
      </c>
      <c r="G54" s="89">
        <v>21.0</v>
      </c>
      <c r="H54" s="89"/>
      <c r="I54" s="89"/>
      <c r="J54" s="89"/>
      <c r="K54" s="89"/>
      <c r="L54" s="89"/>
      <c r="M54" s="89"/>
      <c r="N54" s="89"/>
      <c r="O54" s="89"/>
      <c r="P54" s="89"/>
      <c r="Q54" s="89"/>
      <c r="R54" s="89"/>
      <c r="S54" s="89"/>
      <c r="T54" s="89"/>
      <c r="U54" s="89"/>
      <c r="V54" s="89"/>
      <c r="W54" s="89"/>
      <c r="X54" s="89"/>
      <c r="Y54" s="89"/>
      <c r="Z54" s="89"/>
      <c r="AA54" s="89"/>
      <c r="AB54" s="89"/>
    </row>
    <row r="55">
      <c r="A55" s="89" t="str">
        <f>IFERROR(__xludf.DUMMYFUNCTION("""COMPUTED_VALUE"""),"Tessuto_Organza_Viola_Giallo")</f>
        <v>Tessuto_Organza_Viola_Giallo</v>
      </c>
      <c r="B55" s="89"/>
      <c r="C55" s="89" t="s">
        <v>2102</v>
      </c>
      <c r="D55" s="89" t="s">
        <v>2082</v>
      </c>
      <c r="E55" s="89" t="s">
        <v>2445</v>
      </c>
      <c r="F55" s="89" t="s">
        <v>2208</v>
      </c>
      <c r="G55" s="89">
        <v>19.0</v>
      </c>
      <c r="H55" s="89"/>
      <c r="I55" s="89"/>
      <c r="J55" s="89"/>
      <c r="K55" s="89"/>
      <c r="L55" s="89"/>
      <c r="M55" s="89"/>
      <c r="N55" s="89"/>
      <c r="O55" s="89"/>
      <c r="P55" s="89"/>
      <c r="Q55" s="89"/>
      <c r="R55" s="89"/>
      <c r="S55" s="89"/>
      <c r="T55" s="89"/>
      <c r="U55" s="89"/>
      <c r="V55" s="89"/>
      <c r="W55" s="89"/>
      <c r="X55" s="89"/>
      <c r="Y55" s="89"/>
      <c r="Z55" s="89"/>
      <c r="AA55" s="89"/>
      <c r="AB55" s="89"/>
    </row>
    <row r="56">
      <c r="A56" s="89" t="str">
        <f>IFERROR(__xludf.DUMMYFUNCTION("""COMPUTED_VALUE"""),"Fodera_Cotone_Beige")</f>
        <v>Fodera_Cotone_Beige</v>
      </c>
      <c r="B56" s="89"/>
      <c r="C56" s="89" t="s">
        <v>2102</v>
      </c>
      <c r="D56" s="89" t="s">
        <v>2214</v>
      </c>
      <c r="E56" s="89" t="s">
        <v>2207</v>
      </c>
      <c r="F56" s="89" t="s">
        <v>2208</v>
      </c>
      <c r="G56" s="89">
        <v>7.0</v>
      </c>
      <c r="H56" s="89"/>
      <c r="I56" s="89"/>
      <c r="J56" s="89"/>
      <c r="K56" s="89"/>
      <c r="L56" s="89"/>
      <c r="M56" s="89"/>
      <c r="N56" s="89"/>
      <c r="O56" s="89"/>
      <c r="P56" s="89"/>
      <c r="Q56" s="89"/>
      <c r="R56" s="89"/>
      <c r="S56" s="89"/>
      <c r="T56" s="89"/>
      <c r="U56" s="89"/>
      <c r="V56" s="89"/>
      <c r="W56" s="89"/>
      <c r="X56" s="89"/>
      <c r="Y56" s="89"/>
      <c r="Z56" s="89"/>
      <c r="AA56" s="89"/>
      <c r="AB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row>
    <row r="60">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row>
  </sheetData>
  <dataValidations>
    <dataValidation type="custom" allowBlank="1" showDropDown="1" sqref="G2:G47">
      <formula1>AND(ISNUMBER(G2),(NOT(OR(NOT(ISERROR(DATEVALUE(G2))), AND(ISNUMBER(G2), LEFT(CELL("format", G2))="D")))))</formula1>
    </dataValidation>
  </dataValidations>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19.25"/>
    <col customWidth="1" min="3" max="3" width="38.25"/>
    <col customWidth="1" min="5" max="5" width="59.38"/>
    <col customWidth="1" min="6" max="6" width="21.0"/>
    <col customWidth="1" min="7" max="8" width="17.25"/>
  </cols>
  <sheetData>
    <row r="1">
      <c r="A1" s="656" t="s">
        <v>29</v>
      </c>
      <c r="B1" s="656" t="s">
        <v>1670</v>
      </c>
      <c r="C1" s="656" t="s">
        <v>9550</v>
      </c>
      <c r="D1" s="656" t="s">
        <v>9551</v>
      </c>
      <c r="E1" s="656" t="s">
        <v>21</v>
      </c>
      <c r="F1" s="402" t="s">
        <v>9552</v>
      </c>
    </row>
    <row r="2">
      <c r="A2" s="657">
        <v>46047.0</v>
      </c>
      <c r="B2" s="567" t="s">
        <v>9553</v>
      </c>
      <c r="C2" s="658" t="s">
        <v>9554</v>
      </c>
      <c r="D2" s="659">
        <v>343.0</v>
      </c>
      <c r="E2" s="557"/>
      <c r="F2" s="402" t="s">
        <v>9555</v>
      </c>
    </row>
    <row r="3">
      <c r="A3" s="567"/>
      <c r="B3" s="567" t="s">
        <v>9556</v>
      </c>
      <c r="C3" s="660" t="s">
        <v>9557</v>
      </c>
      <c r="D3" s="661">
        <v>640.0</v>
      </c>
      <c r="E3" s="662" t="s">
        <v>9558</v>
      </c>
      <c r="F3" s="402" t="s">
        <v>9559</v>
      </c>
      <c r="G3" s="663"/>
      <c r="H3" s="663" t="s">
        <v>9560</v>
      </c>
    </row>
    <row r="4">
      <c r="A4" s="567"/>
      <c r="B4" s="567" t="s">
        <v>9556</v>
      </c>
      <c r="C4" s="664" t="s">
        <v>9561</v>
      </c>
      <c r="D4" s="665">
        <f>105*1.22</f>
        <v>128.1</v>
      </c>
      <c r="E4" s="662" t="s">
        <v>9562</v>
      </c>
      <c r="F4" s="402" t="s">
        <v>9559</v>
      </c>
      <c r="G4" s="658"/>
      <c r="H4" s="658" t="s">
        <v>9563</v>
      </c>
    </row>
    <row r="5">
      <c r="A5" s="567"/>
      <c r="B5" s="567" t="s">
        <v>9556</v>
      </c>
      <c r="C5" s="664" t="s">
        <v>9564</v>
      </c>
      <c r="D5" s="665">
        <f>50*1.22</f>
        <v>61</v>
      </c>
      <c r="E5" s="662" t="s">
        <v>9562</v>
      </c>
      <c r="F5" s="402" t="s">
        <v>9559</v>
      </c>
      <c r="G5" s="660"/>
      <c r="H5" s="660" t="s">
        <v>9565</v>
      </c>
    </row>
    <row r="6">
      <c r="A6" s="567"/>
      <c r="B6" s="567" t="s">
        <v>9556</v>
      </c>
      <c r="C6" s="664" t="s">
        <v>9566</v>
      </c>
      <c r="D6" s="665">
        <v>350.0</v>
      </c>
      <c r="E6" s="662" t="s">
        <v>9567</v>
      </c>
      <c r="F6" s="402" t="s">
        <v>9559</v>
      </c>
    </row>
    <row r="7">
      <c r="A7" s="657"/>
      <c r="B7" s="662" t="s">
        <v>9556</v>
      </c>
      <c r="C7" s="664" t="s">
        <v>9568</v>
      </c>
      <c r="D7" s="665">
        <v>2000.0</v>
      </c>
      <c r="E7" s="662" t="s">
        <v>9569</v>
      </c>
      <c r="F7" s="402" t="s">
        <v>9559</v>
      </c>
    </row>
    <row r="8">
      <c r="A8" s="657"/>
      <c r="B8" s="662" t="s">
        <v>9556</v>
      </c>
      <c r="C8" s="664" t="s">
        <v>9570</v>
      </c>
      <c r="D8" s="665">
        <v>100.0</v>
      </c>
      <c r="E8" s="662" t="s">
        <v>9569</v>
      </c>
      <c r="F8" s="402" t="s">
        <v>9559</v>
      </c>
    </row>
    <row r="9">
      <c r="A9" s="657"/>
      <c r="B9" s="662" t="s">
        <v>9556</v>
      </c>
      <c r="C9" s="664" t="s">
        <v>9571</v>
      </c>
      <c r="D9" s="665">
        <v>309.0</v>
      </c>
      <c r="E9" s="662" t="s">
        <v>9572</v>
      </c>
      <c r="F9" s="402" t="s">
        <v>9559</v>
      </c>
    </row>
    <row r="10">
      <c r="A10" s="657"/>
      <c r="B10" s="662" t="s">
        <v>9556</v>
      </c>
      <c r="C10" s="664" t="s">
        <v>9573</v>
      </c>
      <c r="D10" s="665">
        <v>120.0</v>
      </c>
      <c r="E10" s="662" t="s">
        <v>9572</v>
      </c>
      <c r="F10" s="402" t="s">
        <v>9559</v>
      </c>
    </row>
    <row r="11">
      <c r="A11" s="657"/>
      <c r="B11" s="662" t="s">
        <v>9556</v>
      </c>
      <c r="C11" s="664" t="s">
        <v>9574</v>
      </c>
      <c r="D11" s="665">
        <v>24.0</v>
      </c>
      <c r="E11" s="662" t="s">
        <v>9572</v>
      </c>
      <c r="F11" s="402" t="s">
        <v>9559</v>
      </c>
    </row>
    <row r="12">
      <c r="A12" s="657"/>
      <c r="B12" s="662" t="s">
        <v>9556</v>
      </c>
      <c r="C12" s="664" t="s">
        <v>9575</v>
      </c>
      <c r="D12" s="665">
        <v>100.0</v>
      </c>
      <c r="E12" s="662" t="s">
        <v>9572</v>
      </c>
      <c r="F12" s="402" t="s">
        <v>9559</v>
      </c>
    </row>
    <row r="13">
      <c r="A13" s="657"/>
      <c r="B13" s="662" t="s">
        <v>9556</v>
      </c>
      <c r="C13" s="664" t="s">
        <v>9576</v>
      </c>
      <c r="D13" s="665">
        <v>130.0</v>
      </c>
      <c r="E13" s="662" t="s">
        <v>9572</v>
      </c>
      <c r="F13" s="402" t="s">
        <v>9559</v>
      </c>
      <c r="G13" s="402" t="s">
        <v>9577</v>
      </c>
    </row>
    <row r="14">
      <c r="A14" s="657"/>
      <c r="B14" s="662" t="s">
        <v>9556</v>
      </c>
      <c r="C14" s="664" t="s">
        <v>9578</v>
      </c>
      <c r="D14" s="665">
        <v>180.0</v>
      </c>
      <c r="E14" s="662"/>
      <c r="F14" s="402" t="s">
        <v>9559</v>
      </c>
    </row>
    <row r="15">
      <c r="A15" s="657"/>
      <c r="B15" s="662" t="s">
        <v>9556</v>
      </c>
      <c r="C15" s="664" t="s">
        <v>8617</v>
      </c>
      <c r="D15" s="665">
        <v>7000.0</v>
      </c>
      <c r="E15" s="662" t="s">
        <v>9579</v>
      </c>
      <c r="F15" s="402" t="s">
        <v>9559</v>
      </c>
    </row>
    <row r="16">
      <c r="A16" s="662"/>
      <c r="B16" s="662" t="s">
        <v>9556</v>
      </c>
      <c r="C16" s="660" t="s">
        <v>9580</v>
      </c>
      <c r="D16" s="666"/>
      <c r="E16" s="662" t="s">
        <v>9581</v>
      </c>
      <c r="F16" s="402" t="s">
        <v>9559</v>
      </c>
    </row>
    <row r="17">
      <c r="A17" s="662"/>
      <c r="B17" s="662" t="s">
        <v>9556</v>
      </c>
      <c r="C17" s="660" t="s">
        <v>9582</v>
      </c>
      <c r="D17" s="666"/>
      <c r="E17" s="667" t="s">
        <v>9583</v>
      </c>
      <c r="F17" s="402" t="s">
        <v>9559</v>
      </c>
    </row>
    <row r="18">
      <c r="A18" s="662"/>
      <c r="B18" s="662" t="s">
        <v>1657</v>
      </c>
      <c r="C18" s="664" t="s">
        <v>9584</v>
      </c>
      <c r="D18" s="665">
        <v>450.0</v>
      </c>
      <c r="E18" s="662" t="s">
        <v>9585</v>
      </c>
      <c r="F18" s="402" t="s">
        <v>9559</v>
      </c>
    </row>
    <row r="19">
      <c r="A19" s="657">
        <v>46030.0</v>
      </c>
      <c r="B19" s="662" t="s">
        <v>9586</v>
      </c>
      <c r="C19" s="668" t="s">
        <v>9587</v>
      </c>
      <c r="D19" s="669">
        <v>100.0</v>
      </c>
      <c r="E19" s="662" t="s">
        <v>9588</v>
      </c>
      <c r="F19" s="402" t="s">
        <v>9555</v>
      </c>
    </row>
    <row r="20">
      <c r="A20" s="657">
        <v>46041.0</v>
      </c>
      <c r="B20" s="662" t="s">
        <v>9589</v>
      </c>
      <c r="C20" s="668" t="s">
        <v>9590</v>
      </c>
      <c r="D20" s="669">
        <v>371.22</v>
      </c>
      <c r="F20" s="402" t="s">
        <v>9555</v>
      </c>
    </row>
    <row r="21">
      <c r="A21" s="657">
        <v>46049.0</v>
      </c>
      <c r="B21" s="662" t="s">
        <v>9591</v>
      </c>
      <c r="C21" s="668" t="s">
        <v>9592</v>
      </c>
      <c r="D21" s="669">
        <v>88.0</v>
      </c>
      <c r="E21" s="662" t="s">
        <v>9593</v>
      </c>
      <c r="F21" s="402" t="s">
        <v>9555</v>
      </c>
    </row>
    <row r="22">
      <c r="A22" s="657">
        <v>46042.0</v>
      </c>
      <c r="B22" s="662" t="s">
        <v>7216</v>
      </c>
      <c r="C22" s="669" t="s">
        <v>9594</v>
      </c>
      <c r="D22" s="669">
        <v>79.96</v>
      </c>
      <c r="E22" s="662" t="s">
        <v>9595</v>
      </c>
      <c r="F22" s="402" t="s">
        <v>9555</v>
      </c>
    </row>
    <row r="23">
      <c r="A23" s="657">
        <v>46048.0</v>
      </c>
      <c r="B23" s="662" t="s">
        <v>7216</v>
      </c>
      <c r="C23" s="668" t="s">
        <v>9596</v>
      </c>
      <c r="D23" s="669">
        <v>21.96</v>
      </c>
      <c r="E23" s="662" t="s">
        <v>9595</v>
      </c>
      <c r="F23" s="402" t="s">
        <v>9555</v>
      </c>
      <c r="G23" s="567"/>
      <c r="H23" s="567" t="s">
        <v>9597</v>
      </c>
    </row>
    <row r="24">
      <c r="A24" s="657">
        <v>46048.0</v>
      </c>
      <c r="B24" s="567" t="s">
        <v>9553</v>
      </c>
      <c r="C24" s="668" t="s">
        <v>9598</v>
      </c>
      <c r="D24" s="669">
        <v>17.12</v>
      </c>
      <c r="E24" s="670" t="s">
        <v>9599</v>
      </c>
      <c r="F24" s="402" t="s">
        <v>9555</v>
      </c>
      <c r="G24" s="567"/>
      <c r="H24" s="567"/>
    </row>
    <row r="25">
      <c r="A25" s="657"/>
      <c r="B25" s="662" t="s">
        <v>9600</v>
      </c>
      <c r="C25" s="668"/>
      <c r="D25" s="669">
        <v>207.0</v>
      </c>
      <c r="E25" s="667"/>
      <c r="F25" s="402" t="s">
        <v>9555</v>
      </c>
      <c r="G25" s="567"/>
      <c r="H25" s="567"/>
    </row>
    <row r="26">
      <c r="A26" s="657">
        <v>46063.0</v>
      </c>
      <c r="B26" s="662" t="s">
        <v>1656</v>
      </c>
      <c r="C26" s="662" t="s">
        <v>9601</v>
      </c>
      <c r="D26" s="659">
        <v>400.0</v>
      </c>
      <c r="E26" s="671"/>
      <c r="F26" s="402" t="s">
        <v>9555</v>
      </c>
      <c r="G26" s="663"/>
      <c r="H26" s="663" t="s">
        <v>9602</v>
      </c>
      <c r="I26" s="672">
        <v>13935.0</v>
      </c>
    </row>
    <row r="27">
      <c r="B27" s="664" t="s">
        <v>42</v>
      </c>
      <c r="C27" s="664" t="s">
        <v>1814</v>
      </c>
      <c r="D27" s="666" t="str">
        <f>'RITIRO NUOVA MERCE'!G8</f>
        <v>#REF!</v>
      </c>
      <c r="E27" s="671"/>
      <c r="F27" s="402" t="s">
        <v>9559</v>
      </c>
      <c r="G27" s="402"/>
      <c r="H27" s="402" t="s">
        <v>9555</v>
      </c>
      <c r="I27" s="673">
        <f t="shared" ref="I27:I28" si="1">SUMIF(F:F,H27,D:D)</f>
        <v>1628.26</v>
      </c>
    </row>
    <row r="28">
      <c r="E28" s="671"/>
      <c r="G28" s="402"/>
      <c r="H28" s="402" t="s">
        <v>9559</v>
      </c>
      <c r="I28" s="673" t="str">
        <f t="shared" si="1"/>
        <v>#REF!</v>
      </c>
    </row>
    <row r="29">
      <c r="G29" s="402"/>
      <c r="H29" s="402" t="s">
        <v>9603</v>
      </c>
      <c r="I29" s="674" t="str">
        <f>I28-D15</f>
        <v>#REF!</v>
      </c>
    </row>
    <row r="30">
      <c r="B30" s="402"/>
      <c r="H30" s="402" t="s">
        <v>9604</v>
      </c>
    </row>
    <row r="31">
      <c r="H31" s="656" t="s">
        <v>9605</v>
      </c>
      <c r="I31" s="675" t="str">
        <f>I26-I29</f>
        <v>#REF!</v>
      </c>
    </row>
    <row r="32">
      <c r="H32" s="402" t="s">
        <v>9606</v>
      </c>
      <c r="I32" s="402">
        <v>2500.0</v>
      </c>
    </row>
    <row r="33">
      <c r="H33" s="402" t="s">
        <v>9607</v>
      </c>
      <c r="I33" s="676" t="str">
        <f>I32+I31</f>
        <v>#REF!</v>
      </c>
    </row>
    <row r="34">
      <c r="I34" s="676">
        <v>6000.0</v>
      </c>
    </row>
  </sheetData>
  <autoFilter ref="$A$1:$E$27"/>
  <hyperlinks>
    <hyperlink r:id="rId1" ref="E24"/>
  </hyperlinks>
  <drawing r:id="rId2"/>
</worksheet>
</file>